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D:\ASTA\Asta\IVF\RE\IVF-GANDHI\"/>
    </mc:Choice>
  </mc:AlternateContent>
  <xr:revisionPtr revIDLastSave="0" documentId="13_ncr:1_{DE157EC6-E896-4947-8816-44DCCAC2CB21}" xr6:coauthVersionLast="47" xr6:coauthVersionMax="47" xr10:uidLastSave="{00000000-0000-0000-0000-000000000000}"/>
  <bookViews>
    <workbookView xWindow="-110" yWindow="-110" windowWidth="19420" windowHeight="10300" firstSheet="3" activeTab="4" xr2:uid="{00000000-000D-0000-FFFF-FFFF00000000}"/>
  </bookViews>
  <sheets>
    <sheet name="seignorage" sheetId="24" r:id="rId1"/>
    <sheet name="RE" sheetId="2" r:id="rId2"/>
    <sheet name="suppl items" sheetId="11" r:id="rId3"/>
    <sheet name="Supplementary Items" sheetId="15" r:id="rId4"/>
    <sheet name="Revised Estimate" sheetId="12" r:id="rId5"/>
    <sheet name="ABSTRACT" sheetId="3" r:id="rId6"/>
    <sheet name="Supplemantary Rates" sheetId="17" r:id="rId7"/>
    <sheet name="Supplementary Revised Rates" sheetId="16" r:id="rId8"/>
    <sheet name="E-Datas" sheetId="18" r:id="rId9"/>
    <sheet name="C-DATA" sheetId="21" r:id="rId10"/>
    <sheet name="Sheet1" sheetId="19" r:id="rId11"/>
    <sheet name="C-data (2)" sheetId="22" r:id="rId12"/>
    <sheet name="Joinery" sheetId="23"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s>
  <definedNames>
    <definedName name="\P" localSheetId="11">#REF!</definedName>
    <definedName name="\P" localSheetId="12">#REF!</definedName>
    <definedName name="\P" localSheetId="0">#REF!</definedName>
    <definedName name="\P">#REF!</definedName>
    <definedName name="_">NA()</definedName>
    <definedName name="______________________________________________________________________________________________can430">40.73</definedName>
    <definedName name="______________________________________________________________________________________________can435">43.3</definedName>
    <definedName name="_____________________________________________________________________________________________can430">40.73</definedName>
    <definedName name="_____________________________________________________________________________________________can435">43.3</definedName>
    <definedName name="____________________________________________________________________________________________can430">40.73</definedName>
    <definedName name="____________________________________________________________________________________________can435">43.3</definedName>
    <definedName name="___________________________________________________________________________________________can430">40.73</definedName>
    <definedName name="___________________________________________________________________________________________can435">43.3</definedName>
    <definedName name="___________________________________________________________________________________________l12">NA()</definedName>
    <definedName name="___________________________________________________________________________________________l3">NA()</definedName>
    <definedName name="___________________________________________________________________________________________l5">NA()</definedName>
    <definedName name="___________________________________________________________________________________________pc2">NA()</definedName>
    <definedName name="___________________________________________________________________________________________pv2">NA()</definedName>
    <definedName name="___________________________________________________________________________________________var1">NA()</definedName>
    <definedName name="___________________________________________________________________________________________var4">NA()</definedName>
    <definedName name="__________________________________________________________________________________________can430">40.73</definedName>
    <definedName name="__________________________________________________________________________________________can435">43.3</definedName>
    <definedName name="__________________________________________________________________________________________l12">NA()</definedName>
    <definedName name="__________________________________________________________________________________________l3">NA()</definedName>
    <definedName name="__________________________________________________________________________________________l5">NA()</definedName>
    <definedName name="__________________________________________________________________________________________pc2">NA()</definedName>
    <definedName name="__________________________________________________________________________________________pv2">NA()</definedName>
    <definedName name="__________________________________________________________________________________________var1">NA()</definedName>
    <definedName name="__________________________________________________________________________________________var4">NA()</definedName>
    <definedName name="_________________________________________________________________________________________bla1">[1]leads!$H$7</definedName>
    <definedName name="_________________________________________________________________________________________can430">40.73</definedName>
    <definedName name="_________________________________________________________________________________________can435">43.3</definedName>
    <definedName name="_________________________________________________________________________________________cur1">[2]r!$F$30</definedName>
    <definedName name="_________________________________________________________________________________________l1">[3]leads!$A$3:$E$108</definedName>
    <definedName name="_________________________________________________________________________________________l12">NA()</definedName>
    <definedName name="_________________________________________________________________________________________l2">[2]r!$F$29</definedName>
    <definedName name="_________________________________________________________________________________________l3">NA()</definedName>
    <definedName name="_________________________________________________________________________________________l4">[4]Sheet1!$W$2:$Y$103</definedName>
    <definedName name="_________________________________________________________________________________________l5">NA()</definedName>
    <definedName name="_________________________________________________________________________________________l6">[2]r!$F$4</definedName>
    <definedName name="_________________________________________________________________________________________l7">[5]r!$F$4</definedName>
    <definedName name="_________________________________________________________________________________________l8">[2]r!$F$2</definedName>
    <definedName name="_________________________________________________________________________________________l9">[2]r!$F$3</definedName>
    <definedName name="_________________________________________________________________________________________mm1">[6]r!$F$4</definedName>
    <definedName name="_________________________________________________________________________________________mm11">[2]r!$F$4</definedName>
    <definedName name="_________________________________________________________________________________________mm111">[5]r!$F$4</definedName>
    <definedName name="_________________________________________________________________________________________pc2">NA()</definedName>
    <definedName name="_________________________________________________________________________________________pv2">NA()</definedName>
    <definedName name="_________________________________________________________________________________________rr3">[7]v!$A$2:$E$51</definedName>
    <definedName name="_________________________________________________________________________________________rrr1">[7]r!$B$1:$I$145</definedName>
    <definedName name="_________________________________________________________________________________________ss12">[8]rdamdata!$J$8</definedName>
    <definedName name="_________________________________________________________________________________________ss20">[8]rdamdata!$J$7</definedName>
    <definedName name="_________________________________________________________________________________________ss40">[8]rdamdata!$J$6</definedName>
    <definedName name="_________________________________________________________________________________________var1">NA()</definedName>
    <definedName name="_________________________________________________________________________________________var4">NA()</definedName>
    <definedName name="________________________________________________________________________________________bla1">[1]leads!$H$7</definedName>
    <definedName name="________________________________________________________________________________________can430">40.73</definedName>
    <definedName name="________________________________________________________________________________________can435">43.3</definedName>
    <definedName name="________________________________________________________________________________________cur1">[2]r!$F$30</definedName>
    <definedName name="________________________________________________________________________________________l1">[3]leads!$A$3:$E$108</definedName>
    <definedName name="________________________________________________________________________________________l12">NA()</definedName>
    <definedName name="________________________________________________________________________________________l2">[2]r!$F$29</definedName>
    <definedName name="________________________________________________________________________________________l3">NA()</definedName>
    <definedName name="________________________________________________________________________________________l4">[4]Sheet1!$W$2:$Y$103</definedName>
    <definedName name="________________________________________________________________________________________l5">NA()</definedName>
    <definedName name="________________________________________________________________________________________l6">[2]r!$F$4</definedName>
    <definedName name="________________________________________________________________________________________l7">[5]r!$F$4</definedName>
    <definedName name="________________________________________________________________________________________l8">[2]r!$F$2</definedName>
    <definedName name="________________________________________________________________________________________l9">[2]r!$F$3</definedName>
    <definedName name="________________________________________________________________________________________mm1">[6]r!$F$4</definedName>
    <definedName name="________________________________________________________________________________________mm11">[2]r!$F$4</definedName>
    <definedName name="________________________________________________________________________________________mm111">[5]r!$F$4</definedName>
    <definedName name="________________________________________________________________________________________pc2">NA()</definedName>
    <definedName name="________________________________________________________________________________________pv2">NA()</definedName>
    <definedName name="________________________________________________________________________________________rr3">[7]v!$A$2:$E$51</definedName>
    <definedName name="________________________________________________________________________________________rrr1">[7]r!$B$1:$I$145</definedName>
    <definedName name="________________________________________________________________________________________ss12">[8]rdamdata!$J$8</definedName>
    <definedName name="________________________________________________________________________________________ss20">[8]rdamdata!$J$7</definedName>
    <definedName name="________________________________________________________________________________________ss40">[8]rdamdata!$J$6</definedName>
    <definedName name="________________________________________________________________________________________var1">NA()</definedName>
    <definedName name="________________________________________________________________________________________var4">NA()</definedName>
    <definedName name="_______________________________________________________________________________________bla1">[1]leads!$H$7</definedName>
    <definedName name="_______________________________________________________________________________________can430">40.73</definedName>
    <definedName name="_______________________________________________________________________________________can435">43.3</definedName>
    <definedName name="_______________________________________________________________________________________cur1">[2]r!$F$30</definedName>
    <definedName name="_______________________________________________________________________________________l1">[3]leads!$A$3:$E$108</definedName>
    <definedName name="_______________________________________________________________________________________l12" localSheetId="11">NA()</definedName>
    <definedName name="_______________________________________________________________________________________l12" localSheetId="12">NA()</definedName>
    <definedName name="_______________________________________________________________________________________l12" localSheetId="0">#REF!</definedName>
    <definedName name="_______________________________________________________________________________________l12">#REF!</definedName>
    <definedName name="_______________________________________________________________________________________l2">[2]r!$F$29</definedName>
    <definedName name="_______________________________________________________________________________________l3" localSheetId="11">NA()</definedName>
    <definedName name="_______________________________________________________________________________________l3" localSheetId="12">NA()</definedName>
    <definedName name="_______________________________________________________________________________________l3" localSheetId="0">#REF!</definedName>
    <definedName name="_______________________________________________________________________________________l3">#REF!</definedName>
    <definedName name="_______________________________________________________________________________________l4">[4]Sheet1!$W$2:$Y$103</definedName>
    <definedName name="_______________________________________________________________________________________l5" localSheetId="11">NA()</definedName>
    <definedName name="_______________________________________________________________________________________l5" localSheetId="12">NA()</definedName>
    <definedName name="_______________________________________________________________________________________l5" localSheetId="0">#REF!</definedName>
    <definedName name="_______________________________________________________________________________________l5">#REF!</definedName>
    <definedName name="_______________________________________________________________________________________l6">[2]r!$F$4</definedName>
    <definedName name="_______________________________________________________________________________________l7">[5]r!$F$4</definedName>
    <definedName name="_______________________________________________________________________________________l8">[2]r!$F$2</definedName>
    <definedName name="_______________________________________________________________________________________l9">[2]r!$F$3</definedName>
    <definedName name="_______________________________________________________________________________________mm1">[6]r!$F$4</definedName>
    <definedName name="_______________________________________________________________________________________mm11">[2]r!$F$4</definedName>
    <definedName name="_______________________________________________________________________________________mm111">[5]r!$F$4</definedName>
    <definedName name="_______________________________________________________________________________________pc2" localSheetId="11">NA()</definedName>
    <definedName name="_______________________________________________________________________________________pc2" localSheetId="12">NA()</definedName>
    <definedName name="_______________________________________________________________________________________pc2" localSheetId="0">#REF!</definedName>
    <definedName name="_______________________________________________________________________________________pc2">#REF!</definedName>
    <definedName name="_______________________________________________________________________________________pv2" localSheetId="11">NA()</definedName>
    <definedName name="_______________________________________________________________________________________pv2" localSheetId="12">NA()</definedName>
    <definedName name="_______________________________________________________________________________________pv2" localSheetId="0">#REF!</definedName>
    <definedName name="_______________________________________________________________________________________pv2">#REF!</definedName>
    <definedName name="_______________________________________________________________________________________rr3">[7]v!$A$2:$E$51</definedName>
    <definedName name="_______________________________________________________________________________________rrr1">[7]r!$B$1:$I$145</definedName>
    <definedName name="_______________________________________________________________________________________ss12">[8]rdamdata!$J$8</definedName>
    <definedName name="_______________________________________________________________________________________ss20">[8]rdamdata!$J$7</definedName>
    <definedName name="_______________________________________________________________________________________ss40">[8]rdamdata!$J$6</definedName>
    <definedName name="_______________________________________________________________________________________var1" localSheetId="11">NA()</definedName>
    <definedName name="_______________________________________________________________________________________var1" localSheetId="12">NA()</definedName>
    <definedName name="_______________________________________________________________________________________var1" localSheetId="0">#REF!</definedName>
    <definedName name="_______________________________________________________________________________________var1">#REF!</definedName>
    <definedName name="_______________________________________________________________________________________var4" localSheetId="11">NA()</definedName>
    <definedName name="_______________________________________________________________________________________var4" localSheetId="12">NA()</definedName>
    <definedName name="_______________________________________________________________________________________var4" localSheetId="0">#REF!</definedName>
    <definedName name="_______________________________________________________________________________________var4">#REF!</definedName>
    <definedName name="______________________________________________________________________________________bla1">[1]leads!$H$7</definedName>
    <definedName name="______________________________________________________________________________________can430">40.73</definedName>
    <definedName name="______________________________________________________________________________________can435">43.3</definedName>
    <definedName name="______________________________________________________________________________________cur1">[2]r!$F$30</definedName>
    <definedName name="______________________________________________________________________________________l1">[3]leads!$A$3:$E$108</definedName>
    <definedName name="______________________________________________________________________________________l12" localSheetId="11">NA()</definedName>
    <definedName name="______________________________________________________________________________________l12" localSheetId="12">NA()</definedName>
    <definedName name="______________________________________________________________________________________l12" localSheetId="0">#REF!</definedName>
    <definedName name="______________________________________________________________________________________l12">#REF!</definedName>
    <definedName name="______________________________________________________________________________________l2">[2]r!$F$29</definedName>
    <definedName name="______________________________________________________________________________________l3" localSheetId="11">NA()</definedName>
    <definedName name="______________________________________________________________________________________l3" localSheetId="12">NA()</definedName>
    <definedName name="______________________________________________________________________________________l3" localSheetId="0">#REF!</definedName>
    <definedName name="______________________________________________________________________________________l3">#REF!</definedName>
    <definedName name="______________________________________________________________________________________l4">[4]Sheet1!$W$2:$Y$103</definedName>
    <definedName name="______________________________________________________________________________________l5" localSheetId="11">NA()</definedName>
    <definedName name="______________________________________________________________________________________l5" localSheetId="12">NA()</definedName>
    <definedName name="______________________________________________________________________________________l5" localSheetId="0">#REF!</definedName>
    <definedName name="______________________________________________________________________________________l5">#REF!</definedName>
    <definedName name="______________________________________________________________________________________l6">[2]r!$F$4</definedName>
    <definedName name="______________________________________________________________________________________l7">[5]r!$F$4</definedName>
    <definedName name="______________________________________________________________________________________l8">[2]r!$F$2</definedName>
    <definedName name="______________________________________________________________________________________l9">[2]r!$F$3</definedName>
    <definedName name="______________________________________________________________________________________mm1">[6]r!$F$4</definedName>
    <definedName name="______________________________________________________________________________________mm11">[2]r!$F$4</definedName>
    <definedName name="______________________________________________________________________________________mm111">[5]r!$F$4</definedName>
    <definedName name="______________________________________________________________________________________pc2" localSheetId="11">NA()</definedName>
    <definedName name="______________________________________________________________________________________pc2" localSheetId="12">NA()</definedName>
    <definedName name="______________________________________________________________________________________pc2" localSheetId="0">#REF!</definedName>
    <definedName name="______________________________________________________________________________________pc2">#REF!</definedName>
    <definedName name="______________________________________________________________________________________pv2" localSheetId="11">NA()</definedName>
    <definedName name="______________________________________________________________________________________pv2" localSheetId="12">NA()</definedName>
    <definedName name="______________________________________________________________________________________pv2" localSheetId="0">#REF!</definedName>
    <definedName name="______________________________________________________________________________________pv2">#REF!</definedName>
    <definedName name="______________________________________________________________________________________rr3">[7]v!$A$2:$E$51</definedName>
    <definedName name="______________________________________________________________________________________rrr1">[7]r!$B$1:$I$145</definedName>
    <definedName name="______________________________________________________________________________________ss12">[8]rdamdata!$J$8</definedName>
    <definedName name="______________________________________________________________________________________ss20">[8]rdamdata!$J$7</definedName>
    <definedName name="______________________________________________________________________________________ss40">[8]rdamdata!$J$6</definedName>
    <definedName name="______________________________________________________________________________________var1" localSheetId="11">NA()</definedName>
    <definedName name="______________________________________________________________________________________var1" localSheetId="12">NA()</definedName>
    <definedName name="______________________________________________________________________________________var1" localSheetId="0">#REF!</definedName>
    <definedName name="______________________________________________________________________________________var1">#REF!</definedName>
    <definedName name="______________________________________________________________________________________var4" localSheetId="11">NA()</definedName>
    <definedName name="______________________________________________________________________________________var4" localSheetId="12">NA()</definedName>
    <definedName name="______________________________________________________________________________________var4" localSheetId="0">#REF!</definedName>
    <definedName name="______________________________________________________________________________________var4">#REF!</definedName>
    <definedName name="_____________________________________________________________________________________bla1">[1]leads!$H$7</definedName>
    <definedName name="_____________________________________________________________________________________can430">40.73</definedName>
    <definedName name="_____________________________________________________________________________________can435">43.3</definedName>
    <definedName name="_____________________________________________________________________________________cur1">[2]r!$F$30</definedName>
    <definedName name="_____________________________________________________________________________________l1">[3]leads!$A$3:$E$108</definedName>
    <definedName name="_____________________________________________________________________________________l12" localSheetId="11">NA()</definedName>
    <definedName name="_____________________________________________________________________________________l12" localSheetId="12">NA()</definedName>
    <definedName name="_____________________________________________________________________________________l12" localSheetId="0">#REF!</definedName>
    <definedName name="_____________________________________________________________________________________l12">#REF!</definedName>
    <definedName name="_____________________________________________________________________________________l2">[2]r!$F$29</definedName>
    <definedName name="_____________________________________________________________________________________l3" localSheetId="11">NA()</definedName>
    <definedName name="_____________________________________________________________________________________l3" localSheetId="12">NA()</definedName>
    <definedName name="_____________________________________________________________________________________l3" localSheetId="0">#REF!</definedName>
    <definedName name="_____________________________________________________________________________________l3">#REF!</definedName>
    <definedName name="_____________________________________________________________________________________l4">[4]Sheet1!$W$2:$Y$103</definedName>
    <definedName name="_____________________________________________________________________________________l5" localSheetId="11">NA()</definedName>
    <definedName name="_____________________________________________________________________________________l5" localSheetId="12">NA()</definedName>
    <definedName name="_____________________________________________________________________________________l5" localSheetId="0">#REF!</definedName>
    <definedName name="_____________________________________________________________________________________l5">#REF!</definedName>
    <definedName name="_____________________________________________________________________________________l6">[2]r!$F$4</definedName>
    <definedName name="_____________________________________________________________________________________l7">[5]r!$F$4</definedName>
    <definedName name="_____________________________________________________________________________________l8">[2]r!$F$2</definedName>
    <definedName name="_____________________________________________________________________________________l9">[2]r!$F$3</definedName>
    <definedName name="_____________________________________________________________________________________mm1">[6]r!$F$4</definedName>
    <definedName name="_____________________________________________________________________________________mm11">[2]r!$F$4</definedName>
    <definedName name="_____________________________________________________________________________________mm111">[5]r!$F$4</definedName>
    <definedName name="_____________________________________________________________________________________pc2" localSheetId="11">NA()</definedName>
    <definedName name="_____________________________________________________________________________________pc2" localSheetId="12">NA()</definedName>
    <definedName name="_____________________________________________________________________________________pc2" localSheetId="0">#REF!</definedName>
    <definedName name="_____________________________________________________________________________________pc2">#REF!</definedName>
    <definedName name="_____________________________________________________________________________________pv2" localSheetId="11">NA()</definedName>
    <definedName name="_____________________________________________________________________________________pv2" localSheetId="12">NA()</definedName>
    <definedName name="_____________________________________________________________________________________pv2" localSheetId="0">#REF!</definedName>
    <definedName name="_____________________________________________________________________________________pv2">#REF!</definedName>
    <definedName name="_____________________________________________________________________________________rr3">[7]v!$A$2:$E$51</definedName>
    <definedName name="_____________________________________________________________________________________rrr1">[7]r!$B$1:$I$145</definedName>
    <definedName name="_____________________________________________________________________________________ss12">[8]rdamdata!$J$8</definedName>
    <definedName name="_____________________________________________________________________________________ss20">[8]rdamdata!$J$7</definedName>
    <definedName name="_____________________________________________________________________________________ss40">[8]rdamdata!$J$6</definedName>
    <definedName name="_____________________________________________________________________________________var1" localSheetId="11">NA()</definedName>
    <definedName name="_____________________________________________________________________________________var1" localSheetId="12">NA()</definedName>
    <definedName name="_____________________________________________________________________________________var1" localSheetId="0">#REF!</definedName>
    <definedName name="_____________________________________________________________________________________var1">#REF!</definedName>
    <definedName name="_____________________________________________________________________________________var4" localSheetId="11">NA()</definedName>
    <definedName name="_____________________________________________________________________________________var4" localSheetId="12">NA()</definedName>
    <definedName name="_____________________________________________________________________________________var4" localSheetId="0">#REF!</definedName>
    <definedName name="_____________________________________________________________________________________var4">#REF!</definedName>
    <definedName name="____________________________________________________________________________________bla1">[1]leads!$H$7</definedName>
    <definedName name="____________________________________________________________________________________can430">40.73</definedName>
    <definedName name="____________________________________________________________________________________can435">43.3</definedName>
    <definedName name="____________________________________________________________________________________cur1">[2]r!$F$30</definedName>
    <definedName name="____________________________________________________________________________________l1">[3]leads!$A$3:$E$108</definedName>
    <definedName name="____________________________________________________________________________________l12" localSheetId="11">NA()</definedName>
    <definedName name="____________________________________________________________________________________l12" localSheetId="12">NA()</definedName>
    <definedName name="____________________________________________________________________________________l12" localSheetId="0">#REF!</definedName>
    <definedName name="____________________________________________________________________________________l12">#REF!</definedName>
    <definedName name="____________________________________________________________________________________l2">[2]r!$F$29</definedName>
    <definedName name="____________________________________________________________________________________l3" localSheetId="11">NA()</definedName>
    <definedName name="____________________________________________________________________________________l3" localSheetId="12">NA()</definedName>
    <definedName name="____________________________________________________________________________________l3" localSheetId="0">#REF!</definedName>
    <definedName name="____________________________________________________________________________________l3">#REF!</definedName>
    <definedName name="____________________________________________________________________________________l4">[4]Sheet1!$W$2:$Y$103</definedName>
    <definedName name="____________________________________________________________________________________l5" localSheetId="11">NA()</definedName>
    <definedName name="____________________________________________________________________________________l5" localSheetId="12">NA()</definedName>
    <definedName name="____________________________________________________________________________________l5" localSheetId="0">#REF!</definedName>
    <definedName name="____________________________________________________________________________________l5">#REF!</definedName>
    <definedName name="____________________________________________________________________________________l6">[2]r!$F$4</definedName>
    <definedName name="____________________________________________________________________________________l7">[5]r!$F$4</definedName>
    <definedName name="____________________________________________________________________________________l8">[2]r!$F$2</definedName>
    <definedName name="____________________________________________________________________________________l9">[2]r!$F$3</definedName>
    <definedName name="____________________________________________________________________________________mm1">[6]r!$F$4</definedName>
    <definedName name="____________________________________________________________________________________mm11">[2]r!$F$4</definedName>
    <definedName name="____________________________________________________________________________________mm111">[5]r!$F$4</definedName>
    <definedName name="____________________________________________________________________________________pc2" localSheetId="11">NA()</definedName>
    <definedName name="____________________________________________________________________________________pc2" localSheetId="12">NA()</definedName>
    <definedName name="____________________________________________________________________________________pc2" localSheetId="0">#REF!</definedName>
    <definedName name="____________________________________________________________________________________pc2">#REF!</definedName>
    <definedName name="____________________________________________________________________________________pv2" localSheetId="11">NA()</definedName>
    <definedName name="____________________________________________________________________________________pv2" localSheetId="12">NA()</definedName>
    <definedName name="____________________________________________________________________________________pv2" localSheetId="0">#REF!</definedName>
    <definedName name="____________________________________________________________________________________pv2">#REF!</definedName>
    <definedName name="____________________________________________________________________________________rr3">[7]v!$A$2:$E$51</definedName>
    <definedName name="____________________________________________________________________________________rrr1">[7]r!$B$1:$I$145</definedName>
    <definedName name="____________________________________________________________________________________ss12">[8]rdamdata!$J$8</definedName>
    <definedName name="____________________________________________________________________________________ss20">[8]rdamdata!$J$7</definedName>
    <definedName name="____________________________________________________________________________________ss40">[8]rdamdata!$J$6</definedName>
    <definedName name="____________________________________________________________________________________var1" localSheetId="11">NA()</definedName>
    <definedName name="____________________________________________________________________________________var1" localSheetId="12">NA()</definedName>
    <definedName name="____________________________________________________________________________________var1" localSheetId="0">#REF!</definedName>
    <definedName name="____________________________________________________________________________________var1">#REF!</definedName>
    <definedName name="____________________________________________________________________________________var4" localSheetId="11">NA()</definedName>
    <definedName name="____________________________________________________________________________________var4" localSheetId="12">NA()</definedName>
    <definedName name="____________________________________________________________________________________var4" localSheetId="0">#REF!</definedName>
    <definedName name="____________________________________________________________________________________var4">#REF!</definedName>
    <definedName name="___________________________________________________________________________________bla1">[1]leads!$H$7</definedName>
    <definedName name="___________________________________________________________________________________can430">40.73</definedName>
    <definedName name="___________________________________________________________________________________can435">43.3</definedName>
    <definedName name="___________________________________________________________________________________cur1">[2]r!$F$30</definedName>
    <definedName name="___________________________________________________________________________________l1">[3]leads!$A$3:$E$108</definedName>
    <definedName name="___________________________________________________________________________________l12" localSheetId="11">NA()</definedName>
    <definedName name="___________________________________________________________________________________l12" localSheetId="12">NA()</definedName>
    <definedName name="___________________________________________________________________________________l12" localSheetId="0">#REF!</definedName>
    <definedName name="___________________________________________________________________________________l12">#REF!</definedName>
    <definedName name="___________________________________________________________________________________l2">[2]r!$F$29</definedName>
    <definedName name="___________________________________________________________________________________l3" localSheetId="11">NA()</definedName>
    <definedName name="___________________________________________________________________________________l3" localSheetId="12">NA()</definedName>
    <definedName name="___________________________________________________________________________________l3" localSheetId="0">#REF!</definedName>
    <definedName name="___________________________________________________________________________________l3">#REF!</definedName>
    <definedName name="___________________________________________________________________________________l4">[4]Sheet1!$W$2:$Y$103</definedName>
    <definedName name="___________________________________________________________________________________l5" localSheetId="11">NA()</definedName>
    <definedName name="___________________________________________________________________________________l5" localSheetId="12">NA()</definedName>
    <definedName name="___________________________________________________________________________________l5" localSheetId="0">#REF!</definedName>
    <definedName name="___________________________________________________________________________________l5">#REF!</definedName>
    <definedName name="___________________________________________________________________________________l6">[2]r!$F$4</definedName>
    <definedName name="___________________________________________________________________________________l7">[5]r!$F$4</definedName>
    <definedName name="___________________________________________________________________________________l8">[2]r!$F$2</definedName>
    <definedName name="___________________________________________________________________________________l9">[2]r!$F$3</definedName>
    <definedName name="___________________________________________________________________________________mm1">[6]r!$F$4</definedName>
    <definedName name="___________________________________________________________________________________mm11">[2]r!$F$4</definedName>
    <definedName name="___________________________________________________________________________________mm111">[5]r!$F$4</definedName>
    <definedName name="___________________________________________________________________________________pc2" localSheetId="11">NA()</definedName>
    <definedName name="___________________________________________________________________________________pc2" localSheetId="12">NA()</definedName>
    <definedName name="___________________________________________________________________________________pc2" localSheetId="0">#REF!</definedName>
    <definedName name="___________________________________________________________________________________pc2">#REF!</definedName>
    <definedName name="___________________________________________________________________________________pv2" localSheetId="11">NA()</definedName>
    <definedName name="___________________________________________________________________________________pv2" localSheetId="12">NA()</definedName>
    <definedName name="___________________________________________________________________________________pv2" localSheetId="0">#REF!</definedName>
    <definedName name="___________________________________________________________________________________pv2">#REF!</definedName>
    <definedName name="___________________________________________________________________________________rr3">[7]v!$A$2:$E$51</definedName>
    <definedName name="___________________________________________________________________________________rrr1">[7]r!$B$1:$I$145</definedName>
    <definedName name="___________________________________________________________________________________ss12">[8]rdamdata!$J$8</definedName>
    <definedName name="___________________________________________________________________________________ss20">[8]rdamdata!$J$7</definedName>
    <definedName name="___________________________________________________________________________________ss40">[8]rdamdata!$J$6</definedName>
    <definedName name="___________________________________________________________________________________var1" localSheetId="11">NA()</definedName>
    <definedName name="___________________________________________________________________________________var1" localSheetId="12">NA()</definedName>
    <definedName name="___________________________________________________________________________________var1" localSheetId="0">#REF!</definedName>
    <definedName name="___________________________________________________________________________________var1">#REF!</definedName>
    <definedName name="___________________________________________________________________________________var4" localSheetId="11">NA()</definedName>
    <definedName name="___________________________________________________________________________________var4" localSheetId="12">NA()</definedName>
    <definedName name="___________________________________________________________________________________var4" localSheetId="0">#REF!</definedName>
    <definedName name="___________________________________________________________________________________var4">#REF!</definedName>
    <definedName name="__________________________________________________________________________________bla1">[1]leads!$H$7</definedName>
    <definedName name="__________________________________________________________________________________can430">40.73</definedName>
    <definedName name="__________________________________________________________________________________can435">43.3</definedName>
    <definedName name="__________________________________________________________________________________cur1">[2]r!$F$30</definedName>
    <definedName name="__________________________________________________________________________________l1">[3]leads!$A$3:$E$108</definedName>
    <definedName name="__________________________________________________________________________________l12" localSheetId="11">NA()</definedName>
    <definedName name="__________________________________________________________________________________l12" localSheetId="12">NA()</definedName>
    <definedName name="__________________________________________________________________________________l12" localSheetId="0">#REF!</definedName>
    <definedName name="__________________________________________________________________________________l12">#REF!</definedName>
    <definedName name="__________________________________________________________________________________l2">[2]r!$F$29</definedName>
    <definedName name="__________________________________________________________________________________l3" localSheetId="11">NA()</definedName>
    <definedName name="__________________________________________________________________________________l3" localSheetId="12">NA()</definedName>
    <definedName name="__________________________________________________________________________________l3" localSheetId="0">#REF!</definedName>
    <definedName name="__________________________________________________________________________________l3">#REF!</definedName>
    <definedName name="__________________________________________________________________________________l4">[4]Sheet1!$W$2:$Y$103</definedName>
    <definedName name="__________________________________________________________________________________l5" localSheetId="11">NA()</definedName>
    <definedName name="__________________________________________________________________________________l5" localSheetId="12">NA()</definedName>
    <definedName name="__________________________________________________________________________________l5" localSheetId="0">#REF!</definedName>
    <definedName name="__________________________________________________________________________________l5">#REF!</definedName>
    <definedName name="__________________________________________________________________________________l6">[2]r!$F$4</definedName>
    <definedName name="__________________________________________________________________________________l7">[5]r!$F$4</definedName>
    <definedName name="__________________________________________________________________________________l8">[2]r!$F$2</definedName>
    <definedName name="__________________________________________________________________________________l9">[2]r!$F$3</definedName>
    <definedName name="__________________________________________________________________________________mm1">[6]r!$F$4</definedName>
    <definedName name="__________________________________________________________________________________mm11">[2]r!$F$4</definedName>
    <definedName name="__________________________________________________________________________________mm111">[5]r!$F$4</definedName>
    <definedName name="__________________________________________________________________________________pc2" localSheetId="11">NA()</definedName>
    <definedName name="__________________________________________________________________________________pc2" localSheetId="12">NA()</definedName>
    <definedName name="__________________________________________________________________________________pc2" localSheetId="0">#REF!</definedName>
    <definedName name="__________________________________________________________________________________pc2">#REF!</definedName>
    <definedName name="__________________________________________________________________________________pv2" localSheetId="11">NA()</definedName>
    <definedName name="__________________________________________________________________________________pv2" localSheetId="12">NA()</definedName>
    <definedName name="__________________________________________________________________________________pv2" localSheetId="0">#REF!</definedName>
    <definedName name="__________________________________________________________________________________pv2">#REF!</definedName>
    <definedName name="__________________________________________________________________________________rr3">[7]v!$A$2:$E$51</definedName>
    <definedName name="__________________________________________________________________________________rrr1">[7]r!$B$1:$I$145</definedName>
    <definedName name="__________________________________________________________________________________ss12">[8]rdamdata!$J$8</definedName>
    <definedName name="__________________________________________________________________________________ss20">[8]rdamdata!$J$7</definedName>
    <definedName name="__________________________________________________________________________________ss40">[8]rdamdata!$J$6</definedName>
    <definedName name="__________________________________________________________________________________var1" localSheetId="11">NA()</definedName>
    <definedName name="__________________________________________________________________________________var1" localSheetId="12">NA()</definedName>
    <definedName name="__________________________________________________________________________________var1" localSheetId="0">#REF!</definedName>
    <definedName name="__________________________________________________________________________________var1">#REF!</definedName>
    <definedName name="__________________________________________________________________________________var4" localSheetId="11">NA()</definedName>
    <definedName name="__________________________________________________________________________________var4" localSheetId="12">NA()</definedName>
    <definedName name="__________________________________________________________________________________var4" localSheetId="0">#REF!</definedName>
    <definedName name="__________________________________________________________________________________var4">#REF!</definedName>
    <definedName name="_________________________________________________________________________________bla1">[1]leads!$H$7</definedName>
    <definedName name="_________________________________________________________________________________can430">40.73</definedName>
    <definedName name="_________________________________________________________________________________can435">43.3</definedName>
    <definedName name="_________________________________________________________________________________cur1">[2]r!$F$30</definedName>
    <definedName name="_________________________________________________________________________________l1">[3]leads!$A$3:$E$108</definedName>
    <definedName name="_________________________________________________________________________________l12" localSheetId="11">NA()</definedName>
    <definedName name="_________________________________________________________________________________l12" localSheetId="12">NA()</definedName>
    <definedName name="_________________________________________________________________________________l12" localSheetId="0">#REF!</definedName>
    <definedName name="_________________________________________________________________________________l12">#REF!</definedName>
    <definedName name="_________________________________________________________________________________l2">[2]r!$F$29</definedName>
    <definedName name="_________________________________________________________________________________l3" localSheetId="11">NA()</definedName>
    <definedName name="_________________________________________________________________________________l3" localSheetId="12">NA()</definedName>
    <definedName name="_________________________________________________________________________________l3" localSheetId="0">#REF!</definedName>
    <definedName name="_________________________________________________________________________________l3">#REF!</definedName>
    <definedName name="_________________________________________________________________________________l4">[4]Sheet1!$W$2:$Y$103</definedName>
    <definedName name="_________________________________________________________________________________l5" localSheetId="11">NA()</definedName>
    <definedName name="_________________________________________________________________________________l5" localSheetId="12">NA()</definedName>
    <definedName name="_________________________________________________________________________________l5" localSheetId="0">#REF!</definedName>
    <definedName name="_________________________________________________________________________________l5">#REF!</definedName>
    <definedName name="_________________________________________________________________________________l6">[2]r!$F$4</definedName>
    <definedName name="_________________________________________________________________________________l7">[5]r!$F$4</definedName>
    <definedName name="_________________________________________________________________________________l8">[2]r!$F$2</definedName>
    <definedName name="_________________________________________________________________________________l9">[2]r!$F$3</definedName>
    <definedName name="_________________________________________________________________________________mm1">[6]r!$F$4</definedName>
    <definedName name="_________________________________________________________________________________mm11">[2]r!$F$4</definedName>
    <definedName name="_________________________________________________________________________________mm111">[5]r!$F$4</definedName>
    <definedName name="_________________________________________________________________________________pc2" localSheetId="11">NA()</definedName>
    <definedName name="_________________________________________________________________________________pc2" localSheetId="12">NA()</definedName>
    <definedName name="_________________________________________________________________________________pc2" localSheetId="0">#REF!</definedName>
    <definedName name="_________________________________________________________________________________pc2">#REF!</definedName>
    <definedName name="_________________________________________________________________________________pv2" localSheetId="11">NA()</definedName>
    <definedName name="_________________________________________________________________________________pv2" localSheetId="12">NA()</definedName>
    <definedName name="_________________________________________________________________________________pv2" localSheetId="0">#REF!</definedName>
    <definedName name="_________________________________________________________________________________pv2">#REF!</definedName>
    <definedName name="_________________________________________________________________________________rr3">[7]v!$A$2:$E$51</definedName>
    <definedName name="_________________________________________________________________________________rrr1">[7]r!$B$1:$I$145</definedName>
    <definedName name="_________________________________________________________________________________ss12">[8]rdamdata!$J$8</definedName>
    <definedName name="_________________________________________________________________________________ss20">[8]rdamdata!$J$7</definedName>
    <definedName name="_________________________________________________________________________________ss40">[8]rdamdata!$J$6</definedName>
    <definedName name="_________________________________________________________________________________var1" localSheetId="11">NA()</definedName>
    <definedName name="_________________________________________________________________________________var1" localSheetId="12">NA()</definedName>
    <definedName name="_________________________________________________________________________________var1" localSheetId="0">#REF!</definedName>
    <definedName name="_________________________________________________________________________________var1">#REF!</definedName>
    <definedName name="_________________________________________________________________________________var4" localSheetId="11">NA()</definedName>
    <definedName name="_________________________________________________________________________________var4" localSheetId="12">NA()</definedName>
    <definedName name="_________________________________________________________________________________var4" localSheetId="0">#REF!</definedName>
    <definedName name="_________________________________________________________________________________var4">#REF!</definedName>
    <definedName name="________________________________________________________________________________bla1">[1]leads!$H$7</definedName>
    <definedName name="________________________________________________________________________________can430">40.73</definedName>
    <definedName name="________________________________________________________________________________can435">43.3</definedName>
    <definedName name="________________________________________________________________________________cur1">[2]r!$F$30</definedName>
    <definedName name="________________________________________________________________________________l1">[3]leads!$A$3:$E$108</definedName>
    <definedName name="________________________________________________________________________________l12" localSheetId="11">NA()</definedName>
    <definedName name="________________________________________________________________________________l12" localSheetId="12">NA()</definedName>
    <definedName name="________________________________________________________________________________l12" localSheetId="0">#REF!</definedName>
    <definedName name="________________________________________________________________________________l12">#REF!</definedName>
    <definedName name="________________________________________________________________________________l2">[2]r!$F$29</definedName>
    <definedName name="________________________________________________________________________________l3" localSheetId="11">NA()</definedName>
    <definedName name="________________________________________________________________________________l3" localSheetId="12">NA()</definedName>
    <definedName name="________________________________________________________________________________l3" localSheetId="0">#REF!</definedName>
    <definedName name="________________________________________________________________________________l3">#REF!</definedName>
    <definedName name="________________________________________________________________________________l4">[4]Sheet1!$W$2:$Y$103</definedName>
    <definedName name="________________________________________________________________________________l5" localSheetId="11">NA()</definedName>
    <definedName name="________________________________________________________________________________l5" localSheetId="12">NA()</definedName>
    <definedName name="________________________________________________________________________________l5" localSheetId="0">#REF!</definedName>
    <definedName name="________________________________________________________________________________l5">#REF!</definedName>
    <definedName name="________________________________________________________________________________l6">[2]r!$F$4</definedName>
    <definedName name="________________________________________________________________________________l7">[5]r!$F$4</definedName>
    <definedName name="________________________________________________________________________________l8">[2]r!$F$2</definedName>
    <definedName name="________________________________________________________________________________l9">[2]r!$F$3</definedName>
    <definedName name="________________________________________________________________________________mm1">[6]r!$F$4</definedName>
    <definedName name="________________________________________________________________________________mm11">[2]r!$F$4</definedName>
    <definedName name="________________________________________________________________________________mm111">[5]r!$F$4</definedName>
    <definedName name="________________________________________________________________________________pc2" localSheetId="11">NA()</definedName>
    <definedName name="________________________________________________________________________________pc2" localSheetId="12">NA()</definedName>
    <definedName name="________________________________________________________________________________pc2" localSheetId="0">#REF!</definedName>
    <definedName name="________________________________________________________________________________pc2">#REF!</definedName>
    <definedName name="________________________________________________________________________________pv2" localSheetId="11">NA()</definedName>
    <definedName name="________________________________________________________________________________pv2" localSheetId="12">NA()</definedName>
    <definedName name="________________________________________________________________________________pv2" localSheetId="0">#REF!</definedName>
    <definedName name="________________________________________________________________________________pv2">#REF!</definedName>
    <definedName name="________________________________________________________________________________rr3">[7]v!$A$2:$E$51</definedName>
    <definedName name="________________________________________________________________________________rrr1">[7]r!$B$1:$I$145</definedName>
    <definedName name="________________________________________________________________________________ss12">[8]rdamdata!$J$8</definedName>
    <definedName name="________________________________________________________________________________ss20">[8]rdamdata!$J$7</definedName>
    <definedName name="________________________________________________________________________________ss40">[8]rdamdata!$J$6</definedName>
    <definedName name="________________________________________________________________________________var1" localSheetId="11">NA()</definedName>
    <definedName name="________________________________________________________________________________var1" localSheetId="12">NA()</definedName>
    <definedName name="________________________________________________________________________________var1" localSheetId="0">#REF!</definedName>
    <definedName name="________________________________________________________________________________var1">#REF!</definedName>
    <definedName name="________________________________________________________________________________var4" localSheetId="11">NA()</definedName>
    <definedName name="________________________________________________________________________________var4" localSheetId="12">NA()</definedName>
    <definedName name="________________________________________________________________________________var4" localSheetId="0">#REF!</definedName>
    <definedName name="________________________________________________________________________________var4">#REF!</definedName>
    <definedName name="_______________________________________________________________________________bla1">[1]leads!$H$7</definedName>
    <definedName name="_______________________________________________________________________________can430">40.73</definedName>
    <definedName name="_______________________________________________________________________________can435">43.3</definedName>
    <definedName name="_______________________________________________________________________________cur1">[2]r!$F$30</definedName>
    <definedName name="_______________________________________________________________________________l1">[3]leads!$A$3:$E$108</definedName>
    <definedName name="_______________________________________________________________________________l12" localSheetId="11">NA()</definedName>
    <definedName name="_______________________________________________________________________________l12" localSheetId="12">NA()</definedName>
    <definedName name="_______________________________________________________________________________l12" localSheetId="0">#REF!</definedName>
    <definedName name="_______________________________________________________________________________l12">#REF!</definedName>
    <definedName name="_______________________________________________________________________________l2">[2]r!$F$29</definedName>
    <definedName name="_______________________________________________________________________________l3" localSheetId="11">NA()</definedName>
    <definedName name="_______________________________________________________________________________l3" localSheetId="12">NA()</definedName>
    <definedName name="_______________________________________________________________________________l3" localSheetId="0">#REF!</definedName>
    <definedName name="_______________________________________________________________________________l3">#REF!</definedName>
    <definedName name="_______________________________________________________________________________l4">[4]Sheet1!$W$2:$Y$103</definedName>
    <definedName name="_______________________________________________________________________________l5" localSheetId="11">NA()</definedName>
    <definedName name="_______________________________________________________________________________l5" localSheetId="12">NA()</definedName>
    <definedName name="_______________________________________________________________________________l5" localSheetId="0">#REF!</definedName>
    <definedName name="_______________________________________________________________________________l5">#REF!</definedName>
    <definedName name="_______________________________________________________________________________l6">[2]r!$F$4</definedName>
    <definedName name="_______________________________________________________________________________l7">[5]r!$F$4</definedName>
    <definedName name="_______________________________________________________________________________l8">[2]r!$F$2</definedName>
    <definedName name="_______________________________________________________________________________l9">[2]r!$F$3</definedName>
    <definedName name="_______________________________________________________________________________mm1">[6]r!$F$4</definedName>
    <definedName name="_______________________________________________________________________________mm11">[2]r!$F$4</definedName>
    <definedName name="_______________________________________________________________________________mm111">[5]r!$F$4</definedName>
    <definedName name="_______________________________________________________________________________pc2" localSheetId="11">NA()</definedName>
    <definedName name="_______________________________________________________________________________pc2" localSheetId="12">NA()</definedName>
    <definedName name="_______________________________________________________________________________pc2" localSheetId="0">#REF!</definedName>
    <definedName name="_______________________________________________________________________________pc2">#REF!</definedName>
    <definedName name="_______________________________________________________________________________pv2" localSheetId="11">NA()</definedName>
    <definedName name="_______________________________________________________________________________pv2" localSheetId="12">NA()</definedName>
    <definedName name="_______________________________________________________________________________pv2" localSheetId="0">#REF!</definedName>
    <definedName name="_______________________________________________________________________________pv2">#REF!</definedName>
    <definedName name="_______________________________________________________________________________rr3">[7]v!$A$2:$E$51</definedName>
    <definedName name="_______________________________________________________________________________rrr1">[7]r!$B$1:$I$145</definedName>
    <definedName name="_______________________________________________________________________________ss12">[8]rdamdata!$J$8</definedName>
    <definedName name="_______________________________________________________________________________ss20">[8]rdamdata!$J$7</definedName>
    <definedName name="_______________________________________________________________________________ss40">[8]rdamdata!$J$6</definedName>
    <definedName name="_______________________________________________________________________________var1" localSheetId="11">NA()</definedName>
    <definedName name="_______________________________________________________________________________var1" localSheetId="12">NA()</definedName>
    <definedName name="_______________________________________________________________________________var1" localSheetId="0">#REF!</definedName>
    <definedName name="_______________________________________________________________________________var1">#REF!</definedName>
    <definedName name="_______________________________________________________________________________var4" localSheetId="11">NA()</definedName>
    <definedName name="_______________________________________________________________________________var4" localSheetId="12">NA()</definedName>
    <definedName name="_______________________________________________________________________________var4" localSheetId="0">#REF!</definedName>
    <definedName name="_______________________________________________________________________________var4">#REF!</definedName>
    <definedName name="______________________________________________________________________________bla1">[1]leads!$H$7</definedName>
    <definedName name="______________________________________________________________________________can430">40.73</definedName>
    <definedName name="______________________________________________________________________________can435">43.3</definedName>
    <definedName name="______________________________________________________________________________cur1">[2]r!$F$30</definedName>
    <definedName name="______________________________________________________________________________l1">[3]leads!$A$3:$E$108</definedName>
    <definedName name="______________________________________________________________________________l12" localSheetId="11">NA()</definedName>
    <definedName name="______________________________________________________________________________l12" localSheetId="12">NA()</definedName>
    <definedName name="______________________________________________________________________________l12" localSheetId="0">#REF!</definedName>
    <definedName name="______________________________________________________________________________l12">#REF!</definedName>
    <definedName name="______________________________________________________________________________l2">[2]r!$F$29</definedName>
    <definedName name="______________________________________________________________________________l3" localSheetId="11">NA()</definedName>
    <definedName name="______________________________________________________________________________l3" localSheetId="12">NA()</definedName>
    <definedName name="______________________________________________________________________________l3" localSheetId="0">#REF!</definedName>
    <definedName name="______________________________________________________________________________l3">#REF!</definedName>
    <definedName name="______________________________________________________________________________l4">[4]Sheet1!$W$2:$Y$103</definedName>
    <definedName name="______________________________________________________________________________l5" localSheetId="11">NA()</definedName>
    <definedName name="______________________________________________________________________________l5" localSheetId="12">NA()</definedName>
    <definedName name="______________________________________________________________________________l5" localSheetId="0">#REF!</definedName>
    <definedName name="______________________________________________________________________________l5">#REF!</definedName>
    <definedName name="______________________________________________________________________________l6">[2]r!$F$4</definedName>
    <definedName name="______________________________________________________________________________l7">[5]r!$F$4</definedName>
    <definedName name="______________________________________________________________________________l8">[2]r!$F$2</definedName>
    <definedName name="______________________________________________________________________________l9">[2]r!$F$3</definedName>
    <definedName name="______________________________________________________________________________mm1">[6]r!$F$4</definedName>
    <definedName name="______________________________________________________________________________mm11">[2]r!$F$4</definedName>
    <definedName name="______________________________________________________________________________mm111">[5]r!$F$4</definedName>
    <definedName name="______________________________________________________________________________pc2" localSheetId="11">NA()</definedName>
    <definedName name="______________________________________________________________________________pc2" localSheetId="12">NA()</definedName>
    <definedName name="______________________________________________________________________________pc2" localSheetId="0">#REF!</definedName>
    <definedName name="______________________________________________________________________________pc2">#REF!</definedName>
    <definedName name="______________________________________________________________________________pv2" localSheetId="11">NA()</definedName>
    <definedName name="______________________________________________________________________________pv2" localSheetId="12">NA()</definedName>
    <definedName name="______________________________________________________________________________pv2" localSheetId="0">#REF!</definedName>
    <definedName name="______________________________________________________________________________pv2">#REF!</definedName>
    <definedName name="______________________________________________________________________________rr3">[7]v!$A$2:$E$51</definedName>
    <definedName name="______________________________________________________________________________rrr1">[7]r!$B$1:$I$145</definedName>
    <definedName name="______________________________________________________________________________ss12">[8]rdamdata!$J$8</definedName>
    <definedName name="______________________________________________________________________________ss20">[8]rdamdata!$J$7</definedName>
    <definedName name="______________________________________________________________________________ss40">[8]rdamdata!$J$6</definedName>
    <definedName name="______________________________________________________________________________var1" localSheetId="11">NA()</definedName>
    <definedName name="______________________________________________________________________________var1" localSheetId="12">NA()</definedName>
    <definedName name="______________________________________________________________________________var1" localSheetId="0">#REF!</definedName>
    <definedName name="______________________________________________________________________________var1">#REF!</definedName>
    <definedName name="______________________________________________________________________________var4" localSheetId="11">NA()</definedName>
    <definedName name="______________________________________________________________________________var4" localSheetId="12">NA()</definedName>
    <definedName name="______________________________________________________________________________var4" localSheetId="0">#REF!</definedName>
    <definedName name="______________________________________________________________________________var4">#REF!</definedName>
    <definedName name="_____________________________________________________________________________bla1">[1]leads!$H$7</definedName>
    <definedName name="_____________________________________________________________________________can430">40.73</definedName>
    <definedName name="_____________________________________________________________________________can435">43.3</definedName>
    <definedName name="_____________________________________________________________________________cur1">[2]r!$F$30</definedName>
    <definedName name="_____________________________________________________________________________l1">[3]leads!$A$3:$E$108</definedName>
    <definedName name="_____________________________________________________________________________l12" localSheetId="11">NA()</definedName>
    <definedName name="_____________________________________________________________________________l12" localSheetId="12">NA()</definedName>
    <definedName name="_____________________________________________________________________________l12" localSheetId="0">#REF!</definedName>
    <definedName name="_____________________________________________________________________________l12">#REF!</definedName>
    <definedName name="_____________________________________________________________________________l2">[2]r!$F$29</definedName>
    <definedName name="_____________________________________________________________________________l3" localSheetId="11">NA()</definedName>
    <definedName name="_____________________________________________________________________________l3" localSheetId="12">NA()</definedName>
    <definedName name="_____________________________________________________________________________l3" localSheetId="0">#REF!</definedName>
    <definedName name="_____________________________________________________________________________l3">#REF!</definedName>
    <definedName name="_____________________________________________________________________________l4">[4]Sheet1!$W$2:$Y$103</definedName>
    <definedName name="_____________________________________________________________________________l5" localSheetId="11">NA()</definedName>
    <definedName name="_____________________________________________________________________________l5" localSheetId="12">NA()</definedName>
    <definedName name="_____________________________________________________________________________l5" localSheetId="0">#REF!</definedName>
    <definedName name="_____________________________________________________________________________l5">#REF!</definedName>
    <definedName name="_____________________________________________________________________________l6">[2]r!$F$4</definedName>
    <definedName name="_____________________________________________________________________________l7">[5]r!$F$4</definedName>
    <definedName name="_____________________________________________________________________________l8">[2]r!$F$2</definedName>
    <definedName name="_____________________________________________________________________________l9">[2]r!$F$3</definedName>
    <definedName name="_____________________________________________________________________________mm1">[6]r!$F$4</definedName>
    <definedName name="_____________________________________________________________________________mm11">[2]r!$F$4</definedName>
    <definedName name="_____________________________________________________________________________mm111">[5]r!$F$4</definedName>
    <definedName name="_____________________________________________________________________________pc2" localSheetId="11">NA()</definedName>
    <definedName name="_____________________________________________________________________________pc2" localSheetId="12">NA()</definedName>
    <definedName name="_____________________________________________________________________________pc2" localSheetId="0">#REF!</definedName>
    <definedName name="_____________________________________________________________________________pc2">#REF!</definedName>
    <definedName name="_____________________________________________________________________________pv2" localSheetId="11">NA()</definedName>
    <definedName name="_____________________________________________________________________________pv2" localSheetId="12">NA()</definedName>
    <definedName name="_____________________________________________________________________________pv2" localSheetId="0">#REF!</definedName>
    <definedName name="_____________________________________________________________________________pv2">#REF!</definedName>
    <definedName name="_____________________________________________________________________________rr3">[7]v!$A$2:$E$51</definedName>
    <definedName name="_____________________________________________________________________________rrr1">[7]r!$B$1:$I$145</definedName>
    <definedName name="_____________________________________________________________________________ss12">[8]rdamdata!$J$8</definedName>
    <definedName name="_____________________________________________________________________________ss20">[8]rdamdata!$J$7</definedName>
    <definedName name="_____________________________________________________________________________ss40">[8]rdamdata!$J$6</definedName>
    <definedName name="_____________________________________________________________________________var1" localSheetId="11">NA()</definedName>
    <definedName name="_____________________________________________________________________________var1" localSheetId="12">NA()</definedName>
    <definedName name="_____________________________________________________________________________var1" localSheetId="0">#REF!</definedName>
    <definedName name="_____________________________________________________________________________var1">#REF!</definedName>
    <definedName name="_____________________________________________________________________________var4" localSheetId="11">NA()</definedName>
    <definedName name="_____________________________________________________________________________var4" localSheetId="12">NA()</definedName>
    <definedName name="_____________________________________________________________________________var4" localSheetId="0">#REF!</definedName>
    <definedName name="_____________________________________________________________________________var4">#REF!</definedName>
    <definedName name="____________________________________________________________________________bla1">[1]leads!$H$7</definedName>
    <definedName name="____________________________________________________________________________can430">40.73</definedName>
    <definedName name="____________________________________________________________________________can435">43.3</definedName>
    <definedName name="____________________________________________________________________________cur1">[2]r!$F$30</definedName>
    <definedName name="____________________________________________________________________________l1">[3]leads!$A$3:$E$108</definedName>
    <definedName name="____________________________________________________________________________l12" localSheetId="11">NA()</definedName>
    <definedName name="____________________________________________________________________________l12" localSheetId="12">NA()</definedName>
    <definedName name="____________________________________________________________________________l12" localSheetId="0">#REF!</definedName>
    <definedName name="____________________________________________________________________________l12">#REF!</definedName>
    <definedName name="____________________________________________________________________________l2">[2]r!$F$29</definedName>
    <definedName name="____________________________________________________________________________l3" localSheetId="11">NA()</definedName>
    <definedName name="____________________________________________________________________________l3" localSheetId="12">NA()</definedName>
    <definedName name="____________________________________________________________________________l3" localSheetId="0">#REF!</definedName>
    <definedName name="____________________________________________________________________________l3">#REF!</definedName>
    <definedName name="____________________________________________________________________________l4">[4]Sheet1!$W$2:$Y$103</definedName>
    <definedName name="____________________________________________________________________________l5" localSheetId="11">NA()</definedName>
    <definedName name="____________________________________________________________________________l5" localSheetId="12">NA()</definedName>
    <definedName name="____________________________________________________________________________l5" localSheetId="0">#REF!</definedName>
    <definedName name="____________________________________________________________________________l5">#REF!</definedName>
    <definedName name="____________________________________________________________________________l6">[2]r!$F$4</definedName>
    <definedName name="____________________________________________________________________________l7">[5]r!$F$4</definedName>
    <definedName name="____________________________________________________________________________l8">[2]r!$F$2</definedName>
    <definedName name="____________________________________________________________________________l9">[2]r!$F$3</definedName>
    <definedName name="____________________________________________________________________________mm1">[6]r!$F$4</definedName>
    <definedName name="____________________________________________________________________________mm11">[2]r!$F$4</definedName>
    <definedName name="____________________________________________________________________________mm111">[5]r!$F$4</definedName>
    <definedName name="____________________________________________________________________________pc2" localSheetId="11">NA()</definedName>
    <definedName name="____________________________________________________________________________pc2" localSheetId="12">NA()</definedName>
    <definedName name="____________________________________________________________________________pc2" localSheetId="0">#REF!</definedName>
    <definedName name="____________________________________________________________________________pc2">#REF!</definedName>
    <definedName name="____________________________________________________________________________pv2" localSheetId="11">NA()</definedName>
    <definedName name="____________________________________________________________________________pv2" localSheetId="12">NA()</definedName>
    <definedName name="____________________________________________________________________________pv2" localSheetId="0">#REF!</definedName>
    <definedName name="____________________________________________________________________________pv2">#REF!</definedName>
    <definedName name="____________________________________________________________________________rr3">[7]v!$A$2:$E$51</definedName>
    <definedName name="____________________________________________________________________________rrr1">[7]r!$B$1:$I$145</definedName>
    <definedName name="____________________________________________________________________________ss12">[8]rdamdata!$J$8</definedName>
    <definedName name="____________________________________________________________________________ss20">[8]rdamdata!$J$7</definedName>
    <definedName name="____________________________________________________________________________ss40">[8]rdamdata!$J$6</definedName>
    <definedName name="____________________________________________________________________________var1" localSheetId="11">NA()</definedName>
    <definedName name="____________________________________________________________________________var1" localSheetId="12">NA()</definedName>
    <definedName name="____________________________________________________________________________var1" localSheetId="0">#REF!</definedName>
    <definedName name="____________________________________________________________________________var1">#REF!</definedName>
    <definedName name="____________________________________________________________________________var4" localSheetId="11">NA()</definedName>
    <definedName name="____________________________________________________________________________var4" localSheetId="12">NA()</definedName>
    <definedName name="____________________________________________________________________________var4" localSheetId="0">#REF!</definedName>
    <definedName name="____________________________________________________________________________var4">#REF!</definedName>
    <definedName name="___________________________________________________________________________bla1">[1]leads!$H$7</definedName>
    <definedName name="___________________________________________________________________________can430">40.73</definedName>
    <definedName name="___________________________________________________________________________can435">43.3</definedName>
    <definedName name="___________________________________________________________________________cur1">[2]r!$F$30</definedName>
    <definedName name="___________________________________________________________________________l1">[3]leads!$A$3:$E$108</definedName>
    <definedName name="___________________________________________________________________________l12" localSheetId="11">NA()</definedName>
    <definedName name="___________________________________________________________________________l12" localSheetId="12">NA()</definedName>
    <definedName name="___________________________________________________________________________l12" localSheetId="0">#REF!</definedName>
    <definedName name="___________________________________________________________________________l12">#REF!</definedName>
    <definedName name="___________________________________________________________________________l2">[2]r!$F$29</definedName>
    <definedName name="___________________________________________________________________________l3" localSheetId="11">NA()</definedName>
    <definedName name="___________________________________________________________________________l3" localSheetId="12">NA()</definedName>
    <definedName name="___________________________________________________________________________l3" localSheetId="0">#REF!</definedName>
    <definedName name="___________________________________________________________________________l3">#REF!</definedName>
    <definedName name="___________________________________________________________________________l4">[4]Sheet1!$W$2:$Y$103</definedName>
    <definedName name="___________________________________________________________________________l5" localSheetId="11">NA()</definedName>
    <definedName name="___________________________________________________________________________l5" localSheetId="12">NA()</definedName>
    <definedName name="___________________________________________________________________________l5" localSheetId="0">#REF!</definedName>
    <definedName name="___________________________________________________________________________l5">#REF!</definedName>
    <definedName name="___________________________________________________________________________l6">[2]r!$F$4</definedName>
    <definedName name="___________________________________________________________________________l7">[5]r!$F$4</definedName>
    <definedName name="___________________________________________________________________________l8">[2]r!$F$2</definedName>
    <definedName name="___________________________________________________________________________l9">[2]r!$F$3</definedName>
    <definedName name="___________________________________________________________________________mm1">[6]r!$F$4</definedName>
    <definedName name="___________________________________________________________________________mm11">[2]r!$F$4</definedName>
    <definedName name="___________________________________________________________________________mm111">[5]r!$F$4</definedName>
    <definedName name="___________________________________________________________________________pc2" localSheetId="11">NA()</definedName>
    <definedName name="___________________________________________________________________________pc2" localSheetId="12">NA()</definedName>
    <definedName name="___________________________________________________________________________pc2" localSheetId="0">#REF!</definedName>
    <definedName name="___________________________________________________________________________pc2">#REF!</definedName>
    <definedName name="___________________________________________________________________________pv2" localSheetId="11">NA()</definedName>
    <definedName name="___________________________________________________________________________pv2" localSheetId="12">NA()</definedName>
    <definedName name="___________________________________________________________________________pv2" localSheetId="0">#REF!</definedName>
    <definedName name="___________________________________________________________________________pv2">#REF!</definedName>
    <definedName name="___________________________________________________________________________rr3">[7]v!$A$2:$E$51</definedName>
    <definedName name="___________________________________________________________________________rrr1">[7]r!$B$1:$I$145</definedName>
    <definedName name="___________________________________________________________________________ss12">[8]rdamdata!$J$8</definedName>
    <definedName name="___________________________________________________________________________ss20">[8]rdamdata!$J$7</definedName>
    <definedName name="___________________________________________________________________________ss40">[8]rdamdata!$J$6</definedName>
    <definedName name="___________________________________________________________________________var1" localSheetId="11">NA()</definedName>
    <definedName name="___________________________________________________________________________var1" localSheetId="12">NA()</definedName>
    <definedName name="___________________________________________________________________________var1" localSheetId="0">#REF!</definedName>
    <definedName name="___________________________________________________________________________var1">#REF!</definedName>
    <definedName name="___________________________________________________________________________var4" localSheetId="11">NA()</definedName>
    <definedName name="___________________________________________________________________________var4" localSheetId="12">NA()</definedName>
    <definedName name="___________________________________________________________________________var4" localSheetId="0">#REF!</definedName>
    <definedName name="___________________________________________________________________________var4">#REF!</definedName>
    <definedName name="__________________________________________________________________________bla1">[1]leads!$H$7</definedName>
    <definedName name="__________________________________________________________________________can430">40.73</definedName>
    <definedName name="__________________________________________________________________________can435">43.3</definedName>
    <definedName name="__________________________________________________________________________cur1">[2]r!$F$30</definedName>
    <definedName name="__________________________________________________________________________l1">[3]leads!$A$3:$E$108</definedName>
    <definedName name="__________________________________________________________________________l12" localSheetId="11">NA()</definedName>
    <definedName name="__________________________________________________________________________l12" localSheetId="12">NA()</definedName>
    <definedName name="__________________________________________________________________________l12" localSheetId="0">#REF!</definedName>
    <definedName name="__________________________________________________________________________l12">#REF!</definedName>
    <definedName name="__________________________________________________________________________l2">[2]r!$F$29</definedName>
    <definedName name="__________________________________________________________________________l3" localSheetId="11">NA()</definedName>
    <definedName name="__________________________________________________________________________l3" localSheetId="12">NA()</definedName>
    <definedName name="__________________________________________________________________________l3" localSheetId="0">#REF!</definedName>
    <definedName name="__________________________________________________________________________l3">#REF!</definedName>
    <definedName name="__________________________________________________________________________l4">[4]Sheet1!$W$2:$Y$103</definedName>
    <definedName name="__________________________________________________________________________l5" localSheetId="11">NA()</definedName>
    <definedName name="__________________________________________________________________________l5" localSheetId="12">NA()</definedName>
    <definedName name="__________________________________________________________________________l5" localSheetId="0">#REF!</definedName>
    <definedName name="__________________________________________________________________________l5">#REF!</definedName>
    <definedName name="__________________________________________________________________________l6">[2]r!$F$4</definedName>
    <definedName name="__________________________________________________________________________l7">[5]r!$F$4</definedName>
    <definedName name="__________________________________________________________________________l8">[2]r!$F$2</definedName>
    <definedName name="__________________________________________________________________________l9">[2]r!$F$3</definedName>
    <definedName name="__________________________________________________________________________mm1">[6]r!$F$4</definedName>
    <definedName name="__________________________________________________________________________mm11">[2]r!$F$4</definedName>
    <definedName name="__________________________________________________________________________mm111">[5]r!$F$4</definedName>
    <definedName name="__________________________________________________________________________pc2" localSheetId="11">NA()</definedName>
    <definedName name="__________________________________________________________________________pc2" localSheetId="12">NA()</definedName>
    <definedName name="__________________________________________________________________________pc2" localSheetId="0">#REF!</definedName>
    <definedName name="__________________________________________________________________________pc2">#REF!</definedName>
    <definedName name="__________________________________________________________________________pv2" localSheetId="11">NA()</definedName>
    <definedName name="__________________________________________________________________________pv2" localSheetId="12">NA()</definedName>
    <definedName name="__________________________________________________________________________pv2" localSheetId="0">#REF!</definedName>
    <definedName name="__________________________________________________________________________pv2">#REF!</definedName>
    <definedName name="__________________________________________________________________________rr3">[7]v!$A$2:$E$51</definedName>
    <definedName name="__________________________________________________________________________rrr1">[7]r!$B$1:$I$145</definedName>
    <definedName name="__________________________________________________________________________ss12">[8]rdamdata!$J$8</definedName>
    <definedName name="__________________________________________________________________________ss20">[8]rdamdata!$J$7</definedName>
    <definedName name="__________________________________________________________________________ss40">[8]rdamdata!$J$6</definedName>
    <definedName name="__________________________________________________________________________var1" localSheetId="11">NA()</definedName>
    <definedName name="__________________________________________________________________________var1" localSheetId="12">NA()</definedName>
    <definedName name="__________________________________________________________________________var1" localSheetId="0">#REF!</definedName>
    <definedName name="__________________________________________________________________________var1">#REF!</definedName>
    <definedName name="__________________________________________________________________________var4" localSheetId="11">NA()</definedName>
    <definedName name="__________________________________________________________________________var4" localSheetId="12">NA()</definedName>
    <definedName name="__________________________________________________________________________var4" localSheetId="0">#REF!</definedName>
    <definedName name="__________________________________________________________________________var4">#REF!</definedName>
    <definedName name="_________________________________________________________________________bla1">[1]leads!$H$7</definedName>
    <definedName name="_________________________________________________________________________can430">40.73</definedName>
    <definedName name="_________________________________________________________________________can435">43.3</definedName>
    <definedName name="_________________________________________________________________________cur1">[2]r!$F$30</definedName>
    <definedName name="_________________________________________________________________________l1">[3]leads!$A$3:$E$108</definedName>
    <definedName name="_________________________________________________________________________l12" localSheetId="11">NA()</definedName>
    <definedName name="_________________________________________________________________________l12" localSheetId="12">NA()</definedName>
    <definedName name="_________________________________________________________________________l12" localSheetId="0">#REF!</definedName>
    <definedName name="_________________________________________________________________________l12">#REF!</definedName>
    <definedName name="_________________________________________________________________________l2">[2]r!$F$29</definedName>
    <definedName name="_________________________________________________________________________l3" localSheetId="11">NA()</definedName>
    <definedName name="_________________________________________________________________________l3" localSheetId="12">NA()</definedName>
    <definedName name="_________________________________________________________________________l3" localSheetId="0">#REF!</definedName>
    <definedName name="_________________________________________________________________________l3">#REF!</definedName>
    <definedName name="_________________________________________________________________________l4">[4]Sheet1!$W$2:$Y$103</definedName>
    <definedName name="_________________________________________________________________________l5" localSheetId="11">NA()</definedName>
    <definedName name="_________________________________________________________________________l5" localSheetId="12">NA()</definedName>
    <definedName name="_________________________________________________________________________l5" localSheetId="0">#REF!</definedName>
    <definedName name="_________________________________________________________________________l5">#REF!</definedName>
    <definedName name="_________________________________________________________________________l6">[2]r!$F$4</definedName>
    <definedName name="_________________________________________________________________________l7">[5]r!$F$4</definedName>
    <definedName name="_________________________________________________________________________l8">[2]r!$F$2</definedName>
    <definedName name="_________________________________________________________________________l9">[2]r!$F$3</definedName>
    <definedName name="_________________________________________________________________________mm1">[6]r!$F$4</definedName>
    <definedName name="_________________________________________________________________________mm11">[2]r!$F$4</definedName>
    <definedName name="_________________________________________________________________________mm111">[5]r!$F$4</definedName>
    <definedName name="_________________________________________________________________________pc2" localSheetId="11">NA()</definedName>
    <definedName name="_________________________________________________________________________pc2" localSheetId="12">NA()</definedName>
    <definedName name="_________________________________________________________________________pc2" localSheetId="0">#REF!</definedName>
    <definedName name="_________________________________________________________________________pc2">#REF!</definedName>
    <definedName name="_________________________________________________________________________pv2" localSheetId="11">NA()</definedName>
    <definedName name="_________________________________________________________________________pv2" localSheetId="12">NA()</definedName>
    <definedName name="_________________________________________________________________________pv2" localSheetId="0">#REF!</definedName>
    <definedName name="_________________________________________________________________________pv2">#REF!</definedName>
    <definedName name="_________________________________________________________________________rr3">[7]v!$A$2:$E$51</definedName>
    <definedName name="_________________________________________________________________________rrr1">[7]r!$B$1:$I$145</definedName>
    <definedName name="_________________________________________________________________________ss12">[8]rdamdata!$J$8</definedName>
    <definedName name="_________________________________________________________________________ss20">[8]rdamdata!$J$7</definedName>
    <definedName name="_________________________________________________________________________ss40">[8]rdamdata!$J$6</definedName>
    <definedName name="_________________________________________________________________________var1" localSheetId="11">NA()</definedName>
    <definedName name="_________________________________________________________________________var1" localSheetId="12">NA()</definedName>
    <definedName name="_________________________________________________________________________var1" localSheetId="0">#REF!</definedName>
    <definedName name="_________________________________________________________________________var1">#REF!</definedName>
    <definedName name="_________________________________________________________________________var4" localSheetId="11">NA()</definedName>
    <definedName name="_________________________________________________________________________var4" localSheetId="12">NA()</definedName>
    <definedName name="_________________________________________________________________________var4" localSheetId="0">#REF!</definedName>
    <definedName name="_________________________________________________________________________var4">#REF!</definedName>
    <definedName name="________________________________________________________________________bla1">[1]leads!$H$7</definedName>
    <definedName name="________________________________________________________________________can430">40.73</definedName>
    <definedName name="________________________________________________________________________can435">43.3</definedName>
    <definedName name="________________________________________________________________________cur1">[2]r!$F$30</definedName>
    <definedName name="________________________________________________________________________l1">[3]leads!$A$3:$E$108</definedName>
    <definedName name="________________________________________________________________________l12" localSheetId="11">NA()</definedName>
    <definedName name="________________________________________________________________________l12" localSheetId="12">NA()</definedName>
    <definedName name="________________________________________________________________________l12" localSheetId="0">#REF!</definedName>
    <definedName name="________________________________________________________________________l12">#REF!</definedName>
    <definedName name="________________________________________________________________________l2">[2]r!$F$29</definedName>
    <definedName name="________________________________________________________________________l3" localSheetId="11">NA()</definedName>
    <definedName name="________________________________________________________________________l3" localSheetId="12">NA()</definedName>
    <definedName name="________________________________________________________________________l3" localSheetId="0">#REF!</definedName>
    <definedName name="________________________________________________________________________l3">#REF!</definedName>
    <definedName name="________________________________________________________________________l4">[4]Sheet1!$W$2:$Y$103</definedName>
    <definedName name="________________________________________________________________________l5" localSheetId="11">NA()</definedName>
    <definedName name="________________________________________________________________________l5" localSheetId="12">NA()</definedName>
    <definedName name="________________________________________________________________________l5" localSheetId="0">#REF!</definedName>
    <definedName name="________________________________________________________________________l5">#REF!</definedName>
    <definedName name="________________________________________________________________________l6">[2]r!$F$4</definedName>
    <definedName name="________________________________________________________________________l7">[5]r!$F$4</definedName>
    <definedName name="________________________________________________________________________l8">[2]r!$F$2</definedName>
    <definedName name="________________________________________________________________________l9">[2]r!$F$3</definedName>
    <definedName name="________________________________________________________________________mm1">[6]r!$F$4</definedName>
    <definedName name="________________________________________________________________________mm11">[2]r!$F$4</definedName>
    <definedName name="________________________________________________________________________mm111">[5]r!$F$4</definedName>
    <definedName name="________________________________________________________________________pc2" localSheetId="11">NA()</definedName>
    <definedName name="________________________________________________________________________pc2" localSheetId="12">NA()</definedName>
    <definedName name="________________________________________________________________________pc2" localSheetId="0">#REF!</definedName>
    <definedName name="________________________________________________________________________pc2">#REF!</definedName>
    <definedName name="________________________________________________________________________pv2" localSheetId="11">NA()</definedName>
    <definedName name="________________________________________________________________________pv2" localSheetId="12">NA()</definedName>
    <definedName name="________________________________________________________________________pv2" localSheetId="0">#REF!</definedName>
    <definedName name="________________________________________________________________________pv2">#REF!</definedName>
    <definedName name="________________________________________________________________________rr3">[7]v!$A$2:$E$51</definedName>
    <definedName name="________________________________________________________________________rrr1">[7]r!$B$1:$I$145</definedName>
    <definedName name="________________________________________________________________________ss12">[8]rdamdata!$J$8</definedName>
    <definedName name="________________________________________________________________________ss20">[8]rdamdata!$J$7</definedName>
    <definedName name="________________________________________________________________________ss40">[8]rdamdata!$J$6</definedName>
    <definedName name="________________________________________________________________________var1" localSheetId="11">NA()</definedName>
    <definedName name="________________________________________________________________________var1" localSheetId="12">NA()</definedName>
    <definedName name="________________________________________________________________________var1" localSheetId="0">#REF!</definedName>
    <definedName name="________________________________________________________________________var1">#REF!</definedName>
    <definedName name="________________________________________________________________________var4" localSheetId="11">NA()</definedName>
    <definedName name="________________________________________________________________________var4" localSheetId="12">NA()</definedName>
    <definedName name="________________________________________________________________________var4" localSheetId="0">#REF!</definedName>
    <definedName name="________________________________________________________________________var4">#REF!</definedName>
    <definedName name="_______________________________________________________________________bla1">[1]leads!$H$7</definedName>
    <definedName name="_______________________________________________________________________can430">40.73</definedName>
    <definedName name="_______________________________________________________________________can435">43.3</definedName>
    <definedName name="_______________________________________________________________________cur1">[2]r!$F$30</definedName>
    <definedName name="_______________________________________________________________________l1">[3]leads!$A$3:$E$108</definedName>
    <definedName name="_______________________________________________________________________l12" localSheetId="11">NA()</definedName>
    <definedName name="_______________________________________________________________________l12" localSheetId="12">NA()</definedName>
    <definedName name="_______________________________________________________________________l12" localSheetId="0">#REF!</definedName>
    <definedName name="_______________________________________________________________________l12">#REF!</definedName>
    <definedName name="_______________________________________________________________________l2">[2]r!$F$29</definedName>
    <definedName name="_______________________________________________________________________l3" localSheetId="11">NA()</definedName>
    <definedName name="_______________________________________________________________________l3" localSheetId="12">NA()</definedName>
    <definedName name="_______________________________________________________________________l3" localSheetId="0">#REF!</definedName>
    <definedName name="_______________________________________________________________________l3">#REF!</definedName>
    <definedName name="_______________________________________________________________________l4">[4]Sheet1!$W$2:$Y$103</definedName>
    <definedName name="_______________________________________________________________________l5" localSheetId="11">NA()</definedName>
    <definedName name="_______________________________________________________________________l5" localSheetId="12">NA()</definedName>
    <definedName name="_______________________________________________________________________l5" localSheetId="0">#REF!</definedName>
    <definedName name="_______________________________________________________________________l5">#REF!</definedName>
    <definedName name="_______________________________________________________________________l6">[2]r!$F$4</definedName>
    <definedName name="_______________________________________________________________________l7">[5]r!$F$4</definedName>
    <definedName name="_______________________________________________________________________l8">[2]r!$F$2</definedName>
    <definedName name="_______________________________________________________________________l9">[2]r!$F$3</definedName>
    <definedName name="_______________________________________________________________________mm1">[6]r!$F$4</definedName>
    <definedName name="_______________________________________________________________________mm11">[2]r!$F$4</definedName>
    <definedName name="_______________________________________________________________________mm111">[5]r!$F$4</definedName>
    <definedName name="_______________________________________________________________________pc2" localSheetId="11">NA()</definedName>
    <definedName name="_______________________________________________________________________pc2" localSheetId="12">NA()</definedName>
    <definedName name="_______________________________________________________________________pc2" localSheetId="0">#REF!</definedName>
    <definedName name="_______________________________________________________________________pc2">#REF!</definedName>
    <definedName name="_______________________________________________________________________pv2" localSheetId="11">NA()</definedName>
    <definedName name="_______________________________________________________________________pv2" localSheetId="12">NA()</definedName>
    <definedName name="_______________________________________________________________________pv2" localSheetId="0">#REF!</definedName>
    <definedName name="_______________________________________________________________________pv2">#REF!</definedName>
    <definedName name="_______________________________________________________________________rr3">[7]v!$A$2:$E$51</definedName>
    <definedName name="_______________________________________________________________________rrr1">[7]r!$B$1:$I$145</definedName>
    <definedName name="_______________________________________________________________________ss12">[8]rdamdata!$J$8</definedName>
    <definedName name="_______________________________________________________________________ss20">[8]rdamdata!$J$7</definedName>
    <definedName name="_______________________________________________________________________ss40">[8]rdamdata!$J$6</definedName>
    <definedName name="_______________________________________________________________________var1" localSheetId="11">NA()</definedName>
    <definedName name="_______________________________________________________________________var1" localSheetId="12">NA()</definedName>
    <definedName name="_______________________________________________________________________var1" localSheetId="0">#REF!</definedName>
    <definedName name="_______________________________________________________________________var1">#REF!</definedName>
    <definedName name="_______________________________________________________________________var4" localSheetId="11">NA()</definedName>
    <definedName name="_______________________________________________________________________var4" localSheetId="12">NA()</definedName>
    <definedName name="_______________________________________________________________________var4" localSheetId="0">#REF!</definedName>
    <definedName name="_______________________________________________________________________var4">#REF!</definedName>
    <definedName name="______________________________________________________________________bla1">[1]leads!$H$7</definedName>
    <definedName name="______________________________________________________________________can430">40.73</definedName>
    <definedName name="______________________________________________________________________can435">43.3</definedName>
    <definedName name="______________________________________________________________________cur1">[2]r!$F$30</definedName>
    <definedName name="______________________________________________________________________l1">[3]leads!$A$3:$E$108</definedName>
    <definedName name="______________________________________________________________________l12" localSheetId="11">NA()</definedName>
    <definedName name="______________________________________________________________________l12" localSheetId="12">NA()</definedName>
    <definedName name="______________________________________________________________________l12" localSheetId="0">#REF!</definedName>
    <definedName name="______________________________________________________________________l12">#REF!</definedName>
    <definedName name="______________________________________________________________________l2">[2]r!$F$29</definedName>
    <definedName name="______________________________________________________________________l3" localSheetId="11">NA()</definedName>
    <definedName name="______________________________________________________________________l3" localSheetId="12">NA()</definedName>
    <definedName name="______________________________________________________________________l3" localSheetId="0">#REF!</definedName>
    <definedName name="______________________________________________________________________l3">#REF!</definedName>
    <definedName name="______________________________________________________________________l4">[4]Sheet1!$W$2:$Y$103</definedName>
    <definedName name="______________________________________________________________________l5" localSheetId="11">NA()</definedName>
    <definedName name="______________________________________________________________________l5" localSheetId="12">NA()</definedName>
    <definedName name="______________________________________________________________________l5" localSheetId="0">#REF!</definedName>
    <definedName name="______________________________________________________________________l5">#REF!</definedName>
    <definedName name="______________________________________________________________________l6">[2]r!$F$4</definedName>
    <definedName name="______________________________________________________________________l7">[5]r!$F$4</definedName>
    <definedName name="______________________________________________________________________l8">[2]r!$F$2</definedName>
    <definedName name="______________________________________________________________________l9">[2]r!$F$3</definedName>
    <definedName name="______________________________________________________________________mm1">[6]r!$F$4</definedName>
    <definedName name="______________________________________________________________________mm11">[2]r!$F$4</definedName>
    <definedName name="______________________________________________________________________mm111">[5]r!$F$4</definedName>
    <definedName name="______________________________________________________________________pc2" localSheetId="11">NA()</definedName>
    <definedName name="______________________________________________________________________pc2" localSheetId="12">NA()</definedName>
    <definedName name="______________________________________________________________________pc2" localSheetId="0">#REF!</definedName>
    <definedName name="______________________________________________________________________pc2">#REF!</definedName>
    <definedName name="______________________________________________________________________pv2" localSheetId="11">NA()</definedName>
    <definedName name="______________________________________________________________________pv2" localSheetId="12">NA()</definedName>
    <definedName name="______________________________________________________________________pv2" localSheetId="0">#REF!</definedName>
    <definedName name="______________________________________________________________________pv2">#REF!</definedName>
    <definedName name="______________________________________________________________________rr3">[7]v!$A$2:$E$51</definedName>
    <definedName name="______________________________________________________________________rrr1">[7]r!$B$1:$I$145</definedName>
    <definedName name="______________________________________________________________________ss12">[8]rdamdata!$J$8</definedName>
    <definedName name="______________________________________________________________________ss20">[8]rdamdata!$J$7</definedName>
    <definedName name="______________________________________________________________________ss40">[8]rdamdata!$J$6</definedName>
    <definedName name="______________________________________________________________________var1" localSheetId="11">NA()</definedName>
    <definedName name="______________________________________________________________________var1" localSheetId="12">NA()</definedName>
    <definedName name="______________________________________________________________________var1" localSheetId="0">#REF!</definedName>
    <definedName name="______________________________________________________________________var1">#REF!</definedName>
    <definedName name="______________________________________________________________________var4" localSheetId="11">NA()</definedName>
    <definedName name="______________________________________________________________________var4" localSheetId="12">NA()</definedName>
    <definedName name="______________________________________________________________________var4" localSheetId="0">#REF!</definedName>
    <definedName name="______________________________________________________________________var4">#REF!</definedName>
    <definedName name="_____________________________________________________________________bla1">[1]leads!$H$7</definedName>
    <definedName name="_____________________________________________________________________can430">40.73</definedName>
    <definedName name="_____________________________________________________________________can435">43.3</definedName>
    <definedName name="_____________________________________________________________________cur1">[2]r!$F$30</definedName>
    <definedName name="_____________________________________________________________________l1">[3]leads!$A$3:$E$108</definedName>
    <definedName name="_____________________________________________________________________l12" localSheetId="11">NA()</definedName>
    <definedName name="_____________________________________________________________________l12" localSheetId="12">NA()</definedName>
    <definedName name="_____________________________________________________________________l12" localSheetId="0">#REF!</definedName>
    <definedName name="_____________________________________________________________________l12">#REF!</definedName>
    <definedName name="_____________________________________________________________________l2">[2]r!$F$29</definedName>
    <definedName name="_____________________________________________________________________l3" localSheetId="11">NA()</definedName>
    <definedName name="_____________________________________________________________________l3" localSheetId="12">NA()</definedName>
    <definedName name="_____________________________________________________________________l3" localSheetId="0">#REF!</definedName>
    <definedName name="_____________________________________________________________________l3">#REF!</definedName>
    <definedName name="_____________________________________________________________________l4">[4]Sheet1!$W$2:$Y$103</definedName>
    <definedName name="_____________________________________________________________________l5" localSheetId="11">NA()</definedName>
    <definedName name="_____________________________________________________________________l5" localSheetId="12">NA()</definedName>
    <definedName name="_____________________________________________________________________l5" localSheetId="0">#REF!</definedName>
    <definedName name="_____________________________________________________________________l5">#REF!</definedName>
    <definedName name="_____________________________________________________________________l6">[2]r!$F$4</definedName>
    <definedName name="_____________________________________________________________________l7">[5]r!$F$4</definedName>
    <definedName name="_____________________________________________________________________l8">[2]r!$F$2</definedName>
    <definedName name="_____________________________________________________________________l9">[2]r!$F$3</definedName>
    <definedName name="_____________________________________________________________________mm1">[6]r!$F$4</definedName>
    <definedName name="_____________________________________________________________________mm11">[2]r!$F$4</definedName>
    <definedName name="_____________________________________________________________________mm111">[5]r!$F$4</definedName>
    <definedName name="_____________________________________________________________________pc2" localSheetId="11">NA()</definedName>
    <definedName name="_____________________________________________________________________pc2" localSheetId="12">NA()</definedName>
    <definedName name="_____________________________________________________________________pc2" localSheetId="0">#REF!</definedName>
    <definedName name="_____________________________________________________________________pc2">#REF!</definedName>
    <definedName name="_____________________________________________________________________pv2" localSheetId="11">NA()</definedName>
    <definedName name="_____________________________________________________________________pv2" localSheetId="12">NA()</definedName>
    <definedName name="_____________________________________________________________________pv2" localSheetId="0">#REF!</definedName>
    <definedName name="_____________________________________________________________________pv2">#REF!</definedName>
    <definedName name="_____________________________________________________________________rr3">[7]v!$A$2:$E$51</definedName>
    <definedName name="_____________________________________________________________________rrr1">[7]r!$B$1:$I$145</definedName>
    <definedName name="_____________________________________________________________________ss12">[8]rdamdata!$J$8</definedName>
    <definedName name="_____________________________________________________________________ss20">[8]rdamdata!$J$7</definedName>
    <definedName name="_____________________________________________________________________ss40">[8]rdamdata!$J$6</definedName>
    <definedName name="_____________________________________________________________________var1" localSheetId="11">NA()</definedName>
    <definedName name="_____________________________________________________________________var1" localSheetId="12">NA()</definedName>
    <definedName name="_____________________________________________________________________var1" localSheetId="0">#REF!</definedName>
    <definedName name="_____________________________________________________________________var1">#REF!</definedName>
    <definedName name="_____________________________________________________________________var4" localSheetId="11">NA()</definedName>
    <definedName name="_____________________________________________________________________var4" localSheetId="12">NA()</definedName>
    <definedName name="_____________________________________________________________________var4" localSheetId="0">#REF!</definedName>
    <definedName name="_____________________________________________________________________var4">#REF!</definedName>
    <definedName name="____________________________________________________________________bla1">[1]leads!$H$7</definedName>
    <definedName name="____________________________________________________________________can430">40.73</definedName>
    <definedName name="____________________________________________________________________can435">43.3</definedName>
    <definedName name="____________________________________________________________________cur1">[2]r!$F$30</definedName>
    <definedName name="____________________________________________________________________l1">[3]leads!$A$3:$E$108</definedName>
    <definedName name="____________________________________________________________________l12" localSheetId="11">NA()</definedName>
    <definedName name="____________________________________________________________________l12" localSheetId="12">NA()</definedName>
    <definedName name="____________________________________________________________________l12" localSheetId="0">#REF!</definedName>
    <definedName name="____________________________________________________________________l12">#REF!</definedName>
    <definedName name="____________________________________________________________________l2">[2]r!$F$29</definedName>
    <definedName name="____________________________________________________________________l3" localSheetId="11">NA()</definedName>
    <definedName name="____________________________________________________________________l3" localSheetId="12">NA()</definedName>
    <definedName name="____________________________________________________________________l3" localSheetId="0">#REF!</definedName>
    <definedName name="____________________________________________________________________l3">#REF!</definedName>
    <definedName name="____________________________________________________________________l4">[4]Sheet1!$W$2:$Y$103</definedName>
    <definedName name="____________________________________________________________________l5" localSheetId="11">NA()</definedName>
    <definedName name="____________________________________________________________________l5" localSheetId="12">NA()</definedName>
    <definedName name="____________________________________________________________________l5" localSheetId="0">#REF!</definedName>
    <definedName name="____________________________________________________________________l5">#REF!</definedName>
    <definedName name="____________________________________________________________________l6">[2]r!$F$4</definedName>
    <definedName name="____________________________________________________________________l7">[5]r!$F$4</definedName>
    <definedName name="____________________________________________________________________l8">[2]r!$F$2</definedName>
    <definedName name="____________________________________________________________________l9">[2]r!$F$3</definedName>
    <definedName name="____________________________________________________________________mm1">[6]r!$F$4</definedName>
    <definedName name="____________________________________________________________________mm11">[2]r!$F$4</definedName>
    <definedName name="____________________________________________________________________mm111">[5]r!$F$4</definedName>
    <definedName name="____________________________________________________________________pc2" localSheetId="11">NA()</definedName>
    <definedName name="____________________________________________________________________pc2" localSheetId="12">NA()</definedName>
    <definedName name="____________________________________________________________________pc2" localSheetId="0">#REF!</definedName>
    <definedName name="____________________________________________________________________pc2">#REF!</definedName>
    <definedName name="____________________________________________________________________pv2" localSheetId="11">NA()</definedName>
    <definedName name="____________________________________________________________________pv2" localSheetId="12">NA()</definedName>
    <definedName name="____________________________________________________________________pv2" localSheetId="0">#REF!</definedName>
    <definedName name="____________________________________________________________________pv2">#REF!</definedName>
    <definedName name="____________________________________________________________________rr3">[7]v!$A$2:$E$51</definedName>
    <definedName name="____________________________________________________________________rrr1">[7]r!$B$1:$I$145</definedName>
    <definedName name="____________________________________________________________________ss12">[8]rdamdata!$J$8</definedName>
    <definedName name="____________________________________________________________________ss20">[8]rdamdata!$J$7</definedName>
    <definedName name="____________________________________________________________________ss40">[8]rdamdata!$J$6</definedName>
    <definedName name="____________________________________________________________________var1" localSheetId="11">NA()</definedName>
    <definedName name="____________________________________________________________________var1" localSheetId="12">NA()</definedName>
    <definedName name="____________________________________________________________________var1" localSheetId="0">#REF!</definedName>
    <definedName name="____________________________________________________________________var1">#REF!</definedName>
    <definedName name="____________________________________________________________________var4" localSheetId="11">NA()</definedName>
    <definedName name="____________________________________________________________________var4" localSheetId="12">NA()</definedName>
    <definedName name="____________________________________________________________________var4" localSheetId="0">#REF!</definedName>
    <definedName name="____________________________________________________________________var4">#REF!</definedName>
    <definedName name="___________________________________________________________________bla1">[1]leads!$H$7</definedName>
    <definedName name="___________________________________________________________________can430">40.73</definedName>
    <definedName name="___________________________________________________________________can435">43.3</definedName>
    <definedName name="___________________________________________________________________cur1">[2]r!$F$30</definedName>
    <definedName name="___________________________________________________________________l1">[3]leads!$A$3:$E$108</definedName>
    <definedName name="___________________________________________________________________l12" localSheetId="11">NA()</definedName>
    <definedName name="___________________________________________________________________l12" localSheetId="12">NA()</definedName>
    <definedName name="___________________________________________________________________l12" localSheetId="0">#REF!</definedName>
    <definedName name="___________________________________________________________________l12">#REF!</definedName>
    <definedName name="___________________________________________________________________l2">[2]r!$F$29</definedName>
    <definedName name="___________________________________________________________________l3" localSheetId="11">NA()</definedName>
    <definedName name="___________________________________________________________________l3" localSheetId="12">NA()</definedName>
    <definedName name="___________________________________________________________________l3" localSheetId="0">#REF!</definedName>
    <definedName name="___________________________________________________________________l3">#REF!</definedName>
    <definedName name="___________________________________________________________________l4">[4]Sheet1!$W$2:$Y$103</definedName>
    <definedName name="___________________________________________________________________l5" localSheetId="11">NA()</definedName>
    <definedName name="___________________________________________________________________l5" localSheetId="12">NA()</definedName>
    <definedName name="___________________________________________________________________l5" localSheetId="0">#REF!</definedName>
    <definedName name="___________________________________________________________________l5">#REF!</definedName>
    <definedName name="___________________________________________________________________l6">[2]r!$F$4</definedName>
    <definedName name="___________________________________________________________________l7">[5]r!$F$4</definedName>
    <definedName name="___________________________________________________________________l8">[2]r!$F$2</definedName>
    <definedName name="___________________________________________________________________l9">[2]r!$F$3</definedName>
    <definedName name="___________________________________________________________________mm1">[6]r!$F$4</definedName>
    <definedName name="___________________________________________________________________mm11">[2]r!$F$4</definedName>
    <definedName name="___________________________________________________________________mm111">[5]r!$F$4</definedName>
    <definedName name="___________________________________________________________________pc2" localSheetId="11">NA()</definedName>
    <definedName name="___________________________________________________________________pc2" localSheetId="12">NA()</definedName>
    <definedName name="___________________________________________________________________pc2" localSheetId="0">#REF!</definedName>
    <definedName name="___________________________________________________________________pc2">#REF!</definedName>
    <definedName name="___________________________________________________________________pv2" localSheetId="11">NA()</definedName>
    <definedName name="___________________________________________________________________pv2" localSheetId="12">NA()</definedName>
    <definedName name="___________________________________________________________________pv2" localSheetId="0">#REF!</definedName>
    <definedName name="___________________________________________________________________pv2">#REF!</definedName>
    <definedName name="___________________________________________________________________rr3">[7]v!$A$2:$E$51</definedName>
    <definedName name="___________________________________________________________________rrr1">[7]r!$B$1:$I$145</definedName>
    <definedName name="___________________________________________________________________ss12">[8]rdamdata!$J$8</definedName>
    <definedName name="___________________________________________________________________ss20">[8]rdamdata!$J$7</definedName>
    <definedName name="___________________________________________________________________ss40">[8]rdamdata!$J$6</definedName>
    <definedName name="___________________________________________________________________var1" localSheetId="11">NA()</definedName>
    <definedName name="___________________________________________________________________var1" localSheetId="12">NA()</definedName>
    <definedName name="___________________________________________________________________var1" localSheetId="0">#REF!</definedName>
    <definedName name="___________________________________________________________________var1">#REF!</definedName>
    <definedName name="___________________________________________________________________var4" localSheetId="11">NA()</definedName>
    <definedName name="___________________________________________________________________var4" localSheetId="12">NA()</definedName>
    <definedName name="___________________________________________________________________var4" localSheetId="0">#REF!</definedName>
    <definedName name="___________________________________________________________________var4">#REF!</definedName>
    <definedName name="__________________________________________________________________bla1">[1]leads!$H$7</definedName>
    <definedName name="__________________________________________________________________can430">40.73</definedName>
    <definedName name="__________________________________________________________________can435">43.3</definedName>
    <definedName name="__________________________________________________________________cur1">[2]r!$F$30</definedName>
    <definedName name="__________________________________________________________________l1">[3]leads!$A$3:$E$108</definedName>
    <definedName name="__________________________________________________________________l12" localSheetId="11">NA()</definedName>
    <definedName name="__________________________________________________________________l12" localSheetId="12">NA()</definedName>
    <definedName name="__________________________________________________________________l12" localSheetId="0">#REF!</definedName>
    <definedName name="__________________________________________________________________l12">#REF!</definedName>
    <definedName name="__________________________________________________________________l2">[2]r!$F$29</definedName>
    <definedName name="__________________________________________________________________l3" localSheetId="11">NA()</definedName>
    <definedName name="__________________________________________________________________l3" localSheetId="12">NA()</definedName>
    <definedName name="__________________________________________________________________l3" localSheetId="0">#REF!</definedName>
    <definedName name="__________________________________________________________________l3">#REF!</definedName>
    <definedName name="__________________________________________________________________l4">[4]Sheet1!$W$2:$Y$103</definedName>
    <definedName name="__________________________________________________________________l5" localSheetId="11">NA()</definedName>
    <definedName name="__________________________________________________________________l5" localSheetId="12">NA()</definedName>
    <definedName name="__________________________________________________________________l5" localSheetId="0">#REF!</definedName>
    <definedName name="__________________________________________________________________l5">#REF!</definedName>
    <definedName name="__________________________________________________________________l6">[2]r!$F$4</definedName>
    <definedName name="__________________________________________________________________l7">[5]r!$F$4</definedName>
    <definedName name="__________________________________________________________________l8">[2]r!$F$2</definedName>
    <definedName name="__________________________________________________________________l9">[2]r!$F$3</definedName>
    <definedName name="__________________________________________________________________mm1">[6]r!$F$4</definedName>
    <definedName name="__________________________________________________________________mm11">[2]r!$F$4</definedName>
    <definedName name="__________________________________________________________________mm111">[5]r!$F$4</definedName>
    <definedName name="__________________________________________________________________pc2" localSheetId="11">NA()</definedName>
    <definedName name="__________________________________________________________________pc2" localSheetId="12">NA()</definedName>
    <definedName name="__________________________________________________________________pc2" localSheetId="0">#REF!</definedName>
    <definedName name="__________________________________________________________________pc2">#REF!</definedName>
    <definedName name="__________________________________________________________________pv2" localSheetId="11">NA()</definedName>
    <definedName name="__________________________________________________________________pv2" localSheetId="12">NA()</definedName>
    <definedName name="__________________________________________________________________pv2" localSheetId="0">#REF!</definedName>
    <definedName name="__________________________________________________________________pv2">#REF!</definedName>
    <definedName name="__________________________________________________________________rr3">[7]v!$A$2:$E$51</definedName>
    <definedName name="__________________________________________________________________rrr1">[7]r!$B$1:$I$145</definedName>
    <definedName name="__________________________________________________________________ss12">[8]rdamdata!$J$8</definedName>
    <definedName name="__________________________________________________________________ss20">[8]rdamdata!$J$7</definedName>
    <definedName name="__________________________________________________________________ss40">[8]rdamdata!$J$6</definedName>
    <definedName name="__________________________________________________________________var1" localSheetId="11">NA()</definedName>
    <definedName name="__________________________________________________________________var1" localSheetId="12">NA()</definedName>
    <definedName name="__________________________________________________________________var1" localSheetId="0">#REF!</definedName>
    <definedName name="__________________________________________________________________var1">#REF!</definedName>
    <definedName name="__________________________________________________________________var4" localSheetId="11">NA()</definedName>
    <definedName name="__________________________________________________________________var4" localSheetId="12">NA()</definedName>
    <definedName name="__________________________________________________________________var4" localSheetId="0">#REF!</definedName>
    <definedName name="__________________________________________________________________var4">#REF!</definedName>
    <definedName name="_________________________________________________________________bla1">[1]leads!$H$7</definedName>
    <definedName name="_________________________________________________________________can430">40.73</definedName>
    <definedName name="_________________________________________________________________can435">43.3</definedName>
    <definedName name="_________________________________________________________________cur1">[2]r!$F$30</definedName>
    <definedName name="_________________________________________________________________l1">[3]leads!$A$3:$E$108</definedName>
    <definedName name="_________________________________________________________________l12" localSheetId="11">NA()</definedName>
    <definedName name="_________________________________________________________________l12" localSheetId="12">NA()</definedName>
    <definedName name="_________________________________________________________________l12" localSheetId="0">#REF!</definedName>
    <definedName name="_________________________________________________________________l12">#REF!</definedName>
    <definedName name="_________________________________________________________________l2">[2]r!$F$29</definedName>
    <definedName name="_________________________________________________________________l3" localSheetId="11">NA()</definedName>
    <definedName name="_________________________________________________________________l3" localSheetId="12">NA()</definedName>
    <definedName name="_________________________________________________________________l3" localSheetId="0">#REF!</definedName>
    <definedName name="_________________________________________________________________l3">#REF!</definedName>
    <definedName name="_________________________________________________________________l4">[4]Sheet1!$W$2:$Y$103</definedName>
    <definedName name="_________________________________________________________________l5" localSheetId="11">NA()</definedName>
    <definedName name="_________________________________________________________________l5" localSheetId="12">NA()</definedName>
    <definedName name="_________________________________________________________________l5" localSheetId="0">#REF!</definedName>
    <definedName name="_________________________________________________________________l5">#REF!</definedName>
    <definedName name="_________________________________________________________________l6">[2]r!$F$4</definedName>
    <definedName name="_________________________________________________________________l7">[5]r!$F$4</definedName>
    <definedName name="_________________________________________________________________l8">[2]r!$F$2</definedName>
    <definedName name="_________________________________________________________________l9">[2]r!$F$3</definedName>
    <definedName name="_________________________________________________________________mm1">[6]r!$F$4</definedName>
    <definedName name="_________________________________________________________________mm11">[2]r!$F$4</definedName>
    <definedName name="_________________________________________________________________mm111">[5]r!$F$4</definedName>
    <definedName name="_________________________________________________________________pc2" localSheetId="11">NA()</definedName>
    <definedName name="_________________________________________________________________pc2" localSheetId="12">NA()</definedName>
    <definedName name="_________________________________________________________________pc2" localSheetId="0">#REF!</definedName>
    <definedName name="_________________________________________________________________pc2">#REF!</definedName>
    <definedName name="_________________________________________________________________pv2" localSheetId="11">NA()</definedName>
    <definedName name="_________________________________________________________________pv2" localSheetId="12">NA()</definedName>
    <definedName name="_________________________________________________________________pv2" localSheetId="0">#REF!</definedName>
    <definedName name="_________________________________________________________________pv2">#REF!</definedName>
    <definedName name="_________________________________________________________________rr3">[7]v!$A$2:$E$51</definedName>
    <definedName name="_________________________________________________________________rrr1">[7]r!$B$1:$I$145</definedName>
    <definedName name="_________________________________________________________________ss12">[8]rdamdata!$J$8</definedName>
    <definedName name="_________________________________________________________________ss20">[8]rdamdata!$J$7</definedName>
    <definedName name="_________________________________________________________________ss40">[8]rdamdata!$J$6</definedName>
    <definedName name="_________________________________________________________________var1" localSheetId="11">NA()</definedName>
    <definedName name="_________________________________________________________________var1" localSheetId="12">NA()</definedName>
    <definedName name="_________________________________________________________________var1" localSheetId="0">#REF!</definedName>
    <definedName name="_________________________________________________________________var1">#REF!</definedName>
    <definedName name="_________________________________________________________________var4" localSheetId="11">NA()</definedName>
    <definedName name="_________________________________________________________________var4" localSheetId="12">NA()</definedName>
    <definedName name="_________________________________________________________________var4" localSheetId="0">#REF!</definedName>
    <definedName name="_________________________________________________________________var4">#REF!</definedName>
    <definedName name="________________________________________________________________bla1">[1]leads!$H$7</definedName>
    <definedName name="________________________________________________________________can430">40.73</definedName>
    <definedName name="________________________________________________________________can435">43.3</definedName>
    <definedName name="________________________________________________________________cur1">[2]r!$F$30</definedName>
    <definedName name="________________________________________________________________l1">[3]leads!$A$3:$E$108</definedName>
    <definedName name="________________________________________________________________l12" localSheetId="11">NA()</definedName>
    <definedName name="________________________________________________________________l12" localSheetId="12">NA()</definedName>
    <definedName name="________________________________________________________________l12" localSheetId="0">#REF!</definedName>
    <definedName name="________________________________________________________________l12">#REF!</definedName>
    <definedName name="________________________________________________________________l2">[2]r!$F$29</definedName>
    <definedName name="________________________________________________________________l3" localSheetId="11">NA()</definedName>
    <definedName name="________________________________________________________________l3" localSheetId="12">NA()</definedName>
    <definedName name="________________________________________________________________l3" localSheetId="0">#REF!</definedName>
    <definedName name="________________________________________________________________l3">#REF!</definedName>
    <definedName name="________________________________________________________________l4">[4]Sheet1!$W$2:$Y$103</definedName>
    <definedName name="________________________________________________________________l5" localSheetId="11">NA()</definedName>
    <definedName name="________________________________________________________________l5" localSheetId="12">NA()</definedName>
    <definedName name="________________________________________________________________l5" localSheetId="0">#REF!</definedName>
    <definedName name="________________________________________________________________l5">#REF!</definedName>
    <definedName name="________________________________________________________________l6">[2]r!$F$4</definedName>
    <definedName name="________________________________________________________________l7">[5]r!$F$4</definedName>
    <definedName name="________________________________________________________________l8">[2]r!$F$2</definedName>
    <definedName name="________________________________________________________________l9">[2]r!$F$3</definedName>
    <definedName name="________________________________________________________________mm1">[6]r!$F$4</definedName>
    <definedName name="________________________________________________________________mm11">[2]r!$F$4</definedName>
    <definedName name="________________________________________________________________mm111">[5]r!$F$4</definedName>
    <definedName name="________________________________________________________________pc2" localSheetId="11">NA()</definedName>
    <definedName name="________________________________________________________________pc2" localSheetId="12">NA()</definedName>
    <definedName name="________________________________________________________________pc2" localSheetId="0">#REF!</definedName>
    <definedName name="________________________________________________________________pc2">#REF!</definedName>
    <definedName name="________________________________________________________________pv2" localSheetId="11">NA()</definedName>
    <definedName name="________________________________________________________________pv2" localSheetId="12">NA()</definedName>
    <definedName name="________________________________________________________________pv2" localSheetId="0">#REF!</definedName>
    <definedName name="________________________________________________________________pv2">#REF!</definedName>
    <definedName name="________________________________________________________________rr3">[7]v!$A$2:$E$51</definedName>
    <definedName name="________________________________________________________________rrr1">[7]r!$B$1:$I$145</definedName>
    <definedName name="________________________________________________________________ss12">[8]rdamdata!$J$8</definedName>
    <definedName name="________________________________________________________________ss20">[8]rdamdata!$J$7</definedName>
    <definedName name="________________________________________________________________ss40">[8]rdamdata!$J$6</definedName>
    <definedName name="________________________________________________________________var1" localSheetId="11">NA()</definedName>
    <definedName name="________________________________________________________________var1" localSheetId="12">NA()</definedName>
    <definedName name="________________________________________________________________var1" localSheetId="0">#REF!</definedName>
    <definedName name="________________________________________________________________var1">#REF!</definedName>
    <definedName name="________________________________________________________________var4" localSheetId="11">NA()</definedName>
    <definedName name="________________________________________________________________var4" localSheetId="12">NA()</definedName>
    <definedName name="________________________________________________________________var4" localSheetId="0">#REF!</definedName>
    <definedName name="________________________________________________________________var4">#REF!</definedName>
    <definedName name="_______________________________________________________________bla1">[1]leads!$H$7</definedName>
    <definedName name="_______________________________________________________________can430">40.73</definedName>
    <definedName name="_______________________________________________________________can435">43.3</definedName>
    <definedName name="_______________________________________________________________cur1">[2]r!$F$30</definedName>
    <definedName name="_______________________________________________________________l1">[3]leads!$A$3:$E$108</definedName>
    <definedName name="_______________________________________________________________l12" localSheetId="11">NA()</definedName>
    <definedName name="_______________________________________________________________l12" localSheetId="12">NA()</definedName>
    <definedName name="_______________________________________________________________l12" localSheetId="0">#REF!</definedName>
    <definedName name="_______________________________________________________________l12">#REF!</definedName>
    <definedName name="_______________________________________________________________l2">[2]r!$F$29</definedName>
    <definedName name="_______________________________________________________________l3" localSheetId="11">NA()</definedName>
    <definedName name="_______________________________________________________________l3" localSheetId="12">NA()</definedName>
    <definedName name="_______________________________________________________________l3" localSheetId="0">#REF!</definedName>
    <definedName name="_______________________________________________________________l3">#REF!</definedName>
    <definedName name="_______________________________________________________________l4">[4]Sheet1!$W$2:$Y$103</definedName>
    <definedName name="_______________________________________________________________l5" localSheetId="11">NA()</definedName>
    <definedName name="_______________________________________________________________l5" localSheetId="12">NA()</definedName>
    <definedName name="_______________________________________________________________l5" localSheetId="0">#REF!</definedName>
    <definedName name="_______________________________________________________________l5">#REF!</definedName>
    <definedName name="_______________________________________________________________l6">[2]r!$F$4</definedName>
    <definedName name="_______________________________________________________________l7">[5]r!$F$4</definedName>
    <definedName name="_______________________________________________________________l8">[2]r!$F$2</definedName>
    <definedName name="_______________________________________________________________l9">[2]r!$F$3</definedName>
    <definedName name="_______________________________________________________________mm1">[6]r!$F$4</definedName>
    <definedName name="_______________________________________________________________mm11">[2]r!$F$4</definedName>
    <definedName name="_______________________________________________________________mm111">[5]r!$F$4</definedName>
    <definedName name="_______________________________________________________________pc2" localSheetId="11">NA()</definedName>
    <definedName name="_______________________________________________________________pc2" localSheetId="12">NA()</definedName>
    <definedName name="_______________________________________________________________pc2" localSheetId="0">#REF!</definedName>
    <definedName name="_______________________________________________________________pc2">#REF!</definedName>
    <definedName name="_______________________________________________________________pv2" localSheetId="11">NA()</definedName>
    <definedName name="_______________________________________________________________pv2" localSheetId="12">NA()</definedName>
    <definedName name="_______________________________________________________________pv2" localSheetId="0">#REF!</definedName>
    <definedName name="_______________________________________________________________pv2">#REF!</definedName>
    <definedName name="_______________________________________________________________rr3">[7]v!$A$2:$E$51</definedName>
    <definedName name="_______________________________________________________________rrr1">[7]r!$B$1:$I$145</definedName>
    <definedName name="_______________________________________________________________ss12">[8]rdamdata!$J$8</definedName>
    <definedName name="_______________________________________________________________ss20">[8]rdamdata!$J$7</definedName>
    <definedName name="_______________________________________________________________ss40">[8]rdamdata!$J$6</definedName>
    <definedName name="_______________________________________________________________var1" localSheetId="11">NA()</definedName>
    <definedName name="_______________________________________________________________var1" localSheetId="12">NA()</definedName>
    <definedName name="_______________________________________________________________var1" localSheetId="0">#REF!</definedName>
    <definedName name="_______________________________________________________________var1">#REF!</definedName>
    <definedName name="_______________________________________________________________var4" localSheetId="11">NA()</definedName>
    <definedName name="_______________________________________________________________var4" localSheetId="12">NA()</definedName>
    <definedName name="_______________________________________________________________var4" localSheetId="0">#REF!</definedName>
    <definedName name="_______________________________________________________________var4">#REF!</definedName>
    <definedName name="______________________________________________________________bla1">[1]leads!$H$7</definedName>
    <definedName name="______________________________________________________________can430">40.73</definedName>
    <definedName name="______________________________________________________________can435">43.3</definedName>
    <definedName name="______________________________________________________________cur1">[2]r!$F$30</definedName>
    <definedName name="______________________________________________________________l1">[3]leads!$A$3:$E$108</definedName>
    <definedName name="______________________________________________________________l12" localSheetId="11">NA()</definedName>
    <definedName name="______________________________________________________________l12" localSheetId="12">NA()</definedName>
    <definedName name="______________________________________________________________l12" localSheetId="0">#REF!</definedName>
    <definedName name="______________________________________________________________l12">#REF!</definedName>
    <definedName name="______________________________________________________________l2">[2]r!$F$29</definedName>
    <definedName name="______________________________________________________________l3" localSheetId="11">NA()</definedName>
    <definedName name="______________________________________________________________l3" localSheetId="12">NA()</definedName>
    <definedName name="______________________________________________________________l3" localSheetId="0">#REF!</definedName>
    <definedName name="______________________________________________________________l3">#REF!</definedName>
    <definedName name="______________________________________________________________l4">[4]Sheet1!$W$2:$Y$103</definedName>
    <definedName name="______________________________________________________________l5" localSheetId="11">NA()</definedName>
    <definedName name="______________________________________________________________l5" localSheetId="12">NA()</definedName>
    <definedName name="______________________________________________________________l5" localSheetId="0">#REF!</definedName>
    <definedName name="______________________________________________________________l5">#REF!</definedName>
    <definedName name="______________________________________________________________l6">[2]r!$F$4</definedName>
    <definedName name="______________________________________________________________l7">[5]r!$F$4</definedName>
    <definedName name="______________________________________________________________l8">[2]r!$F$2</definedName>
    <definedName name="______________________________________________________________l9">[2]r!$F$3</definedName>
    <definedName name="______________________________________________________________mm1">[6]r!$F$4</definedName>
    <definedName name="______________________________________________________________mm11">[2]r!$F$4</definedName>
    <definedName name="______________________________________________________________mm111">[5]r!$F$4</definedName>
    <definedName name="______________________________________________________________pc2" localSheetId="11">NA()</definedName>
    <definedName name="______________________________________________________________pc2" localSheetId="12">NA()</definedName>
    <definedName name="______________________________________________________________pc2" localSheetId="0">#REF!</definedName>
    <definedName name="______________________________________________________________pc2">#REF!</definedName>
    <definedName name="______________________________________________________________pv2" localSheetId="11">NA()</definedName>
    <definedName name="______________________________________________________________pv2" localSheetId="12">NA()</definedName>
    <definedName name="______________________________________________________________pv2" localSheetId="0">#REF!</definedName>
    <definedName name="______________________________________________________________pv2">#REF!</definedName>
    <definedName name="______________________________________________________________rr3">[7]v!$A$2:$E$51</definedName>
    <definedName name="______________________________________________________________rrr1">[7]r!$B$1:$I$145</definedName>
    <definedName name="______________________________________________________________ss12">[8]rdamdata!$J$8</definedName>
    <definedName name="______________________________________________________________ss20">[8]rdamdata!$J$7</definedName>
    <definedName name="______________________________________________________________ss40">[8]rdamdata!$J$6</definedName>
    <definedName name="______________________________________________________________var1" localSheetId="11">NA()</definedName>
    <definedName name="______________________________________________________________var1" localSheetId="12">NA()</definedName>
    <definedName name="______________________________________________________________var1" localSheetId="0">#REF!</definedName>
    <definedName name="______________________________________________________________var1">#REF!</definedName>
    <definedName name="______________________________________________________________var4" localSheetId="11">NA()</definedName>
    <definedName name="______________________________________________________________var4" localSheetId="12">NA()</definedName>
    <definedName name="______________________________________________________________var4" localSheetId="0">#REF!</definedName>
    <definedName name="______________________________________________________________var4">#REF!</definedName>
    <definedName name="_____________________________________________________________bla1">[1]leads!$H$7</definedName>
    <definedName name="_____________________________________________________________can430">40.73</definedName>
    <definedName name="_____________________________________________________________can435">43.3</definedName>
    <definedName name="_____________________________________________________________cur1">[2]r!$F$30</definedName>
    <definedName name="_____________________________________________________________l1">[3]leads!$A$3:$E$108</definedName>
    <definedName name="_____________________________________________________________l12" localSheetId="11">NA()</definedName>
    <definedName name="_____________________________________________________________l12" localSheetId="12">NA()</definedName>
    <definedName name="_____________________________________________________________l12" localSheetId="0">#REF!</definedName>
    <definedName name="_____________________________________________________________l12">#REF!</definedName>
    <definedName name="_____________________________________________________________l2">[2]r!$F$29</definedName>
    <definedName name="_____________________________________________________________l3" localSheetId="11">NA()</definedName>
    <definedName name="_____________________________________________________________l3" localSheetId="12">NA()</definedName>
    <definedName name="_____________________________________________________________l3" localSheetId="0">#REF!</definedName>
    <definedName name="_____________________________________________________________l3">#REF!</definedName>
    <definedName name="_____________________________________________________________l4">[4]Sheet1!$W$2:$Y$103</definedName>
    <definedName name="_____________________________________________________________l5" localSheetId="11">NA()</definedName>
    <definedName name="_____________________________________________________________l5" localSheetId="12">NA()</definedName>
    <definedName name="_____________________________________________________________l5" localSheetId="0">#REF!</definedName>
    <definedName name="_____________________________________________________________l5">#REF!</definedName>
    <definedName name="_____________________________________________________________l6">[2]r!$F$4</definedName>
    <definedName name="_____________________________________________________________l7">[5]r!$F$4</definedName>
    <definedName name="_____________________________________________________________l8">[2]r!$F$2</definedName>
    <definedName name="_____________________________________________________________l9">[2]r!$F$3</definedName>
    <definedName name="_____________________________________________________________mm1">[6]r!$F$4</definedName>
    <definedName name="_____________________________________________________________mm11">[2]r!$F$4</definedName>
    <definedName name="_____________________________________________________________mm111">[5]r!$F$4</definedName>
    <definedName name="_____________________________________________________________pc2" localSheetId="11">NA()</definedName>
    <definedName name="_____________________________________________________________pc2" localSheetId="12">NA()</definedName>
    <definedName name="_____________________________________________________________pc2" localSheetId="0">#REF!</definedName>
    <definedName name="_____________________________________________________________pc2">#REF!</definedName>
    <definedName name="_____________________________________________________________pv2" localSheetId="11">NA()</definedName>
    <definedName name="_____________________________________________________________pv2" localSheetId="12">NA()</definedName>
    <definedName name="_____________________________________________________________pv2" localSheetId="0">#REF!</definedName>
    <definedName name="_____________________________________________________________pv2">#REF!</definedName>
    <definedName name="_____________________________________________________________rr3">[7]v!$A$2:$E$51</definedName>
    <definedName name="_____________________________________________________________rrr1">[7]r!$B$1:$I$145</definedName>
    <definedName name="_____________________________________________________________ss12">[8]rdamdata!$J$8</definedName>
    <definedName name="_____________________________________________________________ss20">[8]rdamdata!$J$7</definedName>
    <definedName name="_____________________________________________________________ss40">[8]rdamdata!$J$6</definedName>
    <definedName name="_____________________________________________________________var1" localSheetId="11">NA()</definedName>
    <definedName name="_____________________________________________________________var1" localSheetId="12">NA()</definedName>
    <definedName name="_____________________________________________________________var1" localSheetId="0">#REF!</definedName>
    <definedName name="_____________________________________________________________var1">#REF!</definedName>
    <definedName name="_____________________________________________________________var4" localSheetId="11">NA()</definedName>
    <definedName name="_____________________________________________________________var4" localSheetId="12">NA()</definedName>
    <definedName name="_____________________________________________________________var4" localSheetId="0">#REF!</definedName>
    <definedName name="_____________________________________________________________var4">#REF!</definedName>
    <definedName name="____________________________________________________________bla1">[1]leads!$H$7</definedName>
    <definedName name="____________________________________________________________can430">40.73</definedName>
    <definedName name="____________________________________________________________can435">43.3</definedName>
    <definedName name="____________________________________________________________cur1">[2]r!$F$30</definedName>
    <definedName name="____________________________________________________________l1">[3]leads!$A$3:$E$108</definedName>
    <definedName name="____________________________________________________________l12" localSheetId="11">NA()</definedName>
    <definedName name="____________________________________________________________l12" localSheetId="12">NA()</definedName>
    <definedName name="____________________________________________________________l12" localSheetId="0">#REF!</definedName>
    <definedName name="____________________________________________________________l12">#REF!</definedName>
    <definedName name="____________________________________________________________l2">[2]r!$F$29</definedName>
    <definedName name="____________________________________________________________l3" localSheetId="11">NA()</definedName>
    <definedName name="____________________________________________________________l3" localSheetId="12">NA()</definedName>
    <definedName name="____________________________________________________________l3" localSheetId="0">#REF!</definedName>
    <definedName name="____________________________________________________________l3">#REF!</definedName>
    <definedName name="____________________________________________________________l4">[4]Sheet1!$W$2:$Y$103</definedName>
    <definedName name="____________________________________________________________l5" localSheetId="11">NA()</definedName>
    <definedName name="____________________________________________________________l5" localSheetId="12">NA()</definedName>
    <definedName name="____________________________________________________________l5" localSheetId="0">#REF!</definedName>
    <definedName name="____________________________________________________________l5">#REF!</definedName>
    <definedName name="____________________________________________________________l6">[2]r!$F$4</definedName>
    <definedName name="____________________________________________________________l7">[5]r!$F$4</definedName>
    <definedName name="____________________________________________________________l8">[2]r!$F$2</definedName>
    <definedName name="____________________________________________________________l9">[2]r!$F$3</definedName>
    <definedName name="____________________________________________________________mm1">[6]r!$F$4</definedName>
    <definedName name="____________________________________________________________mm11">[2]r!$F$4</definedName>
    <definedName name="____________________________________________________________mm111">[5]r!$F$4</definedName>
    <definedName name="____________________________________________________________pc2" localSheetId="11">NA()</definedName>
    <definedName name="____________________________________________________________pc2" localSheetId="12">NA()</definedName>
    <definedName name="____________________________________________________________pc2" localSheetId="0">#REF!</definedName>
    <definedName name="____________________________________________________________pc2">#REF!</definedName>
    <definedName name="____________________________________________________________pv2" localSheetId="11">NA()</definedName>
    <definedName name="____________________________________________________________pv2" localSheetId="12">NA()</definedName>
    <definedName name="____________________________________________________________pv2" localSheetId="0">#REF!</definedName>
    <definedName name="____________________________________________________________pv2">#REF!</definedName>
    <definedName name="____________________________________________________________rr3">[7]v!$A$2:$E$51</definedName>
    <definedName name="____________________________________________________________rrr1">[7]r!$B$1:$I$145</definedName>
    <definedName name="____________________________________________________________ss12">[8]rdamdata!$J$8</definedName>
    <definedName name="____________________________________________________________ss20">[8]rdamdata!$J$7</definedName>
    <definedName name="____________________________________________________________ss40">[8]rdamdata!$J$6</definedName>
    <definedName name="____________________________________________________________var1" localSheetId="11">NA()</definedName>
    <definedName name="____________________________________________________________var1" localSheetId="12">NA()</definedName>
    <definedName name="____________________________________________________________var1" localSheetId="0">#REF!</definedName>
    <definedName name="____________________________________________________________var1">#REF!</definedName>
    <definedName name="____________________________________________________________var4" localSheetId="11">NA()</definedName>
    <definedName name="____________________________________________________________var4" localSheetId="12">NA()</definedName>
    <definedName name="____________________________________________________________var4" localSheetId="0">#REF!</definedName>
    <definedName name="____________________________________________________________var4">#REF!</definedName>
    <definedName name="___________________________________________________________bla1">[1]leads!$H$7</definedName>
    <definedName name="___________________________________________________________can430">40.73</definedName>
    <definedName name="___________________________________________________________can435">43.3</definedName>
    <definedName name="___________________________________________________________cur1">[2]r!$F$30</definedName>
    <definedName name="___________________________________________________________l1">[3]leads!$A$3:$E$108</definedName>
    <definedName name="___________________________________________________________l12" localSheetId="11">NA()</definedName>
    <definedName name="___________________________________________________________l12" localSheetId="12">NA()</definedName>
    <definedName name="___________________________________________________________l12" localSheetId="0">#REF!</definedName>
    <definedName name="___________________________________________________________l12">#REF!</definedName>
    <definedName name="___________________________________________________________l2">[2]r!$F$29</definedName>
    <definedName name="___________________________________________________________l3" localSheetId="11">NA()</definedName>
    <definedName name="___________________________________________________________l3" localSheetId="12">NA()</definedName>
    <definedName name="___________________________________________________________l3" localSheetId="0">#REF!</definedName>
    <definedName name="___________________________________________________________l3">#REF!</definedName>
    <definedName name="___________________________________________________________l4">[4]Sheet1!$W$2:$Y$103</definedName>
    <definedName name="___________________________________________________________l5" localSheetId="11">NA()</definedName>
    <definedName name="___________________________________________________________l5" localSheetId="12">NA()</definedName>
    <definedName name="___________________________________________________________l5" localSheetId="0">#REF!</definedName>
    <definedName name="___________________________________________________________l5">#REF!</definedName>
    <definedName name="___________________________________________________________l6">[2]r!$F$4</definedName>
    <definedName name="___________________________________________________________l7">[5]r!$F$4</definedName>
    <definedName name="___________________________________________________________l8">[2]r!$F$2</definedName>
    <definedName name="___________________________________________________________l9">[2]r!$F$3</definedName>
    <definedName name="___________________________________________________________mm1">[6]r!$F$4</definedName>
    <definedName name="___________________________________________________________mm11">[2]r!$F$4</definedName>
    <definedName name="___________________________________________________________mm111">[5]r!$F$4</definedName>
    <definedName name="___________________________________________________________pc2" localSheetId="11">NA()</definedName>
    <definedName name="___________________________________________________________pc2" localSheetId="12">NA()</definedName>
    <definedName name="___________________________________________________________pc2" localSheetId="0">#REF!</definedName>
    <definedName name="___________________________________________________________pc2">#REF!</definedName>
    <definedName name="___________________________________________________________pv2" localSheetId="11">NA()</definedName>
    <definedName name="___________________________________________________________pv2" localSheetId="12">NA()</definedName>
    <definedName name="___________________________________________________________pv2" localSheetId="0">#REF!</definedName>
    <definedName name="___________________________________________________________pv2">#REF!</definedName>
    <definedName name="___________________________________________________________rr3">[7]v!$A$2:$E$51</definedName>
    <definedName name="___________________________________________________________rrr1">[7]r!$B$1:$I$145</definedName>
    <definedName name="___________________________________________________________ss12">[8]rdamdata!$J$8</definedName>
    <definedName name="___________________________________________________________ss20">[8]rdamdata!$J$7</definedName>
    <definedName name="___________________________________________________________ss40">[8]rdamdata!$J$6</definedName>
    <definedName name="___________________________________________________________var1" localSheetId="11">NA()</definedName>
    <definedName name="___________________________________________________________var1" localSheetId="12">NA()</definedName>
    <definedName name="___________________________________________________________var1" localSheetId="0">#REF!</definedName>
    <definedName name="___________________________________________________________var1">#REF!</definedName>
    <definedName name="___________________________________________________________var4" localSheetId="11">NA()</definedName>
    <definedName name="___________________________________________________________var4" localSheetId="12">NA()</definedName>
    <definedName name="___________________________________________________________var4" localSheetId="0">#REF!</definedName>
    <definedName name="___________________________________________________________var4">#REF!</definedName>
    <definedName name="__________________________________________________________bla1">[1]leads!$H$7</definedName>
    <definedName name="__________________________________________________________can430">40.73</definedName>
    <definedName name="__________________________________________________________can435">43.3</definedName>
    <definedName name="__________________________________________________________cur1">[2]r!$F$30</definedName>
    <definedName name="__________________________________________________________l1">[3]leads!$A$3:$E$108</definedName>
    <definedName name="__________________________________________________________l12" localSheetId="11">NA()</definedName>
    <definedName name="__________________________________________________________l12" localSheetId="12">NA()</definedName>
    <definedName name="__________________________________________________________l12" localSheetId="0">#REF!</definedName>
    <definedName name="__________________________________________________________l12">#REF!</definedName>
    <definedName name="__________________________________________________________l2">[2]r!$F$29</definedName>
    <definedName name="__________________________________________________________l3" localSheetId="11">NA()</definedName>
    <definedName name="__________________________________________________________l3" localSheetId="12">NA()</definedName>
    <definedName name="__________________________________________________________l3" localSheetId="0">#REF!</definedName>
    <definedName name="__________________________________________________________l3">#REF!</definedName>
    <definedName name="__________________________________________________________l4">[4]Sheet1!$W$2:$Y$103</definedName>
    <definedName name="__________________________________________________________l5" localSheetId="11">NA()</definedName>
    <definedName name="__________________________________________________________l5" localSheetId="12">NA()</definedName>
    <definedName name="__________________________________________________________l5" localSheetId="0">#REF!</definedName>
    <definedName name="__________________________________________________________l5">#REF!</definedName>
    <definedName name="__________________________________________________________l6">[2]r!$F$4</definedName>
    <definedName name="__________________________________________________________l7">[5]r!$F$4</definedName>
    <definedName name="__________________________________________________________l8">[2]r!$F$2</definedName>
    <definedName name="__________________________________________________________l9">[2]r!$F$3</definedName>
    <definedName name="__________________________________________________________mm1">[6]r!$F$4</definedName>
    <definedName name="__________________________________________________________mm11">[2]r!$F$4</definedName>
    <definedName name="__________________________________________________________mm111">[5]r!$F$4</definedName>
    <definedName name="__________________________________________________________pc2" localSheetId="11">NA()</definedName>
    <definedName name="__________________________________________________________pc2" localSheetId="12">NA()</definedName>
    <definedName name="__________________________________________________________pc2" localSheetId="0">#REF!</definedName>
    <definedName name="__________________________________________________________pc2">#REF!</definedName>
    <definedName name="__________________________________________________________pv2" localSheetId="11">NA()</definedName>
    <definedName name="__________________________________________________________pv2" localSheetId="12">NA()</definedName>
    <definedName name="__________________________________________________________pv2" localSheetId="0">#REF!</definedName>
    <definedName name="__________________________________________________________pv2">#REF!</definedName>
    <definedName name="__________________________________________________________rr3">[7]v!$A$2:$E$51</definedName>
    <definedName name="__________________________________________________________rrr1">[7]r!$B$1:$I$145</definedName>
    <definedName name="__________________________________________________________ss12">[8]rdamdata!$J$8</definedName>
    <definedName name="__________________________________________________________ss20">[8]rdamdata!$J$7</definedName>
    <definedName name="__________________________________________________________ss40">[8]rdamdata!$J$6</definedName>
    <definedName name="__________________________________________________________var1" localSheetId="11">NA()</definedName>
    <definedName name="__________________________________________________________var1" localSheetId="12">NA()</definedName>
    <definedName name="__________________________________________________________var1" localSheetId="0">#REF!</definedName>
    <definedName name="__________________________________________________________var1">#REF!</definedName>
    <definedName name="__________________________________________________________var4" localSheetId="11">NA()</definedName>
    <definedName name="__________________________________________________________var4" localSheetId="12">NA()</definedName>
    <definedName name="__________________________________________________________var4" localSheetId="0">#REF!</definedName>
    <definedName name="__________________________________________________________var4">#REF!</definedName>
    <definedName name="_________________________________________________________bla1">[1]leads!$H$7</definedName>
    <definedName name="_________________________________________________________can430">40.73</definedName>
    <definedName name="_________________________________________________________can435">43.3</definedName>
    <definedName name="_________________________________________________________cur1">[2]r!$F$30</definedName>
    <definedName name="_________________________________________________________l1">[3]leads!$A$3:$E$108</definedName>
    <definedName name="_________________________________________________________l12" localSheetId="11">NA()</definedName>
    <definedName name="_________________________________________________________l12" localSheetId="12">NA()</definedName>
    <definedName name="_________________________________________________________l12" localSheetId="0">#REF!</definedName>
    <definedName name="_________________________________________________________l12">#REF!</definedName>
    <definedName name="_________________________________________________________l2">[2]r!$F$29</definedName>
    <definedName name="_________________________________________________________l3" localSheetId="11">NA()</definedName>
    <definedName name="_________________________________________________________l3" localSheetId="12">NA()</definedName>
    <definedName name="_________________________________________________________l3" localSheetId="0">#REF!</definedName>
    <definedName name="_________________________________________________________l3">#REF!</definedName>
    <definedName name="_________________________________________________________l4">[4]Sheet1!$W$2:$Y$103</definedName>
    <definedName name="_________________________________________________________l5" localSheetId="11">NA()</definedName>
    <definedName name="_________________________________________________________l5" localSheetId="12">NA()</definedName>
    <definedName name="_________________________________________________________l5" localSheetId="0">#REF!</definedName>
    <definedName name="_________________________________________________________l5">#REF!</definedName>
    <definedName name="_________________________________________________________l6">[2]r!$F$4</definedName>
    <definedName name="_________________________________________________________l7">[5]r!$F$4</definedName>
    <definedName name="_________________________________________________________l8">[2]r!$F$2</definedName>
    <definedName name="_________________________________________________________l9">[2]r!$F$3</definedName>
    <definedName name="_________________________________________________________mm1">[6]r!$F$4</definedName>
    <definedName name="_________________________________________________________mm11">[2]r!$F$4</definedName>
    <definedName name="_________________________________________________________mm111">[5]r!$F$4</definedName>
    <definedName name="_________________________________________________________pc2" localSheetId="11">NA()</definedName>
    <definedName name="_________________________________________________________pc2" localSheetId="12">NA()</definedName>
    <definedName name="_________________________________________________________pc2" localSheetId="0">#REF!</definedName>
    <definedName name="_________________________________________________________pc2">#REF!</definedName>
    <definedName name="_________________________________________________________pv2" localSheetId="11">NA()</definedName>
    <definedName name="_________________________________________________________pv2" localSheetId="12">NA()</definedName>
    <definedName name="_________________________________________________________pv2" localSheetId="0">#REF!</definedName>
    <definedName name="_________________________________________________________pv2">#REF!</definedName>
    <definedName name="_________________________________________________________rr3">[7]v!$A$2:$E$51</definedName>
    <definedName name="_________________________________________________________rrr1">[7]r!$B$1:$I$145</definedName>
    <definedName name="_________________________________________________________ss12">[8]rdamdata!$J$8</definedName>
    <definedName name="_________________________________________________________ss20">[8]rdamdata!$J$7</definedName>
    <definedName name="_________________________________________________________ss40">[8]rdamdata!$J$6</definedName>
    <definedName name="_________________________________________________________var1" localSheetId="11">NA()</definedName>
    <definedName name="_________________________________________________________var1" localSheetId="12">NA()</definedName>
    <definedName name="_________________________________________________________var1" localSheetId="0">#REF!</definedName>
    <definedName name="_________________________________________________________var1">#REF!</definedName>
    <definedName name="_________________________________________________________var4" localSheetId="11">NA()</definedName>
    <definedName name="_________________________________________________________var4" localSheetId="12">NA()</definedName>
    <definedName name="_________________________________________________________var4" localSheetId="0">#REF!</definedName>
    <definedName name="_________________________________________________________var4">#REF!</definedName>
    <definedName name="________________________________________________________bla1">[1]leads!$H$7</definedName>
    <definedName name="________________________________________________________can430">40.73</definedName>
    <definedName name="________________________________________________________can435">43.3</definedName>
    <definedName name="________________________________________________________cur1">[2]r!$F$30</definedName>
    <definedName name="________________________________________________________l1">[3]leads!$A$3:$E$108</definedName>
    <definedName name="________________________________________________________l12" localSheetId="11">NA()</definedName>
    <definedName name="________________________________________________________l12" localSheetId="12">NA()</definedName>
    <definedName name="________________________________________________________l12" localSheetId="0">#REF!</definedName>
    <definedName name="________________________________________________________l12">#REF!</definedName>
    <definedName name="________________________________________________________l2">[2]r!$F$29</definedName>
    <definedName name="________________________________________________________l3" localSheetId="11">NA()</definedName>
    <definedName name="________________________________________________________l3" localSheetId="12">NA()</definedName>
    <definedName name="________________________________________________________l3" localSheetId="0">#REF!</definedName>
    <definedName name="________________________________________________________l3">#REF!</definedName>
    <definedName name="________________________________________________________l4">[4]Sheet1!$W$2:$Y$103</definedName>
    <definedName name="________________________________________________________l5" localSheetId="11">NA()</definedName>
    <definedName name="________________________________________________________l5" localSheetId="12">NA()</definedName>
    <definedName name="________________________________________________________l5" localSheetId="0">#REF!</definedName>
    <definedName name="________________________________________________________l5">#REF!</definedName>
    <definedName name="________________________________________________________l6">[2]r!$F$4</definedName>
    <definedName name="________________________________________________________l7">[5]r!$F$4</definedName>
    <definedName name="________________________________________________________l8">[2]r!$F$2</definedName>
    <definedName name="________________________________________________________l9">[2]r!$F$3</definedName>
    <definedName name="________________________________________________________mm1">[6]r!$F$4</definedName>
    <definedName name="________________________________________________________mm11">[2]r!$F$4</definedName>
    <definedName name="________________________________________________________mm111">[5]r!$F$4</definedName>
    <definedName name="________________________________________________________pc2" localSheetId="11">NA()</definedName>
    <definedName name="________________________________________________________pc2" localSheetId="12">NA()</definedName>
    <definedName name="________________________________________________________pc2" localSheetId="0">#REF!</definedName>
    <definedName name="________________________________________________________pc2">#REF!</definedName>
    <definedName name="________________________________________________________pv2" localSheetId="11">NA()</definedName>
    <definedName name="________________________________________________________pv2" localSheetId="12">NA()</definedName>
    <definedName name="________________________________________________________pv2" localSheetId="0">#REF!</definedName>
    <definedName name="________________________________________________________pv2">#REF!</definedName>
    <definedName name="________________________________________________________rr3">[7]v!$A$2:$E$51</definedName>
    <definedName name="________________________________________________________rrr1">[7]r!$B$1:$I$145</definedName>
    <definedName name="________________________________________________________ss12">[8]rdamdata!$J$8</definedName>
    <definedName name="________________________________________________________ss20">[8]rdamdata!$J$7</definedName>
    <definedName name="________________________________________________________ss40">[8]rdamdata!$J$6</definedName>
    <definedName name="________________________________________________________var1" localSheetId="11">NA()</definedName>
    <definedName name="________________________________________________________var1" localSheetId="12">NA()</definedName>
    <definedName name="________________________________________________________var1" localSheetId="0">#REF!</definedName>
    <definedName name="________________________________________________________var1">#REF!</definedName>
    <definedName name="________________________________________________________var4" localSheetId="11">NA()</definedName>
    <definedName name="________________________________________________________var4" localSheetId="12">NA()</definedName>
    <definedName name="________________________________________________________var4" localSheetId="0">#REF!</definedName>
    <definedName name="________________________________________________________var4">#REF!</definedName>
    <definedName name="_______________________________________________________bla1">[1]leads!$H$7</definedName>
    <definedName name="_______________________________________________________can430">40.73</definedName>
    <definedName name="_______________________________________________________can435">43.3</definedName>
    <definedName name="_______________________________________________________cur1">[2]r!$F$30</definedName>
    <definedName name="_______________________________________________________l1">[3]leads!$A$3:$E$108</definedName>
    <definedName name="_______________________________________________________l12" localSheetId="11">NA()</definedName>
    <definedName name="_______________________________________________________l12" localSheetId="12">NA()</definedName>
    <definedName name="_______________________________________________________l12" localSheetId="0">#REF!</definedName>
    <definedName name="_______________________________________________________l12">#REF!</definedName>
    <definedName name="_______________________________________________________l2">[2]r!$F$29</definedName>
    <definedName name="_______________________________________________________l3" localSheetId="11">NA()</definedName>
    <definedName name="_______________________________________________________l3" localSheetId="12">NA()</definedName>
    <definedName name="_______________________________________________________l3" localSheetId="0">#REF!</definedName>
    <definedName name="_______________________________________________________l3">#REF!</definedName>
    <definedName name="_______________________________________________________l4">[4]Sheet1!$W$2:$Y$103</definedName>
    <definedName name="_______________________________________________________l5" localSheetId="11">NA()</definedName>
    <definedName name="_______________________________________________________l5" localSheetId="12">NA()</definedName>
    <definedName name="_______________________________________________________l5" localSheetId="0">#REF!</definedName>
    <definedName name="_______________________________________________________l5">#REF!</definedName>
    <definedName name="_______________________________________________________l6">[2]r!$F$4</definedName>
    <definedName name="_______________________________________________________l7">[5]r!$F$4</definedName>
    <definedName name="_______________________________________________________l8">[2]r!$F$2</definedName>
    <definedName name="_______________________________________________________l9">[2]r!$F$3</definedName>
    <definedName name="_______________________________________________________mm1">[6]r!$F$4</definedName>
    <definedName name="_______________________________________________________mm11">[2]r!$F$4</definedName>
    <definedName name="_______________________________________________________mm111">[5]r!$F$4</definedName>
    <definedName name="_______________________________________________________pc2" localSheetId="11">NA()</definedName>
    <definedName name="_______________________________________________________pc2" localSheetId="12">NA()</definedName>
    <definedName name="_______________________________________________________pc2" localSheetId="0">#REF!</definedName>
    <definedName name="_______________________________________________________pc2">#REF!</definedName>
    <definedName name="_______________________________________________________pv2" localSheetId="11">NA()</definedName>
    <definedName name="_______________________________________________________pv2" localSheetId="12">NA()</definedName>
    <definedName name="_______________________________________________________pv2" localSheetId="0">#REF!</definedName>
    <definedName name="_______________________________________________________pv2">#REF!</definedName>
    <definedName name="_______________________________________________________rr3">[7]v!$A$2:$E$51</definedName>
    <definedName name="_______________________________________________________rrr1">[7]r!$B$1:$I$145</definedName>
    <definedName name="_______________________________________________________ss12">[8]rdamdata!$J$8</definedName>
    <definedName name="_______________________________________________________ss20">[8]rdamdata!$J$7</definedName>
    <definedName name="_______________________________________________________ss40">[8]rdamdata!$J$6</definedName>
    <definedName name="_______________________________________________________var1" localSheetId="11">NA()</definedName>
    <definedName name="_______________________________________________________var1" localSheetId="12">NA()</definedName>
    <definedName name="_______________________________________________________var1" localSheetId="0">#REF!</definedName>
    <definedName name="_______________________________________________________var1">#REF!</definedName>
    <definedName name="_______________________________________________________var4" localSheetId="11">NA()</definedName>
    <definedName name="_______________________________________________________var4" localSheetId="12">NA()</definedName>
    <definedName name="_______________________________________________________var4" localSheetId="0">#REF!</definedName>
    <definedName name="_______________________________________________________var4">#REF!</definedName>
    <definedName name="______________________________________________________bla1">[1]leads!$H$7</definedName>
    <definedName name="______________________________________________________can430">40.73</definedName>
    <definedName name="______________________________________________________can435">43.3</definedName>
    <definedName name="______________________________________________________cur1">[2]r!$F$30</definedName>
    <definedName name="______________________________________________________l1">[3]leads!$A$3:$E$108</definedName>
    <definedName name="______________________________________________________l12" localSheetId="11">NA()</definedName>
    <definedName name="______________________________________________________l12" localSheetId="12">NA()</definedName>
    <definedName name="______________________________________________________l12" localSheetId="0">#REF!</definedName>
    <definedName name="______________________________________________________l12">#REF!</definedName>
    <definedName name="______________________________________________________l2">[2]r!$F$29</definedName>
    <definedName name="______________________________________________________l3" localSheetId="11">NA()</definedName>
    <definedName name="______________________________________________________l3" localSheetId="12">NA()</definedName>
    <definedName name="______________________________________________________l3" localSheetId="0">#REF!</definedName>
    <definedName name="______________________________________________________l3">#REF!</definedName>
    <definedName name="______________________________________________________l4">[4]Sheet1!$W$2:$Y$103</definedName>
    <definedName name="______________________________________________________l5" localSheetId="11">NA()</definedName>
    <definedName name="______________________________________________________l5" localSheetId="12">NA()</definedName>
    <definedName name="______________________________________________________l5" localSheetId="0">#REF!</definedName>
    <definedName name="______________________________________________________l5">#REF!</definedName>
    <definedName name="______________________________________________________l6">[2]r!$F$4</definedName>
    <definedName name="______________________________________________________l7">[5]r!$F$4</definedName>
    <definedName name="______________________________________________________l8">[2]r!$F$2</definedName>
    <definedName name="______________________________________________________l9">[2]r!$F$3</definedName>
    <definedName name="______________________________________________________mm1">[6]r!$F$4</definedName>
    <definedName name="______________________________________________________mm11">[2]r!$F$4</definedName>
    <definedName name="______________________________________________________mm111">[5]r!$F$4</definedName>
    <definedName name="______________________________________________________pc2" localSheetId="11">NA()</definedName>
    <definedName name="______________________________________________________pc2" localSheetId="12">NA()</definedName>
    <definedName name="______________________________________________________pc2" localSheetId="0">#REF!</definedName>
    <definedName name="______________________________________________________pc2">#REF!</definedName>
    <definedName name="______________________________________________________pv2" localSheetId="11">NA()</definedName>
    <definedName name="______________________________________________________pv2" localSheetId="12">NA()</definedName>
    <definedName name="______________________________________________________pv2" localSheetId="0">#REF!</definedName>
    <definedName name="______________________________________________________pv2">#REF!</definedName>
    <definedName name="______________________________________________________rr3">[7]v!$A$2:$E$51</definedName>
    <definedName name="______________________________________________________rrr1">[7]r!$B$1:$I$145</definedName>
    <definedName name="______________________________________________________ss12">[8]rdamdata!$J$8</definedName>
    <definedName name="______________________________________________________ss20">[8]rdamdata!$J$7</definedName>
    <definedName name="______________________________________________________ss40">[8]rdamdata!$J$6</definedName>
    <definedName name="______________________________________________________var1" localSheetId="11">NA()</definedName>
    <definedName name="______________________________________________________var1" localSheetId="12">NA()</definedName>
    <definedName name="______________________________________________________var1" localSheetId="0">#REF!</definedName>
    <definedName name="______________________________________________________var1">#REF!</definedName>
    <definedName name="______________________________________________________var4" localSheetId="11">NA()</definedName>
    <definedName name="______________________________________________________var4" localSheetId="12">NA()</definedName>
    <definedName name="______________________________________________________var4" localSheetId="0">#REF!</definedName>
    <definedName name="______________________________________________________var4">#REF!</definedName>
    <definedName name="_____________________________________________________bla1">[1]leads!$H$7</definedName>
    <definedName name="_____________________________________________________can430">40.73</definedName>
    <definedName name="_____________________________________________________can435">43.3</definedName>
    <definedName name="_____________________________________________________cur1">[2]r!$F$30</definedName>
    <definedName name="_____________________________________________________l1">[3]leads!$A$3:$E$108</definedName>
    <definedName name="_____________________________________________________l12" localSheetId="11">NA()</definedName>
    <definedName name="_____________________________________________________l12" localSheetId="12">NA()</definedName>
    <definedName name="_____________________________________________________l12" localSheetId="0">#REF!</definedName>
    <definedName name="_____________________________________________________l12">#REF!</definedName>
    <definedName name="_____________________________________________________l2">[2]r!$F$29</definedName>
    <definedName name="_____________________________________________________l3" localSheetId="11">NA()</definedName>
    <definedName name="_____________________________________________________l3" localSheetId="12">NA()</definedName>
    <definedName name="_____________________________________________________l3" localSheetId="0">#REF!</definedName>
    <definedName name="_____________________________________________________l3">#REF!</definedName>
    <definedName name="_____________________________________________________l4">[4]Sheet1!$W$2:$Y$103</definedName>
    <definedName name="_____________________________________________________l5" localSheetId="11">NA()</definedName>
    <definedName name="_____________________________________________________l5" localSheetId="12">NA()</definedName>
    <definedName name="_____________________________________________________l5" localSheetId="0">#REF!</definedName>
    <definedName name="_____________________________________________________l5">#REF!</definedName>
    <definedName name="_____________________________________________________l6">[2]r!$F$4</definedName>
    <definedName name="_____________________________________________________l7">[5]r!$F$4</definedName>
    <definedName name="_____________________________________________________l8">[2]r!$F$2</definedName>
    <definedName name="_____________________________________________________l9">[2]r!$F$3</definedName>
    <definedName name="_____________________________________________________mm1">[6]r!$F$4</definedName>
    <definedName name="_____________________________________________________mm11">[2]r!$F$4</definedName>
    <definedName name="_____________________________________________________mm111">[5]r!$F$4</definedName>
    <definedName name="_____________________________________________________pc2" localSheetId="11">NA()</definedName>
    <definedName name="_____________________________________________________pc2" localSheetId="12">NA()</definedName>
    <definedName name="_____________________________________________________pc2" localSheetId="0">#REF!</definedName>
    <definedName name="_____________________________________________________pc2">#REF!</definedName>
    <definedName name="_____________________________________________________pv2" localSheetId="11">NA()</definedName>
    <definedName name="_____________________________________________________pv2" localSheetId="12">NA()</definedName>
    <definedName name="_____________________________________________________pv2" localSheetId="0">#REF!</definedName>
    <definedName name="_____________________________________________________pv2">#REF!</definedName>
    <definedName name="_____________________________________________________rr3">[7]v!$A$2:$E$51</definedName>
    <definedName name="_____________________________________________________rrr1">[7]r!$B$1:$I$145</definedName>
    <definedName name="_____________________________________________________ss12">[8]rdamdata!$J$8</definedName>
    <definedName name="_____________________________________________________ss20">[8]rdamdata!$J$7</definedName>
    <definedName name="_____________________________________________________ss40">[8]rdamdata!$J$6</definedName>
    <definedName name="_____________________________________________________var1" localSheetId="11">NA()</definedName>
    <definedName name="_____________________________________________________var1" localSheetId="12">NA()</definedName>
    <definedName name="_____________________________________________________var1" localSheetId="0">#REF!</definedName>
    <definedName name="_____________________________________________________var1">#REF!</definedName>
    <definedName name="_____________________________________________________var4" localSheetId="11">NA()</definedName>
    <definedName name="_____________________________________________________var4" localSheetId="12">NA()</definedName>
    <definedName name="_____________________________________________________var4" localSheetId="0">#REF!</definedName>
    <definedName name="_____________________________________________________var4">#REF!</definedName>
    <definedName name="____________________________________________________bla1">[1]leads!$H$7</definedName>
    <definedName name="____________________________________________________can430">40.73</definedName>
    <definedName name="____________________________________________________can435">43.3</definedName>
    <definedName name="____________________________________________________cur1">[2]r!$F$30</definedName>
    <definedName name="____________________________________________________l1">[3]leads!$A$3:$E$108</definedName>
    <definedName name="____________________________________________________l12" localSheetId="11">NA()</definedName>
    <definedName name="____________________________________________________l12" localSheetId="12">NA()</definedName>
    <definedName name="____________________________________________________l12" localSheetId="0">#REF!</definedName>
    <definedName name="____________________________________________________l12">#REF!</definedName>
    <definedName name="____________________________________________________l2">[2]r!$F$29</definedName>
    <definedName name="____________________________________________________l3" localSheetId="11">NA()</definedName>
    <definedName name="____________________________________________________l3" localSheetId="12">NA()</definedName>
    <definedName name="____________________________________________________l3" localSheetId="0">#REF!</definedName>
    <definedName name="____________________________________________________l3">#REF!</definedName>
    <definedName name="____________________________________________________l4">[4]Sheet1!$W$2:$Y$103</definedName>
    <definedName name="____________________________________________________l5" localSheetId="11">NA()</definedName>
    <definedName name="____________________________________________________l5" localSheetId="12">NA()</definedName>
    <definedName name="____________________________________________________l5" localSheetId="0">#REF!</definedName>
    <definedName name="____________________________________________________l5">#REF!</definedName>
    <definedName name="____________________________________________________l6">[2]r!$F$4</definedName>
    <definedName name="____________________________________________________l7">[5]r!$F$4</definedName>
    <definedName name="____________________________________________________l8">[2]r!$F$2</definedName>
    <definedName name="____________________________________________________l9">[2]r!$F$3</definedName>
    <definedName name="____________________________________________________mm1">[6]r!$F$4</definedName>
    <definedName name="____________________________________________________mm11">[2]r!$F$4</definedName>
    <definedName name="____________________________________________________mm111">[5]r!$F$4</definedName>
    <definedName name="____________________________________________________pc2" localSheetId="11">NA()</definedName>
    <definedName name="____________________________________________________pc2" localSheetId="12">NA()</definedName>
    <definedName name="____________________________________________________pc2" localSheetId="0">#REF!</definedName>
    <definedName name="____________________________________________________pc2">#REF!</definedName>
    <definedName name="____________________________________________________pv2" localSheetId="11">NA()</definedName>
    <definedName name="____________________________________________________pv2" localSheetId="12">NA()</definedName>
    <definedName name="____________________________________________________pv2" localSheetId="0">#REF!</definedName>
    <definedName name="____________________________________________________pv2">#REF!</definedName>
    <definedName name="____________________________________________________rr3">[7]v!$A$2:$E$51</definedName>
    <definedName name="____________________________________________________rrr1">[7]r!$B$1:$I$145</definedName>
    <definedName name="____________________________________________________ss12">[8]rdamdata!$J$8</definedName>
    <definedName name="____________________________________________________ss20">[8]rdamdata!$J$7</definedName>
    <definedName name="____________________________________________________ss40">[8]rdamdata!$J$6</definedName>
    <definedName name="____________________________________________________var1" localSheetId="11">NA()</definedName>
    <definedName name="____________________________________________________var1" localSheetId="12">NA()</definedName>
    <definedName name="____________________________________________________var1" localSheetId="0">#REF!</definedName>
    <definedName name="____________________________________________________var1">#REF!</definedName>
    <definedName name="____________________________________________________var4" localSheetId="11">NA()</definedName>
    <definedName name="____________________________________________________var4" localSheetId="12">NA()</definedName>
    <definedName name="____________________________________________________var4" localSheetId="0">#REF!</definedName>
    <definedName name="____________________________________________________var4">#REF!</definedName>
    <definedName name="___________________________________________________bla1">[1]leads!$H$7</definedName>
    <definedName name="___________________________________________________can430">40.73</definedName>
    <definedName name="___________________________________________________can435">43.3</definedName>
    <definedName name="___________________________________________________cur1">[2]r!$F$30</definedName>
    <definedName name="___________________________________________________l1">[3]leads!$A$3:$E$108</definedName>
    <definedName name="___________________________________________________l12" localSheetId="11">NA()</definedName>
    <definedName name="___________________________________________________l12" localSheetId="12">NA()</definedName>
    <definedName name="___________________________________________________l12" localSheetId="0">#REF!</definedName>
    <definedName name="___________________________________________________l12">#REF!</definedName>
    <definedName name="___________________________________________________l2">[2]r!$F$29</definedName>
    <definedName name="___________________________________________________l3" localSheetId="11">NA()</definedName>
    <definedName name="___________________________________________________l3" localSheetId="12">NA()</definedName>
    <definedName name="___________________________________________________l3" localSheetId="0">#REF!</definedName>
    <definedName name="___________________________________________________l3">#REF!</definedName>
    <definedName name="___________________________________________________l4">[4]Sheet1!$W$2:$Y$103</definedName>
    <definedName name="___________________________________________________l5" localSheetId="11">NA()</definedName>
    <definedName name="___________________________________________________l5" localSheetId="12">NA()</definedName>
    <definedName name="___________________________________________________l5" localSheetId="0">#REF!</definedName>
    <definedName name="___________________________________________________l5">#REF!</definedName>
    <definedName name="___________________________________________________l6">[2]r!$F$4</definedName>
    <definedName name="___________________________________________________l7">[5]r!$F$4</definedName>
    <definedName name="___________________________________________________l8">[2]r!$F$2</definedName>
    <definedName name="___________________________________________________l9">[2]r!$F$3</definedName>
    <definedName name="___________________________________________________mm1">[6]r!$F$4</definedName>
    <definedName name="___________________________________________________mm11">[2]r!$F$4</definedName>
    <definedName name="___________________________________________________mm111">[5]r!$F$4</definedName>
    <definedName name="___________________________________________________pc2" localSheetId="11">NA()</definedName>
    <definedName name="___________________________________________________pc2" localSheetId="12">NA()</definedName>
    <definedName name="___________________________________________________pc2" localSheetId="0">#REF!</definedName>
    <definedName name="___________________________________________________pc2">#REF!</definedName>
    <definedName name="___________________________________________________pv2" localSheetId="11">NA()</definedName>
    <definedName name="___________________________________________________pv2" localSheetId="12">NA()</definedName>
    <definedName name="___________________________________________________pv2" localSheetId="0">#REF!</definedName>
    <definedName name="___________________________________________________pv2">#REF!</definedName>
    <definedName name="___________________________________________________rr3">[7]v!$A$2:$E$51</definedName>
    <definedName name="___________________________________________________rrr1">[7]r!$B$1:$I$145</definedName>
    <definedName name="___________________________________________________ss12">[8]rdamdata!$J$8</definedName>
    <definedName name="___________________________________________________ss20">[8]rdamdata!$J$7</definedName>
    <definedName name="___________________________________________________ss40">[8]rdamdata!$J$6</definedName>
    <definedName name="___________________________________________________var1" localSheetId="11">NA()</definedName>
    <definedName name="___________________________________________________var1" localSheetId="12">NA()</definedName>
    <definedName name="___________________________________________________var1" localSheetId="0">#REF!</definedName>
    <definedName name="___________________________________________________var1">#REF!</definedName>
    <definedName name="___________________________________________________var4" localSheetId="11">NA()</definedName>
    <definedName name="___________________________________________________var4" localSheetId="12">NA()</definedName>
    <definedName name="___________________________________________________var4" localSheetId="0">#REF!</definedName>
    <definedName name="___________________________________________________var4">#REF!</definedName>
    <definedName name="__________________________________________________bla1">[1]leads!$H$7</definedName>
    <definedName name="__________________________________________________can430">40.73</definedName>
    <definedName name="__________________________________________________can435">43.3</definedName>
    <definedName name="__________________________________________________cur1">[2]r!$F$30</definedName>
    <definedName name="__________________________________________________l1">[3]leads!$A$3:$E$108</definedName>
    <definedName name="__________________________________________________l12" localSheetId="11">NA()</definedName>
    <definedName name="__________________________________________________l12" localSheetId="12">NA()</definedName>
    <definedName name="__________________________________________________l12" localSheetId="0">#REF!</definedName>
    <definedName name="__________________________________________________l12">#REF!</definedName>
    <definedName name="__________________________________________________l2">[2]r!$F$29</definedName>
    <definedName name="__________________________________________________l3" localSheetId="11">NA()</definedName>
    <definedName name="__________________________________________________l3" localSheetId="12">NA()</definedName>
    <definedName name="__________________________________________________l3" localSheetId="0">#REF!</definedName>
    <definedName name="__________________________________________________l3">#REF!</definedName>
    <definedName name="__________________________________________________l4">[4]Sheet1!$W$2:$Y$103</definedName>
    <definedName name="__________________________________________________l5" localSheetId="11">NA()</definedName>
    <definedName name="__________________________________________________l5" localSheetId="12">NA()</definedName>
    <definedName name="__________________________________________________l5" localSheetId="0">#REF!</definedName>
    <definedName name="__________________________________________________l5">#REF!</definedName>
    <definedName name="__________________________________________________l6">[2]r!$F$4</definedName>
    <definedName name="__________________________________________________l7">[5]r!$F$4</definedName>
    <definedName name="__________________________________________________l8">[2]r!$F$2</definedName>
    <definedName name="__________________________________________________l9">[2]r!$F$3</definedName>
    <definedName name="__________________________________________________mm1">[6]r!$F$4</definedName>
    <definedName name="__________________________________________________mm11">[2]r!$F$4</definedName>
    <definedName name="__________________________________________________mm111">[5]r!$F$4</definedName>
    <definedName name="__________________________________________________pc2" localSheetId="11">NA()</definedName>
    <definedName name="__________________________________________________pc2" localSheetId="12">NA()</definedName>
    <definedName name="__________________________________________________pc2" localSheetId="0">#REF!</definedName>
    <definedName name="__________________________________________________pc2">#REF!</definedName>
    <definedName name="__________________________________________________pv2" localSheetId="11">NA()</definedName>
    <definedName name="__________________________________________________pv2" localSheetId="12">NA()</definedName>
    <definedName name="__________________________________________________pv2" localSheetId="0">#REF!</definedName>
    <definedName name="__________________________________________________pv2">#REF!</definedName>
    <definedName name="__________________________________________________rr3">[7]v!$A$2:$E$51</definedName>
    <definedName name="__________________________________________________rrr1">[7]r!$B$1:$I$145</definedName>
    <definedName name="__________________________________________________ss12">[8]rdamdata!$J$8</definedName>
    <definedName name="__________________________________________________ss20">[8]rdamdata!$J$7</definedName>
    <definedName name="__________________________________________________ss40">[8]rdamdata!$J$6</definedName>
    <definedName name="__________________________________________________var1" localSheetId="11">NA()</definedName>
    <definedName name="__________________________________________________var1" localSheetId="12">NA()</definedName>
    <definedName name="__________________________________________________var1" localSheetId="0">#REF!</definedName>
    <definedName name="__________________________________________________var1">#REF!</definedName>
    <definedName name="__________________________________________________var4" localSheetId="11">NA()</definedName>
    <definedName name="__________________________________________________var4" localSheetId="12">NA()</definedName>
    <definedName name="__________________________________________________var4" localSheetId="0">#REF!</definedName>
    <definedName name="__________________________________________________var4">#REF!</definedName>
    <definedName name="_________________________________________________bla1">[1]leads!$H$7</definedName>
    <definedName name="_________________________________________________can430">40.73</definedName>
    <definedName name="_________________________________________________can435">43.3</definedName>
    <definedName name="_________________________________________________cur1">[2]r!$F$30</definedName>
    <definedName name="_________________________________________________l1">[3]leads!$A$3:$E$108</definedName>
    <definedName name="_________________________________________________l12" localSheetId="11">NA()</definedName>
    <definedName name="_________________________________________________l12" localSheetId="12">NA()</definedName>
    <definedName name="_________________________________________________l12" localSheetId="0">#REF!</definedName>
    <definedName name="_________________________________________________l12">#REF!</definedName>
    <definedName name="_________________________________________________l2">[2]r!$F$29</definedName>
    <definedName name="_________________________________________________l3" localSheetId="11">NA()</definedName>
    <definedName name="_________________________________________________l3" localSheetId="12">NA()</definedName>
    <definedName name="_________________________________________________l3" localSheetId="0">#REF!</definedName>
    <definedName name="_________________________________________________l3">#REF!</definedName>
    <definedName name="_________________________________________________l4">[4]Sheet1!$W$2:$Y$103</definedName>
    <definedName name="_________________________________________________l5" localSheetId="11">NA()</definedName>
    <definedName name="_________________________________________________l5" localSheetId="12">NA()</definedName>
    <definedName name="_________________________________________________l5" localSheetId="0">#REF!</definedName>
    <definedName name="_________________________________________________l5">#REF!</definedName>
    <definedName name="_________________________________________________l6">[2]r!$F$4</definedName>
    <definedName name="_________________________________________________l7">[5]r!$F$4</definedName>
    <definedName name="_________________________________________________l8">[2]r!$F$2</definedName>
    <definedName name="_________________________________________________l9">[2]r!$F$3</definedName>
    <definedName name="_________________________________________________mm1">[6]r!$F$4</definedName>
    <definedName name="_________________________________________________mm11">[2]r!$F$4</definedName>
    <definedName name="_________________________________________________mm111">[5]r!$F$4</definedName>
    <definedName name="_________________________________________________pc2" localSheetId="11">NA()</definedName>
    <definedName name="_________________________________________________pc2" localSheetId="12">NA()</definedName>
    <definedName name="_________________________________________________pc2" localSheetId="0">#REF!</definedName>
    <definedName name="_________________________________________________pc2">#REF!</definedName>
    <definedName name="_________________________________________________pv2" localSheetId="11">NA()</definedName>
    <definedName name="_________________________________________________pv2" localSheetId="12">NA()</definedName>
    <definedName name="_________________________________________________pv2" localSheetId="0">#REF!</definedName>
    <definedName name="_________________________________________________pv2">#REF!</definedName>
    <definedName name="_________________________________________________rr3">[7]v!$A$2:$E$51</definedName>
    <definedName name="_________________________________________________rrr1">[7]r!$B$1:$I$145</definedName>
    <definedName name="_________________________________________________ss12">[8]rdamdata!$J$8</definedName>
    <definedName name="_________________________________________________ss20">[8]rdamdata!$J$7</definedName>
    <definedName name="_________________________________________________ss40">[8]rdamdata!$J$6</definedName>
    <definedName name="_________________________________________________var1" localSheetId="11">NA()</definedName>
    <definedName name="_________________________________________________var1" localSheetId="12">NA()</definedName>
    <definedName name="_________________________________________________var1" localSheetId="0">#REF!</definedName>
    <definedName name="_________________________________________________var1">#REF!</definedName>
    <definedName name="_________________________________________________var4" localSheetId="11">NA()</definedName>
    <definedName name="_________________________________________________var4" localSheetId="12">NA()</definedName>
    <definedName name="_________________________________________________var4" localSheetId="0">#REF!</definedName>
    <definedName name="_________________________________________________var4">#REF!</definedName>
    <definedName name="________________________________________________bla1">[1]leads!$H$7</definedName>
    <definedName name="________________________________________________can430">40.73</definedName>
    <definedName name="________________________________________________can435">43.3</definedName>
    <definedName name="________________________________________________cur1">[2]r!$F$30</definedName>
    <definedName name="________________________________________________knr2">NA()</definedName>
    <definedName name="________________________________________________l1">[3]leads!$A$3:$E$108</definedName>
    <definedName name="________________________________________________l12" localSheetId="11">NA()</definedName>
    <definedName name="________________________________________________l12" localSheetId="12">NA()</definedName>
    <definedName name="________________________________________________l12" localSheetId="0">#REF!</definedName>
    <definedName name="________________________________________________l12">#REF!</definedName>
    <definedName name="________________________________________________l2">[2]r!$F$29</definedName>
    <definedName name="________________________________________________l3" localSheetId="11">NA()</definedName>
    <definedName name="________________________________________________l3" localSheetId="12">NA()</definedName>
    <definedName name="________________________________________________l3" localSheetId="0">#REF!</definedName>
    <definedName name="________________________________________________l3">#REF!</definedName>
    <definedName name="________________________________________________l4">[4]Sheet1!$W$2:$Y$103</definedName>
    <definedName name="________________________________________________l5" localSheetId="11">NA()</definedName>
    <definedName name="________________________________________________l5" localSheetId="12">NA()</definedName>
    <definedName name="________________________________________________l5" localSheetId="0">#REF!</definedName>
    <definedName name="________________________________________________l5">#REF!</definedName>
    <definedName name="________________________________________________l6">[2]r!$F$4</definedName>
    <definedName name="________________________________________________l7">[5]r!$F$4</definedName>
    <definedName name="________________________________________________l8">[2]r!$F$2</definedName>
    <definedName name="________________________________________________l9">[2]r!$F$3</definedName>
    <definedName name="________________________________________________mm1">[6]r!$F$4</definedName>
    <definedName name="________________________________________________mm11">[2]r!$F$4</definedName>
    <definedName name="________________________________________________mm111">[5]r!$F$4</definedName>
    <definedName name="________________________________________________pc2" localSheetId="11">NA()</definedName>
    <definedName name="________________________________________________pc2" localSheetId="12">NA()</definedName>
    <definedName name="________________________________________________pc2" localSheetId="0">#REF!</definedName>
    <definedName name="________________________________________________pc2">#REF!</definedName>
    <definedName name="________________________________________________pv2" localSheetId="11">NA()</definedName>
    <definedName name="________________________________________________pv2" localSheetId="12">NA()</definedName>
    <definedName name="________________________________________________pv2" localSheetId="0">#REF!</definedName>
    <definedName name="________________________________________________pv2">#REF!</definedName>
    <definedName name="________________________________________________rr3">[7]v!$A$2:$E$51</definedName>
    <definedName name="________________________________________________rrr1">[7]r!$B$1:$I$145</definedName>
    <definedName name="________________________________________________ss12">[8]rdamdata!$J$8</definedName>
    <definedName name="________________________________________________ss20">[8]rdamdata!$J$7</definedName>
    <definedName name="________________________________________________ss40">[8]rdamdata!$J$6</definedName>
    <definedName name="________________________________________________var1" localSheetId="11">NA()</definedName>
    <definedName name="________________________________________________var1" localSheetId="12">NA()</definedName>
    <definedName name="________________________________________________var1" localSheetId="0">#REF!</definedName>
    <definedName name="________________________________________________var1">#REF!</definedName>
    <definedName name="________________________________________________var4" localSheetId="11">NA()</definedName>
    <definedName name="________________________________________________var4" localSheetId="12">NA()</definedName>
    <definedName name="________________________________________________var4" localSheetId="0">#REF!</definedName>
    <definedName name="________________________________________________var4">#REF!</definedName>
    <definedName name="_______________________________________________bla1">[1]leads!$H$7</definedName>
    <definedName name="_______________________________________________can430">40.73</definedName>
    <definedName name="_______________________________________________can435">43.3</definedName>
    <definedName name="_______________________________________________cur1">[2]r!$F$30</definedName>
    <definedName name="_______________________________________________l1">[3]leads!$A$3:$E$108</definedName>
    <definedName name="_______________________________________________l12" localSheetId="11">NA()</definedName>
    <definedName name="_______________________________________________l12" localSheetId="12">NA()</definedName>
    <definedName name="_______________________________________________l12" localSheetId="0">#REF!</definedName>
    <definedName name="_______________________________________________l12">#REF!</definedName>
    <definedName name="_______________________________________________l2">[2]r!$F$29</definedName>
    <definedName name="_______________________________________________l3" localSheetId="11">NA()</definedName>
    <definedName name="_______________________________________________l3" localSheetId="12">NA()</definedName>
    <definedName name="_______________________________________________l3" localSheetId="0">#REF!</definedName>
    <definedName name="_______________________________________________l3">#REF!</definedName>
    <definedName name="_______________________________________________l4">[4]Sheet1!$W$2:$Y$103</definedName>
    <definedName name="_______________________________________________l5" localSheetId="11">NA()</definedName>
    <definedName name="_______________________________________________l5" localSheetId="12">NA()</definedName>
    <definedName name="_______________________________________________l5" localSheetId="0">#REF!</definedName>
    <definedName name="_______________________________________________l5">#REF!</definedName>
    <definedName name="_______________________________________________l6">[2]r!$F$4</definedName>
    <definedName name="_______________________________________________l7">[5]r!$F$4</definedName>
    <definedName name="_______________________________________________l8">[2]r!$F$2</definedName>
    <definedName name="_______________________________________________l9">[2]r!$F$3</definedName>
    <definedName name="_______________________________________________mm1">[6]r!$F$4</definedName>
    <definedName name="_______________________________________________mm11">[2]r!$F$4</definedName>
    <definedName name="_______________________________________________mm111">[5]r!$F$4</definedName>
    <definedName name="_______________________________________________pc2" localSheetId="11">NA()</definedName>
    <definedName name="_______________________________________________pc2" localSheetId="12">NA()</definedName>
    <definedName name="_______________________________________________pc2" localSheetId="0">#REF!</definedName>
    <definedName name="_______________________________________________pc2">#REF!</definedName>
    <definedName name="_______________________________________________pv2" localSheetId="11">NA()</definedName>
    <definedName name="_______________________________________________pv2" localSheetId="12">NA()</definedName>
    <definedName name="_______________________________________________pv2" localSheetId="0">#REF!</definedName>
    <definedName name="_______________________________________________pv2">#REF!</definedName>
    <definedName name="_______________________________________________rr3">[7]v!$A$2:$E$51</definedName>
    <definedName name="_______________________________________________rrr1">[7]r!$B$1:$I$145</definedName>
    <definedName name="_______________________________________________ss12">[8]rdamdata!$J$8</definedName>
    <definedName name="_______________________________________________ss20">[8]rdamdata!$J$7</definedName>
    <definedName name="_______________________________________________ss40">[8]rdamdata!$J$6</definedName>
    <definedName name="_______________________________________________var1" localSheetId="11">NA()</definedName>
    <definedName name="_______________________________________________var1" localSheetId="12">NA()</definedName>
    <definedName name="_______________________________________________var1" localSheetId="0">#REF!</definedName>
    <definedName name="_______________________________________________var1">#REF!</definedName>
    <definedName name="_______________________________________________var4" localSheetId="11">NA()</definedName>
    <definedName name="_______________________________________________var4" localSheetId="12">NA()</definedName>
    <definedName name="_______________________________________________var4" localSheetId="0">#REF!</definedName>
    <definedName name="_______________________________________________var4">#REF!</definedName>
    <definedName name="______________________________________________bla1">[1]leads!$H$7</definedName>
    <definedName name="______________________________________________can430">40.73</definedName>
    <definedName name="______________________________________________can435">43.3</definedName>
    <definedName name="______________________________________________cur1">[2]r!$F$30</definedName>
    <definedName name="______________________________________________knr2">NA()</definedName>
    <definedName name="______________________________________________l1">[3]leads!$A$3:$E$108</definedName>
    <definedName name="______________________________________________l12" localSheetId="11">NA()</definedName>
    <definedName name="______________________________________________l12" localSheetId="12">NA()</definedName>
    <definedName name="______________________________________________l12" localSheetId="0">#REF!</definedName>
    <definedName name="______________________________________________l12">#REF!</definedName>
    <definedName name="______________________________________________l2">[2]r!$F$29</definedName>
    <definedName name="______________________________________________l3" localSheetId="11">NA()</definedName>
    <definedName name="______________________________________________l3" localSheetId="12">NA()</definedName>
    <definedName name="______________________________________________l3" localSheetId="0">#REF!</definedName>
    <definedName name="______________________________________________l3">#REF!</definedName>
    <definedName name="______________________________________________l4">[4]Sheet1!$W$2:$Y$103</definedName>
    <definedName name="______________________________________________l5" localSheetId="11">NA()</definedName>
    <definedName name="______________________________________________l5" localSheetId="12">NA()</definedName>
    <definedName name="______________________________________________l5" localSheetId="0">#REF!</definedName>
    <definedName name="______________________________________________l5">#REF!</definedName>
    <definedName name="______________________________________________l6">[2]r!$F$4</definedName>
    <definedName name="______________________________________________l7">[5]r!$F$4</definedName>
    <definedName name="______________________________________________l8">[2]r!$F$2</definedName>
    <definedName name="______________________________________________l9">[2]r!$F$3</definedName>
    <definedName name="______________________________________________Met22">NA()</definedName>
    <definedName name="______________________________________________Met45">NA()</definedName>
    <definedName name="______________________________________________MEt55">NA()</definedName>
    <definedName name="______________________________________________Met63">NA()</definedName>
    <definedName name="______________________________________________mm1">[6]r!$F$4</definedName>
    <definedName name="______________________________________________mm1000">NA()</definedName>
    <definedName name="______________________________________________mm11">[2]r!$F$4</definedName>
    <definedName name="______________________________________________mm111">[5]r!$F$4</definedName>
    <definedName name="______________________________________________mm600">NA()</definedName>
    <definedName name="______________________________________________mm800">NA()</definedName>
    <definedName name="______________________________________________pc2" localSheetId="11">NA()</definedName>
    <definedName name="______________________________________________pc2" localSheetId="12">NA()</definedName>
    <definedName name="______________________________________________pc2" localSheetId="0">#REF!</definedName>
    <definedName name="______________________________________________pc2">#REF!</definedName>
    <definedName name="______________________________________________pv2" localSheetId="11">NA()</definedName>
    <definedName name="______________________________________________pv2" localSheetId="12">NA()</definedName>
    <definedName name="______________________________________________pv2" localSheetId="0">#REF!</definedName>
    <definedName name="______________________________________________pv2">#REF!</definedName>
    <definedName name="______________________________________________rr3">[7]v!$A$2:$E$51</definedName>
    <definedName name="______________________________________________rrr1">[7]r!$B$1:$I$145</definedName>
    <definedName name="______________________________________________ss12">[8]rdamdata!$J$8</definedName>
    <definedName name="______________________________________________ss20">[8]rdamdata!$J$7</definedName>
    <definedName name="______________________________________________ss40">[8]rdamdata!$J$6</definedName>
    <definedName name="______________________________________________var1" localSheetId="11">NA()</definedName>
    <definedName name="______________________________________________var1" localSheetId="12">NA()</definedName>
    <definedName name="______________________________________________var1" localSheetId="0">#REF!</definedName>
    <definedName name="______________________________________________var1">#REF!</definedName>
    <definedName name="______________________________________________var4" localSheetId="11">NA()</definedName>
    <definedName name="______________________________________________var4" localSheetId="12">NA()</definedName>
    <definedName name="______________________________________________var4" localSheetId="0">#REF!</definedName>
    <definedName name="______________________________________________var4">#REF!</definedName>
    <definedName name="_____________________________________________bla1">[1]leads!$H$7</definedName>
    <definedName name="_____________________________________________can430">40.73</definedName>
    <definedName name="_____________________________________________can435">43.3</definedName>
    <definedName name="_____________________________________________cur1">[2]r!$F$30</definedName>
    <definedName name="_____________________________________________knr2">NA()</definedName>
    <definedName name="_____________________________________________l1">[3]leads!$A$3:$E$108</definedName>
    <definedName name="_____________________________________________l12" localSheetId="11">NA()</definedName>
    <definedName name="_____________________________________________l12" localSheetId="12">NA()</definedName>
    <definedName name="_____________________________________________l12" localSheetId="0">#REF!</definedName>
    <definedName name="_____________________________________________l12">#REF!</definedName>
    <definedName name="_____________________________________________l2">[2]r!$F$29</definedName>
    <definedName name="_____________________________________________l3" localSheetId="11">NA()</definedName>
    <definedName name="_____________________________________________l3" localSheetId="12">NA()</definedName>
    <definedName name="_____________________________________________l3" localSheetId="0">#REF!</definedName>
    <definedName name="_____________________________________________l3">#REF!</definedName>
    <definedName name="_____________________________________________l4">[4]Sheet1!$W$2:$Y$103</definedName>
    <definedName name="_____________________________________________l5" localSheetId="11">NA()</definedName>
    <definedName name="_____________________________________________l5" localSheetId="12">NA()</definedName>
    <definedName name="_____________________________________________l5" localSheetId="0">#REF!</definedName>
    <definedName name="_____________________________________________l5">#REF!</definedName>
    <definedName name="_____________________________________________l6">[2]r!$F$4</definedName>
    <definedName name="_____________________________________________l7">[5]r!$F$4</definedName>
    <definedName name="_____________________________________________l8">[2]r!$F$2</definedName>
    <definedName name="_____________________________________________l9">[2]r!$F$3</definedName>
    <definedName name="_____________________________________________mm1">[6]r!$F$4</definedName>
    <definedName name="_____________________________________________mm11">[2]r!$F$4</definedName>
    <definedName name="_____________________________________________mm111">[5]r!$F$4</definedName>
    <definedName name="_____________________________________________pc2" localSheetId="11">NA()</definedName>
    <definedName name="_____________________________________________pc2" localSheetId="12">NA()</definedName>
    <definedName name="_____________________________________________pc2" localSheetId="0">#REF!</definedName>
    <definedName name="_____________________________________________pc2">#REF!</definedName>
    <definedName name="_____________________________________________pv2" localSheetId="11">NA()</definedName>
    <definedName name="_____________________________________________pv2" localSheetId="12">NA()</definedName>
    <definedName name="_____________________________________________pv2" localSheetId="0">#REF!</definedName>
    <definedName name="_____________________________________________pv2">#REF!</definedName>
    <definedName name="_____________________________________________rr3">[7]v!$A$2:$E$51</definedName>
    <definedName name="_____________________________________________rrr1">[7]r!$B$1:$I$145</definedName>
    <definedName name="_____________________________________________ss12">[8]rdamdata!$J$8</definedName>
    <definedName name="_____________________________________________ss20">[8]rdamdata!$J$7</definedName>
    <definedName name="_____________________________________________ss40">[8]rdamdata!$J$6</definedName>
    <definedName name="_____________________________________________var1" localSheetId="11">NA()</definedName>
    <definedName name="_____________________________________________var1" localSheetId="12">NA()</definedName>
    <definedName name="_____________________________________________var1" localSheetId="0">#REF!</definedName>
    <definedName name="_____________________________________________var1">#REF!</definedName>
    <definedName name="_____________________________________________var4" localSheetId="11">NA()</definedName>
    <definedName name="_____________________________________________var4" localSheetId="12">NA()</definedName>
    <definedName name="_____________________________________________var4" localSheetId="0">#REF!</definedName>
    <definedName name="_____________________________________________var4">#REF!</definedName>
    <definedName name="____________________________________________bla1">[1]leads!$H$7</definedName>
    <definedName name="____________________________________________can430">40.73</definedName>
    <definedName name="____________________________________________can435">43.3</definedName>
    <definedName name="____________________________________________cur1">[2]r!$F$30</definedName>
    <definedName name="____________________________________________knr2">NA()</definedName>
    <definedName name="____________________________________________l1">[3]leads!$A$3:$E$108</definedName>
    <definedName name="____________________________________________l12" localSheetId="11">NA()</definedName>
    <definedName name="____________________________________________l12" localSheetId="12">NA()</definedName>
    <definedName name="____________________________________________l12" localSheetId="0">#REF!</definedName>
    <definedName name="____________________________________________l12">#REF!</definedName>
    <definedName name="____________________________________________l2">[2]r!$F$29</definedName>
    <definedName name="____________________________________________l3" localSheetId="11">NA()</definedName>
    <definedName name="____________________________________________l3" localSheetId="12">NA()</definedName>
    <definedName name="____________________________________________l3" localSheetId="0">#REF!</definedName>
    <definedName name="____________________________________________l3">#REF!</definedName>
    <definedName name="____________________________________________l4">[4]Sheet1!$W$2:$Y$103</definedName>
    <definedName name="____________________________________________l5" localSheetId="11">NA()</definedName>
    <definedName name="____________________________________________l5" localSheetId="12">NA()</definedName>
    <definedName name="____________________________________________l5" localSheetId="0">#REF!</definedName>
    <definedName name="____________________________________________l5">#REF!</definedName>
    <definedName name="____________________________________________l6">[2]r!$F$4</definedName>
    <definedName name="____________________________________________l7">[5]r!$F$4</definedName>
    <definedName name="____________________________________________l8">[2]r!$F$2</definedName>
    <definedName name="____________________________________________l9">[2]r!$F$3</definedName>
    <definedName name="____________________________________________Met22">NA()</definedName>
    <definedName name="____________________________________________Met45">NA()</definedName>
    <definedName name="____________________________________________MEt55">NA()</definedName>
    <definedName name="____________________________________________Met63">NA()</definedName>
    <definedName name="____________________________________________mm1">[6]r!$F$4</definedName>
    <definedName name="____________________________________________mm1000">NA()</definedName>
    <definedName name="____________________________________________mm11">[2]r!$F$4</definedName>
    <definedName name="____________________________________________mm111">[5]r!$F$4</definedName>
    <definedName name="____________________________________________mm600">NA()</definedName>
    <definedName name="____________________________________________mm800">NA()</definedName>
    <definedName name="____________________________________________pc2" localSheetId="11">NA()</definedName>
    <definedName name="____________________________________________pc2" localSheetId="12">NA()</definedName>
    <definedName name="____________________________________________pc2" localSheetId="0">#REF!</definedName>
    <definedName name="____________________________________________pc2">#REF!</definedName>
    <definedName name="____________________________________________pv2" localSheetId="11">NA()</definedName>
    <definedName name="____________________________________________pv2" localSheetId="12">NA()</definedName>
    <definedName name="____________________________________________pv2" localSheetId="0">#REF!</definedName>
    <definedName name="____________________________________________pv2">#REF!</definedName>
    <definedName name="____________________________________________rr3">[7]v!$A$2:$E$51</definedName>
    <definedName name="____________________________________________rrr1">[7]r!$B$1:$I$145</definedName>
    <definedName name="____________________________________________ss12">[8]rdamdata!$J$8</definedName>
    <definedName name="____________________________________________ss20">[8]rdamdata!$J$7</definedName>
    <definedName name="____________________________________________ss40">[8]rdamdata!$J$6</definedName>
    <definedName name="____________________________________________var1" localSheetId="11">NA()</definedName>
    <definedName name="____________________________________________var1" localSheetId="12">NA()</definedName>
    <definedName name="____________________________________________var1" localSheetId="0">#REF!</definedName>
    <definedName name="____________________________________________var1">#REF!</definedName>
    <definedName name="____________________________________________var4" localSheetId="11">NA()</definedName>
    <definedName name="____________________________________________var4" localSheetId="12">NA()</definedName>
    <definedName name="____________________________________________var4" localSheetId="0">#REF!</definedName>
    <definedName name="____________________________________________var4">#REF!</definedName>
    <definedName name="___________________________________________bla1">[1]leads!$H$7</definedName>
    <definedName name="___________________________________________can430">40.73</definedName>
    <definedName name="___________________________________________can435">43.3</definedName>
    <definedName name="___________________________________________cur1">[2]r!$F$30</definedName>
    <definedName name="___________________________________________knr2">NA()</definedName>
    <definedName name="___________________________________________l1">[3]leads!$A$3:$E$108</definedName>
    <definedName name="___________________________________________l12" localSheetId="11">NA()</definedName>
    <definedName name="___________________________________________l12" localSheetId="12">NA()</definedName>
    <definedName name="___________________________________________l12" localSheetId="0">#REF!</definedName>
    <definedName name="___________________________________________l12">#REF!</definedName>
    <definedName name="___________________________________________l2">[2]r!$F$29</definedName>
    <definedName name="___________________________________________l3" localSheetId="11">NA()</definedName>
    <definedName name="___________________________________________l3" localSheetId="12">NA()</definedName>
    <definedName name="___________________________________________l3" localSheetId="0">#REF!</definedName>
    <definedName name="___________________________________________l3">#REF!</definedName>
    <definedName name="___________________________________________l4">[4]Sheet1!$W$2:$Y$103</definedName>
    <definedName name="___________________________________________l5" localSheetId="11">NA()</definedName>
    <definedName name="___________________________________________l5" localSheetId="12">NA()</definedName>
    <definedName name="___________________________________________l5" localSheetId="0">#REF!</definedName>
    <definedName name="___________________________________________l5">#REF!</definedName>
    <definedName name="___________________________________________l6">[2]r!$F$4</definedName>
    <definedName name="___________________________________________l7">[5]r!$F$4</definedName>
    <definedName name="___________________________________________l8">[2]r!$F$2</definedName>
    <definedName name="___________________________________________l9">[2]r!$F$3</definedName>
    <definedName name="___________________________________________Met22">NA()</definedName>
    <definedName name="___________________________________________Met45">NA()</definedName>
    <definedName name="___________________________________________MEt55">NA()</definedName>
    <definedName name="___________________________________________Met63">NA()</definedName>
    <definedName name="___________________________________________mm1">[6]r!$F$4</definedName>
    <definedName name="___________________________________________mm1000">NA()</definedName>
    <definedName name="___________________________________________mm11">[2]r!$F$4</definedName>
    <definedName name="___________________________________________mm111">[5]r!$F$4</definedName>
    <definedName name="___________________________________________mm600">NA()</definedName>
    <definedName name="___________________________________________mm800">NA()</definedName>
    <definedName name="___________________________________________pc2" localSheetId="11">NA()</definedName>
    <definedName name="___________________________________________pc2" localSheetId="12">NA()</definedName>
    <definedName name="___________________________________________pc2" localSheetId="0">#REF!</definedName>
    <definedName name="___________________________________________pc2">#REF!</definedName>
    <definedName name="___________________________________________pv2" localSheetId="11">NA()</definedName>
    <definedName name="___________________________________________pv2" localSheetId="12">NA()</definedName>
    <definedName name="___________________________________________pv2" localSheetId="0">#REF!</definedName>
    <definedName name="___________________________________________pv2">#REF!</definedName>
    <definedName name="___________________________________________rr3">[7]v!$A$2:$E$51</definedName>
    <definedName name="___________________________________________rrr1">[7]r!$B$1:$I$145</definedName>
    <definedName name="___________________________________________ss12">[8]rdamdata!$J$8</definedName>
    <definedName name="___________________________________________ss20">[8]rdamdata!$J$7</definedName>
    <definedName name="___________________________________________ss40">[8]rdamdata!$J$6</definedName>
    <definedName name="___________________________________________var1" localSheetId="11">NA()</definedName>
    <definedName name="___________________________________________var1" localSheetId="12">NA()</definedName>
    <definedName name="___________________________________________var1" localSheetId="0">#REF!</definedName>
    <definedName name="___________________________________________var1">#REF!</definedName>
    <definedName name="___________________________________________var4" localSheetId="11">NA()</definedName>
    <definedName name="___________________________________________var4" localSheetId="12">NA()</definedName>
    <definedName name="___________________________________________var4" localSheetId="0">#REF!</definedName>
    <definedName name="___________________________________________var4">#REF!</definedName>
    <definedName name="__________________________________________bla1">[1]leads!$H$7</definedName>
    <definedName name="__________________________________________can430">40.73</definedName>
    <definedName name="__________________________________________can435">43.3</definedName>
    <definedName name="__________________________________________cur1">[2]r!$F$30</definedName>
    <definedName name="__________________________________________l1">[3]leads!$A$3:$E$108</definedName>
    <definedName name="__________________________________________l12" localSheetId="11">NA()</definedName>
    <definedName name="__________________________________________l12" localSheetId="12">NA()</definedName>
    <definedName name="__________________________________________l12" localSheetId="0">#REF!</definedName>
    <definedName name="__________________________________________l12">#REF!</definedName>
    <definedName name="__________________________________________l2">[2]r!$F$29</definedName>
    <definedName name="__________________________________________l3" localSheetId="11">NA()</definedName>
    <definedName name="__________________________________________l3" localSheetId="12">NA()</definedName>
    <definedName name="__________________________________________l3" localSheetId="0">#REF!</definedName>
    <definedName name="__________________________________________l3">#REF!</definedName>
    <definedName name="__________________________________________l4">[4]Sheet1!$W$2:$Y$103</definedName>
    <definedName name="__________________________________________l5" localSheetId="11">NA()</definedName>
    <definedName name="__________________________________________l5" localSheetId="12">NA()</definedName>
    <definedName name="__________________________________________l5" localSheetId="0">#REF!</definedName>
    <definedName name="__________________________________________l5">#REF!</definedName>
    <definedName name="__________________________________________l6">[2]r!$F$4</definedName>
    <definedName name="__________________________________________l7">[5]r!$F$4</definedName>
    <definedName name="__________________________________________l8">[2]r!$F$2</definedName>
    <definedName name="__________________________________________l9">[2]r!$F$3</definedName>
    <definedName name="__________________________________________Met22">NA()</definedName>
    <definedName name="__________________________________________Met45">NA()</definedName>
    <definedName name="__________________________________________MEt55">NA()</definedName>
    <definedName name="__________________________________________Met63">NA()</definedName>
    <definedName name="__________________________________________mm1">[6]r!$F$4</definedName>
    <definedName name="__________________________________________mm1000">NA()</definedName>
    <definedName name="__________________________________________mm11">[2]r!$F$4</definedName>
    <definedName name="__________________________________________mm111">[5]r!$F$4</definedName>
    <definedName name="__________________________________________mm600">NA()</definedName>
    <definedName name="__________________________________________mm800">NA()</definedName>
    <definedName name="__________________________________________pc2" localSheetId="11">NA()</definedName>
    <definedName name="__________________________________________pc2" localSheetId="12">NA()</definedName>
    <definedName name="__________________________________________pc2" localSheetId="0">#REF!</definedName>
    <definedName name="__________________________________________pc2">#REF!</definedName>
    <definedName name="__________________________________________pv2" localSheetId="11">NA()</definedName>
    <definedName name="__________________________________________pv2" localSheetId="12">NA()</definedName>
    <definedName name="__________________________________________pv2" localSheetId="0">#REF!</definedName>
    <definedName name="__________________________________________pv2">#REF!</definedName>
    <definedName name="__________________________________________rr3">[7]v!$A$2:$E$51</definedName>
    <definedName name="__________________________________________rrr1">[7]r!$B$1:$I$145</definedName>
    <definedName name="__________________________________________ss12">[8]rdamdata!$J$8</definedName>
    <definedName name="__________________________________________ss20">[8]rdamdata!$J$7</definedName>
    <definedName name="__________________________________________ss40">[8]rdamdata!$J$6</definedName>
    <definedName name="__________________________________________var1" localSheetId="11">NA()</definedName>
    <definedName name="__________________________________________var1" localSheetId="12">NA()</definedName>
    <definedName name="__________________________________________var1" localSheetId="0">#REF!</definedName>
    <definedName name="__________________________________________var1">#REF!</definedName>
    <definedName name="__________________________________________var4" localSheetId="11">NA()</definedName>
    <definedName name="__________________________________________var4" localSheetId="12">NA()</definedName>
    <definedName name="__________________________________________var4" localSheetId="0">#REF!</definedName>
    <definedName name="__________________________________________var4">#REF!</definedName>
    <definedName name="_________________________________________bla1">[1]leads!$H$7</definedName>
    <definedName name="_________________________________________can430">40.73</definedName>
    <definedName name="_________________________________________can435">43.3</definedName>
    <definedName name="_________________________________________cur1">[2]r!$F$30</definedName>
    <definedName name="_________________________________________knr2">NA()</definedName>
    <definedName name="_________________________________________l1">[3]leads!$A$3:$E$108</definedName>
    <definedName name="_________________________________________l12" localSheetId="11">NA()</definedName>
    <definedName name="_________________________________________l12" localSheetId="12">NA()</definedName>
    <definedName name="_________________________________________l12" localSheetId="0">#REF!</definedName>
    <definedName name="_________________________________________l12">#REF!</definedName>
    <definedName name="_________________________________________l2">[2]r!$F$29</definedName>
    <definedName name="_________________________________________l3" localSheetId="11">NA()</definedName>
    <definedName name="_________________________________________l3" localSheetId="12">NA()</definedName>
    <definedName name="_________________________________________l3" localSheetId="0">#REF!</definedName>
    <definedName name="_________________________________________l3">#REF!</definedName>
    <definedName name="_________________________________________l4">[4]Sheet1!$W$2:$Y$103</definedName>
    <definedName name="_________________________________________l5" localSheetId="11">NA()</definedName>
    <definedName name="_________________________________________l5" localSheetId="12">NA()</definedName>
    <definedName name="_________________________________________l5" localSheetId="0">#REF!</definedName>
    <definedName name="_________________________________________l5">#REF!</definedName>
    <definedName name="_________________________________________l6">[2]r!$F$4</definedName>
    <definedName name="_________________________________________l7">[5]r!$F$4</definedName>
    <definedName name="_________________________________________l8">[2]r!$F$2</definedName>
    <definedName name="_________________________________________l9">[2]r!$F$3</definedName>
    <definedName name="_________________________________________Met22">NA()</definedName>
    <definedName name="_________________________________________Met45">NA()</definedName>
    <definedName name="_________________________________________MEt55">NA()</definedName>
    <definedName name="_________________________________________Met63">NA()</definedName>
    <definedName name="_________________________________________mm1">[6]r!$F$4</definedName>
    <definedName name="_________________________________________mm1000">NA()</definedName>
    <definedName name="_________________________________________mm11">[2]r!$F$4</definedName>
    <definedName name="_________________________________________mm111">[5]r!$F$4</definedName>
    <definedName name="_________________________________________mm600">NA()</definedName>
    <definedName name="_________________________________________mm800">NA()</definedName>
    <definedName name="_________________________________________pc2" localSheetId="11">NA()</definedName>
    <definedName name="_________________________________________pc2" localSheetId="12">NA()</definedName>
    <definedName name="_________________________________________pc2" localSheetId="0">#REF!</definedName>
    <definedName name="_________________________________________pc2">#REF!</definedName>
    <definedName name="_________________________________________pv2" localSheetId="11">NA()</definedName>
    <definedName name="_________________________________________pv2" localSheetId="12">NA()</definedName>
    <definedName name="_________________________________________pv2" localSheetId="0">#REF!</definedName>
    <definedName name="_________________________________________pv2">#REF!</definedName>
    <definedName name="_________________________________________rr3">[7]v!$A$2:$E$51</definedName>
    <definedName name="_________________________________________rrr1">[7]r!$B$1:$I$145</definedName>
    <definedName name="_________________________________________ss12">[8]rdamdata!$J$8</definedName>
    <definedName name="_________________________________________ss20">[8]rdamdata!$J$7</definedName>
    <definedName name="_________________________________________ss40">[8]rdamdata!$J$6</definedName>
    <definedName name="_________________________________________var1" localSheetId="11">NA()</definedName>
    <definedName name="_________________________________________var1" localSheetId="12">NA()</definedName>
    <definedName name="_________________________________________var1" localSheetId="0">#REF!</definedName>
    <definedName name="_________________________________________var1">#REF!</definedName>
    <definedName name="_________________________________________var4" localSheetId="11">NA()</definedName>
    <definedName name="_________________________________________var4" localSheetId="12">NA()</definedName>
    <definedName name="_________________________________________var4" localSheetId="0">#REF!</definedName>
    <definedName name="_________________________________________var4">#REF!</definedName>
    <definedName name="________________________________________bla1">[1]leads!$H$7</definedName>
    <definedName name="________________________________________can430">40.73</definedName>
    <definedName name="________________________________________can435">43.3</definedName>
    <definedName name="________________________________________cur1">[2]r!$F$30</definedName>
    <definedName name="________________________________________knr2" localSheetId="11">NA()</definedName>
    <definedName name="________________________________________knr2" localSheetId="12">NA()</definedName>
    <definedName name="________________________________________knr2" localSheetId="0">#REF!</definedName>
    <definedName name="________________________________________knr2">#REF!</definedName>
    <definedName name="________________________________________l1">[3]leads!$A$3:$E$108</definedName>
    <definedName name="________________________________________l12" localSheetId="11">NA()</definedName>
    <definedName name="________________________________________l12" localSheetId="12">NA()</definedName>
    <definedName name="________________________________________l12" localSheetId="0">#REF!</definedName>
    <definedName name="________________________________________l12">#REF!</definedName>
    <definedName name="________________________________________l2">[2]r!$F$29</definedName>
    <definedName name="________________________________________l3" localSheetId="11">NA()</definedName>
    <definedName name="________________________________________l3" localSheetId="12">NA()</definedName>
    <definedName name="________________________________________l3" localSheetId="0">#REF!</definedName>
    <definedName name="________________________________________l3">#REF!</definedName>
    <definedName name="________________________________________l4">[4]Sheet1!$W$2:$Y$103</definedName>
    <definedName name="________________________________________l5" localSheetId="11">NA()</definedName>
    <definedName name="________________________________________l5" localSheetId="12">NA()</definedName>
    <definedName name="________________________________________l5" localSheetId="0">#REF!</definedName>
    <definedName name="________________________________________l5">#REF!</definedName>
    <definedName name="________________________________________l6">[2]r!$F$4</definedName>
    <definedName name="________________________________________l7">[5]r!$F$4</definedName>
    <definedName name="________________________________________l8">[2]r!$F$2</definedName>
    <definedName name="________________________________________l9">[2]r!$F$3</definedName>
    <definedName name="________________________________________Met22">NA()</definedName>
    <definedName name="________________________________________Met45">NA()</definedName>
    <definedName name="________________________________________MEt55">NA()</definedName>
    <definedName name="________________________________________Met63">NA()</definedName>
    <definedName name="________________________________________mm1">[6]r!$F$4</definedName>
    <definedName name="________________________________________mm1000">NA()</definedName>
    <definedName name="________________________________________mm11">[2]r!$F$4</definedName>
    <definedName name="________________________________________mm111">[5]r!$F$4</definedName>
    <definedName name="________________________________________mm600">NA()</definedName>
    <definedName name="________________________________________mm800">NA()</definedName>
    <definedName name="________________________________________pc2" localSheetId="11">NA()</definedName>
    <definedName name="________________________________________pc2" localSheetId="12">NA()</definedName>
    <definedName name="________________________________________pc2" localSheetId="0">#REF!</definedName>
    <definedName name="________________________________________pc2">#REF!</definedName>
    <definedName name="________________________________________pv2" localSheetId="11">NA()</definedName>
    <definedName name="________________________________________pv2" localSheetId="12">NA()</definedName>
    <definedName name="________________________________________pv2" localSheetId="0">#REF!</definedName>
    <definedName name="________________________________________pv2">#REF!</definedName>
    <definedName name="________________________________________rr3">[7]v!$A$2:$E$51</definedName>
    <definedName name="________________________________________rrr1">[7]r!$B$1:$I$145</definedName>
    <definedName name="________________________________________ss12">[8]rdamdata!$J$8</definedName>
    <definedName name="________________________________________ss20">[8]rdamdata!$J$7</definedName>
    <definedName name="________________________________________ss40">[8]rdamdata!$J$6</definedName>
    <definedName name="________________________________________var1" localSheetId="11">NA()</definedName>
    <definedName name="________________________________________var1" localSheetId="12">NA()</definedName>
    <definedName name="________________________________________var1" localSheetId="0">#REF!</definedName>
    <definedName name="________________________________________var1">#REF!</definedName>
    <definedName name="________________________________________var4" localSheetId="11">NA()</definedName>
    <definedName name="________________________________________var4" localSheetId="12">NA()</definedName>
    <definedName name="________________________________________var4" localSheetId="0">#REF!</definedName>
    <definedName name="________________________________________var4">#REF!</definedName>
    <definedName name="_______________________________________bla1">[1]leads!$H$7</definedName>
    <definedName name="_______________________________________can430">40.73</definedName>
    <definedName name="_______________________________________can435">43.3</definedName>
    <definedName name="_______________________________________cur1">[2]r!$F$30</definedName>
    <definedName name="_______________________________________knr2">NA()</definedName>
    <definedName name="_______________________________________l1">[3]leads!$A$3:$E$108</definedName>
    <definedName name="_______________________________________l12" localSheetId="11">NA()</definedName>
    <definedName name="_______________________________________l12" localSheetId="12">NA()</definedName>
    <definedName name="_______________________________________l12" localSheetId="0">#REF!</definedName>
    <definedName name="_______________________________________l12">#REF!</definedName>
    <definedName name="_______________________________________l2">[2]r!$F$29</definedName>
    <definedName name="_______________________________________l3" localSheetId="11">NA()</definedName>
    <definedName name="_______________________________________l3" localSheetId="12">NA()</definedName>
    <definedName name="_______________________________________l3" localSheetId="0">#REF!</definedName>
    <definedName name="_______________________________________l3">#REF!</definedName>
    <definedName name="_______________________________________l4">[4]Sheet1!$W$2:$Y$103</definedName>
    <definedName name="_______________________________________l5" localSheetId="11">NA()</definedName>
    <definedName name="_______________________________________l5" localSheetId="12">NA()</definedName>
    <definedName name="_______________________________________l5" localSheetId="0">#REF!</definedName>
    <definedName name="_______________________________________l5">#REF!</definedName>
    <definedName name="_______________________________________l6">[2]r!$F$4</definedName>
    <definedName name="_______________________________________l7">[5]r!$F$4</definedName>
    <definedName name="_______________________________________l8">[2]r!$F$2</definedName>
    <definedName name="_______________________________________l9">[2]r!$F$3</definedName>
    <definedName name="_______________________________________Met22">NA()</definedName>
    <definedName name="_______________________________________Met45">NA()</definedName>
    <definedName name="_______________________________________MEt55">NA()</definedName>
    <definedName name="_______________________________________Met63">NA()</definedName>
    <definedName name="_______________________________________mm1">[6]r!$F$4</definedName>
    <definedName name="_______________________________________mm1000">NA()</definedName>
    <definedName name="_______________________________________mm11">[2]r!$F$4</definedName>
    <definedName name="_______________________________________mm111">[5]r!$F$4</definedName>
    <definedName name="_______________________________________mm600">NA()</definedName>
    <definedName name="_______________________________________mm800">NA()</definedName>
    <definedName name="_______________________________________pc2" localSheetId="11">NA()</definedName>
    <definedName name="_______________________________________pc2" localSheetId="12">NA()</definedName>
    <definedName name="_______________________________________pc2" localSheetId="0">#REF!</definedName>
    <definedName name="_______________________________________pc2">#REF!</definedName>
    <definedName name="_______________________________________pv2" localSheetId="11">NA()</definedName>
    <definedName name="_______________________________________pv2" localSheetId="12">NA()</definedName>
    <definedName name="_______________________________________pv2" localSheetId="0">#REF!</definedName>
    <definedName name="_______________________________________pv2">#REF!</definedName>
    <definedName name="_______________________________________rr3">[7]v!$A$2:$E$51</definedName>
    <definedName name="_______________________________________rrr1">[7]r!$B$1:$I$145</definedName>
    <definedName name="_______________________________________ss12">[8]rdamdata!$J$8</definedName>
    <definedName name="_______________________________________ss20">[8]rdamdata!$J$7</definedName>
    <definedName name="_______________________________________ss40">[8]rdamdata!$J$6</definedName>
    <definedName name="_______________________________________var1" localSheetId="11">NA()</definedName>
    <definedName name="_______________________________________var1" localSheetId="12">NA()</definedName>
    <definedName name="_______________________________________var1" localSheetId="0">#REF!</definedName>
    <definedName name="_______________________________________var1">#REF!</definedName>
    <definedName name="_______________________________________var4" localSheetId="11">NA()</definedName>
    <definedName name="_______________________________________var4" localSheetId="12">NA()</definedName>
    <definedName name="_______________________________________var4" localSheetId="0">#REF!</definedName>
    <definedName name="_______________________________________var4">#REF!</definedName>
    <definedName name="______________________________________bla1">[1]leads!$H$7</definedName>
    <definedName name="______________________________________can430">40.73</definedName>
    <definedName name="______________________________________can435">43.3</definedName>
    <definedName name="______________________________________cur1">[2]r!$F$30</definedName>
    <definedName name="______________________________________knr2" localSheetId="11">NA()</definedName>
    <definedName name="______________________________________knr2" localSheetId="12">NA()</definedName>
    <definedName name="______________________________________knr2" localSheetId="0">#REF!</definedName>
    <definedName name="______________________________________knr2">#REF!</definedName>
    <definedName name="______________________________________l1">[3]leads!$A$3:$E$108</definedName>
    <definedName name="______________________________________l12" localSheetId="11">NA()</definedName>
    <definedName name="______________________________________l12" localSheetId="12">NA()</definedName>
    <definedName name="______________________________________l12" localSheetId="0">#REF!</definedName>
    <definedName name="______________________________________l12">#REF!</definedName>
    <definedName name="______________________________________l2">[2]r!$F$29</definedName>
    <definedName name="______________________________________l3" localSheetId="11">NA()</definedName>
    <definedName name="______________________________________l3" localSheetId="12">NA()</definedName>
    <definedName name="______________________________________l3" localSheetId="0">#REF!</definedName>
    <definedName name="______________________________________l3">#REF!</definedName>
    <definedName name="______________________________________l4">[4]Sheet1!$W$2:$Y$103</definedName>
    <definedName name="______________________________________l5" localSheetId="11">NA()</definedName>
    <definedName name="______________________________________l5" localSheetId="12">NA()</definedName>
    <definedName name="______________________________________l5" localSheetId="0">#REF!</definedName>
    <definedName name="______________________________________l5">#REF!</definedName>
    <definedName name="______________________________________l6">[2]r!$F$4</definedName>
    <definedName name="______________________________________l7">[5]r!$F$4</definedName>
    <definedName name="______________________________________l8">[2]r!$F$2</definedName>
    <definedName name="______________________________________l9">[2]r!$F$3</definedName>
    <definedName name="______________________________________Met22">NA()</definedName>
    <definedName name="______________________________________Met45">NA()</definedName>
    <definedName name="______________________________________MEt55">NA()</definedName>
    <definedName name="______________________________________Met63">NA()</definedName>
    <definedName name="______________________________________mm1">[6]r!$F$4</definedName>
    <definedName name="______________________________________mm1000">NA()</definedName>
    <definedName name="______________________________________mm11">[2]r!$F$4</definedName>
    <definedName name="______________________________________mm111">[5]r!$F$4</definedName>
    <definedName name="______________________________________mm600">NA()</definedName>
    <definedName name="______________________________________mm800">NA()</definedName>
    <definedName name="______________________________________pc2" localSheetId="11">NA()</definedName>
    <definedName name="______________________________________pc2" localSheetId="12">NA()</definedName>
    <definedName name="______________________________________pc2" localSheetId="0">#REF!</definedName>
    <definedName name="______________________________________pc2">#REF!</definedName>
    <definedName name="______________________________________pv2" localSheetId="11">NA()</definedName>
    <definedName name="______________________________________pv2" localSheetId="12">NA()</definedName>
    <definedName name="______________________________________pv2" localSheetId="0">#REF!</definedName>
    <definedName name="______________________________________pv2">#REF!</definedName>
    <definedName name="______________________________________rr3">[7]v!$A$2:$E$51</definedName>
    <definedName name="______________________________________rrr1">[7]r!$B$1:$I$145</definedName>
    <definedName name="______________________________________ss12">[8]rdamdata!$J$8</definedName>
    <definedName name="______________________________________ss20">[8]rdamdata!$J$7</definedName>
    <definedName name="______________________________________ss40">[8]rdamdata!$J$6</definedName>
    <definedName name="______________________________________var1" localSheetId="11">NA()</definedName>
    <definedName name="______________________________________var1" localSheetId="12">NA()</definedName>
    <definedName name="______________________________________var1" localSheetId="0">#REF!</definedName>
    <definedName name="______________________________________var1">#REF!</definedName>
    <definedName name="______________________________________var4" localSheetId="11">NA()</definedName>
    <definedName name="______________________________________var4" localSheetId="12">NA()</definedName>
    <definedName name="______________________________________var4" localSheetId="0">#REF!</definedName>
    <definedName name="______________________________________var4">#REF!</definedName>
    <definedName name="_____________________________________bla1">[1]leads!$H$7</definedName>
    <definedName name="_____________________________________can430">40.73</definedName>
    <definedName name="_____________________________________can435">43.3</definedName>
    <definedName name="_____________________________________cur1">[2]r!$F$30</definedName>
    <definedName name="_____________________________________knr2" localSheetId="11">NA()</definedName>
    <definedName name="_____________________________________knr2" localSheetId="12">NA()</definedName>
    <definedName name="_____________________________________knr2" localSheetId="0">#REF!</definedName>
    <definedName name="_____________________________________knr2">#REF!</definedName>
    <definedName name="_____________________________________l1">[3]leads!$A$3:$E$108</definedName>
    <definedName name="_____________________________________l12" localSheetId="11">NA()</definedName>
    <definedName name="_____________________________________l12" localSheetId="12">NA()</definedName>
    <definedName name="_____________________________________l12" localSheetId="0">#REF!</definedName>
    <definedName name="_____________________________________l12">#REF!</definedName>
    <definedName name="_____________________________________l2">[2]r!$F$29</definedName>
    <definedName name="_____________________________________l3" localSheetId="11">NA()</definedName>
    <definedName name="_____________________________________l3" localSheetId="12">NA()</definedName>
    <definedName name="_____________________________________l3" localSheetId="0">#REF!</definedName>
    <definedName name="_____________________________________l3">#REF!</definedName>
    <definedName name="_____________________________________l4">[4]Sheet1!$W$2:$Y$103</definedName>
    <definedName name="_____________________________________l5" localSheetId="11">NA()</definedName>
    <definedName name="_____________________________________l5" localSheetId="12">NA()</definedName>
    <definedName name="_____________________________________l5" localSheetId="0">#REF!</definedName>
    <definedName name="_____________________________________l5">#REF!</definedName>
    <definedName name="_____________________________________l6">[2]r!$F$4</definedName>
    <definedName name="_____________________________________l7">[5]r!$F$4</definedName>
    <definedName name="_____________________________________l8">[2]r!$F$2</definedName>
    <definedName name="_____________________________________l9">[2]r!$F$3</definedName>
    <definedName name="_____________________________________Met22">NA()</definedName>
    <definedName name="_____________________________________Met45">NA()</definedName>
    <definedName name="_____________________________________MEt55">NA()</definedName>
    <definedName name="_____________________________________Met63">NA()</definedName>
    <definedName name="_____________________________________mm1">[6]r!$F$4</definedName>
    <definedName name="_____________________________________mm1000">NA()</definedName>
    <definedName name="_____________________________________mm11">[2]r!$F$4</definedName>
    <definedName name="_____________________________________mm111">[5]r!$F$4</definedName>
    <definedName name="_____________________________________mm600">NA()</definedName>
    <definedName name="_____________________________________mm800">NA()</definedName>
    <definedName name="_____________________________________pc2" localSheetId="11">NA()</definedName>
    <definedName name="_____________________________________pc2" localSheetId="12">NA()</definedName>
    <definedName name="_____________________________________pc2" localSheetId="0">#REF!</definedName>
    <definedName name="_____________________________________pc2">#REF!</definedName>
    <definedName name="_____________________________________pv2" localSheetId="11">NA()</definedName>
    <definedName name="_____________________________________pv2" localSheetId="12">NA()</definedName>
    <definedName name="_____________________________________pv2" localSheetId="0">#REF!</definedName>
    <definedName name="_____________________________________pv2">#REF!</definedName>
    <definedName name="_____________________________________rr3">[7]v!$A$2:$E$51</definedName>
    <definedName name="_____________________________________rrr1">[7]r!$B$1:$I$145</definedName>
    <definedName name="_____________________________________ss12">[8]rdamdata!$J$8</definedName>
    <definedName name="_____________________________________ss20">[8]rdamdata!$J$7</definedName>
    <definedName name="_____________________________________ss40">[8]rdamdata!$J$6</definedName>
    <definedName name="_____________________________________var1" localSheetId="11">NA()</definedName>
    <definedName name="_____________________________________var1" localSheetId="12">NA()</definedName>
    <definedName name="_____________________________________var1" localSheetId="0">#REF!</definedName>
    <definedName name="_____________________________________var1">#REF!</definedName>
    <definedName name="_____________________________________var4" localSheetId="11">NA()</definedName>
    <definedName name="_____________________________________var4" localSheetId="12">NA()</definedName>
    <definedName name="_____________________________________var4" localSheetId="0">#REF!</definedName>
    <definedName name="_____________________________________var4">#REF!</definedName>
    <definedName name="____________________________________bla1">[1]leads!$H$7</definedName>
    <definedName name="____________________________________can430">40.73</definedName>
    <definedName name="____________________________________can435">43.3</definedName>
    <definedName name="____________________________________cur1">[2]r!$F$30</definedName>
    <definedName name="____________________________________knr2">NA()</definedName>
    <definedName name="____________________________________l1">[3]leads!$A$3:$E$108</definedName>
    <definedName name="____________________________________l12" localSheetId="11">NA()</definedName>
    <definedName name="____________________________________l12" localSheetId="12">NA()</definedName>
    <definedName name="____________________________________l12" localSheetId="0">#REF!</definedName>
    <definedName name="____________________________________l12">#REF!</definedName>
    <definedName name="____________________________________l2">[2]r!$F$29</definedName>
    <definedName name="____________________________________l3" localSheetId="11">NA()</definedName>
    <definedName name="____________________________________l3" localSheetId="12">NA()</definedName>
    <definedName name="____________________________________l3" localSheetId="0">#REF!</definedName>
    <definedName name="____________________________________l3">#REF!</definedName>
    <definedName name="____________________________________l4">[4]Sheet1!$W$2:$Y$103</definedName>
    <definedName name="____________________________________l5" localSheetId="11">NA()</definedName>
    <definedName name="____________________________________l5" localSheetId="12">NA()</definedName>
    <definedName name="____________________________________l5" localSheetId="0">#REF!</definedName>
    <definedName name="____________________________________l5">#REF!</definedName>
    <definedName name="____________________________________l6">[2]r!$F$4</definedName>
    <definedName name="____________________________________l7">[5]r!$F$4</definedName>
    <definedName name="____________________________________l8">[2]r!$F$2</definedName>
    <definedName name="____________________________________l9">[2]r!$F$3</definedName>
    <definedName name="____________________________________mm1">[6]r!$F$4</definedName>
    <definedName name="____________________________________mm11">[2]r!$F$4</definedName>
    <definedName name="____________________________________mm111">[5]r!$F$4</definedName>
    <definedName name="____________________________________pc2" localSheetId="11">NA()</definedName>
    <definedName name="____________________________________pc2" localSheetId="12">NA()</definedName>
    <definedName name="____________________________________pc2" localSheetId="0">#REF!</definedName>
    <definedName name="____________________________________pc2">#REF!</definedName>
    <definedName name="____________________________________pv2" localSheetId="11">NA()</definedName>
    <definedName name="____________________________________pv2" localSheetId="12">NA()</definedName>
    <definedName name="____________________________________pv2" localSheetId="0">#REF!</definedName>
    <definedName name="____________________________________pv2">#REF!</definedName>
    <definedName name="____________________________________rr3">[7]v!$A$2:$E$51</definedName>
    <definedName name="____________________________________rrr1">[7]r!$B$1:$I$145</definedName>
    <definedName name="____________________________________ss12">[8]rdamdata!$J$8</definedName>
    <definedName name="____________________________________ss20">[8]rdamdata!$J$7</definedName>
    <definedName name="____________________________________ss40">[8]rdamdata!$J$6</definedName>
    <definedName name="____________________________________var1" localSheetId="11">NA()</definedName>
    <definedName name="____________________________________var1" localSheetId="12">NA()</definedName>
    <definedName name="____________________________________var1" localSheetId="0">#REF!</definedName>
    <definedName name="____________________________________var1">#REF!</definedName>
    <definedName name="____________________________________var4" localSheetId="11">NA()</definedName>
    <definedName name="____________________________________var4" localSheetId="12">NA()</definedName>
    <definedName name="____________________________________var4" localSheetId="0">#REF!</definedName>
    <definedName name="____________________________________var4">#REF!</definedName>
    <definedName name="___________________________________bla1">[1]leads!$H$7</definedName>
    <definedName name="___________________________________can430">40.73</definedName>
    <definedName name="___________________________________can435">43.3</definedName>
    <definedName name="___________________________________cur1">[2]r!$F$30</definedName>
    <definedName name="___________________________________knr2" localSheetId="11">NA()</definedName>
    <definedName name="___________________________________knr2" localSheetId="12">NA()</definedName>
    <definedName name="___________________________________knr2" localSheetId="0">#REF!</definedName>
    <definedName name="___________________________________knr2">#REF!</definedName>
    <definedName name="___________________________________l1">[3]leads!$A$3:$E$108</definedName>
    <definedName name="___________________________________l12" localSheetId="11">NA()</definedName>
    <definedName name="___________________________________l12" localSheetId="12">NA()</definedName>
    <definedName name="___________________________________l12" localSheetId="0">#REF!</definedName>
    <definedName name="___________________________________l12">#REF!</definedName>
    <definedName name="___________________________________l2">[2]r!$F$29</definedName>
    <definedName name="___________________________________l3" localSheetId="11">NA()</definedName>
    <definedName name="___________________________________l3" localSheetId="12">NA()</definedName>
    <definedName name="___________________________________l3" localSheetId="0">#REF!</definedName>
    <definedName name="___________________________________l3">#REF!</definedName>
    <definedName name="___________________________________l4">[4]Sheet1!$W$2:$Y$103</definedName>
    <definedName name="___________________________________l5" localSheetId="11">NA()</definedName>
    <definedName name="___________________________________l5" localSheetId="12">NA()</definedName>
    <definedName name="___________________________________l5" localSheetId="0">#REF!</definedName>
    <definedName name="___________________________________l5">#REF!</definedName>
    <definedName name="___________________________________l6">[2]r!$F$4</definedName>
    <definedName name="___________________________________l7">[5]r!$F$4</definedName>
    <definedName name="___________________________________l8">[2]r!$F$2</definedName>
    <definedName name="___________________________________l9">[2]r!$F$3</definedName>
    <definedName name="___________________________________Met22">NA()</definedName>
    <definedName name="___________________________________Met45">NA()</definedName>
    <definedName name="___________________________________MEt55">NA()</definedName>
    <definedName name="___________________________________Met63">NA()</definedName>
    <definedName name="___________________________________mm1">[6]r!$F$4</definedName>
    <definedName name="___________________________________mm1000">NA()</definedName>
    <definedName name="___________________________________mm11">[2]r!$F$4</definedName>
    <definedName name="___________________________________mm111">[5]r!$F$4</definedName>
    <definedName name="___________________________________mm600">NA()</definedName>
    <definedName name="___________________________________mm800">NA()</definedName>
    <definedName name="___________________________________pc2" localSheetId="11">NA()</definedName>
    <definedName name="___________________________________pc2" localSheetId="12">NA()</definedName>
    <definedName name="___________________________________pc2" localSheetId="0">#REF!</definedName>
    <definedName name="___________________________________pc2">#REF!</definedName>
    <definedName name="___________________________________pv2" localSheetId="11">NA()</definedName>
    <definedName name="___________________________________pv2" localSheetId="12">NA()</definedName>
    <definedName name="___________________________________pv2" localSheetId="0">#REF!</definedName>
    <definedName name="___________________________________pv2">#REF!</definedName>
    <definedName name="___________________________________rr3">[7]v!$A$2:$E$51</definedName>
    <definedName name="___________________________________rrr1">[7]r!$B$1:$I$145</definedName>
    <definedName name="___________________________________ss12">[8]rdamdata!$J$8</definedName>
    <definedName name="___________________________________ss20">[8]rdamdata!$J$7</definedName>
    <definedName name="___________________________________ss40">[8]rdamdata!$J$6</definedName>
    <definedName name="___________________________________var1" localSheetId="11">NA()</definedName>
    <definedName name="___________________________________var1" localSheetId="12">NA()</definedName>
    <definedName name="___________________________________var1" localSheetId="0">#REF!</definedName>
    <definedName name="___________________________________var1">#REF!</definedName>
    <definedName name="___________________________________var4" localSheetId="11">NA()</definedName>
    <definedName name="___________________________________var4" localSheetId="12">NA()</definedName>
    <definedName name="___________________________________var4" localSheetId="0">#REF!</definedName>
    <definedName name="___________________________________var4">#REF!</definedName>
    <definedName name="__________________________________bla1">[1]leads!$H$7</definedName>
    <definedName name="__________________________________can430">40.73</definedName>
    <definedName name="__________________________________can435">43.3</definedName>
    <definedName name="__________________________________cur1">[2]r!$F$30</definedName>
    <definedName name="__________________________________knr2">NA()</definedName>
    <definedName name="__________________________________l1">[3]leads!$A$3:$E$108</definedName>
    <definedName name="__________________________________l12" localSheetId="11">NA()</definedName>
    <definedName name="__________________________________l12" localSheetId="12">NA()</definedName>
    <definedName name="__________________________________l12" localSheetId="0">#REF!</definedName>
    <definedName name="__________________________________l12">#REF!</definedName>
    <definedName name="__________________________________l2">[2]r!$F$29</definedName>
    <definedName name="__________________________________l3" localSheetId="11">NA()</definedName>
    <definedName name="__________________________________l3" localSheetId="12">NA()</definedName>
    <definedName name="__________________________________l3" localSheetId="0">#REF!</definedName>
    <definedName name="__________________________________l3">#REF!</definedName>
    <definedName name="__________________________________l4">[4]Sheet1!$W$2:$Y$103</definedName>
    <definedName name="__________________________________l5" localSheetId="11">NA()</definedName>
    <definedName name="__________________________________l5" localSheetId="12">NA()</definedName>
    <definedName name="__________________________________l5" localSheetId="0">#REF!</definedName>
    <definedName name="__________________________________l5">#REF!</definedName>
    <definedName name="__________________________________l6">[2]r!$F$4</definedName>
    <definedName name="__________________________________l7">[5]r!$F$4</definedName>
    <definedName name="__________________________________l8">[2]r!$F$2</definedName>
    <definedName name="__________________________________l9">[2]r!$F$3</definedName>
    <definedName name="__________________________________Met22">NA()</definedName>
    <definedName name="__________________________________Met45">NA()</definedName>
    <definedName name="__________________________________MEt55">NA()</definedName>
    <definedName name="__________________________________Met63">NA()</definedName>
    <definedName name="__________________________________mm1">[6]r!$F$4</definedName>
    <definedName name="__________________________________mm1000">NA()</definedName>
    <definedName name="__________________________________mm11">[2]r!$F$4</definedName>
    <definedName name="__________________________________mm111">[5]r!$F$4</definedName>
    <definedName name="__________________________________mm600">NA()</definedName>
    <definedName name="__________________________________mm800">NA()</definedName>
    <definedName name="__________________________________pc2" localSheetId="11">NA()</definedName>
    <definedName name="__________________________________pc2" localSheetId="12">NA()</definedName>
    <definedName name="__________________________________pc2" localSheetId="0">#REF!</definedName>
    <definedName name="__________________________________pc2">#REF!</definedName>
    <definedName name="__________________________________pv2" localSheetId="11">NA()</definedName>
    <definedName name="__________________________________pv2" localSheetId="12">NA()</definedName>
    <definedName name="__________________________________pv2" localSheetId="0">#REF!</definedName>
    <definedName name="__________________________________pv2">#REF!</definedName>
    <definedName name="__________________________________rr3">[7]v!$A$2:$E$51</definedName>
    <definedName name="__________________________________rrr1">[7]r!$B$1:$I$145</definedName>
    <definedName name="__________________________________ss12">[8]rdamdata!$J$8</definedName>
    <definedName name="__________________________________ss20">[8]rdamdata!$J$7</definedName>
    <definedName name="__________________________________ss40">[8]rdamdata!$J$6</definedName>
    <definedName name="__________________________________var1" localSheetId="11">NA()</definedName>
    <definedName name="__________________________________var1" localSheetId="12">NA()</definedName>
    <definedName name="__________________________________var1" localSheetId="0">#REF!</definedName>
    <definedName name="__________________________________var1">#REF!</definedName>
    <definedName name="__________________________________var4" localSheetId="11">NA()</definedName>
    <definedName name="__________________________________var4" localSheetId="12">NA()</definedName>
    <definedName name="__________________________________var4" localSheetId="0">#REF!</definedName>
    <definedName name="__________________________________var4">#REF!</definedName>
    <definedName name="_________________________________bla1">[1]leads!$H$7</definedName>
    <definedName name="_________________________________can430">40.73</definedName>
    <definedName name="_________________________________can435">43.3</definedName>
    <definedName name="_________________________________cur1">[2]r!$F$30</definedName>
    <definedName name="_________________________________knr2" localSheetId="11">NA()</definedName>
    <definedName name="_________________________________knr2" localSheetId="12">NA()</definedName>
    <definedName name="_________________________________knr2" localSheetId="0">#REF!</definedName>
    <definedName name="_________________________________knr2">#REF!</definedName>
    <definedName name="_________________________________l1">[3]leads!$A$3:$E$108</definedName>
    <definedName name="_________________________________l12" localSheetId="11">NA()</definedName>
    <definedName name="_________________________________l12" localSheetId="12">NA()</definedName>
    <definedName name="_________________________________l12" localSheetId="0">#REF!</definedName>
    <definedName name="_________________________________l12">#REF!</definedName>
    <definedName name="_________________________________l2">[2]r!$F$29</definedName>
    <definedName name="_________________________________l3" localSheetId="11">NA()</definedName>
    <definedName name="_________________________________l3" localSheetId="12">NA()</definedName>
    <definedName name="_________________________________l3" localSheetId="0">#REF!</definedName>
    <definedName name="_________________________________l3">#REF!</definedName>
    <definedName name="_________________________________l4">[4]Sheet1!$W$2:$Y$103</definedName>
    <definedName name="_________________________________l5" localSheetId="11">NA()</definedName>
    <definedName name="_________________________________l5" localSheetId="12">NA()</definedName>
    <definedName name="_________________________________l5" localSheetId="0">#REF!</definedName>
    <definedName name="_________________________________l5">#REF!</definedName>
    <definedName name="_________________________________l6">[2]r!$F$4</definedName>
    <definedName name="_________________________________l7">[5]r!$F$4</definedName>
    <definedName name="_________________________________l8">[2]r!$F$2</definedName>
    <definedName name="_________________________________l9">[2]r!$F$3</definedName>
    <definedName name="_________________________________Met22">NA()</definedName>
    <definedName name="_________________________________Met45">NA()</definedName>
    <definedName name="_________________________________MEt55">NA()</definedName>
    <definedName name="_________________________________Met63">NA()</definedName>
    <definedName name="_________________________________mm1">[6]r!$F$4</definedName>
    <definedName name="_________________________________mm1000">NA()</definedName>
    <definedName name="_________________________________mm11">[2]r!$F$4</definedName>
    <definedName name="_________________________________mm111">[5]r!$F$4</definedName>
    <definedName name="_________________________________mm600">NA()</definedName>
    <definedName name="_________________________________mm800">NA()</definedName>
    <definedName name="_________________________________pc2" localSheetId="11">NA()</definedName>
    <definedName name="_________________________________pc2" localSheetId="12">NA()</definedName>
    <definedName name="_________________________________pc2" localSheetId="0">#REF!</definedName>
    <definedName name="_________________________________pc2">#REF!</definedName>
    <definedName name="_________________________________pv2" localSheetId="11">NA()</definedName>
    <definedName name="_________________________________pv2" localSheetId="12">NA()</definedName>
    <definedName name="_________________________________pv2" localSheetId="0">#REF!</definedName>
    <definedName name="_________________________________pv2">#REF!</definedName>
    <definedName name="_________________________________rr3">[7]v!$A$2:$E$51</definedName>
    <definedName name="_________________________________rrr1">[7]r!$B$1:$I$145</definedName>
    <definedName name="_________________________________ss12">[8]rdamdata!$J$8</definedName>
    <definedName name="_________________________________ss20">[8]rdamdata!$J$7</definedName>
    <definedName name="_________________________________ss40">[8]rdamdata!$J$6</definedName>
    <definedName name="_________________________________var1" localSheetId="11">NA()</definedName>
    <definedName name="_________________________________var1" localSheetId="12">NA()</definedName>
    <definedName name="_________________________________var1" localSheetId="0">#REF!</definedName>
    <definedName name="_________________________________var1">#REF!</definedName>
    <definedName name="_________________________________var4" localSheetId="11">NA()</definedName>
    <definedName name="_________________________________var4" localSheetId="12">NA()</definedName>
    <definedName name="_________________________________var4" localSheetId="0">#REF!</definedName>
    <definedName name="_________________________________var4">#REF!</definedName>
    <definedName name="________________________________bla1">[1]leads!$H$7</definedName>
    <definedName name="________________________________BSG100">NA()</definedName>
    <definedName name="________________________________BSG150">NA()</definedName>
    <definedName name="________________________________BSG5">NA()</definedName>
    <definedName name="________________________________BSG75">NA()</definedName>
    <definedName name="________________________________BTC13">NA()</definedName>
    <definedName name="________________________________BTC14">NA()</definedName>
    <definedName name="________________________________BTC15">NA()</definedName>
    <definedName name="________________________________BTC16">NA()</definedName>
    <definedName name="________________________________BTC17">NA()</definedName>
    <definedName name="________________________________BTC18">NA()</definedName>
    <definedName name="________________________________BTC19">NA()</definedName>
    <definedName name="________________________________BTC20">NA()</definedName>
    <definedName name="________________________________BTC21">NA()</definedName>
    <definedName name="________________________________BTC22">NA()</definedName>
    <definedName name="________________________________BTC23">NA()</definedName>
    <definedName name="________________________________BTC24">NA()</definedName>
    <definedName name="________________________________BTR13">NA()</definedName>
    <definedName name="________________________________BTR14">NA()</definedName>
    <definedName name="________________________________BTR15">NA()</definedName>
    <definedName name="________________________________BTR16">NA()</definedName>
    <definedName name="________________________________BTR17">NA()</definedName>
    <definedName name="________________________________BTR18">NA()</definedName>
    <definedName name="________________________________BTR19">NA()</definedName>
    <definedName name="________________________________BTR20">NA()</definedName>
    <definedName name="________________________________BTR21">NA()</definedName>
    <definedName name="________________________________BTR22">NA()</definedName>
    <definedName name="________________________________BTR23">NA()</definedName>
    <definedName name="________________________________BTR24">NA()</definedName>
    <definedName name="________________________________BTS13">NA()</definedName>
    <definedName name="________________________________BTS14">NA()</definedName>
    <definedName name="________________________________BTS15">NA()</definedName>
    <definedName name="________________________________BTS16">NA()</definedName>
    <definedName name="________________________________BTS17">NA()</definedName>
    <definedName name="________________________________BTS18">NA()</definedName>
    <definedName name="________________________________BTS19">NA()</definedName>
    <definedName name="________________________________BTS20">NA()</definedName>
    <definedName name="________________________________BTS21">NA()</definedName>
    <definedName name="________________________________BTS22">NA()</definedName>
    <definedName name="________________________________BTS23">NA()</definedName>
    <definedName name="________________________________BTS24">NA()</definedName>
    <definedName name="________________________________can430">40.73</definedName>
    <definedName name="________________________________can435">43.3</definedName>
    <definedName name="________________________________cur1">[2]r!$F$30</definedName>
    <definedName name="________________________________GBS113">NA()</definedName>
    <definedName name="________________________________GBS114">NA()</definedName>
    <definedName name="________________________________GBS115">NA()</definedName>
    <definedName name="________________________________GBS116">NA()</definedName>
    <definedName name="________________________________GBS117">NA()</definedName>
    <definedName name="________________________________GBS118">NA()</definedName>
    <definedName name="________________________________GBS119">NA()</definedName>
    <definedName name="________________________________GBS120">NA()</definedName>
    <definedName name="________________________________GBS121">NA()</definedName>
    <definedName name="________________________________GBS122">NA()</definedName>
    <definedName name="________________________________GBS123">NA()</definedName>
    <definedName name="________________________________GBS124">NA()</definedName>
    <definedName name="________________________________GBS213">NA()</definedName>
    <definedName name="________________________________GBS214">NA()</definedName>
    <definedName name="________________________________GBS215">NA()</definedName>
    <definedName name="________________________________GBS216">NA()</definedName>
    <definedName name="________________________________GBS217">NA()</definedName>
    <definedName name="________________________________GBS218">NA()</definedName>
    <definedName name="________________________________GBS219">NA()</definedName>
    <definedName name="________________________________GBS220">NA()</definedName>
    <definedName name="________________________________GBS221">NA()</definedName>
    <definedName name="________________________________GBS222">NA()</definedName>
    <definedName name="________________________________GBS223">NA()</definedName>
    <definedName name="________________________________GBS224">NA()</definedName>
    <definedName name="________________________________knr2">NA()</definedName>
    <definedName name="________________________________l1">[3]leads!$A$3:$E$108</definedName>
    <definedName name="________________________________l12" localSheetId="11">NA()</definedName>
    <definedName name="________________________________l12" localSheetId="12">NA()</definedName>
    <definedName name="________________________________l12" localSheetId="0">#REF!</definedName>
    <definedName name="________________________________l12">#REF!</definedName>
    <definedName name="________________________________l2">[2]r!$F$29</definedName>
    <definedName name="________________________________l3" localSheetId="11">NA()</definedName>
    <definedName name="________________________________l3" localSheetId="12">NA()</definedName>
    <definedName name="________________________________l3" localSheetId="0">#REF!</definedName>
    <definedName name="________________________________l3">#REF!</definedName>
    <definedName name="________________________________l4">[4]Sheet1!$W$2:$Y$103</definedName>
    <definedName name="________________________________l5" localSheetId="11">NA()</definedName>
    <definedName name="________________________________l5" localSheetId="12">NA()</definedName>
    <definedName name="________________________________l5" localSheetId="0">#REF!</definedName>
    <definedName name="________________________________l5">#REF!</definedName>
    <definedName name="________________________________l6">[2]r!$F$4</definedName>
    <definedName name="________________________________l7">[5]r!$F$4</definedName>
    <definedName name="________________________________l8">[2]r!$F$2</definedName>
    <definedName name="________________________________l9">[2]r!$F$3</definedName>
    <definedName name="________________________________Met22">NA()</definedName>
    <definedName name="________________________________Met45">NA()</definedName>
    <definedName name="________________________________MEt55">NA()</definedName>
    <definedName name="________________________________Met63">NA()</definedName>
    <definedName name="________________________________ML213">NA()</definedName>
    <definedName name="________________________________ML214">NA()</definedName>
    <definedName name="________________________________ML215">NA()</definedName>
    <definedName name="________________________________ML216">NA()</definedName>
    <definedName name="________________________________ML217">NA()</definedName>
    <definedName name="________________________________ML218">NA()</definedName>
    <definedName name="________________________________ML219">NA()</definedName>
    <definedName name="________________________________ML220">NA()</definedName>
    <definedName name="________________________________ML221">NA()</definedName>
    <definedName name="________________________________ML222">NA()</definedName>
    <definedName name="________________________________ML223">NA()</definedName>
    <definedName name="________________________________ML224">NA()</definedName>
    <definedName name="________________________________ML313">NA()</definedName>
    <definedName name="________________________________ML314">NA()</definedName>
    <definedName name="________________________________ML315">NA()</definedName>
    <definedName name="________________________________ML316">NA()</definedName>
    <definedName name="________________________________ML317">NA()</definedName>
    <definedName name="________________________________ML318">NA()</definedName>
    <definedName name="________________________________ML319">NA()</definedName>
    <definedName name="________________________________ML320">NA()</definedName>
    <definedName name="________________________________ML321">NA()</definedName>
    <definedName name="________________________________ML322">NA()</definedName>
    <definedName name="________________________________ML323">NA()</definedName>
    <definedName name="________________________________ML324">NA()</definedName>
    <definedName name="________________________________mm1">[6]r!$F$4</definedName>
    <definedName name="________________________________mm1000">NA()</definedName>
    <definedName name="________________________________mm11">[2]r!$F$4</definedName>
    <definedName name="________________________________mm111">[5]r!$F$4</definedName>
    <definedName name="________________________________mm600">NA()</definedName>
    <definedName name="________________________________mm800">NA()</definedName>
    <definedName name="________________________________PC13">NA()</definedName>
    <definedName name="________________________________PC14">NA()</definedName>
    <definedName name="________________________________PC15">NA()</definedName>
    <definedName name="________________________________PC16">NA()</definedName>
    <definedName name="________________________________PC17">NA()</definedName>
    <definedName name="________________________________PC18">NA()</definedName>
    <definedName name="________________________________PC19">NA()</definedName>
    <definedName name="________________________________pc2" localSheetId="11">NA()</definedName>
    <definedName name="________________________________pc2" localSheetId="12">NA()</definedName>
    <definedName name="________________________________pc2" localSheetId="0">#REF!</definedName>
    <definedName name="________________________________pc2">#REF!</definedName>
    <definedName name="________________________________PC20">NA()</definedName>
    <definedName name="________________________________PC21">NA()</definedName>
    <definedName name="________________________________PC22">NA()</definedName>
    <definedName name="________________________________PC23">NA()</definedName>
    <definedName name="________________________________PC24">NA()</definedName>
    <definedName name="________________________________pv2" localSheetId="11">NA()</definedName>
    <definedName name="________________________________pv2" localSheetId="12">NA()</definedName>
    <definedName name="________________________________pv2" localSheetId="0">#REF!</definedName>
    <definedName name="________________________________pv2">#REF!</definedName>
    <definedName name="________________________________rr3">[7]v!$A$2:$E$51</definedName>
    <definedName name="________________________________rrr1">[7]r!$B$1:$I$145</definedName>
    <definedName name="________________________________ss12">[8]rdamdata!$J$8</definedName>
    <definedName name="________________________________ss20">[8]rdamdata!$J$7</definedName>
    <definedName name="________________________________ss40">[8]rdamdata!$J$6</definedName>
    <definedName name="________________________________var1" localSheetId="11">NA()</definedName>
    <definedName name="________________________________var1" localSheetId="12">NA()</definedName>
    <definedName name="________________________________var1" localSheetId="0">#REF!</definedName>
    <definedName name="________________________________var1">#REF!</definedName>
    <definedName name="________________________________var4" localSheetId="11">NA()</definedName>
    <definedName name="________________________________var4" localSheetId="12">NA()</definedName>
    <definedName name="________________________________var4" localSheetId="0">#REF!</definedName>
    <definedName name="________________________________var4">#REF!</definedName>
    <definedName name="_______________________________bla1">[1]leads!$H$7</definedName>
    <definedName name="_______________________________BSG100">NA()</definedName>
    <definedName name="_______________________________BSG150">NA()</definedName>
    <definedName name="_______________________________BSG5">NA()</definedName>
    <definedName name="_______________________________BSG75">NA()</definedName>
    <definedName name="_______________________________BTC13">NA()</definedName>
    <definedName name="_______________________________BTC14">NA()</definedName>
    <definedName name="_______________________________BTC15">NA()</definedName>
    <definedName name="_______________________________BTC16">NA()</definedName>
    <definedName name="_______________________________BTC17">NA()</definedName>
    <definedName name="_______________________________BTC18">NA()</definedName>
    <definedName name="_______________________________BTC19">NA()</definedName>
    <definedName name="_______________________________BTC20">NA()</definedName>
    <definedName name="_______________________________BTC21">NA()</definedName>
    <definedName name="_______________________________BTC22">NA()</definedName>
    <definedName name="_______________________________BTC23">NA()</definedName>
    <definedName name="_______________________________BTC24">NA()</definedName>
    <definedName name="_______________________________BTR13">NA()</definedName>
    <definedName name="_______________________________BTR14">NA()</definedName>
    <definedName name="_______________________________BTR15">NA()</definedName>
    <definedName name="_______________________________BTR16">NA()</definedName>
    <definedName name="_______________________________BTR17">NA()</definedName>
    <definedName name="_______________________________BTR18">NA()</definedName>
    <definedName name="_______________________________BTR19">NA()</definedName>
    <definedName name="_______________________________BTR20">NA()</definedName>
    <definedName name="_______________________________BTR21">NA()</definedName>
    <definedName name="_______________________________BTR22">NA()</definedName>
    <definedName name="_______________________________BTR23">NA()</definedName>
    <definedName name="_______________________________BTR24">NA()</definedName>
    <definedName name="_______________________________BTS13">NA()</definedName>
    <definedName name="_______________________________BTS14">NA()</definedName>
    <definedName name="_______________________________BTS15">NA()</definedName>
    <definedName name="_______________________________BTS16">NA()</definedName>
    <definedName name="_______________________________BTS17">NA()</definedName>
    <definedName name="_______________________________BTS18">NA()</definedName>
    <definedName name="_______________________________BTS19">NA()</definedName>
    <definedName name="_______________________________BTS20">NA()</definedName>
    <definedName name="_______________________________BTS21">NA()</definedName>
    <definedName name="_______________________________BTS22">NA()</definedName>
    <definedName name="_______________________________BTS23">NA()</definedName>
    <definedName name="_______________________________BTS24">NA()</definedName>
    <definedName name="_______________________________can430">40.73</definedName>
    <definedName name="_______________________________can435">43.3</definedName>
    <definedName name="_______________________________cur1">[2]r!$F$30</definedName>
    <definedName name="_______________________________GBS113">NA()</definedName>
    <definedName name="_______________________________GBS114">NA()</definedName>
    <definedName name="_______________________________GBS115">NA()</definedName>
    <definedName name="_______________________________GBS116">NA()</definedName>
    <definedName name="_______________________________GBS117">NA()</definedName>
    <definedName name="_______________________________GBS118">NA()</definedName>
    <definedName name="_______________________________GBS119">NA()</definedName>
    <definedName name="_______________________________GBS120">NA()</definedName>
    <definedName name="_______________________________GBS121">NA()</definedName>
    <definedName name="_______________________________GBS122">NA()</definedName>
    <definedName name="_______________________________GBS123">NA()</definedName>
    <definedName name="_______________________________GBS124">NA()</definedName>
    <definedName name="_______________________________GBS213">NA()</definedName>
    <definedName name="_______________________________GBS214">NA()</definedName>
    <definedName name="_______________________________GBS215">NA()</definedName>
    <definedName name="_______________________________GBS216">NA()</definedName>
    <definedName name="_______________________________GBS217">NA()</definedName>
    <definedName name="_______________________________GBS218">NA()</definedName>
    <definedName name="_______________________________GBS219">NA()</definedName>
    <definedName name="_______________________________GBS220">NA()</definedName>
    <definedName name="_______________________________GBS221">NA()</definedName>
    <definedName name="_______________________________GBS222">NA()</definedName>
    <definedName name="_______________________________GBS223">NA()</definedName>
    <definedName name="_______________________________GBS224">NA()</definedName>
    <definedName name="_______________________________knr2" localSheetId="11">NA()</definedName>
    <definedName name="_______________________________knr2" localSheetId="12">NA()</definedName>
    <definedName name="_______________________________knr2" localSheetId="0">#REF!</definedName>
    <definedName name="_______________________________knr2">#REF!</definedName>
    <definedName name="_______________________________l1">[3]leads!$A$3:$E$108</definedName>
    <definedName name="_______________________________l12" localSheetId="11">NA()</definedName>
    <definedName name="_______________________________l12" localSheetId="12">NA()</definedName>
    <definedName name="_______________________________l12" localSheetId="0">#REF!</definedName>
    <definedName name="_______________________________l12">#REF!</definedName>
    <definedName name="_______________________________l2">[2]r!$F$29</definedName>
    <definedName name="_______________________________l3" localSheetId="11">NA()</definedName>
    <definedName name="_______________________________l3" localSheetId="12">NA()</definedName>
    <definedName name="_______________________________l3" localSheetId="0">#REF!</definedName>
    <definedName name="_______________________________l3">#REF!</definedName>
    <definedName name="_______________________________l4">[4]Sheet1!$W$2:$Y$103</definedName>
    <definedName name="_______________________________l5" localSheetId="11">NA()</definedName>
    <definedName name="_______________________________l5" localSheetId="12">NA()</definedName>
    <definedName name="_______________________________l5" localSheetId="0">#REF!</definedName>
    <definedName name="_______________________________l5">#REF!</definedName>
    <definedName name="_______________________________l6">[2]r!$F$4</definedName>
    <definedName name="_______________________________l7">[5]r!$F$4</definedName>
    <definedName name="_______________________________l8">[2]r!$F$2</definedName>
    <definedName name="_______________________________l9">[2]r!$F$3</definedName>
    <definedName name="_______________________________MA2">NA()</definedName>
    <definedName name="_______________________________Met22">NA()</definedName>
    <definedName name="_______________________________Met45">NA()</definedName>
    <definedName name="_______________________________MEt55">NA()</definedName>
    <definedName name="_______________________________Met63">NA()</definedName>
    <definedName name="_______________________________ML213">NA()</definedName>
    <definedName name="_______________________________ML214">NA()</definedName>
    <definedName name="_______________________________ML215">NA()</definedName>
    <definedName name="_______________________________ML216">NA()</definedName>
    <definedName name="_______________________________ML217">NA()</definedName>
    <definedName name="_______________________________ML218">NA()</definedName>
    <definedName name="_______________________________ML219">NA()</definedName>
    <definedName name="_______________________________ML220">NA()</definedName>
    <definedName name="_______________________________ML221">NA()</definedName>
    <definedName name="_______________________________ML222">NA()</definedName>
    <definedName name="_______________________________ML223">NA()</definedName>
    <definedName name="_______________________________ML224">NA()</definedName>
    <definedName name="_______________________________ML313">NA()</definedName>
    <definedName name="_______________________________ML314">NA()</definedName>
    <definedName name="_______________________________ML315">NA()</definedName>
    <definedName name="_______________________________ML316">NA()</definedName>
    <definedName name="_______________________________ML317">NA()</definedName>
    <definedName name="_______________________________ML318">NA()</definedName>
    <definedName name="_______________________________ML319">NA()</definedName>
    <definedName name="_______________________________ML320">NA()</definedName>
    <definedName name="_______________________________ML321">NA()</definedName>
    <definedName name="_______________________________ML322">NA()</definedName>
    <definedName name="_______________________________ML323">NA()</definedName>
    <definedName name="_______________________________ML324">NA()</definedName>
    <definedName name="_______________________________mm1">[6]r!$F$4</definedName>
    <definedName name="_______________________________mm1000">NA()</definedName>
    <definedName name="_______________________________mm11">[2]r!$F$4</definedName>
    <definedName name="_______________________________mm111">[5]r!$F$4</definedName>
    <definedName name="_______________________________mm600">NA()</definedName>
    <definedName name="_______________________________mm800">NA()</definedName>
    <definedName name="_______________________________PC13">NA()</definedName>
    <definedName name="_______________________________PC14">NA()</definedName>
    <definedName name="_______________________________PC15">NA()</definedName>
    <definedName name="_______________________________PC16">NA()</definedName>
    <definedName name="_______________________________PC17">NA()</definedName>
    <definedName name="_______________________________PC18">NA()</definedName>
    <definedName name="_______________________________PC19">NA()</definedName>
    <definedName name="_______________________________pc2" localSheetId="11">NA()</definedName>
    <definedName name="_______________________________pc2" localSheetId="12">NA()</definedName>
    <definedName name="_______________________________pc2" localSheetId="0">#REF!</definedName>
    <definedName name="_______________________________pc2">#REF!</definedName>
    <definedName name="_______________________________PC20">NA()</definedName>
    <definedName name="_______________________________PC21">NA()</definedName>
    <definedName name="_______________________________PC22">NA()</definedName>
    <definedName name="_______________________________PC23">NA()</definedName>
    <definedName name="_______________________________PC24">NA()</definedName>
    <definedName name="_______________________________pv2" localSheetId="11">NA()</definedName>
    <definedName name="_______________________________pv2" localSheetId="12">NA()</definedName>
    <definedName name="_______________________________pv2" localSheetId="0">#REF!</definedName>
    <definedName name="_______________________________pv2">#REF!</definedName>
    <definedName name="_______________________________rr3">[7]v!$A$2:$E$51</definedName>
    <definedName name="_______________________________rrr1">[7]r!$B$1:$I$145</definedName>
    <definedName name="_______________________________ss12">[8]rdamdata!$J$8</definedName>
    <definedName name="_______________________________ss20">[8]rdamdata!$J$7</definedName>
    <definedName name="_______________________________ss40">[8]rdamdata!$J$6</definedName>
    <definedName name="_______________________________var1" localSheetId="11">NA()</definedName>
    <definedName name="_______________________________var1" localSheetId="12">NA()</definedName>
    <definedName name="_______________________________var1" localSheetId="0">#REF!</definedName>
    <definedName name="_______________________________var1">#REF!</definedName>
    <definedName name="_______________________________var4" localSheetId="11">NA()</definedName>
    <definedName name="_______________________________var4" localSheetId="12">NA()</definedName>
    <definedName name="_______________________________var4" localSheetId="0">#REF!</definedName>
    <definedName name="_______________________________var4">#REF!</definedName>
    <definedName name="______________________________bla1">[1]leads!$H$7</definedName>
    <definedName name="______________________________BSG100">NA()</definedName>
    <definedName name="______________________________BSG150">NA()</definedName>
    <definedName name="______________________________BSG5">NA()</definedName>
    <definedName name="______________________________BSG75">NA()</definedName>
    <definedName name="______________________________BTC13">NA()</definedName>
    <definedName name="______________________________BTC14">NA()</definedName>
    <definedName name="______________________________BTC15">NA()</definedName>
    <definedName name="______________________________BTC16">NA()</definedName>
    <definedName name="______________________________BTC17">NA()</definedName>
    <definedName name="______________________________BTC18">NA()</definedName>
    <definedName name="______________________________BTC19">NA()</definedName>
    <definedName name="______________________________BTC20">NA()</definedName>
    <definedName name="______________________________BTC21">NA()</definedName>
    <definedName name="______________________________BTC22">NA()</definedName>
    <definedName name="______________________________BTC23">NA()</definedName>
    <definedName name="______________________________BTC24">NA()</definedName>
    <definedName name="______________________________BTR13">NA()</definedName>
    <definedName name="______________________________BTR14">NA()</definedName>
    <definedName name="______________________________BTR15">NA()</definedName>
    <definedName name="______________________________BTR16">NA()</definedName>
    <definedName name="______________________________BTR17">NA()</definedName>
    <definedName name="______________________________BTR18">NA()</definedName>
    <definedName name="______________________________BTR19">NA()</definedName>
    <definedName name="______________________________BTR20">NA()</definedName>
    <definedName name="______________________________BTR21">NA()</definedName>
    <definedName name="______________________________BTR22">NA()</definedName>
    <definedName name="______________________________BTR23">NA()</definedName>
    <definedName name="______________________________BTR24">NA()</definedName>
    <definedName name="______________________________BTS13">NA()</definedName>
    <definedName name="______________________________BTS14">NA()</definedName>
    <definedName name="______________________________BTS15">NA()</definedName>
    <definedName name="______________________________BTS16">NA()</definedName>
    <definedName name="______________________________BTS17">NA()</definedName>
    <definedName name="______________________________BTS18">NA()</definedName>
    <definedName name="______________________________BTS19">NA()</definedName>
    <definedName name="______________________________BTS20">NA()</definedName>
    <definedName name="______________________________BTS21">NA()</definedName>
    <definedName name="______________________________BTS22">NA()</definedName>
    <definedName name="______________________________BTS23">NA()</definedName>
    <definedName name="______________________________BTS24">NA()</definedName>
    <definedName name="______________________________can430">40.73</definedName>
    <definedName name="______________________________can435">43.3</definedName>
    <definedName name="______________________________cur1">[2]r!$F$30</definedName>
    <definedName name="______________________________GBS113">NA()</definedName>
    <definedName name="______________________________GBS114">NA()</definedName>
    <definedName name="______________________________GBS115">NA()</definedName>
    <definedName name="______________________________GBS116">NA()</definedName>
    <definedName name="______________________________GBS117">NA()</definedName>
    <definedName name="______________________________GBS118">NA()</definedName>
    <definedName name="______________________________GBS119">NA()</definedName>
    <definedName name="______________________________GBS120">NA()</definedName>
    <definedName name="______________________________GBS121">NA()</definedName>
    <definedName name="______________________________GBS122">NA()</definedName>
    <definedName name="______________________________GBS123">NA()</definedName>
    <definedName name="______________________________GBS124">NA()</definedName>
    <definedName name="______________________________GBS213">NA()</definedName>
    <definedName name="______________________________GBS214">NA()</definedName>
    <definedName name="______________________________GBS215">NA()</definedName>
    <definedName name="______________________________GBS216">NA()</definedName>
    <definedName name="______________________________GBS217">NA()</definedName>
    <definedName name="______________________________GBS218">NA()</definedName>
    <definedName name="______________________________GBS219">NA()</definedName>
    <definedName name="______________________________GBS220">NA()</definedName>
    <definedName name="______________________________GBS221">NA()</definedName>
    <definedName name="______________________________GBS222">NA()</definedName>
    <definedName name="______________________________GBS223">NA()</definedName>
    <definedName name="______________________________GBS224">NA()</definedName>
    <definedName name="______________________________knr2" localSheetId="11">NA()</definedName>
    <definedName name="______________________________knr2" localSheetId="12">NA()</definedName>
    <definedName name="______________________________knr2" localSheetId="0">#REF!</definedName>
    <definedName name="______________________________knr2">#REF!</definedName>
    <definedName name="______________________________l1">[3]leads!$A$3:$E$108</definedName>
    <definedName name="______________________________l12" localSheetId="11">NA()</definedName>
    <definedName name="______________________________l12" localSheetId="12">NA()</definedName>
    <definedName name="______________________________l12" localSheetId="0">#REF!</definedName>
    <definedName name="______________________________l12">#REF!</definedName>
    <definedName name="______________________________l2">[2]r!$F$29</definedName>
    <definedName name="______________________________l3" localSheetId="11">NA()</definedName>
    <definedName name="______________________________l3" localSheetId="12">NA()</definedName>
    <definedName name="______________________________l3" localSheetId="0">#REF!</definedName>
    <definedName name="______________________________l3">#REF!</definedName>
    <definedName name="______________________________l4">[4]Sheet1!$W$2:$Y$103</definedName>
    <definedName name="______________________________l5" localSheetId="11">NA()</definedName>
    <definedName name="______________________________l5" localSheetId="12">NA()</definedName>
    <definedName name="______________________________l5" localSheetId="0">#REF!</definedName>
    <definedName name="______________________________l5">#REF!</definedName>
    <definedName name="______________________________l6">[2]r!$F$4</definedName>
    <definedName name="______________________________l7">[5]r!$F$4</definedName>
    <definedName name="______________________________l8">[2]r!$F$2</definedName>
    <definedName name="______________________________l9">[2]r!$F$3</definedName>
    <definedName name="______________________________MA1">NA()</definedName>
    <definedName name="______________________________MA2">NA()</definedName>
    <definedName name="______________________________Met22">NA()</definedName>
    <definedName name="______________________________Met45">NA()</definedName>
    <definedName name="______________________________MEt55">NA()</definedName>
    <definedName name="______________________________Met63">NA()</definedName>
    <definedName name="______________________________ML213">NA()</definedName>
    <definedName name="______________________________ML214">NA()</definedName>
    <definedName name="______________________________ML215">NA()</definedName>
    <definedName name="______________________________ML216">NA()</definedName>
    <definedName name="______________________________ML217">NA()</definedName>
    <definedName name="______________________________ML218">NA()</definedName>
    <definedName name="______________________________ML219">NA()</definedName>
    <definedName name="______________________________ML220">NA()</definedName>
    <definedName name="______________________________ML221">NA()</definedName>
    <definedName name="______________________________ML222">NA()</definedName>
    <definedName name="______________________________ML223">NA()</definedName>
    <definedName name="______________________________ML224">NA()</definedName>
    <definedName name="______________________________ML313">NA()</definedName>
    <definedName name="______________________________ML314">NA()</definedName>
    <definedName name="______________________________ML315">NA()</definedName>
    <definedName name="______________________________ML316">NA()</definedName>
    <definedName name="______________________________ML317">NA()</definedName>
    <definedName name="______________________________ML318">NA()</definedName>
    <definedName name="______________________________ML319">NA()</definedName>
    <definedName name="______________________________ML320">NA()</definedName>
    <definedName name="______________________________ML321">NA()</definedName>
    <definedName name="______________________________ML322">NA()</definedName>
    <definedName name="______________________________ML323">NA()</definedName>
    <definedName name="______________________________ML324">NA()</definedName>
    <definedName name="______________________________mm1">[6]r!$F$4</definedName>
    <definedName name="______________________________mm1000">NA()</definedName>
    <definedName name="______________________________mm11">[2]r!$F$4</definedName>
    <definedName name="______________________________mm111">[5]r!$F$4</definedName>
    <definedName name="______________________________mm600">NA()</definedName>
    <definedName name="______________________________mm800">NA()</definedName>
    <definedName name="______________________________PC13">NA()</definedName>
    <definedName name="______________________________PC14">NA()</definedName>
    <definedName name="______________________________PC15">NA()</definedName>
    <definedName name="______________________________PC16">NA()</definedName>
    <definedName name="______________________________PC17">NA()</definedName>
    <definedName name="______________________________PC18">NA()</definedName>
    <definedName name="______________________________PC19">NA()</definedName>
    <definedName name="______________________________pc2" localSheetId="11">NA()</definedName>
    <definedName name="______________________________pc2" localSheetId="12">NA()</definedName>
    <definedName name="______________________________pc2" localSheetId="0">#REF!</definedName>
    <definedName name="______________________________pc2">#REF!</definedName>
    <definedName name="______________________________PC20">NA()</definedName>
    <definedName name="______________________________PC21">NA()</definedName>
    <definedName name="______________________________PC22">NA()</definedName>
    <definedName name="______________________________PC23">NA()</definedName>
    <definedName name="______________________________PC24">NA()</definedName>
    <definedName name="______________________________pv2" localSheetId="11">NA()</definedName>
    <definedName name="______________________________pv2" localSheetId="12">NA()</definedName>
    <definedName name="______________________________pv2" localSheetId="0">#REF!</definedName>
    <definedName name="______________________________pv2">#REF!</definedName>
    <definedName name="______________________________rr3">[7]v!$A$2:$E$51</definedName>
    <definedName name="______________________________rrr1">[7]r!$B$1:$I$145</definedName>
    <definedName name="______________________________ss12">[8]rdamdata!$J$8</definedName>
    <definedName name="______________________________ss20">[8]rdamdata!$J$7</definedName>
    <definedName name="______________________________ss40">[8]rdamdata!$J$6</definedName>
    <definedName name="______________________________var1" localSheetId="11">NA()</definedName>
    <definedName name="______________________________var1" localSheetId="12">NA()</definedName>
    <definedName name="______________________________var1" localSheetId="0">#REF!</definedName>
    <definedName name="______________________________var1">#REF!</definedName>
    <definedName name="______________________________var4" localSheetId="11">NA()</definedName>
    <definedName name="______________________________var4" localSheetId="12">NA()</definedName>
    <definedName name="______________________________var4" localSheetId="0">#REF!</definedName>
    <definedName name="______________________________var4">#REF!</definedName>
    <definedName name="_____________________________bla1">[1]leads!$H$7</definedName>
    <definedName name="_____________________________BSG100">NA()</definedName>
    <definedName name="_____________________________BSG150">NA()</definedName>
    <definedName name="_____________________________BSG5">NA()</definedName>
    <definedName name="_____________________________BSG75">NA()</definedName>
    <definedName name="_____________________________BTC13">NA()</definedName>
    <definedName name="_____________________________BTC14">NA()</definedName>
    <definedName name="_____________________________BTC15">NA()</definedName>
    <definedName name="_____________________________BTC16">NA()</definedName>
    <definedName name="_____________________________BTC17">NA()</definedName>
    <definedName name="_____________________________BTC18">NA()</definedName>
    <definedName name="_____________________________BTC19">NA()</definedName>
    <definedName name="_____________________________BTC20">NA()</definedName>
    <definedName name="_____________________________BTC21">NA()</definedName>
    <definedName name="_____________________________BTC22">NA()</definedName>
    <definedName name="_____________________________BTC23">NA()</definedName>
    <definedName name="_____________________________BTC24">NA()</definedName>
    <definedName name="_____________________________BTR13">NA()</definedName>
    <definedName name="_____________________________BTR14">NA()</definedName>
    <definedName name="_____________________________BTR15">NA()</definedName>
    <definedName name="_____________________________BTR16">NA()</definedName>
    <definedName name="_____________________________BTR17">NA()</definedName>
    <definedName name="_____________________________BTR18">NA()</definedName>
    <definedName name="_____________________________BTR19">NA()</definedName>
    <definedName name="_____________________________BTR20">NA()</definedName>
    <definedName name="_____________________________BTR21">NA()</definedName>
    <definedName name="_____________________________BTR22">NA()</definedName>
    <definedName name="_____________________________BTR23">NA()</definedName>
    <definedName name="_____________________________BTR24">NA()</definedName>
    <definedName name="_____________________________BTS13">NA()</definedName>
    <definedName name="_____________________________BTS14">NA()</definedName>
    <definedName name="_____________________________BTS15">NA()</definedName>
    <definedName name="_____________________________BTS16">NA()</definedName>
    <definedName name="_____________________________BTS17">NA()</definedName>
    <definedName name="_____________________________BTS18">NA()</definedName>
    <definedName name="_____________________________BTS19">NA()</definedName>
    <definedName name="_____________________________BTS20">NA()</definedName>
    <definedName name="_____________________________BTS21">NA()</definedName>
    <definedName name="_____________________________BTS22">NA()</definedName>
    <definedName name="_____________________________BTS23">NA()</definedName>
    <definedName name="_____________________________BTS24">NA()</definedName>
    <definedName name="_____________________________can430">40.73</definedName>
    <definedName name="_____________________________can435">43.3</definedName>
    <definedName name="_____________________________cur1">[2]r!$F$30</definedName>
    <definedName name="_____________________________GBS113">NA()</definedName>
    <definedName name="_____________________________GBS114">NA()</definedName>
    <definedName name="_____________________________GBS115">NA()</definedName>
    <definedName name="_____________________________GBS116">NA()</definedName>
    <definedName name="_____________________________GBS117">NA()</definedName>
    <definedName name="_____________________________GBS118">NA()</definedName>
    <definedName name="_____________________________GBS119">NA()</definedName>
    <definedName name="_____________________________GBS120">NA()</definedName>
    <definedName name="_____________________________GBS121">NA()</definedName>
    <definedName name="_____________________________GBS122">NA()</definedName>
    <definedName name="_____________________________GBS123">NA()</definedName>
    <definedName name="_____________________________GBS124">NA()</definedName>
    <definedName name="_____________________________GBS213">NA()</definedName>
    <definedName name="_____________________________GBS214">NA()</definedName>
    <definedName name="_____________________________GBS215">NA()</definedName>
    <definedName name="_____________________________GBS216">NA()</definedName>
    <definedName name="_____________________________GBS217">NA()</definedName>
    <definedName name="_____________________________GBS218">NA()</definedName>
    <definedName name="_____________________________GBS219">NA()</definedName>
    <definedName name="_____________________________GBS220">NA()</definedName>
    <definedName name="_____________________________GBS221">NA()</definedName>
    <definedName name="_____________________________GBS222">NA()</definedName>
    <definedName name="_____________________________GBS223">NA()</definedName>
    <definedName name="_____________________________GBS224">NA()</definedName>
    <definedName name="_____________________________knr2" localSheetId="11">NA()</definedName>
    <definedName name="_____________________________knr2" localSheetId="12">NA()</definedName>
    <definedName name="_____________________________knr2" localSheetId="0">#REF!</definedName>
    <definedName name="_____________________________knr2">#REF!</definedName>
    <definedName name="_____________________________l1">[3]leads!$A$3:$E$108</definedName>
    <definedName name="_____________________________l12" localSheetId="11">NA()</definedName>
    <definedName name="_____________________________l12" localSheetId="12">NA()</definedName>
    <definedName name="_____________________________l12" localSheetId="0">#REF!</definedName>
    <definedName name="_____________________________l12">#REF!</definedName>
    <definedName name="_____________________________l2">[2]r!$F$29</definedName>
    <definedName name="_____________________________l3" localSheetId="11">NA()</definedName>
    <definedName name="_____________________________l3" localSheetId="12">NA()</definedName>
    <definedName name="_____________________________l3" localSheetId="0">#REF!</definedName>
    <definedName name="_____________________________l3">#REF!</definedName>
    <definedName name="_____________________________l4">[4]Sheet1!$W$2:$Y$103</definedName>
    <definedName name="_____________________________l5" localSheetId="11">NA()</definedName>
    <definedName name="_____________________________l5" localSheetId="12">NA()</definedName>
    <definedName name="_____________________________l5" localSheetId="0">#REF!</definedName>
    <definedName name="_____________________________l5">#REF!</definedName>
    <definedName name="_____________________________l6">[2]r!$F$4</definedName>
    <definedName name="_____________________________l7">[5]r!$F$4</definedName>
    <definedName name="_____________________________l8">[2]r!$F$2</definedName>
    <definedName name="_____________________________l9">[2]r!$F$3</definedName>
    <definedName name="_____________________________MA1">NA()</definedName>
    <definedName name="_____________________________MA2">NA()</definedName>
    <definedName name="_____________________________Met22">NA()</definedName>
    <definedName name="_____________________________Met45">NA()</definedName>
    <definedName name="_____________________________MEt55">NA()</definedName>
    <definedName name="_____________________________Met63">NA()</definedName>
    <definedName name="_____________________________ML213">NA()</definedName>
    <definedName name="_____________________________ML214">NA()</definedName>
    <definedName name="_____________________________ML215">NA()</definedName>
    <definedName name="_____________________________ML216">NA()</definedName>
    <definedName name="_____________________________ML217">NA()</definedName>
    <definedName name="_____________________________ML218">NA()</definedName>
    <definedName name="_____________________________ML219">NA()</definedName>
    <definedName name="_____________________________ML220">NA()</definedName>
    <definedName name="_____________________________ML221">NA()</definedName>
    <definedName name="_____________________________ML222">NA()</definedName>
    <definedName name="_____________________________ML223">NA()</definedName>
    <definedName name="_____________________________ML224">NA()</definedName>
    <definedName name="_____________________________ML313">NA()</definedName>
    <definedName name="_____________________________ML314">NA()</definedName>
    <definedName name="_____________________________ML315">NA()</definedName>
    <definedName name="_____________________________ML316">NA()</definedName>
    <definedName name="_____________________________ML317">NA()</definedName>
    <definedName name="_____________________________ML318">NA()</definedName>
    <definedName name="_____________________________ML319">NA()</definedName>
    <definedName name="_____________________________ML320">NA()</definedName>
    <definedName name="_____________________________ML321">NA()</definedName>
    <definedName name="_____________________________ML322">NA()</definedName>
    <definedName name="_____________________________ML323">NA()</definedName>
    <definedName name="_____________________________ML324">NA()</definedName>
    <definedName name="_____________________________mm1">[6]r!$F$4</definedName>
    <definedName name="_____________________________mm1000">NA()</definedName>
    <definedName name="_____________________________mm11">[2]r!$F$4</definedName>
    <definedName name="_____________________________mm111">[5]r!$F$4</definedName>
    <definedName name="_____________________________mm600">NA()</definedName>
    <definedName name="_____________________________mm800">NA()</definedName>
    <definedName name="_____________________________PC13">NA()</definedName>
    <definedName name="_____________________________PC14">NA()</definedName>
    <definedName name="_____________________________PC15">NA()</definedName>
    <definedName name="_____________________________PC16">NA()</definedName>
    <definedName name="_____________________________PC17">NA()</definedName>
    <definedName name="_____________________________PC18">NA()</definedName>
    <definedName name="_____________________________PC19">NA()</definedName>
    <definedName name="_____________________________pc2" localSheetId="11">NA()</definedName>
    <definedName name="_____________________________pc2" localSheetId="12">NA()</definedName>
    <definedName name="_____________________________pc2" localSheetId="0">#REF!</definedName>
    <definedName name="_____________________________pc2">#REF!</definedName>
    <definedName name="_____________________________PC20">NA()</definedName>
    <definedName name="_____________________________PC21">NA()</definedName>
    <definedName name="_____________________________PC22">NA()</definedName>
    <definedName name="_____________________________PC23">NA()</definedName>
    <definedName name="_____________________________PC24">NA()</definedName>
    <definedName name="_____________________________pv2" localSheetId="11">NA()</definedName>
    <definedName name="_____________________________pv2" localSheetId="12">NA()</definedName>
    <definedName name="_____________________________pv2" localSheetId="0">#REF!</definedName>
    <definedName name="_____________________________pv2">#REF!</definedName>
    <definedName name="_____________________________rr3">[7]v!$A$2:$E$51</definedName>
    <definedName name="_____________________________rrr1">[7]r!$B$1:$I$145</definedName>
    <definedName name="_____________________________ss12">[8]rdamdata!$J$8</definedName>
    <definedName name="_____________________________ss20">[8]rdamdata!$J$7</definedName>
    <definedName name="_____________________________ss40">[8]rdamdata!$J$6</definedName>
    <definedName name="_____________________________var1" localSheetId="11">NA()</definedName>
    <definedName name="_____________________________var1" localSheetId="12">NA()</definedName>
    <definedName name="_____________________________var1" localSheetId="0">#REF!</definedName>
    <definedName name="_____________________________var1">#REF!</definedName>
    <definedName name="_____________________________var4" localSheetId="11">NA()</definedName>
    <definedName name="_____________________________var4" localSheetId="12">NA()</definedName>
    <definedName name="_____________________________var4" localSheetId="0">#REF!</definedName>
    <definedName name="_____________________________var4">#REF!</definedName>
    <definedName name="____________________________bla1">[1]leads!$H$7</definedName>
    <definedName name="____________________________BSG100">NA()</definedName>
    <definedName name="____________________________BSG150">NA()</definedName>
    <definedName name="____________________________BSG5">NA()</definedName>
    <definedName name="____________________________BSG75">NA()</definedName>
    <definedName name="____________________________BTC1">NA()</definedName>
    <definedName name="____________________________BTC10">NA()</definedName>
    <definedName name="____________________________BTC11">NA()</definedName>
    <definedName name="____________________________BTC12">NA()</definedName>
    <definedName name="____________________________BTC13">NA()</definedName>
    <definedName name="____________________________BTC14">NA()</definedName>
    <definedName name="____________________________BTC15">NA()</definedName>
    <definedName name="____________________________BTC16">NA()</definedName>
    <definedName name="____________________________BTC17">NA()</definedName>
    <definedName name="____________________________BTC18">NA()</definedName>
    <definedName name="____________________________BTC19">NA()</definedName>
    <definedName name="____________________________BTC2">NA()</definedName>
    <definedName name="____________________________BTC20">NA()</definedName>
    <definedName name="____________________________BTC21">NA()</definedName>
    <definedName name="____________________________BTC22">NA()</definedName>
    <definedName name="____________________________BTC23">NA()</definedName>
    <definedName name="____________________________BTC24">NA()</definedName>
    <definedName name="____________________________BTC3">NA()</definedName>
    <definedName name="____________________________BTC4">NA()</definedName>
    <definedName name="____________________________BTC5">NA()</definedName>
    <definedName name="____________________________BTC6">NA()</definedName>
    <definedName name="____________________________BTC7">NA()</definedName>
    <definedName name="____________________________BTC8">NA()</definedName>
    <definedName name="____________________________BTC9">NA()</definedName>
    <definedName name="____________________________BTR1">NA()</definedName>
    <definedName name="____________________________BTR10">NA()</definedName>
    <definedName name="____________________________BTR11">NA()</definedName>
    <definedName name="____________________________BTR12">NA()</definedName>
    <definedName name="____________________________BTR13">NA()</definedName>
    <definedName name="____________________________BTR14">NA()</definedName>
    <definedName name="____________________________BTR15">NA()</definedName>
    <definedName name="____________________________BTR16">NA()</definedName>
    <definedName name="____________________________BTR17">NA()</definedName>
    <definedName name="____________________________BTR18">NA()</definedName>
    <definedName name="____________________________BTR19">NA()</definedName>
    <definedName name="____________________________BTR2">NA()</definedName>
    <definedName name="____________________________BTR20">NA()</definedName>
    <definedName name="____________________________BTR21">NA()</definedName>
    <definedName name="____________________________BTR22">NA()</definedName>
    <definedName name="____________________________BTR23">NA()</definedName>
    <definedName name="____________________________BTR24">NA()</definedName>
    <definedName name="____________________________BTR3">NA()</definedName>
    <definedName name="____________________________BTR4">NA()</definedName>
    <definedName name="____________________________BTR5">NA()</definedName>
    <definedName name="____________________________BTR6">NA()</definedName>
    <definedName name="____________________________BTR7">NA()</definedName>
    <definedName name="____________________________BTR8">NA()</definedName>
    <definedName name="____________________________BTR9">NA()</definedName>
    <definedName name="____________________________BTS1">NA()</definedName>
    <definedName name="____________________________BTS10">NA()</definedName>
    <definedName name="____________________________BTS11">NA()</definedName>
    <definedName name="____________________________BTS12">NA()</definedName>
    <definedName name="____________________________BTS13">NA()</definedName>
    <definedName name="____________________________BTS14">NA()</definedName>
    <definedName name="____________________________BTS15">NA()</definedName>
    <definedName name="____________________________BTS16">NA()</definedName>
    <definedName name="____________________________BTS17">NA()</definedName>
    <definedName name="____________________________BTS18">NA()</definedName>
    <definedName name="____________________________BTS19">NA()</definedName>
    <definedName name="____________________________BTS2">NA()</definedName>
    <definedName name="____________________________BTS20">NA()</definedName>
    <definedName name="____________________________BTS21">NA()</definedName>
    <definedName name="____________________________BTS22">NA()</definedName>
    <definedName name="____________________________BTS23">NA()</definedName>
    <definedName name="____________________________BTS24">NA()</definedName>
    <definedName name="____________________________BTS3">NA()</definedName>
    <definedName name="____________________________BTS4">NA()</definedName>
    <definedName name="____________________________BTS5">NA()</definedName>
    <definedName name="____________________________BTS6">NA()</definedName>
    <definedName name="____________________________BTS7">NA()</definedName>
    <definedName name="____________________________BTS8">NA()</definedName>
    <definedName name="____________________________BTS9">NA()</definedName>
    <definedName name="____________________________can430">40.73</definedName>
    <definedName name="____________________________can435">43.3</definedName>
    <definedName name="____________________________cur1">[2]r!$F$30</definedName>
    <definedName name="____________________________GBS11">NA()</definedName>
    <definedName name="____________________________GBS110">NA()</definedName>
    <definedName name="____________________________GBS111">NA()</definedName>
    <definedName name="____________________________GBS112">NA()</definedName>
    <definedName name="____________________________GBS113">NA()</definedName>
    <definedName name="____________________________GBS114">NA()</definedName>
    <definedName name="____________________________GBS115">NA()</definedName>
    <definedName name="____________________________GBS116">NA()</definedName>
    <definedName name="____________________________GBS117">NA()</definedName>
    <definedName name="____________________________GBS118">NA()</definedName>
    <definedName name="____________________________GBS119">NA()</definedName>
    <definedName name="____________________________GBS12">NA()</definedName>
    <definedName name="____________________________GBS120">NA()</definedName>
    <definedName name="____________________________GBS121">NA()</definedName>
    <definedName name="____________________________GBS122">NA()</definedName>
    <definedName name="____________________________GBS123">NA()</definedName>
    <definedName name="____________________________GBS124">NA()</definedName>
    <definedName name="____________________________GBS13">NA()</definedName>
    <definedName name="____________________________GBS14">NA()</definedName>
    <definedName name="____________________________GBS15">NA()</definedName>
    <definedName name="____________________________GBS16">NA()</definedName>
    <definedName name="____________________________GBS17">NA()</definedName>
    <definedName name="____________________________GBS18">NA()</definedName>
    <definedName name="____________________________GBS19">NA()</definedName>
    <definedName name="____________________________GBS21">NA()</definedName>
    <definedName name="____________________________GBS210">NA()</definedName>
    <definedName name="____________________________GBS211">NA()</definedName>
    <definedName name="____________________________GBS212">NA()</definedName>
    <definedName name="____________________________GBS213">NA()</definedName>
    <definedName name="____________________________GBS214">NA()</definedName>
    <definedName name="____________________________GBS215">NA()</definedName>
    <definedName name="____________________________GBS216">NA()</definedName>
    <definedName name="____________________________GBS217">NA()</definedName>
    <definedName name="____________________________GBS218">NA()</definedName>
    <definedName name="____________________________GBS219">NA()</definedName>
    <definedName name="____________________________GBS22">NA()</definedName>
    <definedName name="____________________________GBS220">NA()</definedName>
    <definedName name="____________________________GBS221">NA()</definedName>
    <definedName name="____________________________GBS222">NA()</definedName>
    <definedName name="____________________________GBS223">NA()</definedName>
    <definedName name="____________________________GBS224">NA()</definedName>
    <definedName name="____________________________GBS23">NA()</definedName>
    <definedName name="____________________________GBS24">NA()</definedName>
    <definedName name="____________________________GBS25">NA()</definedName>
    <definedName name="____________________________GBS26">NA()</definedName>
    <definedName name="____________________________GBS27">NA()</definedName>
    <definedName name="____________________________GBS28">NA()</definedName>
    <definedName name="____________________________GBS29">NA()</definedName>
    <definedName name="____________________________knr2" localSheetId="11">NA()</definedName>
    <definedName name="____________________________knr2" localSheetId="12">NA()</definedName>
    <definedName name="____________________________knr2" localSheetId="0">#REF!</definedName>
    <definedName name="____________________________knr2">#REF!</definedName>
    <definedName name="____________________________l1">[3]leads!$A$3:$E$108</definedName>
    <definedName name="____________________________l12" localSheetId="11">NA()</definedName>
    <definedName name="____________________________l12" localSheetId="12">NA()</definedName>
    <definedName name="____________________________l12" localSheetId="0">#REF!</definedName>
    <definedName name="____________________________l12">#REF!</definedName>
    <definedName name="____________________________l2">[2]r!$F$29</definedName>
    <definedName name="____________________________l3" localSheetId="11">NA()</definedName>
    <definedName name="____________________________l3" localSheetId="12">NA()</definedName>
    <definedName name="____________________________l3" localSheetId="0">#REF!</definedName>
    <definedName name="____________________________l3">#REF!</definedName>
    <definedName name="____________________________l4">[4]Sheet1!$W$2:$Y$103</definedName>
    <definedName name="____________________________l5" localSheetId="11">NA()</definedName>
    <definedName name="____________________________l5" localSheetId="12">NA()</definedName>
    <definedName name="____________________________l5" localSheetId="0">#REF!</definedName>
    <definedName name="____________________________l5">#REF!</definedName>
    <definedName name="____________________________l6">[2]r!$F$4</definedName>
    <definedName name="____________________________l7">[5]r!$F$4</definedName>
    <definedName name="____________________________l8">[2]r!$F$2</definedName>
    <definedName name="____________________________l9">[2]r!$F$3</definedName>
    <definedName name="____________________________lj600">NA()</definedName>
    <definedName name="____________________________lj900">NA()</definedName>
    <definedName name="____________________________LL3">NA()</definedName>
    <definedName name="____________________________MA1">NA()</definedName>
    <definedName name="____________________________MA2">NA()</definedName>
    <definedName name="____________________________Met22">NA()</definedName>
    <definedName name="____________________________Met45">NA()</definedName>
    <definedName name="____________________________MEt55">NA()</definedName>
    <definedName name="____________________________Met63">NA()</definedName>
    <definedName name="____________________________ML21">NA()</definedName>
    <definedName name="____________________________ML210">NA()</definedName>
    <definedName name="____________________________ML211">NA()</definedName>
    <definedName name="____________________________ML212">NA()</definedName>
    <definedName name="____________________________ML213">NA()</definedName>
    <definedName name="____________________________ML214">NA()</definedName>
    <definedName name="____________________________ML215">NA()</definedName>
    <definedName name="____________________________ML216">NA()</definedName>
    <definedName name="____________________________ML217">NA()</definedName>
    <definedName name="____________________________ML218">NA()</definedName>
    <definedName name="____________________________ML219">NA()</definedName>
    <definedName name="____________________________ML22">NA()</definedName>
    <definedName name="____________________________ML220">NA()</definedName>
    <definedName name="____________________________ML221">NA()</definedName>
    <definedName name="____________________________ML222">NA()</definedName>
    <definedName name="____________________________ML223">NA()</definedName>
    <definedName name="____________________________ML224">NA()</definedName>
    <definedName name="____________________________ML23">NA()</definedName>
    <definedName name="____________________________ML24">NA()</definedName>
    <definedName name="____________________________ML25">NA()</definedName>
    <definedName name="____________________________ML26">NA()</definedName>
    <definedName name="____________________________ML27">NA()</definedName>
    <definedName name="____________________________ML28">NA()</definedName>
    <definedName name="____________________________ML29">NA()</definedName>
    <definedName name="____________________________ML31">NA()</definedName>
    <definedName name="____________________________ML310">NA()</definedName>
    <definedName name="____________________________ML311">NA()</definedName>
    <definedName name="____________________________ML312">NA()</definedName>
    <definedName name="____________________________ML313">NA()</definedName>
    <definedName name="____________________________ML314">NA()</definedName>
    <definedName name="____________________________ML315">NA()</definedName>
    <definedName name="____________________________ML316">NA()</definedName>
    <definedName name="____________________________ML317">NA()</definedName>
    <definedName name="____________________________ML318">NA()</definedName>
    <definedName name="____________________________ML319">NA()</definedName>
    <definedName name="____________________________ML32">NA()</definedName>
    <definedName name="____________________________ML320">NA()</definedName>
    <definedName name="____________________________ML321">NA()</definedName>
    <definedName name="____________________________ML322">NA()</definedName>
    <definedName name="____________________________ML323">NA()</definedName>
    <definedName name="____________________________ML324">NA()</definedName>
    <definedName name="____________________________ML33">NA()</definedName>
    <definedName name="____________________________ML34">NA()</definedName>
    <definedName name="____________________________ML35">NA()</definedName>
    <definedName name="____________________________ML36">NA()</definedName>
    <definedName name="____________________________ML37">NA()</definedName>
    <definedName name="____________________________ML38">NA()</definedName>
    <definedName name="____________________________ML39">NA()</definedName>
    <definedName name="____________________________ML7">NA()</definedName>
    <definedName name="____________________________ML8">NA()</definedName>
    <definedName name="____________________________ML9">NA()</definedName>
    <definedName name="____________________________mm1">[6]r!$F$4</definedName>
    <definedName name="____________________________mm1000">NA()</definedName>
    <definedName name="____________________________mm11">[2]r!$F$4</definedName>
    <definedName name="____________________________mm111">[5]r!$F$4</definedName>
    <definedName name="____________________________mm600">NA()</definedName>
    <definedName name="____________________________mm800">NA()</definedName>
    <definedName name="____________________________PC1">NA()</definedName>
    <definedName name="____________________________PC10">NA()</definedName>
    <definedName name="____________________________PC11">NA()</definedName>
    <definedName name="____________________________PC12">NA()</definedName>
    <definedName name="____________________________PC13">NA()</definedName>
    <definedName name="____________________________PC14">NA()</definedName>
    <definedName name="____________________________PC15">NA()</definedName>
    <definedName name="____________________________PC16">NA()</definedName>
    <definedName name="____________________________PC17">NA()</definedName>
    <definedName name="____________________________PC18">NA()</definedName>
    <definedName name="____________________________PC19">NA()</definedName>
    <definedName name="____________________________pc2" localSheetId="11">NA()</definedName>
    <definedName name="____________________________pc2" localSheetId="12">NA()</definedName>
    <definedName name="____________________________pc2" localSheetId="0">#REF!</definedName>
    <definedName name="____________________________pc2">#REF!</definedName>
    <definedName name="____________________________PC20">NA()</definedName>
    <definedName name="____________________________PC21">NA()</definedName>
    <definedName name="____________________________PC22">NA()</definedName>
    <definedName name="____________________________PC23">NA()</definedName>
    <definedName name="____________________________PC24">NA()</definedName>
    <definedName name="____________________________PC3">NA()</definedName>
    <definedName name="____________________________PC4">NA()</definedName>
    <definedName name="____________________________PC5">NA()</definedName>
    <definedName name="____________________________PC6">NA()</definedName>
    <definedName name="____________________________pc600">NA()</definedName>
    <definedName name="____________________________PC7">NA()</definedName>
    <definedName name="____________________________PC8">NA()</definedName>
    <definedName name="____________________________PC9">NA()</definedName>
    <definedName name="____________________________pc900">NA()</definedName>
    <definedName name="____________________________pv2" localSheetId="11">NA()</definedName>
    <definedName name="____________________________pv2" localSheetId="12">NA()</definedName>
    <definedName name="____________________________pv2" localSheetId="0">#REF!</definedName>
    <definedName name="____________________________pv2">#REF!</definedName>
    <definedName name="____________________________rr3">[7]v!$A$2:$E$51</definedName>
    <definedName name="____________________________rrr1">[7]r!$B$1:$I$145</definedName>
    <definedName name="____________________________ss12">[8]rdamdata!$J$8</definedName>
    <definedName name="____________________________ss20">[8]rdamdata!$J$7</definedName>
    <definedName name="____________________________ss40">[8]rdamdata!$J$6</definedName>
    <definedName name="____________________________var1" localSheetId="11">NA()</definedName>
    <definedName name="____________________________var1" localSheetId="12">NA()</definedName>
    <definedName name="____________________________var1" localSheetId="0">#REF!</definedName>
    <definedName name="____________________________var1">#REF!</definedName>
    <definedName name="____________________________var4" localSheetId="11">NA()</definedName>
    <definedName name="____________________________var4" localSheetId="12">NA()</definedName>
    <definedName name="____________________________var4" localSheetId="0">#REF!</definedName>
    <definedName name="____________________________var4">#REF!</definedName>
    <definedName name="____________________________vat1">NA()</definedName>
    <definedName name="___________________________bla1">[1]leads!$H$7</definedName>
    <definedName name="___________________________BSG100" localSheetId="11">NA()</definedName>
    <definedName name="___________________________BSG100" localSheetId="12">NA()</definedName>
    <definedName name="___________________________BSG100" localSheetId="0">#REF!</definedName>
    <definedName name="___________________________BSG100">#REF!</definedName>
    <definedName name="___________________________BSG150" localSheetId="11">NA()</definedName>
    <definedName name="___________________________BSG150" localSheetId="12">NA()</definedName>
    <definedName name="___________________________BSG150" localSheetId="0">#REF!</definedName>
    <definedName name="___________________________BSG150">#REF!</definedName>
    <definedName name="___________________________BSG5" localSheetId="11">NA()</definedName>
    <definedName name="___________________________BSG5" localSheetId="12">NA()</definedName>
    <definedName name="___________________________BSG5" localSheetId="0">#REF!</definedName>
    <definedName name="___________________________BSG5">#REF!</definedName>
    <definedName name="___________________________BSG75" localSheetId="11">NA()</definedName>
    <definedName name="___________________________BSG75" localSheetId="12">NA()</definedName>
    <definedName name="___________________________BSG75" localSheetId="0">#REF!</definedName>
    <definedName name="___________________________BSG75">#REF!</definedName>
    <definedName name="___________________________BTC1">NA()</definedName>
    <definedName name="___________________________BTC10">NA()</definedName>
    <definedName name="___________________________BTC11">NA()</definedName>
    <definedName name="___________________________BTC12">NA()</definedName>
    <definedName name="___________________________BTC13" localSheetId="11">NA()</definedName>
    <definedName name="___________________________BTC13" localSheetId="12">NA()</definedName>
    <definedName name="___________________________BTC13" localSheetId="0">#REF!</definedName>
    <definedName name="___________________________BTC13">#REF!</definedName>
    <definedName name="___________________________BTC14" localSheetId="11">NA()</definedName>
    <definedName name="___________________________BTC14" localSheetId="12">NA()</definedName>
    <definedName name="___________________________BTC14" localSheetId="0">#REF!</definedName>
    <definedName name="___________________________BTC14">#REF!</definedName>
    <definedName name="___________________________BTC15" localSheetId="11">NA()</definedName>
    <definedName name="___________________________BTC15" localSheetId="12">NA()</definedName>
    <definedName name="___________________________BTC15" localSheetId="0">#REF!</definedName>
    <definedName name="___________________________BTC15">#REF!</definedName>
    <definedName name="___________________________BTC16" localSheetId="11">NA()</definedName>
    <definedName name="___________________________BTC16" localSheetId="12">NA()</definedName>
    <definedName name="___________________________BTC16" localSheetId="0">#REF!</definedName>
    <definedName name="___________________________BTC16">#REF!</definedName>
    <definedName name="___________________________BTC17" localSheetId="11">NA()</definedName>
    <definedName name="___________________________BTC17" localSheetId="12">NA()</definedName>
    <definedName name="___________________________BTC17" localSheetId="0">#REF!</definedName>
    <definedName name="___________________________BTC17">#REF!</definedName>
    <definedName name="___________________________BTC18" localSheetId="11">NA()</definedName>
    <definedName name="___________________________BTC18" localSheetId="12">NA()</definedName>
    <definedName name="___________________________BTC18" localSheetId="0">#REF!</definedName>
    <definedName name="___________________________BTC18">#REF!</definedName>
    <definedName name="___________________________BTC19" localSheetId="11">NA()</definedName>
    <definedName name="___________________________BTC19" localSheetId="12">NA()</definedName>
    <definedName name="___________________________BTC19" localSheetId="0">#REF!</definedName>
    <definedName name="___________________________BTC19">#REF!</definedName>
    <definedName name="___________________________BTC2">NA()</definedName>
    <definedName name="___________________________BTC20" localSheetId="11">NA()</definedName>
    <definedName name="___________________________BTC20" localSheetId="12">NA()</definedName>
    <definedName name="___________________________BTC20" localSheetId="0">#REF!</definedName>
    <definedName name="___________________________BTC20">#REF!</definedName>
    <definedName name="___________________________BTC21" localSheetId="11">NA()</definedName>
    <definedName name="___________________________BTC21" localSheetId="12">NA()</definedName>
    <definedName name="___________________________BTC21" localSheetId="0">#REF!</definedName>
    <definedName name="___________________________BTC21">#REF!</definedName>
    <definedName name="___________________________BTC22" localSheetId="11">NA()</definedName>
    <definedName name="___________________________BTC22" localSheetId="12">NA()</definedName>
    <definedName name="___________________________BTC22" localSheetId="0">#REF!</definedName>
    <definedName name="___________________________BTC22">#REF!</definedName>
    <definedName name="___________________________BTC23" localSheetId="11">NA()</definedName>
    <definedName name="___________________________BTC23" localSheetId="12">NA()</definedName>
    <definedName name="___________________________BTC23" localSheetId="0">#REF!</definedName>
    <definedName name="___________________________BTC23">#REF!</definedName>
    <definedName name="___________________________BTC24" localSheetId="11">NA()</definedName>
    <definedName name="___________________________BTC24" localSheetId="12">NA()</definedName>
    <definedName name="___________________________BTC24" localSheetId="0">#REF!</definedName>
    <definedName name="___________________________BTC24">#REF!</definedName>
    <definedName name="___________________________BTC3">NA()</definedName>
    <definedName name="___________________________BTC4">NA()</definedName>
    <definedName name="___________________________BTC5">NA()</definedName>
    <definedName name="___________________________BTC6">NA()</definedName>
    <definedName name="___________________________BTC7">NA()</definedName>
    <definedName name="___________________________BTC8">NA()</definedName>
    <definedName name="___________________________BTC9">NA()</definedName>
    <definedName name="___________________________BTR1">NA()</definedName>
    <definedName name="___________________________BTR10">NA()</definedName>
    <definedName name="___________________________BTR11">NA()</definedName>
    <definedName name="___________________________BTR12">NA()</definedName>
    <definedName name="___________________________BTR13" localSheetId="11">NA()</definedName>
    <definedName name="___________________________BTR13" localSheetId="12">NA()</definedName>
    <definedName name="___________________________BTR13" localSheetId="0">#REF!</definedName>
    <definedName name="___________________________BTR13">#REF!</definedName>
    <definedName name="___________________________BTR14" localSheetId="11">NA()</definedName>
    <definedName name="___________________________BTR14" localSheetId="12">NA()</definedName>
    <definedName name="___________________________BTR14" localSheetId="0">#REF!</definedName>
    <definedName name="___________________________BTR14">#REF!</definedName>
    <definedName name="___________________________BTR15" localSheetId="11">NA()</definedName>
    <definedName name="___________________________BTR15" localSheetId="12">NA()</definedName>
    <definedName name="___________________________BTR15" localSheetId="0">#REF!</definedName>
    <definedName name="___________________________BTR15">#REF!</definedName>
    <definedName name="___________________________BTR16" localSheetId="11">NA()</definedName>
    <definedName name="___________________________BTR16" localSheetId="12">NA()</definedName>
    <definedName name="___________________________BTR16" localSheetId="0">#REF!</definedName>
    <definedName name="___________________________BTR16">#REF!</definedName>
    <definedName name="___________________________BTR17" localSheetId="11">NA()</definedName>
    <definedName name="___________________________BTR17" localSheetId="12">NA()</definedName>
    <definedName name="___________________________BTR17" localSheetId="0">#REF!</definedName>
    <definedName name="___________________________BTR17">#REF!</definedName>
    <definedName name="___________________________BTR18" localSheetId="11">NA()</definedName>
    <definedName name="___________________________BTR18" localSheetId="12">NA()</definedName>
    <definedName name="___________________________BTR18" localSheetId="0">#REF!</definedName>
    <definedName name="___________________________BTR18">#REF!</definedName>
    <definedName name="___________________________BTR19" localSheetId="11">NA()</definedName>
    <definedName name="___________________________BTR19" localSheetId="12">NA()</definedName>
    <definedName name="___________________________BTR19" localSheetId="0">#REF!</definedName>
    <definedName name="___________________________BTR19">#REF!</definedName>
    <definedName name="___________________________BTR2">NA()</definedName>
    <definedName name="___________________________BTR20" localSheetId="11">NA()</definedName>
    <definedName name="___________________________BTR20" localSheetId="12">NA()</definedName>
    <definedName name="___________________________BTR20" localSheetId="0">#REF!</definedName>
    <definedName name="___________________________BTR20">#REF!</definedName>
    <definedName name="___________________________BTR21" localSheetId="11">NA()</definedName>
    <definedName name="___________________________BTR21" localSheetId="12">NA()</definedName>
    <definedName name="___________________________BTR21" localSheetId="0">#REF!</definedName>
    <definedName name="___________________________BTR21">#REF!</definedName>
    <definedName name="___________________________BTR22" localSheetId="11">NA()</definedName>
    <definedName name="___________________________BTR22" localSheetId="12">NA()</definedName>
    <definedName name="___________________________BTR22" localSheetId="0">#REF!</definedName>
    <definedName name="___________________________BTR22">#REF!</definedName>
    <definedName name="___________________________BTR23" localSheetId="11">NA()</definedName>
    <definedName name="___________________________BTR23" localSheetId="12">NA()</definedName>
    <definedName name="___________________________BTR23" localSheetId="0">#REF!</definedName>
    <definedName name="___________________________BTR23">#REF!</definedName>
    <definedName name="___________________________BTR24" localSheetId="11">NA()</definedName>
    <definedName name="___________________________BTR24" localSheetId="12">NA()</definedName>
    <definedName name="___________________________BTR24" localSheetId="0">#REF!</definedName>
    <definedName name="___________________________BTR24">#REF!</definedName>
    <definedName name="___________________________BTR3">NA()</definedName>
    <definedName name="___________________________BTR4">NA()</definedName>
    <definedName name="___________________________BTR5">NA()</definedName>
    <definedName name="___________________________BTR6">NA()</definedName>
    <definedName name="___________________________BTR7">NA()</definedName>
    <definedName name="___________________________BTR8">NA()</definedName>
    <definedName name="___________________________BTR9">NA()</definedName>
    <definedName name="___________________________BTS1">NA()</definedName>
    <definedName name="___________________________BTS10">NA()</definedName>
    <definedName name="___________________________BTS11">NA()</definedName>
    <definedName name="___________________________BTS12">NA()</definedName>
    <definedName name="___________________________BTS13" localSheetId="11">NA()</definedName>
    <definedName name="___________________________BTS13" localSheetId="12">NA()</definedName>
    <definedName name="___________________________BTS13" localSheetId="0">#REF!</definedName>
    <definedName name="___________________________BTS13">#REF!</definedName>
    <definedName name="___________________________BTS14" localSheetId="11">NA()</definedName>
    <definedName name="___________________________BTS14" localSheetId="12">NA()</definedName>
    <definedName name="___________________________BTS14" localSheetId="0">#REF!</definedName>
    <definedName name="___________________________BTS14">#REF!</definedName>
    <definedName name="___________________________BTS15" localSheetId="11">NA()</definedName>
    <definedName name="___________________________BTS15" localSheetId="12">NA()</definedName>
    <definedName name="___________________________BTS15" localSheetId="0">#REF!</definedName>
    <definedName name="___________________________BTS15">#REF!</definedName>
    <definedName name="___________________________BTS16" localSheetId="11">NA()</definedName>
    <definedName name="___________________________BTS16" localSheetId="12">NA()</definedName>
    <definedName name="___________________________BTS16" localSheetId="0">#REF!</definedName>
    <definedName name="___________________________BTS16">#REF!</definedName>
    <definedName name="___________________________BTS17" localSheetId="11">NA()</definedName>
    <definedName name="___________________________BTS17" localSheetId="12">NA()</definedName>
    <definedName name="___________________________BTS17" localSheetId="0">#REF!</definedName>
    <definedName name="___________________________BTS17">#REF!</definedName>
    <definedName name="___________________________BTS18" localSheetId="11">NA()</definedName>
    <definedName name="___________________________BTS18" localSheetId="12">NA()</definedName>
    <definedName name="___________________________BTS18" localSheetId="0">#REF!</definedName>
    <definedName name="___________________________BTS18">#REF!</definedName>
    <definedName name="___________________________BTS19" localSheetId="11">NA()</definedName>
    <definedName name="___________________________BTS19" localSheetId="12">NA()</definedName>
    <definedName name="___________________________BTS19" localSheetId="0">#REF!</definedName>
    <definedName name="___________________________BTS19">#REF!</definedName>
    <definedName name="___________________________BTS2">NA()</definedName>
    <definedName name="___________________________BTS20" localSheetId="11">NA()</definedName>
    <definedName name="___________________________BTS20" localSheetId="12">NA()</definedName>
    <definedName name="___________________________BTS20" localSheetId="0">#REF!</definedName>
    <definedName name="___________________________BTS20">#REF!</definedName>
    <definedName name="___________________________BTS21" localSheetId="11">NA()</definedName>
    <definedName name="___________________________BTS21" localSheetId="12">NA()</definedName>
    <definedName name="___________________________BTS21" localSheetId="0">#REF!</definedName>
    <definedName name="___________________________BTS21">#REF!</definedName>
    <definedName name="___________________________BTS22" localSheetId="11">NA()</definedName>
    <definedName name="___________________________BTS22" localSheetId="12">NA()</definedName>
    <definedName name="___________________________BTS22" localSheetId="0">#REF!</definedName>
    <definedName name="___________________________BTS22">#REF!</definedName>
    <definedName name="___________________________BTS23" localSheetId="11">NA()</definedName>
    <definedName name="___________________________BTS23" localSheetId="12">NA()</definedName>
    <definedName name="___________________________BTS23" localSheetId="0">#REF!</definedName>
    <definedName name="___________________________BTS23">#REF!</definedName>
    <definedName name="___________________________BTS24" localSheetId="11">NA()</definedName>
    <definedName name="___________________________BTS24" localSheetId="12">NA()</definedName>
    <definedName name="___________________________BTS24" localSheetId="0">#REF!</definedName>
    <definedName name="___________________________BTS24">#REF!</definedName>
    <definedName name="___________________________BTS3">NA()</definedName>
    <definedName name="___________________________BTS4">NA()</definedName>
    <definedName name="___________________________BTS5">NA()</definedName>
    <definedName name="___________________________BTS6">NA()</definedName>
    <definedName name="___________________________BTS7">NA()</definedName>
    <definedName name="___________________________BTS8">NA()</definedName>
    <definedName name="___________________________BTS9">NA()</definedName>
    <definedName name="___________________________can430">40.73</definedName>
    <definedName name="___________________________can435">43.3</definedName>
    <definedName name="___________________________cur1">[2]r!$F$30</definedName>
    <definedName name="___________________________GBS11">NA()</definedName>
    <definedName name="___________________________GBS110">NA()</definedName>
    <definedName name="___________________________GBS111">NA()</definedName>
    <definedName name="___________________________GBS112">NA()</definedName>
    <definedName name="___________________________GBS113" localSheetId="11">NA()</definedName>
    <definedName name="___________________________GBS113" localSheetId="12">NA()</definedName>
    <definedName name="___________________________GBS113" localSheetId="0">#REF!</definedName>
    <definedName name="___________________________GBS113">#REF!</definedName>
    <definedName name="___________________________GBS114" localSheetId="11">NA()</definedName>
    <definedName name="___________________________GBS114" localSheetId="12">NA()</definedName>
    <definedName name="___________________________GBS114" localSheetId="0">#REF!</definedName>
    <definedName name="___________________________GBS114">#REF!</definedName>
    <definedName name="___________________________GBS115" localSheetId="11">NA()</definedName>
    <definedName name="___________________________GBS115" localSheetId="12">NA()</definedName>
    <definedName name="___________________________GBS115" localSheetId="0">#REF!</definedName>
    <definedName name="___________________________GBS115">#REF!</definedName>
    <definedName name="___________________________GBS116" localSheetId="11">NA()</definedName>
    <definedName name="___________________________GBS116" localSheetId="12">NA()</definedName>
    <definedName name="___________________________GBS116" localSheetId="0">#REF!</definedName>
    <definedName name="___________________________GBS116">#REF!</definedName>
    <definedName name="___________________________GBS117" localSheetId="11">NA()</definedName>
    <definedName name="___________________________GBS117" localSheetId="12">NA()</definedName>
    <definedName name="___________________________GBS117" localSheetId="0">#REF!</definedName>
    <definedName name="___________________________GBS117">#REF!</definedName>
    <definedName name="___________________________GBS118" localSheetId="11">NA()</definedName>
    <definedName name="___________________________GBS118" localSheetId="12">NA()</definedName>
    <definedName name="___________________________GBS118" localSheetId="0">#REF!</definedName>
    <definedName name="___________________________GBS118">#REF!</definedName>
    <definedName name="___________________________GBS119" localSheetId="11">NA()</definedName>
    <definedName name="___________________________GBS119" localSheetId="12">NA()</definedName>
    <definedName name="___________________________GBS119" localSheetId="0">#REF!</definedName>
    <definedName name="___________________________GBS119">#REF!</definedName>
    <definedName name="___________________________GBS12">NA()</definedName>
    <definedName name="___________________________GBS120" localSheetId="11">NA()</definedName>
    <definedName name="___________________________GBS120" localSheetId="12">NA()</definedName>
    <definedName name="___________________________GBS120" localSheetId="0">#REF!</definedName>
    <definedName name="___________________________GBS120">#REF!</definedName>
    <definedName name="___________________________GBS121" localSheetId="11">NA()</definedName>
    <definedName name="___________________________GBS121" localSheetId="12">NA()</definedName>
    <definedName name="___________________________GBS121" localSheetId="0">#REF!</definedName>
    <definedName name="___________________________GBS121">#REF!</definedName>
    <definedName name="___________________________GBS122" localSheetId="11">NA()</definedName>
    <definedName name="___________________________GBS122" localSheetId="12">NA()</definedName>
    <definedName name="___________________________GBS122" localSheetId="0">#REF!</definedName>
    <definedName name="___________________________GBS122">#REF!</definedName>
    <definedName name="___________________________GBS123" localSheetId="11">NA()</definedName>
    <definedName name="___________________________GBS123" localSheetId="12">NA()</definedName>
    <definedName name="___________________________GBS123" localSheetId="0">#REF!</definedName>
    <definedName name="___________________________GBS123">#REF!</definedName>
    <definedName name="___________________________GBS124" localSheetId="11">NA()</definedName>
    <definedName name="___________________________GBS124" localSheetId="12">NA()</definedName>
    <definedName name="___________________________GBS124" localSheetId="0">#REF!</definedName>
    <definedName name="___________________________GBS124">#REF!</definedName>
    <definedName name="___________________________GBS13">NA()</definedName>
    <definedName name="___________________________GBS14">NA()</definedName>
    <definedName name="___________________________GBS15">NA()</definedName>
    <definedName name="___________________________GBS16">NA()</definedName>
    <definedName name="___________________________GBS17">NA()</definedName>
    <definedName name="___________________________GBS18">NA()</definedName>
    <definedName name="___________________________GBS19">NA()</definedName>
    <definedName name="___________________________GBS21">NA()</definedName>
    <definedName name="___________________________GBS210">NA()</definedName>
    <definedName name="___________________________GBS211">NA()</definedName>
    <definedName name="___________________________GBS212">NA()</definedName>
    <definedName name="___________________________GBS213" localSheetId="11">NA()</definedName>
    <definedName name="___________________________GBS213" localSheetId="12">NA()</definedName>
    <definedName name="___________________________GBS213" localSheetId="0">#REF!</definedName>
    <definedName name="___________________________GBS213">#REF!</definedName>
    <definedName name="___________________________GBS214" localSheetId="11">NA()</definedName>
    <definedName name="___________________________GBS214" localSheetId="12">NA()</definedName>
    <definedName name="___________________________GBS214" localSheetId="0">#REF!</definedName>
    <definedName name="___________________________GBS214">#REF!</definedName>
    <definedName name="___________________________GBS215" localSheetId="11">NA()</definedName>
    <definedName name="___________________________GBS215" localSheetId="12">NA()</definedName>
    <definedName name="___________________________GBS215" localSheetId="0">#REF!</definedName>
    <definedName name="___________________________GBS215">#REF!</definedName>
    <definedName name="___________________________GBS216" localSheetId="11">NA()</definedName>
    <definedName name="___________________________GBS216" localSheetId="12">NA()</definedName>
    <definedName name="___________________________GBS216" localSheetId="0">#REF!</definedName>
    <definedName name="___________________________GBS216">#REF!</definedName>
    <definedName name="___________________________GBS217" localSheetId="11">NA()</definedName>
    <definedName name="___________________________GBS217" localSheetId="12">NA()</definedName>
    <definedName name="___________________________GBS217" localSheetId="0">#REF!</definedName>
    <definedName name="___________________________GBS217">#REF!</definedName>
    <definedName name="___________________________GBS218" localSheetId="11">NA()</definedName>
    <definedName name="___________________________GBS218" localSheetId="12">NA()</definedName>
    <definedName name="___________________________GBS218" localSheetId="0">#REF!</definedName>
    <definedName name="___________________________GBS218">#REF!</definedName>
    <definedName name="___________________________GBS219" localSheetId="11">NA()</definedName>
    <definedName name="___________________________GBS219" localSheetId="12">NA()</definedName>
    <definedName name="___________________________GBS219" localSheetId="0">#REF!</definedName>
    <definedName name="___________________________GBS219">#REF!</definedName>
    <definedName name="___________________________GBS22">NA()</definedName>
    <definedName name="___________________________GBS220" localSheetId="11">NA()</definedName>
    <definedName name="___________________________GBS220" localSheetId="12">NA()</definedName>
    <definedName name="___________________________GBS220" localSheetId="0">#REF!</definedName>
    <definedName name="___________________________GBS220">#REF!</definedName>
    <definedName name="___________________________GBS221" localSheetId="11">NA()</definedName>
    <definedName name="___________________________GBS221" localSheetId="12">NA()</definedName>
    <definedName name="___________________________GBS221" localSheetId="0">#REF!</definedName>
    <definedName name="___________________________GBS221">#REF!</definedName>
    <definedName name="___________________________GBS222" localSheetId="11">NA()</definedName>
    <definedName name="___________________________GBS222" localSheetId="12">NA()</definedName>
    <definedName name="___________________________GBS222" localSheetId="0">#REF!</definedName>
    <definedName name="___________________________GBS222">#REF!</definedName>
    <definedName name="___________________________GBS223" localSheetId="11">NA()</definedName>
    <definedName name="___________________________GBS223" localSheetId="12">NA()</definedName>
    <definedName name="___________________________GBS223" localSheetId="0">#REF!</definedName>
    <definedName name="___________________________GBS223">#REF!</definedName>
    <definedName name="___________________________GBS224" localSheetId="11">NA()</definedName>
    <definedName name="___________________________GBS224" localSheetId="12">NA()</definedName>
    <definedName name="___________________________GBS224" localSheetId="0">#REF!</definedName>
    <definedName name="___________________________GBS224">#REF!</definedName>
    <definedName name="___________________________GBS23">NA()</definedName>
    <definedName name="___________________________GBS24">NA()</definedName>
    <definedName name="___________________________GBS25">NA()</definedName>
    <definedName name="___________________________GBS26">NA()</definedName>
    <definedName name="___________________________GBS27">NA()</definedName>
    <definedName name="___________________________GBS28">NA()</definedName>
    <definedName name="___________________________GBS29">NA()</definedName>
    <definedName name="___________________________knr2" localSheetId="11">NA()</definedName>
    <definedName name="___________________________knr2" localSheetId="12">NA()</definedName>
    <definedName name="___________________________knr2" localSheetId="0">#REF!</definedName>
    <definedName name="___________________________knr2">#REF!</definedName>
    <definedName name="___________________________l1">[3]leads!$A$3:$E$108</definedName>
    <definedName name="___________________________l12" localSheetId="11">NA()</definedName>
    <definedName name="___________________________l12" localSheetId="12">NA()</definedName>
    <definedName name="___________________________l12" localSheetId="0">#REF!</definedName>
    <definedName name="___________________________l12">#REF!</definedName>
    <definedName name="___________________________l2">[2]r!$F$29</definedName>
    <definedName name="___________________________l3" localSheetId="11">NA()</definedName>
    <definedName name="___________________________l3" localSheetId="12">NA()</definedName>
    <definedName name="___________________________l3" localSheetId="0">#REF!</definedName>
    <definedName name="___________________________l3">#REF!</definedName>
    <definedName name="___________________________l4">[4]Sheet1!$W$2:$Y$103</definedName>
    <definedName name="___________________________l5" localSheetId="11">NA()</definedName>
    <definedName name="___________________________l5" localSheetId="12">NA()</definedName>
    <definedName name="___________________________l5" localSheetId="0">#REF!</definedName>
    <definedName name="___________________________l5">#REF!</definedName>
    <definedName name="___________________________l6">[2]r!$F$4</definedName>
    <definedName name="___________________________l7">[5]r!$F$4</definedName>
    <definedName name="___________________________l8">[2]r!$F$2</definedName>
    <definedName name="___________________________l9">[2]r!$F$3</definedName>
    <definedName name="___________________________lj600">NA()</definedName>
    <definedName name="___________________________lj900">NA()</definedName>
    <definedName name="___________________________LL3">NA()</definedName>
    <definedName name="___________________________MA1">NA()</definedName>
    <definedName name="___________________________MA2" localSheetId="11">NA()</definedName>
    <definedName name="___________________________MA2" localSheetId="12">NA()</definedName>
    <definedName name="___________________________MA2" localSheetId="0">#REF!</definedName>
    <definedName name="___________________________MA2">#REF!</definedName>
    <definedName name="___________________________Met22">NA()</definedName>
    <definedName name="___________________________Met45">NA()</definedName>
    <definedName name="___________________________MEt55">NA()</definedName>
    <definedName name="___________________________Met63">NA()</definedName>
    <definedName name="___________________________ML21">NA()</definedName>
    <definedName name="___________________________ML210">NA()</definedName>
    <definedName name="___________________________ML211">NA()</definedName>
    <definedName name="___________________________ML212">NA()</definedName>
    <definedName name="___________________________ML213" localSheetId="11">NA()</definedName>
    <definedName name="___________________________ML213" localSheetId="12">NA()</definedName>
    <definedName name="___________________________ML213" localSheetId="0">#REF!</definedName>
    <definedName name="___________________________ML213">#REF!</definedName>
    <definedName name="___________________________ML214" localSheetId="11">NA()</definedName>
    <definedName name="___________________________ML214" localSheetId="12">NA()</definedName>
    <definedName name="___________________________ML214" localSheetId="0">#REF!</definedName>
    <definedName name="___________________________ML214">#REF!</definedName>
    <definedName name="___________________________ML215" localSheetId="11">NA()</definedName>
    <definedName name="___________________________ML215" localSheetId="12">NA()</definedName>
    <definedName name="___________________________ML215" localSheetId="0">#REF!</definedName>
    <definedName name="___________________________ML215">#REF!</definedName>
    <definedName name="___________________________ML216" localSheetId="11">NA()</definedName>
    <definedName name="___________________________ML216" localSheetId="12">NA()</definedName>
    <definedName name="___________________________ML216" localSheetId="0">#REF!</definedName>
    <definedName name="___________________________ML216">#REF!</definedName>
    <definedName name="___________________________ML217" localSheetId="11">NA()</definedName>
    <definedName name="___________________________ML217" localSheetId="12">NA()</definedName>
    <definedName name="___________________________ML217" localSheetId="0">#REF!</definedName>
    <definedName name="___________________________ML217">#REF!</definedName>
    <definedName name="___________________________ML218" localSheetId="11">NA()</definedName>
    <definedName name="___________________________ML218" localSheetId="12">NA()</definedName>
    <definedName name="___________________________ML218" localSheetId="0">#REF!</definedName>
    <definedName name="___________________________ML218">#REF!</definedName>
    <definedName name="___________________________ML219" localSheetId="11">NA()</definedName>
    <definedName name="___________________________ML219" localSheetId="12">NA()</definedName>
    <definedName name="___________________________ML219" localSheetId="0">#REF!</definedName>
    <definedName name="___________________________ML219">#REF!</definedName>
    <definedName name="___________________________ML22">NA()</definedName>
    <definedName name="___________________________ML220" localSheetId="11">NA()</definedName>
    <definedName name="___________________________ML220" localSheetId="12">NA()</definedName>
    <definedName name="___________________________ML220" localSheetId="0">#REF!</definedName>
    <definedName name="___________________________ML220">#REF!</definedName>
    <definedName name="___________________________ML221" localSheetId="11">NA()</definedName>
    <definedName name="___________________________ML221" localSheetId="12">NA()</definedName>
    <definedName name="___________________________ML221" localSheetId="0">#REF!</definedName>
    <definedName name="___________________________ML221">#REF!</definedName>
    <definedName name="___________________________ML222" localSheetId="11">NA()</definedName>
    <definedName name="___________________________ML222" localSheetId="12">NA()</definedName>
    <definedName name="___________________________ML222" localSheetId="0">#REF!</definedName>
    <definedName name="___________________________ML222">#REF!</definedName>
    <definedName name="___________________________ML223" localSheetId="11">NA()</definedName>
    <definedName name="___________________________ML223" localSheetId="12">NA()</definedName>
    <definedName name="___________________________ML223" localSheetId="0">#REF!</definedName>
    <definedName name="___________________________ML223">#REF!</definedName>
    <definedName name="___________________________ML224" localSheetId="11">NA()</definedName>
    <definedName name="___________________________ML224" localSheetId="12">NA()</definedName>
    <definedName name="___________________________ML224" localSheetId="0">#REF!</definedName>
    <definedName name="___________________________ML224">#REF!</definedName>
    <definedName name="___________________________ML23">NA()</definedName>
    <definedName name="___________________________ML24">NA()</definedName>
    <definedName name="___________________________ML25">NA()</definedName>
    <definedName name="___________________________ML26">NA()</definedName>
    <definedName name="___________________________ML27">NA()</definedName>
    <definedName name="___________________________ML28">NA()</definedName>
    <definedName name="___________________________ML29">NA()</definedName>
    <definedName name="___________________________ML31">NA()</definedName>
    <definedName name="___________________________ML310">NA()</definedName>
    <definedName name="___________________________ML311">NA()</definedName>
    <definedName name="___________________________ML312">NA()</definedName>
    <definedName name="___________________________ML313" localSheetId="11">NA()</definedName>
    <definedName name="___________________________ML313" localSheetId="12">NA()</definedName>
    <definedName name="___________________________ML313" localSheetId="0">#REF!</definedName>
    <definedName name="___________________________ML313">#REF!</definedName>
    <definedName name="___________________________ML314" localSheetId="11">NA()</definedName>
    <definedName name="___________________________ML314" localSheetId="12">NA()</definedName>
    <definedName name="___________________________ML314" localSheetId="0">#REF!</definedName>
    <definedName name="___________________________ML314">#REF!</definedName>
    <definedName name="___________________________ML315" localSheetId="11">NA()</definedName>
    <definedName name="___________________________ML315" localSheetId="12">NA()</definedName>
    <definedName name="___________________________ML315" localSheetId="0">#REF!</definedName>
    <definedName name="___________________________ML315">#REF!</definedName>
    <definedName name="___________________________ML316" localSheetId="11">NA()</definedName>
    <definedName name="___________________________ML316" localSheetId="12">NA()</definedName>
    <definedName name="___________________________ML316" localSheetId="0">#REF!</definedName>
    <definedName name="___________________________ML316">#REF!</definedName>
    <definedName name="___________________________ML317" localSheetId="11">NA()</definedName>
    <definedName name="___________________________ML317" localSheetId="12">NA()</definedName>
    <definedName name="___________________________ML317" localSheetId="0">#REF!</definedName>
    <definedName name="___________________________ML317">#REF!</definedName>
    <definedName name="___________________________ML318" localSheetId="11">NA()</definedName>
    <definedName name="___________________________ML318" localSheetId="12">NA()</definedName>
    <definedName name="___________________________ML318" localSheetId="0">#REF!</definedName>
    <definedName name="___________________________ML318">#REF!</definedName>
    <definedName name="___________________________ML319" localSheetId="11">NA()</definedName>
    <definedName name="___________________________ML319" localSheetId="12">NA()</definedName>
    <definedName name="___________________________ML319" localSheetId="0">#REF!</definedName>
    <definedName name="___________________________ML319">#REF!</definedName>
    <definedName name="___________________________ML32">NA()</definedName>
    <definedName name="___________________________ML320" localSheetId="11">NA()</definedName>
    <definedName name="___________________________ML320" localSheetId="12">NA()</definedName>
    <definedName name="___________________________ML320" localSheetId="0">#REF!</definedName>
    <definedName name="___________________________ML320">#REF!</definedName>
    <definedName name="___________________________ML321" localSheetId="11">NA()</definedName>
    <definedName name="___________________________ML321" localSheetId="12">NA()</definedName>
    <definedName name="___________________________ML321" localSheetId="0">#REF!</definedName>
    <definedName name="___________________________ML321">#REF!</definedName>
    <definedName name="___________________________ML322" localSheetId="11">NA()</definedName>
    <definedName name="___________________________ML322" localSheetId="12">NA()</definedName>
    <definedName name="___________________________ML322" localSheetId="0">#REF!</definedName>
    <definedName name="___________________________ML322">#REF!</definedName>
    <definedName name="___________________________ML323" localSheetId="11">NA()</definedName>
    <definedName name="___________________________ML323" localSheetId="12">NA()</definedName>
    <definedName name="___________________________ML323" localSheetId="0">#REF!</definedName>
    <definedName name="___________________________ML323">#REF!</definedName>
    <definedName name="___________________________ML324" localSheetId="11">NA()</definedName>
    <definedName name="___________________________ML324" localSheetId="12">NA()</definedName>
    <definedName name="___________________________ML324" localSheetId="0">#REF!</definedName>
    <definedName name="___________________________ML324">#REF!</definedName>
    <definedName name="___________________________ML33">NA()</definedName>
    <definedName name="___________________________ML34">NA()</definedName>
    <definedName name="___________________________ML35">NA()</definedName>
    <definedName name="___________________________ML36">NA()</definedName>
    <definedName name="___________________________ML37">NA()</definedName>
    <definedName name="___________________________ML38">NA()</definedName>
    <definedName name="___________________________ML39">NA()</definedName>
    <definedName name="___________________________ML7">NA()</definedName>
    <definedName name="___________________________ML8">NA()</definedName>
    <definedName name="___________________________ML9">NA()</definedName>
    <definedName name="___________________________mm1">[6]r!$F$4</definedName>
    <definedName name="___________________________mm1000">NA()</definedName>
    <definedName name="___________________________mm11">[2]r!$F$4</definedName>
    <definedName name="___________________________mm111">[5]r!$F$4</definedName>
    <definedName name="___________________________mm600">NA()</definedName>
    <definedName name="___________________________mm800">NA()</definedName>
    <definedName name="___________________________PC1">NA()</definedName>
    <definedName name="___________________________PC10">NA()</definedName>
    <definedName name="___________________________PC11">NA()</definedName>
    <definedName name="___________________________PC12">NA()</definedName>
    <definedName name="___________________________PC13" localSheetId="11">NA()</definedName>
    <definedName name="___________________________PC13" localSheetId="12">NA()</definedName>
    <definedName name="___________________________PC13" localSheetId="0">#REF!</definedName>
    <definedName name="___________________________PC13">#REF!</definedName>
    <definedName name="___________________________PC14" localSheetId="11">NA()</definedName>
    <definedName name="___________________________PC14" localSheetId="12">NA()</definedName>
    <definedName name="___________________________PC14" localSheetId="0">#REF!</definedName>
    <definedName name="___________________________PC14">#REF!</definedName>
    <definedName name="___________________________PC15" localSheetId="11">NA()</definedName>
    <definedName name="___________________________PC15" localSheetId="12">NA()</definedName>
    <definedName name="___________________________PC15" localSheetId="0">#REF!</definedName>
    <definedName name="___________________________PC15">#REF!</definedName>
    <definedName name="___________________________PC16" localSheetId="11">NA()</definedName>
    <definedName name="___________________________PC16" localSheetId="12">NA()</definedName>
    <definedName name="___________________________PC16" localSheetId="0">#REF!</definedName>
    <definedName name="___________________________PC16">#REF!</definedName>
    <definedName name="___________________________PC17" localSheetId="11">NA()</definedName>
    <definedName name="___________________________PC17" localSheetId="12">NA()</definedName>
    <definedName name="___________________________PC17" localSheetId="0">#REF!</definedName>
    <definedName name="___________________________PC17">#REF!</definedName>
    <definedName name="___________________________PC18" localSheetId="11">NA()</definedName>
    <definedName name="___________________________PC18" localSheetId="12">NA()</definedName>
    <definedName name="___________________________PC18" localSheetId="0">#REF!</definedName>
    <definedName name="___________________________PC18">#REF!</definedName>
    <definedName name="___________________________PC19" localSheetId="11">NA()</definedName>
    <definedName name="___________________________PC19" localSheetId="12">NA()</definedName>
    <definedName name="___________________________PC19" localSheetId="0">#REF!</definedName>
    <definedName name="___________________________PC19">#REF!</definedName>
    <definedName name="___________________________pc2" localSheetId="11">NA()</definedName>
    <definedName name="___________________________pc2" localSheetId="12">NA()</definedName>
    <definedName name="___________________________pc2" localSheetId="0">#REF!</definedName>
    <definedName name="___________________________pc2">#REF!</definedName>
    <definedName name="___________________________PC20">NA()</definedName>
    <definedName name="___________________________PC21" localSheetId="11">NA()</definedName>
    <definedName name="___________________________PC21" localSheetId="12">NA()</definedName>
    <definedName name="___________________________PC21" localSheetId="0">#REF!</definedName>
    <definedName name="___________________________PC21">#REF!</definedName>
    <definedName name="___________________________PC22" localSheetId="11">NA()</definedName>
    <definedName name="___________________________PC22" localSheetId="12">NA()</definedName>
    <definedName name="___________________________PC22" localSheetId="0">#REF!</definedName>
    <definedName name="___________________________PC22">#REF!</definedName>
    <definedName name="___________________________PC23" localSheetId="11">NA()</definedName>
    <definedName name="___________________________PC23" localSheetId="12">NA()</definedName>
    <definedName name="___________________________PC23" localSheetId="0">#REF!</definedName>
    <definedName name="___________________________PC23">#REF!</definedName>
    <definedName name="___________________________PC24" localSheetId="11">NA()</definedName>
    <definedName name="___________________________PC24" localSheetId="12">NA()</definedName>
    <definedName name="___________________________PC24" localSheetId="0">#REF!</definedName>
    <definedName name="___________________________PC24">#REF!</definedName>
    <definedName name="___________________________PC3">NA()</definedName>
    <definedName name="___________________________PC4">NA()</definedName>
    <definedName name="___________________________PC5">NA()</definedName>
    <definedName name="___________________________PC6">NA()</definedName>
    <definedName name="___________________________pc600">NA()</definedName>
    <definedName name="___________________________PC7">NA()</definedName>
    <definedName name="___________________________PC8">NA()</definedName>
    <definedName name="___________________________PC9">NA()</definedName>
    <definedName name="___________________________pc900">NA()</definedName>
    <definedName name="___________________________pv2" localSheetId="11">NA()</definedName>
    <definedName name="___________________________pv2" localSheetId="12">NA()</definedName>
    <definedName name="___________________________pv2" localSheetId="0">#REF!</definedName>
    <definedName name="___________________________pv2">#REF!</definedName>
    <definedName name="___________________________rr3">[7]v!$A$2:$E$51</definedName>
    <definedName name="___________________________rrr1">[7]r!$B$1:$I$145</definedName>
    <definedName name="___________________________ss12">[8]rdamdata!$J$8</definedName>
    <definedName name="___________________________ss20">[8]rdamdata!$J$7</definedName>
    <definedName name="___________________________ss40">[8]rdamdata!$J$6</definedName>
    <definedName name="___________________________var1" localSheetId="11">NA()</definedName>
    <definedName name="___________________________var1" localSheetId="12">NA()</definedName>
    <definedName name="___________________________var1" localSheetId="0">#REF!</definedName>
    <definedName name="___________________________var1">#REF!</definedName>
    <definedName name="___________________________var4" localSheetId="11">NA()</definedName>
    <definedName name="___________________________var4" localSheetId="12">NA()</definedName>
    <definedName name="___________________________var4" localSheetId="0">#REF!</definedName>
    <definedName name="___________________________var4">#REF!</definedName>
    <definedName name="___________________________vat1">NA()</definedName>
    <definedName name="__________________________bla1">[1]leads!$H$7</definedName>
    <definedName name="__________________________BSG100">NA()</definedName>
    <definedName name="__________________________BSG150">NA()</definedName>
    <definedName name="__________________________BSG5">NA()</definedName>
    <definedName name="__________________________BSG75">NA()</definedName>
    <definedName name="__________________________BTC1">NA()</definedName>
    <definedName name="__________________________BTC10">NA()</definedName>
    <definedName name="__________________________BTC11">NA()</definedName>
    <definedName name="__________________________BTC12">NA()</definedName>
    <definedName name="__________________________BTC13">NA()</definedName>
    <definedName name="__________________________BTC14">NA()</definedName>
    <definedName name="__________________________BTC15">NA()</definedName>
    <definedName name="__________________________BTC16">NA()</definedName>
    <definedName name="__________________________BTC17">NA()</definedName>
    <definedName name="__________________________BTC18">NA()</definedName>
    <definedName name="__________________________BTC19">NA()</definedName>
    <definedName name="__________________________BTC2">NA()</definedName>
    <definedName name="__________________________BTC20">NA()</definedName>
    <definedName name="__________________________BTC21">NA()</definedName>
    <definedName name="__________________________BTC22">NA()</definedName>
    <definedName name="__________________________BTC23">NA()</definedName>
    <definedName name="__________________________BTC24">NA()</definedName>
    <definedName name="__________________________BTC3">NA()</definedName>
    <definedName name="__________________________BTC4">NA()</definedName>
    <definedName name="__________________________BTC5">NA()</definedName>
    <definedName name="__________________________BTC6">NA()</definedName>
    <definedName name="__________________________BTC7">NA()</definedName>
    <definedName name="__________________________BTC8">NA()</definedName>
    <definedName name="__________________________BTC9">NA()</definedName>
    <definedName name="__________________________BTR1">NA()</definedName>
    <definedName name="__________________________BTR10">NA()</definedName>
    <definedName name="__________________________BTR11">NA()</definedName>
    <definedName name="__________________________BTR12">NA()</definedName>
    <definedName name="__________________________BTR13">NA()</definedName>
    <definedName name="__________________________BTR14">NA()</definedName>
    <definedName name="__________________________BTR15">NA()</definedName>
    <definedName name="__________________________BTR16">NA()</definedName>
    <definedName name="__________________________BTR17">NA()</definedName>
    <definedName name="__________________________BTR18">NA()</definedName>
    <definedName name="__________________________BTR19">NA()</definedName>
    <definedName name="__________________________BTR2">NA()</definedName>
    <definedName name="__________________________BTR20">NA()</definedName>
    <definedName name="__________________________BTR21">NA()</definedName>
    <definedName name="__________________________BTR22">NA()</definedName>
    <definedName name="__________________________BTR23">NA()</definedName>
    <definedName name="__________________________BTR24">NA()</definedName>
    <definedName name="__________________________BTR3">NA()</definedName>
    <definedName name="__________________________BTR4">NA()</definedName>
    <definedName name="__________________________BTR5">NA()</definedName>
    <definedName name="__________________________BTR6">NA()</definedName>
    <definedName name="__________________________BTR7">NA()</definedName>
    <definedName name="__________________________BTR8">NA()</definedName>
    <definedName name="__________________________BTR9">NA()</definedName>
    <definedName name="__________________________BTS1">NA()</definedName>
    <definedName name="__________________________BTS10">NA()</definedName>
    <definedName name="__________________________BTS11">NA()</definedName>
    <definedName name="__________________________BTS12">NA()</definedName>
    <definedName name="__________________________BTS13">NA()</definedName>
    <definedName name="__________________________BTS14">NA()</definedName>
    <definedName name="__________________________BTS15">NA()</definedName>
    <definedName name="__________________________BTS16">NA()</definedName>
    <definedName name="__________________________BTS17">NA()</definedName>
    <definedName name="__________________________BTS18">NA()</definedName>
    <definedName name="__________________________BTS19">NA()</definedName>
    <definedName name="__________________________BTS2">NA()</definedName>
    <definedName name="__________________________BTS20">NA()</definedName>
    <definedName name="__________________________BTS21">NA()</definedName>
    <definedName name="__________________________BTS22">NA()</definedName>
    <definedName name="__________________________BTS23">NA()</definedName>
    <definedName name="__________________________BTS24">NA()</definedName>
    <definedName name="__________________________BTS3">NA()</definedName>
    <definedName name="__________________________BTS4">NA()</definedName>
    <definedName name="__________________________BTS5">NA()</definedName>
    <definedName name="__________________________BTS6">NA()</definedName>
    <definedName name="__________________________BTS7">NA()</definedName>
    <definedName name="__________________________BTS8">NA()</definedName>
    <definedName name="__________________________BTS9">NA()</definedName>
    <definedName name="__________________________can430">40.73</definedName>
    <definedName name="__________________________can435">43.3</definedName>
    <definedName name="__________________________cur1">[2]r!$F$30</definedName>
    <definedName name="__________________________GBS11">NA()</definedName>
    <definedName name="__________________________GBS110">NA()</definedName>
    <definedName name="__________________________GBS111">NA()</definedName>
    <definedName name="__________________________GBS112">NA()</definedName>
    <definedName name="__________________________GBS113">NA()</definedName>
    <definedName name="__________________________GBS114">NA()</definedName>
    <definedName name="__________________________GBS115">NA()</definedName>
    <definedName name="__________________________GBS116">NA()</definedName>
    <definedName name="__________________________GBS117">NA()</definedName>
    <definedName name="__________________________GBS118">NA()</definedName>
    <definedName name="__________________________GBS119">NA()</definedName>
    <definedName name="__________________________GBS12">NA()</definedName>
    <definedName name="__________________________GBS120">NA()</definedName>
    <definedName name="__________________________GBS121">NA()</definedName>
    <definedName name="__________________________GBS122">NA()</definedName>
    <definedName name="__________________________GBS123">NA()</definedName>
    <definedName name="__________________________GBS124">NA()</definedName>
    <definedName name="__________________________GBS13">NA()</definedName>
    <definedName name="__________________________GBS14">NA()</definedName>
    <definedName name="__________________________GBS15">NA()</definedName>
    <definedName name="__________________________GBS16">NA()</definedName>
    <definedName name="__________________________GBS17">NA()</definedName>
    <definedName name="__________________________GBS18">NA()</definedName>
    <definedName name="__________________________GBS19">NA()</definedName>
    <definedName name="__________________________GBS21">NA()</definedName>
    <definedName name="__________________________GBS210">NA()</definedName>
    <definedName name="__________________________GBS211">NA()</definedName>
    <definedName name="__________________________GBS212">NA()</definedName>
    <definedName name="__________________________GBS213">NA()</definedName>
    <definedName name="__________________________GBS214">NA()</definedName>
    <definedName name="__________________________GBS215">NA()</definedName>
    <definedName name="__________________________GBS216">NA()</definedName>
    <definedName name="__________________________GBS217">NA()</definedName>
    <definedName name="__________________________GBS218">NA()</definedName>
    <definedName name="__________________________GBS219">NA()</definedName>
    <definedName name="__________________________GBS22">NA()</definedName>
    <definedName name="__________________________GBS220">NA()</definedName>
    <definedName name="__________________________GBS221">NA()</definedName>
    <definedName name="__________________________GBS222">NA()</definedName>
    <definedName name="__________________________GBS223">NA()</definedName>
    <definedName name="__________________________GBS224">NA()</definedName>
    <definedName name="__________________________GBS23">NA()</definedName>
    <definedName name="__________________________GBS24">NA()</definedName>
    <definedName name="__________________________GBS25">NA()</definedName>
    <definedName name="__________________________GBS26">NA()</definedName>
    <definedName name="__________________________GBS27">NA()</definedName>
    <definedName name="__________________________GBS28">NA()</definedName>
    <definedName name="__________________________GBS29">NA()</definedName>
    <definedName name="__________________________knr2" localSheetId="11">NA()</definedName>
    <definedName name="__________________________knr2" localSheetId="12">NA()</definedName>
    <definedName name="__________________________knr2" localSheetId="0">#REF!</definedName>
    <definedName name="__________________________knr2">#REF!</definedName>
    <definedName name="__________________________l1">[3]leads!$A$3:$E$108</definedName>
    <definedName name="__________________________l12" localSheetId="11">NA()</definedName>
    <definedName name="__________________________l12" localSheetId="12">NA()</definedName>
    <definedName name="__________________________l12" localSheetId="0">#REF!</definedName>
    <definedName name="__________________________l12">#REF!</definedName>
    <definedName name="__________________________l2">[2]r!$F$29</definedName>
    <definedName name="__________________________l3" localSheetId="11">NA()</definedName>
    <definedName name="__________________________l3" localSheetId="12">NA()</definedName>
    <definedName name="__________________________l3" localSheetId="0">#REF!</definedName>
    <definedName name="__________________________l3">#REF!</definedName>
    <definedName name="__________________________l4">[4]Sheet1!$W$2:$Y$103</definedName>
    <definedName name="__________________________l5" localSheetId="11">NA()</definedName>
    <definedName name="__________________________l5" localSheetId="12">NA()</definedName>
    <definedName name="__________________________l5" localSheetId="0">#REF!</definedName>
    <definedName name="__________________________l5">#REF!</definedName>
    <definedName name="__________________________l6">[2]r!$F$4</definedName>
    <definedName name="__________________________l7">[5]r!$F$4</definedName>
    <definedName name="__________________________l8">[2]r!$F$2</definedName>
    <definedName name="__________________________l9">[2]r!$F$3</definedName>
    <definedName name="__________________________lj600">NA()</definedName>
    <definedName name="__________________________lj900">NA()</definedName>
    <definedName name="__________________________LL3">NA()</definedName>
    <definedName name="__________________________MA1" localSheetId="11">NA()</definedName>
    <definedName name="__________________________MA1" localSheetId="12">NA()</definedName>
    <definedName name="__________________________MA1" localSheetId="0">#REF!</definedName>
    <definedName name="__________________________MA1">#REF!</definedName>
    <definedName name="__________________________MA2">NA()</definedName>
    <definedName name="__________________________Met22" localSheetId="11">NA()</definedName>
    <definedName name="__________________________Met22" localSheetId="12">NA()</definedName>
    <definedName name="__________________________Met22" localSheetId="0">#REF!</definedName>
    <definedName name="__________________________Met22">#REF!</definedName>
    <definedName name="__________________________Met45" localSheetId="11">NA()</definedName>
    <definedName name="__________________________Met45" localSheetId="12">NA()</definedName>
    <definedName name="__________________________Met45" localSheetId="0">#REF!</definedName>
    <definedName name="__________________________Met45">#REF!</definedName>
    <definedName name="__________________________MEt55" localSheetId="11">NA()</definedName>
    <definedName name="__________________________MEt55" localSheetId="12">NA()</definedName>
    <definedName name="__________________________MEt55" localSheetId="0">#REF!</definedName>
    <definedName name="__________________________MEt55">#REF!</definedName>
    <definedName name="__________________________Met63" localSheetId="11">NA()</definedName>
    <definedName name="__________________________Met63" localSheetId="12">NA()</definedName>
    <definedName name="__________________________Met63" localSheetId="0">#REF!</definedName>
    <definedName name="__________________________Met63">#REF!</definedName>
    <definedName name="__________________________ML21">NA()</definedName>
    <definedName name="__________________________ML210">NA()</definedName>
    <definedName name="__________________________ML211">NA()</definedName>
    <definedName name="__________________________ML212">NA()</definedName>
    <definedName name="__________________________ML213">NA()</definedName>
    <definedName name="__________________________ML214">NA()</definedName>
    <definedName name="__________________________ML215">NA()</definedName>
    <definedName name="__________________________ML216">NA()</definedName>
    <definedName name="__________________________ML217">NA()</definedName>
    <definedName name="__________________________ML218">NA()</definedName>
    <definedName name="__________________________ML219">NA()</definedName>
    <definedName name="__________________________ML22">NA()</definedName>
    <definedName name="__________________________ML220">NA()</definedName>
    <definedName name="__________________________ML221">NA()</definedName>
    <definedName name="__________________________ML222">NA()</definedName>
    <definedName name="__________________________ML223">NA()</definedName>
    <definedName name="__________________________ML224">NA()</definedName>
    <definedName name="__________________________ML23">NA()</definedName>
    <definedName name="__________________________ML24">NA()</definedName>
    <definedName name="__________________________ML25">NA()</definedName>
    <definedName name="__________________________ML26">NA()</definedName>
    <definedName name="__________________________ML27">NA()</definedName>
    <definedName name="__________________________ML28">NA()</definedName>
    <definedName name="__________________________ML29">NA()</definedName>
    <definedName name="__________________________ML31">NA()</definedName>
    <definedName name="__________________________ML310">NA()</definedName>
    <definedName name="__________________________ML311">NA()</definedName>
    <definedName name="__________________________ML312">NA()</definedName>
    <definedName name="__________________________ML313">NA()</definedName>
    <definedName name="__________________________ML314">NA()</definedName>
    <definedName name="__________________________ML315">NA()</definedName>
    <definedName name="__________________________ML316">NA()</definedName>
    <definedName name="__________________________ML317">NA()</definedName>
    <definedName name="__________________________ML318">NA()</definedName>
    <definedName name="__________________________ML319">NA()</definedName>
    <definedName name="__________________________ML32">NA()</definedName>
    <definedName name="__________________________ML320">NA()</definedName>
    <definedName name="__________________________ML321">NA()</definedName>
    <definedName name="__________________________ML322">NA()</definedName>
    <definedName name="__________________________ML323">NA()</definedName>
    <definedName name="__________________________ML324">NA()</definedName>
    <definedName name="__________________________ML33">NA()</definedName>
    <definedName name="__________________________ML34">NA()</definedName>
    <definedName name="__________________________ML35">NA()</definedName>
    <definedName name="__________________________ML36">NA()</definedName>
    <definedName name="__________________________ML37">NA()</definedName>
    <definedName name="__________________________ML38">NA()</definedName>
    <definedName name="__________________________ML39">NA()</definedName>
    <definedName name="__________________________ML7">NA()</definedName>
    <definedName name="__________________________ML8">NA()</definedName>
    <definedName name="__________________________ML9">NA()</definedName>
    <definedName name="__________________________mm1">[6]r!$F$4</definedName>
    <definedName name="__________________________mm1000" localSheetId="11">NA()</definedName>
    <definedName name="__________________________mm1000" localSheetId="12">NA()</definedName>
    <definedName name="__________________________mm1000" localSheetId="0">#REF!</definedName>
    <definedName name="__________________________mm1000">#REF!</definedName>
    <definedName name="__________________________mm11">[2]r!$F$4</definedName>
    <definedName name="__________________________mm111">[5]r!$F$4</definedName>
    <definedName name="__________________________mm600" localSheetId="11">NA()</definedName>
    <definedName name="__________________________mm600" localSheetId="12">NA()</definedName>
    <definedName name="__________________________mm600" localSheetId="0">#REF!</definedName>
    <definedName name="__________________________mm600">#REF!</definedName>
    <definedName name="__________________________mm800" localSheetId="11">NA()</definedName>
    <definedName name="__________________________mm800" localSheetId="12">NA()</definedName>
    <definedName name="__________________________mm800" localSheetId="0">#REF!</definedName>
    <definedName name="__________________________mm800">#REF!</definedName>
    <definedName name="__________________________PC1">NA()</definedName>
    <definedName name="__________________________PC10">NA()</definedName>
    <definedName name="__________________________PC11">NA()</definedName>
    <definedName name="__________________________PC12">NA()</definedName>
    <definedName name="__________________________PC13">NA()</definedName>
    <definedName name="__________________________PC14">NA()</definedName>
    <definedName name="__________________________PC15">NA()</definedName>
    <definedName name="__________________________PC16">NA()</definedName>
    <definedName name="__________________________PC17">NA()</definedName>
    <definedName name="__________________________PC18">NA()</definedName>
    <definedName name="__________________________PC19">NA()</definedName>
    <definedName name="__________________________pc2" localSheetId="11">NA()</definedName>
    <definedName name="__________________________pc2" localSheetId="12">NA()</definedName>
    <definedName name="__________________________pc2" localSheetId="0">#REF!</definedName>
    <definedName name="__________________________pc2">#REF!</definedName>
    <definedName name="__________________________PC20">NA()</definedName>
    <definedName name="__________________________PC21">NA()</definedName>
    <definedName name="__________________________PC22">NA()</definedName>
    <definedName name="__________________________PC23">NA()</definedName>
    <definedName name="__________________________PC24">NA()</definedName>
    <definedName name="__________________________PC3">NA()</definedName>
    <definedName name="__________________________PC4">NA()</definedName>
    <definedName name="__________________________PC5">NA()</definedName>
    <definedName name="__________________________PC6">NA()</definedName>
    <definedName name="__________________________pc600">NA()</definedName>
    <definedName name="__________________________PC7">NA()</definedName>
    <definedName name="__________________________PC8">NA()</definedName>
    <definedName name="__________________________PC9">NA()</definedName>
    <definedName name="__________________________pc900">NA()</definedName>
    <definedName name="__________________________pv2" localSheetId="11">NA()</definedName>
    <definedName name="__________________________pv2" localSheetId="12">NA()</definedName>
    <definedName name="__________________________pv2" localSheetId="0">#REF!</definedName>
    <definedName name="__________________________pv2">#REF!</definedName>
    <definedName name="__________________________rr3">[7]v!$A$2:$E$51</definedName>
    <definedName name="__________________________rrr1">[7]r!$B$1:$I$145</definedName>
    <definedName name="__________________________ss12">[8]rdamdata!$J$8</definedName>
    <definedName name="__________________________ss20">[8]rdamdata!$J$7</definedName>
    <definedName name="__________________________ss40">[8]rdamdata!$J$6</definedName>
    <definedName name="__________________________var1" localSheetId="11">NA()</definedName>
    <definedName name="__________________________var1" localSheetId="12">NA()</definedName>
    <definedName name="__________________________var1" localSheetId="0">#REF!</definedName>
    <definedName name="__________________________var1">#REF!</definedName>
    <definedName name="__________________________var4" localSheetId="11">NA()</definedName>
    <definedName name="__________________________var4" localSheetId="12">NA()</definedName>
    <definedName name="__________________________var4" localSheetId="0">#REF!</definedName>
    <definedName name="__________________________var4">#REF!</definedName>
    <definedName name="__________________________vat1">NA()</definedName>
    <definedName name="_________________________bla1">[1]leads!$H$7</definedName>
    <definedName name="_________________________BSG100" localSheetId="11">NA()</definedName>
    <definedName name="_________________________BSG100" localSheetId="12">NA()</definedName>
    <definedName name="_________________________BSG100" localSheetId="0">#REF!</definedName>
    <definedName name="_________________________BSG100">#REF!</definedName>
    <definedName name="_________________________BSG150" localSheetId="11">NA()</definedName>
    <definedName name="_________________________BSG150" localSheetId="12">NA()</definedName>
    <definedName name="_________________________BSG150" localSheetId="0">#REF!</definedName>
    <definedName name="_________________________BSG150">#REF!</definedName>
    <definedName name="_________________________BSG5" localSheetId="11">NA()</definedName>
    <definedName name="_________________________BSG5" localSheetId="12">NA()</definedName>
    <definedName name="_________________________BSG5" localSheetId="0">#REF!</definedName>
    <definedName name="_________________________BSG5">#REF!</definedName>
    <definedName name="_________________________BSG75" localSheetId="11">NA()</definedName>
    <definedName name="_________________________BSG75" localSheetId="12">NA()</definedName>
    <definedName name="_________________________BSG75" localSheetId="0">#REF!</definedName>
    <definedName name="_________________________BSG75">#REF!</definedName>
    <definedName name="_________________________BTC1">NA()</definedName>
    <definedName name="_________________________BTC10">NA()</definedName>
    <definedName name="_________________________BTC11">NA()</definedName>
    <definedName name="_________________________BTC12">NA()</definedName>
    <definedName name="_________________________BTC13" localSheetId="11">NA()</definedName>
    <definedName name="_________________________BTC13" localSheetId="12">NA()</definedName>
    <definedName name="_________________________BTC13" localSheetId="0">#REF!</definedName>
    <definedName name="_________________________BTC13">#REF!</definedName>
    <definedName name="_________________________BTC14" localSheetId="11">NA()</definedName>
    <definedName name="_________________________BTC14" localSheetId="12">NA()</definedName>
    <definedName name="_________________________BTC14" localSheetId="0">#REF!</definedName>
    <definedName name="_________________________BTC14">#REF!</definedName>
    <definedName name="_________________________BTC15" localSheetId="11">NA()</definedName>
    <definedName name="_________________________BTC15" localSheetId="12">NA()</definedName>
    <definedName name="_________________________BTC15" localSheetId="0">#REF!</definedName>
    <definedName name="_________________________BTC15">#REF!</definedName>
    <definedName name="_________________________BTC16" localSheetId="11">NA()</definedName>
    <definedName name="_________________________BTC16" localSheetId="12">NA()</definedName>
    <definedName name="_________________________BTC16" localSheetId="0">#REF!</definedName>
    <definedName name="_________________________BTC16">#REF!</definedName>
    <definedName name="_________________________BTC17" localSheetId="11">NA()</definedName>
    <definedName name="_________________________BTC17" localSheetId="12">NA()</definedName>
    <definedName name="_________________________BTC17" localSheetId="0">#REF!</definedName>
    <definedName name="_________________________BTC17">#REF!</definedName>
    <definedName name="_________________________BTC18" localSheetId="11">NA()</definedName>
    <definedName name="_________________________BTC18" localSheetId="12">NA()</definedName>
    <definedName name="_________________________BTC18" localSheetId="0">#REF!</definedName>
    <definedName name="_________________________BTC18">#REF!</definedName>
    <definedName name="_________________________BTC19" localSheetId="11">NA()</definedName>
    <definedName name="_________________________BTC19" localSheetId="12">NA()</definedName>
    <definedName name="_________________________BTC19" localSheetId="0">#REF!</definedName>
    <definedName name="_________________________BTC19">#REF!</definedName>
    <definedName name="_________________________BTC2">NA()</definedName>
    <definedName name="_________________________BTC20" localSheetId="11">NA()</definedName>
    <definedName name="_________________________BTC20" localSheetId="12">NA()</definedName>
    <definedName name="_________________________BTC20" localSheetId="0">#REF!</definedName>
    <definedName name="_________________________BTC20">#REF!</definedName>
    <definedName name="_________________________BTC21" localSheetId="11">NA()</definedName>
    <definedName name="_________________________BTC21" localSheetId="12">NA()</definedName>
    <definedName name="_________________________BTC21" localSheetId="0">#REF!</definedName>
    <definedName name="_________________________BTC21">#REF!</definedName>
    <definedName name="_________________________BTC22" localSheetId="11">NA()</definedName>
    <definedName name="_________________________BTC22" localSheetId="12">NA()</definedName>
    <definedName name="_________________________BTC22" localSheetId="0">#REF!</definedName>
    <definedName name="_________________________BTC22">#REF!</definedName>
    <definedName name="_________________________BTC23" localSheetId="11">NA()</definedName>
    <definedName name="_________________________BTC23" localSheetId="12">NA()</definedName>
    <definedName name="_________________________BTC23" localSheetId="0">#REF!</definedName>
    <definedName name="_________________________BTC23">#REF!</definedName>
    <definedName name="_________________________BTC24" localSheetId="11">NA()</definedName>
    <definedName name="_________________________BTC24" localSheetId="12">NA()</definedName>
    <definedName name="_________________________BTC24" localSheetId="0">#REF!</definedName>
    <definedName name="_________________________BTC24">#REF!</definedName>
    <definedName name="_________________________BTC3">NA()</definedName>
    <definedName name="_________________________BTC4">NA()</definedName>
    <definedName name="_________________________BTC5">NA()</definedName>
    <definedName name="_________________________BTC6">NA()</definedName>
    <definedName name="_________________________BTC7">NA()</definedName>
    <definedName name="_________________________BTC8">NA()</definedName>
    <definedName name="_________________________BTC9">NA()</definedName>
    <definedName name="_________________________BTR1">NA()</definedName>
    <definedName name="_________________________BTR10">NA()</definedName>
    <definedName name="_________________________BTR11">NA()</definedName>
    <definedName name="_________________________BTR12">NA()</definedName>
    <definedName name="_________________________BTR13" localSheetId="11">NA()</definedName>
    <definedName name="_________________________BTR13" localSheetId="12">NA()</definedName>
    <definedName name="_________________________BTR13" localSheetId="0">#REF!</definedName>
    <definedName name="_________________________BTR13">#REF!</definedName>
    <definedName name="_________________________BTR14" localSheetId="11">NA()</definedName>
    <definedName name="_________________________BTR14" localSheetId="12">NA()</definedName>
    <definedName name="_________________________BTR14" localSheetId="0">#REF!</definedName>
    <definedName name="_________________________BTR14">#REF!</definedName>
    <definedName name="_________________________BTR15" localSheetId="11">NA()</definedName>
    <definedName name="_________________________BTR15" localSheetId="12">NA()</definedName>
    <definedName name="_________________________BTR15" localSheetId="0">#REF!</definedName>
    <definedName name="_________________________BTR15">#REF!</definedName>
    <definedName name="_________________________BTR16" localSheetId="11">NA()</definedName>
    <definedName name="_________________________BTR16" localSheetId="12">NA()</definedName>
    <definedName name="_________________________BTR16" localSheetId="0">#REF!</definedName>
    <definedName name="_________________________BTR16">#REF!</definedName>
    <definedName name="_________________________BTR17" localSheetId="11">NA()</definedName>
    <definedName name="_________________________BTR17" localSheetId="12">NA()</definedName>
    <definedName name="_________________________BTR17" localSheetId="0">#REF!</definedName>
    <definedName name="_________________________BTR17">#REF!</definedName>
    <definedName name="_________________________BTR18" localSheetId="11">NA()</definedName>
    <definedName name="_________________________BTR18" localSheetId="12">NA()</definedName>
    <definedName name="_________________________BTR18" localSheetId="0">#REF!</definedName>
    <definedName name="_________________________BTR18">#REF!</definedName>
    <definedName name="_________________________BTR19" localSheetId="11">NA()</definedName>
    <definedName name="_________________________BTR19" localSheetId="12">NA()</definedName>
    <definedName name="_________________________BTR19" localSheetId="0">#REF!</definedName>
    <definedName name="_________________________BTR19">#REF!</definedName>
    <definedName name="_________________________BTR2">NA()</definedName>
    <definedName name="_________________________BTR20" localSheetId="11">NA()</definedName>
    <definedName name="_________________________BTR20" localSheetId="12">NA()</definedName>
    <definedName name="_________________________BTR20" localSheetId="0">#REF!</definedName>
    <definedName name="_________________________BTR20">#REF!</definedName>
    <definedName name="_________________________BTR21" localSheetId="11">NA()</definedName>
    <definedName name="_________________________BTR21" localSheetId="12">NA()</definedName>
    <definedName name="_________________________BTR21" localSheetId="0">#REF!</definedName>
    <definedName name="_________________________BTR21">#REF!</definedName>
    <definedName name="_________________________BTR22" localSheetId="11">NA()</definedName>
    <definedName name="_________________________BTR22" localSheetId="12">NA()</definedName>
    <definedName name="_________________________BTR22" localSheetId="0">#REF!</definedName>
    <definedName name="_________________________BTR22">#REF!</definedName>
    <definedName name="_________________________BTR23" localSheetId="11">NA()</definedName>
    <definedName name="_________________________BTR23" localSheetId="12">NA()</definedName>
    <definedName name="_________________________BTR23" localSheetId="0">#REF!</definedName>
    <definedName name="_________________________BTR23">#REF!</definedName>
    <definedName name="_________________________BTR24" localSheetId="11">NA()</definedName>
    <definedName name="_________________________BTR24" localSheetId="12">NA()</definedName>
    <definedName name="_________________________BTR24" localSheetId="0">#REF!</definedName>
    <definedName name="_________________________BTR24">#REF!</definedName>
    <definedName name="_________________________BTR3">NA()</definedName>
    <definedName name="_________________________BTR4">NA()</definedName>
    <definedName name="_________________________BTR5">NA()</definedName>
    <definedName name="_________________________BTR6">NA()</definedName>
    <definedName name="_________________________BTR7">NA()</definedName>
    <definedName name="_________________________BTR8">NA()</definedName>
    <definedName name="_________________________BTR9">NA()</definedName>
    <definedName name="_________________________BTS1">NA()</definedName>
    <definedName name="_________________________BTS10">NA()</definedName>
    <definedName name="_________________________BTS11">NA()</definedName>
    <definedName name="_________________________BTS12">NA()</definedName>
    <definedName name="_________________________BTS13" localSheetId="11">NA()</definedName>
    <definedName name="_________________________BTS13" localSheetId="12">NA()</definedName>
    <definedName name="_________________________BTS13" localSheetId="0">#REF!</definedName>
    <definedName name="_________________________BTS13">#REF!</definedName>
    <definedName name="_________________________BTS14" localSheetId="11">NA()</definedName>
    <definedName name="_________________________BTS14" localSheetId="12">NA()</definedName>
    <definedName name="_________________________BTS14" localSheetId="0">#REF!</definedName>
    <definedName name="_________________________BTS14">#REF!</definedName>
    <definedName name="_________________________BTS15" localSheetId="11">NA()</definedName>
    <definedName name="_________________________BTS15" localSheetId="12">NA()</definedName>
    <definedName name="_________________________BTS15" localSheetId="0">#REF!</definedName>
    <definedName name="_________________________BTS15">#REF!</definedName>
    <definedName name="_________________________BTS16" localSheetId="11">NA()</definedName>
    <definedName name="_________________________BTS16" localSheetId="12">NA()</definedName>
    <definedName name="_________________________BTS16" localSheetId="0">#REF!</definedName>
    <definedName name="_________________________BTS16">#REF!</definedName>
    <definedName name="_________________________BTS17" localSheetId="11">NA()</definedName>
    <definedName name="_________________________BTS17" localSheetId="12">NA()</definedName>
    <definedName name="_________________________BTS17" localSheetId="0">#REF!</definedName>
    <definedName name="_________________________BTS17">#REF!</definedName>
    <definedName name="_________________________BTS18" localSheetId="11">NA()</definedName>
    <definedName name="_________________________BTS18" localSheetId="12">NA()</definedName>
    <definedName name="_________________________BTS18" localSheetId="0">#REF!</definedName>
    <definedName name="_________________________BTS18">#REF!</definedName>
    <definedName name="_________________________BTS19" localSheetId="11">NA()</definedName>
    <definedName name="_________________________BTS19" localSheetId="12">NA()</definedName>
    <definedName name="_________________________BTS19" localSheetId="0">#REF!</definedName>
    <definedName name="_________________________BTS19">#REF!</definedName>
    <definedName name="_________________________BTS2">NA()</definedName>
    <definedName name="_________________________BTS20" localSheetId="11">NA()</definedName>
    <definedName name="_________________________BTS20" localSheetId="12">NA()</definedName>
    <definedName name="_________________________BTS20" localSheetId="0">#REF!</definedName>
    <definedName name="_________________________BTS20">#REF!</definedName>
    <definedName name="_________________________BTS21" localSheetId="11">NA()</definedName>
    <definedName name="_________________________BTS21" localSheetId="12">NA()</definedName>
    <definedName name="_________________________BTS21" localSheetId="0">#REF!</definedName>
    <definedName name="_________________________BTS21">#REF!</definedName>
    <definedName name="_________________________BTS22" localSheetId="11">NA()</definedName>
    <definedName name="_________________________BTS22" localSheetId="12">NA()</definedName>
    <definedName name="_________________________BTS22" localSheetId="0">#REF!</definedName>
    <definedName name="_________________________BTS22">#REF!</definedName>
    <definedName name="_________________________BTS23" localSheetId="11">NA()</definedName>
    <definedName name="_________________________BTS23" localSheetId="12">NA()</definedName>
    <definedName name="_________________________BTS23" localSheetId="0">#REF!</definedName>
    <definedName name="_________________________BTS23">#REF!</definedName>
    <definedName name="_________________________BTS24" localSheetId="11">NA()</definedName>
    <definedName name="_________________________BTS24" localSheetId="12">NA()</definedName>
    <definedName name="_________________________BTS24" localSheetId="0">#REF!</definedName>
    <definedName name="_________________________BTS24">#REF!</definedName>
    <definedName name="_________________________BTS3">NA()</definedName>
    <definedName name="_________________________BTS4">NA()</definedName>
    <definedName name="_________________________BTS5">NA()</definedName>
    <definedName name="_________________________BTS6">NA()</definedName>
    <definedName name="_________________________BTS7">NA()</definedName>
    <definedName name="_________________________BTS8">NA()</definedName>
    <definedName name="_________________________BTS9">NA()</definedName>
    <definedName name="_________________________can430">40.73</definedName>
    <definedName name="_________________________can435">43.3</definedName>
    <definedName name="_________________________cur1">[2]r!$F$30</definedName>
    <definedName name="_________________________GBS11">NA()</definedName>
    <definedName name="_________________________GBS110">NA()</definedName>
    <definedName name="_________________________GBS111">NA()</definedName>
    <definedName name="_________________________GBS112">NA()</definedName>
    <definedName name="_________________________GBS113" localSheetId="11">NA()</definedName>
    <definedName name="_________________________GBS113" localSheetId="12">NA()</definedName>
    <definedName name="_________________________GBS113" localSheetId="0">#REF!</definedName>
    <definedName name="_________________________GBS113">#REF!</definedName>
    <definedName name="_________________________GBS114" localSheetId="11">NA()</definedName>
    <definedName name="_________________________GBS114" localSheetId="12">NA()</definedName>
    <definedName name="_________________________GBS114" localSheetId="0">#REF!</definedName>
    <definedName name="_________________________GBS114">#REF!</definedName>
    <definedName name="_________________________GBS115" localSheetId="11">NA()</definedName>
    <definedName name="_________________________GBS115" localSheetId="12">NA()</definedName>
    <definedName name="_________________________GBS115" localSheetId="0">#REF!</definedName>
    <definedName name="_________________________GBS115">#REF!</definedName>
    <definedName name="_________________________GBS116" localSheetId="11">NA()</definedName>
    <definedName name="_________________________GBS116" localSheetId="12">NA()</definedName>
    <definedName name="_________________________GBS116" localSheetId="0">#REF!</definedName>
    <definedName name="_________________________GBS116">#REF!</definedName>
    <definedName name="_________________________GBS117" localSheetId="11">NA()</definedName>
    <definedName name="_________________________GBS117" localSheetId="12">NA()</definedName>
    <definedName name="_________________________GBS117" localSheetId="0">#REF!</definedName>
    <definedName name="_________________________GBS117">#REF!</definedName>
    <definedName name="_________________________GBS118" localSheetId="11">NA()</definedName>
    <definedName name="_________________________GBS118" localSheetId="12">NA()</definedName>
    <definedName name="_________________________GBS118" localSheetId="0">#REF!</definedName>
    <definedName name="_________________________GBS118">#REF!</definedName>
    <definedName name="_________________________GBS119" localSheetId="11">NA()</definedName>
    <definedName name="_________________________GBS119" localSheetId="12">NA()</definedName>
    <definedName name="_________________________GBS119" localSheetId="0">#REF!</definedName>
    <definedName name="_________________________GBS119">#REF!</definedName>
    <definedName name="_________________________GBS12">NA()</definedName>
    <definedName name="_________________________GBS120" localSheetId="11">NA()</definedName>
    <definedName name="_________________________GBS120" localSheetId="12">NA()</definedName>
    <definedName name="_________________________GBS120" localSheetId="0">#REF!</definedName>
    <definedName name="_________________________GBS120">#REF!</definedName>
    <definedName name="_________________________GBS121" localSheetId="11">NA()</definedName>
    <definedName name="_________________________GBS121" localSheetId="12">NA()</definedName>
    <definedName name="_________________________GBS121" localSheetId="0">#REF!</definedName>
    <definedName name="_________________________GBS121">#REF!</definedName>
    <definedName name="_________________________GBS122" localSheetId="11">NA()</definedName>
    <definedName name="_________________________GBS122" localSheetId="12">NA()</definedName>
    <definedName name="_________________________GBS122" localSheetId="0">#REF!</definedName>
    <definedName name="_________________________GBS122">#REF!</definedName>
    <definedName name="_________________________GBS123" localSheetId="11">NA()</definedName>
    <definedName name="_________________________GBS123" localSheetId="12">NA()</definedName>
    <definedName name="_________________________GBS123" localSheetId="0">#REF!</definedName>
    <definedName name="_________________________GBS123">#REF!</definedName>
    <definedName name="_________________________GBS124" localSheetId="11">NA()</definedName>
    <definedName name="_________________________GBS124" localSheetId="12">NA()</definedName>
    <definedName name="_________________________GBS124" localSheetId="0">#REF!</definedName>
    <definedName name="_________________________GBS124">#REF!</definedName>
    <definedName name="_________________________GBS13">NA()</definedName>
    <definedName name="_________________________GBS14">NA()</definedName>
    <definedName name="_________________________GBS15">NA()</definedName>
    <definedName name="_________________________GBS16">NA()</definedName>
    <definedName name="_________________________GBS17">NA()</definedName>
    <definedName name="_________________________GBS18">NA()</definedName>
    <definedName name="_________________________GBS19">NA()</definedName>
    <definedName name="_________________________GBS21">NA()</definedName>
    <definedName name="_________________________GBS210">NA()</definedName>
    <definedName name="_________________________GBS211">NA()</definedName>
    <definedName name="_________________________GBS212">NA()</definedName>
    <definedName name="_________________________GBS213" localSheetId="11">NA()</definedName>
    <definedName name="_________________________GBS213" localSheetId="12">NA()</definedName>
    <definedName name="_________________________GBS213" localSheetId="0">#REF!</definedName>
    <definedName name="_________________________GBS213">#REF!</definedName>
    <definedName name="_________________________GBS214" localSheetId="11">NA()</definedName>
    <definedName name="_________________________GBS214" localSheetId="12">NA()</definedName>
    <definedName name="_________________________GBS214" localSheetId="0">#REF!</definedName>
    <definedName name="_________________________GBS214">#REF!</definedName>
    <definedName name="_________________________GBS215" localSheetId="11">NA()</definedName>
    <definedName name="_________________________GBS215" localSheetId="12">NA()</definedName>
    <definedName name="_________________________GBS215" localSheetId="0">#REF!</definedName>
    <definedName name="_________________________GBS215">#REF!</definedName>
    <definedName name="_________________________GBS216" localSheetId="11">NA()</definedName>
    <definedName name="_________________________GBS216" localSheetId="12">NA()</definedName>
    <definedName name="_________________________GBS216" localSheetId="0">#REF!</definedName>
    <definedName name="_________________________GBS216">#REF!</definedName>
    <definedName name="_________________________GBS217" localSheetId="11">NA()</definedName>
    <definedName name="_________________________GBS217" localSheetId="12">NA()</definedName>
    <definedName name="_________________________GBS217" localSheetId="0">#REF!</definedName>
    <definedName name="_________________________GBS217">#REF!</definedName>
    <definedName name="_________________________GBS218" localSheetId="11">NA()</definedName>
    <definedName name="_________________________GBS218" localSheetId="12">NA()</definedName>
    <definedName name="_________________________GBS218" localSheetId="0">#REF!</definedName>
    <definedName name="_________________________GBS218">#REF!</definedName>
    <definedName name="_________________________GBS219" localSheetId="11">NA()</definedName>
    <definedName name="_________________________GBS219" localSheetId="12">NA()</definedName>
    <definedName name="_________________________GBS219" localSheetId="0">#REF!</definedName>
    <definedName name="_________________________GBS219">#REF!</definedName>
    <definedName name="_________________________GBS22">NA()</definedName>
    <definedName name="_________________________GBS220" localSheetId="11">NA()</definedName>
    <definedName name="_________________________GBS220" localSheetId="12">NA()</definedName>
    <definedName name="_________________________GBS220" localSheetId="0">#REF!</definedName>
    <definedName name="_________________________GBS220">#REF!</definedName>
    <definedName name="_________________________GBS221" localSheetId="11">NA()</definedName>
    <definedName name="_________________________GBS221" localSheetId="12">NA()</definedName>
    <definedName name="_________________________GBS221" localSheetId="0">#REF!</definedName>
    <definedName name="_________________________GBS221">#REF!</definedName>
    <definedName name="_________________________GBS222" localSheetId="11">NA()</definedName>
    <definedName name="_________________________GBS222" localSheetId="12">NA()</definedName>
    <definedName name="_________________________GBS222" localSheetId="0">#REF!</definedName>
    <definedName name="_________________________GBS222">#REF!</definedName>
    <definedName name="_________________________GBS223" localSheetId="11">NA()</definedName>
    <definedName name="_________________________GBS223" localSheetId="12">NA()</definedName>
    <definedName name="_________________________GBS223" localSheetId="0">#REF!</definedName>
    <definedName name="_________________________GBS223">#REF!</definedName>
    <definedName name="_________________________GBS224" localSheetId="11">NA()</definedName>
    <definedName name="_________________________GBS224" localSheetId="12">NA()</definedName>
    <definedName name="_________________________GBS224" localSheetId="0">#REF!</definedName>
    <definedName name="_________________________GBS224">#REF!</definedName>
    <definedName name="_________________________GBS23">NA()</definedName>
    <definedName name="_________________________GBS24">NA()</definedName>
    <definedName name="_________________________GBS25">NA()</definedName>
    <definedName name="_________________________GBS26">NA()</definedName>
    <definedName name="_________________________GBS27">NA()</definedName>
    <definedName name="_________________________GBS28">NA()</definedName>
    <definedName name="_________________________GBS29">NA()</definedName>
    <definedName name="_________________________knr2" localSheetId="11">NA()</definedName>
    <definedName name="_________________________knr2" localSheetId="12">NA()</definedName>
    <definedName name="_________________________knr2" localSheetId="0">#REF!</definedName>
    <definedName name="_________________________knr2">#REF!</definedName>
    <definedName name="_________________________l1">[3]leads!$A$3:$E$108</definedName>
    <definedName name="_________________________l12" localSheetId="11">NA()</definedName>
    <definedName name="_________________________l12" localSheetId="12">NA()</definedName>
    <definedName name="_________________________l12" localSheetId="0">#REF!</definedName>
    <definedName name="_________________________l12">#REF!</definedName>
    <definedName name="_________________________l2">[2]r!$F$29</definedName>
    <definedName name="_________________________l3" localSheetId="11">NA()</definedName>
    <definedName name="_________________________l3" localSheetId="12">NA()</definedName>
    <definedName name="_________________________l3" localSheetId="0">#REF!</definedName>
    <definedName name="_________________________l3">#REF!</definedName>
    <definedName name="_________________________l4">[4]Sheet1!$W$2:$Y$103</definedName>
    <definedName name="_________________________l5" localSheetId="11">NA()</definedName>
    <definedName name="_________________________l5" localSheetId="12">NA()</definedName>
    <definedName name="_________________________l5" localSheetId="0">#REF!</definedName>
    <definedName name="_________________________l5">#REF!</definedName>
    <definedName name="_________________________l6">[2]r!$F$4</definedName>
    <definedName name="_________________________l7">[5]r!$F$4</definedName>
    <definedName name="_________________________l8">[2]r!$F$2</definedName>
    <definedName name="_________________________l9">[2]r!$F$3</definedName>
    <definedName name="_________________________lj600">NA()</definedName>
    <definedName name="_________________________lj900">NA()</definedName>
    <definedName name="_________________________LL3">NA()</definedName>
    <definedName name="_________________________MA1">NA()</definedName>
    <definedName name="_________________________MA2" localSheetId="11">NA()</definedName>
    <definedName name="_________________________MA2" localSheetId="12">NA()</definedName>
    <definedName name="_________________________MA2" localSheetId="0">#REF!</definedName>
    <definedName name="_________________________MA2">#REF!</definedName>
    <definedName name="_________________________Met22" localSheetId="11">NA()</definedName>
    <definedName name="_________________________Met22" localSheetId="12">NA()</definedName>
    <definedName name="_________________________Met22" localSheetId="0">#REF!</definedName>
    <definedName name="_________________________Met22">#REF!</definedName>
    <definedName name="_________________________Met45" localSheetId="11">NA()</definedName>
    <definedName name="_________________________Met45" localSheetId="12">NA()</definedName>
    <definedName name="_________________________Met45" localSheetId="0">#REF!</definedName>
    <definedName name="_________________________Met45">#REF!</definedName>
    <definedName name="_________________________MEt55" localSheetId="11">NA()</definedName>
    <definedName name="_________________________MEt55" localSheetId="12">NA()</definedName>
    <definedName name="_________________________MEt55" localSheetId="0">#REF!</definedName>
    <definedName name="_________________________MEt55">#REF!</definedName>
    <definedName name="_________________________Met63" localSheetId="11">NA()</definedName>
    <definedName name="_________________________Met63" localSheetId="12">NA()</definedName>
    <definedName name="_________________________Met63" localSheetId="0">#REF!</definedName>
    <definedName name="_________________________Met63">#REF!</definedName>
    <definedName name="_________________________ML21">NA()</definedName>
    <definedName name="_________________________ML210">NA()</definedName>
    <definedName name="_________________________ML211">NA()</definedName>
    <definedName name="_________________________ML212">NA()</definedName>
    <definedName name="_________________________ML213" localSheetId="11">NA()</definedName>
    <definedName name="_________________________ML213" localSheetId="12">NA()</definedName>
    <definedName name="_________________________ML213" localSheetId="0">#REF!</definedName>
    <definedName name="_________________________ML213">#REF!</definedName>
    <definedName name="_________________________ML214" localSheetId="11">NA()</definedName>
    <definedName name="_________________________ML214" localSheetId="12">NA()</definedName>
    <definedName name="_________________________ML214" localSheetId="0">#REF!</definedName>
    <definedName name="_________________________ML214">#REF!</definedName>
    <definedName name="_________________________ML215" localSheetId="11">NA()</definedName>
    <definedName name="_________________________ML215" localSheetId="12">NA()</definedName>
    <definedName name="_________________________ML215" localSheetId="0">#REF!</definedName>
    <definedName name="_________________________ML215">#REF!</definedName>
    <definedName name="_________________________ML216" localSheetId="11">NA()</definedName>
    <definedName name="_________________________ML216" localSheetId="12">NA()</definedName>
    <definedName name="_________________________ML216" localSheetId="0">#REF!</definedName>
    <definedName name="_________________________ML216">#REF!</definedName>
    <definedName name="_________________________ML217" localSheetId="11">NA()</definedName>
    <definedName name="_________________________ML217" localSheetId="12">NA()</definedName>
    <definedName name="_________________________ML217" localSheetId="0">#REF!</definedName>
    <definedName name="_________________________ML217">#REF!</definedName>
    <definedName name="_________________________ML218" localSheetId="11">NA()</definedName>
    <definedName name="_________________________ML218" localSheetId="12">NA()</definedName>
    <definedName name="_________________________ML218" localSheetId="0">#REF!</definedName>
    <definedName name="_________________________ML218">#REF!</definedName>
    <definedName name="_________________________ML219" localSheetId="11">NA()</definedName>
    <definedName name="_________________________ML219" localSheetId="12">NA()</definedName>
    <definedName name="_________________________ML219" localSheetId="0">#REF!</definedName>
    <definedName name="_________________________ML219">#REF!</definedName>
    <definedName name="_________________________ML22">NA()</definedName>
    <definedName name="_________________________ML220" localSheetId="11">NA()</definedName>
    <definedName name="_________________________ML220" localSheetId="12">NA()</definedName>
    <definedName name="_________________________ML220" localSheetId="0">#REF!</definedName>
    <definedName name="_________________________ML220">#REF!</definedName>
    <definedName name="_________________________ML221" localSheetId="11">NA()</definedName>
    <definedName name="_________________________ML221" localSheetId="12">NA()</definedName>
    <definedName name="_________________________ML221" localSheetId="0">#REF!</definedName>
    <definedName name="_________________________ML221">#REF!</definedName>
    <definedName name="_________________________ML222" localSheetId="11">NA()</definedName>
    <definedName name="_________________________ML222" localSheetId="12">NA()</definedName>
    <definedName name="_________________________ML222" localSheetId="0">#REF!</definedName>
    <definedName name="_________________________ML222">#REF!</definedName>
    <definedName name="_________________________ML223" localSheetId="11">NA()</definedName>
    <definedName name="_________________________ML223" localSheetId="12">NA()</definedName>
    <definedName name="_________________________ML223" localSheetId="0">#REF!</definedName>
    <definedName name="_________________________ML223">#REF!</definedName>
    <definedName name="_________________________ML224" localSheetId="11">NA()</definedName>
    <definedName name="_________________________ML224" localSheetId="12">NA()</definedName>
    <definedName name="_________________________ML224" localSheetId="0">#REF!</definedName>
    <definedName name="_________________________ML224">#REF!</definedName>
    <definedName name="_________________________ML23">NA()</definedName>
    <definedName name="_________________________ML24">NA()</definedName>
    <definedName name="_________________________ML25">NA()</definedName>
    <definedName name="_________________________ML26">NA()</definedName>
    <definedName name="_________________________ML27">NA()</definedName>
    <definedName name="_________________________ML28">NA()</definedName>
    <definedName name="_________________________ML29">NA()</definedName>
    <definedName name="_________________________ML31">NA()</definedName>
    <definedName name="_________________________ML310">NA()</definedName>
    <definedName name="_________________________ML311">NA()</definedName>
    <definedName name="_________________________ML312">NA()</definedName>
    <definedName name="_________________________ML313" localSheetId="11">NA()</definedName>
    <definedName name="_________________________ML313" localSheetId="12">NA()</definedName>
    <definedName name="_________________________ML313" localSheetId="0">#REF!</definedName>
    <definedName name="_________________________ML313">#REF!</definedName>
    <definedName name="_________________________ML314" localSheetId="11">NA()</definedName>
    <definedName name="_________________________ML314" localSheetId="12">NA()</definedName>
    <definedName name="_________________________ML314" localSheetId="0">#REF!</definedName>
    <definedName name="_________________________ML314">#REF!</definedName>
    <definedName name="_________________________ML315" localSheetId="11">NA()</definedName>
    <definedName name="_________________________ML315" localSheetId="12">NA()</definedName>
    <definedName name="_________________________ML315" localSheetId="0">#REF!</definedName>
    <definedName name="_________________________ML315">#REF!</definedName>
    <definedName name="_________________________ML316" localSheetId="11">NA()</definedName>
    <definedName name="_________________________ML316" localSheetId="12">NA()</definedName>
    <definedName name="_________________________ML316" localSheetId="0">#REF!</definedName>
    <definedName name="_________________________ML316">#REF!</definedName>
    <definedName name="_________________________ML317" localSheetId="11">NA()</definedName>
    <definedName name="_________________________ML317" localSheetId="12">NA()</definedName>
    <definedName name="_________________________ML317" localSheetId="0">#REF!</definedName>
    <definedName name="_________________________ML317">#REF!</definedName>
    <definedName name="_________________________ML318" localSheetId="11">NA()</definedName>
    <definedName name="_________________________ML318" localSheetId="12">NA()</definedName>
    <definedName name="_________________________ML318" localSheetId="0">#REF!</definedName>
    <definedName name="_________________________ML318">#REF!</definedName>
    <definedName name="_________________________ML319" localSheetId="11">NA()</definedName>
    <definedName name="_________________________ML319" localSheetId="12">NA()</definedName>
    <definedName name="_________________________ML319" localSheetId="0">#REF!</definedName>
    <definedName name="_________________________ML319">#REF!</definedName>
    <definedName name="_________________________ML32">NA()</definedName>
    <definedName name="_________________________ML320" localSheetId="11">NA()</definedName>
    <definedName name="_________________________ML320" localSheetId="12">NA()</definedName>
    <definedName name="_________________________ML320" localSheetId="0">#REF!</definedName>
    <definedName name="_________________________ML320">#REF!</definedName>
    <definedName name="_________________________ML321" localSheetId="11">NA()</definedName>
    <definedName name="_________________________ML321" localSheetId="12">NA()</definedName>
    <definedName name="_________________________ML321" localSheetId="0">#REF!</definedName>
    <definedName name="_________________________ML321">#REF!</definedName>
    <definedName name="_________________________ML322" localSheetId="11">NA()</definedName>
    <definedName name="_________________________ML322" localSheetId="12">NA()</definedName>
    <definedName name="_________________________ML322" localSheetId="0">#REF!</definedName>
    <definedName name="_________________________ML322">#REF!</definedName>
    <definedName name="_________________________ML323" localSheetId="11">NA()</definedName>
    <definedName name="_________________________ML323" localSheetId="12">NA()</definedName>
    <definedName name="_________________________ML323" localSheetId="0">#REF!</definedName>
    <definedName name="_________________________ML323">#REF!</definedName>
    <definedName name="_________________________ML324" localSheetId="11">NA()</definedName>
    <definedName name="_________________________ML324" localSheetId="12">NA()</definedName>
    <definedName name="_________________________ML324" localSheetId="0">#REF!</definedName>
    <definedName name="_________________________ML324">#REF!</definedName>
    <definedName name="_________________________ML33">NA()</definedName>
    <definedName name="_________________________ML34">NA()</definedName>
    <definedName name="_________________________ML35">NA()</definedName>
    <definedName name="_________________________ML36">NA()</definedName>
    <definedName name="_________________________ML37">NA()</definedName>
    <definedName name="_________________________ML38">NA()</definedName>
    <definedName name="_________________________ML39">NA()</definedName>
    <definedName name="_________________________ML7">NA()</definedName>
    <definedName name="_________________________ML8">NA()</definedName>
    <definedName name="_________________________ML9">NA()</definedName>
    <definedName name="_________________________mm1">[6]r!$F$4</definedName>
    <definedName name="_________________________mm1000" localSheetId="11">NA()</definedName>
    <definedName name="_________________________mm1000" localSheetId="12">NA()</definedName>
    <definedName name="_________________________mm1000" localSheetId="0">#REF!</definedName>
    <definedName name="_________________________mm1000">#REF!</definedName>
    <definedName name="_________________________mm11">[2]r!$F$4</definedName>
    <definedName name="_________________________mm111">[5]r!$F$4</definedName>
    <definedName name="_________________________mm600" localSheetId="11">NA()</definedName>
    <definedName name="_________________________mm600" localSheetId="12">NA()</definedName>
    <definedName name="_________________________mm600" localSheetId="0">#REF!</definedName>
    <definedName name="_________________________mm600">#REF!</definedName>
    <definedName name="_________________________mm800" localSheetId="11">NA()</definedName>
    <definedName name="_________________________mm800" localSheetId="12">NA()</definedName>
    <definedName name="_________________________mm800" localSheetId="0">#REF!</definedName>
    <definedName name="_________________________mm800">#REF!</definedName>
    <definedName name="_________________________PC1">NA()</definedName>
    <definedName name="_________________________PC10">NA()</definedName>
    <definedName name="_________________________PC11">NA()</definedName>
    <definedName name="_________________________PC12">NA()</definedName>
    <definedName name="_________________________PC13" localSheetId="11">NA()</definedName>
    <definedName name="_________________________PC13" localSheetId="12">NA()</definedName>
    <definedName name="_________________________PC13" localSheetId="0">#REF!</definedName>
    <definedName name="_________________________PC13">#REF!</definedName>
    <definedName name="_________________________PC14" localSheetId="11">NA()</definedName>
    <definedName name="_________________________PC14" localSheetId="12">NA()</definedName>
    <definedName name="_________________________PC14" localSheetId="0">#REF!</definedName>
    <definedName name="_________________________PC14">#REF!</definedName>
    <definedName name="_________________________PC15" localSheetId="11">NA()</definedName>
    <definedName name="_________________________PC15" localSheetId="12">NA()</definedName>
    <definedName name="_________________________PC15" localSheetId="0">#REF!</definedName>
    <definedName name="_________________________PC15">#REF!</definedName>
    <definedName name="_________________________PC16" localSheetId="11">NA()</definedName>
    <definedName name="_________________________PC16" localSheetId="12">NA()</definedName>
    <definedName name="_________________________PC16" localSheetId="0">#REF!</definedName>
    <definedName name="_________________________PC16">#REF!</definedName>
    <definedName name="_________________________PC17" localSheetId="11">NA()</definedName>
    <definedName name="_________________________PC17" localSheetId="12">NA()</definedName>
    <definedName name="_________________________PC17" localSheetId="0">#REF!</definedName>
    <definedName name="_________________________PC17">#REF!</definedName>
    <definedName name="_________________________PC18" localSheetId="11">NA()</definedName>
    <definedName name="_________________________PC18" localSheetId="12">NA()</definedName>
    <definedName name="_________________________PC18" localSheetId="0">#REF!</definedName>
    <definedName name="_________________________PC18">#REF!</definedName>
    <definedName name="_________________________PC19" localSheetId="11">NA()</definedName>
    <definedName name="_________________________PC19" localSheetId="12">NA()</definedName>
    <definedName name="_________________________PC19" localSheetId="0">#REF!</definedName>
    <definedName name="_________________________PC19">#REF!</definedName>
    <definedName name="_________________________pc2" localSheetId="11">NA()</definedName>
    <definedName name="_________________________pc2" localSheetId="12">NA()</definedName>
    <definedName name="_________________________pc2" localSheetId="0">#REF!</definedName>
    <definedName name="_________________________pc2">#REF!</definedName>
    <definedName name="_________________________PC20">NA()</definedName>
    <definedName name="_________________________PC21" localSheetId="11">NA()</definedName>
    <definedName name="_________________________PC21" localSheetId="12">NA()</definedName>
    <definedName name="_________________________PC21" localSheetId="0">#REF!</definedName>
    <definedName name="_________________________PC21">#REF!</definedName>
    <definedName name="_________________________PC22" localSheetId="11">NA()</definedName>
    <definedName name="_________________________PC22" localSheetId="12">NA()</definedName>
    <definedName name="_________________________PC22" localSheetId="0">#REF!</definedName>
    <definedName name="_________________________PC22">#REF!</definedName>
    <definedName name="_________________________PC23" localSheetId="11">NA()</definedName>
    <definedName name="_________________________PC23" localSheetId="12">NA()</definedName>
    <definedName name="_________________________PC23" localSheetId="0">#REF!</definedName>
    <definedName name="_________________________PC23">#REF!</definedName>
    <definedName name="_________________________PC24" localSheetId="11">NA()</definedName>
    <definedName name="_________________________PC24" localSheetId="12">NA()</definedName>
    <definedName name="_________________________PC24" localSheetId="0">#REF!</definedName>
    <definedName name="_________________________PC24">#REF!</definedName>
    <definedName name="_________________________PC3">NA()</definedName>
    <definedName name="_________________________PC4">NA()</definedName>
    <definedName name="_________________________PC5">NA()</definedName>
    <definedName name="_________________________PC6">NA()</definedName>
    <definedName name="_________________________pc600">NA()</definedName>
    <definedName name="_________________________PC7">NA()</definedName>
    <definedName name="_________________________PC8">NA()</definedName>
    <definedName name="_________________________PC9">NA()</definedName>
    <definedName name="_________________________pc900">NA()</definedName>
    <definedName name="_________________________pv2" localSheetId="11">NA()</definedName>
    <definedName name="_________________________pv2" localSheetId="12">NA()</definedName>
    <definedName name="_________________________pv2" localSheetId="0">#REF!</definedName>
    <definedName name="_________________________pv2">#REF!</definedName>
    <definedName name="_________________________rr3">[7]v!$A$2:$E$51</definedName>
    <definedName name="_________________________rrr1">[7]r!$B$1:$I$145</definedName>
    <definedName name="_________________________ss12">[8]rdamdata!$J$8</definedName>
    <definedName name="_________________________ss20">[8]rdamdata!$J$7</definedName>
    <definedName name="_________________________ss40">[8]rdamdata!$J$6</definedName>
    <definedName name="_________________________var1" localSheetId="11">NA()</definedName>
    <definedName name="_________________________var1" localSheetId="12">NA()</definedName>
    <definedName name="_________________________var1" localSheetId="0">#REF!</definedName>
    <definedName name="_________________________var1">#REF!</definedName>
    <definedName name="_________________________var4" localSheetId="11">NA()</definedName>
    <definedName name="_________________________var4" localSheetId="12">NA()</definedName>
    <definedName name="_________________________var4" localSheetId="0">#REF!</definedName>
    <definedName name="_________________________var4">#REF!</definedName>
    <definedName name="_________________________vat1">NA()</definedName>
    <definedName name="________________________bla1">[1]leads!$H$7</definedName>
    <definedName name="________________________BSG100">NA()</definedName>
    <definedName name="________________________BSG150">NA()</definedName>
    <definedName name="________________________BSG5">NA()</definedName>
    <definedName name="________________________BSG75">NA()</definedName>
    <definedName name="________________________BTC1" localSheetId="11">NA()</definedName>
    <definedName name="________________________BTC1" localSheetId="12">NA()</definedName>
    <definedName name="________________________BTC1" localSheetId="0">#REF!</definedName>
    <definedName name="________________________BTC1">#REF!</definedName>
    <definedName name="________________________BTC10" localSheetId="11">NA()</definedName>
    <definedName name="________________________BTC10" localSheetId="12">NA()</definedName>
    <definedName name="________________________BTC10" localSheetId="0">#REF!</definedName>
    <definedName name="________________________BTC10">#REF!</definedName>
    <definedName name="________________________BTC11" localSheetId="11">NA()</definedName>
    <definedName name="________________________BTC11" localSheetId="12">NA()</definedName>
    <definedName name="________________________BTC11" localSheetId="0">#REF!</definedName>
    <definedName name="________________________BTC11">#REF!</definedName>
    <definedName name="________________________BTC12" localSheetId="11">NA()</definedName>
    <definedName name="________________________BTC12" localSheetId="12">NA()</definedName>
    <definedName name="________________________BTC12" localSheetId="0">#REF!</definedName>
    <definedName name="________________________BTC12">#REF!</definedName>
    <definedName name="________________________BTC13">NA()</definedName>
    <definedName name="________________________BTC14">NA()</definedName>
    <definedName name="________________________BTC15">NA()</definedName>
    <definedName name="________________________BTC16">NA()</definedName>
    <definedName name="________________________BTC17">NA()</definedName>
    <definedName name="________________________BTC18">NA()</definedName>
    <definedName name="________________________BTC19">NA()</definedName>
    <definedName name="________________________BTC2" localSheetId="11">NA()</definedName>
    <definedName name="________________________BTC2" localSheetId="12">NA()</definedName>
    <definedName name="________________________BTC2" localSheetId="0">#REF!</definedName>
    <definedName name="________________________BTC2">#REF!</definedName>
    <definedName name="________________________BTC20">NA()</definedName>
    <definedName name="________________________BTC21">NA()</definedName>
    <definedName name="________________________BTC22">NA()</definedName>
    <definedName name="________________________BTC23">NA()</definedName>
    <definedName name="________________________BTC24">NA()</definedName>
    <definedName name="________________________BTC3" localSheetId="11">NA()</definedName>
    <definedName name="________________________BTC3" localSheetId="12">NA()</definedName>
    <definedName name="________________________BTC3" localSheetId="0">#REF!</definedName>
    <definedName name="________________________BTC3">#REF!</definedName>
    <definedName name="________________________BTC4" localSheetId="11">NA()</definedName>
    <definedName name="________________________BTC4" localSheetId="12">NA()</definedName>
    <definedName name="________________________BTC4" localSheetId="0">#REF!</definedName>
    <definedName name="________________________BTC4">#REF!</definedName>
    <definedName name="________________________BTC5" localSheetId="11">NA()</definedName>
    <definedName name="________________________BTC5" localSheetId="12">NA()</definedName>
    <definedName name="________________________BTC5" localSheetId="0">#REF!</definedName>
    <definedName name="________________________BTC5">#REF!</definedName>
    <definedName name="________________________BTC6" localSheetId="11">NA()</definedName>
    <definedName name="________________________BTC6" localSheetId="12">NA()</definedName>
    <definedName name="________________________BTC6" localSheetId="0">#REF!</definedName>
    <definedName name="________________________BTC6">#REF!</definedName>
    <definedName name="________________________BTC7" localSheetId="11">NA()</definedName>
    <definedName name="________________________BTC7" localSheetId="12">NA()</definedName>
    <definedName name="________________________BTC7" localSheetId="0">#REF!</definedName>
    <definedName name="________________________BTC7">#REF!</definedName>
    <definedName name="________________________BTC8" localSheetId="11">NA()</definedName>
    <definedName name="________________________BTC8" localSheetId="12">NA()</definedName>
    <definedName name="________________________BTC8" localSheetId="0">#REF!</definedName>
    <definedName name="________________________BTC8">#REF!</definedName>
    <definedName name="________________________BTC9" localSheetId="11">NA()</definedName>
    <definedName name="________________________BTC9" localSheetId="12">NA()</definedName>
    <definedName name="________________________BTC9" localSheetId="0">#REF!</definedName>
    <definedName name="________________________BTC9">#REF!</definedName>
    <definedName name="________________________BTR1" localSheetId="11">NA()</definedName>
    <definedName name="________________________BTR1" localSheetId="12">NA()</definedName>
    <definedName name="________________________BTR1" localSheetId="0">#REF!</definedName>
    <definedName name="________________________BTR1">#REF!</definedName>
    <definedName name="________________________BTR10" localSheetId="11">NA()</definedName>
    <definedName name="________________________BTR10" localSheetId="12">NA()</definedName>
    <definedName name="________________________BTR10" localSheetId="0">#REF!</definedName>
    <definedName name="________________________BTR10">#REF!</definedName>
    <definedName name="________________________BTR11" localSheetId="11">NA()</definedName>
    <definedName name="________________________BTR11" localSheetId="12">NA()</definedName>
    <definedName name="________________________BTR11" localSheetId="0">#REF!</definedName>
    <definedName name="________________________BTR11">#REF!</definedName>
    <definedName name="________________________BTR12" localSheetId="11">NA()</definedName>
    <definedName name="________________________BTR12" localSheetId="12">NA()</definedName>
    <definedName name="________________________BTR12" localSheetId="0">#REF!</definedName>
    <definedName name="________________________BTR12">#REF!</definedName>
    <definedName name="________________________BTR13">NA()</definedName>
    <definedName name="________________________BTR14">NA()</definedName>
    <definedName name="________________________BTR15">NA()</definedName>
    <definedName name="________________________BTR16">NA()</definedName>
    <definedName name="________________________BTR17">NA()</definedName>
    <definedName name="________________________BTR18">NA()</definedName>
    <definedName name="________________________BTR19">NA()</definedName>
    <definedName name="________________________BTR2" localSheetId="11">NA()</definedName>
    <definedName name="________________________BTR2" localSheetId="12">NA()</definedName>
    <definedName name="________________________BTR2" localSheetId="0">#REF!</definedName>
    <definedName name="________________________BTR2">#REF!</definedName>
    <definedName name="________________________BTR20">NA()</definedName>
    <definedName name="________________________BTR21">NA()</definedName>
    <definedName name="________________________BTR22">NA()</definedName>
    <definedName name="________________________BTR23">NA()</definedName>
    <definedName name="________________________BTR24">NA()</definedName>
    <definedName name="________________________BTR3" localSheetId="11">NA()</definedName>
    <definedName name="________________________BTR3" localSheetId="12">NA()</definedName>
    <definedName name="________________________BTR3" localSheetId="0">#REF!</definedName>
    <definedName name="________________________BTR3">#REF!</definedName>
    <definedName name="________________________BTR4" localSheetId="11">NA()</definedName>
    <definedName name="________________________BTR4" localSheetId="12">NA()</definedName>
    <definedName name="________________________BTR4" localSheetId="0">#REF!</definedName>
    <definedName name="________________________BTR4">#REF!</definedName>
    <definedName name="________________________BTR5" localSheetId="11">NA()</definedName>
    <definedName name="________________________BTR5" localSheetId="12">NA()</definedName>
    <definedName name="________________________BTR5" localSheetId="0">#REF!</definedName>
    <definedName name="________________________BTR5">#REF!</definedName>
    <definedName name="________________________BTR6" localSheetId="11">NA()</definedName>
    <definedName name="________________________BTR6" localSheetId="12">NA()</definedName>
    <definedName name="________________________BTR6" localSheetId="0">#REF!</definedName>
    <definedName name="________________________BTR6">#REF!</definedName>
    <definedName name="________________________BTR7" localSheetId="11">NA()</definedName>
    <definedName name="________________________BTR7" localSheetId="12">NA()</definedName>
    <definedName name="________________________BTR7" localSheetId="0">#REF!</definedName>
    <definedName name="________________________BTR7">#REF!</definedName>
    <definedName name="________________________BTR8" localSheetId="11">NA()</definedName>
    <definedName name="________________________BTR8" localSheetId="12">NA()</definedName>
    <definedName name="________________________BTR8" localSheetId="0">#REF!</definedName>
    <definedName name="________________________BTR8">#REF!</definedName>
    <definedName name="________________________BTR9" localSheetId="11">NA()</definedName>
    <definedName name="________________________BTR9" localSheetId="12">NA()</definedName>
    <definedName name="________________________BTR9" localSheetId="0">#REF!</definedName>
    <definedName name="________________________BTR9">#REF!</definedName>
    <definedName name="________________________BTS1" localSheetId="11">NA()</definedName>
    <definedName name="________________________BTS1" localSheetId="12">NA()</definedName>
    <definedName name="________________________BTS1" localSheetId="0">#REF!</definedName>
    <definedName name="________________________BTS1">#REF!</definedName>
    <definedName name="________________________BTS10" localSheetId="11">NA()</definedName>
    <definedName name="________________________BTS10" localSheetId="12">NA()</definedName>
    <definedName name="________________________BTS10" localSheetId="0">#REF!</definedName>
    <definedName name="________________________BTS10">#REF!</definedName>
    <definedName name="________________________BTS11" localSheetId="11">NA()</definedName>
    <definedName name="________________________BTS11" localSheetId="12">NA()</definedName>
    <definedName name="________________________BTS11" localSheetId="0">#REF!</definedName>
    <definedName name="________________________BTS11">#REF!</definedName>
    <definedName name="________________________BTS12" localSheetId="11">NA()</definedName>
    <definedName name="________________________BTS12" localSheetId="12">NA()</definedName>
    <definedName name="________________________BTS12" localSheetId="0">#REF!</definedName>
    <definedName name="________________________BTS12">#REF!</definedName>
    <definedName name="________________________BTS13">NA()</definedName>
    <definedName name="________________________BTS14">NA()</definedName>
    <definedName name="________________________BTS15">NA()</definedName>
    <definedName name="________________________BTS16">NA()</definedName>
    <definedName name="________________________BTS17">NA()</definedName>
    <definedName name="________________________BTS18">NA()</definedName>
    <definedName name="________________________BTS19">NA()</definedName>
    <definedName name="________________________BTS2" localSheetId="11">NA()</definedName>
    <definedName name="________________________BTS2" localSheetId="12">NA()</definedName>
    <definedName name="________________________BTS2" localSheetId="0">#REF!</definedName>
    <definedName name="________________________BTS2">#REF!</definedName>
    <definedName name="________________________BTS20">NA()</definedName>
    <definedName name="________________________BTS21">NA()</definedName>
    <definedName name="________________________BTS22">NA()</definedName>
    <definedName name="________________________BTS23">NA()</definedName>
    <definedName name="________________________BTS24">NA()</definedName>
    <definedName name="________________________BTS3" localSheetId="11">NA()</definedName>
    <definedName name="________________________BTS3" localSheetId="12">NA()</definedName>
    <definedName name="________________________BTS3" localSheetId="0">#REF!</definedName>
    <definedName name="________________________BTS3">#REF!</definedName>
    <definedName name="________________________BTS4" localSheetId="11">NA()</definedName>
    <definedName name="________________________BTS4" localSheetId="12">NA()</definedName>
    <definedName name="________________________BTS4" localSheetId="0">#REF!</definedName>
    <definedName name="________________________BTS4">#REF!</definedName>
    <definedName name="________________________BTS5" localSheetId="11">NA()</definedName>
    <definedName name="________________________BTS5" localSheetId="12">NA()</definedName>
    <definedName name="________________________BTS5" localSheetId="0">#REF!</definedName>
    <definedName name="________________________BTS5">#REF!</definedName>
    <definedName name="________________________BTS6" localSheetId="11">NA()</definedName>
    <definedName name="________________________BTS6" localSheetId="12">NA()</definedName>
    <definedName name="________________________BTS6" localSheetId="0">#REF!</definedName>
    <definedName name="________________________BTS6">#REF!</definedName>
    <definedName name="________________________BTS7" localSheetId="11">NA()</definedName>
    <definedName name="________________________BTS7" localSheetId="12">NA()</definedName>
    <definedName name="________________________BTS7" localSheetId="0">#REF!</definedName>
    <definedName name="________________________BTS7">#REF!</definedName>
    <definedName name="________________________BTS8" localSheetId="11">NA()</definedName>
    <definedName name="________________________BTS8" localSheetId="12">NA()</definedName>
    <definedName name="________________________BTS8" localSheetId="0">#REF!</definedName>
    <definedName name="________________________BTS8">#REF!</definedName>
    <definedName name="________________________BTS9" localSheetId="11">NA()</definedName>
    <definedName name="________________________BTS9" localSheetId="12">NA()</definedName>
    <definedName name="________________________BTS9" localSheetId="0">#REF!</definedName>
    <definedName name="________________________BTS9">#REF!</definedName>
    <definedName name="________________________can430">40.73</definedName>
    <definedName name="________________________can435">43.3</definedName>
    <definedName name="________________________CCW1">[9]DATA!$H$67</definedName>
    <definedName name="________________________CCW2">[9]DATA!$H$97</definedName>
    <definedName name="________________________cur1">[2]r!$F$30</definedName>
    <definedName name="________________________GBS11" localSheetId="11">NA()</definedName>
    <definedName name="________________________GBS11" localSheetId="12">NA()</definedName>
    <definedName name="________________________GBS11" localSheetId="0">#REF!</definedName>
    <definedName name="________________________GBS11">#REF!</definedName>
    <definedName name="________________________GBS110" localSheetId="11">NA()</definedName>
    <definedName name="________________________GBS110" localSheetId="12">NA()</definedName>
    <definedName name="________________________GBS110" localSheetId="0">#REF!</definedName>
    <definedName name="________________________GBS110">#REF!</definedName>
    <definedName name="________________________GBS111" localSheetId="11">NA()</definedName>
    <definedName name="________________________GBS111" localSheetId="12">NA()</definedName>
    <definedName name="________________________GBS111" localSheetId="0">#REF!</definedName>
    <definedName name="________________________GBS111">#REF!</definedName>
    <definedName name="________________________GBS112" localSheetId="11">NA()</definedName>
    <definedName name="________________________GBS112" localSheetId="12">NA()</definedName>
    <definedName name="________________________GBS112" localSheetId="0">#REF!</definedName>
    <definedName name="________________________GBS112">#REF!</definedName>
    <definedName name="________________________GBS113">NA()</definedName>
    <definedName name="________________________GBS114">NA()</definedName>
    <definedName name="________________________GBS115">NA()</definedName>
    <definedName name="________________________GBS116">NA()</definedName>
    <definedName name="________________________GBS117">NA()</definedName>
    <definedName name="________________________GBS118">NA()</definedName>
    <definedName name="________________________GBS119">NA()</definedName>
    <definedName name="________________________GBS12" localSheetId="11">NA()</definedName>
    <definedName name="________________________GBS12" localSheetId="12">NA()</definedName>
    <definedName name="________________________GBS12" localSheetId="0">#REF!</definedName>
    <definedName name="________________________GBS12">#REF!</definedName>
    <definedName name="________________________GBS120">NA()</definedName>
    <definedName name="________________________GBS121">NA()</definedName>
    <definedName name="________________________GBS122">NA()</definedName>
    <definedName name="________________________GBS123">NA()</definedName>
    <definedName name="________________________GBS124">NA()</definedName>
    <definedName name="________________________GBS13" localSheetId="11">NA()</definedName>
    <definedName name="________________________GBS13" localSheetId="12">NA()</definedName>
    <definedName name="________________________GBS13" localSheetId="0">#REF!</definedName>
    <definedName name="________________________GBS13">#REF!</definedName>
    <definedName name="________________________GBS14" localSheetId="11">NA()</definedName>
    <definedName name="________________________GBS14" localSheetId="12">NA()</definedName>
    <definedName name="________________________GBS14" localSheetId="0">#REF!</definedName>
    <definedName name="________________________GBS14">#REF!</definedName>
    <definedName name="________________________GBS15" localSheetId="11">NA()</definedName>
    <definedName name="________________________GBS15" localSheetId="12">NA()</definedName>
    <definedName name="________________________GBS15" localSheetId="0">#REF!</definedName>
    <definedName name="________________________GBS15">#REF!</definedName>
    <definedName name="________________________GBS16" localSheetId="11">NA()</definedName>
    <definedName name="________________________GBS16" localSheetId="12">NA()</definedName>
    <definedName name="________________________GBS16" localSheetId="0">#REF!</definedName>
    <definedName name="________________________GBS16">#REF!</definedName>
    <definedName name="________________________GBS17" localSheetId="11">NA()</definedName>
    <definedName name="________________________GBS17" localSheetId="12">NA()</definedName>
    <definedName name="________________________GBS17" localSheetId="0">#REF!</definedName>
    <definedName name="________________________GBS17">#REF!</definedName>
    <definedName name="________________________GBS18" localSheetId="11">NA()</definedName>
    <definedName name="________________________GBS18" localSheetId="12">NA()</definedName>
    <definedName name="________________________GBS18" localSheetId="0">#REF!</definedName>
    <definedName name="________________________GBS18">#REF!</definedName>
    <definedName name="________________________GBS19" localSheetId="11">NA()</definedName>
    <definedName name="________________________GBS19" localSheetId="12">NA()</definedName>
    <definedName name="________________________GBS19" localSheetId="0">#REF!</definedName>
    <definedName name="________________________GBS19">#REF!</definedName>
    <definedName name="________________________GBS21" localSheetId="11">NA()</definedName>
    <definedName name="________________________GBS21" localSheetId="12">NA()</definedName>
    <definedName name="________________________GBS21" localSheetId="0">#REF!</definedName>
    <definedName name="________________________GBS21">#REF!</definedName>
    <definedName name="________________________GBS210" localSheetId="11">NA()</definedName>
    <definedName name="________________________GBS210" localSheetId="12">NA()</definedName>
    <definedName name="________________________GBS210" localSheetId="0">#REF!</definedName>
    <definedName name="________________________GBS210">#REF!</definedName>
    <definedName name="________________________GBS211" localSheetId="11">NA()</definedName>
    <definedName name="________________________GBS211" localSheetId="12">NA()</definedName>
    <definedName name="________________________GBS211" localSheetId="0">#REF!</definedName>
    <definedName name="________________________GBS211">#REF!</definedName>
    <definedName name="________________________GBS212" localSheetId="11">NA()</definedName>
    <definedName name="________________________GBS212" localSheetId="12">NA()</definedName>
    <definedName name="________________________GBS212" localSheetId="0">#REF!</definedName>
    <definedName name="________________________GBS212">#REF!</definedName>
    <definedName name="________________________GBS213">NA()</definedName>
    <definedName name="________________________GBS214">NA()</definedName>
    <definedName name="________________________GBS215">NA()</definedName>
    <definedName name="________________________GBS216">NA()</definedName>
    <definedName name="________________________GBS217">NA()</definedName>
    <definedName name="________________________GBS218">NA()</definedName>
    <definedName name="________________________GBS219">NA()</definedName>
    <definedName name="________________________GBS22" localSheetId="11">NA()</definedName>
    <definedName name="________________________GBS22" localSheetId="12">NA()</definedName>
    <definedName name="________________________GBS22" localSheetId="0">#REF!</definedName>
    <definedName name="________________________GBS22">#REF!</definedName>
    <definedName name="________________________GBS220">NA()</definedName>
    <definedName name="________________________GBS221">NA()</definedName>
    <definedName name="________________________GBS222">NA()</definedName>
    <definedName name="________________________GBS223">NA()</definedName>
    <definedName name="________________________GBS224">NA()</definedName>
    <definedName name="________________________GBS23" localSheetId="11">NA()</definedName>
    <definedName name="________________________GBS23" localSheetId="12">NA()</definedName>
    <definedName name="________________________GBS23" localSheetId="0">#REF!</definedName>
    <definedName name="________________________GBS23">#REF!</definedName>
    <definedName name="________________________GBS24" localSheetId="11">NA()</definedName>
    <definedName name="________________________GBS24" localSheetId="12">NA()</definedName>
    <definedName name="________________________GBS24" localSheetId="0">#REF!</definedName>
    <definedName name="________________________GBS24">#REF!</definedName>
    <definedName name="________________________GBS25" localSheetId="11">NA()</definedName>
    <definedName name="________________________GBS25" localSheetId="12">NA()</definedName>
    <definedName name="________________________GBS25" localSheetId="0">#REF!</definedName>
    <definedName name="________________________GBS25">#REF!</definedName>
    <definedName name="________________________GBS26" localSheetId="11">NA()</definedName>
    <definedName name="________________________GBS26" localSheetId="12">NA()</definedName>
    <definedName name="________________________GBS26" localSheetId="0">#REF!</definedName>
    <definedName name="________________________GBS26">#REF!</definedName>
    <definedName name="________________________GBS27" localSheetId="11">NA()</definedName>
    <definedName name="________________________GBS27" localSheetId="12">NA()</definedName>
    <definedName name="________________________GBS27" localSheetId="0">#REF!</definedName>
    <definedName name="________________________GBS27">#REF!</definedName>
    <definedName name="________________________GBS28" localSheetId="11">NA()</definedName>
    <definedName name="________________________GBS28" localSheetId="12">NA()</definedName>
    <definedName name="________________________GBS28" localSheetId="0">#REF!</definedName>
    <definedName name="________________________GBS28">#REF!</definedName>
    <definedName name="________________________GBS29" localSheetId="11">NA()</definedName>
    <definedName name="________________________GBS29" localSheetId="12">NA()</definedName>
    <definedName name="________________________GBS29" localSheetId="0">#REF!</definedName>
    <definedName name="________________________GBS29">#REF!</definedName>
    <definedName name="________________________knr2">NA()</definedName>
    <definedName name="________________________l1">[3]leads!$A$3:$E$108</definedName>
    <definedName name="________________________l12" localSheetId="11">NA()</definedName>
    <definedName name="________________________l12" localSheetId="12">NA()</definedName>
    <definedName name="________________________l12" localSheetId="0">#REF!</definedName>
    <definedName name="________________________l12">#REF!</definedName>
    <definedName name="________________________l2">[2]r!$F$29</definedName>
    <definedName name="________________________l3" localSheetId="11">NA()</definedName>
    <definedName name="________________________l3" localSheetId="12">NA()</definedName>
    <definedName name="________________________l3" localSheetId="0">#REF!</definedName>
    <definedName name="________________________l3">#REF!</definedName>
    <definedName name="________________________l4">[4]Sheet1!$W$2:$Y$103</definedName>
    <definedName name="________________________l5" localSheetId="11">NA()</definedName>
    <definedName name="________________________l5" localSheetId="12">NA()</definedName>
    <definedName name="________________________l5" localSheetId="0">#REF!</definedName>
    <definedName name="________________________l5">#REF!</definedName>
    <definedName name="________________________l6">[2]r!$F$4</definedName>
    <definedName name="________________________l7">[5]r!$F$4</definedName>
    <definedName name="________________________l8">[2]r!$F$2</definedName>
    <definedName name="________________________l9">[2]r!$F$3</definedName>
    <definedName name="________________________LJ6">[9]DATA!$H$245</definedName>
    <definedName name="________________________lj600" localSheetId="11">NA()</definedName>
    <definedName name="________________________lj600" localSheetId="12">NA()</definedName>
    <definedName name="________________________lj600" localSheetId="0">#REF!</definedName>
    <definedName name="________________________lj600">#REF!</definedName>
    <definedName name="________________________lj900" localSheetId="11">NA()</definedName>
    <definedName name="________________________lj900" localSheetId="12">NA()</definedName>
    <definedName name="________________________lj900" localSheetId="0">#REF!</definedName>
    <definedName name="________________________lj900">#REF!</definedName>
    <definedName name="________________________LL3" localSheetId="11">NA()</definedName>
    <definedName name="________________________LL3" localSheetId="12">NA()</definedName>
    <definedName name="________________________LL3" localSheetId="0">#REF!</definedName>
    <definedName name="________________________LL3">#REF!</definedName>
    <definedName name="________________________MA1" localSheetId="11">NA()</definedName>
    <definedName name="________________________MA1" localSheetId="12">NA()</definedName>
    <definedName name="________________________MA1" localSheetId="0">#REF!</definedName>
    <definedName name="________________________MA1">#REF!</definedName>
    <definedName name="________________________MA2" localSheetId="11">NA()</definedName>
    <definedName name="________________________MA2" localSheetId="12">NA()</definedName>
    <definedName name="________________________MA2" localSheetId="0">#REF!</definedName>
    <definedName name="________________________MA2">#REF!</definedName>
    <definedName name="________________________Met22" localSheetId="11">NA()</definedName>
    <definedName name="________________________Met22" localSheetId="12">NA()</definedName>
    <definedName name="________________________Met22" localSheetId="0">#REF!</definedName>
    <definedName name="________________________Met22">#REF!</definedName>
    <definedName name="________________________Met45" localSheetId="11">NA()</definedName>
    <definedName name="________________________Met45" localSheetId="12">NA()</definedName>
    <definedName name="________________________Met45" localSheetId="0">#REF!</definedName>
    <definedName name="________________________Met45">#REF!</definedName>
    <definedName name="________________________MEt55" localSheetId="11">NA()</definedName>
    <definedName name="________________________MEt55" localSheetId="12">NA()</definedName>
    <definedName name="________________________MEt55" localSheetId="0">#REF!</definedName>
    <definedName name="________________________MEt55">#REF!</definedName>
    <definedName name="________________________Met63" localSheetId="11">NA()</definedName>
    <definedName name="________________________Met63" localSheetId="12">NA()</definedName>
    <definedName name="________________________Met63" localSheetId="0">#REF!</definedName>
    <definedName name="________________________Met63">#REF!</definedName>
    <definedName name="________________________ML21" localSheetId="11">NA()</definedName>
    <definedName name="________________________ML21" localSheetId="12">NA()</definedName>
    <definedName name="________________________ML21" localSheetId="0">#REF!</definedName>
    <definedName name="________________________ML21">#REF!</definedName>
    <definedName name="________________________ML210" localSheetId="11">NA()</definedName>
    <definedName name="________________________ML210" localSheetId="12">NA()</definedName>
    <definedName name="________________________ML210" localSheetId="0">#REF!</definedName>
    <definedName name="________________________ML210">#REF!</definedName>
    <definedName name="________________________ML211" localSheetId="11">NA()</definedName>
    <definedName name="________________________ML211" localSheetId="12">NA()</definedName>
    <definedName name="________________________ML211" localSheetId="0">#REF!</definedName>
    <definedName name="________________________ML211">#REF!</definedName>
    <definedName name="________________________ML212" localSheetId="11">NA()</definedName>
    <definedName name="________________________ML212" localSheetId="12">NA()</definedName>
    <definedName name="________________________ML212" localSheetId="0">#REF!</definedName>
    <definedName name="________________________ML212">#REF!</definedName>
    <definedName name="________________________ML213">NA()</definedName>
    <definedName name="________________________ML214">NA()</definedName>
    <definedName name="________________________ML215">NA()</definedName>
    <definedName name="________________________ML216">NA()</definedName>
    <definedName name="________________________ML217">NA()</definedName>
    <definedName name="________________________ML218">NA()</definedName>
    <definedName name="________________________ML219">NA()</definedName>
    <definedName name="________________________ML22" localSheetId="11">NA()</definedName>
    <definedName name="________________________ML22" localSheetId="12">NA()</definedName>
    <definedName name="________________________ML22" localSheetId="0">#REF!</definedName>
    <definedName name="________________________ML22">#REF!</definedName>
    <definedName name="________________________ML220">NA()</definedName>
    <definedName name="________________________ML221">NA()</definedName>
    <definedName name="________________________ML222">NA()</definedName>
    <definedName name="________________________ML223">NA()</definedName>
    <definedName name="________________________ML224">NA()</definedName>
    <definedName name="________________________ML23" localSheetId="11">NA()</definedName>
    <definedName name="________________________ML23" localSheetId="12">NA()</definedName>
    <definedName name="________________________ML23" localSheetId="0">#REF!</definedName>
    <definedName name="________________________ML23">#REF!</definedName>
    <definedName name="________________________ML24" localSheetId="11">NA()</definedName>
    <definedName name="________________________ML24" localSheetId="12">NA()</definedName>
    <definedName name="________________________ML24" localSheetId="0">#REF!</definedName>
    <definedName name="________________________ML24">#REF!</definedName>
    <definedName name="________________________ML25" localSheetId="11">NA()</definedName>
    <definedName name="________________________ML25" localSheetId="12">NA()</definedName>
    <definedName name="________________________ML25" localSheetId="0">#REF!</definedName>
    <definedName name="________________________ML25">#REF!</definedName>
    <definedName name="________________________ML26" localSheetId="11">NA()</definedName>
    <definedName name="________________________ML26" localSheetId="12">NA()</definedName>
    <definedName name="________________________ML26" localSheetId="0">#REF!</definedName>
    <definedName name="________________________ML26">#REF!</definedName>
    <definedName name="________________________ML27" localSheetId="11">NA()</definedName>
    <definedName name="________________________ML27" localSheetId="12">NA()</definedName>
    <definedName name="________________________ML27" localSheetId="0">#REF!</definedName>
    <definedName name="________________________ML27">#REF!</definedName>
    <definedName name="________________________ML28" localSheetId="11">NA()</definedName>
    <definedName name="________________________ML28" localSheetId="12">NA()</definedName>
    <definedName name="________________________ML28" localSheetId="0">#REF!</definedName>
    <definedName name="________________________ML28">#REF!</definedName>
    <definedName name="________________________ML29" localSheetId="11">NA()</definedName>
    <definedName name="________________________ML29" localSheetId="12">NA()</definedName>
    <definedName name="________________________ML29" localSheetId="0">#REF!</definedName>
    <definedName name="________________________ML29">#REF!</definedName>
    <definedName name="________________________ML31" localSheetId="11">NA()</definedName>
    <definedName name="________________________ML31" localSheetId="12">NA()</definedName>
    <definedName name="________________________ML31" localSheetId="0">#REF!</definedName>
    <definedName name="________________________ML31">#REF!</definedName>
    <definedName name="________________________ML310" localSheetId="11">NA()</definedName>
    <definedName name="________________________ML310" localSheetId="12">NA()</definedName>
    <definedName name="________________________ML310" localSheetId="0">#REF!</definedName>
    <definedName name="________________________ML310">#REF!</definedName>
    <definedName name="________________________ML311" localSheetId="11">NA()</definedName>
    <definedName name="________________________ML311" localSheetId="12">NA()</definedName>
    <definedName name="________________________ML311" localSheetId="0">#REF!</definedName>
    <definedName name="________________________ML311">#REF!</definedName>
    <definedName name="________________________ML312" localSheetId="11">NA()</definedName>
    <definedName name="________________________ML312" localSheetId="12">NA()</definedName>
    <definedName name="________________________ML312" localSheetId="0">#REF!</definedName>
    <definedName name="________________________ML312">#REF!</definedName>
    <definedName name="________________________ML313">NA()</definedName>
    <definedName name="________________________ML314">NA()</definedName>
    <definedName name="________________________ML315">NA()</definedName>
    <definedName name="________________________ML316">NA()</definedName>
    <definedName name="________________________ML317">NA()</definedName>
    <definedName name="________________________ML318">NA()</definedName>
    <definedName name="________________________ML319">NA()</definedName>
    <definedName name="________________________ML32" localSheetId="11">NA()</definedName>
    <definedName name="________________________ML32" localSheetId="12">NA()</definedName>
    <definedName name="________________________ML32" localSheetId="0">#REF!</definedName>
    <definedName name="________________________ML32">#REF!</definedName>
    <definedName name="________________________ML320">NA()</definedName>
    <definedName name="________________________ML321">NA()</definedName>
    <definedName name="________________________ML322">NA()</definedName>
    <definedName name="________________________ML323">NA()</definedName>
    <definedName name="________________________ML324">NA()</definedName>
    <definedName name="________________________ML33" localSheetId="11">NA()</definedName>
    <definedName name="________________________ML33" localSheetId="12">NA()</definedName>
    <definedName name="________________________ML33" localSheetId="0">#REF!</definedName>
    <definedName name="________________________ML33">#REF!</definedName>
    <definedName name="________________________ML34" localSheetId="11">NA()</definedName>
    <definedName name="________________________ML34" localSheetId="12">NA()</definedName>
    <definedName name="________________________ML34" localSheetId="0">#REF!</definedName>
    <definedName name="________________________ML34">#REF!</definedName>
    <definedName name="________________________ML35" localSheetId="11">NA()</definedName>
    <definedName name="________________________ML35" localSheetId="12">NA()</definedName>
    <definedName name="________________________ML35" localSheetId="0">#REF!</definedName>
    <definedName name="________________________ML35">#REF!</definedName>
    <definedName name="________________________ML36" localSheetId="11">NA()</definedName>
    <definedName name="________________________ML36" localSheetId="12">NA()</definedName>
    <definedName name="________________________ML36" localSheetId="0">#REF!</definedName>
    <definedName name="________________________ML36">#REF!</definedName>
    <definedName name="________________________ML37" localSheetId="11">NA()</definedName>
    <definedName name="________________________ML37" localSheetId="12">NA()</definedName>
    <definedName name="________________________ML37" localSheetId="0">#REF!</definedName>
    <definedName name="________________________ML37">#REF!</definedName>
    <definedName name="________________________ML38" localSheetId="11">NA()</definedName>
    <definedName name="________________________ML38" localSheetId="12">NA()</definedName>
    <definedName name="________________________ML38" localSheetId="0">#REF!</definedName>
    <definedName name="________________________ML38">#REF!</definedName>
    <definedName name="________________________ML39" localSheetId="11">NA()</definedName>
    <definedName name="________________________ML39" localSheetId="12">NA()</definedName>
    <definedName name="________________________ML39" localSheetId="0">#REF!</definedName>
    <definedName name="________________________ML39">#REF!</definedName>
    <definedName name="________________________ML7" localSheetId="11">NA()</definedName>
    <definedName name="________________________ML7" localSheetId="12">NA()</definedName>
    <definedName name="________________________ML7" localSheetId="0">#REF!</definedName>
    <definedName name="________________________ML7">#REF!</definedName>
    <definedName name="________________________ML8" localSheetId="11">NA()</definedName>
    <definedName name="________________________ML8" localSheetId="12">NA()</definedName>
    <definedName name="________________________ML8" localSheetId="0">#REF!</definedName>
    <definedName name="________________________ML8">#REF!</definedName>
    <definedName name="________________________ML9" localSheetId="11">NA()</definedName>
    <definedName name="________________________ML9" localSheetId="12">NA()</definedName>
    <definedName name="________________________ML9" localSheetId="0">#REF!</definedName>
    <definedName name="________________________ML9">#REF!</definedName>
    <definedName name="________________________mm1">[6]r!$F$4</definedName>
    <definedName name="________________________mm1000" localSheetId="11">NA()</definedName>
    <definedName name="________________________mm1000" localSheetId="12">NA()</definedName>
    <definedName name="________________________mm1000" localSheetId="0">#REF!</definedName>
    <definedName name="________________________mm1000">#REF!</definedName>
    <definedName name="________________________mm11">[2]r!$F$4</definedName>
    <definedName name="________________________mm111">[5]r!$F$4</definedName>
    <definedName name="________________________mm600" localSheetId="11">NA()</definedName>
    <definedName name="________________________mm600" localSheetId="12">NA()</definedName>
    <definedName name="________________________mm600" localSheetId="0">#REF!</definedName>
    <definedName name="________________________mm600">#REF!</definedName>
    <definedName name="________________________mm800" localSheetId="11">NA()</definedName>
    <definedName name="________________________mm800" localSheetId="12">NA()</definedName>
    <definedName name="________________________mm800" localSheetId="0">#REF!</definedName>
    <definedName name="________________________mm800">#REF!</definedName>
    <definedName name="________________________PC1" localSheetId="11">NA()</definedName>
    <definedName name="________________________PC1" localSheetId="12">NA()</definedName>
    <definedName name="________________________PC1" localSheetId="0">#REF!</definedName>
    <definedName name="________________________PC1">#REF!</definedName>
    <definedName name="________________________PC10" localSheetId="11">NA()</definedName>
    <definedName name="________________________PC10" localSheetId="12">NA()</definedName>
    <definedName name="________________________PC10" localSheetId="0">#REF!</definedName>
    <definedName name="________________________PC10">#REF!</definedName>
    <definedName name="________________________PC11" localSheetId="11">NA()</definedName>
    <definedName name="________________________PC11" localSheetId="12">NA()</definedName>
    <definedName name="________________________PC11" localSheetId="0">#REF!</definedName>
    <definedName name="________________________PC11">#REF!</definedName>
    <definedName name="________________________PC12" localSheetId="11">NA()</definedName>
    <definedName name="________________________PC12" localSheetId="12">NA()</definedName>
    <definedName name="________________________PC12" localSheetId="0">#REF!</definedName>
    <definedName name="________________________PC12">#REF!</definedName>
    <definedName name="________________________PC13">NA()</definedName>
    <definedName name="________________________PC14">NA()</definedName>
    <definedName name="________________________PC15">NA()</definedName>
    <definedName name="________________________PC16">NA()</definedName>
    <definedName name="________________________PC17">NA()</definedName>
    <definedName name="________________________PC18">NA()</definedName>
    <definedName name="________________________PC19">NA()</definedName>
    <definedName name="________________________pc2" localSheetId="11">NA()</definedName>
    <definedName name="________________________pc2" localSheetId="12">NA()</definedName>
    <definedName name="________________________pc2" localSheetId="0">#REF!</definedName>
    <definedName name="________________________pc2">#REF!</definedName>
    <definedName name="________________________PC20">NA()</definedName>
    <definedName name="________________________PC21">NA()</definedName>
    <definedName name="________________________PC22">NA()</definedName>
    <definedName name="________________________PC23">NA()</definedName>
    <definedName name="________________________PC24">NA()</definedName>
    <definedName name="________________________PC3">NA()</definedName>
    <definedName name="________________________PC4" localSheetId="11">NA()</definedName>
    <definedName name="________________________PC4" localSheetId="12">NA()</definedName>
    <definedName name="________________________PC4" localSheetId="0">#REF!</definedName>
    <definedName name="________________________PC4">#REF!</definedName>
    <definedName name="________________________PC5" localSheetId="11">NA()</definedName>
    <definedName name="________________________PC5" localSheetId="12">NA()</definedName>
    <definedName name="________________________PC5" localSheetId="0">#REF!</definedName>
    <definedName name="________________________PC5">#REF!</definedName>
    <definedName name="________________________PC6" localSheetId="11">NA()</definedName>
    <definedName name="________________________PC6" localSheetId="12">NA()</definedName>
    <definedName name="________________________PC6" localSheetId="0">#REF!</definedName>
    <definedName name="________________________PC6">#REF!</definedName>
    <definedName name="________________________pc600" localSheetId="11">NA()</definedName>
    <definedName name="________________________pc600" localSheetId="12">NA()</definedName>
    <definedName name="________________________pc600" localSheetId="0">#REF!</definedName>
    <definedName name="________________________pc600">#REF!</definedName>
    <definedName name="________________________PC7" localSheetId="11">NA()</definedName>
    <definedName name="________________________PC7" localSheetId="12">NA()</definedName>
    <definedName name="________________________PC7" localSheetId="0">#REF!</definedName>
    <definedName name="________________________PC7">#REF!</definedName>
    <definedName name="________________________PC8" localSheetId="11">NA()</definedName>
    <definedName name="________________________PC8" localSheetId="12">NA()</definedName>
    <definedName name="________________________PC8" localSheetId="0">#REF!</definedName>
    <definedName name="________________________PC8">#REF!</definedName>
    <definedName name="________________________PC9" localSheetId="11">NA()</definedName>
    <definedName name="________________________PC9" localSheetId="12">NA()</definedName>
    <definedName name="________________________PC9" localSheetId="0">#REF!</definedName>
    <definedName name="________________________PC9">#REF!</definedName>
    <definedName name="________________________pc900" localSheetId="11">NA()</definedName>
    <definedName name="________________________pc900" localSheetId="12">NA()</definedName>
    <definedName name="________________________pc900" localSheetId="0">#REF!</definedName>
    <definedName name="________________________pc900">#REF!</definedName>
    <definedName name="________________________pv2" localSheetId="11">NA()</definedName>
    <definedName name="________________________pv2" localSheetId="12">NA()</definedName>
    <definedName name="________________________pv2" localSheetId="0">#REF!</definedName>
    <definedName name="________________________pv2">#REF!</definedName>
    <definedName name="________________________rr3">[7]v!$A$2:$E$51</definedName>
    <definedName name="________________________rrr1">[7]r!$B$1:$I$145</definedName>
    <definedName name="________________________ss12">[8]rdamdata!$J$8</definedName>
    <definedName name="________________________ss20">[8]rdamdata!$J$7</definedName>
    <definedName name="________________________ss40">[8]rdamdata!$J$6</definedName>
    <definedName name="________________________var1" localSheetId="11">NA()</definedName>
    <definedName name="________________________var1" localSheetId="12">NA()</definedName>
    <definedName name="________________________var1" localSheetId="0">#REF!</definedName>
    <definedName name="________________________var1">#REF!</definedName>
    <definedName name="________________________var4" localSheetId="11">NA()</definedName>
    <definedName name="________________________var4" localSheetId="12">NA()</definedName>
    <definedName name="________________________var4" localSheetId="0">#REF!</definedName>
    <definedName name="________________________var4">#REF!</definedName>
    <definedName name="________________________vat1">NA()</definedName>
    <definedName name="_______________________bla1">[1]leads!$H$7</definedName>
    <definedName name="_______________________BSG100" localSheetId="11">NA()</definedName>
    <definedName name="_______________________BSG100" localSheetId="12">NA()</definedName>
    <definedName name="_______________________BSG100" localSheetId="0">#REF!</definedName>
    <definedName name="_______________________BSG100">#REF!</definedName>
    <definedName name="_______________________BSG150" localSheetId="11">NA()</definedName>
    <definedName name="_______________________BSG150" localSheetId="12">NA()</definedName>
    <definedName name="_______________________BSG150" localSheetId="0">#REF!</definedName>
    <definedName name="_______________________BSG150">#REF!</definedName>
    <definedName name="_______________________BSG5" localSheetId="11">NA()</definedName>
    <definedName name="_______________________BSG5" localSheetId="12">NA()</definedName>
    <definedName name="_______________________BSG5" localSheetId="0">#REF!</definedName>
    <definedName name="_______________________BSG5">#REF!</definedName>
    <definedName name="_______________________BSG75" localSheetId="11">NA()</definedName>
    <definedName name="_______________________BSG75" localSheetId="12">NA()</definedName>
    <definedName name="_______________________BSG75" localSheetId="0">#REF!</definedName>
    <definedName name="_______________________BSG75">#REF!</definedName>
    <definedName name="_______________________BTC1">NA()</definedName>
    <definedName name="_______________________BTC10">NA()</definedName>
    <definedName name="_______________________BTC11">NA()</definedName>
    <definedName name="_______________________BTC12">NA()</definedName>
    <definedName name="_______________________BTC13" localSheetId="11">NA()</definedName>
    <definedName name="_______________________BTC13" localSheetId="12">NA()</definedName>
    <definedName name="_______________________BTC13" localSheetId="0">#REF!</definedName>
    <definedName name="_______________________BTC13">#REF!</definedName>
    <definedName name="_______________________BTC14" localSheetId="11">NA()</definedName>
    <definedName name="_______________________BTC14" localSheetId="12">NA()</definedName>
    <definedName name="_______________________BTC14" localSheetId="0">#REF!</definedName>
    <definedName name="_______________________BTC14">#REF!</definedName>
    <definedName name="_______________________BTC15" localSheetId="11">NA()</definedName>
    <definedName name="_______________________BTC15" localSheetId="12">NA()</definedName>
    <definedName name="_______________________BTC15" localSheetId="0">#REF!</definedName>
    <definedName name="_______________________BTC15">#REF!</definedName>
    <definedName name="_______________________BTC16" localSheetId="11">NA()</definedName>
    <definedName name="_______________________BTC16" localSheetId="12">NA()</definedName>
    <definedName name="_______________________BTC16" localSheetId="0">#REF!</definedName>
    <definedName name="_______________________BTC16">#REF!</definedName>
    <definedName name="_______________________BTC17" localSheetId="11">NA()</definedName>
    <definedName name="_______________________BTC17" localSheetId="12">NA()</definedName>
    <definedName name="_______________________BTC17" localSheetId="0">#REF!</definedName>
    <definedName name="_______________________BTC17">#REF!</definedName>
    <definedName name="_______________________BTC18" localSheetId="11">NA()</definedName>
    <definedName name="_______________________BTC18" localSheetId="12">NA()</definedName>
    <definedName name="_______________________BTC18" localSheetId="0">#REF!</definedName>
    <definedName name="_______________________BTC18">#REF!</definedName>
    <definedName name="_______________________BTC19" localSheetId="11">NA()</definedName>
    <definedName name="_______________________BTC19" localSheetId="12">NA()</definedName>
    <definedName name="_______________________BTC19" localSheetId="0">#REF!</definedName>
    <definedName name="_______________________BTC19">#REF!</definedName>
    <definedName name="_______________________BTC2">NA()</definedName>
    <definedName name="_______________________BTC20" localSheetId="11">NA()</definedName>
    <definedName name="_______________________BTC20" localSheetId="12">NA()</definedName>
    <definedName name="_______________________BTC20" localSheetId="0">#REF!</definedName>
    <definedName name="_______________________BTC20">#REF!</definedName>
    <definedName name="_______________________BTC21" localSheetId="11">NA()</definedName>
    <definedName name="_______________________BTC21" localSheetId="12">NA()</definedName>
    <definedName name="_______________________BTC21" localSheetId="0">#REF!</definedName>
    <definedName name="_______________________BTC21">#REF!</definedName>
    <definedName name="_______________________BTC22" localSheetId="11">NA()</definedName>
    <definedName name="_______________________BTC22" localSheetId="12">NA()</definedName>
    <definedName name="_______________________BTC22" localSheetId="0">#REF!</definedName>
    <definedName name="_______________________BTC22">#REF!</definedName>
    <definedName name="_______________________BTC23" localSheetId="11">NA()</definedName>
    <definedName name="_______________________BTC23" localSheetId="12">NA()</definedName>
    <definedName name="_______________________BTC23" localSheetId="0">#REF!</definedName>
    <definedName name="_______________________BTC23">#REF!</definedName>
    <definedName name="_______________________BTC24" localSheetId="11">NA()</definedName>
    <definedName name="_______________________BTC24" localSheetId="12">NA()</definedName>
    <definedName name="_______________________BTC24" localSheetId="0">#REF!</definedName>
    <definedName name="_______________________BTC24">#REF!</definedName>
    <definedName name="_______________________BTC3">NA()</definedName>
    <definedName name="_______________________BTC4">NA()</definedName>
    <definedName name="_______________________BTC5">NA()</definedName>
    <definedName name="_______________________BTC6">NA()</definedName>
    <definedName name="_______________________BTC7">NA()</definedName>
    <definedName name="_______________________BTC8">NA()</definedName>
    <definedName name="_______________________BTC9">NA()</definedName>
    <definedName name="_______________________BTR1">NA()</definedName>
    <definedName name="_______________________BTR10">NA()</definedName>
    <definedName name="_______________________BTR11">NA()</definedName>
    <definedName name="_______________________BTR12">NA()</definedName>
    <definedName name="_______________________BTR13" localSheetId="11">NA()</definedName>
    <definedName name="_______________________BTR13" localSheetId="12">NA()</definedName>
    <definedName name="_______________________BTR13" localSheetId="0">#REF!</definedName>
    <definedName name="_______________________BTR13">#REF!</definedName>
    <definedName name="_______________________BTR14" localSheetId="11">NA()</definedName>
    <definedName name="_______________________BTR14" localSheetId="12">NA()</definedName>
    <definedName name="_______________________BTR14" localSheetId="0">#REF!</definedName>
    <definedName name="_______________________BTR14">#REF!</definedName>
    <definedName name="_______________________BTR15" localSheetId="11">NA()</definedName>
    <definedName name="_______________________BTR15" localSheetId="12">NA()</definedName>
    <definedName name="_______________________BTR15" localSheetId="0">#REF!</definedName>
    <definedName name="_______________________BTR15">#REF!</definedName>
    <definedName name="_______________________BTR16" localSheetId="11">NA()</definedName>
    <definedName name="_______________________BTR16" localSheetId="12">NA()</definedName>
    <definedName name="_______________________BTR16" localSheetId="0">#REF!</definedName>
    <definedName name="_______________________BTR16">#REF!</definedName>
    <definedName name="_______________________BTR17" localSheetId="11">NA()</definedName>
    <definedName name="_______________________BTR17" localSheetId="12">NA()</definedName>
    <definedName name="_______________________BTR17" localSheetId="0">#REF!</definedName>
    <definedName name="_______________________BTR17">#REF!</definedName>
    <definedName name="_______________________BTR18" localSheetId="11">NA()</definedName>
    <definedName name="_______________________BTR18" localSheetId="12">NA()</definedName>
    <definedName name="_______________________BTR18" localSheetId="0">#REF!</definedName>
    <definedName name="_______________________BTR18">#REF!</definedName>
    <definedName name="_______________________BTR19" localSheetId="11">NA()</definedName>
    <definedName name="_______________________BTR19" localSheetId="12">NA()</definedName>
    <definedName name="_______________________BTR19" localSheetId="0">#REF!</definedName>
    <definedName name="_______________________BTR19">#REF!</definedName>
    <definedName name="_______________________BTR2">NA()</definedName>
    <definedName name="_______________________BTR20" localSheetId="11">NA()</definedName>
    <definedName name="_______________________BTR20" localSheetId="12">NA()</definedName>
    <definedName name="_______________________BTR20" localSheetId="0">#REF!</definedName>
    <definedName name="_______________________BTR20">#REF!</definedName>
    <definedName name="_______________________BTR21" localSheetId="11">NA()</definedName>
    <definedName name="_______________________BTR21" localSheetId="12">NA()</definedName>
    <definedName name="_______________________BTR21" localSheetId="0">#REF!</definedName>
    <definedName name="_______________________BTR21">#REF!</definedName>
    <definedName name="_______________________BTR22" localSheetId="11">NA()</definedName>
    <definedName name="_______________________BTR22" localSheetId="12">NA()</definedName>
    <definedName name="_______________________BTR22" localSheetId="0">#REF!</definedName>
    <definedName name="_______________________BTR22">#REF!</definedName>
    <definedName name="_______________________BTR23" localSheetId="11">NA()</definedName>
    <definedName name="_______________________BTR23" localSheetId="12">NA()</definedName>
    <definedName name="_______________________BTR23" localSheetId="0">#REF!</definedName>
    <definedName name="_______________________BTR23">#REF!</definedName>
    <definedName name="_______________________BTR24" localSheetId="11">NA()</definedName>
    <definedName name="_______________________BTR24" localSheetId="12">NA()</definedName>
    <definedName name="_______________________BTR24" localSheetId="0">#REF!</definedName>
    <definedName name="_______________________BTR24">#REF!</definedName>
    <definedName name="_______________________BTR3">NA()</definedName>
    <definedName name="_______________________BTR4">NA()</definedName>
    <definedName name="_______________________BTR5">NA()</definedName>
    <definedName name="_______________________BTR6">NA()</definedName>
    <definedName name="_______________________BTR7">NA()</definedName>
    <definedName name="_______________________BTR8">NA()</definedName>
    <definedName name="_______________________BTR9">NA()</definedName>
    <definedName name="_______________________BTS1">NA()</definedName>
    <definedName name="_______________________BTS10">NA()</definedName>
    <definedName name="_______________________BTS11">NA()</definedName>
    <definedName name="_______________________BTS12">NA()</definedName>
    <definedName name="_______________________BTS13" localSheetId="11">NA()</definedName>
    <definedName name="_______________________BTS13" localSheetId="12">NA()</definedName>
    <definedName name="_______________________BTS13" localSheetId="0">#REF!</definedName>
    <definedName name="_______________________BTS13">#REF!</definedName>
    <definedName name="_______________________BTS14" localSheetId="11">NA()</definedName>
    <definedName name="_______________________BTS14" localSheetId="12">NA()</definedName>
    <definedName name="_______________________BTS14" localSheetId="0">#REF!</definedName>
    <definedName name="_______________________BTS14">#REF!</definedName>
    <definedName name="_______________________BTS15" localSheetId="11">NA()</definedName>
    <definedName name="_______________________BTS15" localSheetId="12">NA()</definedName>
    <definedName name="_______________________BTS15" localSheetId="0">#REF!</definedName>
    <definedName name="_______________________BTS15">#REF!</definedName>
    <definedName name="_______________________BTS16" localSheetId="11">NA()</definedName>
    <definedName name="_______________________BTS16" localSheetId="12">NA()</definedName>
    <definedName name="_______________________BTS16" localSheetId="0">#REF!</definedName>
    <definedName name="_______________________BTS16">#REF!</definedName>
    <definedName name="_______________________BTS17" localSheetId="11">NA()</definedName>
    <definedName name="_______________________BTS17" localSheetId="12">NA()</definedName>
    <definedName name="_______________________BTS17" localSheetId="0">#REF!</definedName>
    <definedName name="_______________________BTS17">#REF!</definedName>
    <definedName name="_______________________BTS18" localSheetId="11">NA()</definedName>
    <definedName name="_______________________BTS18" localSheetId="12">NA()</definedName>
    <definedName name="_______________________BTS18" localSheetId="0">#REF!</definedName>
    <definedName name="_______________________BTS18">#REF!</definedName>
    <definedName name="_______________________BTS19" localSheetId="11">NA()</definedName>
    <definedName name="_______________________BTS19" localSheetId="12">NA()</definedName>
    <definedName name="_______________________BTS19" localSheetId="0">#REF!</definedName>
    <definedName name="_______________________BTS19">#REF!</definedName>
    <definedName name="_______________________BTS2">NA()</definedName>
    <definedName name="_______________________BTS20" localSheetId="11">NA()</definedName>
    <definedName name="_______________________BTS20" localSheetId="12">NA()</definedName>
    <definedName name="_______________________BTS20" localSheetId="0">#REF!</definedName>
    <definedName name="_______________________BTS20">#REF!</definedName>
    <definedName name="_______________________BTS21" localSheetId="11">NA()</definedName>
    <definedName name="_______________________BTS21" localSheetId="12">NA()</definedName>
    <definedName name="_______________________BTS21" localSheetId="0">#REF!</definedName>
    <definedName name="_______________________BTS21">#REF!</definedName>
    <definedName name="_______________________BTS22" localSheetId="11">NA()</definedName>
    <definedName name="_______________________BTS22" localSheetId="12">NA()</definedName>
    <definedName name="_______________________BTS22" localSheetId="0">#REF!</definedName>
    <definedName name="_______________________BTS22">#REF!</definedName>
    <definedName name="_______________________BTS23" localSheetId="11">NA()</definedName>
    <definedName name="_______________________BTS23" localSheetId="12">NA()</definedName>
    <definedName name="_______________________BTS23" localSheetId="0">#REF!</definedName>
    <definedName name="_______________________BTS23">#REF!</definedName>
    <definedName name="_______________________BTS24" localSheetId="11">NA()</definedName>
    <definedName name="_______________________BTS24" localSheetId="12">NA()</definedName>
    <definedName name="_______________________BTS24" localSheetId="0">#REF!</definedName>
    <definedName name="_______________________BTS24">#REF!</definedName>
    <definedName name="_______________________BTS3">NA()</definedName>
    <definedName name="_______________________BTS4">NA()</definedName>
    <definedName name="_______________________BTS5">NA()</definedName>
    <definedName name="_______________________BTS6">NA()</definedName>
    <definedName name="_______________________BTS7">NA()</definedName>
    <definedName name="_______________________BTS8">NA()</definedName>
    <definedName name="_______________________BTS9">NA()</definedName>
    <definedName name="_______________________can430">40.73</definedName>
    <definedName name="_______________________can435">43.3</definedName>
    <definedName name="_______________________CCW1">[9]DATA!$H$67</definedName>
    <definedName name="_______________________CCW2">[9]DATA!$H$97</definedName>
    <definedName name="_______________________cur1">[2]r!$F$30</definedName>
    <definedName name="_______________________GBS11">NA()</definedName>
    <definedName name="_______________________GBS110">NA()</definedName>
    <definedName name="_______________________GBS111">NA()</definedName>
    <definedName name="_______________________GBS112">NA()</definedName>
    <definedName name="_______________________GBS113" localSheetId="11">NA()</definedName>
    <definedName name="_______________________GBS113" localSheetId="12">NA()</definedName>
    <definedName name="_______________________GBS113" localSheetId="0">#REF!</definedName>
    <definedName name="_______________________GBS113">#REF!</definedName>
    <definedName name="_______________________GBS114" localSheetId="11">NA()</definedName>
    <definedName name="_______________________GBS114" localSheetId="12">NA()</definedName>
    <definedName name="_______________________GBS114" localSheetId="0">#REF!</definedName>
    <definedName name="_______________________GBS114">#REF!</definedName>
    <definedName name="_______________________GBS115" localSheetId="11">NA()</definedName>
    <definedName name="_______________________GBS115" localSheetId="12">NA()</definedName>
    <definedName name="_______________________GBS115" localSheetId="0">#REF!</definedName>
    <definedName name="_______________________GBS115">#REF!</definedName>
    <definedName name="_______________________GBS116" localSheetId="11">NA()</definedName>
    <definedName name="_______________________GBS116" localSheetId="12">NA()</definedName>
    <definedName name="_______________________GBS116" localSheetId="0">#REF!</definedName>
    <definedName name="_______________________GBS116">#REF!</definedName>
    <definedName name="_______________________GBS117" localSheetId="11">NA()</definedName>
    <definedName name="_______________________GBS117" localSheetId="12">NA()</definedName>
    <definedName name="_______________________GBS117" localSheetId="0">#REF!</definedName>
    <definedName name="_______________________GBS117">#REF!</definedName>
    <definedName name="_______________________GBS118" localSheetId="11">NA()</definedName>
    <definedName name="_______________________GBS118" localSheetId="12">NA()</definedName>
    <definedName name="_______________________GBS118" localSheetId="0">#REF!</definedName>
    <definedName name="_______________________GBS118">#REF!</definedName>
    <definedName name="_______________________GBS119" localSheetId="11">NA()</definedName>
    <definedName name="_______________________GBS119" localSheetId="12">NA()</definedName>
    <definedName name="_______________________GBS119" localSheetId="0">#REF!</definedName>
    <definedName name="_______________________GBS119">#REF!</definedName>
    <definedName name="_______________________GBS12">NA()</definedName>
    <definedName name="_______________________GBS120" localSheetId="11">NA()</definedName>
    <definedName name="_______________________GBS120" localSheetId="12">NA()</definedName>
    <definedName name="_______________________GBS120" localSheetId="0">#REF!</definedName>
    <definedName name="_______________________GBS120">#REF!</definedName>
    <definedName name="_______________________GBS121" localSheetId="11">NA()</definedName>
    <definedName name="_______________________GBS121" localSheetId="12">NA()</definedName>
    <definedName name="_______________________GBS121" localSheetId="0">#REF!</definedName>
    <definedName name="_______________________GBS121">#REF!</definedName>
    <definedName name="_______________________GBS122" localSheetId="11">NA()</definedName>
    <definedName name="_______________________GBS122" localSheetId="12">NA()</definedName>
    <definedName name="_______________________GBS122" localSheetId="0">#REF!</definedName>
    <definedName name="_______________________GBS122">#REF!</definedName>
    <definedName name="_______________________GBS123" localSheetId="11">NA()</definedName>
    <definedName name="_______________________GBS123" localSheetId="12">NA()</definedName>
    <definedName name="_______________________GBS123" localSheetId="0">#REF!</definedName>
    <definedName name="_______________________GBS123">#REF!</definedName>
    <definedName name="_______________________GBS124" localSheetId="11">NA()</definedName>
    <definedName name="_______________________GBS124" localSheetId="12">NA()</definedName>
    <definedName name="_______________________GBS124" localSheetId="0">#REF!</definedName>
    <definedName name="_______________________GBS124">#REF!</definedName>
    <definedName name="_______________________GBS13">NA()</definedName>
    <definedName name="_______________________GBS14">NA()</definedName>
    <definedName name="_______________________GBS15">NA()</definedName>
    <definedName name="_______________________GBS16">NA()</definedName>
    <definedName name="_______________________GBS17">NA()</definedName>
    <definedName name="_______________________GBS18">NA()</definedName>
    <definedName name="_______________________GBS19">NA()</definedName>
    <definedName name="_______________________GBS21">NA()</definedName>
    <definedName name="_______________________GBS210">NA()</definedName>
    <definedName name="_______________________GBS211">NA()</definedName>
    <definedName name="_______________________GBS212">NA()</definedName>
    <definedName name="_______________________GBS213" localSheetId="11">NA()</definedName>
    <definedName name="_______________________GBS213" localSheetId="12">NA()</definedName>
    <definedName name="_______________________GBS213" localSheetId="0">#REF!</definedName>
    <definedName name="_______________________GBS213">#REF!</definedName>
    <definedName name="_______________________GBS214" localSheetId="11">NA()</definedName>
    <definedName name="_______________________GBS214" localSheetId="12">NA()</definedName>
    <definedName name="_______________________GBS214" localSheetId="0">#REF!</definedName>
    <definedName name="_______________________GBS214">#REF!</definedName>
    <definedName name="_______________________GBS215" localSheetId="11">NA()</definedName>
    <definedName name="_______________________GBS215" localSheetId="12">NA()</definedName>
    <definedName name="_______________________GBS215" localSheetId="0">#REF!</definedName>
    <definedName name="_______________________GBS215">#REF!</definedName>
    <definedName name="_______________________GBS216" localSheetId="11">NA()</definedName>
    <definedName name="_______________________GBS216" localSheetId="12">NA()</definedName>
    <definedName name="_______________________GBS216" localSheetId="0">#REF!</definedName>
    <definedName name="_______________________GBS216">#REF!</definedName>
    <definedName name="_______________________GBS217" localSheetId="11">NA()</definedName>
    <definedName name="_______________________GBS217" localSheetId="12">NA()</definedName>
    <definedName name="_______________________GBS217" localSheetId="0">#REF!</definedName>
    <definedName name="_______________________GBS217">#REF!</definedName>
    <definedName name="_______________________GBS218" localSheetId="11">NA()</definedName>
    <definedName name="_______________________GBS218" localSheetId="12">NA()</definedName>
    <definedName name="_______________________GBS218" localSheetId="0">#REF!</definedName>
    <definedName name="_______________________GBS218">#REF!</definedName>
    <definedName name="_______________________GBS219" localSheetId="11">NA()</definedName>
    <definedName name="_______________________GBS219" localSheetId="12">NA()</definedName>
    <definedName name="_______________________GBS219" localSheetId="0">#REF!</definedName>
    <definedName name="_______________________GBS219">#REF!</definedName>
    <definedName name="_______________________GBS22">NA()</definedName>
    <definedName name="_______________________GBS220" localSheetId="11">NA()</definedName>
    <definedName name="_______________________GBS220" localSheetId="12">NA()</definedName>
    <definedName name="_______________________GBS220" localSheetId="0">#REF!</definedName>
    <definedName name="_______________________GBS220">#REF!</definedName>
    <definedName name="_______________________GBS221" localSheetId="11">NA()</definedName>
    <definedName name="_______________________GBS221" localSheetId="12">NA()</definedName>
    <definedName name="_______________________GBS221" localSheetId="0">#REF!</definedName>
    <definedName name="_______________________GBS221">#REF!</definedName>
    <definedName name="_______________________GBS222" localSheetId="11">NA()</definedName>
    <definedName name="_______________________GBS222" localSheetId="12">NA()</definedName>
    <definedName name="_______________________GBS222" localSheetId="0">#REF!</definedName>
    <definedName name="_______________________GBS222">#REF!</definedName>
    <definedName name="_______________________GBS223" localSheetId="11">NA()</definedName>
    <definedName name="_______________________GBS223" localSheetId="12">NA()</definedName>
    <definedName name="_______________________GBS223" localSheetId="0">#REF!</definedName>
    <definedName name="_______________________GBS223">#REF!</definedName>
    <definedName name="_______________________GBS224" localSheetId="11">NA()</definedName>
    <definedName name="_______________________GBS224" localSheetId="12">NA()</definedName>
    <definedName name="_______________________GBS224" localSheetId="0">#REF!</definedName>
    <definedName name="_______________________GBS224">#REF!</definedName>
    <definedName name="_______________________GBS23">NA()</definedName>
    <definedName name="_______________________GBS24">NA()</definedName>
    <definedName name="_______________________GBS25">NA()</definedName>
    <definedName name="_______________________GBS26">NA()</definedName>
    <definedName name="_______________________GBS27">NA()</definedName>
    <definedName name="_______________________GBS28">NA()</definedName>
    <definedName name="_______________________GBS29">NA()</definedName>
    <definedName name="_______________________knr2">NA()</definedName>
    <definedName name="_______________________l1">[3]leads!$A$3:$E$108</definedName>
    <definedName name="_______________________l12" localSheetId="11">NA()</definedName>
    <definedName name="_______________________l12" localSheetId="12">NA()</definedName>
    <definedName name="_______________________l12" localSheetId="0">#REF!</definedName>
    <definedName name="_______________________l12">#REF!</definedName>
    <definedName name="_______________________l2">[2]r!$F$29</definedName>
    <definedName name="_______________________l3" localSheetId="11">NA()</definedName>
    <definedName name="_______________________l3" localSheetId="12">NA()</definedName>
    <definedName name="_______________________l3" localSheetId="0">#REF!</definedName>
    <definedName name="_______________________l3">#REF!</definedName>
    <definedName name="_______________________l4">[4]Sheet1!$W$2:$Y$103</definedName>
    <definedName name="_______________________l5" localSheetId="11">NA()</definedName>
    <definedName name="_______________________l5" localSheetId="12">NA()</definedName>
    <definedName name="_______________________l5" localSheetId="0">#REF!</definedName>
    <definedName name="_______________________l5">#REF!</definedName>
    <definedName name="_______________________l6">[2]r!$F$4</definedName>
    <definedName name="_______________________l7">[5]r!$F$4</definedName>
    <definedName name="_______________________l8">[2]r!$F$2</definedName>
    <definedName name="_______________________l9">[2]r!$F$3</definedName>
    <definedName name="_______________________LJ6">[9]DATA!$H$245</definedName>
    <definedName name="_______________________lj600">NA()</definedName>
    <definedName name="_______________________lj900">NA()</definedName>
    <definedName name="_______________________LL3">NA()</definedName>
    <definedName name="_______________________LSO24" localSheetId="11">"[14]lead!#ref!"</definedName>
    <definedName name="_______________________LSO24" localSheetId="12">"[14]lead!#ref!"</definedName>
    <definedName name="_______________________LSO24" localSheetId="0">[10]Lead!#REF!</definedName>
    <definedName name="_______________________LSO24">[10]Lead!#REF!</definedName>
    <definedName name="_______________________MA1" localSheetId="11">NA()</definedName>
    <definedName name="_______________________MA1" localSheetId="12">NA()</definedName>
    <definedName name="_______________________MA1" localSheetId="0">#REF!</definedName>
    <definedName name="_______________________MA1">#REF!</definedName>
    <definedName name="_______________________MA2" localSheetId="11">NA()</definedName>
    <definedName name="_______________________MA2" localSheetId="12">NA()</definedName>
    <definedName name="_______________________MA2" localSheetId="0">#REF!</definedName>
    <definedName name="_______________________MA2">#REF!</definedName>
    <definedName name="_______________________Met22" localSheetId="11">NA()</definedName>
    <definedName name="_______________________Met22" localSheetId="12">NA()</definedName>
    <definedName name="_______________________Met22" localSheetId="0">#REF!</definedName>
    <definedName name="_______________________Met22">#REF!</definedName>
    <definedName name="_______________________Met45" localSheetId="11">NA()</definedName>
    <definedName name="_______________________Met45" localSheetId="12">NA()</definedName>
    <definedName name="_______________________Met45" localSheetId="0">#REF!</definedName>
    <definedName name="_______________________Met45">#REF!</definedName>
    <definedName name="_______________________MEt55" localSheetId="11">NA()</definedName>
    <definedName name="_______________________MEt55" localSheetId="12">NA()</definedName>
    <definedName name="_______________________MEt55" localSheetId="0">#REF!</definedName>
    <definedName name="_______________________MEt55">#REF!</definedName>
    <definedName name="_______________________Met63" localSheetId="11">NA()</definedName>
    <definedName name="_______________________Met63" localSheetId="12">NA()</definedName>
    <definedName name="_______________________Met63" localSheetId="0">#REF!</definedName>
    <definedName name="_______________________Met63">#REF!</definedName>
    <definedName name="_______________________ML21">NA()</definedName>
    <definedName name="_______________________ML210">NA()</definedName>
    <definedName name="_______________________ML211">NA()</definedName>
    <definedName name="_______________________ML212">NA()</definedName>
    <definedName name="_______________________ML213" localSheetId="11">NA()</definedName>
    <definedName name="_______________________ML213" localSheetId="12">NA()</definedName>
    <definedName name="_______________________ML213" localSheetId="0">#REF!</definedName>
    <definedName name="_______________________ML213">#REF!</definedName>
    <definedName name="_______________________ML214" localSheetId="11">NA()</definedName>
    <definedName name="_______________________ML214" localSheetId="12">NA()</definedName>
    <definedName name="_______________________ML214" localSheetId="0">#REF!</definedName>
    <definedName name="_______________________ML214">#REF!</definedName>
    <definedName name="_______________________ML215" localSheetId="11">NA()</definedName>
    <definedName name="_______________________ML215" localSheetId="12">NA()</definedName>
    <definedName name="_______________________ML215" localSheetId="0">#REF!</definedName>
    <definedName name="_______________________ML215">#REF!</definedName>
    <definedName name="_______________________ML216" localSheetId="11">NA()</definedName>
    <definedName name="_______________________ML216" localSheetId="12">NA()</definedName>
    <definedName name="_______________________ML216" localSheetId="0">#REF!</definedName>
    <definedName name="_______________________ML216">#REF!</definedName>
    <definedName name="_______________________ML217" localSheetId="11">NA()</definedName>
    <definedName name="_______________________ML217" localSheetId="12">NA()</definedName>
    <definedName name="_______________________ML217" localSheetId="0">#REF!</definedName>
    <definedName name="_______________________ML217">#REF!</definedName>
    <definedName name="_______________________ML218" localSheetId="11">NA()</definedName>
    <definedName name="_______________________ML218" localSheetId="12">NA()</definedName>
    <definedName name="_______________________ML218" localSheetId="0">#REF!</definedName>
    <definedName name="_______________________ML218">#REF!</definedName>
    <definedName name="_______________________ML219" localSheetId="11">NA()</definedName>
    <definedName name="_______________________ML219" localSheetId="12">NA()</definedName>
    <definedName name="_______________________ML219" localSheetId="0">#REF!</definedName>
    <definedName name="_______________________ML219">#REF!</definedName>
    <definedName name="_______________________ML22">NA()</definedName>
    <definedName name="_______________________ML220" localSheetId="11">NA()</definedName>
    <definedName name="_______________________ML220" localSheetId="12">NA()</definedName>
    <definedName name="_______________________ML220" localSheetId="0">#REF!</definedName>
    <definedName name="_______________________ML220">#REF!</definedName>
    <definedName name="_______________________ML221" localSheetId="11">NA()</definedName>
    <definedName name="_______________________ML221" localSheetId="12">NA()</definedName>
    <definedName name="_______________________ML221" localSheetId="0">#REF!</definedName>
    <definedName name="_______________________ML221">#REF!</definedName>
    <definedName name="_______________________ML222" localSheetId="11">NA()</definedName>
    <definedName name="_______________________ML222" localSheetId="12">NA()</definedName>
    <definedName name="_______________________ML222" localSheetId="0">#REF!</definedName>
    <definedName name="_______________________ML222">#REF!</definedName>
    <definedName name="_______________________ML223" localSheetId="11">NA()</definedName>
    <definedName name="_______________________ML223" localSheetId="12">NA()</definedName>
    <definedName name="_______________________ML223" localSheetId="0">#REF!</definedName>
    <definedName name="_______________________ML223">#REF!</definedName>
    <definedName name="_______________________ML224" localSheetId="11">NA()</definedName>
    <definedName name="_______________________ML224" localSheetId="12">NA()</definedName>
    <definedName name="_______________________ML224" localSheetId="0">#REF!</definedName>
    <definedName name="_______________________ML224">#REF!</definedName>
    <definedName name="_______________________ML23">NA()</definedName>
    <definedName name="_______________________ML24">NA()</definedName>
    <definedName name="_______________________ML25">NA()</definedName>
    <definedName name="_______________________ML26">NA()</definedName>
    <definedName name="_______________________ML27">NA()</definedName>
    <definedName name="_______________________ML28">NA()</definedName>
    <definedName name="_______________________ML29">NA()</definedName>
    <definedName name="_______________________ML31">NA()</definedName>
    <definedName name="_______________________ML310">NA()</definedName>
    <definedName name="_______________________ML311">NA()</definedName>
    <definedName name="_______________________ML312">NA()</definedName>
    <definedName name="_______________________ML313" localSheetId="11">NA()</definedName>
    <definedName name="_______________________ML313" localSheetId="12">NA()</definedName>
    <definedName name="_______________________ML313" localSheetId="0">#REF!</definedName>
    <definedName name="_______________________ML313">#REF!</definedName>
    <definedName name="_______________________ML314" localSheetId="11">NA()</definedName>
    <definedName name="_______________________ML314" localSheetId="12">NA()</definedName>
    <definedName name="_______________________ML314" localSheetId="0">#REF!</definedName>
    <definedName name="_______________________ML314">#REF!</definedName>
    <definedName name="_______________________ML315" localSheetId="11">NA()</definedName>
    <definedName name="_______________________ML315" localSheetId="12">NA()</definedName>
    <definedName name="_______________________ML315" localSheetId="0">#REF!</definedName>
    <definedName name="_______________________ML315">#REF!</definedName>
    <definedName name="_______________________ML316" localSheetId="11">NA()</definedName>
    <definedName name="_______________________ML316" localSheetId="12">NA()</definedName>
    <definedName name="_______________________ML316" localSheetId="0">#REF!</definedName>
    <definedName name="_______________________ML316">#REF!</definedName>
    <definedName name="_______________________ML317" localSheetId="11">NA()</definedName>
    <definedName name="_______________________ML317" localSheetId="12">NA()</definedName>
    <definedName name="_______________________ML317" localSheetId="0">#REF!</definedName>
    <definedName name="_______________________ML317">#REF!</definedName>
    <definedName name="_______________________ML318" localSheetId="11">NA()</definedName>
    <definedName name="_______________________ML318" localSheetId="12">NA()</definedName>
    <definedName name="_______________________ML318" localSheetId="0">#REF!</definedName>
    <definedName name="_______________________ML318">#REF!</definedName>
    <definedName name="_______________________ML319" localSheetId="11">NA()</definedName>
    <definedName name="_______________________ML319" localSheetId="12">NA()</definedName>
    <definedName name="_______________________ML319" localSheetId="0">#REF!</definedName>
    <definedName name="_______________________ML319">#REF!</definedName>
    <definedName name="_______________________ML32">NA()</definedName>
    <definedName name="_______________________ML320" localSheetId="11">NA()</definedName>
    <definedName name="_______________________ML320" localSheetId="12">NA()</definedName>
    <definedName name="_______________________ML320" localSheetId="0">#REF!</definedName>
    <definedName name="_______________________ML320">#REF!</definedName>
    <definedName name="_______________________ML321" localSheetId="11">NA()</definedName>
    <definedName name="_______________________ML321" localSheetId="12">NA()</definedName>
    <definedName name="_______________________ML321" localSheetId="0">#REF!</definedName>
    <definedName name="_______________________ML321">#REF!</definedName>
    <definedName name="_______________________ML322" localSheetId="11">NA()</definedName>
    <definedName name="_______________________ML322" localSheetId="12">NA()</definedName>
    <definedName name="_______________________ML322" localSheetId="0">#REF!</definedName>
    <definedName name="_______________________ML322">#REF!</definedName>
    <definedName name="_______________________ML323" localSheetId="11">NA()</definedName>
    <definedName name="_______________________ML323" localSheetId="12">NA()</definedName>
    <definedName name="_______________________ML323" localSheetId="0">#REF!</definedName>
    <definedName name="_______________________ML323">#REF!</definedName>
    <definedName name="_______________________ML324" localSheetId="11">NA()</definedName>
    <definedName name="_______________________ML324" localSheetId="12">NA()</definedName>
    <definedName name="_______________________ML324" localSheetId="0">#REF!</definedName>
    <definedName name="_______________________ML324">#REF!</definedName>
    <definedName name="_______________________ML33">NA()</definedName>
    <definedName name="_______________________ML34">NA()</definedName>
    <definedName name="_______________________ML35">NA()</definedName>
    <definedName name="_______________________ML36">NA()</definedName>
    <definedName name="_______________________ML37">NA()</definedName>
    <definedName name="_______________________ML38">NA()</definedName>
    <definedName name="_______________________ML39">NA()</definedName>
    <definedName name="_______________________ML7">NA()</definedName>
    <definedName name="_______________________ML8">NA()</definedName>
    <definedName name="_______________________ML9">NA()</definedName>
    <definedName name="_______________________mm1">[6]r!$F$4</definedName>
    <definedName name="_______________________mm1000" localSheetId="11">NA()</definedName>
    <definedName name="_______________________mm1000" localSheetId="12">NA()</definedName>
    <definedName name="_______________________mm1000" localSheetId="0">#REF!</definedName>
    <definedName name="_______________________mm1000">#REF!</definedName>
    <definedName name="_______________________mm11">[2]r!$F$4</definedName>
    <definedName name="_______________________mm111">[5]r!$F$4</definedName>
    <definedName name="_______________________mm600" localSheetId="11">NA()</definedName>
    <definedName name="_______________________mm600" localSheetId="12">NA()</definedName>
    <definedName name="_______________________mm600" localSheetId="0">#REF!</definedName>
    <definedName name="_______________________mm600">#REF!</definedName>
    <definedName name="_______________________mm800" localSheetId="11">NA()</definedName>
    <definedName name="_______________________mm800" localSheetId="12">NA()</definedName>
    <definedName name="_______________________mm800" localSheetId="0">#REF!</definedName>
    <definedName name="_______________________mm800">#REF!</definedName>
    <definedName name="_______________________PC1">NA()</definedName>
    <definedName name="_______________________PC10">NA()</definedName>
    <definedName name="_______________________PC11">NA()</definedName>
    <definedName name="_______________________PC12">NA()</definedName>
    <definedName name="_______________________PC13" localSheetId="11">NA()</definedName>
    <definedName name="_______________________PC13" localSheetId="12">NA()</definedName>
    <definedName name="_______________________PC13" localSheetId="0">#REF!</definedName>
    <definedName name="_______________________PC13">#REF!</definedName>
    <definedName name="_______________________PC14" localSheetId="11">NA()</definedName>
    <definedName name="_______________________PC14" localSheetId="12">NA()</definedName>
    <definedName name="_______________________PC14" localSheetId="0">#REF!</definedName>
    <definedName name="_______________________PC14">#REF!</definedName>
    <definedName name="_______________________PC15" localSheetId="11">NA()</definedName>
    <definedName name="_______________________PC15" localSheetId="12">NA()</definedName>
    <definedName name="_______________________PC15" localSheetId="0">#REF!</definedName>
    <definedName name="_______________________PC15">#REF!</definedName>
    <definedName name="_______________________PC16" localSheetId="11">NA()</definedName>
    <definedName name="_______________________PC16" localSheetId="12">NA()</definedName>
    <definedName name="_______________________PC16" localSheetId="0">#REF!</definedName>
    <definedName name="_______________________PC16">#REF!</definedName>
    <definedName name="_______________________PC17" localSheetId="11">NA()</definedName>
    <definedName name="_______________________PC17" localSheetId="12">NA()</definedName>
    <definedName name="_______________________PC17" localSheetId="0">#REF!</definedName>
    <definedName name="_______________________PC17">#REF!</definedName>
    <definedName name="_______________________PC18" localSheetId="11">NA()</definedName>
    <definedName name="_______________________PC18" localSheetId="12">NA()</definedName>
    <definedName name="_______________________PC18" localSheetId="0">#REF!</definedName>
    <definedName name="_______________________PC18">#REF!</definedName>
    <definedName name="_______________________PC19" localSheetId="11">NA()</definedName>
    <definedName name="_______________________PC19" localSheetId="12">NA()</definedName>
    <definedName name="_______________________PC19" localSheetId="0">#REF!</definedName>
    <definedName name="_______________________PC19">#REF!</definedName>
    <definedName name="_______________________pc2" localSheetId="11">NA()</definedName>
    <definedName name="_______________________pc2" localSheetId="12">NA()</definedName>
    <definedName name="_______________________pc2" localSheetId="0">#REF!</definedName>
    <definedName name="_______________________pc2">#REF!</definedName>
    <definedName name="_______________________PC20">NA()</definedName>
    <definedName name="_______________________PC21" localSheetId="11">NA()</definedName>
    <definedName name="_______________________PC21" localSheetId="12">NA()</definedName>
    <definedName name="_______________________PC21" localSheetId="0">#REF!</definedName>
    <definedName name="_______________________PC21">#REF!</definedName>
    <definedName name="_______________________PC22" localSheetId="11">NA()</definedName>
    <definedName name="_______________________PC22" localSheetId="12">NA()</definedName>
    <definedName name="_______________________PC22" localSheetId="0">#REF!</definedName>
    <definedName name="_______________________PC22">#REF!</definedName>
    <definedName name="_______________________PC23" localSheetId="11">NA()</definedName>
    <definedName name="_______________________PC23" localSheetId="12">NA()</definedName>
    <definedName name="_______________________PC23" localSheetId="0">#REF!</definedName>
    <definedName name="_______________________PC23">#REF!</definedName>
    <definedName name="_______________________PC24" localSheetId="11">NA()</definedName>
    <definedName name="_______________________PC24" localSheetId="12">NA()</definedName>
    <definedName name="_______________________PC24" localSheetId="0">#REF!</definedName>
    <definedName name="_______________________PC24">#REF!</definedName>
    <definedName name="_______________________PC3">NA()</definedName>
    <definedName name="_______________________PC4">NA()</definedName>
    <definedName name="_______________________PC5">NA()</definedName>
    <definedName name="_______________________PC6">NA()</definedName>
    <definedName name="_______________________pc600">NA()</definedName>
    <definedName name="_______________________PC7">NA()</definedName>
    <definedName name="_______________________PC8">NA()</definedName>
    <definedName name="_______________________PC9">NA()</definedName>
    <definedName name="_______________________pc900">NA()</definedName>
    <definedName name="_______________________pv2" localSheetId="11">NA()</definedName>
    <definedName name="_______________________pv2" localSheetId="12">NA()</definedName>
    <definedName name="_______________________pv2" localSheetId="0">#REF!</definedName>
    <definedName name="_______________________pv2">#REF!</definedName>
    <definedName name="_______________________rr3">[7]v!$A$2:$E$51</definedName>
    <definedName name="_______________________rrr1">[7]r!$B$1:$I$145</definedName>
    <definedName name="_______________________ss12">[8]rdamdata!$J$8</definedName>
    <definedName name="_______________________ss20">[8]rdamdata!$J$7</definedName>
    <definedName name="_______________________ss40">[8]rdamdata!$J$6</definedName>
    <definedName name="_______________________var1" localSheetId="11">NA()</definedName>
    <definedName name="_______________________var1" localSheetId="12">NA()</definedName>
    <definedName name="_______________________var1" localSheetId="0">#REF!</definedName>
    <definedName name="_______________________var1">#REF!</definedName>
    <definedName name="_______________________var4" localSheetId="11">NA()</definedName>
    <definedName name="_______________________var4" localSheetId="12">NA()</definedName>
    <definedName name="_______________________var4" localSheetId="0">#REF!</definedName>
    <definedName name="_______________________var4">#REF!</definedName>
    <definedName name="_______________________vat1">NA()</definedName>
    <definedName name="______________________bla1">[1]leads!$H$7</definedName>
    <definedName name="______________________BSG100" localSheetId="11">NA()</definedName>
    <definedName name="______________________BSG100" localSheetId="12">NA()</definedName>
    <definedName name="______________________BSG100" localSheetId="0">#REF!</definedName>
    <definedName name="______________________BSG100">#REF!</definedName>
    <definedName name="______________________BSG150" localSheetId="11">NA()</definedName>
    <definedName name="______________________BSG150" localSheetId="12">NA()</definedName>
    <definedName name="______________________BSG150" localSheetId="0">#REF!</definedName>
    <definedName name="______________________BSG150">#REF!</definedName>
    <definedName name="______________________BSG5" localSheetId="11">NA()</definedName>
    <definedName name="______________________BSG5" localSheetId="12">NA()</definedName>
    <definedName name="______________________BSG5" localSheetId="0">#REF!</definedName>
    <definedName name="______________________BSG5">#REF!</definedName>
    <definedName name="______________________BSG75" localSheetId="11">NA()</definedName>
    <definedName name="______________________BSG75" localSheetId="12">NA()</definedName>
    <definedName name="______________________BSG75" localSheetId="0">#REF!</definedName>
    <definedName name="______________________BSG75">#REF!</definedName>
    <definedName name="______________________BTC1" localSheetId="11">NA()</definedName>
    <definedName name="______________________BTC1" localSheetId="12">NA()</definedName>
    <definedName name="______________________BTC1" localSheetId="0">#REF!</definedName>
    <definedName name="______________________BTC1">#REF!</definedName>
    <definedName name="______________________BTC10" localSheetId="11">NA()</definedName>
    <definedName name="______________________BTC10" localSheetId="12">NA()</definedName>
    <definedName name="______________________BTC10" localSheetId="0">#REF!</definedName>
    <definedName name="______________________BTC10">#REF!</definedName>
    <definedName name="______________________BTC11" localSheetId="11">NA()</definedName>
    <definedName name="______________________BTC11" localSheetId="12">NA()</definedName>
    <definedName name="______________________BTC11" localSheetId="0">#REF!</definedName>
    <definedName name="______________________BTC11">#REF!</definedName>
    <definedName name="______________________BTC12" localSheetId="11">NA()</definedName>
    <definedName name="______________________BTC12" localSheetId="12">NA()</definedName>
    <definedName name="______________________BTC12" localSheetId="0">#REF!</definedName>
    <definedName name="______________________BTC12">#REF!</definedName>
    <definedName name="______________________BTC13" localSheetId="11">NA()</definedName>
    <definedName name="______________________BTC13" localSheetId="12">NA()</definedName>
    <definedName name="______________________BTC13" localSheetId="0">#REF!</definedName>
    <definedName name="______________________BTC13">#REF!</definedName>
    <definedName name="______________________BTC14" localSheetId="11">NA()</definedName>
    <definedName name="______________________BTC14" localSheetId="12">NA()</definedName>
    <definedName name="______________________BTC14" localSheetId="0">#REF!</definedName>
    <definedName name="______________________BTC14">#REF!</definedName>
    <definedName name="______________________BTC15" localSheetId="11">NA()</definedName>
    <definedName name="______________________BTC15" localSheetId="12">NA()</definedName>
    <definedName name="______________________BTC15" localSheetId="0">#REF!</definedName>
    <definedName name="______________________BTC15">#REF!</definedName>
    <definedName name="______________________BTC16" localSheetId="11">NA()</definedName>
    <definedName name="______________________BTC16" localSheetId="12">NA()</definedName>
    <definedName name="______________________BTC16" localSheetId="0">#REF!</definedName>
    <definedName name="______________________BTC16">#REF!</definedName>
    <definedName name="______________________BTC17" localSheetId="11">NA()</definedName>
    <definedName name="______________________BTC17" localSheetId="12">NA()</definedName>
    <definedName name="______________________BTC17" localSheetId="0">#REF!</definedName>
    <definedName name="______________________BTC17">#REF!</definedName>
    <definedName name="______________________BTC18" localSheetId="11">NA()</definedName>
    <definedName name="______________________BTC18" localSheetId="12">NA()</definedName>
    <definedName name="______________________BTC18" localSheetId="0">#REF!</definedName>
    <definedName name="______________________BTC18">#REF!</definedName>
    <definedName name="______________________BTC19" localSheetId="11">NA()</definedName>
    <definedName name="______________________BTC19" localSheetId="12">NA()</definedName>
    <definedName name="______________________BTC19" localSheetId="0">#REF!</definedName>
    <definedName name="______________________BTC19">#REF!</definedName>
    <definedName name="______________________BTC2" localSheetId="11">NA()</definedName>
    <definedName name="______________________BTC2" localSheetId="12">NA()</definedName>
    <definedName name="______________________BTC2" localSheetId="0">#REF!</definedName>
    <definedName name="______________________BTC2">#REF!</definedName>
    <definedName name="______________________BTC20" localSheetId="11">NA()</definedName>
    <definedName name="______________________BTC20" localSheetId="12">NA()</definedName>
    <definedName name="______________________BTC20" localSheetId="0">#REF!</definedName>
    <definedName name="______________________BTC20">#REF!</definedName>
    <definedName name="______________________BTC21" localSheetId="11">NA()</definedName>
    <definedName name="______________________BTC21" localSheetId="12">NA()</definedName>
    <definedName name="______________________BTC21" localSheetId="0">#REF!</definedName>
    <definedName name="______________________BTC21">#REF!</definedName>
    <definedName name="______________________BTC22" localSheetId="11">NA()</definedName>
    <definedName name="______________________BTC22" localSheetId="12">NA()</definedName>
    <definedName name="______________________BTC22" localSheetId="0">#REF!</definedName>
    <definedName name="______________________BTC22">#REF!</definedName>
    <definedName name="______________________BTC23" localSheetId="11">NA()</definedName>
    <definedName name="______________________BTC23" localSheetId="12">NA()</definedName>
    <definedName name="______________________BTC23" localSheetId="0">#REF!</definedName>
    <definedName name="______________________BTC23">#REF!</definedName>
    <definedName name="______________________BTC24" localSheetId="11">NA()</definedName>
    <definedName name="______________________BTC24" localSheetId="12">NA()</definedName>
    <definedName name="______________________BTC24" localSheetId="0">#REF!</definedName>
    <definedName name="______________________BTC24">#REF!</definedName>
    <definedName name="______________________BTC3" localSheetId="11">NA()</definedName>
    <definedName name="______________________BTC3" localSheetId="12">NA()</definedName>
    <definedName name="______________________BTC3" localSheetId="0">#REF!</definedName>
    <definedName name="______________________BTC3">#REF!</definedName>
    <definedName name="______________________BTC4" localSheetId="11">NA()</definedName>
    <definedName name="______________________BTC4" localSheetId="12">NA()</definedName>
    <definedName name="______________________BTC4" localSheetId="0">#REF!</definedName>
    <definedName name="______________________BTC4">#REF!</definedName>
    <definedName name="______________________BTC5" localSheetId="11">NA()</definedName>
    <definedName name="______________________BTC5" localSheetId="12">NA()</definedName>
    <definedName name="______________________BTC5" localSheetId="0">#REF!</definedName>
    <definedName name="______________________BTC5">#REF!</definedName>
    <definedName name="______________________BTC6" localSheetId="11">NA()</definedName>
    <definedName name="______________________BTC6" localSheetId="12">NA()</definedName>
    <definedName name="______________________BTC6" localSheetId="0">#REF!</definedName>
    <definedName name="______________________BTC6">#REF!</definedName>
    <definedName name="______________________BTC7" localSheetId="11">NA()</definedName>
    <definedName name="______________________BTC7" localSheetId="12">NA()</definedName>
    <definedName name="______________________BTC7" localSheetId="0">#REF!</definedName>
    <definedName name="______________________BTC7">#REF!</definedName>
    <definedName name="______________________BTC8" localSheetId="11">NA()</definedName>
    <definedName name="______________________BTC8" localSheetId="12">NA()</definedName>
    <definedName name="______________________BTC8" localSheetId="0">#REF!</definedName>
    <definedName name="______________________BTC8">#REF!</definedName>
    <definedName name="______________________BTC9" localSheetId="11">NA()</definedName>
    <definedName name="______________________BTC9" localSheetId="12">NA()</definedName>
    <definedName name="______________________BTC9" localSheetId="0">#REF!</definedName>
    <definedName name="______________________BTC9">#REF!</definedName>
    <definedName name="______________________BTR1" localSheetId="11">NA()</definedName>
    <definedName name="______________________BTR1" localSheetId="12">NA()</definedName>
    <definedName name="______________________BTR1" localSheetId="0">#REF!</definedName>
    <definedName name="______________________BTR1">#REF!</definedName>
    <definedName name="______________________BTR10" localSheetId="11">NA()</definedName>
    <definedName name="______________________BTR10" localSheetId="12">NA()</definedName>
    <definedName name="______________________BTR10" localSheetId="0">#REF!</definedName>
    <definedName name="______________________BTR10">#REF!</definedName>
    <definedName name="______________________BTR11" localSheetId="11">NA()</definedName>
    <definedName name="______________________BTR11" localSheetId="12">NA()</definedName>
    <definedName name="______________________BTR11" localSheetId="0">#REF!</definedName>
    <definedName name="______________________BTR11">#REF!</definedName>
    <definedName name="______________________BTR12" localSheetId="11">NA()</definedName>
    <definedName name="______________________BTR12" localSheetId="12">NA()</definedName>
    <definedName name="______________________BTR12" localSheetId="0">#REF!</definedName>
    <definedName name="______________________BTR12">#REF!</definedName>
    <definedName name="______________________BTR13" localSheetId="11">NA()</definedName>
    <definedName name="______________________BTR13" localSheetId="12">NA()</definedName>
    <definedName name="______________________BTR13" localSheetId="0">#REF!</definedName>
    <definedName name="______________________BTR13">#REF!</definedName>
    <definedName name="______________________BTR14" localSheetId="11">NA()</definedName>
    <definedName name="______________________BTR14" localSheetId="12">NA()</definedName>
    <definedName name="______________________BTR14" localSheetId="0">#REF!</definedName>
    <definedName name="______________________BTR14">#REF!</definedName>
    <definedName name="______________________BTR15" localSheetId="11">NA()</definedName>
    <definedName name="______________________BTR15" localSheetId="12">NA()</definedName>
    <definedName name="______________________BTR15" localSheetId="0">#REF!</definedName>
    <definedName name="______________________BTR15">#REF!</definedName>
    <definedName name="______________________BTR16" localSheetId="11">NA()</definedName>
    <definedName name="______________________BTR16" localSheetId="12">NA()</definedName>
    <definedName name="______________________BTR16" localSheetId="0">#REF!</definedName>
    <definedName name="______________________BTR16">#REF!</definedName>
    <definedName name="______________________BTR17" localSheetId="11">NA()</definedName>
    <definedName name="______________________BTR17" localSheetId="12">NA()</definedName>
    <definedName name="______________________BTR17" localSheetId="0">#REF!</definedName>
    <definedName name="______________________BTR17">#REF!</definedName>
    <definedName name="______________________BTR18" localSheetId="11">NA()</definedName>
    <definedName name="______________________BTR18" localSheetId="12">NA()</definedName>
    <definedName name="______________________BTR18" localSheetId="0">#REF!</definedName>
    <definedName name="______________________BTR18">#REF!</definedName>
    <definedName name="______________________BTR19" localSheetId="11">NA()</definedName>
    <definedName name="______________________BTR19" localSheetId="12">NA()</definedName>
    <definedName name="______________________BTR19" localSheetId="0">#REF!</definedName>
    <definedName name="______________________BTR19">#REF!</definedName>
    <definedName name="______________________BTR2" localSheetId="11">NA()</definedName>
    <definedName name="______________________BTR2" localSheetId="12">NA()</definedName>
    <definedName name="______________________BTR2" localSheetId="0">#REF!</definedName>
    <definedName name="______________________BTR2">#REF!</definedName>
    <definedName name="______________________BTR20" localSheetId="11">NA()</definedName>
    <definedName name="______________________BTR20" localSheetId="12">NA()</definedName>
    <definedName name="______________________BTR20" localSheetId="0">#REF!</definedName>
    <definedName name="______________________BTR20">#REF!</definedName>
    <definedName name="______________________BTR21" localSheetId="11">NA()</definedName>
    <definedName name="______________________BTR21" localSheetId="12">NA()</definedName>
    <definedName name="______________________BTR21" localSheetId="0">#REF!</definedName>
    <definedName name="______________________BTR21">#REF!</definedName>
    <definedName name="______________________BTR22" localSheetId="11">NA()</definedName>
    <definedName name="______________________BTR22" localSheetId="12">NA()</definedName>
    <definedName name="______________________BTR22" localSheetId="0">#REF!</definedName>
    <definedName name="______________________BTR22">#REF!</definedName>
    <definedName name="______________________BTR23" localSheetId="11">NA()</definedName>
    <definedName name="______________________BTR23" localSheetId="12">NA()</definedName>
    <definedName name="______________________BTR23" localSheetId="0">#REF!</definedName>
    <definedName name="______________________BTR23">#REF!</definedName>
    <definedName name="______________________BTR24" localSheetId="11">NA()</definedName>
    <definedName name="______________________BTR24" localSheetId="12">NA()</definedName>
    <definedName name="______________________BTR24" localSheetId="0">#REF!</definedName>
    <definedName name="______________________BTR24">#REF!</definedName>
    <definedName name="______________________BTR3" localSheetId="11">NA()</definedName>
    <definedName name="______________________BTR3" localSheetId="12">NA()</definedName>
    <definedName name="______________________BTR3" localSheetId="0">#REF!</definedName>
    <definedName name="______________________BTR3">#REF!</definedName>
    <definedName name="______________________BTR4" localSheetId="11">NA()</definedName>
    <definedName name="______________________BTR4" localSheetId="12">NA()</definedName>
    <definedName name="______________________BTR4" localSheetId="0">#REF!</definedName>
    <definedName name="______________________BTR4">#REF!</definedName>
    <definedName name="______________________BTR5" localSheetId="11">NA()</definedName>
    <definedName name="______________________BTR5" localSheetId="12">NA()</definedName>
    <definedName name="______________________BTR5" localSheetId="0">#REF!</definedName>
    <definedName name="______________________BTR5">#REF!</definedName>
    <definedName name="______________________BTR6" localSheetId="11">NA()</definedName>
    <definedName name="______________________BTR6" localSheetId="12">NA()</definedName>
    <definedName name="______________________BTR6" localSheetId="0">#REF!</definedName>
    <definedName name="______________________BTR6">#REF!</definedName>
    <definedName name="______________________BTR7" localSheetId="11">NA()</definedName>
    <definedName name="______________________BTR7" localSheetId="12">NA()</definedName>
    <definedName name="______________________BTR7" localSheetId="0">#REF!</definedName>
    <definedName name="______________________BTR7">#REF!</definedName>
    <definedName name="______________________BTR8" localSheetId="11">NA()</definedName>
    <definedName name="______________________BTR8" localSheetId="12">NA()</definedName>
    <definedName name="______________________BTR8" localSheetId="0">#REF!</definedName>
    <definedName name="______________________BTR8">#REF!</definedName>
    <definedName name="______________________BTR9" localSheetId="11">NA()</definedName>
    <definedName name="______________________BTR9" localSheetId="12">NA()</definedName>
    <definedName name="______________________BTR9" localSheetId="0">#REF!</definedName>
    <definedName name="______________________BTR9">#REF!</definedName>
    <definedName name="______________________BTS1" localSheetId="11">NA()</definedName>
    <definedName name="______________________BTS1" localSheetId="12">NA()</definedName>
    <definedName name="______________________BTS1" localSheetId="0">#REF!</definedName>
    <definedName name="______________________BTS1">#REF!</definedName>
    <definedName name="______________________BTS10" localSheetId="11">NA()</definedName>
    <definedName name="______________________BTS10" localSheetId="12">NA()</definedName>
    <definedName name="______________________BTS10" localSheetId="0">#REF!</definedName>
    <definedName name="______________________BTS10">#REF!</definedName>
    <definedName name="______________________BTS11" localSheetId="11">NA()</definedName>
    <definedName name="______________________BTS11" localSheetId="12">NA()</definedName>
    <definedName name="______________________BTS11" localSheetId="0">#REF!</definedName>
    <definedName name="______________________BTS11">#REF!</definedName>
    <definedName name="______________________BTS12" localSheetId="11">NA()</definedName>
    <definedName name="______________________BTS12" localSheetId="12">NA()</definedName>
    <definedName name="______________________BTS12" localSheetId="0">#REF!</definedName>
    <definedName name="______________________BTS12">#REF!</definedName>
    <definedName name="______________________BTS13" localSheetId="11">NA()</definedName>
    <definedName name="______________________BTS13" localSheetId="12">NA()</definedName>
    <definedName name="______________________BTS13" localSheetId="0">#REF!</definedName>
    <definedName name="______________________BTS13">#REF!</definedName>
    <definedName name="______________________BTS14" localSheetId="11">NA()</definedName>
    <definedName name="______________________BTS14" localSheetId="12">NA()</definedName>
    <definedName name="______________________BTS14" localSheetId="0">#REF!</definedName>
    <definedName name="______________________BTS14">#REF!</definedName>
    <definedName name="______________________BTS15" localSheetId="11">NA()</definedName>
    <definedName name="______________________BTS15" localSheetId="12">NA()</definedName>
    <definedName name="______________________BTS15" localSheetId="0">#REF!</definedName>
    <definedName name="______________________BTS15">#REF!</definedName>
    <definedName name="______________________BTS16" localSheetId="11">NA()</definedName>
    <definedName name="______________________BTS16" localSheetId="12">NA()</definedName>
    <definedName name="______________________BTS16" localSheetId="0">#REF!</definedName>
    <definedName name="______________________BTS16">#REF!</definedName>
    <definedName name="______________________BTS17" localSheetId="11">NA()</definedName>
    <definedName name="______________________BTS17" localSheetId="12">NA()</definedName>
    <definedName name="______________________BTS17" localSheetId="0">#REF!</definedName>
    <definedName name="______________________BTS17">#REF!</definedName>
    <definedName name="______________________BTS18" localSheetId="11">NA()</definedName>
    <definedName name="______________________BTS18" localSheetId="12">NA()</definedName>
    <definedName name="______________________BTS18" localSheetId="0">#REF!</definedName>
    <definedName name="______________________BTS18">#REF!</definedName>
    <definedName name="______________________BTS19" localSheetId="11">NA()</definedName>
    <definedName name="______________________BTS19" localSheetId="12">NA()</definedName>
    <definedName name="______________________BTS19" localSheetId="0">#REF!</definedName>
    <definedName name="______________________BTS19">#REF!</definedName>
    <definedName name="______________________BTS2" localSheetId="11">NA()</definedName>
    <definedName name="______________________BTS2" localSheetId="12">NA()</definedName>
    <definedName name="______________________BTS2" localSheetId="0">#REF!</definedName>
    <definedName name="______________________BTS2">#REF!</definedName>
    <definedName name="______________________BTS20" localSheetId="11">NA()</definedName>
    <definedName name="______________________BTS20" localSheetId="12">NA()</definedName>
    <definedName name="______________________BTS20" localSheetId="0">#REF!</definedName>
    <definedName name="______________________BTS20">#REF!</definedName>
    <definedName name="______________________BTS21" localSheetId="11">NA()</definedName>
    <definedName name="______________________BTS21" localSheetId="12">NA()</definedName>
    <definedName name="______________________BTS21" localSheetId="0">#REF!</definedName>
    <definedName name="______________________BTS21">#REF!</definedName>
    <definedName name="______________________BTS22" localSheetId="11">NA()</definedName>
    <definedName name="______________________BTS22" localSheetId="12">NA()</definedName>
    <definedName name="______________________BTS22" localSheetId="0">#REF!</definedName>
    <definedName name="______________________BTS22">#REF!</definedName>
    <definedName name="______________________BTS23" localSheetId="11">NA()</definedName>
    <definedName name="______________________BTS23" localSheetId="12">NA()</definedName>
    <definedName name="______________________BTS23" localSheetId="0">#REF!</definedName>
    <definedName name="______________________BTS23">#REF!</definedName>
    <definedName name="______________________BTS24" localSheetId="11">NA()</definedName>
    <definedName name="______________________BTS24" localSheetId="12">NA()</definedName>
    <definedName name="______________________BTS24" localSheetId="0">#REF!</definedName>
    <definedName name="______________________BTS24">#REF!</definedName>
    <definedName name="______________________BTS3" localSheetId="11">NA()</definedName>
    <definedName name="______________________BTS3" localSheetId="12">NA()</definedName>
    <definedName name="______________________BTS3" localSheetId="0">#REF!</definedName>
    <definedName name="______________________BTS3">#REF!</definedName>
    <definedName name="______________________BTS4" localSheetId="11">NA()</definedName>
    <definedName name="______________________BTS4" localSheetId="12">NA()</definedName>
    <definedName name="______________________BTS4" localSheetId="0">#REF!</definedName>
    <definedName name="______________________BTS4">#REF!</definedName>
    <definedName name="______________________BTS5" localSheetId="11">NA()</definedName>
    <definedName name="______________________BTS5" localSheetId="12">NA()</definedName>
    <definedName name="______________________BTS5" localSheetId="0">#REF!</definedName>
    <definedName name="______________________BTS5">#REF!</definedName>
    <definedName name="______________________BTS6" localSheetId="11">NA()</definedName>
    <definedName name="______________________BTS6" localSheetId="12">NA()</definedName>
    <definedName name="______________________BTS6" localSheetId="0">#REF!</definedName>
    <definedName name="______________________BTS6">#REF!</definedName>
    <definedName name="______________________BTS7" localSheetId="11">NA()</definedName>
    <definedName name="______________________BTS7" localSheetId="12">NA()</definedName>
    <definedName name="______________________BTS7" localSheetId="0">#REF!</definedName>
    <definedName name="______________________BTS7">#REF!</definedName>
    <definedName name="______________________BTS8" localSheetId="11">NA()</definedName>
    <definedName name="______________________BTS8" localSheetId="12">NA()</definedName>
    <definedName name="______________________BTS8" localSheetId="0">#REF!</definedName>
    <definedName name="______________________BTS8">#REF!</definedName>
    <definedName name="______________________BTS9" localSheetId="11">NA()</definedName>
    <definedName name="______________________BTS9" localSheetId="12">NA()</definedName>
    <definedName name="______________________BTS9" localSheetId="0">#REF!</definedName>
    <definedName name="______________________BTS9">#REF!</definedName>
    <definedName name="______________________can430">40.73</definedName>
    <definedName name="______________________can435">43.3</definedName>
    <definedName name="______________________CCW1">[9]DATA!$H$67</definedName>
    <definedName name="______________________CCW2">[9]DATA!$H$97</definedName>
    <definedName name="______________________cur1">[2]r!$F$30</definedName>
    <definedName name="______________________GBS11" localSheetId="11">NA()</definedName>
    <definedName name="______________________GBS11" localSheetId="12">NA()</definedName>
    <definedName name="______________________GBS11" localSheetId="0">#REF!</definedName>
    <definedName name="______________________GBS11">#REF!</definedName>
    <definedName name="______________________GBS110" localSheetId="11">NA()</definedName>
    <definedName name="______________________GBS110" localSheetId="12">NA()</definedName>
    <definedName name="______________________GBS110" localSheetId="0">#REF!</definedName>
    <definedName name="______________________GBS110">#REF!</definedName>
    <definedName name="______________________GBS111" localSheetId="11">NA()</definedName>
    <definedName name="______________________GBS111" localSheetId="12">NA()</definedName>
    <definedName name="______________________GBS111" localSheetId="0">#REF!</definedName>
    <definedName name="______________________GBS111">#REF!</definedName>
    <definedName name="______________________GBS112" localSheetId="11">NA()</definedName>
    <definedName name="______________________GBS112" localSheetId="12">NA()</definedName>
    <definedName name="______________________GBS112" localSheetId="0">#REF!</definedName>
    <definedName name="______________________GBS112">#REF!</definedName>
    <definedName name="______________________GBS113" localSheetId="11">NA()</definedName>
    <definedName name="______________________GBS113" localSheetId="12">NA()</definedName>
    <definedName name="______________________GBS113" localSheetId="0">#REF!</definedName>
    <definedName name="______________________GBS113">#REF!</definedName>
    <definedName name="______________________GBS114" localSheetId="11">NA()</definedName>
    <definedName name="______________________GBS114" localSheetId="12">NA()</definedName>
    <definedName name="______________________GBS114" localSheetId="0">#REF!</definedName>
    <definedName name="______________________GBS114">#REF!</definedName>
    <definedName name="______________________GBS115" localSheetId="11">NA()</definedName>
    <definedName name="______________________GBS115" localSheetId="12">NA()</definedName>
    <definedName name="______________________GBS115" localSheetId="0">#REF!</definedName>
    <definedName name="______________________GBS115">#REF!</definedName>
    <definedName name="______________________GBS116" localSheetId="11">NA()</definedName>
    <definedName name="______________________GBS116" localSheetId="12">NA()</definedName>
    <definedName name="______________________GBS116" localSheetId="0">#REF!</definedName>
    <definedName name="______________________GBS116">#REF!</definedName>
    <definedName name="______________________GBS117" localSheetId="11">NA()</definedName>
    <definedName name="______________________GBS117" localSheetId="12">NA()</definedName>
    <definedName name="______________________GBS117" localSheetId="0">#REF!</definedName>
    <definedName name="______________________GBS117">#REF!</definedName>
    <definedName name="______________________GBS118" localSheetId="11">NA()</definedName>
    <definedName name="______________________GBS118" localSheetId="12">NA()</definedName>
    <definedName name="______________________GBS118" localSheetId="0">#REF!</definedName>
    <definedName name="______________________GBS118">#REF!</definedName>
    <definedName name="______________________GBS119" localSheetId="11">NA()</definedName>
    <definedName name="______________________GBS119" localSheetId="12">NA()</definedName>
    <definedName name="______________________GBS119" localSheetId="0">#REF!</definedName>
    <definedName name="______________________GBS119">#REF!</definedName>
    <definedName name="______________________GBS12" localSheetId="11">NA()</definedName>
    <definedName name="______________________GBS12" localSheetId="12">NA()</definedName>
    <definedName name="______________________GBS12" localSheetId="0">#REF!</definedName>
    <definedName name="______________________GBS12">#REF!</definedName>
    <definedName name="______________________GBS120" localSheetId="11">NA()</definedName>
    <definedName name="______________________GBS120" localSheetId="12">NA()</definedName>
    <definedName name="______________________GBS120" localSheetId="0">#REF!</definedName>
    <definedName name="______________________GBS120">#REF!</definedName>
    <definedName name="______________________GBS121" localSheetId="11">NA()</definedName>
    <definedName name="______________________GBS121" localSheetId="12">NA()</definedName>
    <definedName name="______________________GBS121" localSheetId="0">#REF!</definedName>
    <definedName name="______________________GBS121">#REF!</definedName>
    <definedName name="______________________GBS122" localSheetId="11">NA()</definedName>
    <definedName name="______________________GBS122" localSheetId="12">NA()</definedName>
    <definedName name="______________________GBS122" localSheetId="0">#REF!</definedName>
    <definedName name="______________________GBS122">#REF!</definedName>
    <definedName name="______________________GBS123" localSheetId="11">NA()</definedName>
    <definedName name="______________________GBS123" localSheetId="12">NA()</definedName>
    <definedName name="______________________GBS123" localSheetId="0">#REF!</definedName>
    <definedName name="______________________GBS123">#REF!</definedName>
    <definedName name="______________________GBS124" localSheetId="11">NA()</definedName>
    <definedName name="______________________GBS124" localSheetId="12">NA()</definedName>
    <definedName name="______________________GBS124" localSheetId="0">#REF!</definedName>
    <definedName name="______________________GBS124">#REF!</definedName>
    <definedName name="______________________GBS13" localSheetId="11">NA()</definedName>
    <definedName name="______________________GBS13" localSheetId="12">NA()</definedName>
    <definedName name="______________________GBS13" localSheetId="0">#REF!</definedName>
    <definedName name="______________________GBS13">#REF!</definedName>
    <definedName name="______________________GBS14" localSheetId="11">NA()</definedName>
    <definedName name="______________________GBS14" localSheetId="12">NA()</definedName>
    <definedName name="______________________GBS14" localSheetId="0">#REF!</definedName>
    <definedName name="______________________GBS14">#REF!</definedName>
    <definedName name="______________________GBS15" localSheetId="11">NA()</definedName>
    <definedName name="______________________GBS15" localSheetId="12">NA()</definedName>
    <definedName name="______________________GBS15" localSheetId="0">#REF!</definedName>
    <definedName name="______________________GBS15">#REF!</definedName>
    <definedName name="______________________GBS16" localSheetId="11">NA()</definedName>
    <definedName name="______________________GBS16" localSheetId="12">NA()</definedName>
    <definedName name="______________________GBS16" localSheetId="0">#REF!</definedName>
    <definedName name="______________________GBS16">#REF!</definedName>
    <definedName name="______________________GBS17" localSheetId="11">NA()</definedName>
    <definedName name="______________________GBS17" localSheetId="12">NA()</definedName>
    <definedName name="______________________GBS17" localSheetId="0">#REF!</definedName>
    <definedName name="______________________GBS17">#REF!</definedName>
    <definedName name="______________________GBS18" localSheetId="11">NA()</definedName>
    <definedName name="______________________GBS18" localSheetId="12">NA()</definedName>
    <definedName name="______________________GBS18" localSheetId="0">#REF!</definedName>
    <definedName name="______________________GBS18">#REF!</definedName>
    <definedName name="______________________GBS19" localSheetId="11">NA()</definedName>
    <definedName name="______________________GBS19" localSheetId="12">NA()</definedName>
    <definedName name="______________________GBS19" localSheetId="0">#REF!</definedName>
    <definedName name="______________________GBS19">#REF!</definedName>
    <definedName name="______________________GBS21" localSheetId="11">NA()</definedName>
    <definedName name="______________________GBS21" localSheetId="12">NA()</definedName>
    <definedName name="______________________GBS21" localSheetId="0">#REF!</definedName>
    <definedName name="______________________GBS21">#REF!</definedName>
    <definedName name="______________________GBS210" localSheetId="11">NA()</definedName>
    <definedName name="______________________GBS210" localSheetId="12">NA()</definedName>
    <definedName name="______________________GBS210" localSheetId="0">#REF!</definedName>
    <definedName name="______________________GBS210">#REF!</definedName>
    <definedName name="______________________GBS211" localSheetId="11">NA()</definedName>
    <definedName name="______________________GBS211" localSheetId="12">NA()</definedName>
    <definedName name="______________________GBS211" localSheetId="0">#REF!</definedName>
    <definedName name="______________________GBS211">#REF!</definedName>
    <definedName name="______________________GBS212" localSheetId="11">NA()</definedName>
    <definedName name="______________________GBS212" localSheetId="12">NA()</definedName>
    <definedName name="______________________GBS212" localSheetId="0">#REF!</definedName>
    <definedName name="______________________GBS212">#REF!</definedName>
    <definedName name="______________________GBS213" localSheetId="11">NA()</definedName>
    <definedName name="______________________GBS213" localSheetId="12">NA()</definedName>
    <definedName name="______________________GBS213" localSheetId="0">#REF!</definedName>
    <definedName name="______________________GBS213">#REF!</definedName>
    <definedName name="______________________GBS214" localSheetId="11">NA()</definedName>
    <definedName name="______________________GBS214" localSheetId="12">NA()</definedName>
    <definedName name="______________________GBS214" localSheetId="0">#REF!</definedName>
    <definedName name="______________________GBS214">#REF!</definedName>
    <definedName name="______________________GBS215" localSheetId="11">NA()</definedName>
    <definedName name="______________________GBS215" localSheetId="12">NA()</definedName>
    <definedName name="______________________GBS215" localSheetId="0">#REF!</definedName>
    <definedName name="______________________GBS215">#REF!</definedName>
    <definedName name="______________________GBS216" localSheetId="11">NA()</definedName>
    <definedName name="______________________GBS216" localSheetId="12">NA()</definedName>
    <definedName name="______________________GBS216" localSheetId="0">#REF!</definedName>
    <definedName name="______________________GBS216">#REF!</definedName>
    <definedName name="______________________GBS217" localSheetId="11">NA()</definedName>
    <definedName name="______________________GBS217" localSheetId="12">NA()</definedName>
    <definedName name="______________________GBS217" localSheetId="0">#REF!</definedName>
    <definedName name="______________________GBS217">#REF!</definedName>
    <definedName name="______________________GBS218" localSheetId="11">NA()</definedName>
    <definedName name="______________________GBS218" localSheetId="12">NA()</definedName>
    <definedName name="______________________GBS218" localSheetId="0">#REF!</definedName>
    <definedName name="______________________GBS218">#REF!</definedName>
    <definedName name="______________________GBS219" localSheetId="11">NA()</definedName>
    <definedName name="______________________GBS219" localSheetId="12">NA()</definedName>
    <definedName name="______________________GBS219" localSheetId="0">#REF!</definedName>
    <definedName name="______________________GBS219">#REF!</definedName>
    <definedName name="______________________GBS22" localSheetId="11">NA()</definedName>
    <definedName name="______________________GBS22" localSheetId="12">NA()</definedName>
    <definedName name="______________________GBS22" localSheetId="0">#REF!</definedName>
    <definedName name="______________________GBS22">#REF!</definedName>
    <definedName name="______________________GBS220" localSheetId="11">NA()</definedName>
    <definedName name="______________________GBS220" localSheetId="12">NA()</definedName>
    <definedName name="______________________GBS220" localSheetId="0">#REF!</definedName>
    <definedName name="______________________GBS220">#REF!</definedName>
    <definedName name="______________________GBS221" localSheetId="11">NA()</definedName>
    <definedName name="______________________GBS221" localSheetId="12">NA()</definedName>
    <definedName name="______________________GBS221" localSheetId="0">#REF!</definedName>
    <definedName name="______________________GBS221">#REF!</definedName>
    <definedName name="______________________GBS222" localSheetId="11">NA()</definedName>
    <definedName name="______________________GBS222" localSheetId="12">NA()</definedName>
    <definedName name="______________________GBS222" localSheetId="0">#REF!</definedName>
    <definedName name="______________________GBS222">#REF!</definedName>
    <definedName name="______________________GBS223" localSheetId="11">NA()</definedName>
    <definedName name="______________________GBS223" localSheetId="12">NA()</definedName>
    <definedName name="______________________GBS223" localSheetId="0">#REF!</definedName>
    <definedName name="______________________GBS223">#REF!</definedName>
    <definedName name="______________________GBS224" localSheetId="11">NA()</definedName>
    <definedName name="______________________GBS224" localSheetId="12">NA()</definedName>
    <definedName name="______________________GBS224" localSheetId="0">#REF!</definedName>
    <definedName name="______________________GBS224">#REF!</definedName>
    <definedName name="______________________GBS23" localSheetId="11">NA()</definedName>
    <definedName name="______________________GBS23" localSheetId="12">NA()</definedName>
    <definedName name="______________________GBS23" localSheetId="0">#REF!</definedName>
    <definedName name="______________________GBS23">#REF!</definedName>
    <definedName name="______________________GBS24" localSheetId="11">NA()</definedName>
    <definedName name="______________________GBS24" localSheetId="12">NA()</definedName>
    <definedName name="______________________GBS24" localSheetId="0">#REF!</definedName>
    <definedName name="______________________GBS24">#REF!</definedName>
    <definedName name="______________________GBS25" localSheetId="11">NA()</definedName>
    <definedName name="______________________GBS25" localSheetId="12">NA()</definedName>
    <definedName name="______________________GBS25" localSheetId="0">#REF!</definedName>
    <definedName name="______________________GBS25">#REF!</definedName>
    <definedName name="______________________GBS26" localSheetId="11">NA()</definedName>
    <definedName name="______________________GBS26" localSheetId="12">NA()</definedName>
    <definedName name="______________________GBS26" localSheetId="0">#REF!</definedName>
    <definedName name="______________________GBS26">#REF!</definedName>
    <definedName name="______________________GBS27" localSheetId="11">NA()</definedName>
    <definedName name="______________________GBS27" localSheetId="12">NA()</definedName>
    <definedName name="______________________GBS27" localSheetId="0">#REF!</definedName>
    <definedName name="______________________GBS27">#REF!</definedName>
    <definedName name="______________________GBS28" localSheetId="11">NA()</definedName>
    <definedName name="______________________GBS28" localSheetId="12">NA()</definedName>
    <definedName name="______________________GBS28" localSheetId="0">#REF!</definedName>
    <definedName name="______________________GBS28">#REF!</definedName>
    <definedName name="______________________GBS29" localSheetId="11">NA()</definedName>
    <definedName name="______________________GBS29" localSheetId="12">NA()</definedName>
    <definedName name="______________________GBS29" localSheetId="0">#REF!</definedName>
    <definedName name="______________________GBS29">#REF!</definedName>
    <definedName name="______________________imp1">[11]DATA_PRG!$H$245</definedName>
    <definedName name="______________________knr2">NA()</definedName>
    <definedName name="______________________l1">[3]leads!$A$3:$E$108</definedName>
    <definedName name="______________________l12" localSheetId="11">NA()</definedName>
    <definedName name="______________________l12" localSheetId="12">NA()</definedName>
    <definedName name="______________________l12" localSheetId="0">#REF!</definedName>
    <definedName name="______________________l12">#REF!</definedName>
    <definedName name="______________________l2">[2]r!$F$29</definedName>
    <definedName name="______________________l3" localSheetId="11">NA()</definedName>
    <definedName name="______________________l3" localSheetId="12">NA()</definedName>
    <definedName name="______________________l3" localSheetId="0">#REF!</definedName>
    <definedName name="______________________l3">#REF!</definedName>
    <definedName name="______________________l4">[4]Sheet1!$W$2:$Y$103</definedName>
    <definedName name="______________________l5" localSheetId="11">NA()</definedName>
    <definedName name="______________________l5" localSheetId="12">NA()</definedName>
    <definedName name="______________________l5" localSheetId="0">#REF!</definedName>
    <definedName name="______________________l5">#REF!</definedName>
    <definedName name="______________________l6">[2]r!$F$4</definedName>
    <definedName name="______________________l7">[5]r!$F$4</definedName>
    <definedName name="______________________l8">[2]r!$F$2</definedName>
    <definedName name="______________________l9">[2]r!$F$3</definedName>
    <definedName name="______________________LJ6">[9]DATA!$H$245</definedName>
    <definedName name="______________________lj600" localSheetId="11">NA()</definedName>
    <definedName name="______________________lj600" localSheetId="12">NA()</definedName>
    <definedName name="______________________lj600" localSheetId="0">#REF!</definedName>
    <definedName name="______________________lj600">#REF!</definedName>
    <definedName name="______________________lj900" localSheetId="11">NA()</definedName>
    <definedName name="______________________lj900" localSheetId="12">NA()</definedName>
    <definedName name="______________________lj900" localSheetId="0">#REF!</definedName>
    <definedName name="______________________lj900">#REF!</definedName>
    <definedName name="______________________LL3" localSheetId="11">NA()</definedName>
    <definedName name="______________________LL3" localSheetId="12">NA()</definedName>
    <definedName name="______________________LL3" localSheetId="0">#REF!</definedName>
    <definedName name="______________________LL3">#REF!</definedName>
    <definedName name="______________________LSO24">"[14]lead!#ref!"</definedName>
    <definedName name="______________________MA1" localSheetId="11">NA()</definedName>
    <definedName name="______________________MA1" localSheetId="12">NA()</definedName>
    <definedName name="______________________MA1" localSheetId="0">#REF!</definedName>
    <definedName name="______________________MA1">#REF!</definedName>
    <definedName name="______________________MA2" localSheetId="11">NA()</definedName>
    <definedName name="______________________MA2" localSheetId="12">NA()</definedName>
    <definedName name="______________________MA2" localSheetId="0">#REF!</definedName>
    <definedName name="______________________MA2">#REF!</definedName>
    <definedName name="______________________Met22" localSheetId="11">NA()</definedName>
    <definedName name="______________________Met22" localSheetId="12">NA()</definedName>
    <definedName name="______________________Met22" localSheetId="0">#REF!</definedName>
    <definedName name="______________________Met22">#REF!</definedName>
    <definedName name="______________________Met45" localSheetId="11">NA()</definedName>
    <definedName name="______________________Met45" localSheetId="12">NA()</definedName>
    <definedName name="______________________Met45" localSheetId="0">#REF!</definedName>
    <definedName name="______________________Met45">#REF!</definedName>
    <definedName name="______________________MEt55" localSheetId="11">NA()</definedName>
    <definedName name="______________________MEt55" localSheetId="12">NA()</definedName>
    <definedName name="______________________MEt55" localSheetId="0">#REF!</definedName>
    <definedName name="______________________MEt55">#REF!</definedName>
    <definedName name="______________________Met63" localSheetId="11">NA()</definedName>
    <definedName name="______________________Met63" localSheetId="12">NA()</definedName>
    <definedName name="______________________Met63" localSheetId="0">#REF!</definedName>
    <definedName name="______________________Met63">#REF!</definedName>
    <definedName name="______________________ML21" localSheetId="11">NA()</definedName>
    <definedName name="______________________ML21" localSheetId="12">NA()</definedName>
    <definedName name="______________________ML21" localSheetId="0">#REF!</definedName>
    <definedName name="______________________ML21">#REF!</definedName>
    <definedName name="______________________ML210" localSheetId="11">NA()</definedName>
    <definedName name="______________________ML210" localSheetId="12">NA()</definedName>
    <definedName name="______________________ML210" localSheetId="0">#REF!</definedName>
    <definedName name="______________________ML210">#REF!</definedName>
    <definedName name="______________________ML211" localSheetId="11">NA()</definedName>
    <definedName name="______________________ML211" localSheetId="12">NA()</definedName>
    <definedName name="______________________ML211" localSheetId="0">#REF!</definedName>
    <definedName name="______________________ML211">#REF!</definedName>
    <definedName name="______________________ML212" localSheetId="11">NA()</definedName>
    <definedName name="______________________ML212" localSheetId="12">NA()</definedName>
    <definedName name="______________________ML212" localSheetId="0">#REF!</definedName>
    <definedName name="______________________ML212">#REF!</definedName>
    <definedName name="______________________ML213" localSheetId="11">NA()</definedName>
    <definedName name="______________________ML213" localSheetId="12">NA()</definedName>
    <definedName name="______________________ML213" localSheetId="0">#REF!</definedName>
    <definedName name="______________________ML213">#REF!</definedName>
    <definedName name="______________________ML214" localSheetId="11">NA()</definedName>
    <definedName name="______________________ML214" localSheetId="12">NA()</definedName>
    <definedName name="______________________ML214" localSheetId="0">#REF!</definedName>
    <definedName name="______________________ML214">#REF!</definedName>
    <definedName name="______________________ML215" localSheetId="11">NA()</definedName>
    <definedName name="______________________ML215" localSheetId="12">NA()</definedName>
    <definedName name="______________________ML215" localSheetId="0">#REF!</definedName>
    <definedName name="______________________ML215">#REF!</definedName>
    <definedName name="______________________ML216" localSheetId="11">NA()</definedName>
    <definedName name="______________________ML216" localSheetId="12">NA()</definedName>
    <definedName name="______________________ML216" localSheetId="0">#REF!</definedName>
    <definedName name="______________________ML216">#REF!</definedName>
    <definedName name="______________________ML217" localSheetId="11">NA()</definedName>
    <definedName name="______________________ML217" localSheetId="12">NA()</definedName>
    <definedName name="______________________ML217" localSheetId="0">#REF!</definedName>
    <definedName name="______________________ML217">#REF!</definedName>
    <definedName name="______________________ML218" localSheetId="11">NA()</definedName>
    <definedName name="______________________ML218" localSheetId="12">NA()</definedName>
    <definedName name="______________________ML218" localSheetId="0">#REF!</definedName>
    <definedName name="______________________ML218">#REF!</definedName>
    <definedName name="______________________ML219" localSheetId="11">NA()</definedName>
    <definedName name="______________________ML219" localSheetId="12">NA()</definedName>
    <definedName name="______________________ML219" localSheetId="0">#REF!</definedName>
    <definedName name="______________________ML219">#REF!</definedName>
    <definedName name="______________________ML22" localSheetId="11">NA()</definedName>
    <definedName name="______________________ML22" localSheetId="12">NA()</definedName>
    <definedName name="______________________ML22" localSheetId="0">#REF!</definedName>
    <definedName name="______________________ML22">#REF!</definedName>
    <definedName name="______________________ML220" localSheetId="11">NA()</definedName>
    <definedName name="______________________ML220" localSheetId="12">NA()</definedName>
    <definedName name="______________________ML220" localSheetId="0">#REF!</definedName>
    <definedName name="______________________ML220">#REF!</definedName>
    <definedName name="______________________ML221" localSheetId="11">NA()</definedName>
    <definedName name="______________________ML221" localSheetId="12">NA()</definedName>
    <definedName name="______________________ML221" localSheetId="0">#REF!</definedName>
    <definedName name="______________________ML221">#REF!</definedName>
    <definedName name="______________________ML222" localSheetId="11">NA()</definedName>
    <definedName name="______________________ML222" localSheetId="12">NA()</definedName>
    <definedName name="______________________ML222" localSheetId="0">#REF!</definedName>
    <definedName name="______________________ML222">#REF!</definedName>
    <definedName name="______________________ML223" localSheetId="11">NA()</definedName>
    <definedName name="______________________ML223" localSheetId="12">NA()</definedName>
    <definedName name="______________________ML223" localSheetId="0">#REF!</definedName>
    <definedName name="______________________ML223">#REF!</definedName>
    <definedName name="______________________ML224" localSheetId="11">NA()</definedName>
    <definedName name="______________________ML224" localSheetId="12">NA()</definedName>
    <definedName name="______________________ML224" localSheetId="0">#REF!</definedName>
    <definedName name="______________________ML224">#REF!</definedName>
    <definedName name="______________________ML23" localSheetId="11">NA()</definedName>
    <definedName name="______________________ML23" localSheetId="12">NA()</definedName>
    <definedName name="______________________ML23" localSheetId="0">#REF!</definedName>
    <definedName name="______________________ML23">#REF!</definedName>
    <definedName name="______________________ML24" localSheetId="11">NA()</definedName>
    <definedName name="______________________ML24" localSheetId="12">NA()</definedName>
    <definedName name="______________________ML24" localSheetId="0">#REF!</definedName>
    <definedName name="______________________ML24">#REF!</definedName>
    <definedName name="______________________ML25" localSheetId="11">NA()</definedName>
    <definedName name="______________________ML25" localSheetId="12">NA()</definedName>
    <definedName name="______________________ML25" localSheetId="0">#REF!</definedName>
    <definedName name="______________________ML25">#REF!</definedName>
    <definedName name="______________________ML26" localSheetId="11">NA()</definedName>
    <definedName name="______________________ML26" localSheetId="12">NA()</definedName>
    <definedName name="______________________ML26" localSheetId="0">#REF!</definedName>
    <definedName name="______________________ML26">#REF!</definedName>
    <definedName name="______________________ML27" localSheetId="11">NA()</definedName>
    <definedName name="______________________ML27" localSheetId="12">NA()</definedName>
    <definedName name="______________________ML27" localSheetId="0">#REF!</definedName>
    <definedName name="______________________ML27">#REF!</definedName>
    <definedName name="______________________ML28" localSheetId="11">NA()</definedName>
    <definedName name="______________________ML28" localSheetId="12">NA()</definedName>
    <definedName name="______________________ML28" localSheetId="0">#REF!</definedName>
    <definedName name="______________________ML28">#REF!</definedName>
    <definedName name="______________________ML29" localSheetId="11">NA()</definedName>
    <definedName name="______________________ML29" localSheetId="12">NA()</definedName>
    <definedName name="______________________ML29" localSheetId="0">#REF!</definedName>
    <definedName name="______________________ML29">#REF!</definedName>
    <definedName name="______________________ML31" localSheetId="11">NA()</definedName>
    <definedName name="______________________ML31" localSheetId="12">NA()</definedName>
    <definedName name="______________________ML31" localSheetId="0">#REF!</definedName>
    <definedName name="______________________ML31">#REF!</definedName>
    <definedName name="______________________ML310" localSheetId="11">NA()</definedName>
    <definedName name="______________________ML310" localSheetId="12">NA()</definedName>
    <definedName name="______________________ML310" localSheetId="0">#REF!</definedName>
    <definedName name="______________________ML310">#REF!</definedName>
    <definedName name="______________________ML311" localSheetId="11">NA()</definedName>
    <definedName name="______________________ML311" localSheetId="12">NA()</definedName>
    <definedName name="______________________ML311" localSheetId="0">#REF!</definedName>
    <definedName name="______________________ML311">#REF!</definedName>
    <definedName name="______________________ML312" localSheetId="11">NA()</definedName>
    <definedName name="______________________ML312" localSheetId="12">NA()</definedName>
    <definedName name="______________________ML312" localSheetId="0">#REF!</definedName>
    <definedName name="______________________ML312">#REF!</definedName>
    <definedName name="______________________ML313" localSheetId="11">NA()</definedName>
    <definedName name="______________________ML313" localSheetId="12">NA()</definedName>
    <definedName name="______________________ML313" localSheetId="0">#REF!</definedName>
    <definedName name="______________________ML313">#REF!</definedName>
    <definedName name="______________________ML314" localSheetId="11">NA()</definedName>
    <definedName name="______________________ML314" localSheetId="12">NA()</definedName>
    <definedName name="______________________ML314" localSheetId="0">#REF!</definedName>
    <definedName name="______________________ML314">#REF!</definedName>
    <definedName name="______________________ML315" localSheetId="11">NA()</definedName>
    <definedName name="______________________ML315" localSheetId="12">NA()</definedName>
    <definedName name="______________________ML315" localSheetId="0">#REF!</definedName>
    <definedName name="______________________ML315">#REF!</definedName>
    <definedName name="______________________ML316" localSheetId="11">NA()</definedName>
    <definedName name="______________________ML316" localSheetId="12">NA()</definedName>
    <definedName name="______________________ML316" localSheetId="0">#REF!</definedName>
    <definedName name="______________________ML316">#REF!</definedName>
    <definedName name="______________________ML317" localSheetId="11">NA()</definedName>
    <definedName name="______________________ML317" localSheetId="12">NA()</definedName>
    <definedName name="______________________ML317" localSheetId="0">#REF!</definedName>
    <definedName name="______________________ML317">#REF!</definedName>
    <definedName name="______________________ML318" localSheetId="11">NA()</definedName>
    <definedName name="______________________ML318" localSheetId="12">NA()</definedName>
    <definedName name="______________________ML318" localSheetId="0">#REF!</definedName>
    <definedName name="______________________ML318">#REF!</definedName>
    <definedName name="______________________ML319" localSheetId="11">NA()</definedName>
    <definedName name="______________________ML319" localSheetId="12">NA()</definedName>
    <definedName name="______________________ML319" localSheetId="0">#REF!</definedName>
    <definedName name="______________________ML319">#REF!</definedName>
    <definedName name="______________________ML32" localSheetId="11">NA()</definedName>
    <definedName name="______________________ML32" localSheetId="12">NA()</definedName>
    <definedName name="______________________ML32" localSheetId="0">#REF!</definedName>
    <definedName name="______________________ML32">#REF!</definedName>
    <definedName name="______________________ML320" localSheetId="11">NA()</definedName>
    <definedName name="______________________ML320" localSheetId="12">NA()</definedName>
    <definedName name="______________________ML320" localSheetId="0">#REF!</definedName>
    <definedName name="______________________ML320">#REF!</definedName>
    <definedName name="______________________ML321" localSheetId="11">NA()</definedName>
    <definedName name="______________________ML321" localSheetId="12">NA()</definedName>
    <definedName name="______________________ML321" localSheetId="0">#REF!</definedName>
    <definedName name="______________________ML321">#REF!</definedName>
    <definedName name="______________________ML322" localSheetId="11">NA()</definedName>
    <definedName name="______________________ML322" localSheetId="12">NA()</definedName>
    <definedName name="______________________ML322" localSheetId="0">#REF!</definedName>
    <definedName name="______________________ML322">#REF!</definedName>
    <definedName name="______________________ML323" localSheetId="11">NA()</definedName>
    <definedName name="______________________ML323" localSheetId="12">NA()</definedName>
    <definedName name="______________________ML323" localSheetId="0">#REF!</definedName>
    <definedName name="______________________ML323">#REF!</definedName>
    <definedName name="______________________ML324" localSheetId="11">NA()</definedName>
    <definedName name="______________________ML324" localSheetId="12">NA()</definedName>
    <definedName name="______________________ML324" localSheetId="0">#REF!</definedName>
    <definedName name="______________________ML324">#REF!</definedName>
    <definedName name="______________________ML33" localSheetId="11">NA()</definedName>
    <definedName name="______________________ML33" localSheetId="12">NA()</definedName>
    <definedName name="______________________ML33" localSheetId="0">#REF!</definedName>
    <definedName name="______________________ML33">#REF!</definedName>
    <definedName name="______________________ML34" localSheetId="11">NA()</definedName>
    <definedName name="______________________ML34" localSheetId="12">NA()</definedName>
    <definedName name="______________________ML34" localSheetId="0">#REF!</definedName>
    <definedName name="______________________ML34">#REF!</definedName>
    <definedName name="______________________ML35" localSheetId="11">NA()</definedName>
    <definedName name="______________________ML35" localSheetId="12">NA()</definedName>
    <definedName name="______________________ML35" localSheetId="0">#REF!</definedName>
    <definedName name="______________________ML35">#REF!</definedName>
    <definedName name="______________________ML36" localSheetId="11">NA()</definedName>
    <definedName name="______________________ML36" localSheetId="12">NA()</definedName>
    <definedName name="______________________ML36" localSheetId="0">#REF!</definedName>
    <definedName name="______________________ML36">#REF!</definedName>
    <definedName name="______________________ML37" localSheetId="11">NA()</definedName>
    <definedName name="______________________ML37" localSheetId="12">NA()</definedName>
    <definedName name="______________________ML37" localSheetId="0">#REF!</definedName>
    <definedName name="______________________ML37">#REF!</definedName>
    <definedName name="______________________ML38" localSheetId="11">NA()</definedName>
    <definedName name="______________________ML38" localSheetId="12">NA()</definedName>
    <definedName name="______________________ML38" localSheetId="0">#REF!</definedName>
    <definedName name="______________________ML38">#REF!</definedName>
    <definedName name="______________________ML39" localSheetId="11">NA()</definedName>
    <definedName name="______________________ML39" localSheetId="12">NA()</definedName>
    <definedName name="______________________ML39" localSheetId="0">#REF!</definedName>
    <definedName name="______________________ML39">#REF!</definedName>
    <definedName name="______________________ML7" localSheetId="11">NA()</definedName>
    <definedName name="______________________ML7" localSheetId="12">NA()</definedName>
    <definedName name="______________________ML7" localSheetId="0">#REF!</definedName>
    <definedName name="______________________ML7">#REF!</definedName>
    <definedName name="______________________ML8" localSheetId="11">NA()</definedName>
    <definedName name="______________________ML8" localSheetId="12">NA()</definedName>
    <definedName name="______________________ML8" localSheetId="0">#REF!</definedName>
    <definedName name="______________________ML8">#REF!</definedName>
    <definedName name="______________________ML9" localSheetId="11">NA()</definedName>
    <definedName name="______________________ML9" localSheetId="12">NA()</definedName>
    <definedName name="______________________ML9" localSheetId="0">#REF!</definedName>
    <definedName name="______________________ML9">#REF!</definedName>
    <definedName name="______________________mm1">[6]r!$F$4</definedName>
    <definedName name="______________________mm1000" localSheetId="11">NA()</definedName>
    <definedName name="______________________mm1000" localSheetId="12">NA()</definedName>
    <definedName name="______________________mm1000" localSheetId="0">#REF!</definedName>
    <definedName name="______________________mm1000">#REF!</definedName>
    <definedName name="______________________mm11">[2]r!$F$4</definedName>
    <definedName name="______________________mm111">[5]r!$F$4</definedName>
    <definedName name="______________________mm600" localSheetId="11">NA()</definedName>
    <definedName name="______________________mm600" localSheetId="12">NA()</definedName>
    <definedName name="______________________mm600" localSheetId="0">#REF!</definedName>
    <definedName name="______________________mm600">#REF!</definedName>
    <definedName name="______________________mm800" localSheetId="11">NA()</definedName>
    <definedName name="______________________mm800" localSheetId="12">NA()</definedName>
    <definedName name="______________________mm800" localSheetId="0">#REF!</definedName>
    <definedName name="______________________mm800">#REF!</definedName>
    <definedName name="______________________PC1" localSheetId="11">NA()</definedName>
    <definedName name="______________________PC1" localSheetId="12">NA()</definedName>
    <definedName name="______________________PC1" localSheetId="0">#REF!</definedName>
    <definedName name="______________________PC1">#REF!</definedName>
    <definedName name="______________________PC10" localSheetId="11">NA()</definedName>
    <definedName name="______________________PC10" localSheetId="12">NA()</definedName>
    <definedName name="______________________PC10" localSheetId="0">#REF!</definedName>
    <definedName name="______________________PC10">#REF!</definedName>
    <definedName name="______________________PC11" localSheetId="11">NA()</definedName>
    <definedName name="______________________PC11" localSheetId="12">NA()</definedName>
    <definedName name="______________________PC11" localSheetId="0">#REF!</definedName>
    <definedName name="______________________PC11">#REF!</definedName>
    <definedName name="______________________PC12" localSheetId="11">NA()</definedName>
    <definedName name="______________________PC12" localSheetId="12">NA()</definedName>
    <definedName name="______________________PC12" localSheetId="0">#REF!</definedName>
    <definedName name="______________________PC12">#REF!</definedName>
    <definedName name="______________________PC13" localSheetId="11">NA()</definedName>
    <definedName name="______________________PC13" localSheetId="12">NA()</definedName>
    <definedName name="______________________PC13" localSheetId="0">#REF!</definedName>
    <definedName name="______________________PC13">#REF!</definedName>
    <definedName name="______________________PC14" localSheetId="11">NA()</definedName>
    <definedName name="______________________PC14" localSheetId="12">NA()</definedName>
    <definedName name="______________________PC14" localSheetId="0">#REF!</definedName>
    <definedName name="______________________PC14">#REF!</definedName>
    <definedName name="______________________PC15" localSheetId="11">NA()</definedName>
    <definedName name="______________________PC15" localSheetId="12">NA()</definedName>
    <definedName name="______________________PC15" localSheetId="0">#REF!</definedName>
    <definedName name="______________________PC15">#REF!</definedName>
    <definedName name="______________________PC16" localSheetId="11">NA()</definedName>
    <definedName name="______________________PC16" localSheetId="12">NA()</definedName>
    <definedName name="______________________PC16" localSheetId="0">#REF!</definedName>
    <definedName name="______________________PC16">#REF!</definedName>
    <definedName name="______________________PC17" localSheetId="11">NA()</definedName>
    <definedName name="______________________PC17" localSheetId="12">NA()</definedName>
    <definedName name="______________________PC17" localSheetId="0">#REF!</definedName>
    <definedName name="______________________PC17">#REF!</definedName>
    <definedName name="______________________PC18" localSheetId="11">NA()</definedName>
    <definedName name="______________________PC18" localSheetId="12">NA()</definedName>
    <definedName name="______________________PC18" localSheetId="0">#REF!</definedName>
    <definedName name="______________________PC18">#REF!</definedName>
    <definedName name="______________________PC19" localSheetId="11">NA()</definedName>
    <definedName name="______________________PC19" localSheetId="12">NA()</definedName>
    <definedName name="______________________PC19" localSheetId="0">#REF!</definedName>
    <definedName name="______________________PC19">#REF!</definedName>
    <definedName name="______________________pc2" localSheetId="11">NA()</definedName>
    <definedName name="______________________pc2" localSheetId="12">NA()</definedName>
    <definedName name="______________________pc2" localSheetId="0">#REF!</definedName>
    <definedName name="______________________pc2">#REF!</definedName>
    <definedName name="______________________PC20">NA()</definedName>
    <definedName name="______________________PC21" localSheetId="11">NA()</definedName>
    <definedName name="______________________PC21" localSheetId="12">NA()</definedName>
    <definedName name="______________________PC21" localSheetId="0">#REF!</definedName>
    <definedName name="______________________PC21">#REF!</definedName>
    <definedName name="______________________PC22" localSheetId="11">NA()</definedName>
    <definedName name="______________________PC22" localSheetId="12">NA()</definedName>
    <definedName name="______________________PC22" localSheetId="0">#REF!</definedName>
    <definedName name="______________________PC22">#REF!</definedName>
    <definedName name="______________________PC23" localSheetId="11">NA()</definedName>
    <definedName name="______________________PC23" localSheetId="12">NA()</definedName>
    <definedName name="______________________PC23" localSheetId="0">#REF!</definedName>
    <definedName name="______________________PC23">#REF!</definedName>
    <definedName name="______________________PC24" localSheetId="11">NA()</definedName>
    <definedName name="______________________PC24" localSheetId="12">NA()</definedName>
    <definedName name="______________________PC24" localSheetId="0">#REF!</definedName>
    <definedName name="______________________PC24">#REF!</definedName>
    <definedName name="______________________PC3" localSheetId="11">NA()</definedName>
    <definedName name="______________________PC3" localSheetId="12">NA()</definedName>
    <definedName name="______________________PC3" localSheetId="0">#REF!</definedName>
    <definedName name="______________________PC3">#REF!</definedName>
    <definedName name="______________________PC4" localSheetId="11">NA()</definedName>
    <definedName name="______________________PC4" localSheetId="12">NA()</definedName>
    <definedName name="______________________PC4" localSheetId="0">#REF!</definedName>
    <definedName name="______________________PC4">#REF!</definedName>
    <definedName name="______________________PC5" localSheetId="11">NA()</definedName>
    <definedName name="______________________PC5" localSheetId="12">NA()</definedName>
    <definedName name="______________________PC5" localSheetId="0">#REF!</definedName>
    <definedName name="______________________PC5">#REF!</definedName>
    <definedName name="______________________PC6" localSheetId="11">NA()</definedName>
    <definedName name="______________________PC6" localSheetId="12">NA()</definedName>
    <definedName name="______________________PC6" localSheetId="0">#REF!</definedName>
    <definedName name="______________________PC6">#REF!</definedName>
    <definedName name="______________________pc600" localSheetId="11">NA()</definedName>
    <definedName name="______________________pc600" localSheetId="12">NA()</definedName>
    <definedName name="______________________pc600" localSheetId="0">#REF!</definedName>
    <definedName name="______________________pc600">#REF!</definedName>
    <definedName name="______________________PC7" localSheetId="11">NA()</definedName>
    <definedName name="______________________PC7" localSheetId="12">NA()</definedName>
    <definedName name="______________________PC7" localSheetId="0">#REF!</definedName>
    <definedName name="______________________PC7">#REF!</definedName>
    <definedName name="______________________PC8" localSheetId="11">NA()</definedName>
    <definedName name="______________________PC8" localSheetId="12">NA()</definedName>
    <definedName name="______________________PC8" localSheetId="0">#REF!</definedName>
    <definedName name="______________________PC8">#REF!</definedName>
    <definedName name="______________________PC9" localSheetId="11">NA()</definedName>
    <definedName name="______________________PC9" localSheetId="12">NA()</definedName>
    <definedName name="______________________PC9" localSheetId="0">#REF!</definedName>
    <definedName name="______________________PC9">#REF!</definedName>
    <definedName name="______________________pc900" localSheetId="11">NA()</definedName>
    <definedName name="______________________pc900" localSheetId="12">NA()</definedName>
    <definedName name="______________________pc900" localSheetId="0">#REF!</definedName>
    <definedName name="______________________pc900">#REF!</definedName>
    <definedName name="______________________pla4">[12]DATA_PRG!$H$269</definedName>
    <definedName name="______________________pv2" localSheetId="11">NA()</definedName>
    <definedName name="______________________pv2" localSheetId="12">NA()</definedName>
    <definedName name="______________________pv2" localSheetId="0">#REF!</definedName>
    <definedName name="______________________pv2">#REF!</definedName>
    <definedName name="______________________rr3">[7]v!$A$2:$E$51</definedName>
    <definedName name="______________________rrr1">[7]r!$B$1:$I$145</definedName>
    <definedName name="______________________SP10">[13]Sheet1!$C$18</definedName>
    <definedName name="______________________SP16">[13]Sheet1!$C$24</definedName>
    <definedName name="______________________SP7">[13]Sheet1!$C$15</definedName>
    <definedName name="______________________ss12">[8]rdamdata!$J$8</definedName>
    <definedName name="______________________ss20">[8]rdamdata!$J$7</definedName>
    <definedName name="______________________ss40">[8]rdamdata!$J$6</definedName>
    <definedName name="______________________var1" localSheetId="11">NA()</definedName>
    <definedName name="______________________var1" localSheetId="12">NA()</definedName>
    <definedName name="______________________var1" localSheetId="0">#REF!</definedName>
    <definedName name="______________________var1">#REF!</definedName>
    <definedName name="______________________var4" localSheetId="11">NA()</definedName>
    <definedName name="______________________var4" localSheetId="12">NA()</definedName>
    <definedName name="______________________var4" localSheetId="0">#REF!</definedName>
    <definedName name="______________________var4">#REF!</definedName>
    <definedName name="______________________vat1">NA()</definedName>
    <definedName name="_____________________bla1">[1]leads!$H$7</definedName>
    <definedName name="_____________________BSG100" localSheetId="11">NA()</definedName>
    <definedName name="_____________________BSG100" localSheetId="12">NA()</definedName>
    <definedName name="_____________________BSG100" localSheetId="0">#REF!</definedName>
    <definedName name="_____________________BSG100">#REF!</definedName>
    <definedName name="_____________________BSG150" localSheetId="11">NA()</definedName>
    <definedName name="_____________________BSG150" localSheetId="12">NA()</definedName>
    <definedName name="_____________________BSG150" localSheetId="0">#REF!</definedName>
    <definedName name="_____________________BSG150">#REF!</definedName>
    <definedName name="_____________________BSG5" localSheetId="11">NA()</definedName>
    <definedName name="_____________________BSG5" localSheetId="12">NA()</definedName>
    <definedName name="_____________________BSG5" localSheetId="0">#REF!</definedName>
    <definedName name="_____________________BSG5">#REF!</definedName>
    <definedName name="_____________________BSG75" localSheetId="11">NA()</definedName>
    <definedName name="_____________________BSG75" localSheetId="12">NA()</definedName>
    <definedName name="_____________________BSG75" localSheetId="0">#REF!</definedName>
    <definedName name="_____________________BSG75">#REF!</definedName>
    <definedName name="_____________________BTC1" localSheetId="11">NA()</definedName>
    <definedName name="_____________________BTC1" localSheetId="12">NA()</definedName>
    <definedName name="_____________________BTC1" localSheetId="0">#REF!</definedName>
    <definedName name="_____________________BTC1">#REF!</definedName>
    <definedName name="_____________________BTC10" localSheetId="11">NA()</definedName>
    <definedName name="_____________________BTC10" localSheetId="12">NA()</definedName>
    <definedName name="_____________________BTC10" localSheetId="0">#REF!</definedName>
    <definedName name="_____________________BTC10">#REF!</definedName>
    <definedName name="_____________________BTC11" localSheetId="11">NA()</definedName>
    <definedName name="_____________________BTC11" localSheetId="12">NA()</definedName>
    <definedName name="_____________________BTC11" localSheetId="0">#REF!</definedName>
    <definedName name="_____________________BTC11">#REF!</definedName>
    <definedName name="_____________________BTC12" localSheetId="11">NA()</definedName>
    <definedName name="_____________________BTC12" localSheetId="12">NA()</definedName>
    <definedName name="_____________________BTC12" localSheetId="0">#REF!</definedName>
    <definedName name="_____________________BTC12">#REF!</definedName>
    <definedName name="_____________________BTC13" localSheetId="11">NA()</definedName>
    <definedName name="_____________________BTC13" localSheetId="12">NA()</definedName>
    <definedName name="_____________________BTC13" localSheetId="0">#REF!</definedName>
    <definedName name="_____________________BTC13">#REF!</definedName>
    <definedName name="_____________________BTC14" localSheetId="11">NA()</definedName>
    <definedName name="_____________________BTC14" localSheetId="12">NA()</definedName>
    <definedName name="_____________________BTC14" localSheetId="0">#REF!</definedName>
    <definedName name="_____________________BTC14">#REF!</definedName>
    <definedName name="_____________________BTC15" localSheetId="11">NA()</definedName>
    <definedName name="_____________________BTC15" localSheetId="12">NA()</definedName>
    <definedName name="_____________________BTC15" localSheetId="0">#REF!</definedName>
    <definedName name="_____________________BTC15">#REF!</definedName>
    <definedName name="_____________________BTC16" localSheetId="11">NA()</definedName>
    <definedName name="_____________________BTC16" localSheetId="12">NA()</definedName>
    <definedName name="_____________________BTC16" localSheetId="0">#REF!</definedName>
    <definedName name="_____________________BTC16">#REF!</definedName>
    <definedName name="_____________________BTC17" localSheetId="11">NA()</definedName>
    <definedName name="_____________________BTC17" localSheetId="12">NA()</definedName>
    <definedName name="_____________________BTC17" localSheetId="0">#REF!</definedName>
    <definedName name="_____________________BTC17">#REF!</definedName>
    <definedName name="_____________________BTC18" localSheetId="11">NA()</definedName>
    <definedName name="_____________________BTC18" localSheetId="12">NA()</definedName>
    <definedName name="_____________________BTC18" localSheetId="0">#REF!</definedName>
    <definedName name="_____________________BTC18">#REF!</definedName>
    <definedName name="_____________________BTC19" localSheetId="11">NA()</definedName>
    <definedName name="_____________________BTC19" localSheetId="12">NA()</definedName>
    <definedName name="_____________________BTC19" localSheetId="0">#REF!</definedName>
    <definedName name="_____________________BTC19">#REF!</definedName>
    <definedName name="_____________________BTC2" localSheetId="11">NA()</definedName>
    <definedName name="_____________________BTC2" localSheetId="12">NA()</definedName>
    <definedName name="_____________________BTC2" localSheetId="0">#REF!</definedName>
    <definedName name="_____________________BTC2">#REF!</definedName>
    <definedName name="_____________________BTC20" localSheetId="11">NA()</definedName>
    <definedName name="_____________________BTC20" localSheetId="12">NA()</definedName>
    <definedName name="_____________________BTC20" localSheetId="0">#REF!</definedName>
    <definedName name="_____________________BTC20">#REF!</definedName>
    <definedName name="_____________________BTC21" localSheetId="11">NA()</definedName>
    <definedName name="_____________________BTC21" localSheetId="12">NA()</definedName>
    <definedName name="_____________________BTC21" localSheetId="0">#REF!</definedName>
    <definedName name="_____________________BTC21">#REF!</definedName>
    <definedName name="_____________________BTC22" localSheetId="11">NA()</definedName>
    <definedName name="_____________________BTC22" localSheetId="12">NA()</definedName>
    <definedName name="_____________________BTC22" localSheetId="0">#REF!</definedName>
    <definedName name="_____________________BTC22">#REF!</definedName>
    <definedName name="_____________________BTC23" localSheetId="11">NA()</definedName>
    <definedName name="_____________________BTC23" localSheetId="12">NA()</definedName>
    <definedName name="_____________________BTC23" localSheetId="0">#REF!</definedName>
    <definedName name="_____________________BTC23">#REF!</definedName>
    <definedName name="_____________________BTC24" localSheetId="11">NA()</definedName>
    <definedName name="_____________________BTC24" localSheetId="12">NA()</definedName>
    <definedName name="_____________________BTC24" localSheetId="0">#REF!</definedName>
    <definedName name="_____________________BTC24">#REF!</definedName>
    <definedName name="_____________________BTC3" localSheetId="11">NA()</definedName>
    <definedName name="_____________________BTC3" localSheetId="12">NA()</definedName>
    <definedName name="_____________________BTC3" localSheetId="0">#REF!</definedName>
    <definedName name="_____________________BTC3">#REF!</definedName>
    <definedName name="_____________________BTC4" localSheetId="11">NA()</definedName>
    <definedName name="_____________________BTC4" localSheetId="12">NA()</definedName>
    <definedName name="_____________________BTC4" localSheetId="0">#REF!</definedName>
    <definedName name="_____________________BTC4">#REF!</definedName>
    <definedName name="_____________________BTC5" localSheetId="11">NA()</definedName>
    <definedName name="_____________________BTC5" localSheetId="12">NA()</definedName>
    <definedName name="_____________________BTC5" localSheetId="0">#REF!</definedName>
    <definedName name="_____________________BTC5">#REF!</definedName>
    <definedName name="_____________________BTC6" localSheetId="11">NA()</definedName>
    <definedName name="_____________________BTC6" localSheetId="12">NA()</definedName>
    <definedName name="_____________________BTC6" localSheetId="0">#REF!</definedName>
    <definedName name="_____________________BTC6">#REF!</definedName>
    <definedName name="_____________________BTC7" localSheetId="11">NA()</definedName>
    <definedName name="_____________________BTC7" localSheetId="12">NA()</definedName>
    <definedName name="_____________________BTC7" localSheetId="0">#REF!</definedName>
    <definedName name="_____________________BTC7">#REF!</definedName>
    <definedName name="_____________________BTC8" localSheetId="11">NA()</definedName>
    <definedName name="_____________________BTC8" localSheetId="12">NA()</definedName>
    <definedName name="_____________________BTC8" localSheetId="0">#REF!</definedName>
    <definedName name="_____________________BTC8">#REF!</definedName>
    <definedName name="_____________________BTC9" localSheetId="11">NA()</definedName>
    <definedName name="_____________________BTC9" localSheetId="12">NA()</definedName>
    <definedName name="_____________________BTC9" localSheetId="0">#REF!</definedName>
    <definedName name="_____________________BTC9">#REF!</definedName>
    <definedName name="_____________________BTR1" localSheetId="11">NA()</definedName>
    <definedName name="_____________________BTR1" localSheetId="12">NA()</definedName>
    <definedName name="_____________________BTR1" localSheetId="0">#REF!</definedName>
    <definedName name="_____________________BTR1">#REF!</definedName>
    <definedName name="_____________________BTR10" localSheetId="11">NA()</definedName>
    <definedName name="_____________________BTR10" localSheetId="12">NA()</definedName>
    <definedName name="_____________________BTR10" localSheetId="0">#REF!</definedName>
    <definedName name="_____________________BTR10">#REF!</definedName>
    <definedName name="_____________________BTR11" localSheetId="11">NA()</definedName>
    <definedName name="_____________________BTR11" localSheetId="12">NA()</definedName>
    <definedName name="_____________________BTR11" localSheetId="0">#REF!</definedName>
    <definedName name="_____________________BTR11">#REF!</definedName>
    <definedName name="_____________________BTR12" localSheetId="11">NA()</definedName>
    <definedName name="_____________________BTR12" localSheetId="12">NA()</definedName>
    <definedName name="_____________________BTR12" localSheetId="0">#REF!</definedName>
    <definedName name="_____________________BTR12">#REF!</definedName>
    <definedName name="_____________________BTR13" localSheetId="11">NA()</definedName>
    <definedName name="_____________________BTR13" localSheetId="12">NA()</definedName>
    <definedName name="_____________________BTR13" localSheetId="0">#REF!</definedName>
    <definedName name="_____________________BTR13">#REF!</definedName>
    <definedName name="_____________________BTR14" localSheetId="11">NA()</definedName>
    <definedName name="_____________________BTR14" localSheetId="12">NA()</definedName>
    <definedName name="_____________________BTR14" localSheetId="0">#REF!</definedName>
    <definedName name="_____________________BTR14">#REF!</definedName>
    <definedName name="_____________________BTR15" localSheetId="11">NA()</definedName>
    <definedName name="_____________________BTR15" localSheetId="12">NA()</definedName>
    <definedName name="_____________________BTR15" localSheetId="0">#REF!</definedName>
    <definedName name="_____________________BTR15">#REF!</definedName>
    <definedName name="_____________________BTR16" localSheetId="11">NA()</definedName>
    <definedName name="_____________________BTR16" localSheetId="12">NA()</definedName>
    <definedName name="_____________________BTR16" localSheetId="0">#REF!</definedName>
    <definedName name="_____________________BTR16">#REF!</definedName>
    <definedName name="_____________________BTR17" localSheetId="11">NA()</definedName>
    <definedName name="_____________________BTR17" localSheetId="12">NA()</definedName>
    <definedName name="_____________________BTR17" localSheetId="0">#REF!</definedName>
    <definedName name="_____________________BTR17">#REF!</definedName>
    <definedName name="_____________________BTR18" localSheetId="11">NA()</definedName>
    <definedName name="_____________________BTR18" localSheetId="12">NA()</definedName>
    <definedName name="_____________________BTR18" localSheetId="0">#REF!</definedName>
    <definedName name="_____________________BTR18">#REF!</definedName>
    <definedName name="_____________________BTR19" localSheetId="11">NA()</definedName>
    <definedName name="_____________________BTR19" localSheetId="12">NA()</definedName>
    <definedName name="_____________________BTR19" localSheetId="0">#REF!</definedName>
    <definedName name="_____________________BTR19">#REF!</definedName>
    <definedName name="_____________________BTR2" localSheetId="11">NA()</definedName>
    <definedName name="_____________________BTR2" localSheetId="12">NA()</definedName>
    <definedName name="_____________________BTR2" localSheetId="0">#REF!</definedName>
    <definedName name="_____________________BTR2">#REF!</definedName>
    <definedName name="_____________________BTR20" localSheetId="11">NA()</definedName>
    <definedName name="_____________________BTR20" localSheetId="12">NA()</definedName>
    <definedName name="_____________________BTR20" localSheetId="0">#REF!</definedName>
    <definedName name="_____________________BTR20">#REF!</definedName>
    <definedName name="_____________________BTR21" localSheetId="11">NA()</definedName>
    <definedName name="_____________________BTR21" localSheetId="12">NA()</definedName>
    <definedName name="_____________________BTR21" localSheetId="0">#REF!</definedName>
    <definedName name="_____________________BTR21">#REF!</definedName>
    <definedName name="_____________________BTR22" localSheetId="11">NA()</definedName>
    <definedName name="_____________________BTR22" localSheetId="12">NA()</definedName>
    <definedName name="_____________________BTR22" localSheetId="0">#REF!</definedName>
    <definedName name="_____________________BTR22">#REF!</definedName>
    <definedName name="_____________________BTR23" localSheetId="11">NA()</definedName>
    <definedName name="_____________________BTR23" localSheetId="12">NA()</definedName>
    <definedName name="_____________________BTR23" localSheetId="0">#REF!</definedName>
    <definedName name="_____________________BTR23">#REF!</definedName>
    <definedName name="_____________________BTR24" localSheetId="11">NA()</definedName>
    <definedName name="_____________________BTR24" localSheetId="12">NA()</definedName>
    <definedName name="_____________________BTR24" localSheetId="0">#REF!</definedName>
    <definedName name="_____________________BTR24">#REF!</definedName>
    <definedName name="_____________________BTR3" localSheetId="11">NA()</definedName>
    <definedName name="_____________________BTR3" localSheetId="12">NA()</definedName>
    <definedName name="_____________________BTR3" localSheetId="0">#REF!</definedName>
    <definedName name="_____________________BTR3">#REF!</definedName>
    <definedName name="_____________________BTR4" localSheetId="11">NA()</definedName>
    <definedName name="_____________________BTR4" localSheetId="12">NA()</definedName>
    <definedName name="_____________________BTR4" localSheetId="0">#REF!</definedName>
    <definedName name="_____________________BTR4">#REF!</definedName>
    <definedName name="_____________________BTR5" localSheetId="11">NA()</definedName>
    <definedName name="_____________________BTR5" localSheetId="12">NA()</definedName>
    <definedName name="_____________________BTR5" localSheetId="0">#REF!</definedName>
    <definedName name="_____________________BTR5">#REF!</definedName>
    <definedName name="_____________________BTR6" localSheetId="11">NA()</definedName>
    <definedName name="_____________________BTR6" localSheetId="12">NA()</definedName>
    <definedName name="_____________________BTR6" localSheetId="0">#REF!</definedName>
    <definedName name="_____________________BTR6">#REF!</definedName>
    <definedName name="_____________________BTR7" localSheetId="11">NA()</definedName>
    <definedName name="_____________________BTR7" localSheetId="12">NA()</definedName>
    <definedName name="_____________________BTR7" localSheetId="0">#REF!</definedName>
    <definedName name="_____________________BTR7">#REF!</definedName>
    <definedName name="_____________________BTR8" localSheetId="11">NA()</definedName>
    <definedName name="_____________________BTR8" localSheetId="12">NA()</definedName>
    <definedName name="_____________________BTR8" localSheetId="0">#REF!</definedName>
    <definedName name="_____________________BTR8">#REF!</definedName>
    <definedName name="_____________________BTR9" localSheetId="11">NA()</definedName>
    <definedName name="_____________________BTR9" localSheetId="12">NA()</definedName>
    <definedName name="_____________________BTR9" localSheetId="0">#REF!</definedName>
    <definedName name="_____________________BTR9">#REF!</definedName>
    <definedName name="_____________________BTS1" localSheetId="11">NA()</definedName>
    <definedName name="_____________________BTS1" localSheetId="12">NA()</definedName>
    <definedName name="_____________________BTS1" localSheetId="0">#REF!</definedName>
    <definedName name="_____________________BTS1">#REF!</definedName>
    <definedName name="_____________________BTS10" localSheetId="11">NA()</definedName>
    <definedName name="_____________________BTS10" localSheetId="12">NA()</definedName>
    <definedName name="_____________________BTS10" localSheetId="0">#REF!</definedName>
    <definedName name="_____________________BTS10">#REF!</definedName>
    <definedName name="_____________________BTS11" localSheetId="11">NA()</definedName>
    <definedName name="_____________________BTS11" localSheetId="12">NA()</definedName>
    <definedName name="_____________________BTS11" localSheetId="0">#REF!</definedName>
    <definedName name="_____________________BTS11">#REF!</definedName>
    <definedName name="_____________________BTS12" localSheetId="11">NA()</definedName>
    <definedName name="_____________________BTS12" localSheetId="12">NA()</definedName>
    <definedName name="_____________________BTS12" localSheetId="0">#REF!</definedName>
    <definedName name="_____________________BTS12">#REF!</definedName>
    <definedName name="_____________________BTS13" localSheetId="11">NA()</definedName>
    <definedName name="_____________________BTS13" localSheetId="12">NA()</definedName>
    <definedName name="_____________________BTS13" localSheetId="0">#REF!</definedName>
    <definedName name="_____________________BTS13">#REF!</definedName>
    <definedName name="_____________________BTS14" localSheetId="11">NA()</definedName>
    <definedName name="_____________________BTS14" localSheetId="12">NA()</definedName>
    <definedName name="_____________________BTS14" localSheetId="0">#REF!</definedName>
    <definedName name="_____________________BTS14">#REF!</definedName>
    <definedName name="_____________________BTS15" localSheetId="11">NA()</definedName>
    <definedName name="_____________________BTS15" localSheetId="12">NA()</definedName>
    <definedName name="_____________________BTS15" localSheetId="0">#REF!</definedName>
    <definedName name="_____________________BTS15">#REF!</definedName>
    <definedName name="_____________________BTS16" localSheetId="11">NA()</definedName>
    <definedName name="_____________________BTS16" localSheetId="12">NA()</definedName>
    <definedName name="_____________________BTS16" localSheetId="0">#REF!</definedName>
    <definedName name="_____________________BTS16">#REF!</definedName>
    <definedName name="_____________________BTS17" localSheetId="11">NA()</definedName>
    <definedName name="_____________________BTS17" localSheetId="12">NA()</definedName>
    <definedName name="_____________________BTS17" localSheetId="0">#REF!</definedName>
    <definedName name="_____________________BTS17">#REF!</definedName>
    <definedName name="_____________________BTS18" localSheetId="11">NA()</definedName>
    <definedName name="_____________________BTS18" localSheetId="12">NA()</definedName>
    <definedName name="_____________________BTS18" localSheetId="0">#REF!</definedName>
    <definedName name="_____________________BTS18">#REF!</definedName>
    <definedName name="_____________________BTS19" localSheetId="11">NA()</definedName>
    <definedName name="_____________________BTS19" localSheetId="12">NA()</definedName>
    <definedName name="_____________________BTS19" localSheetId="0">#REF!</definedName>
    <definedName name="_____________________BTS19">#REF!</definedName>
    <definedName name="_____________________BTS2" localSheetId="11">NA()</definedName>
    <definedName name="_____________________BTS2" localSheetId="12">NA()</definedName>
    <definedName name="_____________________BTS2" localSheetId="0">#REF!</definedName>
    <definedName name="_____________________BTS2">#REF!</definedName>
    <definedName name="_____________________BTS20" localSheetId="11">NA()</definedName>
    <definedName name="_____________________BTS20" localSheetId="12">NA()</definedName>
    <definedName name="_____________________BTS20" localSheetId="0">#REF!</definedName>
    <definedName name="_____________________BTS20">#REF!</definedName>
    <definedName name="_____________________BTS21" localSheetId="11">NA()</definedName>
    <definedName name="_____________________BTS21" localSheetId="12">NA()</definedName>
    <definedName name="_____________________BTS21" localSheetId="0">#REF!</definedName>
    <definedName name="_____________________BTS21">#REF!</definedName>
    <definedName name="_____________________BTS22" localSheetId="11">NA()</definedName>
    <definedName name="_____________________BTS22" localSheetId="12">NA()</definedName>
    <definedName name="_____________________BTS22" localSheetId="0">#REF!</definedName>
    <definedName name="_____________________BTS22">#REF!</definedName>
    <definedName name="_____________________BTS23" localSheetId="11">NA()</definedName>
    <definedName name="_____________________BTS23" localSheetId="12">NA()</definedName>
    <definedName name="_____________________BTS23" localSheetId="0">#REF!</definedName>
    <definedName name="_____________________BTS23">#REF!</definedName>
    <definedName name="_____________________BTS24" localSheetId="11">NA()</definedName>
    <definedName name="_____________________BTS24" localSheetId="12">NA()</definedName>
    <definedName name="_____________________BTS24" localSheetId="0">#REF!</definedName>
    <definedName name="_____________________BTS24">#REF!</definedName>
    <definedName name="_____________________BTS3" localSheetId="11">NA()</definedName>
    <definedName name="_____________________BTS3" localSheetId="12">NA()</definedName>
    <definedName name="_____________________BTS3" localSheetId="0">#REF!</definedName>
    <definedName name="_____________________BTS3">#REF!</definedName>
    <definedName name="_____________________BTS4" localSheetId="11">NA()</definedName>
    <definedName name="_____________________BTS4" localSheetId="12">NA()</definedName>
    <definedName name="_____________________BTS4" localSheetId="0">#REF!</definedName>
    <definedName name="_____________________BTS4">#REF!</definedName>
    <definedName name="_____________________BTS5" localSheetId="11">NA()</definedName>
    <definedName name="_____________________BTS5" localSheetId="12">NA()</definedName>
    <definedName name="_____________________BTS5" localSheetId="0">#REF!</definedName>
    <definedName name="_____________________BTS5">#REF!</definedName>
    <definedName name="_____________________BTS6" localSheetId="11">NA()</definedName>
    <definedName name="_____________________BTS6" localSheetId="12">NA()</definedName>
    <definedName name="_____________________BTS6" localSheetId="0">#REF!</definedName>
    <definedName name="_____________________BTS6">#REF!</definedName>
    <definedName name="_____________________BTS7" localSheetId="11">NA()</definedName>
    <definedName name="_____________________BTS7" localSheetId="12">NA()</definedName>
    <definedName name="_____________________BTS7" localSheetId="0">#REF!</definedName>
    <definedName name="_____________________BTS7">#REF!</definedName>
    <definedName name="_____________________BTS8" localSheetId="11">NA()</definedName>
    <definedName name="_____________________BTS8" localSheetId="12">NA()</definedName>
    <definedName name="_____________________BTS8" localSheetId="0">#REF!</definedName>
    <definedName name="_____________________BTS8">#REF!</definedName>
    <definedName name="_____________________BTS9" localSheetId="11">NA()</definedName>
    <definedName name="_____________________BTS9" localSheetId="12">NA()</definedName>
    <definedName name="_____________________BTS9" localSheetId="0">#REF!</definedName>
    <definedName name="_____________________BTS9">#REF!</definedName>
    <definedName name="_____________________can430">40.73</definedName>
    <definedName name="_____________________can435">43.3</definedName>
    <definedName name="_____________________CCW1">[14]DATA!$H$67</definedName>
    <definedName name="_____________________CCW2">[14]DATA!$H$97</definedName>
    <definedName name="_____________________cur1">[2]r!$F$30</definedName>
    <definedName name="_____________________GBS11" localSheetId="11">NA()</definedName>
    <definedName name="_____________________GBS11" localSheetId="12">NA()</definedName>
    <definedName name="_____________________GBS11" localSheetId="0">#REF!</definedName>
    <definedName name="_____________________GBS11">#REF!</definedName>
    <definedName name="_____________________GBS110" localSheetId="11">NA()</definedName>
    <definedName name="_____________________GBS110" localSheetId="12">NA()</definedName>
    <definedName name="_____________________GBS110" localSheetId="0">#REF!</definedName>
    <definedName name="_____________________GBS110">#REF!</definedName>
    <definedName name="_____________________GBS111" localSheetId="11">NA()</definedName>
    <definedName name="_____________________GBS111" localSheetId="12">NA()</definedName>
    <definedName name="_____________________GBS111" localSheetId="0">#REF!</definedName>
    <definedName name="_____________________GBS111">#REF!</definedName>
    <definedName name="_____________________GBS112" localSheetId="11">NA()</definedName>
    <definedName name="_____________________GBS112" localSheetId="12">NA()</definedName>
    <definedName name="_____________________GBS112" localSheetId="0">#REF!</definedName>
    <definedName name="_____________________GBS112">#REF!</definedName>
    <definedName name="_____________________GBS113" localSheetId="11">NA()</definedName>
    <definedName name="_____________________GBS113" localSheetId="12">NA()</definedName>
    <definedName name="_____________________GBS113" localSheetId="0">#REF!</definedName>
    <definedName name="_____________________GBS113">#REF!</definedName>
    <definedName name="_____________________GBS114" localSheetId="11">NA()</definedName>
    <definedName name="_____________________GBS114" localSheetId="12">NA()</definedName>
    <definedName name="_____________________GBS114" localSheetId="0">#REF!</definedName>
    <definedName name="_____________________GBS114">#REF!</definedName>
    <definedName name="_____________________GBS115" localSheetId="11">NA()</definedName>
    <definedName name="_____________________GBS115" localSheetId="12">NA()</definedName>
    <definedName name="_____________________GBS115" localSheetId="0">#REF!</definedName>
    <definedName name="_____________________GBS115">#REF!</definedName>
    <definedName name="_____________________GBS116" localSheetId="11">NA()</definedName>
    <definedName name="_____________________GBS116" localSheetId="12">NA()</definedName>
    <definedName name="_____________________GBS116" localSheetId="0">#REF!</definedName>
    <definedName name="_____________________GBS116">#REF!</definedName>
    <definedName name="_____________________GBS117" localSheetId="11">NA()</definedName>
    <definedName name="_____________________GBS117" localSheetId="12">NA()</definedName>
    <definedName name="_____________________GBS117" localSheetId="0">#REF!</definedName>
    <definedName name="_____________________GBS117">#REF!</definedName>
    <definedName name="_____________________GBS118" localSheetId="11">NA()</definedName>
    <definedName name="_____________________GBS118" localSheetId="12">NA()</definedName>
    <definedName name="_____________________GBS118" localSheetId="0">#REF!</definedName>
    <definedName name="_____________________GBS118">#REF!</definedName>
    <definedName name="_____________________GBS119" localSheetId="11">NA()</definedName>
    <definedName name="_____________________GBS119" localSheetId="12">NA()</definedName>
    <definedName name="_____________________GBS119" localSheetId="0">#REF!</definedName>
    <definedName name="_____________________GBS119">#REF!</definedName>
    <definedName name="_____________________GBS12" localSheetId="11">NA()</definedName>
    <definedName name="_____________________GBS12" localSheetId="12">NA()</definedName>
    <definedName name="_____________________GBS12" localSheetId="0">#REF!</definedName>
    <definedName name="_____________________GBS12">#REF!</definedName>
    <definedName name="_____________________GBS120" localSheetId="11">NA()</definedName>
    <definedName name="_____________________GBS120" localSheetId="12">NA()</definedName>
    <definedName name="_____________________GBS120" localSheetId="0">#REF!</definedName>
    <definedName name="_____________________GBS120">#REF!</definedName>
    <definedName name="_____________________GBS121" localSheetId="11">NA()</definedName>
    <definedName name="_____________________GBS121" localSheetId="12">NA()</definedName>
    <definedName name="_____________________GBS121" localSheetId="0">#REF!</definedName>
    <definedName name="_____________________GBS121">#REF!</definedName>
    <definedName name="_____________________GBS122" localSheetId="11">NA()</definedName>
    <definedName name="_____________________GBS122" localSheetId="12">NA()</definedName>
    <definedName name="_____________________GBS122" localSheetId="0">#REF!</definedName>
    <definedName name="_____________________GBS122">#REF!</definedName>
    <definedName name="_____________________GBS123" localSheetId="11">NA()</definedName>
    <definedName name="_____________________GBS123" localSheetId="12">NA()</definedName>
    <definedName name="_____________________GBS123" localSheetId="0">#REF!</definedName>
    <definedName name="_____________________GBS123">#REF!</definedName>
    <definedName name="_____________________GBS124" localSheetId="11">NA()</definedName>
    <definedName name="_____________________GBS124" localSheetId="12">NA()</definedName>
    <definedName name="_____________________GBS124" localSheetId="0">#REF!</definedName>
    <definedName name="_____________________GBS124">#REF!</definedName>
    <definedName name="_____________________GBS13" localSheetId="11">NA()</definedName>
    <definedName name="_____________________GBS13" localSheetId="12">NA()</definedName>
    <definedName name="_____________________GBS13" localSheetId="0">#REF!</definedName>
    <definedName name="_____________________GBS13">#REF!</definedName>
    <definedName name="_____________________GBS14" localSheetId="11">NA()</definedName>
    <definedName name="_____________________GBS14" localSheetId="12">NA()</definedName>
    <definedName name="_____________________GBS14" localSheetId="0">#REF!</definedName>
    <definedName name="_____________________GBS14">#REF!</definedName>
    <definedName name="_____________________GBS15" localSheetId="11">NA()</definedName>
    <definedName name="_____________________GBS15" localSheetId="12">NA()</definedName>
    <definedName name="_____________________GBS15" localSheetId="0">#REF!</definedName>
    <definedName name="_____________________GBS15">#REF!</definedName>
    <definedName name="_____________________GBS16" localSheetId="11">NA()</definedName>
    <definedName name="_____________________GBS16" localSheetId="12">NA()</definedName>
    <definedName name="_____________________GBS16" localSheetId="0">#REF!</definedName>
    <definedName name="_____________________GBS16">#REF!</definedName>
    <definedName name="_____________________GBS17" localSheetId="11">NA()</definedName>
    <definedName name="_____________________GBS17" localSheetId="12">NA()</definedName>
    <definedName name="_____________________GBS17" localSheetId="0">#REF!</definedName>
    <definedName name="_____________________GBS17">#REF!</definedName>
    <definedName name="_____________________GBS18" localSheetId="11">NA()</definedName>
    <definedName name="_____________________GBS18" localSheetId="12">NA()</definedName>
    <definedName name="_____________________GBS18" localSheetId="0">#REF!</definedName>
    <definedName name="_____________________GBS18">#REF!</definedName>
    <definedName name="_____________________GBS19" localSheetId="11">NA()</definedName>
    <definedName name="_____________________GBS19" localSheetId="12">NA()</definedName>
    <definedName name="_____________________GBS19" localSheetId="0">#REF!</definedName>
    <definedName name="_____________________GBS19">#REF!</definedName>
    <definedName name="_____________________GBS21" localSheetId="11">NA()</definedName>
    <definedName name="_____________________GBS21" localSheetId="12">NA()</definedName>
    <definedName name="_____________________GBS21" localSheetId="0">#REF!</definedName>
    <definedName name="_____________________GBS21">#REF!</definedName>
    <definedName name="_____________________GBS210" localSheetId="11">NA()</definedName>
    <definedName name="_____________________GBS210" localSheetId="12">NA()</definedName>
    <definedName name="_____________________GBS210" localSheetId="0">#REF!</definedName>
    <definedName name="_____________________GBS210">#REF!</definedName>
    <definedName name="_____________________GBS211" localSheetId="11">NA()</definedName>
    <definedName name="_____________________GBS211" localSheetId="12">NA()</definedName>
    <definedName name="_____________________GBS211" localSheetId="0">#REF!</definedName>
    <definedName name="_____________________GBS211">#REF!</definedName>
    <definedName name="_____________________GBS212" localSheetId="11">NA()</definedName>
    <definedName name="_____________________GBS212" localSheetId="12">NA()</definedName>
    <definedName name="_____________________GBS212" localSheetId="0">#REF!</definedName>
    <definedName name="_____________________GBS212">#REF!</definedName>
    <definedName name="_____________________GBS213" localSheetId="11">NA()</definedName>
    <definedName name="_____________________GBS213" localSheetId="12">NA()</definedName>
    <definedName name="_____________________GBS213" localSheetId="0">#REF!</definedName>
    <definedName name="_____________________GBS213">#REF!</definedName>
    <definedName name="_____________________GBS214" localSheetId="11">NA()</definedName>
    <definedName name="_____________________GBS214" localSheetId="12">NA()</definedName>
    <definedName name="_____________________GBS214" localSheetId="0">#REF!</definedName>
    <definedName name="_____________________GBS214">#REF!</definedName>
    <definedName name="_____________________GBS215" localSheetId="11">NA()</definedName>
    <definedName name="_____________________GBS215" localSheetId="12">NA()</definedName>
    <definedName name="_____________________GBS215" localSheetId="0">#REF!</definedName>
    <definedName name="_____________________GBS215">#REF!</definedName>
    <definedName name="_____________________GBS216" localSheetId="11">NA()</definedName>
    <definedName name="_____________________GBS216" localSheetId="12">NA()</definedName>
    <definedName name="_____________________GBS216" localSheetId="0">#REF!</definedName>
    <definedName name="_____________________GBS216">#REF!</definedName>
    <definedName name="_____________________GBS217" localSheetId="11">NA()</definedName>
    <definedName name="_____________________GBS217" localSheetId="12">NA()</definedName>
    <definedName name="_____________________GBS217" localSheetId="0">#REF!</definedName>
    <definedName name="_____________________GBS217">#REF!</definedName>
    <definedName name="_____________________GBS218" localSheetId="11">NA()</definedName>
    <definedName name="_____________________GBS218" localSheetId="12">NA()</definedName>
    <definedName name="_____________________GBS218" localSheetId="0">#REF!</definedName>
    <definedName name="_____________________GBS218">#REF!</definedName>
    <definedName name="_____________________GBS219" localSheetId="11">NA()</definedName>
    <definedName name="_____________________GBS219" localSheetId="12">NA()</definedName>
    <definedName name="_____________________GBS219" localSheetId="0">#REF!</definedName>
    <definedName name="_____________________GBS219">#REF!</definedName>
    <definedName name="_____________________GBS22" localSheetId="11">NA()</definedName>
    <definedName name="_____________________GBS22" localSheetId="12">NA()</definedName>
    <definedName name="_____________________GBS22" localSheetId="0">#REF!</definedName>
    <definedName name="_____________________GBS22">#REF!</definedName>
    <definedName name="_____________________GBS220" localSheetId="11">NA()</definedName>
    <definedName name="_____________________GBS220" localSheetId="12">NA()</definedName>
    <definedName name="_____________________GBS220" localSheetId="0">#REF!</definedName>
    <definedName name="_____________________GBS220">#REF!</definedName>
    <definedName name="_____________________GBS221" localSheetId="11">NA()</definedName>
    <definedName name="_____________________GBS221" localSheetId="12">NA()</definedName>
    <definedName name="_____________________GBS221" localSheetId="0">#REF!</definedName>
    <definedName name="_____________________GBS221">#REF!</definedName>
    <definedName name="_____________________GBS222" localSheetId="11">NA()</definedName>
    <definedName name="_____________________GBS222" localSheetId="12">NA()</definedName>
    <definedName name="_____________________GBS222" localSheetId="0">#REF!</definedName>
    <definedName name="_____________________GBS222">#REF!</definedName>
    <definedName name="_____________________GBS223" localSheetId="11">NA()</definedName>
    <definedName name="_____________________GBS223" localSheetId="12">NA()</definedName>
    <definedName name="_____________________GBS223" localSheetId="0">#REF!</definedName>
    <definedName name="_____________________GBS223">#REF!</definedName>
    <definedName name="_____________________GBS224" localSheetId="11">NA()</definedName>
    <definedName name="_____________________GBS224" localSheetId="12">NA()</definedName>
    <definedName name="_____________________GBS224" localSheetId="0">#REF!</definedName>
    <definedName name="_____________________GBS224">#REF!</definedName>
    <definedName name="_____________________GBS23" localSheetId="11">NA()</definedName>
    <definedName name="_____________________GBS23" localSheetId="12">NA()</definedName>
    <definedName name="_____________________GBS23" localSheetId="0">#REF!</definedName>
    <definedName name="_____________________GBS23">#REF!</definedName>
    <definedName name="_____________________GBS24" localSheetId="11">NA()</definedName>
    <definedName name="_____________________GBS24" localSheetId="12">NA()</definedName>
    <definedName name="_____________________GBS24" localSheetId="0">#REF!</definedName>
    <definedName name="_____________________GBS24">#REF!</definedName>
    <definedName name="_____________________GBS25" localSheetId="11">NA()</definedName>
    <definedName name="_____________________GBS25" localSheetId="12">NA()</definedName>
    <definedName name="_____________________GBS25" localSheetId="0">#REF!</definedName>
    <definedName name="_____________________GBS25">#REF!</definedName>
    <definedName name="_____________________GBS26" localSheetId="11">NA()</definedName>
    <definedName name="_____________________GBS26" localSheetId="12">NA()</definedName>
    <definedName name="_____________________GBS26" localSheetId="0">#REF!</definedName>
    <definedName name="_____________________GBS26">#REF!</definedName>
    <definedName name="_____________________GBS27" localSheetId="11">NA()</definedName>
    <definedName name="_____________________GBS27" localSheetId="12">NA()</definedName>
    <definedName name="_____________________GBS27" localSheetId="0">#REF!</definedName>
    <definedName name="_____________________GBS27">#REF!</definedName>
    <definedName name="_____________________GBS28" localSheetId="11">NA()</definedName>
    <definedName name="_____________________GBS28" localSheetId="12">NA()</definedName>
    <definedName name="_____________________GBS28" localSheetId="0">#REF!</definedName>
    <definedName name="_____________________GBS28">#REF!</definedName>
    <definedName name="_____________________GBS29" localSheetId="11">NA()</definedName>
    <definedName name="_____________________GBS29" localSheetId="12">NA()</definedName>
    <definedName name="_____________________GBS29" localSheetId="0">#REF!</definedName>
    <definedName name="_____________________GBS29">#REF!</definedName>
    <definedName name="_____________________imp1">[11]DATA_PRG!$H$245</definedName>
    <definedName name="_____________________knr2">NA()</definedName>
    <definedName name="_____________________l1">[3]leads!$A$3:$E$108</definedName>
    <definedName name="_____________________l12" localSheetId="11">NA()</definedName>
    <definedName name="_____________________l12" localSheetId="12">NA()</definedName>
    <definedName name="_____________________l12" localSheetId="0">#REF!</definedName>
    <definedName name="_____________________l12">#REF!</definedName>
    <definedName name="_____________________l2">[2]r!$F$29</definedName>
    <definedName name="_____________________l3" localSheetId="11">NA()</definedName>
    <definedName name="_____________________l3" localSheetId="12">NA()</definedName>
    <definedName name="_____________________l3" localSheetId="0">#REF!</definedName>
    <definedName name="_____________________l3">#REF!</definedName>
    <definedName name="_____________________l4">[4]Sheet1!$W$2:$Y$103</definedName>
    <definedName name="_____________________l5" localSheetId="11">NA()</definedName>
    <definedName name="_____________________l5" localSheetId="12">NA()</definedName>
    <definedName name="_____________________l5" localSheetId="0">#REF!</definedName>
    <definedName name="_____________________l5">#REF!</definedName>
    <definedName name="_____________________l6">[2]r!$F$4</definedName>
    <definedName name="_____________________l7">[5]r!$F$4</definedName>
    <definedName name="_____________________l8">[2]r!$F$2</definedName>
    <definedName name="_____________________l9">[2]r!$F$3</definedName>
    <definedName name="_____________________LJ6">[14]DATA!$H$245</definedName>
    <definedName name="_____________________lj600" localSheetId="11">NA()</definedName>
    <definedName name="_____________________lj600" localSheetId="12">NA()</definedName>
    <definedName name="_____________________lj600" localSheetId="0">#REF!</definedName>
    <definedName name="_____________________lj600">#REF!</definedName>
    <definedName name="_____________________lj900" localSheetId="11">NA()</definedName>
    <definedName name="_____________________lj900" localSheetId="12">NA()</definedName>
    <definedName name="_____________________lj900" localSheetId="0">#REF!</definedName>
    <definedName name="_____________________lj900">#REF!</definedName>
    <definedName name="_____________________LL3" localSheetId="11">NA()</definedName>
    <definedName name="_____________________LL3" localSheetId="12">NA()</definedName>
    <definedName name="_____________________LL3" localSheetId="0">#REF!</definedName>
    <definedName name="_____________________LL3">#REF!</definedName>
    <definedName name="_____________________LSO24" localSheetId="11">"[14]lead!#ref!"</definedName>
    <definedName name="_____________________LSO24" localSheetId="12">"[14]lead!#ref!"</definedName>
    <definedName name="_____________________LSO24" localSheetId="0">[10]Lead!#REF!</definedName>
    <definedName name="_____________________LSO24">[10]Lead!#REF!</definedName>
    <definedName name="_____________________MA1" localSheetId="11">NA()</definedName>
    <definedName name="_____________________MA1" localSheetId="12">NA()</definedName>
    <definedName name="_____________________MA1" localSheetId="0">#REF!</definedName>
    <definedName name="_____________________MA1">#REF!</definedName>
    <definedName name="_____________________MA2" localSheetId="11">NA()</definedName>
    <definedName name="_____________________MA2" localSheetId="12">NA()</definedName>
    <definedName name="_____________________MA2" localSheetId="0">#REF!</definedName>
    <definedName name="_____________________MA2">#REF!</definedName>
    <definedName name="_____________________Met22" localSheetId="11">NA()</definedName>
    <definedName name="_____________________Met22" localSheetId="12">NA()</definedName>
    <definedName name="_____________________Met22" localSheetId="0">#REF!</definedName>
    <definedName name="_____________________Met22">#REF!</definedName>
    <definedName name="_____________________Met45" localSheetId="11">NA()</definedName>
    <definedName name="_____________________Met45" localSheetId="12">NA()</definedName>
    <definedName name="_____________________Met45" localSheetId="0">#REF!</definedName>
    <definedName name="_____________________Met45">#REF!</definedName>
    <definedName name="_____________________MEt55" localSheetId="11">NA()</definedName>
    <definedName name="_____________________MEt55" localSheetId="12">NA()</definedName>
    <definedName name="_____________________MEt55" localSheetId="0">#REF!</definedName>
    <definedName name="_____________________MEt55">#REF!</definedName>
    <definedName name="_____________________Met63" localSheetId="11">NA()</definedName>
    <definedName name="_____________________Met63" localSheetId="12">NA()</definedName>
    <definedName name="_____________________Met63" localSheetId="0">#REF!</definedName>
    <definedName name="_____________________Met63">#REF!</definedName>
    <definedName name="_____________________ML21" localSheetId="11">NA()</definedName>
    <definedName name="_____________________ML21" localSheetId="12">NA()</definedName>
    <definedName name="_____________________ML21" localSheetId="0">#REF!</definedName>
    <definedName name="_____________________ML21">#REF!</definedName>
    <definedName name="_____________________ML210" localSheetId="11">NA()</definedName>
    <definedName name="_____________________ML210" localSheetId="12">NA()</definedName>
    <definedName name="_____________________ML210" localSheetId="0">#REF!</definedName>
    <definedName name="_____________________ML210">#REF!</definedName>
    <definedName name="_____________________ML211" localSheetId="11">NA()</definedName>
    <definedName name="_____________________ML211" localSheetId="12">NA()</definedName>
    <definedName name="_____________________ML211" localSheetId="0">#REF!</definedName>
    <definedName name="_____________________ML211">#REF!</definedName>
    <definedName name="_____________________ML212" localSheetId="11">NA()</definedName>
    <definedName name="_____________________ML212" localSheetId="12">NA()</definedName>
    <definedName name="_____________________ML212" localSheetId="0">#REF!</definedName>
    <definedName name="_____________________ML212">#REF!</definedName>
    <definedName name="_____________________ML213" localSheetId="11">NA()</definedName>
    <definedName name="_____________________ML213" localSheetId="12">NA()</definedName>
    <definedName name="_____________________ML213" localSheetId="0">#REF!</definedName>
    <definedName name="_____________________ML213">#REF!</definedName>
    <definedName name="_____________________ML214" localSheetId="11">NA()</definedName>
    <definedName name="_____________________ML214" localSheetId="12">NA()</definedName>
    <definedName name="_____________________ML214" localSheetId="0">#REF!</definedName>
    <definedName name="_____________________ML214">#REF!</definedName>
    <definedName name="_____________________ML215" localSheetId="11">NA()</definedName>
    <definedName name="_____________________ML215" localSheetId="12">NA()</definedName>
    <definedName name="_____________________ML215" localSheetId="0">#REF!</definedName>
    <definedName name="_____________________ML215">#REF!</definedName>
    <definedName name="_____________________ML216" localSheetId="11">NA()</definedName>
    <definedName name="_____________________ML216" localSheetId="12">NA()</definedName>
    <definedName name="_____________________ML216" localSheetId="0">#REF!</definedName>
    <definedName name="_____________________ML216">#REF!</definedName>
    <definedName name="_____________________ML217" localSheetId="11">NA()</definedName>
    <definedName name="_____________________ML217" localSheetId="12">NA()</definedName>
    <definedName name="_____________________ML217" localSheetId="0">#REF!</definedName>
    <definedName name="_____________________ML217">#REF!</definedName>
    <definedName name="_____________________ML218" localSheetId="11">NA()</definedName>
    <definedName name="_____________________ML218" localSheetId="12">NA()</definedName>
    <definedName name="_____________________ML218" localSheetId="0">#REF!</definedName>
    <definedName name="_____________________ML218">#REF!</definedName>
    <definedName name="_____________________ML219" localSheetId="11">NA()</definedName>
    <definedName name="_____________________ML219" localSheetId="12">NA()</definedName>
    <definedName name="_____________________ML219" localSheetId="0">#REF!</definedName>
    <definedName name="_____________________ML219">#REF!</definedName>
    <definedName name="_____________________ML22" localSheetId="11">NA()</definedName>
    <definedName name="_____________________ML22" localSheetId="12">NA()</definedName>
    <definedName name="_____________________ML22" localSheetId="0">#REF!</definedName>
    <definedName name="_____________________ML22">#REF!</definedName>
    <definedName name="_____________________ML220" localSheetId="11">NA()</definedName>
    <definedName name="_____________________ML220" localSheetId="12">NA()</definedName>
    <definedName name="_____________________ML220" localSheetId="0">#REF!</definedName>
    <definedName name="_____________________ML220">#REF!</definedName>
    <definedName name="_____________________ML221" localSheetId="11">NA()</definedName>
    <definedName name="_____________________ML221" localSheetId="12">NA()</definedName>
    <definedName name="_____________________ML221" localSheetId="0">#REF!</definedName>
    <definedName name="_____________________ML221">#REF!</definedName>
    <definedName name="_____________________ML222" localSheetId="11">NA()</definedName>
    <definedName name="_____________________ML222" localSheetId="12">NA()</definedName>
    <definedName name="_____________________ML222" localSheetId="0">#REF!</definedName>
    <definedName name="_____________________ML222">#REF!</definedName>
    <definedName name="_____________________ML223" localSheetId="11">NA()</definedName>
    <definedName name="_____________________ML223" localSheetId="12">NA()</definedName>
    <definedName name="_____________________ML223" localSheetId="0">#REF!</definedName>
    <definedName name="_____________________ML223">#REF!</definedName>
    <definedName name="_____________________ML224" localSheetId="11">NA()</definedName>
    <definedName name="_____________________ML224" localSheetId="12">NA()</definedName>
    <definedName name="_____________________ML224" localSheetId="0">#REF!</definedName>
    <definedName name="_____________________ML224">#REF!</definedName>
    <definedName name="_____________________ML23" localSheetId="11">NA()</definedName>
    <definedName name="_____________________ML23" localSheetId="12">NA()</definedName>
    <definedName name="_____________________ML23" localSheetId="0">#REF!</definedName>
    <definedName name="_____________________ML23">#REF!</definedName>
    <definedName name="_____________________ML24" localSheetId="11">NA()</definedName>
    <definedName name="_____________________ML24" localSheetId="12">NA()</definedName>
    <definedName name="_____________________ML24" localSheetId="0">#REF!</definedName>
    <definedName name="_____________________ML24">#REF!</definedName>
    <definedName name="_____________________ML25" localSheetId="11">NA()</definedName>
    <definedName name="_____________________ML25" localSheetId="12">NA()</definedName>
    <definedName name="_____________________ML25" localSheetId="0">#REF!</definedName>
    <definedName name="_____________________ML25">#REF!</definedName>
    <definedName name="_____________________ML26" localSheetId="11">NA()</definedName>
    <definedName name="_____________________ML26" localSheetId="12">NA()</definedName>
    <definedName name="_____________________ML26" localSheetId="0">#REF!</definedName>
    <definedName name="_____________________ML26">#REF!</definedName>
    <definedName name="_____________________ML27" localSheetId="11">NA()</definedName>
    <definedName name="_____________________ML27" localSheetId="12">NA()</definedName>
    <definedName name="_____________________ML27" localSheetId="0">#REF!</definedName>
    <definedName name="_____________________ML27">#REF!</definedName>
    <definedName name="_____________________ML28" localSheetId="11">NA()</definedName>
    <definedName name="_____________________ML28" localSheetId="12">NA()</definedName>
    <definedName name="_____________________ML28" localSheetId="0">#REF!</definedName>
    <definedName name="_____________________ML28">#REF!</definedName>
    <definedName name="_____________________ML29" localSheetId="11">NA()</definedName>
    <definedName name="_____________________ML29" localSheetId="12">NA()</definedName>
    <definedName name="_____________________ML29" localSheetId="0">#REF!</definedName>
    <definedName name="_____________________ML29">#REF!</definedName>
    <definedName name="_____________________ML31" localSheetId="11">NA()</definedName>
    <definedName name="_____________________ML31" localSheetId="12">NA()</definedName>
    <definedName name="_____________________ML31" localSheetId="0">#REF!</definedName>
    <definedName name="_____________________ML31">#REF!</definedName>
    <definedName name="_____________________ML310" localSheetId="11">NA()</definedName>
    <definedName name="_____________________ML310" localSheetId="12">NA()</definedName>
    <definedName name="_____________________ML310" localSheetId="0">#REF!</definedName>
    <definedName name="_____________________ML310">#REF!</definedName>
    <definedName name="_____________________ML311" localSheetId="11">NA()</definedName>
    <definedName name="_____________________ML311" localSheetId="12">NA()</definedName>
    <definedName name="_____________________ML311" localSheetId="0">#REF!</definedName>
    <definedName name="_____________________ML311">#REF!</definedName>
    <definedName name="_____________________ML312" localSheetId="11">NA()</definedName>
    <definedName name="_____________________ML312" localSheetId="12">NA()</definedName>
    <definedName name="_____________________ML312" localSheetId="0">#REF!</definedName>
    <definedName name="_____________________ML312">#REF!</definedName>
    <definedName name="_____________________ML313" localSheetId="11">NA()</definedName>
    <definedName name="_____________________ML313" localSheetId="12">NA()</definedName>
    <definedName name="_____________________ML313" localSheetId="0">#REF!</definedName>
    <definedName name="_____________________ML313">#REF!</definedName>
    <definedName name="_____________________ML314" localSheetId="11">NA()</definedName>
    <definedName name="_____________________ML314" localSheetId="12">NA()</definedName>
    <definedName name="_____________________ML314" localSheetId="0">#REF!</definedName>
    <definedName name="_____________________ML314">#REF!</definedName>
    <definedName name="_____________________ML315" localSheetId="11">NA()</definedName>
    <definedName name="_____________________ML315" localSheetId="12">NA()</definedName>
    <definedName name="_____________________ML315" localSheetId="0">#REF!</definedName>
    <definedName name="_____________________ML315">#REF!</definedName>
    <definedName name="_____________________ML316" localSheetId="11">NA()</definedName>
    <definedName name="_____________________ML316" localSheetId="12">NA()</definedName>
    <definedName name="_____________________ML316" localSheetId="0">#REF!</definedName>
    <definedName name="_____________________ML316">#REF!</definedName>
    <definedName name="_____________________ML317" localSheetId="11">NA()</definedName>
    <definedName name="_____________________ML317" localSheetId="12">NA()</definedName>
    <definedName name="_____________________ML317" localSheetId="0">#REF!</definedName>
    <definedName name="_____________________ML317">#REF!</definedName>
    <definedName name="_____________________ML318" localSheetId="11">NA()</definedName>
    <definedName name="_____________________ML318" localSheetId="12">NA()</definedName>
    <definedName name="_____________________ML318" localSheetId="0">#REF!</definedName>
    <definedName name="_____________________ML318">#REF!</definedName>
    <definedName name="_____________________ML319" localSheetId="11">NA()</definedName>
    <definedName name="_____________________ML319" localSheetId="12">NA()</definedName>
    <definedName name="_____________________ML319" localSheetId="0">#REF!</definedName>
    <definedName name="_____________________ML319">#REF!</definedName>
    <definedName name="_____________________ML32" localSheetId="11">NA()</definedName>
    <definedName name="_____________________ML32" localSheetId="12">NA()</definedName>
    <definedName name="_____________________ML32" localSheetId="0">#REF!</definedName>
    <definedName name="_____________________ML32">#REF!</definedName>
    <definedName name="_____________________ML320" localSheetId="11">NA()</definedName>
    <definedName name="_____________________ML320" localSheetId="12">NA()</definedName>
    <definedName name="_____________________ML320" localSheetId="0">#REF!</definedName>
    <definedName name="_____________________ML320">#REF!</definedName>
    <definedName name="_____________________ML321" localSheetId="11">NA()</definedName>
    <definedName name="_____________________ML321" localSheetId="12">NA()</definedName>
    <definedName name="_____________________ML321" localSheetId="0">#REF!</definedName>
    <definedName name="_____________________ML321">#REF!</definedName>
    <definedName name="_____________________ML322" localSheetId="11">NA()</definedName>
    <definedName name="_____________________ML322" localSheetId="12">NA()</definedName>
    <definedName name="_____________________ML322" localSheetId="0">#REF!</definedName>
    <definedName name="_____________________ML322">#REF!</definedName>
    <definedName name="_____________________ML323" localSheetId="11">NA()</definedName>
    <definedName name="_____________________ML323" localSheetId="12">NA()</definedName>
    <definedName name="_____________________ML323" localSheetId="0">#REF!</definedName>
    <definedName name="_____________________ML323">#REF!</definedName>
    <definedName name="_____________________ML324" localSheetId="11">NA()</definedName>
    <definedName name="_____________________ML324" localSheetId="12">NA()</definedName>
    <definedName name="_____________________ML324" localSheetId="0">#REF!</definedName>
    <definedName name="_____________________ML324">#REF!</definedName>
    <definedName name="_____________________ML33" localSheetId="11">NA()</definedName>
    <definedName name="_____________________ML33" localSheetId="12">NA()</definedName>
    <definedName name="_____________________ML33" localSheetId="0">#REF!</definedName>
    <definedName name="_____________________ML33">#REF!</definedName>
    <definedName name="_____________________ML34" localSheetId="11">NA()</definedName>
    <definedName name="_____________________ML34" localSheetId="12">NA()</definedName>
    <definedName name="_____________________ML34" localSheetId="0">#REF!</definedName>
    <definedName name="_____________________ML34">#REF!</definedName>
    <definedName name="_____________________ML35" localSheetId="11">NA()</definedName>
    <definedName name="_____________________ML35" localSheetId="12">NA()</definedName>
    <definedName name="_____________________ML35" localSheetId="0">#REF!</definedName>
    <definedName name="_____________________ML35">#REF!</definedName>
    <definedName name="_____________________ML36" localSheetId="11">NA()</definedName>
    <definedName name="_____________________ML36" localSheetId="12">NA()</definedName>
    <definedName name="_____________________ML36" localSheetId="0">#REF!</definedName>
    <definedName name="_____________________ML36">#REF!</definedName>
    <definedName name="_____________________ML37" localSheetId="11">NA()</definedName>
    <definedName name="_____________________ML37" localSheetId="12">NA()</definedName>
    <definedName name="_____________________ML37" localSheetId="0">#REF!</definedName>
    <definedName name="_____________________ML37">#REF!</definedName>
    <definedName name="_____________________ML38" localSheetId="11">NA()</definedName>
    <definedName name="_____________________ML38" localSheetId="12">NA()</definedName>
    <definedName name="_____________________ML38" localSheetId="0">#REF!</definedName>
    <definedName name="_____________________ML38">#REF!</definedName>
    <definedName name="_____________________ML39" localSheetId="11">NA()</definedName>
    <definedName name="_____________________ML39" localSheetId="12">NA()</definedName>
    <definedName name="_____________________ML39" localSheetId="0">#REF!</definedName>
    <definedName name="_____________________ML39">#REF!</definedName>
    <definedName name="_____________________ML7" localSheetId="11">NA()</definedName>
    <definedName name="_____________________ML7" localSheetId="12">NA()</definedName>
    <definedName name="_____________________ML7" localSheetId="0">#REF!</definedName>
    <definedName name="_____________________ML7">#REF!</definedName>
    <definedName name="_____________________ML8" localSheetId="11">NA()</definedName>
    <definedName name="_____________________ML8" localSheetId="12">NA()</definedName>
    <definedName name="_____________________ML8" localSheetId="0">#REF!</definedName>
    <definedName name="_____________________ML8">#REF!</definedName>
    <definedName name="_____________________ML9" localSheetId="11">NA()</definedName>
    <definedName name="_____________________ML9" localSheetId="12">NA()</definedName>
    <definedName name="_____________________ML9" localSheetId="0">#REF!</definedName>
    <definedName name="_____________________ML9">#REF!</definedName>
    <definedName name="_____________________mm1">[6]r!$F$4</definedName>
    <definedName name="_____________________mm1000" localSheetId="11">NA()</definedName>
    <definedName name="_____________________mm1000" localSheetId="12">NA()</definedName>
    <definedName name="_____________________mm1000" localSheetId="0">#REF!</definedName>
    <definedName name="_____________________mm1000">#REF!</definedName>
    <definedName name="_____________________mm11">[2]r!$F$4</definedName>
    <definedName name="_____________________mm111">[5]r!$F$4</definedName>
    <definedName name="_____________________mm600" localSheetId="11">NA()</definedName>
    <definedName name="_____________________mm600" localSheetId="12">NA()</definedName>
    <definedName name="_____________________mm600" localSheetId="0">#REF!</definedName>
    <definedName name="_____________________mm600">#REF!</definedName>
    <definedName name="_____________________mm800" localSheetId="11">NA()</definedName>
    <definedName name="_____________________mm800" localSheetId="12">NA()</definedName>
    <definedName name="_____________________mm800" localSheetId="0">#REF!</definedName>
    <definedName name="_____________________mm800">#REF!</definedName>
    <definedName name="_____________________PC1" localSheetId="11">NA()</definedName>
    <definedName name="_____________________PC1" localSheetId="12">NA()</definedName>
    <definedName name="_____________________PC1" localSheetId="0">#REF!</definedName>
    <definedName name="_____________________PC1">#REF!</definedName>
    <definedName name="_____________________PC10" localSheetId="11">NA()</definedName>
    <definedName name="_____________________PC10" localSheetId="12">NA()</definedName>
    <definedName name="_____________________PC10" localSheetId="0">#REF!</definedName>
    <definedName name="_____________________PC10">#REF!</definedName>
    <definedName name="_____________________PC11" localSheetId="11">NA()</definedName>
    <definedName name="_____________________PC11" localSheetId="12">NA()</definedName>
    <definedName name="_____________________PC11" localSheetId="0">#REF!</definedName>
    <definedName name="_____________________PC11">#REF!</definedName>
    <definedName name="_____________________PC12" localSheetId="11">NA()</definedName>
    <definedName name="_____________________PC12" localSheetId="12">NA()</definedName>
    <definedName name="_____________________PC12" localSheetId="0">#REF!</definedName>
    <definedName name="_____________________PC12">#REF!</definedName>
    <definedName name="_____________________PC13" localSheetId="11">NA()</definedName>
    <definedName name="_____________________PC13" localSheetId="12">NA()</definedName>
    <definedName name="_____________________PC13" localSheetId="0">#REF!</definedName>
    <definedName name="_____________________PC13">#REF!</definedName>
    <definedName name="_____________________PC14" localSheetId="11">NA()</definedName>
    <definedName name="_____________________PC14" localSheetId="12">NA()</definedName>
    <definedName name="_____________________PC14" localSheetId="0">#REF!</definedName>
    <definedName name="_____________________PC14">#REF!</definedName>
    <definedName name="_____________________PC15" localSheetId="11">NA()</definedName>
    <definedName name="_____________________PC15" localSheetId="12">NA()</definedName>
    <definedName name="_____________________PC15" localSheetId="0">#REF!</definedName>
    <definedName name="_____________________PC15">#REF!</definedName>
    <definedName name="_____________________PC16" localSheetId="11">NA()</definedName>
    <definedName name="_____________________PC16" localSheetId="12">NA()</definedName>
    <definedName name="_____________________PC16" localSheetId="0">#REF!</definedName>
    <definedName name="_____________________PC16">#REF!</definedName>
    <definedName name="_____________________PC17" localSheetId="11">NA()</definedName>
    <definedName name="_____________________PC17" localSheetId="12">NA()</definedName>
    <definedName name="_____________________PC17" localSheetId="0">#REF!</definedName>
    <definedName name="_____________________PC17">#REF!</definedName>
    <definedName name="_____________________PC18" localSheetId="11">NA()</definedName>
    <definedName name="_____________________PC18" localSheetId="12">NA()</definedName>
    <definedName name="_____________________PC18" localSheetId="0">#REF!</definedName>
    <definedName name="_____________________PC18">#REF!</definedName>
    <definedName name="_____________________PC19" localSheetId="11">NA()</definedName>
    <definedName name="_____________________PC19" localSheetId="12">NA()</definedName>
    <definedName name="_____________________PC19" localSheetId="0">#REF!</definedName>
    <definedName name="_____________________PC19">#REF!</definedName>
    <definedName name="_____________________pc2" localSheetId="11">NA()</definedName>
    <definedName name="_____________________pc2" localSheetId="12">NA()</definedName>
    <definedName name="_____________________pc2" localSheetId="0">#REF!</definedName>
    <definedName name="_____________________pc2">#REF!</definedName>
    <definedName name="_____________________PC20">NA()</definedName>
    <definedName name="_____________________PC21" localSheetId="11">NA()</definedName>
    <definedName name="_____________________PC21" localSheetId="12">NA()</definedName>
    <definedName name="_____________________PC21" localSheetId="0">#REF!</definedName>
    <definedName name="_____________________PC21">#REF!</definedName>
    <definedName name="_____________________PC22" localSheetId="11">NA()</definedName>
    <definedName name="_____________________PC22" localSheetId="12">NA()</definedName>
    <definedName name="_____________________PC22" localSheetId="0">#REF!</definedName>
    <definedName name="_____________________PC22">#REF!</definedName>
    <definedName name="_____________________PC23" localSheetId="11">NA()</definedName>
    <definedName name="_____________________PC23" localSheetId="12">NA()</definedName>
    <definedName name="_____________________PC23" localSheetId="0">#REF!</definedName>
    <definedName name="_____________________PC23">#REF!</definedName>
    <definedName name="_____________________PC24" localSheetId="11">NA()</definedName>
    <definedName name="_____________________PC24" localSheetId="12">NA()</definedName>
    <definedName name="_____________________PC24" localSheetId="0">#REF!</definedName>
    <definedName name="_____________________PC24">#REF!</definedName>
    <definedName name="_____________________PC3" localSheetId="11">NA()</definedName>
    <definedName name="_____________________PC3" localSheetId="12">NA()</definedName>
    <definedName name="_____________________PC3" localSheetId="0">#REF!</definedName>
    <definedName name="_____________________PC3">#REF!</definedName>
    <definedName name="_____________________PC4" localSheetId="11">NA()</definedName>
    <definedName name="_____________________PC4" localSheetId="12">NA()</definedName>
    <definedName name="_____________________PC4" localSheetId="0">#REF!</definedName>
    <definedName name="_____________________PC4">#REF!</definedName>
    <definedName name="_____________________PC5" localSheetId="11">NA()</definedName>
    <definedName name="_____________________PC5" localSheetId="12">NA()</definedName>
    <definedName name="_____________________PC5" localSheetId="0">#REF!</definedName>
    <definedName name="_____________________PC5">#REF!</definedName>
    <definedName name="_____________________PC6" localSheetId="11">NA()</definedName>
    <definedName name="_____________________PC6" localSheetId="12">NA()</definedName>
    <definedName name="_____________________PC6" localSheetId="0">#REF!</definedName>
    <definedName name="_____________________PC6">#REF!</definedName>
    <definedName name="_____________________pc600" localSheetId="11">NA()</definedName>
    <definedName name="_____________________pc600" localSheetId="12">NA()</definedName>
    <definedName name="_____________________pc600" localSheetId="0">#REF!</definedName>
    <definedName name="_____________________pc600">#REF!</definedName>
    <definedName name="_____________________PC7" localSheetId="11">NA()</definedName>
    <definedName name="_____________________PC7" localSheetId="12">NA()</definedName>
    <definedName name="_____________________PC7" localSheetId="0">#REF!</definedName>
    <definedName name="_____________________PC7">#REF!</definedName>
    <definedName name="_____________________PC8" localSheetId="11">NA()</definedName>
    <definedName name="_____________________PC8" localSheetId="12">NA()</definedName>
    <definedName name="_____________________PC8" localSheetId="0">#REF!</definedName>
    <definedName name="_____________________PC8">#REF!</definedName>
    <definedName name="_____________________PC9" localSheetId="11">NA()</definedName>
    <definedName name="_____________________PC9" localSheetId="12">NA()</definedName>
    <definedName name="_____________________PC9" localSheetId="0">#REF!</definedName>
    <definedName name="_____________________PC9">#REF!</definedName>
    <definedName name="_____________________pc900" localSheetId="11">NA()</definedName>
    <definedName name="_____________________pc900" localSheetId="12">NA()</definedName>
    <definedName name="_____________________pc900" localSheetId="0">#REF!</definedName>
    <definedName name="_____________________pc900">#REF!</definedName>
    <definedName name="_____________________pla4">[12]DATA_PRG!$H$269</definedName>
    <definedName name="_____________________pv2" localSheetId="11">NA()</definedName>
    <definedName name="_____________________pv2" localSheetId="12">NA()</definedName>
    <definedName name="_____________________pv2" localSheetId="0">#REF!</definedName>
    <definedName name="_____________________pv2">#REF!</definedName>
    <definedName name="_____________________rr3">[7]v!$A$2:$E$51</definedName>
    <definedName name="_____________________rrr1">[7]r!$B$1:$I$145</definedName>
    <definedName name="_____________________SP10">[13]Sheet1!$C$18</definedName>
    <definedName name="_____________________SP16">[13]Sheet1!$C$24</definedName>
    <definedName name="_____________________SP7">[13]Sheet1!$C$15</definedName>
    <definedName name="_____________________ss12">[8]rdamdata!$J$8</definedName>
    <definedName name="_____________________ss20">[8]rdamdata!$J$7</definedName>
    <definedName name="_____________________ss40">[8]rdamdata!$J$6</definedName>
    <definedName name="_____________________var1" localSheetId="11">NA()</definedName>
    <definedName name="_____________________var1" localSheetId="12">NA()</definedName>
    <definedName name="_____________________var1" localSheetId="0">#REF!</definedName>
    <definedName name="_____________________var1">#REF!</definedName>
    <definedName name="_____________________var4" localSheetId="11">NA()</definedName>
    <definedName name="_____________________var4" localSheetId="12">NA()</definedName>
    <definedName name="_____________________var4" localSheetId="0">#REF!</definedName>
    <definedName name="_____________________var4">#REF!</definedName>
    <definedName name="_____________________vat1">NA()</definedName>
    <definedName name="____________________bla1">[1]leads!$H$7</definedName>
    <definedName name="____________________BSG100" localSheetId="11">NA()</definedName>
    <definedName name="____________________BSG100" localSheetId="12">NA()</definedName>
    <definedName name="____________________BSG100" localSheetId="0">#REF!</definedName>
    <definedName name="____________________BSG100">#REF!</definedName>
    <definedName name="____________________BSG150" localSheetId="11">NA()</definedName>
    <definedName name="____________________BSG150" localSheetId="12">NA()</definedName>
    <definedName name="____________________BSG150" localSheetId="0">#REF!</definedName>
    <definedName name="____________________BSG150">#REF!</definedName>
    <definedName name="____________________BSG5" localSheetId="11">NA()</definedName>
    <definedName name="____________________BSG5" localSheetId="12">NA()</definedName>
    <definedName name="____________________BSG5" localSheetId="0">#REF!</definedName>
    <definedName name="____________________BSG5">#REF!</definedName>
    <definedName name="____________________BSG75" localSheetId="11">NA()</definedName>
    <definedName name="____________________BSG75" localSheetId="12">NA()</definedName>
    <definedName name="____________________BSG75" localSheetId="0">#REF!</definedName>
    <definedName name="____________________BSG75">#REF!</definedName>
    <definedName name="____________________BTC1" localSheetId="11">NA()</definedName>
    <definedName name="____________________BTC1" localSheetId="12">NA()</definedName>
    <definedName name="____________________BTC1" localSheetId="0">#REF!</definedName>
    <definedName name="____________________BTC1">#REF!</definedName>
    <definedName name="____________________BTC10" localSheetId="11">NA()</definedName>
    <definedName name="____________________BTC10" localSheetId="12">NA()</definedName>
    <definedName name="____________________BTC10" localSheetId="0">#REF!</definedName>
    <definedName name="____________________BTC10">#REF!</definedName>
    <definedName name="____________________BTC11" localSheetId="11">NA()</definedName>
    <definedName name="____________________BTC11" localSheetId="12">NA()</definedName>
    <definedName name="____________________BTC11" localSheetId="0">#REF!</definedName>
    <definedName name="____________________BTC11">#REF!</definedName>
    <definedName name="____________________BTC12" localSheetId="11">NA()</definedName>
    <definedName name="____________________BTC12" localSheetId="12">NA()</definedName>
    <definedName name="____________________BTC12" localSheetId="0">#REF!</definedName>
    <definedName name="____________________BTC12">#REF!</definedName>
    <definedName name="____________________BTC13" localSheetId="11">NA()</definedName>
    <definedName name="____________________BTC13" localSheetId="12">NA()</definedName>
    <definedName name="____________________BTC13" localSheetId="0">#REF!</definedName>
    <definedName name="____________________BTC13">#REF!</definedName>
    <definedName name="____________________BTC14" localSheetId="11">NA()</definedName>
    <definedName name="____________________BTC14" localSheetId="12">NA()</definedName>
    <definedName name="____________________BTC14" localSheetId="0">#REF!</definedName>
    <definedName name="____________________BTC14">#REF!</definedName>
    <definedName name="____________________BTC15" localSheetId="11">NA()</definedName>
    <definedName name="____________________BTC15" localSheetId="12">NA()</definedName>
    <definedName name="____________________BTC15" localSheetId="0">#REF!</definedName>
    <definedName name="____________________BTC15">#REF!</definedName>
    <definedName name="____________________BTC16" localSheetId="11">NA()</definedName>
    <definedName name="____________________BTC16" localSheetId="12">NA()</definedName>
    <definedName name="____________________BTC16" localSheetId="0">#REF!</definedName>
    <definedName name="____________________BTC16">#REF!</definedName>
    <definedName name="____________________BTC17" localSheetId="11">NA()</definedName>
    <definedName name="____________________BTC17" localSheetId="12">NA()</definedName>
    <definedName name="____________________BTC17" localSheetId="0">#REF!</definedName>
    <definedName name="____________________BTC17">#REF!</definedName>
    <definedName name="____________________BTC18" localSheetId="11">NA()</definedName>
    <definedName name="____________________BTC18" localSheetId="12">NA()</definedName>
    <definedName name="____________________BTC18" localSheetId="0">#REF!</definedName>
    <definedName name="____________________BTC18">#REF!</definedName>
    <definedName name="____________________BTC19" localSheetId="11">NA()</definedName>
    <definedName name="____________________BTC19" localSheetId="12">NA()</definedName>
    <definedName name="____________________BTC19" localSheetId="0">#REF!</definedName>
    <definedName name="____________________BTC19">#REF!</definedName>
    <definedName name="____________________BTC2" localSheetId="11">NA()</definedName>
    <definedName name="____________________BTC2" localSheetId="12">NA()</definedName>
    <definedName name="____________________BTC2" localSheetId="0">#REF!</definedName>
    <definedName name="____________________BTC2">#REF!</definedName>
    <definedName name="____________________BTC20" localSheetId="11">NA()</definedName>
    <definedName name="____________________BTC20" localSheetId="12">NA()</definedName>
    <definedName name="____________________BTC20" localSheetId="0">#REF!</definedName>
    <definedName name="____________________BTC20">#REF!</definedName>
    <definedName name="____________________BTC21" localSheetId="11">NA()</definedName>
    <definedName name="____________________BTC21" localSheetId="12">NA()</definedName>
    <definedName name="____________________BTC21" localSheetId="0">#REF!</definedName>
    <definedName name="____________________BTC21">#REF!</definedName>
    <definedName name="____________________BTC22" localSheetId="11">NA()</definedName>
    <definedName name="____________________BTC22" localSheetId="12">NA()</definedName>
    <definedName name="____________________BTC22" localSheetId="0">#REF!</definedName>
    <definedName name="____________________BTC22">#REF!</definedName>
    <definedName name="____________________BTC23" localSheetId="11">NA()</definedName>
    <definedName name="____________________BTC23" localSheetId="12">NA()</definedName>
    <definedName name="____________________BTC23" localSheetId="0">#REF!</definedName>
    <definedName name="____________________BTC23">#REF!</definedName>
    <definedName name="____________________BTC24" localSheetId="11">NA()</definedName>
    <definedName name="____________________BTC24" localSheetId="12">NA()</definedName>
    <definedName name="____________________BTC24" localSheetId="0">#REF!</definedName>
    <definedName name="____________________BTC24">#REF!</definedName>
    <definedName name="____________________BTC3" localSheetId="11">NA()</definedName>
    <definedName name="____________________BTC3" localSheetId="12">NA()</definedName>
    <definedName name="____________________BTC3" localSheetId="0">#REF!</definedName>
    <definedName name="____________________BTC3">#REF!</definedName>
    <definedName name="____________________BTC4" localSheetId="11">NA()</definedName>
    <definedName name="____________________BTC4" localSheetId="12">NA()</definedName>
    <definedName name="____________________BTC4" localSheetId="0">#REF!</definedName>
    <definedName name="____________________BTC4">#REF!</definedName>
    <definedName name="____________________BTC5" localSheetId="11">NA()</definedName>
    <definedName name="____________________BTC5" localSheetId="12">NA()</definedName>
    <definedName name="____________________BTC5" localSheetId="0">#REF!</definedName>
    <definedName name="____________________BTC5">#REF!</definedName>
    <definedName name="____________________BTC6" localSheetId="11">NA()</definedName>
    <definedName name="____________________BTC6" localSheetId="12">NA()</definedName>
    <definedName name="____________________BTC6" localSheetId="0">#REF!</definedName>
    <definedName name="____________________BTC6">#REF!</definedName>
    <definedName name="____________________BTC7" localSheetId="11">NA()</definedName>
    <definedName name="____________________BTC7" localSheetId="12">NA()</definedName>
    <definedName name="____________________BTC7" localSheetId="0">#REF!</definedName>
    <definedName name="____________________BTC7">#REF!</definedName>
    <definedName name="____________________BTC8" localSheetId="11">NA()</definedName>
    <definedName name="____________________BTC8" localSheetId="12">NA()</definedName>
    <definedName name="____________________BTC8" localSheetId="0">#REF!</definedName>
    <definedName name="____________________BTC8">#REF!</definedName>
    <definedName name="____________________BTC9" localSheetId="11">NA()</definedName>
    <definedName name="____________________BTC9" localSheetId="12">NA()</definedName>
    <definedName name="____________________BTC9" localSheetId="0">#REF!</definedName>
    <definedName name="____________________BTC9">#REF!</definedName>
    <definedName name="____________________BTR1" localSheetId="11">NA()</definedName>
    <definedName name="____________________BTR1" localSheetId="12">NA()</definedName>
    <definedName name="____________________BTR1" localSheetId="0">#REF!</definedName>
    <definedName name="____________________BTR1">#REF!</definedName>
    <definedName name="____________________BTR10" localSheetId="11">NA()</definedName>
    <definedName name="____________________BTR10" localSheetId="12">NA()</definedName>
    <definedName name="____________________BTR10" localSheetId="0">#REF!</definedName>
    <definedName name="____________________BTR10">#REF!</definedName>
    <definedName name="____________________BTR11" localSheetId="11">NA()</definedName>
    <definedName name="____________________BTR11" localSheetId="12">NA()</definedName>
    <definedName name="____________________BTR11" localSheetId="0">#REF!</definedName>
    <definedName name="____________________BTR11">#REF!</definedName>
    <definedName name="____________________BTR12" localSheetId="11">NA()</definedName>
    <definedName name="____________________BTR12" localSheetId="12">NA()</definedName>
    <definedName name="____________________BTR12" localSheetId="0">#REF!</definedName>
    <definedName name="____________________BTR12">#REF!</definedName>
    <definedName name="____________________BTR13" localSheetId="11">NA()</definedName>
    <definedName name="____________________BTR13" localSheetId="12">NA()</definedName>
    <definedName name="____________________BTR13" localSheetId="0">#REF!</definedName>
    <definedName name="____________________BTR13">#REF!</definedName>
    <definedName name="____________________BTR14" localSheetId="11">NA()</definedName>
    <definedName name="____________________BTR14" localSheetId="12">NA()</definedName>
    <definedName name="____________________BTR14" localSheetId="0">#REF!</definedName>
    <definedName name="____________________BTR14">#REF!</definedName>
    <definedName name="____________________BTR15" localSheetId="11">NA()</definedName>
    <definedName name="____________________BTR15" localSheetId="12">NA()</definedName>
    <definedName name="____________________BTR15" localSheetId="0">#REF!</definedName>
    <definedName name="____________________BTR15">#REF!</definedName>
    <definedName name="____________________BTR16" localSheetId="11">NA()</definedName>
    <definedName name="____________________BTR16" localSheetId="12">NA()</definedName>
    <definedName name="____________________BTR16" localSheetId="0">#REF!</definedName>
    <definedName name="____________________BTR16">#REF!</definedName>
    <definedName name="____________________BTR17" localSheetId="11">NA()</definedName>
    <definedName name="____________________BTR17" localSheetId="12">NA()</definedName>
    <definedName name="____________________BTR17" localSheetId="0">#REF!</definedName>
    <definedName name="____________________BTR17">#REF!</definedName>
    <definedName name="____________________BTR18" localSheetId="11">NA()</definedName>
    <definedName name="____________________BTR18" localSheetId="12">NA()</definedName>
    <definedName name="____________________BTR18" localSheetId="0">#REF!</definedName>
    <definedName name="____________________BTR18">#REF!</definedName>
    <definedName name="____________________BTR19" localSheetId="11">NA()</definedName>
    <definedName name="____________________BTR19" localSheetId="12">NA()</definedName>
    <definedName name="____________________BTR19" localSheetId="0">#REF!</definedName>
    <definedName name="____________________BTR19">#REF!</definedName>
    <definedName name="____________________BTR2" localSheetId="11">NA()</definedName>
    <definedName name="____________________BTR2" localSheetId="12">NA()</definedName>
    <definedName name="____________________BTR2" localSheetId="0">#REF!</definedName>
    <definedName name="____________________BTR2">#REF!</definedName>
    <definedName name="____________________BTR20" localSheetId="11">NA()</definedName>
    <definedName name="____________________BTR20" localSheetId="12">NA()</definedName>
    <definedName name="____________________BTR20" localSheetId="0">#REF!</definedName>
    <definedName name="____________________BTR20">#REF!</definedName>
    <definedName name="____________________BTR21" localSheetId="11">NA()</definedName>
    <definedName name="____________________BTR21" localSheetId="12">NA()</definedName>
    <definedName name="____________________BTR21" localSheetId="0">#REF!</definedName>
    <definedName name="____________________BTR21">#REF!</definedName>
    <definedName name="____________________BTR22" localSheetId="11">NA()</definedName>
    <definedName name="____________________BTR22" localSheetId="12">NA()</definedName>
    <definedName name="____________________BTR22" localSheetId="0">#REF!</definedName>
    <definedName name="____________________BTR22">#REF!</definedName>
    <definedName name="____________________BTR23" localSheetId="11">NA()</definedName>
    <definedName name="____________________BTR23" localSheetId="12">NA()</definedName>
    <definedName name="____________________BTR23" localSheetId="0">#REF!</definedName>
    <definedName name="____________________BTR23">#REF!</definedName>
    <definedName name="____________________BTR24" localSheetId="11">NA()</definedName>
    <definedName name="____________________BTR24" localSheetId="12">NA()</definedName>
    <definedName name="____________________BTR24" localSheetId="0">#REF!</definedName>
    <definedName name="____________________BTR24">#REF!</definedName>
    <definedName name="____________________BTR3" localSheetId="11">NA()</definedName>
    <definedName name="____________________BTR3" localSheetId="12">NA()</definedName>
    <definedName name="____________________BTR3" localSheetId="0">#REF!</definedName>
    <definedName name="____________________BTR3">#REF!</definedName>
    <definedName name="____________________BTR4" localSheetId="11">NA()</definedName>
    <definedName name="____________________BTR4" localSheetId="12">NA()</definedName>
    <definedName name="____________________BTR4" localSheetId="0">#REF!</definedName>
    <definedName name="____________________BTR4">#REF!</definedName>
    <definedName name="____________________BTR5" localSheetId="11">NA()</definedName>
    <definedName name="____________________BTR5" localSheetId="12">NA()</definedName>
    <definedName name="____________________BTR5" localSheetId="0">#REF!</definedName>
    <definedName name="____________________BTR5">#REF!</definedName>
    <definedName name="____________________BTR6" localSheetId="11">NA()</definedName>
    <definedName name="____________________BTR6" localSheetId="12">NA()</definedName>
    <definedName name="____________________BTR6" localSheetId="0">#REF!</definedName>
    <definedName name="____________________BTR6">#REF!</definedName>
    <definedName name="____________________BTR7" localSheetId="11">NA()</definedName>
    <definedName name="____________________BTR7" localSheetId="12">NA()</definedName>
    <definedName name="____________________BTR7" localSheetId="0">#REF!</definedName>
    <definedName name="____________________BTR7">#REF!</definedName>
    <definedName name="____________________BTR8" localSheetId="11">NA()</definedName>
    <definedName name="____________________BTR8" localSheetId="12">NA()</definedName>
    <definedName name="____________________BTR8" localSheetId="0">#REF!</definedName>
    <definedName name="____________________BTR8">#REF!</definedName>
    <definedName name="____________________BTR9" localSheetId="11">NA()</definedName>
    <definedName name="____________________BTR9" localSheetId="12">NA()</definedName>
    <definedName name="____________________BTR9" localSheetId="0">#REF!</definedName>
    <definedName name="____________________BTR9">#REF!</definedName>
    <definedName name="____________________BTS1" localSheetId="11">NA()</definedName>
    <definedName name="____________________BTS1" localSheetId="12">NA()</definedName>
    <definedName name="____________________BTS1" localSheetId="0">#REF!</definedName>
    <definedName name="____________________BTS1">#REF!</definedName>
    <definedName name="____________________BTS10" localSheetId="11">NA()</definedName>
    <definedName name="____________________BTS10" localSheetId="12">NA()</definedName>
    <definedName name="____________________BTS10" localSheetId="0">#REF!</definedName>
    <definedName name="____________________BTS10">#REF!</definedName>
    <definedName name="____________________BTS11" localSheetId="11">NA()</definedName>
    <definedName name="____________________BTS11" localSheetId="12">NA()</definedName>
    <definedName name="____________________BTS11" localSheetId="0">#REF!</definedName>
    <definedName name="____________________BTS11">#REF!</definedName>
    <definedName name="____________________BTS12" localSheetId="11">NA()</definedName>
    <definedName name="____________________BTS12" localSheetId="12">NA()</definedName>
    <definedName name="____________________BTS12" localSheetId="0">#REF!</definedName>
    <definedName name="____________________BTS12">#REF!</definedName>
    <definedName name="____________________BTS13" localSheetId="11">NA()</definedName>
    <definedName name="____________________BTS13" localSheetId="12">NA()</definedName>
    <definedName name="____________________BTS13" localSheetId="0">#REF!</definedName>
    <definedName name="____________________BTS13">#REF!</definedName>
    <definedName name="____________________BTS14" localSheetId="11">NA()</definedName>
    <definedName name="____________________BTS14" localSheetId="12">NA()</definedName>
    <definedName name="____________________BTS14" localSheetId="0">#REF!</definedName>
    <definedName name="____________________BTS14">#REF!</definedName>
    <definedName name="____________________BTS15" localSheetId="11">NA()</definedName>
    <definedName name="____________________BTS15" localSheetId="12">NA()</definedName>
    <definedName name="____________________BTS15" localSheetId="0">#REF!</definedName>
    <definedName name="____________________BTS15">#REF!</definedName>
    <definedName name="____________________BTS16" localSheetId="11">NA()</definedName>
    <definedName name="____________________BTS16" localSheetId="12">NA()</definedName>
    <definedName name="____________________BTS16" localSheetId="0">#REF!</definedName>
    <definedName name="____________________BTS16">#REF!</definedName>
    <definedName name="____________________BTS17" localSheetId="11">NA()</definedName>
    <definedName name="____________________BTS17" localSheetId="12">NA()</definedName>
    <definedName name="____________________BTS17" localSheetId="0">#REF!</definedName>
    <definedName name="____________________BTS17">#REF!</definedName>
    <definedName name="____________________BTS18" localSheetId="11">NA()</definedName>
    <definedName name="____________________BTS18" localSheetId="12">NA()</definedName>
    <definedName name="____________________BTS18" localSheetId="0">#REF!</definedName>
    <definedName name="____________________BTS18">#REF!</definedName>
    <definedName name="____________________BTS19" localSheetId="11">NA()</definedName>
    <definedName name="____________________BTS19" localSheetId="12">NA()</definedName>
    <definedName name="____________________BTS19" localSheetId="0">#REF!</definedName>
    <definedName name="____________________BTS19">#REF!</definedName>
    <definedName name="____________________BTS2" localSheetId="11">NA()</definedName>
    <definedName name="____________________BTS2" localSheetId="12">NA()</definedName>
    <definedName name="____________________BTS2" localSheetId="0">#REF!</definedName>
    <definedName name="____________________BTS2">#REF!</definedName>
    <definedName name="____________________BTS20" localSheetId="11">NA()</definedName>
    <definedName name="____________________BTS20" localSheetId="12">NA()</definedName>
    <definedName name="____________________BTS20" localSheetId="0">#REF!</definedName>
    <definedName name="____________________BTS20">#REF!</definedName>
    <definedName name="____________________BTS21" localSheetId="11">NA()</definedName>
    <definedName name="____________________BTS21" localSheetId="12">NA()</definedName>
    <definedName name="____________________BTS21" localSheetId="0">#REF!</definedName>
    <definedName name="____________________BTS21">#REF!</definedName>
    <definedName name="____________________BTS22" localSheetId="11">NA()</definedName>
    <definedName name="____________________BTS22" localSheetId="12">NA()</definedName>
    <definedName name="____________________BTS22" localSheetId="0">#REF!</definedName>
    <definedName name="____________________BTS22">#REF!</definedName>
    <definedName name="____________________BTS23" localSheetId="11">NA()</definedName>
    <definedName name="____________________BTS23" localSheetId="12">NA()</definedName>
    <definedName name="____________________BTS23" localSheetId="0">#REF!</definedName>
    <definedName name="____________________BTS23">#REF!</definedName>
    <definedName name="____________________BTS24" localSheetId="11">NA()</definedName>
    <definedName name="____________________BTS24" localSheetId="12">NA()</definedName>
    <definedName name="____________________BTS24" localSheetId="0">#REF!</definedName>
    <definedName name="____________________BTS24">#REF!</definedName>
    <definedName name="____________________BTS3" localSheetId="11">NA()</definedName>
    <definedName name="____________________BTS3" localSheetId="12">NA()</definedName>
    <definedName name="____________________BTS3" localSheetId="0">#REF!</definedName>
    <definedName name="____________________BTS3">#REF!</definedName>
    <definedName name="____________________BTS4" localSheetId="11">NA()</definedName>
    <definedName name="____________________BTS4" localSheetId="12">NA()</definedName>
    <definedName name="____________________BTS4" localSheetId="0">#REF!</definedName>
    <definedName name="____________________BTS4">#REF!</definedName>
    <definedName name="____________________BTS5" localSheetId="11">NA()</definedName>
    <definedName name="____________________BTS5" localSheetId="12">NA()</definedName>
    <definedName name="____________________BTS5" localSheetId="0">#REF!</definedName>
    <definedName name="____________________BTS5">#REF!</definedName>
    <definedName name="____________________BTS6" localSheetId="11">NA()</definedName>
    <definedName name="____________________BTS6" localSheetId="12">NA()</definedName>
    <definedName name="____________________BTS6" localSheetId="0">#REF!</definedName>
    <definedName name="____________________BTS6">#REF!</definedName>
    <definedName name="____________________BTS7" localSheetId="11">NA()</definedName>
    <definedName name="____________________BTS7" localSheetId="12">NA()</definedName>
    <definedName name="____________________BTS7" localSheetId="0">#REF!</definedName>
    <definedName name="____________________BTS7">#REF!</definedName>
    <definedName name="____________________BTS8" localSheetId="11">NA()</definedName>
    <definedName name="____________________BTS8" localSheetId="12">NA()</definedName>
    <definedName name="____________________BTS8" localSheetId="0">#REF!</definedName>
    <definedName name="____________________BTS8">#REF!</definedName>
    <definedName name="____________________BTS9" localSheetId="11">NA()</definedName>
    <definedName name="____________________BTS9" localSheetId="12">NA()</definedName>
    <definedName name="____________________BTS9" localSheetId="0">#REF!</definedName>
    <definedName name="____________________BTS9">#REF!</definedName>
    <definedName name="____________________can430">40.73</definedName>
    <definedName name="____________________can435">43.3</definedName>
    <definedName name="____________________CCW1">[14]DATA!$H$67</definedName>
    <definedName name="____________________CCW2">[14]DATA!$H$97</definedName>
    <definedName name="____________________cur1">[2]r!$F$30</definedName>
    <definedName name="____________________GBS11" localSheetId="11">NA()</definedName>
    <definedName name="____________________GBS11" localSheetId="12">NA()</definedName>
    <definedName name="____________________GBS11" localSheetId="0">#REF!</definedName>
    <definedName name="____________________GBS11">#REF!</definedName>
    <definedName name="____________________GBS110" localSheetId="11">NA()</definedName>
    <definedName name="____________________GBS110" localSheetId="12">NA()</definedName>
    <definedName name="____________________GBS110" localSheetId="0">#REF!</definedName>
    <definedName name="____________________GBS110">#REF!</definedName>
    <definedName name="____________________GBS111" localSheetId="11">NA()</definedName>
    <definedName name="____________________GBS111" localSheetId="12">NA()</definedName>
    <definedName name="____________________GBS111" localSheetId="0">#REF!</definedName>
    <definedName name="____________________GBS111">#REF!</definedName>
    <definedName name="____________________GBS112" localSheetId="11">NA()</definedName>
    <definedName name="____________________GBS112" localSheetId="12">NA()</definedName>
    <definedName name="____________________GBS112" localSheetId="0">#REF!</definedName>
    <definedName name="____________________GBS112">#REF!</definedName>
    <definedName name="____________________GBS113" localSheetId="11">NA()</definedName>
    <definedName name="____________________GBS113" localSheetId="12">NA()</definedName>
    <definedName name="____________________GBS113" localSheetId="0">#REF!</definedName>
    <definedName name="____________________GBS113">#REF!</definedName>
    <definedName name="____________________GBS114" localSheetId="11">NA()</definedName>
    <definedName name="____________________GBS114" localSheetId="12">NA()</definedName>
    <definedName name="____________________GBS114" localSheetId="0">#REF!</definedName>
    <definedName name="____________________GBS114">#REF!</definedName>
    <definedName name="____________________GBS115" localSheetId="11">NA()</definedName>
    <definedName name="____________________GBS115" localSheetId="12">NA()</definedName>
    <definedName name="____________________GBS115" localSheetId="0">#REF!</definedName>
    <definedName name="____________________GBS115">#REF!</definedName>
    <definedName name="____________________GBS116" localSheetId="11">NA()</definedName>
    <definedName name="____________________GBS116" localSheetId="12">NA()</definedName>
    <definedName name="____________________GBS116" localSheetId="0">#REF!</definedName>
    <definedName name="____________________GBS116">#REF!</definedName>
    <definedName name="____________________GBS117" localSheetId="11">NA()</definedName>
    <definedName name="____________________GBS117" localSheetId="12">NA()</definedName>
    <definedName name="____________________GBS117" localSheetId="0">#REF!</definedName>
    <definedName name="____________________GBS117">#REF!</definedName>
    <definedName name="____________________GBS118" localSheetId="11">NA()</definedName>
    <definedName name="____________________GBS118" localSheetId="12">NA()</definedName>
    <definedName name="____________________GBS118" localSheetId="0">#REF!</definedName>
    <definedName name="____________________GBS118">#REF!</definedName>
    <definedName name="____________________GBS119" localSheetId="11">NA()</definedName>
    <definedName name="____________________GBS119" localSheetId="12">NA()</definedName>
    <definedName name="____________________GBS119" localSheetId="0">#REF!</definedName>
    <definedName name="____________________GBS119">#REF!</definedName>
    <definedName name="____________________GBS12" localSheetId="11">NA()</definedName>
    <definedName name="____________________GBS12" localSheetId="12">NA()</definedName>
    <definedName name="____________________GBS12" localSheetId="0">#REF!</definedName>
    <definedName name="____________________GBS12">#REF!</definedName>
    <definedName name="____________________GBS120" localSheetId="11">NA()</definedName>
    <definedName name="____________________GBS120" localSheetId="12">NA()</definedName>
    <definedName name="____________________GBS120" localSheetId="0">#REF!</definedName>
    <definedName name="____________________GBS120">#REF!</definedName>
    <definedName name="____________________GBS121" localSheetId="11">NA()</definedName>
    <definedName name="____________________GBS121" localSheetId="12">NA()</definedName>
    <definedName name="____________________GBS121" localSheetId="0">#REF!</definedName>
    <definedName name="____________________GBS121">#REF!</definedName>
    <definedName name="____________________GBS122" localSheetId="11">NA()</definedName>
    <definedName name="____________________GBS122" localSheetId="12">NA()</definedName>
    <definedName name="____________________GBS122" localSheetId="0">#REF!</definedName>
    <definedName name="____________________GBS122">#REF!</definedName>
    <definedName name="____________________GBS123" localSheetId="11">NA()</definedName>
    <definedName name="____________________GBS123" localSheetId="12">NA()</definedName>
    <definedName name="____________________GBS123" localSheetId="0">#REF!</definedName>
    <definedName name="____________________GBS123">#REF!</definedName>
    <definedName name="____________________GBS124" localSheetId="11">NA()</definedName>
    <definedName name="____________________GBS124" localSheetId="12">NA()</definedName>
    <definedName name="____________________GBS124" localSheetId="0">#REF!</definedName>
    <definedName name="____________________GBS124">#REF!</definedName>
    <definedName name="____________________GBS13" localSheetId="11">NA()</definedName>
    <definedName name="____________________GBS13" localSheetId="12">NA()</definedName>
    <definedName name="____________________GBS13" localSheetId="0">#REF!</definedName>
    <definedName name="____________________GBS13">#REF!</definedName>
    <definedName name="____________________GBS14" localSheetId="11">NA()</definedName>
    <definedName name="____________________GBS14" localSheetId="12">NA()</definedName>
    <definedName name="____________________GBS14" localSheetId="0">#REF!</definedName>
    <definedName name="____________________GBS14">#REF!</definedName>
    <definedName name="____________________GBS15" localSheetId="11">NA()</definedName>
    <definedName name="____________________GBS15" localSheetId="12">NA()</definedName>
    <definedName name="____________________GBS15" localSheetId="0">#REF!</definedName>
    <definedName name="____________________GBS15">#REF!</definedName>
    <definedName name="____________________GBS16" localSheetId="11">NA()</definedName>
    <definedName name="____________________GBS16" localSheetId="12">NA()</definedName>
    <definedName name="____________________GBS16" localSheetId="0">#REF!</definedName>
    <definedName name="____________________GBS16">#REF!</definedName>
    <definedName name="____________________GBS17" localSheetId="11">NA()</definedName>
    <definedName name="____________________GBS17" localSheetId="12">NA()</definedName>
    <definedName name="____________________GBS17" localSheetId="0">#REF!</definedName>
    <definedName name="____________________GBS17">#REF!</definedName>
    <definedName name="____________________GBS18" localSheetId="11">NA()</definedName>
    <definedName name="____________________GBS18" localSheetId="12">NA()</definedName>
    <definedName name="____________________GBS18" localSheetId="0">#REF!</definedName>
    <definedName name="____________________GBS18">#REF!</definedName>
    <definedName name="____________________GBS19" localSheetId="11">NA()</definedName>
    <definedName name="____________________GBS19" localSheetId="12">NA()</definedName>
    <definedName name="____________________GBS19" localSheetId="0">#REF!</definedName>
    <definedName name="____________________GBS19">#REF!</definedName>
    <definedName name="____________________GBS21" localSheetId="11">NA()</definedName>
    <definedName name="____________________GBS21" localSheetId="12">NA()</definedName>
    <definedName name="____________________GBS21" localSheetId="0">#REF!</definedName>
    <definedName name="____________________GBS21">#REF!</definedName>
    <definedName name="____________________GBS210" localSheetId="11">NA()</definedName>
    <definedName name="____________________GBS210" localSheetId="12">NA()</definedName>
    <definedName name="____________________GBS210" localSheetId="0">#REF!</definedName>
    <definedName name="____________________GBS210">#REF!</definedName>
    <definedName name="____________________GBS211" localSheetId="11">NA()</definedName>
    <definedName name="____________________GBS211" localSheetId="12">NA()</definedName>
    <definedName name="____________________GBS211" localSheetId="0">#REF!</definedName>
    <definedName name="____________________GBS211">#REF!</definedName>
    <definedName name="____________________GBS212" localSheetId="11">NA()</definedName>
    <definedName name="____________________GBS212" localSheetId="12">NA()</definedName>
    <definedName name="____________________GBS212" localSheetId="0">#REF!</definedName>
    <definedName name="____________________GBS212">#REF!</definedName>
    <definedName name="____________________GBS213" localSheetId="11">NA()</definedName>
    <definedName name="____________________GBS213" localSheetId="12">NA()</definedName>
    <definedName name="____________________GBS213" localSheetId="0">#REF!</definedName>
    <definedName name="____________________GBS213">#REF!</definedName>
    <definedName name="____________________GBS214" localSheetId="11">NA()</definedName>
    <definedName name="____________________GBS214" localSheetId="12">NA()</definedName>
    <definedName name="____________________GBS214" localSheetId="0">#REF!</definedName>
    <definedName name="____________________GBS214">#REF!</definedName>
    <definedName name="____________________GBS215" localSheetId="11">NA()</definedName>
    <definedName name="____________________GBS215" localSheetId="12">NA()</definedName>
    <definedName name="____________________GBS215" localSheetId="0">#REF!</definedName>
    <definedName name="____________________GBS215">#REF!</definedName>
    <definedName name="____________________GBS216" localSheetId="11">NA()</definedName>
    <definedName name="____________________GBS216" localSheetId="12">NA()</definedName>
    <definedName name="____________________GBS216" localSheetId="0">#REF!</definedName>
    <definedName name="____________________GBS216">#REF!</definedName>
    <definedName name="____________________GBS217" localSheetId="11">NA()</definedName>
    <definedName name="____________________GBS217" localSheetId="12">NA()</definedName>
    <definedName name="____________________GBS217" localSheetId="0">#REF!</definedName>
    <definedName name="____________________GBS217">#REF!</definedName>
    <definedName name="____________________GBS218" localSheetId="11">NA()</definedName>
    <definedName name="____________________GBS218" localSheetId="12">NA()</definedName>
    <definedName name="____________________GBS218" localSheetId="0">#REF!</definedName>
    <definedName name="____________________GBS218">#REF!</definedName>
    <definedName name="____________________GBS219" localSheetId="11">NA()</definedName>
    <definedName name="____________________GBS219" localSheetId="12">NA()</definedName>
    <definedName name="____________________GBS219" localSheetId="0">#REF!</definedName>
    <definedName name="____________________GBS219">#REF!</definedName>
    <definedName name="____________________GBS22" localSheetId="11">NA()</definedName>
    <definedName name="____________________GBS22" localSheetId="12">NA()</definedName>
    <definedName name="____________________GBS22" localSheetId="0">#REF!</definedName>
    <definedName name="____________________GBS22">#REF!</definedName>
    <definedName name="____________________GBS220" localSheetId="11">NA()</definedName>
    <definedName name="____________________GBS220" localSheetId="12">NA()</definedName>
    <definedName name="____________________GBS220" localSheetId="0">#REF!</definedName>
    <definedName name="____________________GBS220">#REF!</definedName>
    <definedName name="____________________GBS221" localSheetId="11">NA()</definedName>
    <definedName name="____________________GBS221" localSheetId="12">NA()</definedName>
    <definedName name="____________________GBS221" localSheetId="0">#REF!</definedName>
    <definedName name="____________________GBS221">#REF!</definedName>
    <definedName name="____________________GBS222" localSheetId="11">NA()</definedName>
    <definedName name="____________________GBS222" localSheetId="12">NA()</definedName>
    <definedName name="____________________GBS222" localSheetId="0">#REF!</definedName>
    <definedName name="____________________GBS222">#REF!</definedName>
    <definedName name="____________________GBS223" localSheetId="11">NA()</definedName>
    <definedName name="____________________GBS223" localSheetId="12">NA()</definedName>
    <definedName name="____________________GBS223" localSheetId="0">#REF!</definedName>
    <definedName name="____________________GBS223">#REF!</definedName>
    <definedName name="____________________GBS224" localSheetId="11">NA()</definedName>
    <definedName name="____________________GBS224" localSheetId="12">NA()</definedName>
    <definedName name="____________________GBS224" localSheetId="0">#REF!</definedName>
    <definedName name="____________________GBS224">#REF!</definedName>
    <definedName name="____________________GBS23" localSheetId="11">NA()</definedName>
    <definedName name="____________________GBS23" localSheetId="12">NA()</definedName>
    <definedName name="____________________GBS23" localSheetId="0">#REF!</definedName>
    <definedName name="____________________GBS23">#REF!</definedName>
    <definedName name="____________________GBS24" localSheetId="11">NA()</definedName>
    <definedName name="____________________GBS24" localSheetId="12">NA()</definedName>
    <definedName name="____________________GBS24" localSheetId="0">#REF!</definedName>
    <definedName name="____________________GBS24">#REF!</definedName>
    <definedName name="____________________GBS25" localSheetId="11">NA()</definedName>
    <definedName name="____________________GBS25" localSheetId="12">NA()</definedName>
    <definedName name="____________________GBS25" localSheetId="0">#REF!</definedName>
    <definedName name="____________________GBS25">#REF!</definedName>
    <definedName name="____________________GBS26" localSheetId="11">NA()</definedName>
    <definedName name="____________________GBS26" localSheetId="12">NA()</definedName>
    <definedName name="____________________GBS26" localSheetId="0">#REF!</definedName>
    <definedName name="____________________GBS26">#REF!</definedName>
    <definedName name="____________________GBS27" localSheetId="11">NA()</definedName>
    <definedName name="____________________GBS27" localSheetId="12">NA()</definedName>
    <definedName name="____________________GBS27" localSheetId="0">#REF!</definedName>
    <definedName name="____________________GBS27">#REF!</definedName>
    <definedName name="____________________GBS28" localSheetId="11">NA()</definedName>
    <definedName name="____________________GBS28" localSheetId="12">NA()</definedName>
    <definedName name="____________________GBS28" localSheetId="0">#REF!</definedName>
    <definedName name="____________________GBS28">#REF!</definedName>
    <definedName name="____________________GBS29" localSheetId="11">NA()</definedName>
    <definedName name="____________________GBS29" localSheetId="12">NA()</definedName>
    <definedName name="____________________GBS29" localSheetId="0">#REF!</definedName>
    <definedName name="____________________GBS29">#REF!</definedName>
    <definedName name="____________________imp1">[11]DATA_PRG!$H$245</definedName>
    <definedName name="____________________knr2" localSheetId="11">NA()</definedName>
    <definedName name="____________________knr2" localSheetId="12">NA()</definedName>
    <definedName name="____________________knr2" localSheetId="0">#REF!</definedName>
    <definedName name="____________________knr2">#REF!</definedName>
    <definedName name="____________________l1">[3]leads!$A$3:$E$108</definedName>
    <definedName name="____________________l12" localSheetId="11">NA()</definedName>
    <definedName name="____________________l12" localSheetId="12">NA()</definedName>
    <definedName name="____________________l12" localSheetId="0">#REF!</definedName>
    <definedName name="____________________l12">#REF!</definedName>
    <definedName name="____________________l2">[2]r!$F$29</definedName>
    <definedName name="____________________l3" localSheetId="11">NA()</definedName>
    <definedName name="____________________l3" localSheetId="12">NA()</definedName>
    <definedName name="____________________l3" localSheetId="0">#REF!</definedName>
    <definedName name="____________________l3">#REF!</definedName>
    <definedName name="____________________l4">[4]Sheet1!$W$2:$Y$103</definedName>
    <definedName name="____________________l5" localSheetId="11">NA()</definedName>
    <definedName name="____________________l5" localSheetId="12">NA()</definedName>
    <definedName name="____________________l5" localSheetId="0">#REF!</definedName>
    <definedName name="____________________l5">#REF!</definedName>
    <definedName name="____________________l6">[2]r!$F$4</definedName>
    <definedName name="____________________l7">[5]r!$F$4</definedName>
    <definedName name="____________________l8">[2]r!$F$2</definedName>
    <definedName name="____________________l9">[2]r!$F$3</definedName>
    <definedName name="____________________LJ6">[14]DATA!$H$245</definedName>
    <definedName name="____________________lj600" localSheetId="11">NA()</definedName>
    <definedName name="____________________lj600" localSheetId="12">NA()</definedName>
    <definedName name="____________________lj600" localSheetId="0">#REF!</definedName>
    <definedName name="____________________lj600">#REF!</definedName>
    <definedName name="____________________lj900" localSheetId="11">NA()</definedName>
    <definedName name="____________________lj900" localSheetId="12">NA()</definedName>
    <definedName name="____________________lj900" localSheetId="0">#REF!</definedName>
    <definedName name="____________________lj900">#REF!</definedName>
    <definedName name="____________________LL3" localSheetId="11">NA()</definedName>
    <definedName name="____________________LL3" localSheetId="12">NA()</definedName>
    <definedName name="____________________LL3" localSheetId="0">#REF!</definedName>
    <definedName name="____________________LL3">#REF!</definedName>
    <definedName name="____________________LSO24" localSheetId="11">"[14]lead!#ref!"</definedName>
    <definedName name="____________________LSO24" localSheetId="12">"[14]lead!#ref!"</definedName>
    <definedName name="____________________LSO24" localSheetId="0">[10]Lead!#REF!</definedName>
    <definedName name="____________________LSO24">[10]Lead!#REF!</definedName>
    <definedName name="____________________MA1" localSheetId="11">NA()</definedName>
    <definedName name="____________________MA1" localSheetId="12">NA()</definedName>
    <definedName name="____________________MA1" localSheetId="0">#REF!</definedName>
    <definedName name="____________________MA1">#REF!</definedName>
    <definedName name="____________________MA2" localSheetId="11">NA()</definedName>
    <definedName name="____________________MA2" localSheetId="12">NA()</definedName>
    <definedName name="____________________MA2" localSheetId="0">#REF!</definedName>
    <definedName name="____________________MA2">#REF!</definedName>
    <definedName name="____________________Met22" localSheetId="11">NA()</definedName>
    <definedName name="____________________Met22" localSheetId="12">NA()</definedName>
    <definedName name="____________________Met22" localSheetId="0">#REF!</definedName>
    <definedName name="____________________Met22">#REF!</definedName>
    <definedName name="____________________Met45" localSheetId="11">NA()</definedName>
    <definedName name="____________________Met45" localSheetId="12">NA()</definedName>
    <definedName name="____________________Met45" localSheetId="0">#REF!</definedName>
    <definedName name="____________________Met45">#REF!</definedName>
    <definedName name="____________________MEt55" localSheetId="11">NA()</definedName>
    <definedName name="____________________MEt55" localSheetId="12">NA()</definedName>
    <definedName name="____________________MEt55" localSheetId="0">#REF!</definedName>
    <definedName name="____________________MEt55">#REF!</definedName>
    <definedName name="____________________Met63" localSheetId="11">NA()</definedName>
    <definedName name="____________________Met63" localSheetId="12">NA()</definedName>
    <definedName name="____________________Met63" localSheetId="0">#REF!</definedName>
    <definedName name="____________________Met63">#REF!</definedName>
    <definedName name="____________________ML21" localSheetId="11">NA()</definedName>
    <definedName name="____________________ML21" localSheetId="12">NA()</definedName>
    <definedName name="____________________ML21" localSheetId="0">#REF!</definedName>
    <definedName name="____________________ML21">#REF!</definedName>
    <definedName name="____________________ML210" localSheetId="11">NA()</definedName>
    <definedName name="____________________ML210" localSheetId="12">NA()</definedName>
    <definedName name="____________________ML210" localSheetId="0">#REF!</definedName>
    <definedName name="____________________ML210">#REF!</definedName>
    <definedName name="____________________ML211" localSheetId="11">NA()</definedName>
    <definedName name="____________________ML211" localSheetId="12">NA()</definedName>
    <definedName name="____________________ML211" localSheetId="0">#REF!</definedName>
    <definedName name="____________________ML211">#REF!</definedName>
    <definedName name="____________________ML212" localSheetId="11">NA()</definedName>
    <definedName name="____________________ML212" localSheetId="12">NA()</definedName>
    <definedName name="____________________ML212" localSheetId="0">#REF!</definedName>
    <definedName name="____________________ML212">#REF!</definedName>
    <definedName name="____________________ML213" localSheetId="11">NA()</definedName>
    <definedName name="____________________ML213" localSheetId="12">NA()</definedName>
    <definedName name="____________________ML213" localSheetId="0">#REF!</definedName>
    <definedName name="____________________ML213">#REF!</definedName>
    <definedName name="____________________ML214" localSheetId="11">NA()</definedName>
    <definedName name="____________________ML214" localSheetId="12">NA()</definedName>
    <definedName name="____________________ML214" localSheetId="0">#REF!</definedName>
    <definedName name="____________________ML214">#REF!</definedName>
    <definedName name="____________________ML215" localSheetId="11">NA()</definedName>
    <definedName name="____________________ML215" localSheetId="12">NA()</definedName>
    <definedName name="____________________ML215" localSheetId="0">#REF!</definedName>
    <definedName name="____________________ML215">#REF!</definedName>
    <definedName name="____________________ML216" localSheetId="11">NA()</definedName>
    <definedName name="____________________ML216" localSheetId="12">NA()</definedName>
    <definedName name="____________________ML216" localSheetId="0">#REF!</definedName>
    <definedName name="____________________ML216">#REF!</definedName>
    <definedName name="____________________ML217" localSheetId="11">NA()</definedName>
    <definedName name="____________________ML217" localSheetId="12">NA()</definedName>
    <definedName name="____________________ML217" localSheetId="0">#REF!</definedName>
    <definedName name="____________________ML217">#REF!</definedName>
    <definedName name="____________________ML218" localSheetId="11">NA()</definedName>
    <definedName name="____________________ML218" localSheetId="12">NA()</definedName>
    <definedName name="____________________ML218" localSheetId="0">#REF!</definedName>
    <definedName name="____________________ML218">#REF!</definedName>
    <definedName name="____________________ML219" localSheetId="11">NA()</definedName>
    <definedName name="____________________ML219" localSheetId="12">NA()</definedName>
    <definedName name="____________________ML219" localSheetId="0">#REF!</definedName>
    <definedName name="____________________ML219">#REF!</definedName>
    <definedName name="____________________ML22" localSheetId="11">NA()</definedName>
    <definedName name="____________________ML22" localSheetId="12">NA()</definedName>
    <definedName name="____________________ML22" localSheetId="0">#REF!</definedName>
    <definedName name="____________________ML22">#REF!</definedName>
    <definedName name="____________________ML220" localSheetId="11">NA()</definedName>
    <definedName name="____________________ML220" localSheetId="12">NA()</definedName>
    <definedName name="____________________ML220" localSheetId="0">#REF!</definedName>
    <definedName name="____________________ML220">#REF!</definedName>
    <definedName name="____________________ML221" localSheetId="11">NA()</definedName>
    <definedName name="____________________ML221" localSheetId="12">NA()</definedName>
    <definedName name="____________________ML221" localSheetId="0">#REF!</definedName>
    <definedName name="____________________ML221">#REF!</definedName>
    <definedName name="____________________ML222" localSheetId="11">NA()</definedName>
    <definedName name="____________________ML222" localSheetId="12">NA()</definedName>
    <definedName name="____________________ML222" localSheetId="0">#REF!</definedName>
    <definedName name="____________________ML222">#REF!</definedName>
    <definedName name="____________________ML223" localSheetId="11">NA()</definedName>
    <definedName name="____________________ML223" localSheetId="12">NA()</definedName>
    <definedName name="____________________ML223" localSheetId="0">#REF!</definedName>
    <definedName name="____________________ML223">#REF!</definedName>
    <definedName name="____________________ML224" localSheetId="11">NA()</definedName>
    <definedName name="____________________ML224" localSheetId="12">NA()</definedName>
    <definedName name="____________________ML224" localSheetId="0">#REF!</definedName>
    <definedName name="____________________ML224">#REF!</definedName>
    <definedName name="____________________ML23" localSheetId="11">NA()</definedName>
    <definedName name="____________________ML23" localSheetId="12">NA()</definedName>
    <definedName name="____________________ML23" localSheetId="0">#REF!</definedName>
    <definedName name="____________________ML23">#REF!</definedName>
    <definedName name="____________________ML24" localSheetId="11">NA()</definedName>
    <definedName name="____________________ML24" localSheetId="12">NA()</definedName>
    <definedName name="____________________ML24" localSheetId="0">#REF!</definedName>
    <definedName name="____________________ML24">#REF!</definedName>
    <definedName name="____________________ML25" localSheetId="11">NA()</definedName>
    <definedName name="____________________ML25" localSheetId="12">NA()</definedName>
    <definedName name="____________________ML25" localSheetId="0">#REF!</definedName>
    <definedName name="____________________ML25">#REF!</definedName>
    <definedName name="____________________ML26" localSheetId="11">NA()</definedName>
    <definedName name="____________________ML26" localSheetId="12">NA()</definedName>
    <definedName name="____________________ML26" localSheetId="0">#REF!</definedName>
    <definedName name="____________________ML26">#REF!</definedName>
    <definedName name="____________________ML27" localSheetId="11">NA()</definedName>
    <definedName name="____________________ML27" localSheetId="12">NA()</definedName>
    <definedName name="____________________ML27" localSheetId="0">#REF!</definedName>
    <definedName name="____________________ML27">#REF!</definedName>
    <definedName name="____________________ML28" localSheetId="11">NA()</definedName>
    <definedName name="____________________ML28" localSheetId="12">NA()</definedName>
    <definedName name="____________________ML28" localSheetId="0">#REF!</definedName>
    <definedName name="____________________ML28">#REF!</definedName>
    <definedName name="____________________ML29" localSheetId="11">NA()</definedName>
    <definedName name="____________________ML29" localSheetId="12">NA()</definedName>
    <definedName name="____________________ML29" localSheetId="0">#REF!</definedName>
    <definedName name="____________________ML29">#REF!</definedName>
    <definedName name="____________________ML31" localSheetId="11">NA()</definedName>
    <definedName name="____________________ML31" localSheetId="12">NA()</definedName>
    <definedName name="____________________ML31" localSheetId="0">#REF!</definedName>
    <definedName name="____________________ML31">#REF!</definedName>
    <definedName name="____________________ML310" localSheetId="11">NA()</definedName>
    <definedName name="____________________ML310" localSheetId="12">NA()</definedName>
    <definedName name="____________________ML310" localSheetId="0">#REF!</definedName>
    <definedName name="____________________ML310">#REF!</definedName>
    <definedName name="____________________ML311" localSheetId="11">NA()</definedName>
    <definedName name="____________________ML311" localSheetId="12">NA()</definedName>
    <definedName name="____________________ML311" localSheetId="0">#REF!</definedName>
    <definedName name="____________________ML311">#REF!</definedName>
    <definedName name="____________________ML312" localSheetId="11">NA()</definedName>
    <definedName name="____________________ML312" localSheetId="12">NA()</definedName>
    <definedName name="____________________ML312" localSheetId="0">#REF!</definedName>
    <definedName name="____________________ML312">#REF!</definedName>
    <definedName name="____________________ML313" localSheetId="11">NA()</definedName>
    <definedName name="____________________ML313" localSheetId="12">NA()</definedName>
    <definedName name="____________________ML313" localSheetId="0">#REF!</definedName>
    <definedName name="____________________ML313">#REF!</definedName>
    <definedName name="____________________ML314" localSheetId="11">NA()</definedName>
    <definedName name="____________________ML314" localSheetId="12">NA()</definedName>
    <definedName name="____________________ML314" localSheetId="0">#REF!</definedName>
    <definedName name="____________________ML314">#REF!</definedName>
    <definedName name="____________________ML315" localSheetId="11">NA()</definedName>
    <definedName name="____________________ML315" localSheetId="12">NA()</definedName>
    <definedName name="____________________ML315" localSheetId="0">#REF!</definedName>
    <definedName name="____________________ML315">#REF!</definedName>
    <definedName name="____________________ML316" localSheetId="11">NA()</definedName>
    <definedName name="____________________ML316" localSheetId="12">NA()</definedName>
    <definedName name="____________________ML316" localSheetId="0">#REF!</definedName>
    <definedName name="____________________ML316">#REF!</definedName>
    <definedName name="____________________ML317" localSheetId="11">NA()</definedName>
    <definedName name="____________________ML317" localSheetId="12">NA()</definedName>
    <definedName name="____________________ML317" localSheetId="0">#REF!</definedName>
    <definedName name="____________________ML317">#REF!</definedName>
    <definedName name="____________________ML318" localSheetId="11">NA()</definedName>
    <definedName name="____________________ML318" localSheetId="12">NA()</definedName>
    <definedName name="____________________ML318" localSheetId="0">#REF!</definedName>
    <definedName name="____________________ML318">#REF!</definedName>
    <definedName name="____________________ML319" localSheetId="11">NA()</definedName>
    <definedName name="____________________ML319" localSheetId="12">NA()</definedName>
    <definedName name="____________________ML319" localSheetId="0">#REF!</definedName>
    <definedName name="____________________ML319">#REF!</definedName>
    <definedName name="____________________ML32" localSheetId="11">NA()</definedName>
    <definedName name="____________________ML32" localSheetId="12">NA()</definedName>
    <definedName name="____________________ML32" localSheetId="0">#REF!</definedName>
    <definedName name="____________________ML32">#REF!</definedName>
    <definedName name="____________________ML320" localSheetId="11">NA()</definedName>
    <definedName name="____________________ML320" localSheetId="12">NA()</definedName>
    <definedName name="____________________ML320" localSheetId="0">#REF!</definedName>
    <definedName name="____________________ML320">#REF!</definedName>
    <definedName name="____________________ML321" localSheetId="11">NA()</definedName>
    <definedName name="____________________ML321" localSheetId="12">NA()</definedName>
    <definedName name="____________________ML321" localSheetId="0">#REF!</definedName>
    <definedName name="____________________ML321">#REF!</definedName>
    <definedName name="____________________ML322" localSheetId="11">NA()</definedName>
    <definedName name="____________________ML322" localSheetId="12">NA()</definedName>
    <definedName name="____________________ML322" localSheetId="0">#REF!</definedName>
    <definedName name="____________________ML322">#REF!</definedName>
    <definedName name="____________________ML323" localSheetId="11">NA()</definedName>
    <definedName name="____________________ML323" localSheetId="12">NA()</definedName>
    <definedName name="____________________ML323" localSheetId="0">#REF!</definedName>
    <definedName name="____________________ML323">#REF!</definedName>
    <definedName name="____________________ML324" localSheetId="11">NA()</definedName>
    <definedName name="____________________ML324" localSheetId="12">NA()</definedName>
    <definedName name="____________________ML324" localSheetId="0">#REF!</definedName>
    <definedName name="____________________ML324">#REF!</definedName>
    <definedName name="____________________ML33" localSheetId="11">NA()</definedName>
    <definedName name="____________________ML33" localSheetId="12">NA()</definedName>
    <definedName name="____________________ML33" localSheetId="0">#REF!</definedName>
    <definedName name="____________________ML33">#REF!</definedName>
    <definedName name="____________________ML34" localSheetId="11">NA()</definedName>
    <definedName name="____________________ML34" localSheetId="12">NA()</definedName>
    <definedName name="____________________ML34" localSheetId="0">#REF!</definedName>
    <definedName name="____________________ML34">#REF!</definedName>
    <definedName name="____________________ML35" localSheetId="11">NA()</definedName>
    <definedName name="____________________ML35" localSheetId="12">NA()</definedName>
    <definedName name="____________________ML35" localSheetId="0">#REF!</definedName>
    <definedName name="____________________ML35">#REF!</definedName>
    <definedName name="____________________ML36" localSheetId="11">NA()</definedName>
    <definedName name="____________________ML36" localSheetId="12">NA()</definedName>
    <definedName name="____________________ML36" localSheetId="0">#REF!</definedName>
    <definedName name="____________________ML36">#REF!</definedName>
    <definedName name="____________________ML37" localSheetId="11">NA()</definedName>
    <definedName name="____________________ML37" localSheetId="12">NA()</definedName>
    <definedName name="____________________ML37" localSheetId="0">#REF!</definedName>
    <definedName name="____________________ML37">#REF!</definedName>
    <definedName name="____________________ML38" localSheetId="11">NA()</definedName>
    <definedName name="____________________ML38" localSheetId="12">NA()</definedName>
    <definedName name="____________________ML38" localSheetId="0">#REF!</definedName>
    <definedName name="____________________ML38">#REF!</definedName>
    <definedName name="____________________ML39" localSheetId="11">NA()</definedName>
    <definedName name="____________________ML39" localSheetId="12">NA()</definedName>
    <definedName name="____________________ML39" localSheetId="0">#REF!</definedName>
    <definedName name="____________________ML39">#REF!</definedName>
    <definedName name="____________________ML7" localSheetId="11">NA()</definedName>
    <definedName name="____________________ML7" localSheetId="12">NA()</definedName>
    <definedName name="____________________ML7" localSheetId="0">#REF!</definedName>
    <definedName name="____________________ML7">#REF!</definedName>
    <definedName name="____________________ML8" localSheetId="11">NA()</definedName>
    <definedName name="____________________ML8" localSheetId="12">NA()</definedName>
    <definedName name="____________________ML8" localSheetId="0">#REF!</definedName>
    <definedName name="____________________ML8">#REF!</definedName>
    <definedName name="____________________ML9" localSheetId="11">NA()</definedName>
    <definedName name="____________________ML9" localSheetId="12">NA()</definedName>
    <definedName name="____________________ML9" localSheetId="0">#REF!</definedName>
    <definedName name="____________________ML9">#REF!</definedName>
    <definedName name="____________________mm1">[6]r!$F$4</definedName>
    <definedName name="____________________mm1000" localSheetId="11">NA()</definedName>
    <definedName name="____________________mm1000" localSheetId="12">NA()</definedName>
    <definedName name="____________________mm1000" localSheetId="0">#REF!</definedName>
    <definedName name="____________________mm1000">#REF!</definedName>
    <definedName name="____________________mm11">[2]r!$F$4</definedName>
    <definedName name="____________________mm111">[5]r!$F$4</definedName>
    <definedName name="____________________mm600" localSheetId="11">NA()</definedName>
    <definedName name="____________________mm600" localSheetId="12">NA()</definedName>
    <definedName name="____________________mm600" localSheetId="0">#REF!</definedName>
    <definedName name="____________________mm600">#REF!</definedName>
    <definedName name="____________________mm800" localSheetId="11">NA()</definedName>
    <definedName name="____________________mm800" localSheetId="12">NA()</definedName>
    <definedName name="____________________mm800" localSheetId="0">#REF!</definedName>
    <definedName name="____________________mm800">#REF!</definedName>
    <definedName name="____________________PC1" localSheetId="11">NA()</definedName>
    <definedName name="____________________PC1" localSheetId="12">NA()</definedName>
    <definedName name="____________________PC1" localSheetId="0">#REF!</definedName>
    <definedName name="____________________PC1">#REF!</definedName>
    <definedName name="____________________PC10" localSheetId="11">NA()</definedName>
    <definedName name="____________________PC10" localSheetId="12">NA()</definedName>
    <definedName name="____________________PC10" localSheetId="0">#REF!</definedName>
    <definedName name="____________________PC10">#REF!</definedName>
    <definedName name="____________________PC11" localSheetId="11">NA()</definedName>
    <definedName name="____________________PC11" localSheetId="12">NA()</definedName>
    <definedName name="____________________PC11" localSheetId="0">#REF!</definedName>
    <definedName name="____________________PC11">#REF!</definedName>
    <definedName name="____________________PC12" localSheetId="11">NA()</definedName>
    <definedName name="____________________PC12" localSheetId="12">NA()</definedName>
    <definedName name="____________________PC12" localSheetId="0">#REF!</definedName>
    <definedName name="____________________PC12">#REF!</definedName>
    <definedName name="____________________PC13" localSheetId="11">NA()</definedName>
    <definedName name="____________________PC13" localSheetId="12">NA()</definedName>
    <definedName name="____________________PC13" localSheetId="0">#REF!</definedName>
    <definedName name="____________________PC13">#REF!</definedName>
    <definedName name="____________________PC14" localSheetId="11">NA()</definedName>
    <definedName name="____________________PC14" localSheetId="12">NA()</definedName>
    <definedName name="____________________PC14" localSheetId="0">#REF!</definedName>
    <definedName name="____________________PC14">#REF!</definedName>
    <definedName name="____________________PC15" localSheetId="11">NA()</definedName>
    <definedName name="____________________PC15" localSheetId="12">NA()</definedName>
    <definedName name="____________________PC15" localSheetId="0">#REF!</definedName>
    <definedName name="____________________PC15">#REF!</definedName>
    <definedName name="____________________PC16" localSheetId="11">NA()</definedName>
    <definedName name="____________________PC16" localSheetId="12">NA()</definedName>
    <definedName name="____________________PC16" localSheetId="0">#REF!</definedName>
    <definedName name="____________________PC16">#REF!</definedName>
    <definedName name="____________________PC17" localSheetId="11">NA()</definedName>
    <definedName name="____________________PC17" localSheetId="12">NA()</definedName>
    <definedName name="____________________PC17" localSheetId="0">#REF!</definedName>
    <definedName name="____________________PC17">#REF!</definedName>
    <definedName name="____________________PC18" localSheetId="11">NA()</definedName>
    <definedName name="____________________PC18" localSheetId="12">NA()</definedName>
    <definedName name="____________________PC18" localSheetId="0">#REF!</definedName>
    <definedName name="____________________PC18">#REF!</definedName>
    <definedName name="____________________PC19" localSheetId="11">NA()</definedName>
    <definedName name="____________________PC19" localSheetId="12">NA()</definedName>
    <definedName name="____________________PC19" localSheetId="0">#REF!</definedName>
    <definedName name="____________________PC19">#REF!</definedName>
    <definedName name="____________________pc2" localSheetId="11">NA()</definedName>
    <definedName name="____________________pc2" localSheetId="12">NA()</definedName>
    <definedName name="____________________pc2" localSheetId="0">#REF!</definedName>
    <definedName name="____________________pc2">#REF!</definedName>
    <definedName name="____________________PC20">NA()</definedName>
    <definedName name="____________________PC21" localSheetId="11">NA()</definedName>
    <definedName name="____________________PC21" localSheetId="12">NA()</definedName>
    <definedName name="____________________PC21" localSheetId="0">#REF!</definedName>
    <definedName name="____________________PC21">#REF!</definedName>
    <definedName name="____________________PC22" localSheetId="11">NA()</definedName>
    <definedName name="____________________PC22" localSheetId="12">NA()</definedName>
    <definedName name="____________________PC22" localSheetId="0">#REF!</definedName>
    <definedName name="____________________PC22">#REF!</definedName>
    <definedName name="____________________PC23" localSheetId="11">NA()</definedName>
    <definedName name="____________________PC23" localSheetId="12">NA()</definedName>
    <definedName name="____________________PC23" localSheetId="0">#REF!</definedName>
    <definedName name="____________________PC23">#REF!</definedName>
    <definedName name="____________________PC24" localSheetId="11">NA()</definedName>
    <definedName name="____________________PC24" localSheetId="12">NA()</definedName>
    <definedName name="____________________PC24" localSheetId="0">#REF!</definedName>
    <definedName name="____________________PC24">#REF!</definedName>
    <definedName name="____________________PC3" localSheetId="11">NA()</definedName>
    <definedName name="____________________PC3" localSheetId="12">NA()</definedName>
    <definedName name="____________________PC3" localSheetId="0">#REF!</definedName>
    <definedName name="____________________PC3">#REF!</definedName>
    <definedName name="____________________PC4" localSheetId="11">NA()</definedName>
    <definedName name="____________________PC4" localSheetId="12">NA()</definedName>
    <definedName name="____________________PC4" localSheetId="0">#REF!</definedName>
    <definedName name="____________________PC4">#REF!</definedName>
    <definedName name="____________________PC5" localSheetId="11">NA()</definedName>
    <definedName name="____________________PC5" localSheetId="12">NA()</definedName>
    <definedName name="____________________PC5" localSheetId="0">#REF!</definedName>
    <definedName name="____________________PC5">#REF!</definedName>
    <definedName name="____________________PC6" localSheetId="11">NA()</definedName>
    <definedName name="____________________PC6" localSheetId="12">NA()</definedName>
    <definedName name="____________________PC6" localSheetId="0">#REF!</definedName>
    <definedName name="____________________PC6">#REF!</definedName>
    <definedName name="____________________pc600" localSheetId="11">NA()</definedName>
    <definedName name="____________________pc600" localSheetId="12">NA()</definedName>
    <definedName name="____________________pc600" localSheetId="0">#REF!</definedName>
    <definedName name="____________________pc600">#REF!</definedName>
    <definedName name="____________________PC7" localSheetId="11">NA()</definedName>
    <definedName name="____________________PC7" localSheetId="12">NA()</definedName>
    <definedName name="____________________PC7" localSheetId="0">#REF!</definedName>
    <definedName name="____________________PC7">#REF!</definedName>
    <definedName name="____________________PC8" localSheetId="11">NA()</definedName>
    <definedName name="____________________PC8" localSheetId="12">NA()</definedName>
    <definedName name="____________________PC8" localSheetId="0">#REF!</definedName>
    <definedName name="____________________PC8">#REF!</definedName>
    <definedName name="____________________PC9" localSheetId="11">NA()</definedName>
    <definedName name="____________________PC9" localSheetId="12">NA()</definedName>
    <definedName name="____________________PC9" localSheetId="0">#REF!</definedName>
    <definedName name="____________________PC9">#REF!</definedName>
    <definedName name="____________________pc900" localSheetId="11">NA()</definedName>
    <definedName name="____________________pc900" localSheetId="12">NA()</definedName>
    <definedName name="____________________pc900" localSheetId="0">#REF!</definedName>
    <definedName name="____________________pc900">#REF!</definedName>
    <definedName name="____________________pla4">[12]DATA_PRG!$H$269</definedName>
    <definedName name="____________________pv2" localSheetId="11">NA()</definedName>
    <definedName name="____________________pv2" localSheetId="12">NA()</definedName>
    <definedName name="____________________pv2" localSheetId="0">#REF!</definedName>
    <definedName name="____________________pv2">#REF!</definedName>
    <definedName name="____________________rr3">[7]v!$A$2:$E$51</definedName>
    <definedName name="____________________rrr1">[7]r!$B$1:$I$145</definedName>
    <definedName name="____________________SP10">[13]Sheet1!$C$18</definedName>
    <definedName name="____________________SP16">[13]Sheet1!$C$24</definedName>
    <definedName name="____________________SP7">[13]Sheet1!$C$15</definedName>
    <definedName name="____________________ss12">[8]rdamdata!$J$8</definedName>
    <definedName name="____________________ss20">[8]rdamdata!$J$7</definedName>
    <definedName name="____________________ss40">[8]rdamdata!$J$6</definedName>
    <definedName name="____________________var1" localSheetId="11">NA()</definedName>
    <definedName name="____________________var1" localSheetId="12">NA()</definedName>
    <definedName name="____________________var1" localSheetId="0">#REF!</definedName>
    <definedName name="____________________var1">#REF!</definedName>
    <definedName name="____________________var4" localSheetId="11">NA()</definedName>
    <definedName name="____________________var4" localSheetId="12">NA()</definedName>
    <definedName name="____________________var4" localSheetId="0">#REF!</definedName>
    <definedName name="____________________var4">#REF!</definedName>
    <definedName name="____________________vat1">NA()</definedName>
    <definedName name="___________________bla1">[1]leads!$H$7</definedName>
    <definedName name="___________________BSG100" localSheetId="11">NA()</definedName>
    <definedName name="___________________BSG100" localSheetId="12">NA()</definedName>
    <definedName name="___________________BSG100" localSheetId="0">#REF!</definedName>
    <definedName name="___________________BSG100">#REF!</definedName>
    <definedName name="___________________BSG150" localSheetId="11">NA()</definedName>
    <definedName name="___________________BSG150" localSheetId="12">NA()</definedName>
    <definedName name="___________________BSG150" localSheetId="0">#REF!</definedName>
    <definedName name="___________________BSG150">#REF!</definedName>
    <definedName name="___________________BSG5" localSheetId="11">NA()</definedName>
    <definedName name="___________________BSG5" localSheetId="12">NA()</definedName>
    <definedName name="___________________BSG5" localSheetId="0">#REF!</definedName>
    <definedName name="___________________BSG5">#REF!</definedName>
    <definedName name="___________________BSG75" localSheetId="11">NA()</definedName>
    <definedName name="___________________BSG75" localSheetId="12">NA()</definedName>
    <definedName name="___________________BSG75" localSheetId="0">#REF!</definedName>
    <definedName name="___________________BSG75">#REF!</definedName>
    <definedName name="___________________BTC1" localSheetId="11">NA()</definedName>
    <definedName name="___________________BTC1" localSheetId="12">NA()</definedName>
    <definedName name="___________________BTC1" localSheetId="0">#REF!</definedName>
    <definedName name="___________________BTC1">#REF!</definedName>
    <definedName name="___________________BTC10" localSheetId="11">NA()</definedName>
    <definedName name="___________________BTC10" localSheetId="12">NA()</definedName>
    <definedName name="___________________BTC10" localSheetId="0">#REF!</definedName>
    <definedName name="___________________BTC10">#REF!</definedName>
    <definedName name="___________________BTC11" localSheetId="11">NA()</definedName>
    <definedName name="___________________BTC11" localSheetId="12">NA()</definedName>
    <definedName name="___________________BTC11" localSheetId="0">#REF!</definedName>
    <definedName name="___________________BTC11">#REF!</definedName>
    <definedName name="___________________BTC12" localSheetId="11">NA()</definedName>
    <definedName name="___________________BTC12" localSheetId="12">NA()</definedName>
    <definedName name="___________________BTC12" localSheetId="0">#REF!</definedName>
    <definedName name="___________________BTC12">#REF!</definedName>
    <definedName name="___________________BTC13" localSheetId="11">NA()</definedName>
    <definedName name="___________________BTC13" localSheetId="12">NA()</definedName>
    <definedName name="___________________BTC13" localSheetId="0">#REF!</definedName>
    <definedName name="___________________BTC13">#REF!</definedName>
    <definedName name="___________________BTC14" localSheetId="11">NA()</definedName>
    <definedName name="___________________BTC14" localSheetId="12">NA()</definedName>
    <definedName name="___________________BTC14" localSheetId="0">#REF!</definedName>
    <definedName name="___________________BTC14">#REF!</definedName>
    <definedName name="___________________BTC15" localSheetId="11">NA()</definedName>
    <definedName name="___________________BTC15" localSheetId="12">NA()</definedName>
    <definedName name="___________________BTC15" localSheetId="0">#REF!</definedName>
    <definedName name="___________________BTC15">#REF!</definedName>
    <definedName name="___________________BTC16" localSheetId="11">NA()</definedName>
    <definedName name="___________________BTC16" localSheetId="12">NA()</definedName>
    <definedName name="___________________BTC16" localSheetId="0">#REF!</definedName>
    <definedName name="___________________BTC16">#REF!</definedName>
    <definedName name="___________________BTC17" localSheetId="11">NA()</definedName>
    <definedName name="___________________BTC17" localSheetId="12">NA()</definedName>
    <definedName name="___________________BTC17" localSheetId="0">#REF!</definedName>
    <definedName name="___________________BTC17">#REF!</definedName>
    <definedName name="___________________BTC18" localSheetId="11">NA()</definedName>
    <definedName name="___________________BTC18" localSheetId="12">NA()</definedName>
    <definedName name="___________________BTC18" localSheetId="0">#REF!</definedName>
    <definedName name="___________________BTC18">#REF!</definedName>
    <definedName name="___________________BTC19" localSheetId="11">NA()</definedName>
    <definedName name="___________________BTC19" localSheetId="12">NA()</definedName>
    <definedName name="___________________BTC19" localSheetId="0">#REF!</definedName>
    <definedName name="___________________BTC19">#REF!</definedName>
    <definedName name="___________________BTC2" localSheetId="11">NA()</definedName>
    <definedName name="___________________BTC2" localSheetId="12">NA()</definedName>
    <definedName name="___________________BTC2" localSheetId="0">#REF!</definedName>
    <definedName name="___________________BTC2">#REF!</definedName>
    <definedName name="___________________BTC20" localSheetId="11">NA()</definedName>
    <definedName name="___________________BTC20" localSheetId="12">NA()</definedName>
    <definedName name="___________________BTC20" localSheetId="0">#REF!</definedName>
    <definedName name="___________________BTC20">#REF!</definedName>
    <definedName name="___________________BTC21" localSheetId="11">NA()</definedName>
    <definedName name="___________________BTC21" localSheetId="12">NA()</definedName>
    <definedName name="___________________BTC21" localSheetId="0">#REF!</definedName>
    <definedName name="___________________BTC21">#REF!</definedName>
    <definedName name="___________________BTC22" localSheetId="11">NA()</definedName>
    <definedName name="___________________BTC22" localSheetId="12">NA()</definedName>
    <definedName name="___________________BTC22" localSheetId="0">#REF!</definedName>
    <definedName name="___________________BTC22">#REF!</definedName>
    <definedName name="___________________BTC23" localSheetId="11">NA()</definedName>
    <definedName name="___________________BTC23" localSheetId="12">NA()</definedName>
    <definedName name="___________________BTC23" localSheetId="0">#REF!</definedName>
    <definedName name="___________________BTC23">#REF!</definedName>
    <definedName name="___________________BTC24" localSheetId="11">NA()</definedName>
    <definedName name="___________________BTC24" localSheetId="12">NA()</definedName>
    <definedName name="___________________BTC24" localSheetId="0">#REF!</definedName>
    <definedName name="___________________BTC24">#REF!</definedName>
    <definedName name="___________________BTC3" localSheetId="11">NA()</definedName>
    <definedName name="___________________BTC3" localSheetId="12">NA()</definedName>
    <definedName name="___________________BTC3" localSheetId="0">#REF!</definedName>
    <definedName name="___________________BTC3">#REF!</definedName>
    <definedName name="___________________BTC4" localSheetId="11">NA()</definedName>
    <definedName name="___________________BTC4" localSheetId="12">NA()</definedName>
    <definedName name="___________________BTC4" localSheetId="0">#REF!</definedName>
    <definedName name="___________________BTC4">#REF!</definedName>
    <definedName name="___________________BTC5" localSheetId="11">NA()</definedName>
    <definedName name="___________________BTC5" localSheetId="12">NA()</definedName>
    <definedName name="___________________BTC5" localSheetId="0">#REF!</definedName>
    <definedName name="___________________BTC5">#REF!</definedName>
    <definedName name="___________________BTC6" localSheetId="11">NA()</definedName>
    <definedName name="___________________BTC6" localSheetId="12">NA()</definedName>
    <definedName name="___________________BTC6" localSheetId="0">#REF!</definedName>
    <definedName name="___________________BTC6">#REF!</definedName>
    <definedName name="___________________BTC7" localSheetId="11">NA()</definedName>
    <definedName name="___________________BTC7" localSheetId="12">NA()</definedName>
    <definedName name="___________________BTC7" localSheetId="0">#REF!</definedName>
    <definedName name="___________________BTC7">#REF!</definedName>
    <definedName name="___________________BTC8" localSheetId="11">NA()</definedName>
    <definedName name="___________________BTC8" localSheetId="12">NA()</definedName>
    <definedName name="___________________BTC8" localSheetId="0">#REF!</definedName>
    <definedName name="___________________BTC8">#REF!</definedName>
    <definedName name="___________________BTC9" localSheetId="11">NA()</definedName>
    <definedName name="___________________BTC9" localSheetId="12">NA()</definedName>
    <definedName name="___________________BTC9" localSheetId="0">#REF!</definedName>
    <definedName name="___________________BTC9">#REF!</definedName>
    <definedName name="___________________BTR1" localSheetId="11">NA()</definedName>
    <definedName name="___________________BTR1" localSheetId="12">NA()</definedName>
    <definedName name="___________________BTR1" localSheetId="0">#REF!</definedName>
    <definedName name="___________________BTR1">#REF!</definedName>
    <definedName name="___________________BTR10" localSheetId="11">NA()</definedName>
    <definedName name="___________________BTR10" localSheetId="12">NA()</definedName>
    <definedName name="___________________BTR10" localSheetId="0">#REF!</definedName>
    <definedName name="___________________BTR10">#REF!</definedName>
    <definedName name="___________________BTR11" localSheetId="11">NA()</definedName>
    <definedName name="___________________BTR11" localSheetId="12">NA()</definedName>
    <definedName name="___________________BTR11" localSheetId="0">#REF!</definedName>
    <definedName name="___________________BTR11">#REF!</definedName>
    <definedName name="___________________BTR12" localSheetId="11">NA()</definedName>
    <definedName name="___________________BTR12" localSheetId="12">NA()</definedName>
    <definedName name="___________________BTR12" localSheetId="0">#REF!</definedName>
    <definedName name="___________________BTR12">#REF!</definedName>
    <definedName name="___________________BTR13" localSheetId="11">NA()</definedName>
    <definedName name="___________________BTR13" localSheetId="12">NA()</definedName>
    <definedName name="___________________BTR13" localSheetId="0">#REF!</definedName>
    <definedName name="___________________BTR13">#REF!</definedName>
    <definedName name="___________________BTR14" localSheetId="11">NA()</definedName>
    <definedName name="___________________BTR14" localSheetId="12">NA()</definedName>
    <definedName name="___________________BTR14" localSheetId="0">#REF!</definedName>
    <definedName name="___________________BTR14">#REF!</definedName>
    <definedName name="___________________BTR15" localSheetId="11">NA()</definedName>
    <definedName name="___________________BTR15" localSheetId="12">NA()</definedName>
    <definedName name="___________________BTR15" localSheetId="0">#REF!</definedName>
    <definedName name="___________________BTR15">#REF!</definedName>
    <definedName name="___________________BTR16" localSheetId="11">NA()</definedName>
    <definedName name="___________________BTR16" localSheetId="12">NA()</definedName>
    <definedName name="___________________BTR16" localSheetId="0">#REF!</definedName>
    <definedName name="___________________BTR16">#REF!</definedName>
    <definedName name="___________________BTR17" localSheetId="11">NA()</definedName>
    <definedName name="___________________BTR17" localSheetId="12">NA()</definedName>
    <definedName name="___________________BTR17" localSheetId="0">#REF!</definedName>
    <definedName name="___________________BTR17">#REF!</definedName>
    <definedName name="___________________BTR18" localSheetId="11">NA()</definedName>
    <definedName name="___________________BTR18" localSheetId="12">NA()</definedName>
    <definedName name="___________________BTR18" localSheetId="0">#REF!</definedName>
    <definedName name="___________________BTR18">#REF!</definedName>
    <definedName name="___________________BTR19" localSheetId="11">NA()</definedName>
    <definedName name="___________________BTR19" localSheetId="12">NA()</definedName>
    <definedName name="___________________BTR19" localSheetId="0">#REF!</definedName>
    <definedName name="___________________BTR19">#REF!</definedName>
    <definedName name="___________________BTR2" localSheetId="11">NA()</definedName>
    <definedName name="___________________BTR2" localSheetId="12">NA()</definedName>
    <definedName name="___________________BTR2" localSheetId="0">#REF!</definedName>
    <definedName name="___________________BTR2">#REF!</definedName>
    <definedName name="___________________BTR20" localSheetId="11">NA()</definedName>
    <definedName name="___________________BTR20" localSheetId="12">NA()</definedName>
    <definedName name="___________________BTR20" localSheetId="0">#REF!</definedName>
    <definedName name="___________________BTR20">#REF!</definedName>
    <definedName name="___________________BTR21" localSheetId="11">NA()</definedName>
    <definedName name="___________________BTR21" localSheetId="12">NA()</definedName>
    <definedName name="___________________BTR21" localSheetId="0">#REF!</definedName>
    <definedName name="___________________BTR21">#REF!</definedName>
    <definedName name="___________________BTR22" localSheetId="11">NA()</definedName>
    <definedName name="___________________BTR22" localSheetId="12">NA()</definedName>
    <definedName name="___________________BTR22" localSheetId="0">#REF!</definedName>
    <definedName name="___________________BTR22">#REF!</definedName>
    <definedName name="___________________BTR23" localSheetId="11">NA()</definedName>
    <definedName name="___________________BTR23" localSheetId="12">NA()</definedName>
    <definedName name="___________________BTR23" localSheetId="0">#REF!</definedName>
    <definedName name="___________________BTR23">#REF!</definedName>
    <definedName name="___________________BTR24" localSheetId="11">NA()</definedName>
    <definedName name="___________________BTR24" localSheetId="12">NA()</definedName>
    <definedName name="___________________BTR24" localSheetId="0">#REF!</definedName>
    <definedName name="___________________BTR24">#REF!</definedName>
    <definedName name="___________________BTR3" localSheetId="11">NA()</definedName>
    <definedName name="___________________BTR3" localSheetId="12">NA()</definedName>
    <definedName name="___________________BTR3" localSheetId="0">#REF!</definedName>
    <definedName name="___________________BTR3">#REF!</definedName>
    <definedName name="___________________BTR4" localSheetId="11">NA()</definedName>
    <definedName name="___________________BTR4" localSheetId="12">NA()</definedName>
    <definedName name="___________________BTR4" localSheetId="0">#REF!</definedName>
    <definedName name="___________________BTR4">#REF!</definedName>
    <definedName name="___________________BTR5" localSheetId="11">NA()</definedName>
    <definedName name="___________________BTR5" localSheetId="12">NA()</definedName>
    <definedName name="___________________BTR5" localSheetId="0">#REF!</definedName>
    <definedName name="___________________BTR5">#REF!</definedName>
    <definedName name="___________________BTR6" localSheetId="11">NA()</definedName>
    <definedName name="___________________BTR6" localSheetId="12">NA()</definedName>
    <definedName name="___________________BTR6" localSheetId="0">#REF!</definedName>
    <definedName name="___________________BTR6">#REF!</definedName>
    <definedName name="___________________BTR7" localSheetId="11">NA()</definedName>
    <definedName name="___________________BTR7" localSheetId="12">NA()</definedName>
    <definedName name="___________________BTR7" localSheetId="0">#REF!</definedName>
    <definedName name="___________________BTR7">#REF!</definedName>
    <definedName name="___________________BTR8" localSheetId="11">NA()</definedName>
    <definedName name="___________________BTR8" localSheetId="12">NA()</definedName>
    <definedName name="___________________BTR8" localSheetId="0">#REF!</definedName>
    <definedName name="___________________BTR8">#REF!</definedName>
    <definedName name="___________________BTR9" localSheetId="11">NA()</definedName>
    <definedName name="___________________BTR9" localSheetId="12">NA()</definedName>
    <definedName name="___________________BTR9" localSheetId="0">#REF!</definedName>
    <definedName name="___________________BTR9">#REF!</definedName>
    <definedName name="___________________BTS1" localSheetId="11">NA()</definedName>
    <definedName name="___________________BTS1" localSheetId="12">NA()</definedName>
    <definedName name="___________________BTS1" localSheetId="0">#REF!</definedName>
    <definedName name="___________________BTS1">#REF!</definedName>
    <definedName name="___________________BTS10" localSheetId="11">NA()</definedName>
    <definedName name="___________________BTS10" localSheetId="12">NA()</definedName>
    <definedName name="___________________BTS10" localSheetId="0">#REF!</definedName>
    <definedName name="___________________BTS10">#REF!</definedName>
    <definedName name="___________________BTS11" localSheetId="11">NA()</definedName>
    <definedName name="___________________BTS11" localSheetId="12">NA()</definedName>
    <definedName name="___________________BTS11" localSheetId="0">#REF!</definedName>
    <definedName name="___________________BTS11">#REF!</definedName>
    <definedName name="___________________BTS12" localSheetId="11">NA()</definedName>
    <definedName name="___________________BTS12" localSheetId="12">NA()</definedName>
    <definedName name="___________________BTS12" localSheetId="0">#REF!</definedName>
    <definedName name="___________________BTS12">#REF!</definedName>
    <definedName name="___________________BTS13" localSheetId="11">NA()</definedName>
    <definedName name="___________________BTS13" localSheetId="12">NA()</definedName>
    <definedName name="___________________BTS13" localSheetId="0">#REF!</definedName>
    <definedName name="___________________BTS13">#REF!</definedName>
    <definedName name="___________________BTS14" localSheetId="11">NA()</definedName>
    <definedName name="___________________BTS14" localSheetId="12">NA()</definedName>
    <definedName name="___________________BTS14" localSheetId="0">#REF!</definedName>
    <definedName name="___________________BTS14">#REF!</definedName>
    <definedName name="___________________BTS15" localSheetId="11">NA()</definedName>
    <definedName name="___________________BTS15" localSheetId="12">NA()</definedName>
    <definedName name="___________________BTS15" localSheetId="0">#REF!</definedName>
    <definedName name="___________________BTS15">#REF!</definedName>
    <definedName name="___________________BTS16" localSheetId="11">NA()</definedName>
    <definedName name="___________________BTS16" localSheetId="12">NA()</definedName>
    <definedName name="___________________BTS16" localSheetId="0">#REF!</definedName>
    <definedName name="___________________BTS16">#REF!</definedName>
    <definedName name="___________________BTS17" localSheetId="11">NA()</definedName>
    <definedName name="___________________BTS17" localSheetId="12">NA()</definedName>
    <definedName name="___________________BTS17" localSheetId="0">#REF!</definedName>
    <definedName name="___________________BTS17">#REF!</definedName>
    <definedName name="___________________BTS18" localSheetId="11">NA()</definedName>
    <definedName name="___________________BTS18" localSheetId="12">NA()</definedName>
    <definedName name="___________________BTS18" localSheetId="0">#REF!</definedName>
    <definedName name="___________________BTS18">#REF!</definedName>
    <definedName name="___________________BTS19" localSheetId="11">NA()</definedName>
    <definedName name="___________________BTS19" localSheetId="12">NA()</definedName>
    <definedName name="___________________BTS19" localSheetId="0">#REF!</definedName>
    <definedName name="___________________BTS19">#REF!</definedName>
    <definedName name="___________________BTS2" localSheetId="11">NA()</definedName>
    <definedName name="___________________BTS2" localSheetId="12">NA()</definedName>
    <definedName name="___________________BTS2" localSheetId="0">#REF!</definedName>
    <definedName name="___________________BTS2">#REF!</definedName>
    <definedName name="___________________BTS20" localSheetId="11">NA()</definedName>
    <definedName name="___________________BTS20" localSheetId="12">NA()</definedName>
    <definedName name="___________________BTS20" localSheetId="0">#REF!</definedName>
    <definedName name="___________________BTS20">#REF!</definedName>
    <definedName name="___________________BTS21" localSheetId="11">NA()</definedName>
    <definedName name="___________________BTS21" localSheetId="12">NA()</definedName>
    <definedName name="___________________BTS21" localSheetId="0">#REF!</definedName>
    <definedName name="___________________BTS21">#REF!</definedName>
    <definedName name="___________________BTS22" localSheetId="11">NA()</definedName>
    <definedName name="___________________BTS22" localSheetId="12">NA()</definedName>
    <definedName name="___________________BTS22" localSheetId="0">#REF!</definedName>
    <definedName name="___________________BTS22">#REF!</definedName>
    <definedName name="___________________BTS23" localSheetId="11">NA()</definedName>
    <definedName name="___________________BTS23" localSheetId="12">NA()</definedName>
    <definedName name="___________________BTS23" localSheetId="0">#REF!</definedName>
    <definedName name="___________________BTS23">#REF!</definedName>
    <definedName name="___________________BTS24" localSheetId="11">NA()</definedName>
    <definedName name="___________________BTS24" localSheetId="12">NA()</definedName>
    <definedName name="___________________BTS24" localSheetId="0">#REF!</definedName>
    <definedName name="___________________BTS24">#REF!</definedName>
    <definedName name="___________________BTS3" localSheetId="11">NA()</definedName>
    <definedName name="___________________BTS3" localSheetId="12">NA()</definedName>
    <definedName name="___________________BTS3" localSheetId="0">#REF!</definedName>
    <definedName name="___________________BTS3">#REF!</definedName>
    <definedName name="___________________BTS4" localSheetId="11">NA()</definedName>
    <definedName name="___________________BTS4" localSheetId="12">NA()</definedName>
    <definedName name="___________________BTS4" localSheetId="0">#REF!</definedName>
    <definedName name="___________________BTS4">#REF!</definedName>
    <definedName name="___________________BTS5" localSheetId="11">NA()</definedName>
    <definedName name="___________________BTS5" localSheetId="12">NA()</definedName>
    <definedName name="___________________BTS5" localSheetId="0">#REF!</definedName>
    <definedName name="___________________BTS5">#REF!</definedName>
    <definedName name="___________________BTS6" localSheetId="11">NA()</definedName>
    <definedName name="___________________BTS6" localSheetId="12">NA()</definedName>
    <definedName name="___________________BTS6" localSheetId="0">#REF!</definedName>
    <definedName name="___________________BTS6">#REF!</definedName>
    <definedName name="___________________BTS7" localSheetId="11">NA()</definedName>
    <definedName name="___________________BTS7" localSheetId="12">NA()</definedName>
    <definedName name="___________________BTS7" localSheetId="0">#REF!</definedName>
    <definedName name="___________________BTS7">#REF!</definedName>
    <definedName name="___________________BTS8" localSheetId="11">NA()</definedName>
    <definedName name="___________________BTS8" localSheetId="12">NA()</definedName>
    <definedName name="___________________BTS8" localSheetId="0">#REF!</definedName>
    <definedName name="___________________BTS8">#REF!</definedName>
    <definedName name="___________________BTS9" localSheetId="11">NA()</definedName>
    <definedName name="___________________BTS9" localSheetId="12">NA()</definedName>
    <definedName name="___________________BTS9" localSheetId="0">#REF!</definedName>
    <definedName name="___________________BTS9">#REF!</definedName>
    <definedName name="___________________can430">40.73</definedName>
    <definedName name="___________________can435">43.3</definedName>
    <definedName name="___________________CCW1">[14]DATA!$H$67</definedName>
    <definedName name="___________________CCW2">[14]DATA!$H$97</definedName>
    <definedName name="___________________cur1">[2]r!$F$30</definedName>
    <definedName name="___________________GBS11" localSheetId="11">NA()</definedName>
    <definedName name="___________________GBS11" localSheetId="12">NA()</definedName>
    <definedName name="___________________GBS11" localSheetId="0">#REF!</definedName>
    <definedName name="___________________GBS11">#REF!</definedName>
    <definedName name="___________________GBS110" localSheetId="11">NA()</definedName>
    <definedName name="___________________GBS110" localSheetId="12">NA()</definedName>
    <definedName name="___________________GBS110" localSheetId="0">#REF!</definedName>
    <definedName name="___________________GBS110">#REF!</definedName>
    <definedName name="___________________GBS111" localSheetId="11">NA()</definedName>
    <definedName name="___________________GBS111" localSheetId="12">NA()</definedName>
    <definedName name="___________________GBS111" localSheetId="0">#REF!</definedName>
    <definedName name="___________________GBS111">#REF!</definedName>
    <definedName name="___________________GBS112" localSheetId="11">NA()</definedName>
    <definedName name="___________________GBS112" localSheetId="12">NA()</definedName>
    <definedName name="___________________GBS112" localSheetId="0">#REF!</definedName>
    <definedName name="___________________GBS112">#REF!</definedName>
    <definedName name="___________________GBS113" localSheetId="11">NA()</definedName>
    <definedName name="___________________GBS113" localSheetId="12">NA()</definedName>
    <definedName name="___________________GBS113" localSheetId="0">#REF!</definedName>
    <definedName name="___________________GBS113">#REF!</definedName>
    <definedName name="___________________GBS114" localSheetId="11">NA()</definedName>
    <definedName name="___________________GBS114" localSheetId="12">NA()</definedName>
    <definedName name="___________________GBS114" localSheetId="0">#REF!</definedName>
    <definedName name="___________________GBS114">#REF!</definedName>
    <definedName name="___________________GBS115" localSheetId="11">NA()</definedName>
    <definedName name="___________________GBS115" localSheetId="12">NA()</definedName>
    <definedName name="___________________GBS115" localSheetId="0">#REF!</definedName>
    <definedName name="___________________GBS115">#REF!</definedName>
    <definedName name="___________________GBS116" localSheetId="11">NA()</definedName>
    <definedName name="___________________GBS116" localSheetId="12">NA()</definedName>
    <definedName name="___________________GBS116" localSheetId="0">#REF!</definedName>
    <definedName name="___________________GBS116">#REF!</definedName>
    <definedName name="___________________GBS117" localSheetId="11">NA()</definedName>
    <definedName name="___________________GBS117" localSheetId="12">NA()</definedName>
    <definedName name="___________________GBS117" localSheetId="0">#REF!</definedName>
    <definedName name="___________________GBS117">#REF!</definedName>
    <definedName name="___________________GBS118" localSheetId="11">NA()</definedName>
    <definedName name="___________________GBS118" localSheetId="12">NA()</definedName>
    <definedName name="___________________GBS118" localSheetId="0">#REF!</definedName>
    <definedName name="___________________GBS118">#REF!</definedName>
    <definedName name="___________________GBS119" localSheetId="11">NA()</definedName>
    <definedName name="___________________GBS119" localSheetId="12">NA()</definedName>
    <definedName name="___________________GBS119" localSheetId="0">#REF!</definedName>
    <definedName name="___________________GBS119">#REF!</definedName>
    <definedName name="___________________GBS12" localSheetId="11">NA()</definedName>
    <definedName name="___________________GBS12" localSheetId="12">NA()</definedName>
    <definedName name="___________________GBS12" localSheetId="0">#REF!</definedName>
    <definedName name="___________________GBS12">#REF!</definedName>
    <definedName name="___________________GBS120" localSheetId="11">NA()</definedName>
    <definedName name="___________________GBS120" localSheetId="12">NA()</definedName>
    <definedName name="___________________GBS120" localSheetId="0">#REF!</definedName>
    <definedName name="___________________GBS120">#REF!</definedName>
    <definedName name="___________________GBS121" localSheetId="11">NA()</definedName>
    <definedName name="___________________GBS121" localSheetId="12">NA()</definedName>
    <definedName name="___________________GBS121" localSheetId="0">#REF!</definedName>
    <definedName name="___________________GBS121">#REF!</definedName>
    <definedName name="___________________GBS122" localSheetId="11">NA()</definedName>
    <definedName name="___________________GBS122" localSheetId="12">NA()</definedName>
    <definedName name="___________________GBS122" localSheetId="0">#REF!</definedName>
    <definedName name="___________________GBS122">#REF!</definedName>
    <definedName name="___________________GBS123" localSheetId="11">NA()</definedName>
    <definedName name="___________________GBS123" localSheetId="12">NA()</definedName>
    <definedName name="___________________GBS123" localSheetId="0">#REF!</definedName>
    <definedName name="___________________GBS123">#REF!</definedName>
    <definedName name="___________________GBS124" localSheetId="11">NA()</definedName>
    <definedName name="___________________GBS124" localSheetId="12">NA()</definedName>
    <definedName name="___________________GBS124" localSheetId="0">#REF!</definedName>
    <definedName name="___________________GBS124">#REF!</definedName>
    <definedName name="___________________GBS13" localSheetId="11">NA()</definedName>
    <definedName name="___________________GBS13" localSheetId="12">NA()</definedName>
    <definedName name="___________________GBS13" localSheetId="0">#REF!</definedName>
    <definedName name="___________________GBS13">#REF!</definedName>
    <definedName name="___________________GBS14" localSheetId="11">NA()</definedName>
    <definedName name="___________________GBS14" localSheetId="12">NA()</definedName>
    <definedName name="___________________GBS14" localSheetId="0">#REF!</definedName>
    <definedName name="___________________GBS14">#REF!</definedName>
    <definedName name="___________________GBS15" localSheetId="11">NA()</definedName>
    <definedName name="___________________GBS15" localSheetId="12">NA()</definedName>
    <definedName name="___________________GBS15" localSheetId="0">#REF!</definedName>
    <definedName name="___________________GBS15">#REF!</definedName>
    <definedName name="___________________GBS16" localSheetId="11">NA()</definedName>
    <definedName name="___________________GBS16" localSheetId="12">NA()</definedName>
    <definedName name="___________________GBS16" localSheetId="0">#REF!</definedName>
    <definedName name="___________________GBS16">#REF!</definedName>
    <definedName name="___________________GBS17" localSheetId="11">NA()</definedName>
    <definedName name="___________________GBS17" localSheetId="12">NA()</definedName>
    <definedName name="___________________GBS17" localSheetId="0">#REF!</definedName>
    <definedName name="___________________GBS17">#REF!</definedName>
    <definedName name="___________________GBS18" localSheetId="11">NA()</definedName>
    <definedName name="___________________GBS18" localSheetId="12">NA()</definedName>
    <definedName name="___________________GBS18" localSheetId="0">#REF!</definedName>
    <definedName name="___________________GBS18">#REF!</definedName>
    <definedName name="___________________GBS19" localSheetId="11">NA()</definedName>
    <definedName name="___________________GBS19" localSheetId="12">NA()</definedName>
    <definedName name="___________________GBS19" localSheetId="0">#REF!</definedName>
    <definedName name="___________________GBS19">#REF!</definedName>
    <definedName name="___________________GBS21" localSheetId="11">NA()</definedName>
    <definedName name="___________________GBS21" localSheetId="12">NA()</definedName>
    <definedName name="___________________GBS21" localSheetId="0">#REF!</definedName>
    <definedName name="___________________GBS21">#REF!</definedName>
    <definedName name="___________________GBS210" localSheetId="11">NA()</definedName>
    <definedName name="___________________GBS210" localSheetId="12">NA()</definedName>
    <definedName name="___________________GBS210" localSheetId="0">#REF!</definedName>
    <definedName name="___________________GBS210">#REF!</definedName>
    <definedName name="___________________GBS211" localSheetId="11">NA()</definedName>
    <definedName name="___________________GBS211" localSheetId="12">NA()</definedName>
    <definedName name="___________________GBS211" localSheetId="0">#REF!</definedName>
    <definedName name="___________________GBS211">#REF!</definedName>
    <definedName name="___________________GBS212" localSheetId="11">NA()</definedName>
    <definedName name="___________________GBS212" localSheetId="12">NA()</definedName>
    <definedName name="___________________GBS212" localSheetId="0">#REF!</definedName>
    <definedName name="___________________GBS212">#REF!</definedName>
    <definedName name="___________________GBS213" localSheetId="11">NA()</definedName>
    <definedName name="___________________GBS213" localSheetId="12">NA()</definedName>
    <definedName name="___________________GBS213" localSheetId="0">#REF!</definedName>
    <definedName name="___________________GBS213">#REF!</definedName>
    <definedName name="___________________GBS214" localSheetId="11">NA()</definedName>
    <definedName name="___________________GBS214" localSheetId="12">NA()</definedName>
    <definedName name="___________________GBS214" localSheetId="0">#REF!</definedName>
    <definedName name="___________________GBS214">#REF!</definedName>
    <definedName name="___________________GBS215" localSheetId="11">NA()</definedName>
    <definedName name="___________________GBS215" localSheetId="12">NA()</definedName>
    <definedName name="___________________GBS215" localSheetId="0">#REF!</definedName>
    <definedName name="___________________GBS215">#REF!</definedName>
    <definedName name="___________________GBS216" localSheetId="11">NA()</definedName>
    <definedName name="___________________GBS216" localSheetId="12">NA()</definedName>
    <definedName name="___________________GBS216" localSheetId="0">#REF!</definedName>
    <definedName name="___________________GBS216">#REF!</definedName>
    <definedName name="___________________GBS217" localSheetId="11">NA()</definedName>
    <definedName name="___________________GBS217" localSheetId="12">NA()</definedName>
    <definedName name="___________________GBS217" localSheetId="0">#REF!</definedName>
    <definedName name="___________________GBS217">#REF!</definedName>
    <definedName name="___________________GBS218" localSheetId="11">NA()</definedName>
    <definedName name="___________________GBS218" localSheetId="12">NA()</definedName>
    <definedName name="___________________GBS218" localSheetId="0">#REF!</definedName>
    <definedName name="___________________GBS218">#REF!</definedName>
    <definedName name="___________________GBS219" localSheetId="11">NA()</definedName>
    <definedName name="___________________GBS219" localSheetId="12">NA()</definedName>
    <definedName name="___________________GBS219" localSheetId="0">#REF!</definedName>
    <definedName name="___________________GBS219">#REF!</definedName>
    <definedName name="___________________GBS22" localSheetId="11">NA()</definedName>
    <definedName name="___________________GBS22" localSheetId="12">NA()</definedName>
    <definedName name="___________________GBS22" localSheetId="0">#REF!</definedName>
    <definedName name="___________________GBS22">#REF!</definedName>
    <definedName name="___________________GBS220" localSheetId="11">NA()</definedName>
    <definedName name="___________________GBS220" localSheetId="12">NA()</definedName>
    <definedName name="___________________GBS220" localSheetId="0">#REF!</definedName>
    <definedName name="___________________GBS220">#REF!</definedName>
    <definedName name="___________________GBS221" localSheetId="11">NA()</definedName>
    <definedName name="___________________GBS221" localSheetId="12">NA()</definedName>
    <definedName name="___________________GBS221" localSheetId="0">#REF!</definedName>
    <definedName name="___________________GBS221">#REF!</definedName>
    <definedName name="___________________GBS222" localSheetId="11">NA()</definedName>
    <definedName name="___________________GBS222" localSheetId="12">NA()</definedName>
    <definedName name="___________________GBS222" localSheetId="0">#REF!</definedName>
    <definedName name="___________________GBS222">#REF!</definedName>
    <definedName name="___________________GBS223" localSheetId="11">NA()</definedName>
    <definedName name="___________________GBS223" localSheetId="12">NA()</definedName>
    <definedName name="___________________GBS223" localSheetId="0">#REF!</definedName>
    <definedName name="___________________GBS223">#REF!</definedName>
    <definedName name="___________________GBS224" localSheetId="11">NA()</definedName>
    <definedName name="___________________GBS224" localSheetId="12">NA()</definedName>
    <definedName name="___________________GBS224" localSheetId="0">#REF!</definedName>
    <definedName name="___________________GBS224">#REF!</definedName>
    <definedName name="___________________GBS23" localSheetId="11">NA()</definedName>
    <definedName name="___________________GBS23" localSheetId="12">NA()</definedName>
    <definedName name="___________________GBS23" localSheetId="0">#REF!</definedName>
    <definedName name="___________________GBS23">#REF!</definedName>
    <definedName name="___________________GBS24" localSheetId="11">NA()</definedName>
    <definedName name="___________________GBS24" localSheetId="12">NA()</definedName>
    <definedName name="___________________GBS24" localSheetId="0">#REF!</definedName>
    <definedName name="___________________GBS24">#REF!</definedName>
    <definedName name="___________________GBS25" localSheetId="11">NA()</definedName>
    <definedName name="___________________GBS25" localSheetId="12">NA()</definedName>
    <definedName name="___________________GBS25" localSheetId="0">#REF!</definedName>
    <definedName name="___________________GBS25">#REF!</definedName>
    <definedName name="___________________GBS26" localSheetId="11">NA()</definedName>
    <definedName name="___________________GBS26" localSheetId="12">NA()</definedName>
    <definedName name="___________________GBS26" localSheetId="0">#REF!</definedName>
    <definedName name="___________________GBS26">#REF!</definedName>
    <definedName name="___________________GBS27" localSheetId="11">NA()</definedName>
    <definedName name="___________________GBS27" localSheetId="12">NA()</definedName>
    <definedName name="___________________GBS27" localSheetId="0">#REF!</definedName>
    <definedName name="___________________GBS27">#REF!</definedName>
    <definedName name="___________________GBS28" localSheetId="11">NA()</definedName>
    <definedName name="___________________GBS28" localSheetId="12">NA()</definedName>
    <definedName name="___________________GBS28" localSheetId="0">#REF!</definedName>
    <definedName name="___________________GBS28">#REF!</definedName>
    <definedName name="___________________GBS29" localSheetId="11">NA()</definedName>
    <definedName name="___________________GBS29" localSheetId="12">NA()</definedName>
    <definedName name="___________________GBS29" localSheetId="0">#REF!</definedName>
    <definedName name="___________________GBS29">#REF!</definedName>
    <definedName name="___________________imp1">[11]DATA_PRG!$H$245</definedName>
    <definedName name="___________________knr2">NA()</definedName>
    <definedName name="___________________l1">[3]leads!$A$3:$E$108</definedName>
    <definedName name="___________________l12" localSheetId="11">NA()</definedName>
    <definedName name="___________________l12" localSheetId="12">NA()</definedName>
    <definedName name="___________________l12" localSheetId="0">#REF!</definedName>
    <definedName name="___________________l12">#REF!</definedName>
    <definedName name="___________________l2">[2]r!$F$29</definedName>
    <definedName name="___________________l3" localSheetId="11">NA()</definedName>
    <definedName name="___________________l3" localSheetId="12">NA()</definedName>
    <definedName name="___________________l3" localSheetId="0">#REF!</definedName>
    <definedName name="___________________l3">#REF!</definedName>
    <definedName name="___________________l4">[4]Sheet1!$W$2:$Y$103</definedName>
    <definedName name="___________________l5" localSheetId="11">NA()</definedName>
    <definedName name="___________________l5" localSheetId="12">NA()</definedName>
    <definedName name="___________________l5" localSheetId="0">#REF!</definedName>
    <definedName name="___________________l5">#REF!</definedName>
    <definedName name="___________________l6">[2]r!$F$4</definedName>
    <definedName name="___________________l7">[5]r!$F$4</definedName>
    <definedName name="___________________l8">[2]r!$F$2</definedName>
    <definedName name="___________________l9">[2]r!$F$3</definedName>
    <definedName name="___________________LJ6">[14]DATA!$H$245</definedName>
    <definedName name="___________________lj600" localSheetId="11">NA()</definedName>
    <definedName name="___________________lj600" localSheetId="12">NA()</definedName>
    <definedName name="___________________lj600" localSheetId="0">#REF!</definedName>
    <definedName name="___________________lj600">#REF!</definedName>
    <definedName name="___________________lj900" localSheetId="11">NA()</definedName>
    <definedName name="___________________lj900" localSheetId="12">NA()</definedName>
    <definedName name="___________________lj900" localSheetId="0">#REF!</definedName>
    <definedName name="___________________lj900">#REF!</definedName>
    <definedName name="___________________LL3" localSheetId="11">NA()</definedName>
    <definedName name="___________________LL3" localSheetId="12">NA()</definedName>
    <definedName name="___________________LL3" localSheetId="0">#REF!</definedName>
    <definedName name="___________________LL3">#REF!</definedName>
    <definedName name="___________________LSO24" localSheetId="11">"[14]lead!#ref!"</definedName>
    <definedName name="___________________LSO24" localSheetId="12">"[14]lead!#ref!"</definedName>
    <definedName name="___________________LSO24" localSheetId="0">[10]Lead!#REF!</definedName>
    <definedName name="___________________LSO24">[10]Lead!#REF!</definedName>
    <definedName name="___________________MA1" localSheetId="11">NA()</definedName>
    <definedName name="___________________MA1" localSheetId="12">NA()</definedName>
    <definedName name="___________________MA1" localSheetId="0">#REF!</definedName>
    <definedName name="___________________MA1">#REF!</definedName>
    <definedName name="___________________MA2" localSheetId="11">NA()</definedName>
    <definedName name="___________________MA2" localSheetId="12">NA()</definedName>
    <definedName name="___________________MA2" localSheetId="0">#REF!</definedName>
    <definedName name="___________________MA2">#REF!</definedName>
    <definedName name="___________________Met22" localSheetId="11">NA()</definedName>
    <definedName name="___________________Met22" localSheetId="12">NA()</definedName>
    <definedName name="___________________Met22" localSheetId="0">#REF!</definedName>
    <definedName name="___________________Met22">#REF!</definedName>
    <definedName name="___________________Met45" localSheetId="11">NA()</definedName>
    <definedName name="___________________Met45" localSheetId="12">NA()</definedName>
    <definedName name="___________________Met45" localSheetId="0">#REF!</definedName>
    <definedName name="___________________Met45">#REF!</definedName>
    <definedName name="___________________MEt55" localSheetId="11">NA()</definedName>
    <definedName name="___________________MEt55" localSheetId="12">NA()</definedName>
    <definedName name="___________________MEt55" localSheetId="0">#REF!</definedName>
    <definedName name="___________________MEt55">#REF!</definedName>
    <definedName name="___________________Met63" localSheetId="11">NA()</definedName>
    <definedName name="___________________Met63" localSheetId="12">NA()</definedName>
    <definedName name="___________________Met63" localSheetId="0">#REF!</definedName>
    <definedName name="___________________Met63">#REF!</definedName>
    <definedName name="___________________ML21" localSheetId="11">NA()</definedName>
    <definedName name="___________________ML21" localSheetId="12">NA()</definedName>
    <definedName name="___________________ML21" localSheetId="0">#REF!</definedName>
    <definedName name="___________________ML21">#REF!</definedName>
    <definedName name="___________________ML210" localSheetId="11">NA()</definedName>
    <definedName name="___________________ML210" localSheetId="12">NA()</definedName>
    <definedName name="___________________ML210" localSheetId="0">#REF!</definedName>
    <definedName name="___________________ML210">#REF!</definedName>
    <definedName name="___________________ML211" localSheetId="11">NA()</definedName>
    <definedName name="___________________ML211" localSheetId="12">NA()</definedName>
    <definedName name="___________________ML211" localSheetId="0">#REF!</definedName>
    <definedName name="___________________ML211">#REF!</definedName>
    <definedName name="___________________ML212" localSheetId="11">NA()</definedName>
    <definedName name="___________________ML212" localSheetId="12">NA()</definedName>
    <definedName name="___________________ML212" localSheetId="0">#REF!</definedName>
    <definedName name="___________________ML212">#REF!</definedName>
    <definedName name="___________________ML213" localSheetId="11">NA()</definedName>
    <definedName name="___________________ML213" localSheetId="12">NA()</definedName>
    <definedName name="___________________ML213" localSheetId="0">#REF!</definedName>
    <definedName name="___________________ML213">#REF!</definedName>
    <definedName name="___________________ML214" localSheetId="11">NA()</definedName>
    <definedName name="___________________ML214" localSheetId="12">NA()</definedName>
    <definedName name="___________________ML214" localSheetId="0">#REF!</definedName>
    <definedName name="___________________ML214">#REF!</definedName>
    <definedName name="___________________ML215" localSheetId="11">NA()</definedName>
    <definedName name="___________________ML215" localSheetId="12">NA()</definedName>
    <definedName name="___________________ML215" localSheetId="0">#REF!</definedName>
    <definedName name="___________________ML215">#REF!</definedName>
    <definedName name="___________________ML216" localSheetId="11">NA()</definedName>
    <definedName name="___________________ML216" localSheetId="12">NA()</definedName>
    <definedName name="___________________ML216" localSheetId="0">#REF!</definedName>
    <definedName name="___________________ML216">#REF!</definedName>
    <definedName name="___________________ML217" localSheetId="11">NA()</definedName>
    <definedName name="___________________ML217" localSheetId="12">NA()</definedName>
    <definedName name="___________________ML217" localSheetId="0">#REF!</definedName>
    <definedName name="___________________ML217">#REF!</definedName>
    <definedName name="___________________ML218" localSheetId="11">NA()</definedName>
    <definedName name="___________________ML218" localSheetId="12">NA()</definedName>
    <definedName name="___________________ML218" localSheetId="0">#REF!</definedName>
    <definedName name="___________________ML218">#REF!</definedName>
    <definedName name="___________________ML219" localSheetId="11">NA()</definedName>
    <definedName name="___________________ML219" localSheetId="12">NA()</definedName>
    <definedName name="___________________ML219" localSheetId="0">#REF!</definedName>
    <definedName name="___________________ML219">#REF!</definedName>
    <definedName name="___________________ML22" localSheetId="11">NA()</definedName>
    <definedName name="___________________ML22" localSheetId="12">NA()</definedName>
    <definedName name="___________________ML22" localSheetId="0">#REF!</definedName>
    <definedName name="___________________ML22">#REF!</definedName>
    <definedName name="___________________ML220" localSheetId="11">NA()</definedName>
    <definedName name="___________________ML220" localSheetId="12">NA()</definedName>
    <definedName name="___________________ML220" localSheetId="0">#REF!</definedName>
    <definedName name="___________________ML220">#REF!</definedName>
    <definedName name="___________________ML221" localSheetId="11">NA()</definedName>
    <definedName name="___________________ML221" localSheetId="12">NA()</definedName>
    <definedName name="___________________ML221" localSheetId="0">#REF!</definedName>
    <definedName name="___________________ML221">#REF!</definedName>
    <definedName name="___________________ML222" localSheetId="11">NA()</definedName>
    <definedName name="___________________ML222" localSheetId="12">NA()</definedName>
    <definedName name="___________________ML222" localSheetId="0">#REF!</definedName>
    <definedName name="___________________ML222">#REF!</definedName>
    <definedName name="___________________ML223" localSheetId="11">NA()</definedName>
    <definedName name="___________________ML223" localSheetId="12">NA()</definedName>
    <definedName name="___________________ML223" localSheetId="0">#REF!</definedName>
    <definedName name="___________________ML223">#REF!</definedName>
    <definedName name="___________________ML224" localSheetId="11">NA()</definedName>
    <definedName name="___________________ML224" localSheetId="12">NA()</definedName>
    <definedName name="___________________ML224" localSheetId="0">#REF!</definedName>
    <definedName name="___________________ML224">#REF!</definedName>
    <definedName name="___________________ML23" localSheetId="11">NA()</definedName>
    <definedName name="___________________ML23" localSheetId="12">NA()</definedName>
    <definedName name="___________________ML23" localSheetId="0">#REF!</definedName>
    <definedName name="___________________ML23">#REF!</definedName>
    <definedName name="___________________ML24" localSheetId="11">NA()</definedName>
    <definedName name="___________________ML24" localSheetId="12">NA()</definedName>
    <definedName name="___________________ML24" localSheetId="0">#REF!</definedName>
    <definedName name="___________________ML24">#REF!</definedName>
    <definedName name="___________________ML25" localSheetId="11">NA()</definedName>
    <definedName name="___________________ML25" localSheetId="12">NA()</definedName>
    <definedName name="___________________ML25" localSheetId="0">#REF!</definedName>
    <definedName name="___________________ML25">#REF!</definedName>
    <definedName name="___________________ML26" localSheetId="11">NA()</definedName>
    <definedName name="___________________ML26" localSheetId="12">NA()</definedName>
    <definedName name="___________________ML26" localSheetId="0">#REF!</definedName>
    <definedName name="___________________ML26">#REF!</definedName>
    <definedName name="___________________ML27" localSheetId="11">NA()</definedName>
    <definedName name="___________________ML27" localSheetId="12">NA()</definedName>
    <definedName name="___________________ML27" localSheetId="0">#REF!</definedName>
    <definedName name="___________________ML27">#REF!</definedName>
    <definedName name="___________________ML28" localSheetId="11">NA()</definedName>
    <definedName name="___________________ML28" localSheetId="12">NA()</definedName>
    <definedName name="___________________ML28" localSheetId="0">#REF!</definedName>
    <definedName name="___________________ML28">#REF!</definedName>
    <definedName name="___________________ML29" localSheetId="11">NA()</definedName>
    <definedName name="___________________ML29" localSheetId="12">NA()</definedName>
    <definedName name="___________________ML29" localSheetId="0">#REF!</definedName>
    <definedName name="___________________ML29">#REF!</definedName>
    <definedName name="___________________ML31" localSheetId="11">NA()</definedName>
    <definedName name="___________________ML31" localSheetId="12">NA()</definedName>
    <definedName name="___________________ML31" localSheetId="0">#REF!</definedName>
    <definedName name="___________________ML31">#REF!</definedName>
    <definedName name="___________________ML310" localSheetId="11">NA()</definedName>
    <definedName name="___________________ML310" localSheetId="12">NA()</definedName>
    <definedName name="___________________ML310" localSheetId="0">#REF!</definedName>
    <definedName name="___________________ML310">#REF!</definedName>
    <definedName name="___________________ML311" localSheetId="11">NA()</definedName>
    <definedName name="___________________ML311" localSheetId="12">NA()</definedName>
    <definedName name="___________________ML311" localSheetId="0">#REF!</definedName>
    <definedName name="___________________ML311">#REF!</definedName>
    <definedName name="___________________ML312" localSheetId="11">NA()</definedName>
    <definedName name="___________________ML312" localSheetId="12">NA()</definedName>
    <definedName name="___________________ML312" localSheetId="0">#REF!</definedName>
    <definedName name="___________________ML312">#REF!</definedName>
    <definedName name="___________________ML313" localSheetId="11">NA()</definedName>
    <definedName name="___________________ML313" localSheetId="12">NA()</definedName>
    <definedName name="___________________ML313" localSheetId="0">#REF!</definedName>
    <definedName name="___________________ML313">#REF!</definedName>
    <definedName name="___________________ML314" localSheetId="11">NA()</definedName>
    <definedName name="___________________ML314" localSheetId="12">NA()</definedName>
    <definedName name="___________________ML314" localSheetId="0">#REF!</definedName>
    <definedName name="___________________ML314">#REF!</definedName>
    <definedName name="___________________ML315" localSheetId="11">NA()</definedName>
    <definedName name="___________________ML315" localSheetId="12">NA()</definedName>
    <definedName name="___________________ML315" localSheetId="0">#REF!</definedName>
    <definedName name="___________________ML315">#REF!</definedName>
    <definedName name="___________________ML316" localSheetId="11">NA()</definedName>
    <definedName name="___________________ML316" localSheetId="12">NA()</definedName>
    <definedName name="___________________ML316" localSheetId="0">#REF!</definedName>
    <definedName name="___________________ML316">#REF!</definedName>
    <definedName name="___________________ML317" localSheetId="11">NA()</definedName>
    <definedName name="___________________ML317" localSheetId="12">NA()</definedName>
    <definedName name="___________________ML317" localSheetId="0">#REF!</definedName>
    <definedName name="___________________ML317">#REF!</definedName>
    <definedName name="___________________ML318" localSheetId="11">NA()</definedName>
    <definedName name="___________________ML318" localSheetId="12">NA()</definedName>
    <definedName name="___________________ML318" localSheetId="0">#REF!</definedName>
    <definedName name="___________________ML318">#REF!</definedName>
    <definedName name="___________________ML319" localSheetId="11">NA()</definedName>
    <definedName name="___________________ML319" localSheetId="12">NA()</definedName>
    <definedName name="___________________ML319" localSheetId="0">#REF!</definedName>
    <definedName name="___________________ML319">#REF!</definedName>
    <definedName name="___________________ML32" localSheetId="11">NA()</definedName>
    <definedName name="___________________ML32" localSheetId="12">NA()</definedName>
    <definedName name="___________________ML32" localSheetId="0">#REF!</definedName>
    <definedName name="___________________ML32">#REF!</definedName>
    <definedName name="___________________ML320" localSheetId="11">NA()</definedName>
    <definedName name="___________________ML320" localSheetId="12">NA()</definedName>
    <definedName name="___________________ML320" localSheetId="0">#REF!</definedName>
    <definedName name="___________________ML320">#REF!</definedName>
    <definedName name="___________________ML321" localSheetId="11">NA()</definedName>
    <definedName name="___________________ML321" localSheetId="12">NA()</definedName>
    <definedName name="___________________ML321" localSheetId="0">#REF!</definedName>
    <definedName name="___________________ML321">#REF!</definedName>
    <definedName name="___________________ML322" localSheetId="11">NA()</definedName>
    <definedName name="___________________ML322" localSheetId="12">NA()</definedName>
    <definedName name="___________________ML322" localSheetId="0">#REF!</definedName>
    <definedName name="___________________ML322">#REF!</definedName>
    <definedName name="___________________ML323" localSheetId="11">NA()</definedName>
    <definedName name="___________________ML323" localSheetId="12">NA()</definedName>
    <definedName name="___________________ML323" localSheetId="0">#REF!</definedName>
    <definedName name="___________________ML323">#REF!</definedName>
    <definedName name="___________________ML324" localSheetId="11">NA()</definedName>
    <definedName name="___________________ML324" localSheetId="12">NA()</definedName>
    <definedName name="___________________ML324" localSheetId="0">#REF!</definedName>
    <definedName name="___________________ML324">#REF!</definedName>
    <definedName name="___________________ML33" localSheetId="11">NA()</definedName>
    <definedName name="___________________ML33" localSheetId="12">NA()</definedName>
    <definedName name="___________________ML33" localSheetId="0">#REF!</definedName>
    <definedName name="___________________ML33">#REF!</definedName>
    <definedName name="___________________ML34" localSheetId="11">NA()</definedName>
    <definedName name="___________________ML34" localSheetId="12">NA()</definedName>
    <definedName name="___________________ML34" localSheetId="0">#REF!</definedName>
    <definedName name="___________________ML34">#REF!</definedName>
    <definedName name="___________________ML35" localSheetId="11">NA()</definedName>
    <definedName name="___________________ML35" localSheetId="12">NA()</definedName>
    <definedName name="___________________ML35" localSheetId="0">#REF!</definedName>
    <definedName name="___________________ML35">#REF!</definedName>
    <definedName name="___________________ML36" localSheetId="11">NA()</definedName>
    <definedName name="___________________ML36" localSheetId="12">NA()</definedName>
    <definedName name="___________________ML36" localSheetId="0">#REF!</definedName>
    <definedName name="___________________ML36">#REF!</definedName>
    <definedName name="___________________ML37" localSheetId="11">NA()</definedName>
    <definedName name="___________________ML37" localSheetId="12">NA()</definedName>
    <definedName name="___________________ML37" localSheetId="0">#REF!</definedName>
    <definedName name="___________________ML37">#REF!</definedName>
    <definedName name="___________________ML38" localSheetId="11">NA()</definedName>
    <definedName name="___________________ML38" localSheetId="12">NA()</definedName>
    <definedName name="___________________ML38" localSheetId="0">#REF!</definedName>
    <definedName name="___________________ML38">#REF!</definedName>
    <definedName name="___________________ML39" localSheetId="11">NA()</definedName>
    <definedName name="___________________ML39" localSheetId="12">NA()</definedName>
    <definedName name="___________________ML39" localSheetId="0">#REF!</definedName>
    <definedName name="___________________ML39">#REF!</definedName>
    <definedName name="___________________ML7" localSheetId="11">NA()</definedName>
    <definedName name="___________________ML7" localSheetId="12">NA()</definedName>
    <definedName name="___________________ML7" localSheetId="0">#REF!</definedName>
    <definedName name="___________________ML7">#REF!</definedName>
    <definedName name="___________________ML8" localSheetId="11">NA()</definedName>
    <definedName name="___________________ML8" localSheetId="12">NA()</definedName>
    <definedName name="___________________ML8" localSheetId="0">#REF!</definedName>
    <definedName name="___________________ML8">#REF!</definedName>
    <definedName name="___________________ML9" localSheetId="11">NA()</definedName>
    <definedName name="___________________ML9" localSheetId="12">NA()</definedName>
    <definedName name="___________________ML9" localSheetId="0">#REF!</definedName>
    <definedName name="___________________ML9">#REF!</definedName>
    <definedName name="___________________mm1">[6]r!$F$4</definedName>
    <definedName name="___________________mm1000" localSheetId="11">NA()</definedName>
    <definedName name="___________________mm1000" localSheetId="12">NA()</definedName>
    <definedName name="___________________mm1000" localSheetId="0">#REF!</definedName>
    <definedName name="___________________mm1000">#REF!</definedName>
    <definedName name="___________________mm11">[2]r!$F$4</definedName>
    <definedName name="___________________mm111">[5]r!$F$4</definedName>
    <definedName name="___________________mm600" localSheetId="11">NA()</definedName>
    <definedName name="___________________mm600" localSheetId="12">NA()</definedName>
    <definedName name="___________________mm600" localSheetId="0">#REF!</definedName>
    <definedName name="___________________mm600">#REF!</definedName>
    <definedName name="___________________mm800" localSheetId="11">NA()</definedName>
    <definedName name="___________________mm800" localSheetId="12">NA()</definedName>
    <definedName name="___________________mm800" localSheetId="0">#REF!</definedName>
    <definedName name="___________________mm800">#REF!</definedName>
    <definedName name="___________________PC1" localSheetId="11">NA()</definedName>
    <definedName name="___________________PC1" localSheetId="12">NA()</definedName>
    <definedName name="___________________PC1" localSheetId="0">#REF!</definedName>
    <definedName name="___________________PC1">#REF!</definedName>
    <definedName name="___________________PC10" localSheetId="11">NA()</definedName>
    <definedName name="___________________PC10" localSheetId="12">NA()</definedName>
    <definedName name="___________________PC10" localSheetId="0">#REF!</definedName>
    <definedName name="___________________PC10">#REF!</definedName>
    <definedName name="___________________PC11" localSheetId="11">NA()</definedName>
    <definedName name="___________________PC11" localSheetId="12">NA()</definedName>
    <definedName name="___________________PC11" localSheetId="0">#REF!</definedName>
    <definedName name="___________________PC11">#REF!</definedName>
    <definedName name="___________________PC12" localSheetId="11">NA()</definedName>
    <definedName name="___________________PC12" localSheetId="12">NA()</definedName>
    <definedName name="___________________PC12" localSheetId="0">#REF!</definedName>
    <definedName name="___________________PC12">#REF!</definedName>
    <definedName name="___________________PC13" localSheetId="11">NA()</definedName>
    <definedName name="___________________PC13" localSheetId="12">NA()</definedName>
    <definedName name="___________________PC13" localSheetId="0">#REF!</definedName>
    <definedName name="___________________PC13">#REF!</definedName>
    <definedName name="___________________PC14" localSheetId="11">NA()</definedName>
    <definedName name="___________________PC14" localSheetId="12">NA()</definedName>
    <definedName name="___________________PC14" localSheetId="0">#REF!</definedName>
    <definedName name="___________________PC14">#REF!</definedName>
    <definedName name="___________________PC15" localSheetId="11">NA()</definedName>
    <definedName name="___________________PC15" localSheetId="12">NA()</definedName>
    <definedName name="___________________PC15" localSheetId="0">#REF!</definedName>
    <definedName name="___________________PC15">#REF!</definedName>
    <definedName name="___________________PC16" localSheetId="11">NA()</definedName>
    <definedName name="___________________PC16" localSheetId="12">NA()</definedName>
    <definedName name="___________________PC16" localSheetId="0">#REF!</definedName>
    <definedName name="___________________PC16">#REF!</definedName>
    <definedName name="___________________PC17" localSheetId="11">NA()</definedName>
    <definedName name="___________________PC17" localSheetId="12">NA()</definedName>
    <definedName name="___________________PC17" localSheetId="0">#REF!</definedName>
    <definedName name="___________________PC17">#REF!</definedName>
    <definedName name="___________________PC18" localSheetId="11">NA()</definedName>
    <definedName name="___________________PC18" localSheetId="12">NA()</definedName>
    <definedName name="___________________PC18" localSheetId="0">#REF!</definedName>
    <definedName name="___________________PC18">#REF!</definedName>
    <definedName name="___________________PC19" localSheetId="11">NA()</definedName>
    <definedName name="___________________PC19" localSheetId="12">NA()</definedName>
    <definedName name="___________________PC19" localSheetId="0">#REF!</definedName>
    <definedName name="___________________PC19">#REF!</definedName>
    <definedName name="___________________pc2" localSheetId="11">NA()</definedName>
    <definedName name="___________________pc2" localSheetId="12">NA()</definedName>
    <definedName name="___________________pc2" localSheetId="0">#REF!</definedName>
    <definedName name="___________________pc2">#REF!</definedName>
    <definedName name="___________________PC20">NA()</definedName>
    <definedName name="___________________PC21" localSheetId="11">NA()</definedName>
    <definedName name="___________________PC21" localSheetId="12">NA()</definedName>
    <definedName name="___________________PC21" localSheetId="0">#REF!</definedName>
    <definedName name="___________________PC21">#REF!</definedName>
    <definedName name="___________________PC22" localSheetId="11">NA()</definedName>
    <definedName name="___________________PC22" localSheetId="12">NA()</definedName>
    <definedName name="___________________PC22" localSheetId="0">#REF!</definedName>
    <definedName name="___________________PC22">#REF!</definedName>
    <definedName name="___________________PC23" localSheetId="11">NA()</definedName>
    <definedName name="___________________PC23" localSheetId="12">NA()</definedName>
    <definedName name="___________________PC23" localSheetId="0">#REF!</definedName>
    <definedName name="___________________PC23">#REF!</definedName>
    <definedName name="___________________PC24" localSheetId="11">NA()</definedName>
    <definedName name="___________________PC24" localSheetId="12">NA()</definedName>
    <definedName name="___________________PC24" localSheetId="0">#REF!</definedName>
    <definedName name="___________________PC24">#REF!</definedName>
    <definedName name="___________________PC3" localSheetId="11">NA()</definedName>
    <definedName name="___________________PC3" localSheetId="12">NA()</definedName>
    <definedName name="___________________PC3" localSheetId="0">#REF!</definedName>
    <definedName name="___________________PC3">#REF!</definedName>
    <definedName name="___________________PC4" localSheetId="11">NA()</definedName>
    <definedName name="___________________PC4" localSheetId="12">NA()</definedName>
    <definedName name="___________________PC4" localSheetId="0">#REF!</definedName>
    <definedName name="___________________PC4">#REF!</definedName>
    <definedName name="___________________PC5" localSheetId="11">NA()</definedName>
    <definedName name="___________________PC5" localSheetId="12">NA()</definedName>
    <definedName name="___________________PC5" localSheetId="0">#REF!</definedName>
    <definedName name="___________________PC5">#REF!</definedName>
    <definedName name="___________________PC6" localSheetId="11">NA()</definedName>
    <definedName name="___________________PC6" localSheetId="12">NA()</definedName>
    <definedName name="___________________PC6" localSheetId="0">#REF!</definedName>
    <definedName name="___________________PC6">#REF!</definedName>
    <definedName name="___________________pc600" localSheetId="11">NA()</definedName>
    <definedName name="___________________pc600" localSheetId="12">NA()</definedName>
    <definedName name="___________________pc600" localSheetId="0">#REF!</definedName>
    <definedName name="___________________pc600">#REF!</definedName>
    <definedName name="___________________PC7" localSheetId="11">NA()</definedName>
    <definedName name="___________________PC7" localSheetId="12">NA()</definedName>
    <definedName name="___________________PC7" localSheetId="0">#REF!</definedName>
    <definedName name="___________________PC7">#REF!</definedName>
    <definedName name="___________________PC8" localSheetId="11">NA()</definedName>
    <definedName name="___________________PC8" localSheetId="12">NA()</definedName>
    <definedName name="___________________PC8" localSheetId="0">#REF!</definedName>
    <definedName name="___________________PC8">#REF!</definedName>
    <definedName name="___________________PC9" localSheetId="11">NA()</definedName>
    <definedName name="___________________PC9" localSheetId="12">NA()</definedName>
    <definedName name="___________________PC9" localSheetId="0">#REF!</definedName>
    <definedName name="___________________PC9">#REF!</definedName>
    <definedName name="___________________pc900" localSheetId="11">NA()</definedName>
    <definedName name="___________________pc900" localSheetId="12">NA()</definedName>
    <definedName name="___________________pc900" localSheetId="0">#REF!</definedName>
    <definedName name="___________________pc900">#REF!</definedName>
    <definedName name="___________________pla4">[12]DATA_PRG!$H$269</definedName>
    <definedName name="___________________pv2" localSheetId="11">NA()</definedName>
    <definedName name="___________________pv2" localSheetId="12">NA()</definedName>
    <definedName name="___________________pv2" localSheetId="0">#REF!</definedName>
    <definedName name="___________________pv2">#REF!</definedName>
    <definedName name="___________________rr3">[7]v!$A$2:$E$51</definedName>
    <definedName name="___________________rrr1">[7]r!$B$1:$I$145</definedName>
    <definedName name="___________________SP10">[13]Sheet1!$C$18</definedName>
    <definedName name="___________________SP16">[13]Sheet1!$C$24</definedName>
    <definedName name="___________________SP7">[13]Sheet1!$C$15</definedName>
    <definedName name="___________________ss12">[8]rdamdata!$J$8</definedName>
    <definedName name="___________________ss20">[8]rdamdata!$J$7</definedName>
    <definedName name="___________________ss40">[8]rdamdata!$J$6</definedName>
    <definedName name="___________________var1" localSheetId="11">NA()</definedName>
    <definedName name="___________________var1" localSheetId="12">NA()</definedName>
    <definedName name="___________________var1" localSheetId="0">#REF!</definedName>
    <definedName name="___________________var1">#REF!</definedName>
    <definedName name="___________________var4" localSheetId="11">NA()</definedName>
    <definedName name="___________________var4" localSheetId="12">NA()</definedName>
    <definedName name="___________________var4" localSheetId="0">#REF!</definedName>
    <definedName name="___________________var4">#REF!</definedName>
    <definedName name="___________________vat1">NA()</definedName>
    <definedName name="__________________bla1">[1]leads!$H$7</definedName>
    <definedName name="__________________BSG100" localSheetId="11">NA()</definedName>
    <definedName name="__________________BSG100" localSheetId="12">NA()</definedName>
    <definedName name="__________________BSG100" localSheetId="0">#REF!</definedName>
    <definedName name="__________________BSG100">#REF!</definedName>
    <definedName name="__________________BSG150" localSheetId="11">NA()</definedName>
    <definedName name="__________________BSG150" localSheetId="12">NA()</definedName>
    <definedName name="__________________BSG150" localSheetId="0">#REF!</definedName>
    <definedName name="__________________BSG150">#REF!</definedName>
    <definedName name="__________________BSG5" localSheetId="11">NA()</definedName>
    <definedName name="__________________BSG5" localSheetId="12">NA()</definedName>
    <definedName name="__________________BSG5" localSheetId="0">#REF!</definedName>
    <definedName name="__________________BSG5">#REF!</definedName>
    <definedName name="__________________BSG75" localSheetId="11">NA()</definedName>
    <definedName name="__________________BSG75" localSheetId="12">NA()</definedName>
    <definedName name="__________________BSG75" localSheetId="0">#REF!</definedName>
    <definedName name="__________________BSG75">#REF!</definedName>
    <definedName name="__________________BTC1" localSheetId="11">NA()</definedName>
    <definedName name="__________________BTC1" localSheetId="12">NA()</definedName>
    <definedName name="__________________BTC1" localSheetId="0">#REF!</definedName>
    <definedName name="__________________BTC1">#REF!</definedName>
    <definedName name="__________________BTC10" localSheetId="11">NA()</definedName>
    <definedName name="__________________BTC10" localSheetId="12">NA()</definedName>
    <definedName name="__________________BTC10" localSheetId="0">#REF!</definedName>
    <definedName name="__________________BTC10">#REF!</definedName>
    <definedName name="__________________BTC11" localSheetId="11">NA()</definedName>
    <definedName name="__________________BTC11" localSheetId="12">NA()</definedName>
    <definedName name="__________________BTC11" localSheetId="0">#REF!</definedName>
    <definedName name="__________________BTC11">#REF!</definedName>
    <definedName name="__________________BTC12" localSheetId="11">NA()</definedName>
    <definedName name="__________________BTC12" localSheetId="12">NA()</definedName>
    <definedName name="__________________BTC12" localSheetId="0">#REF!</definedName>
    <definedName name="__________________BTC12">#REF!</definedName>
    <definedName name="__________________BTC13" localSheetId="11">NA()</definedName>
    <definedName name="__________________BTC13" localSheetId="12">NA()</definedName>
    <definedName name="__________________BTC13" localSheetId="0">#REF!</definedName>
    <definedName name="__________________BTC13">#REF!</definedName>
    <definedName name="__________________BTC14" localSheetId="11">NA()</definedName>
    <definedName name="__________________BTC14" localSheetId="12">NA()</definedName>
    <definedName name="__________________BTC14" localSheetId="0">#REF!</definedName>
    <definedName name="__________________BTC14">#REF!</definedName>
    <definedName name="__________________BTC15" localSheetId="11">NA()</definedName>
    <definedName name="__________________BTC15" localSheetId="12">NA()</definedName>
    <definedName name="__________________BTC15" localSheetId="0">#REF!</definedName>
    <definedName name="__________________BTC15">#REF!</definedName>
    <definedName name="__________________BTC16" localSheetId="11">NA()</definedName>
    <definedName name="__________________BTC16" localSheetId="12">NA()</definedName>
    <definedName name="__________________BTC16" localSheetId="0">#REF!</definedName>
    <definedName name="__________________BTC16">#REF!</definedName>
    <definedName name="__________________BTC17" localSheetId="11">NA()</definedName>
    <definedName name="__________________BTC17" localSheetId="12">NA()</definedName>
    <definedName name="__________________BTC17" localSheetId="0">#REF!</definedName>
    <definedName name="__________________BTC17">#REF!</definedName>
    <definedName name="__________________BTC18" localSheetId="11">NA()</definedName>
    <definedName name="__________________BTC18" localSheetId="12">NA()</definedName>
    <definedName name="__________________BTC18" localSheetId="0">#REF!</definedName>
    <definedName name="__________________BTC18">#REF!</definedName>
    <definedName name="__________________BTC19" localSheetId="11">NA()</definedName>
    <definedName name="__________________BTC19" localSheetId="12">NA()</definedName>
    <definedName name="__________________BTC19" localSheetId="0">#REF!</definedName>
    <definedName name="__________________BTC19">#REF!</definedName>
    <definedName name="__________________BTC2" localSheetId="11">NA()</definedName>
    <definedName name="__________________BTC2" localSheetId="12">NA()</definedName>
    <definedName name="__________________BTC2" localSheetId="0">#REF!</definedName>
    <definedName name="__________________BTC2">#REF!</definedName>
    <definedName name="__________________BTC20" localSheetId="11">NA()</definedName>
    <definedName name="__________________BTC20" localSheetId="12">NA()</definedName>
    <definedName name="__________________BTC20" localSheetId="0">#REF!</definedName>
    <definedName name="__________________BTC20">#REF!</definedName>
    <definedName name="__________________BTC21" localSheetId="11">NA()</definedName>
    <definedName name="__________________BTC21" localSheetId="12">NA()</definedName>
    <definedName name="__________________BTC21" localSheetId="0">#REF!</definedName>
    <definedName name="__________________BTC21">#REF!</definedName>
    <definedName name="__________________BTC22" localSheetId="11">NA()</definedName>
    <definedName name="__________________BTC22" localSheetId="12">NA()</definedName>
    <definedName name="__________________BTC22" localSheetId="0">#REF!</definedName>
    <definedName name="__________________BTC22">#REF!</definedName>
    <definedName name="__________________BTC23" localSheetId="11">NA()</definedName>
    <definedName name="__________________BTC23" localSheetId="12">NA()</definedName>
    <definedName name="__________________BTC23" localSheetId="0">#REF!</definedName>
    <definedName name="__________________BTC23">#REF!</definedName>
    <definedName name="__________________BTC24" localSheetId="11">NA()</definedName>
    <definedName name="__________________BTC24" localSheetId="12">NA()</definedName>
    <definedName name="__________________BTC24" localSheetId="0">#REF!</definedName>
    <definedName name="__________________BTC24">#REF!</definedName>
    <definedName name="__________________BTC3" localSheetId="11">NA()</definedName>
    <definedName name="__________________BTC3" localSheetId="12">NA()</definedName>
    <definedName name="__________________BTC3" localSheetId="0">#REF!</definedName>
    <definedName name="__________________BTC3">#REF!</definedName>
    <definedName name="__________________BTC4" localSheetId="11">NA()</definedName>
    <definedName name="__________________BTC4" localSheetId="12">NA()</definedName>
    <definedName name="__________________BTC4" localSheetId="0">#REF!</definedName>
    <definedName name="__________________BTC4">#REF!</definedName>
    <definedName name="__________________BTC5" localSheetId="11">NA()</definedName>
    <definedName name="__________________BTC5" localSheetId="12">NA()</definedName>
    <definedName name="__________________BTC5" localSheetId="0">#REF!</definedName>
    <definedName name="__________________BTC5">#REF!</definedName>
    <definedName name="__________________BTC6" localSheetId="11">NA()</definedName>
    <definedName name="__________________BTC6" localSheetId="12">NA()</definedName>
    <definedName name="__________________BTC6" localSheetId="0">#REF!</definedName>
    <definedName name="__________________BTC6">#REF!</definedName>
    <definedName name="__________________BTC7" localSheetId="11">NA()</definedName>
    <definedName name="__________________BTC7" localSheetId="12">NA()</definedName>
    <definedName name="__________________BTC7" localSheetId="0">#REF!</definedName>
    <definedName name="__________________BTC7">#REF!</definedName>
    <definedName name="__________________BTC8" localSheetId="11">NA()</definedName>
    <definedName name="__________________BTC8" localSheetId="12">NA()</definedName>
    <definedName name="__________________BTC8" localSheetId="0">#REF!</definedName>
    <definedName name="__________________BTC8">#REF!</definedName>
    <definedName name="__________________BTC9" localSheetId="11">NA()</definedName>
    <definedName name="__________________BTC9" localSheetId="12">NA()</definedName>
    <definedName name="__________________BTC9" localSheetId="0">#REF!</definedName>
    <definedName name="__________________BTC9">#REF!</definedName>
    <definedName name="__________________BTR1" localSheetId="11">NA()</definedName>
    <definedName name="__________________BTR1" localSheetId="12">NA()</definedName>
    <definedName name="__________________BTR1" localSheetId="0">#REF!</definedName>
    <definedName name="__________________BTR1">#REF!</definedName>
    <definedName name="__________________BTR10" localSheetId="11">NA()</definedName>
    <definedName name="__________________BTR10" localSheetId="12">NA()</definedName>
    <definedName name="__________________BTR10" localSheetId="0">#REF!</definedName>
    <definedName name="__________________BTR10">#REF!</definedName>
    <definedName name="__________________BTR11" localSheetId="11">NA()</definedName>
    <definedName name="__________________BTR11" localSheetId="12">NA()</definedName>
    <definedName name="__________________BTR11" localSheetId="0">#REF!</definedName>
    <definedName name="__________________BTR11">#REF!</definedName>
    <definedName name="__________________BTR12" localSheetId="11">NA()</definedName>
    <definedName name="__________________BTR12" localSheetId="12">NA()</definedName>
    <definedName name="__________________BTR12" localSheetId="0">#REF!</definedName>
    <definedName name="__________________BTR12">#REF!</definedName>
    <definedName name="__________________BTR13" localSheetId="11">NA()</definedName>
    <definedName name="__________________BTR13" localSheetId="12">NA()</definedName>
    <definedName name="__________________BTR13" localSheetId="0">#REF!</definedName>
    <definedName name="__________________BTR13">#REF!</definedName>
    <definedName name="__________________BTR14" localSheetId="11">NA()</definedName>
    <definedName name="__________________BTR14" localSheetId="12">NA()</definedName>
    <definedName name="__________________BTR14" localSheetId="0">#REF!</definedName>
    <definedName name="__________________BTR14">#REF!</definedName>
    <definedName name="__________________BTR15" localSheetId="11">NA()</definedName>
    <definedName name="__________________BTR15" localSheetId="12">NA()</definedName>
    <definedName name="__________________BTR15" localSheetId="0">#REF!</definedName>
    <definedName name="__________________BTR15">#REF!</definedName>
    <definedName name="__________________BTR16" localSheetId="11">NA()</definedName>
    <definedName name="__________________BTR16" localSheetId="12">NA()</definedName>
    <definedName name="__________________BTR16" localSheetId="0">#REF!</definedName>
    <definedName name="__________________BTR16">#REF!</definedName>
    <definedName name="__________________BTR17" localSheetId="11">NA()</definedName>
    <definedName name="__________________BTR17" localSheetId="12">NA()</definedName>
    <definedName name="__________________BTR17" localSheetId="0">#REF!</definedName>
    <definedName name="__________________BTR17">#REF!</definedName>
    <definedName name="__________________BTR18" localSheetId="11">NA()</definedName>
    <definedName name="__________________BTR18" localSheetId="12">NA()</definedName>
    <definedName name="__________________BTR18" localSheetId="0">#REF!</definedName>
    <definedName name="__________________BTR18">#REF!</definedName>
    <definedName name="__________________BTR19" localSheetId="11">NA()</definedName>
    <definedName name="__________________BTR19" localSheetId="12">NA()</definedName>
    <definedName name="__________________BTR19" localSheetId="0">#REF!</definedName>
    <definedName name="__________________BTR19">#REF!</definedName>
    <definedName name="__________________BTR2" localSheetId="11">NA()</definedName>
    <definedName name="__________________BTR2" localSheetId="12">NA()</definedName>
    <definedName name="__________________BTR2" localSheetId="0">#REF!</definedName>
    <definedName name="__________________BTR2">#REF!</definedName>
    <definedName name="__________________BTR20" localSheetId="11">NA()</definedName>
    <definedName name="__________________BTR20" localSheetId="12">NA()</definedName>
    <definedName name="__________________BTR20" localSheetId="0">#REF!</definedName>
    <definedName name="__________________BTR20">#REF!</definedName>
    <definedName name="__________________BTR21" localSheetId="11">NA()</definedName>
    <definedName name="__________________BTR21" localSheetId="12">NA()</definedName>
    <definedName name="__________________BTR21" localSheetId="0">#REF!</definedName>
    <definedName name="__________________BTR21">#REF!</definedName>
    <definedName name="__________________BTR22" localSheetId="11">NA()</definedName>
    <definedName name="__________________BTR22" localSheetId="12">NA()</definedName>
    <definedName name="__________________BTR22" localSheetId="0">#REF!</definedName>
    <definedName name="__________________BTR22">#REF!</definedName>
    <definedName name="__________________BTR23" localSheetId="11">NA()</definedName>
    <definedName name="__________________BTR23" localSheetId="12">NA()</definedName>
    <definedName name="__________________BTR23" localSheetId="0">#REF!</definedName>
    <definedName name="__________________BTR23">#REF!</definedName>
    <definedName name="__________________BTR24" localSheetId="11">NA()</definedName>
    <definedName name="__________________BTR24" localSheetId="12">NA()</definedName>
    <definedName name="__________________BTR24" localSheetId="0">#REF!</definedName>
    <definedName name="__________________BTR24">#REF!</definedName>
    <definedName name="__________________BTR3" localSheetId="11">NA()</definedName>
    <definedName name="__________________BTR3" localSheetId="12">NA()</definedName>
    <definedName name="__________________BTR3" localSheetId="0">#REF!</definedName>
    <definedName name="__________________BTR3">#REF!</definedName>
    <definedName name="__________________BTR4" localSheetId="11">NA()</definedName>
    <definedName name="__________________BTR4" localSheetId="12">NA()</definedName>
    <definedName name="__________________BTR4" localSheetId="0">#REF!</definedName>
    <definedName name="__________________BTR4">#REF!</definedName>
    <definedName name="__________________BTR5" localSheetId="11">NA()</definedName>
    <definedName name="__________________BTR5" localSheetId="12">NA()</definedName>
    <definedName name="__________________BTR5" localSheetId="0">#REF!</definedName>
    <definedName name="__________________BTR5">#REF!</definedName>
    <definedName name="__________________BTR6" localSheetId="11">NA()</definedName>
    <definedName name="__________________BTR6" localSheetId="12">NA()</definedName>
    <definedName name="__________________BTR6" localSheetId="0">#REF!</definedName>
    <definedName name="__________________BTR6">#REF!</definedName>
    <definedName name="__________________BTR7" localSheetId="11">NA()</definedName>
    <definedName name="__________________BTR7" localSheetId="12">NA()</definedName>
    <definedName name="__________________BTR7" localSheetId="0">#REF!</definedName>
    <definedName name="__________________BTR7">#REF!</definedName>
    <definedName name="__________________BTR8" localSheetId="11">NA()</definedName>
    <definedName name="__________________BTR8" localSheetId="12">NA()</definedName>
    <definedName name="__________________BTR8" localSheetId="0">#REF!</definedName>
    <definedName name="__________________BTR8">#REF!</definedName>
    <definedName name="__________________BTR9" localSheetId="11">NA()</definedName>
    <definedName name="__________________BTR9" localSheetId="12">NA()</definedName>
    <definedName name="__________________BTR9" localSheetId="0">#REF!</definedName>
    <definedName name="__________________BTR9">#REF!</definedName>
    <definedName name="__________________BTS1" localSheetId="11">NA()</definedName>
    <definedName name="__________________BTS1" localSheetId="12">NA()</definedName>
    <definedName name="__________________BTS1" localSheetId="0">#REF!</definedName>
    <definedName name="__________________BTS1">#REF!</definedName>
    <definedName name="__________________BTS10" localSheetId="11">NA()</definedName>
    <definedName name="__________________BTS10" localSheetId="12">NA()</definedName>
    <definedName name="__________________BTS10" localSheetId="0">#REF!</definedName>
    <definedName name="__________________BTS10">#REF!</definedName>
    <definedName name="__________________BTS11" localSheetId="11">NA()</definedName>
    <definedName name="__________________BTS11" localSheetId="12">NA()</definedName>
    <definedName name="__________________BTS11" localSheetId="0">#REF!</definedName>
    <definedName name="__________________BTS11">#REF!</definedName>
    <definedName name="__________________BTS12" localSheetId="11">NA()</definedName>
    <definedName name="__________________BTS12" localSheetId="12">NA()</definedName>
    <definedName name="__________________BTS12" localSheetId="0">#REF!</definedName>
    <definedName name="__________________BTS12">#REF!</definedName>
    <definedName name="__________________BTS13" localSheetId="11">NA()</definedName>
    <definedName name="__________________BTS13" localSheetId="12">NA()</definedName>
    <definedName name="__________________BTS13" localSheetId="0">#REF!</definedName>
    <definedName name="__________________BTS13">#REF!</definedName>
    <definedName name="__________________BTS14" localSheetId="11">NA()</definedName>
    <definedName name="__________________BTS14" localSheetId="12">NA()</definedName>
    <definedName name="__________________BTS14" localSheetId="0">#REF!</definedName>
    <definedName name="__________________BTS14">#REF!</definedName>
    <definedName name="__________________BTS15" localSheetId="11">NA()</definedName>
    <definedName name="__________________BTS15" localSheetId="12">NA()</definedName>
    <definedName name="__________________BTS15" localSheetId="0">#REF!</definedName>
    <definedName name="__________________BTS15">#REF!</definedName>
    <definedName name="__________________BTS16" localSheetId="11">NA()</definedName>
    <definedName name="__________________BTS16" localSheetId="12">NA()</definedName>
    <definedName name="__________________BTS16" localSheetId="0">#REF!</definedName>
    <definedName name="__________________BTS16">#REF!</definedName>
    <definedName name="__________________BTS17" localSheetId="11">NA()</definedName>
    <definedName name="__________________BTS17" localSheetId="12">NA()</definedName>
    <definedName name="__________________BTS17" localSheetId="0">#REF!</definedName>
    <definedName name="__________________BTS17">#REF!</definedName>
    <definedName name="__________________BTS18" localSheetId="11">NA()</definedName>
    <definedName name="__________________BTS18" localSheetId="12">NA()</definedName>
    <definedName name="__________________BTS18" localSheetId="0">#REF!</definedName>
    <definedName name="__________________BTS18">#REF!</definedName>
    <definedName name="__________________BTS19" localSheetId="11">NA()</definedName>
    <definedName name="__________________BTS19" localSheetId="12">NA()</definedName>
    <definedName name="__________________BTS19" localSheetId="0">#REF!</definedName>
    <definedName name="__________________BTS19">#REF!</definedName>
    <definedName name="__________________BTS2" localSheetId="11">NA()</definedName>
    <definedName name="__________________BTS2" localSheetId="12">NA()</definedName>
    <definedName name="__________________BTS2" localSheetId="0">#REF!</definedName>
    <definedName name="__________________BTS2">#REF!</definedName>
    <definedName name="__________________BTS20" localSheetId="11">NA()</definedName>
    <definedName name="__________________BTS20" localSheetId="12">NA()</definedName>
    <definedName name="__________________BTS20" localSheetId="0">#REF!</definedName>
    <definedName name="__________________BTS20">#REF!</definedName>
    <definedName name="__________________BTS21" localSheetId="11">NA()</definedName>
    <definedName name="__________________BTS21" localSheetId="12">NA()</definedName>
    <definedName name="__________________BTS21" localSheetId="0">#REF!</definedName>
    <definedName name="__________________BTS21">#REF!</definedName>
    <definedName name="__________________BTS22" localSheetId="11">NA()</definedName>
    <definedName name="__________________BTS22" localSheetId="12">NA()</definedName>
    <definedName name="__________________BTS22" localSheetId="0">#REF!</definedName>
    <definedName name="__________________BTS22">#REF!</definedName>
    <definedName name="__________________BTS23" localSheetId="11">NA()</definedName>
    <definedName name="__________________BTS23" localSheetId="12">NA()</definedName>
    <definedName name="__________________BTS23" localSheetId="0">#REF!</definedName>
    <definedName name="__________________BTS23">#REF!</definedName>
    <definedName name="__________________BTS24" localSheetId="11">NA()</definedName>
    <definedName name="__________________BTS24" localSheetId="12">NA()</definedName>
    <definedName name="__________________BTS24" localSheetId="0">#REF!</definedName>
    <definedName name="__________________BTS24">#REF!</definedName>
    <definedName name="__________________BTS3" localSheetId="11">NA()</definedName>
    <definedName name="__________________BTS3" localSheetId="12">NA()</definedName>
    <definedName name="__________________BTS3" localSheetId="0">#REF!</definedName>
    <definedName name="__________________BTS3">#REF!</definedName>
    <definedName name="__________________BTS4" localSheetId="11">NA()</definedName>
    <definedName name="__________________BTS4" localSheetId="12">NA()</definedName>
    <definedName name="__________________BTS4" localSheetId="0">#REF!</definedName>
    <definedName name="__________________BTS4">#REF!</definedName>
    <definedName name="__________________BTS5" localSheetId="11">NA()</definedName>
    <definedName name="__________________BTS5" localSheetId="12">NA()</definedName>
    <definedName name="__________________BTS5" localSheetId="0">#REF!</definedName>
    <definedName name="__________________BTS5">#REF!</definedName>
    <definedName name="__________________BTS6" localSheetId="11">NA()</definedName>
    <definedName name="__________________BTS6" localSheetId="12">NA()</definedName>
    <definedName name="__________________BTS6" localSheetId="0">#REF!</definedName>
    <definedName name="__________________BTS6">#REF!</definedName>
    <definedName name="__________________BTS7" localSheetId="11">NA()</definedName>
    <definedName name="__________________BTS7" localSheetId="12">NA()</definedName>
    <definedName name="__________________BTS7" localSheetId="0">#REF!</definedName>
    <definedName name="__________________BTS7">#REF!</definedName>
    <definedName name="__________________BTS8" localSheetId="11">NA()</definedName>
    <definedName name="__________________BTS8" localSheetId="12">NA()</definedName>
    <definedName name="__________________BTS8" localSheetId="0">#REF!</definedName>
    <definedName name="__________________BTS8">#REF!</definedName>
    <definedName name="__________________BTS9" localSheetId="11">NA()</definedName>
    <definedName name="__________________BTS9" localSheetId="12">NA()</definedName>
    <definedName name="__________________BTS9" localSheetId="0">#REF!</definedName>
    <definedName name="__________________BTS9">#REF!</definedName>
    <definedName name="__________________can430">40.73</definedName>
    <definedName name="__________________can435">43.3</definedName>
    <definedName name="__________________CCW1">[15]DATA!$H$67</definedName>
    <definedName name="__________________CCW2">[15]DATA!$H$97</definedName>
    <definedName name="__________________cur1">[2]r!$F$30</definedName>
    <definedName name="__________________GBS11" localSheetId="11">NA()</definedName>
    <definedName name="__________________GBS11" localSheetId="12">NA()</definedName>
    <definedName name="__________________GBS11" localSheetId="0">#REF!</definedName>
    <definedName name="__________________GBS11">#REF!</definedName>
    <definedName name="__________________GBS110" localSheetId="11">NA()</definedName>
    <definedName name="__________________GBS110" localSheetId="12">NA()</definedName>
    <definedName name="__________________GBS110" localSheetId="0">#REF!</definedName>
    <definedName name="__________________GBS110">#REF!</definedName>
    <definedName name="__________________GBS111" localSheetId="11">NA()</definedName>
    <definedName name="__________________GBS111" localSheetId="12">NA()</definedName>
    <definedName name="__________________GBS111" localSheetId="0">#REF!</definedName>
    <definedName name="__________________GBS111">#REF!</definedName>
    <definedName name="__________________GBS112" localSheetId="11">NA()</definedName>
    <definedName name="__________________GBS112" localSheetId="12">NA()</definedName>
    <definedName name="__________________GBS112" localSheetId="0">#REF!</definedName>
    <definedName name="__________________GBS112">#REF!</definedName>
    <definedName name="__________________GBS113" localSheetId="11">NA()</definedName>
    <definedName name="__________________GBS113" localSheetId="12">NA()</definedName>
    <definedName name="__________________GBS113" localSheetId="0">#REF!</definedName>
    <definedName name="__________________GBS113">#REF!</definedName>
    <definedName name="__________________GBS114" localSheetId="11">NA()</definedName>
    <definedName name="__________________GBS114" localSheetId="12">NA()</definedName>
    <definedName name="__________________GBS114" localSheetId="0">#REF!</definedName>
    <definedName name="__________________GBS114">#REF!</definedName>
    <definedName name="__________________GBS115" localSheetId="11">NA()</definedName>
    <definedName name="__________________GBS115" localSheetId="12">NA()</definedName>
    <definedName name="__________________GBS115" localSheetId="0">#REF!</definedName>
    <definedName name="__________________GBS115">#REF!</definedName>
    <definedName name="__________________GBS116" localSheetId="11">NA()</definedName>
    <definedName name="__________________GBS116" localSheetId="12">NA()</definedName>
    <definedName name="__________________GBS116" localSheetId="0">#REF!</definedName>
    <definedName name="__________________GBS116">#REF!</definedName>
    <definedName name="__________________GBS117" localSheetId="11">NA()</definedName>
    <definedName name="__________________GBS117" localSheetId="12">NA()</definedName>
    <definedName name="__________________GBS117" localSheetId="0">#REF!</definedName>
    <definedName name="__________________GBS117">#REF!</definedName>
    <definedName name="__________________GBS118" localSheetId="11">NA()</definedName>
    <definedName name="__________________GBS118" localSheetId="12">NA()</definedName>
    <definedName name="__________________GBS118" localSheetId="0">#REF!</definedName>
    <definedName name="__________________GBS118">#REF!</definedName>
    <definedName name="__________________GBS119" localSheetId="11">NA()</definedName>
    <definedName name="__________________GBS119" localSheetId="12">NA()</definedName>
    <definedName name="__________________GBS119" localSheetId="0">#REF!</definedName>
    <definedName name="__________________GBS119">#REF!</definedName>
    <definedName name="__________________GBS12" localSheetId="11">NA()</definedName>
    <definedName name="__________________GBS12" localSheetId="12">NA()</definedName>
    <definedName name="__________________GBS12" localSheetId="0">#REF!</definedName>
    <definedName name="__________________GBS12">#REF!</definedName>
    <definedName name="__________________GBS120" localSheetId="11">NA()</definedName>
    <definedName name="__________________GBS120" localSheetId="12">NA()</definedName>
    <definedName name="__________________GBS120" localSheetId="0">#REF!</definedName>
    <definedName name="__________________GBS120">#REF!</definedName>
    <definedName name="__________________GBS121" localSheetId="11">NA()</definedName>
    <definedName name="__________________GBS121" localSheetId="12">NA()</definedName>
    <definedName name="__________________GBS121" localSheetId="0">#REF!</definedName>
    <definedName name="__________________GBS121">#REF!</definedName>
    <definedName name="__________________GBS122" localSheetId="11">NA()</definedName>
    <definedName name="__________________GBS122" localSheetId="12">NA()</definedName>
    <definedName name="__________________GBS122" localSheetId="0">#REF!</definedName>
    <definedName name="__________________GBS122">#REF!</definedName>
    <definedName name="__________________GBS123" localSheetId="11">NA()</definedName>
    <definedName name="__________________GBS123" localSheetId="12">NA()</definedName>
    <definedName name="__________________GBS123" localSheetId="0">#REF!</definedName>
    <definedName name="__________________GBS123">#REF!</definedName>
    <definedName name="__________________GBS124" localSheetId="11">NA()</definedName>
    <definedName name="__________________GBS124" localSheetId="12">NA()</definedName>
    <definedName name="__________________GBS124" localSheetId="0">#REF!</definedName>
    <definedName name="__________________GBS124">#REF!</definedName>
    <definedName name="__________________GBS13" localSheetId="11">NA()</definedName>
    <definedName name="__________________GBS13" localSheetId="12">NA()</definedName>
    <definedName name="__________________GBS13" localSheetId="0">#REF!</definedName>
    <definedName name="__________________GBS13">#REF!</definedName>
    <definedName name="__________________GBS14" localSheetId="11">NA()</definedName>
    <definedName name="__________________GBS14" localSheetId="12">NA()</definedName>
    <definedName name="__________________GBS14" localSheetId="0">#REF!</definedName>
    <definedName name="__________________GBS14">#REF!</definedName>
    <definedName name="__________________GBS15" localSheetId="11">NA()</definedName>
    <definedName name="__________________GBS15" localSheetId="12">NA()</definedName>
    <definedName name="__________________GBS15" localSheetId="0">#REF!</definedName>
    <definedName name="__________________GBS15">#REF!</definedName>
    <definedName name="__________________GBS16" localSheetId="11">NA()</definedName>
    <definedName name="__________________GBS16" localSheetId="12">NA()</definedName>
    <definedName name="__________________GBS16" localSheetId="0">#REF!</definedName>
    <definedName name="__________________GBS16">#REF!</definedName>
    <definedName name="__________________GBS17" localSheetId="11">NA()</definedName>
    <definedName name="__________________GBS17" localSheetId="12">NA()</definedName>
    <definedName name="__________________GBS17" localSheetId="0">#REF!</definedName>
    <definedName name="__________________GBS17">#REF!</definedName>
    <definedName name="__________________GBS18" localSheetId="11">NA()</definedName>
    <definedName name="__________________GBS18" localSheetId="12">NA()</definedName>
    <definedName name="__________________GBS18" localSheetId="0">#REF!</definedName>
    <definedName name="__________________GBS18">#REF!</definedName>
    <definedName name="__________________GBS19" localSheetId="11">NA()</definedName>
    <definedName name="__________________GBS19" localSheetId="12">NA()</definedName>
    <definedName name="__________________GBS19" localSheetId="0">#REF!</definedName>
    <definedName name="__________________GBS19">#REF!</definedName>
    <definedName name="__________________GBS21" localSheetId="11">NA()</definedName>
    <definedName name="__________________GBS21" localSheetId="12">NA()</definedName>
    <definedName name="__________________GBS21" localSheetId="0">#REF!</definedName>
    <definedName name="__________________GBS21">#REF!</definedName>
    <definedName name="__________________GBS210" localSheetId="11">NA()</definedName>
    <definedName name="__________________GBS210" localSheetId="12">NA()</definedName>
    <definedName name="__________________GBS210" localSheetId="0">#REF!</definedName>
    <definedName name="__________________GBS210">#REF!</definedName>
    <definedName name="__________________GBS211" localSheetId="11">NA()</definedName>
    <definedName name="__________________GBS211" localSheetId="12">NA()</definedName>
    <definedName name="__________________GBS211" localSheetId="0">#REF!</definedName>
    <definedName name="__________________GBS211">#REF!</definedName>
    <definedName name="__________________GBS212" localSheetId="11">NA()</definedName>
    <definedName name="__________________GBS212" localSheetId="12">NA()</definedName>
    <definedName name="__________________GBS212" localSheetId="0">#REF!</definedName>
    <definedName name="__________________GBS212">#REF!</definedName>
    <definedName name="__________________GBS213" localSheetId="11">NA()</definedName>
    <definedName name="__________________GBS213" localSheetId="12">NA()</definedName>
    <definedName name="__________________GBS213" localSheetId="0">#REF!</definedName>
    <definedName name="__________________GBS213">#REF!</definedName>
    <definedName name="__________________GBS214" localSheetId="11">NA()</definedName>
    <definedName name="__________________GBS214" localSheetId="12">NA()</definedName>
    <definedName name="__________________GBS214" localSheetId="0">#REF!</definedName>
    <definedName name="__________________GBS214">#REF!</definedName>
    <definedName name="__________________GBS215" localSheetId="11">NA()</definedName>
    <definedName name="__________________GBS215" localSheetId="12">NA()</definedName>
    <definedName name="__________________GBS215" localSheetId="0">#REF!</definedName>
    <definedName name="__________________GBS215">#REF!</definedName>
    <definedName name="__________________GBS216" localSheetId="11">NA()</definedName>
    <definedName name="__________________GBS216" localSheetId="12">NA()</definedName>
    <definedName name="__________________GBS216" localSheetId="0">#REF!</definedName>
    <definedName name="__________________GBS216">#REF!</definedName>
    <definedName name="__________________GBS217" localSheetId="11">NA()</definedName>
    <definedName name="__________________GBS217" localSheetId="12">NA()</definedName>
    <definedName name="__________________GBS217" localSheetId="0">#REF!</definedName>
    <definedName name="__________________GBS217">#REF!</definedName>
    <definedName name="__________________GBS218" localSheetId="11">NA()</definedName>
    <definedName name="__________________GBS218" localSheetId="12">NA()</definedName>
    <definedName name="__________________GBS218" localSheetId="0">#REF!</definedName>
    <definedName name="__________________GBS218">#REF!</definedName>
    <definedName name="__________________GBS219" localSheetId="11">NA()</definedName>
    <definedName name="__________________GBS219" localSheetId="12">NA()</definedName>
    <definedName name="__________________GBS219" localSheetId="0">#REF!</definedName>
    <definedName name="__________________GBS219">#REF!</definedName>
    <definedName name="__________________GBS22" localSheetId="11">NA()</definedName>
    <definedName name="__________________GBS22" localSheetId="12">NA()</definedName>
    <definedName name="__________________GBS22" localSheetId="0">#REF!</definedName>
    <definedName name="__________________GBS22">#REF!</definedName>
    <definedName name="__________________GBS220" localSheetId="11">NA()</definedName>
    <definedName name="__________________GBS220" localSheetId="12">NA()</definedName>
    <definedName name="__________________GBS220" localSheetId="0">#REF!</definedName>
    <definedName name="__________________GBS220">#REF!</definedName>
    <definedName name="__________________GBS221" localSheetId="11">NA()</definedName>
    <definedName name="__________________GBS221" localSheetId="12">NA()</definedName>
    <definedName name="__________________GBS221" localSheetId="0">#REF!</definedName>
    <definedName name="__________________GBS221">#REF!</definedName>
    <definedName name="__________________GBS222" localSheetId="11">NA()</definedName>
    <definedName name="__________________GBS222" localSheetId="12">NA()</definedName>
    <definedName name="__________________GBS222" localSheetId="0">#REF!</definedName>
    <definedName name="__________________GBS222">#REF!</definedName>
    <definedName name="__________________GBS223" localSheetId="11">NA()</definedName>
    <definedName name="__________________GBS223" localSheetId="12">NA()</definedName>
    <definedName name="__________________GBS223" localSheetId="0">#REF!</definedName>
    <definedName name="__________________GBS223">#REF!</definedName>
    <definedName name="__________________GBS224" localSheetId="11">NA()</definedName>
    <definedName name="__________________GBS224" localSheetId="12">NA()</definedName>
    <definedName name="__________________GBS224" localSheetId="0">#REF!</definedName>
    <definedName name="__________________GBS224">#REF!</definedName>
    <definedName name="__________________GBS23" localSheetId="11">NA()</definedName>
    <definedName name="__________________GBS23" localSheetId="12">NA()</definedName>
    <definedName name="__________________GBS23" localSheetId="0">#REF!</definedName>
    <definedName name="__________________GBS23">#REF!</definedName>
    <definedName name="__________________GBS24" localSheetId="11">NA()</definedName>
    <definedName name="__________________GBS24" localSheetId="12">NA()</definedName>
    <definedName name="__________________GBS24" localSheetId="0">#REF!</definedName>
    <definedName name="__________________GBS24">#REF!</definedName>
    <definedName name="__________________GBS25" localSheetId="11">NA()</definedName>
    <definedName name="__________________GBS25" localSheetId="12">NA()</definedName>
    <definedName name="__________________GBS25" localSheetId="0">#REF!</definedName>
    <definedName name="__________________GBS25">#REF!</definedName>
    <definedName name="__________________GBS26" localSheetId="11">NA()</definedName>
    <definedName name="__________________GBS26" localSheetId="12">NA()</definedName>
    <definedName name="__________________GBS26" localSheetId="0">#REF!</definedName>
    <definedName name="__________________GBS26">#REF!</definedName>
    <definedName name="__________________GBS27" localSheetId="11">NA()</definedName>
    <definedName name="__________________GBS27" localSheetId="12">NA()</definedName>
    <definedName name="__________________GBS27" localSheetId="0">#REF!</definedName>
    <definedName name="__________________GBS27">#REF!</definedName>
    <definedName name="__________________GBS28" localSheetId="11">NA()</definedName>
    <definedName name="__________________GBS28" localSheetId="12">NA()</definedName>
    <definedName name="__________________GBS28" localSheetId="0">#REF!</definedName>
    <definedName name="__________________GBS28">#REF!</definedName>
    <definedName name="__________________GBS29" localSheetId="11">NA()</definedName>
    <definedName name="__________________GBS29" localSheetId="12">NA()</definedName>
    <definedName name="__________________GBS29" localSheetId="0">#REF!</definedName>
    <definedName name="__________________GBS29">#REF!</definedName>
    <definedName name="__________________imp1">[11]DATA_PRG!$H$245</definedName>
    <definedName name="__________________knr2" localSheetId="11">NA()</definedName>
    <definedName name="__________________knr2" localSheetId="12">NA()</definedName>
    <definedName name="__________________knr2" localSheetId="0">#REF!</definedName>
    <definedName name="__________________knr2">#REF!</definedName>
    <definedName name="__________________l1">[3]leads!$A$3:$E$108</definedName>
    <definedName name="__________________l12" localSheetId="11">NA()</definedName>
    <definedName name="__________________l12" localSheetId="12">NA()</definedName>
    <definedName name="__________________l12" localSheetId="0">#REF!</definedName>
    <definedName name="__________________l12">#REF!</definedName>
    <definedName name="__________________l2">[2]r!$F$29</definedName>
    <definedName name="__________________l3" localSheetId="11">NA()</definedName>
    <definedName name="__________________l3" localSheetId="12">NA()</definedName>
    <definedName name="__________________l3" localSheetId="0">#REF!</definedName>
    <definedName name="__________________l3">#REF!</definedName>
    <definedName name="__________________l4">[4]Sheet1!$W$2:$Y$103</definedName>
    <definedName name="__________________l5" localSheetId="11">NA()</definedName>
    <definedName name="__________________l5" localSheetId="12">NA()</definedName>
    <definedName name="__________________l5" localSheetId="0">#REF!</definedName>
    <definedName name="__________________l5">#REF!</definedName>
    <definedName name="__________________l6">[2]r!$F$4</definedName>
    <definedName name="__________________l7">[5]r!$F$4</definedName>
    <definedName name="__________________l8">[2]r!$F$2</definedName>
    <definedName name="__________________l9">[2]r!$F$3</definedName>
    <definedName name="__________________LJ6">[15]DATA!$H$245</definedName>
    <definedName name="__________________lj600" localSheetId="11">NA()</definedName>
    <definedName name="__________________lj600" localSheetId="12">NA()</definedName>
    <definedName name="__________________lj600" localSheetId="0">#REF!</definedName>
    <definedName name="__________________lj600">#REF!</definedName>
    <definedName name="__________________lj900" localSheetId="11">NA()</definedName>
    <definedName name="__________________lj900" localSheetId="12">NA()</definedName>
    <definedName name="__________________lj900" localSheetId="0">#REF!</definedName>
    <definedName name="__________________lj900">#REF!</definedName>
    <definedName name="__________________LL3" localSheetId="11">NA()</definedName>
    <definedName name="__________________LL3" localSheetId="12">NA()</definedName>
    <definedName name="__________________LL3" localSheetId="0">#REF!</definedName>
    <definedName name="__________________LL3">#REF!</definedName>
    <definedName name="__________________LSO24" localSheetId="11">"[14]lead!#ref!"</definedName>
    <definedName name="__________________LSO24" localSheetId="12">"[14]lead!#ref!"</definedName>
    <definedName name="__________________LSO24" localSheetId="0">[10]Lead!#REF!</definedName>
    <definedName name="__________________LSO24">[10]Lead!#REF!</definedName>
    <definedName name="__________________MA1" localSheetId="11">NA()</definedName>
    <definedName name="__________________MA1" localSheetId="12">NA()</definedName>
    <definedName name="__________________MA1" localSheetId="0">#REF!</definedName>
    <definedName name="__________________MA1">#REF!</definedName>
    <definedName name="__________________MA2" localSheetId="11">NA()</definedName>
    <definedName name="__________________MA2" localSheetId="12">NA()</definedName>
    <definedName name="__________________MA2" localSheetId="0">#REF!</definedName>
    <definedName name="__________________MA2">#REF!</definedName>
    <definedName name="__________________Met22" localSheetId="11">NA()</definedName>
    <definedName name="__________________Met22" localSheetId="12">NA()</definedName>
    <definedName name="__________________Met22" localSheetId="0">#REF!</definedName>
    <definedName name="__________________Met22">#REF!</definedName>
    <definedName name="__________________Met45" localSheetId="11">NA()</definedName>
    <definedName name="__________________Met45" localSheetId="12">NA()</definedName>
    <definedName name="__________________Met45" localSheetId="0">#REF!</definedName>
    <definedName name="__________________Met45">#REF!</definedName>
    <definedName name="__________________MEt55" localSheetId="11">NA()</definedName>
    <definedName name="__________________MEt55" localSheetId="12">NA()</definedName>
    <definedName name="__________________MEt55" localSheetId="0">#REF!</definedName>
    <definedName name="__________________MEt55">#REF!</definedName>
    <definedName name="__________________Met63" localSheetId="11">NA()</definedName>
    <definedName name="__________________Met63" localSheetId="12">NA()</definedName>
    <definedName name="__________________Met63" localSheetId="0">#REF!</definedName>
    <definedName name="__________________Met63">#REF!</definedName>
    <definedName name="__________________ML21" localSheetId="11">NA()</definedName>
    <definedName name="__________________ML21" localSheetId="12">NA()</definedName>
    <definedName name="__________________ML21" localSheetId="0">#REF!</definedName>
    <definedName name="__________________ML21">#REF!</definedName>
    <definedName name="__________________ML210" localSheetId="11">NA()</definedName>
    <definedName name="__________________ML210" localSheetId="12">NA()</definedName>
    <definedName name="__________________ML210" localSheetId="0">#REF!</definedName>
    <definedName name="__________________ML210">#REF!</definedName>
    <definedName name="__________________ML211" localSheetId="11">NA()</definedName>
    <definedName name="__________________ML211" localSheetId="12">NA()</definedName>
    <definedName name="__________________ML211" localSheetId="0">#REF!</definedName>
    <definedName name="__________________ML211">#REF!</definedName>
    <definedName name="__________________ML212" localSheetId="11">NA()</definedName>
    <definedName name="__________________ML212" localSheetId="12">NA()</definedName>
    <definedName name="__________________ML212" localSheetId="0">#REF!</definedName>
    <definedName name="__________________ML212">#REF!</definedName>
    <definedName name="__________________ML213" localSheetId="11">NA()</definedName>
    <definedName name="__________________ML213" localSheetId="12">NA()</definedName>
    <definedName name="__________________ML213" localSheetId="0">#REF!</definedName>
    <definedName name="__________________ML213">#REF!</definedName>
    <definedName name="__________________ML214" localSheetId="11">NA()</definedName>
    <definedName name="__________________ML214" localSheetId="12">NA()</definedName>
    <definedName name="__________________ML214" localSheetId="0">#REF!</definedName>
    <definedName name="__________________ML214">#REF!</definedName>
    <definedName name="__________________ML215" localSheetId="11">NA()</definedName>
    <definedName name="__________________ML215" localSheetId="12">NA()</definedName>
    <definedName name="__________________ML215" localSheetId="0">#REF!</definedName>
    <definedName name="__________________ML215">#REF!</definedName>
    <definedName name="__________________ML216" localSheetId="11">NA()</definedName>
    <definedName name="__________________ML216" localSheetId="12">NA()</definedName>
    <definedName name="__________________ML216" localSheetId="0">#REF!</definedName>
    <definedName name="__________________ML216">#REF!</definedName>
    <definedName name="__________________ML217" localSheetId="11">NA()</definedName>
    <definedName name="__________________ML217" localSheetId="12">NA()</definedName>
    <definedName name="__________________ML217" localSheetId="0">#REF!</definedName>
    <definedName name="__________________ML217">#REF!</definedName>
    <definedName name="__________________ML218" localSheetId="11">NA()</definedName>
    <definedName name="__________________ML218" localSheetId="12">NA()</definedName>
    <definedName name="__________________ML218" localSheetId="0">#REF!</definedName>
    <definedName name="__________________ML218">#REF!</definedName>
    <definedName name="__________________ML219" localSheetId="11">NA()</definedName>
    <definedName name="__________________ML219" localSheetId="12">NA()</definedName>
    <definedName name="__________________ML219" localSheetId="0">#REF!</definedName>
    <definedName name="__________________ML219">#REF!</definedName>
    <definedName name="__________________ML22" localSheetId="11">NA()</definedName>
    <definedName name="__________________ML22" localSheetId="12">NA()</definedName>
    <definedName name="__________________ML22" localSheetId="0">#REF!</definedName>
    <definedName name="__________________ML22">#REF!</definedName>
    <definedName name="__________________ML220" localSheetId="11">NA()</definedName>
    <definedName name="__________________ML220" localSheetId="12">NA()</definedName>
    <definedName name="__________________ML220" localSheetId="0">#REF!</definedName>
    <definedName name="__________________ML220">#REF!</definedName>
    <definedName name="__________________ML221" localSheetId="11">NA()</definedName>
    <definedName name="__________________ML221" localSheetId="12">NA()</definedName>
    <definedName name="__________________ML221" localSheetId="0">#REF!</definedName>
    <definedName name="__________________ML221">#REF!</definedName>
    <definedName name="__________________ML222" localSheetId="11">NA()</definedName>
    <definedName name="__________________ML222" localSheetId="12">NA()</definedName>
    <definedName name="__________________ML222" localSheetId="0">#REF!</definedName>
    <definedName name="__________________ML222">#REF!</definedName>
    <definedName name="__________________ML223" localSheetId="11">NA()</definedName>
    <definedName name="__________________ML223" localSheetId="12">NA()</definedName>
    <definedName name="__________________ML223" localSheetId="0">#REF!</definedName>
    <definedName name="__________________ML223">#REF!</definedName>
    <definedName name="__________________ML224" localSheetId="11">NA()</definedName>
    <definedName name="__________________ML224" localSheetId="12">NA()</definedName>
    <definedName name="__________________ML224" localSheetId="0">#REF!</definedName>
    <definedName name="__________________ML224">#REF!</definedName>
    <definedName name="__________________ML23" localSheetId="11">NA()</definedName>
    <definedName name="__________________ML23" localSheetId="12">NA()</definedName>
    <definedName name="__________________ML23" localSheetId="0">#REF!</definedName>
    <definedName name="__________________ML23">#REF!</definedName>
    <definedName name="__________________ML24" localSheetId="11">NA()</definedName>
    <definedName name="__________________ML24" localSheetId="12">NA()</definedName>
    <definedName name="__________________ML24" localSheetId="0">#REF!</definedName>
    <definedName name="__________________ML24">#REF!</definedName>
    <definedName name="__________________ML25" localSheetId="11">NA()</definedName>
    <definedName name="__________________ML25" localSheetId="12">NA()</definedName>
    <definedName name="__________________ML25" localSheetId="0">#REF!</definedName>
    <definedName name="__________________ML25">#REF!</definedName>
    <definedName name="__________________ML26" localSheetId="11">NA()</definedName>
    <definedName name="__________________ML26" localSheetId="12">NA()</definedName>
    <definedName name="__________________ML26" localSheetId="0">#REF!</definedName>
    <definedName name="__________________ML26">#REF!</definedName>
    <definedName name="__________________ML27" localSheetId="11">NA()</definedName>
    <definedName name="__________________ML27" localSheetId="12">NA()</definedName>
    <definedName name="__________________ML27" localSheetId="0">#REF!</definedName>
    <definedName name="__________________ML27">#REF!</definedName>
    <definedName name="__________________ML28" localSheetId="11">NA()</definedName>
    <definedName name="__________________ML28" localSheetId="12">NA()</definedName>
    <definedName name="__________________ML28" localSheetId="0">#REF!</definedName>
    <definedName name="__________________ML28">#REF!</definedName>
    <definedName name="__________________ML29" localSheetId="11">NA()</definedName>
    <definedName name="__________________ML29" localSheetId="12">NA()</definedName>
    <definedName name="__________________ML29" localSheetId="0">#REF!</definedName>
    <definedName name="__________________ML29">#REF!</definedName>
    <definedName name="__________________ML31" localSheetId="11">NA()</definedName>
    <definedName name="__________________ML31" localSheetId="12">NA()</definedName>
    <definedName name="__________________ML31" localSheetId="0">#REF!</definedName>
    <definedName name="__________________ML31">#REF!</definedName>
    <definedName name="__________________ML310" localSheetId="11">NA()</definedName>
    <definedName name="__________________ML310" localSheetId="12">NA()</definedName>
    <definedName name="__________________ML310" localSheetId="0">#REF!</definedName>
    <definedName name="__________________ML310">#REF!</definedName>
    <definedName name="__________________ML311" localSheetId="11">NA()</definedName>
    <definedName name="__________________ML311" localSheetId="12">NA()</definedName>
    <definedName name="__________________ML311" localSheetId="0">#REF!</definedName>
    <definedName name="__________________ML311">#REF!</definedName>
    <definedName name="__________________ML312" localSheetId="11">NA()</definedName>
    <definedName name="__________________ML312" localSheetId="12">NA()</definedName>
    <definedName name="__________________ML312" localSheetId="0">#REF!</definedName>
    <definedName name="__________________ML312">#REF!</definedName>
    <definedName name="__________________ML313" localSheetId="11">NA()</definedName>
    <definedName name="__________________ML313" localSheetId="12">NA()</definedName>
    <definedName name="__________________ML313" localSheetId="0">#REF!</definedName>
    <definedName name="__________________ML313">#REF!</definedName>
    <definedName name="__________________ML314" localSheetId="11">NA()</definedName>
    <definedName name="__________________ML314" localSheetId="12">NA()</definedName>
    <definedName name="__________________ML314" localSheetId="0">#REF!</definedName>
    <definedName name="__________________ML314">#REF!</definedName>
    <definedName name="__________________ML315" localSheetId="11">NA()</definedName>
    <definedName name="__________________ML315" localSheetId="12">NA()</definedName>
    <definedName name="__________________ML315" localSheetId="0">#REF!</definedName>
    <definedName name="__________________ML315">#REF!</definedName>
    <definedName name="__________________ML316" localSheetId="11">NA()</definedName>
    <definedName name="__________________ML316" localSheetId="12">NA()</definedName>
    <definedName name="__________________ML316" localSheetId="0">#REF!</definedName>
    <definedName name="__________________ML316">#REF!</definedName>
    <definedName name="__________________ML317" localSheetId="11">NA()</definedName>
    <definedName name="__________________ML317" localSheetId="12">NA()</definedName>
    <definedName name="__________________ML317" localSheetId="0">#REF!</definedName>
    <definedName name="__________________ML317">#REF!</definedName>
    <definedName name="__________________ML318" localSheetId="11">NA()</definedName>
    <definedName name="__________________ML318" localSheetId="12">NA()</definedName>
    <definedName name="__________________ML318" localSheetId="0">#REF!</definedName>
    <definedName name="__________________ML318">#REF!</definedName>
    <definedName name="__________________ML319" localSheetId="11">NA()</definedName>
    <definedName name="__________________ML319" localSheetId="12">NA()</definedName>
    <definedName name="__________________ML319" localSheetId="0">#REF!</definedName>
    <definedName name="__________________ML319">#REF!</definedName>
    <definedName name="__________________ML32" localSheetId="11">NA()</definedName>
    <definedName name="__________________ML32" localSheetId="12">NA()</definedName>
    <definedName name="__________________ML32" localSheetId="0">#REF!</definedName>
    <definedName name="__________________ML32">#REF!</definedName>
    <definedName name="__________________ML320" localSheetId="11">NA()</definedName>
    <definedName name="__________________ML320" localSheetId="12">NA()</definedName>
    <definedName name="__________________ML320" localSheetId="0">#REF!</definedName>
    <definedName name="__________________ML320">#REF!</definedName>
    <definedName name="__________________ML321" localSheetId="11">NA()</definedName>
    <definedName name="__________________ML321" localSheetId="12">NA()</definedName>
    <definedName name="__________________ML321" localSheetId="0">#REF!</definedName>
    <definedName name="__________________ML321">#REF!</definedName>
    <definedName name="__________________ML322" localSheetId="11">NA()</definedName>
    <definedName name="__________________ML322" localSheetId="12">NA()</definedName>
    <definedName name="__________________ML322" localSheetId="0">#REF!</definedName>
    <definedName name="__________________ML322">#REF!</definedName>
    <definedName name="__________________ML323" localSheetId="11">NA()</definedName>
    <definedName name="__________________ML323" localSheetId="12">NA()</definedName>
    <definedName name="__________________ML323" localSheetId="0">#REF!</definedName>
    <definedName name="__________________ML323">#REF!</definedName>
    <definedName name="__________________ML324" localSheetId="11">NA()</definedName>
    <definedName name="__________________ML324" localSheetId="12">NA()</definedName>
    <definedName name="__________________ML324" localSheetId="0">#REF!</definedName>
    <definedName name="__________________ML324">#REF!</definedName>
    <definedName name="__________________ML33" localSheetId="11">NA()</definedName>
    <definedName name="__________________ML33" localSheetId="12">NA()</definedName>
    <definedName name="__________________ML33" localSheetId="0">#REF!</definedName>
    <definedName name="__________________ML33">#REF!</definedName>
    <definedName name="__________________ML34" localSheetId="11">NA()</definedName>
    <definedName name="__________________ML34" localSheetId="12">NA()</definedName>
    <definedName name="__________________ML34" localSheetId="0">#REF!</definedName>
    <definedName name="__________________ML34">#REF!</definedName>
    <definedName name="__________________ML35" localSheetId="11">NA()</definedName>
    <definedName name="__________________ML35" localSheetId="12">NA()</definedName>
    <definedName name="__________________ML35" localSheetId="0">#REF!</definedName>
    <definedName name="__________________ML35">#REF!</definedName>
    <definedName name="__________________ML36" localSheetId="11">NA()</definedName>
    <definedName name="__________________ML36" localSheetId="12">NA()</definedName>
    <definedName name="__________________ML36" localSheetId="0">#REF!</definedName>
    <definedName name="__________________ML36">#REF!</definedName>
    <definedName name="__________________ML37" localSheetId="11">NA()</definedName>
    <definedName name="__________________ML37" localSheetId="12">NA()</definedName>
    <definedName name="__________________ML37" localSheetId="0">#REF!</definedName>
    <definedName name="__________________ML37">#REF!</definedName>
    <definedName name="__________________ML38" localSheetId="11">NA()</definedName>
    <definedName name="__________________ML38" localSheetId="12">NA()</definedName>
    <definedName name="__________________ML38" localSheetId="0">#REF!</definedName>
    <definedName name="__________________ML38">#REF!</definedName>
    <definedName name="__________________ML39" localSheetId="11">NA()</definedName>
    <definedName name="__________________ML39" localSheetId="12">NA()</definedName>
    <definedName name="__________________ML39" localSheetId="0">#REF!</definedName>
    <definedName name="__________________ML39">#REF!</definedName>
    <definedName name="__________________ML7" localSheetId="11">NA()</definedName>
    <definedName name="__________________ML7" localSheetId="12">NA()</definedName>
    <definedName name="__________________ML7" localSheetId="0">#REF!</definedName>
    <definedName name="__________________ML7">#REF!</definedName>
    <definedName name="__________________ML8" localSheetId="11">NA()</definedName>
    <definedName name="__________________ML8" localSheetId="12">NA()</definedName>
    <definedName name="__________________ML8" localSheetId="0">#REF!</definedName>
    <definedName name="__________________ML8">#REF!</definedName>
    <definedName name="__________________ML9" localSheetId="11">NA()</definedName>
    <definedName name="__________________ML9" localSheetId="12">NA()</definedName>
    <definedName name="__________________ML9" localSheetId="0">#REF!</definedName>
    <definedName name="__________________ML9">#REF!</definedName>
    <definedName name="__________________mm1">[6]r!$F$4</definedName>
    <definedName name="__________________mm1000" localSheetId="11">NA()</definedName>
    <definedName name="__________________mm1000" localSheetId="12">NA()</definedName>
    <definedName name="__________________mm1000" localSheetId="0">#REF!</definedName>
    <definedName name="__________________mm1000">#REF!</definedName>
    <definedName name="__________________mm11">[2]r!$F$4</definedName>
    <definedName name="__________________mm111">[5]r!$F$4</definedName>
    <definedName name="__________________mm600" localSheetId="11">NA()</definedName>
    <definedName name="__________________mm600" localSheetId="12">NA()</definedName>
    <definedName name="__________________mm600" localSheetId="0">#REF!</definedName>
    <definedName name="__________________mm600">#REF!</definedName>
    <definedName name="__________________mm800" localSheetId="11">NA()</definedName>
    <definedName name="__________________mm800" localSheetId="12">NA()</definedName>
    <definedName name="__________________mm800" localSheetId="0">#REF!</definedName>
    <definedName name="__________________mm800">#REF!</definedName>
    <definedName name="__________________PC1" localSheetId="11">NA()</definedName>
    <definedName name="__________________PC1" localSheetId="12">NA()</definedName>
    <definedName name="__________________PC1" localSheetId="0">#REF!</definedName>
    <definedName name="__________________PC1">#REF!</definedName>
    <definedName name="__________________PC10" localSheetId="11">NA()</definedName>
    <definedName name="__________________PC10" localSheetId="12">NA()</definedName>
    <definedName name="__________________PC10" localSheetId="0">#REF!</definedName>
    <definedName name="__________________PC10">#REF!</definedName>
    <definedName name="__________________PC11" localSheetId="11">NA()</definedName>
    <definedName name="__________________PC11" localSheetId="12">NA()</definedName>
    <definedName name="__________________PC11" localSheetId="0">#REF!</definedName>
    <definedName name="__________________PC11">#REF!</definedName>
    <definedName name="__________________PC12" localSheetId="11">NA()</definedName>
    <definedName name="__________________PC12" localSheetId="12">NA()</definedName>
    <definedName name="__________________PC12" localSheetId="0">#REF!</definedName>
    <definedName name="__________________PC12">#REF!</definedName>
    <definedName name="__________________PC13" localSheetId="11">NA()</definedName>
    <definedName name="__________________PC13" localSheetId="12">NA()</definedName>
    <definedName name="__________________PC13" localSheetId="0">#REF!</definedName>
    <definedName name="__________________PC13">#REF!</definedName>
    <definedName name="__________________PC14" localSheetId="11">NA()</definedName>
    <definedName name="__________________PC14" localSheetId="12">NA()</definedName>
    <definedName name="__________________PC14" localSheetId="0">#REF!</definedName>
    <definedName name="__________________PC14">#REF!</definedName>
    <definedName name="__________________PC15" localSheetId="11">NA()</definedName>
    <definedName name="__________________PC15" localSheetId="12">NA()</definedName>
    <definedName name="__________________PC15" localSheetId="0">#REF!</definedName>
    <definedName name="__________________PC15">#REF!</definedName>
    <definedName name="__________________PC16" localSheetId="11">NA()</definedName>
    <definedName name="__________________PC16" localSheetId="12">NA()</definedName>
    <definedName name="__________________PC16" localSheetId="0">#REF!</definedName>
    <definedName name="__________________PC16">#REF!</definedName>
    <definedName name="__________________PC17" localSheetId="11">NA()</definedName>
    <definedName name="__________________PC17" localSheetId="12">NA()</definedName>
    <definedName name="__________________PC17" localSheetId="0">#REF!</definedName>
    <definedName name="__________________PC17">#REF!</definedName>
    <definedName name="__________________PC18" localSheetId="11">NA()</definedName>
    <definedName name="__________________PC18" localSheetId="12">NA()</definedName>
    <definedName name="__________________PC18" localSheetId="0">#REF!</definedName>
    <definedName name="__________________PC18">#REF!</definedName>
    <definedName name="__________________PC19" localSheetId="11">NA()</definedName>
    <definedName name="__________________PC19" localSheetId="12">NA()</definedName>
    <definedName name="__________________PC19" localSheetId="0">#REF!</definedName>
    <definedName name="__________________PC19">#REF!</definedName>
    <definedName name="__________________pc2" localSheetId="11">NA()</definedName>
    <definedName name="__________________pc2" localSheetId="12">NA()</definedName>
    <definedName name="__________________pc2" localSheetId="0">#REF!</definedName>
    <definedName name="__________________pc2">#REF!</definedName>
    <definedName name="__________________PC20">NA()</definedName>
    <definedName name="__________________PC21" localSheetId="11">NA()</definedName>
    <definedName name="__________________PC21" localSheetId="12">NA()</definedName>
    <definedName name="__________________PC21" localSheetId="0">#REF!</definedName>
    <definedName name="__________________PC21">#REF!</definedName>
    <definedName name="__________________PC22" localSheetId="11">NA()</definedName>
    <definedName name="__________________PC22" localSheetId="12">NA()</definedName>
    <definedName name="__________________PC22" localSheetId="0">#REF!</definedName>
    <definedName name="__________________PC22">#REF!</definedName>
    <definedName name="__________________PC23" localSheetId="11">NA()</definedName>
    <definedName name="__________________PC23" localSheetId="12">NA()</definedName>
    <definedName name="__________________PC23" localSheetId="0">#REF!</definedName>
    <definedName name="__________________PC23">#REF!</definedName>
    <definedName name="__________________PC24" localSheetId="11">NA()</definedName>
    <definedName name="__________________PC24" localSheetId="12">NA()</definedName>
    <definedName name="__________________PC24" localSheetId="0">#REF!</definedName>
    <definedName name="__________________PC24">#REF!</definedName>
    <definedName name="__________________PC3" localSheetId="11">NA()</definedName>
    <definedName name="__________________PC3" localSheetId="12">NA()</definedName>
    <definedName name="__________________PC3" localSheetId="0">#REF!</definedName>
    <definedName name="__________________PC3">#REF!</definedName>
    <definedName name="__________________PC4" localSheetId="11">NA()</definedName>
    <definedName name="__________________PC4" localSheetId="12">NA()</definedName>
    <definedName name="__________________PC4" localSheetId="0">#REF!</definedName>
    <definedName name="__________________PC4">#REF!</definedName>
    <definedName name="__________________PC5" localSheetId="11">NA()</definedName>
    <definedName name="__________________PC5" localSheetId="12">NA()</definedName>
    <definedName name="__________________PC5" localSheetId="0">#REF!</definedName>
    <definedName name="__________________PC5">#REF!</definedName>
    <definedName name="__________________PC6" localSheetId="11">NA()</definedName>
    <definedName name="__________________PC6" localSheetId="12">NA()</definedName>
    <definedName name="__________________PC6" localSheetId="0">#REF!</definedName>
    <definedName name="__________________PC6">#REF!</definedName>
    <definedName name="__________________pc600" localSheetId="11">NA()</definedName>
    <definedName name="__________________pc600" localSheetId="12">NA()</definedName>
    <definedName name="__________________pc600" localSheetId="0">#REF!</definedName>
    <definedName name="__________________pc600">#REF!</definedName>
    <definedName name="__________________PC7" localSheetId="11">NA()</definedName>
    <definedName name="__________________PC7" localSheetId="12">NA()</definedName>
    <definedName name="__________________PC7" localSheetId="0">#REF!</definedName>
    <definedName name="__________________PC7">#REF!</definedName>
    <definedName name="__________________PC8" localSheetId="11">NA()</definedName>
    <definedName name="__________________PC8" localSheetId="12">NA()</definedName>
    <definedName name="__________________PC8" localSheetId="0">#REF!</definedName>
    <definedName name="__________________PC8">#REF!</definedName>
    <definedName name="__________________PC9" localSheetId="11">NA()</definedName>
    <definedName name="__________________PC9" localSheetId="12">NA()</definedName>
    <definedName name="__________________PC9" localSheetId="0">#REF!</definedName>
    <definedName name="__________________PC9">#REF!</definedName>
    <definedName name="__________________pc900" localSheetId="11">NA()</definedName>
    <definedName name="__________________pc900" localSheetId="12">NA()</definedName>
    <definedName name="__________________pc900" localSheetId="0">#REF!</definedName>
    <definedName name="__________________pc900">#REF!</definedName>
    <definedName name="__________________pla4">[12]DATA_PRG!$H$269</definedName>
    <definedName name="__________________pv2" localSheetId="11">NA()</definedName>
    <definedName name="__________________pv2" localSheetId="12">NA()</definedName>
    <definedName name="__________________pv2" localSheetId="0">#REF!</definedName>
    <definedName name="__________________pv2">#REF!</definedName>
    <definedName name="__________________rr3">[7]v!$A$2:$E$51</definedName>
    <definedName name="__________________rrr1">[7]r!$B$1:$I$145</definedName>
    <definedName name="__________________SP10">[13]Sheet1!$C$18</definedName>
    <definedName name="__________________SP16">[13]Sheet1!$C$24</definedName>
    <definedName name="__________________SP7">[13]Sheet1!$C$15</definedName>
    <definedName name="__________________ss12">[8]rdamdata!$J$8</definedName>
    <definedName name="__________________ss20">[8]rdamdata!$J$7</definedName>
    <definedName name="__________________ss40">[8]rdamdata!$J$6</definedName>
    <definedName name="__________________var1" localSheetId="11">NA()</definedName>
    <definedName name="__________________var1" localSheetId="12">NA()</definedName>
    <definedName name="__________________var1" localSheetId="0">#REF!</definedName>
    <definedName name="__________________var1">#REF!</definedName>
    <definedName name="__________________var4" localSheetId="11">NA()</definedName>
    <definedName name="__________________var4" localSheetId="12">NA()</definedName>
    <definedName name="__________________var4" localSheetId="0">#REF!</definedName>
    <definedName name="__________________var4">#REF!</definedName>
    <definedName name="__________________vat1">NA()</definedName>
    <definedName name="_________________bla1">[1]leads!$H$7</definedName>
    <definedName name="_________________BSG100" localSheetId="11">NA()</definedName>
    <definedName name="_________________BSG100" localSheetId="12">NA()</definedName>
    <definedName name="_________________BSG100" localSheetId="0">#REF!</definedName>
    <definedName name="_________________BSG100">#REF!</definedName>
    <definedName name="_________________BSG150" localSheetId="11">NA()</definedName>
    <definedName name="_________________BSG150" localSheetId="12">NA()</definedName>
    <definedName name="_________________BSG150" localSheetId="0">#REF!</definedName>
    <definedName name="_________________BSG150">#REF!</definedName>
    <definedName name="_________________BSG5" localSheetId="11">NA()</definedName>
    <definedName name="_________________BSG5" localSheetId="12">NA()</definedName>
    <definedName name="_________________BSG5" localSheetId="0">#REF!</definedName>
    <definedName name="_________________BSG5">#REF!</definedName>
    <definedName name="_________________BSG75" localSheetId="11">NA()</definedName>
    <definedName name="_________________BSG75" localSheetId="12">NA()</definedName>
    <definedName name="_________________BSG75" localSheetId="0">#REF!</definedName>
    <definedName name="_________________BSG75">#REF!</definedName>
    <definedName name="_________________BTC1" localSheetId="11">NA()</definedName>
    <definedName name="_________________BTC1" localSheetId="12">NA()</definedName>
    <definedName name="_________________BTC1" localSheetId="0">#REF!</definedName>
    <definedName name="_________________BTC1">#REF!</definedName>
    <definedName name="_________________BTC10" localSheetId="11">NA()</definedName>
    <definedName name="_________________BTC10" localSheetId="12">NA()</definedName>
    <definedName name="_________________BTC10" localSheetId="0">#REF!</definedName>
    <definedName name="_________________BTC10">#REF!</definedName>
    <definedName name="_________________BTC11" localSheetId="11">NA()</definedName>
    <definedName name="_________________BTC11" localSheetId="12">NA()</definedName>
    <definedName name="_________________BTC11" localSheetId="0">#REF!</definedName>
    <definedName name="_________________BTC11">#REF!</definedName>
    <definedName name="_________________BTC12" localSheetId="11">NA()</definedName>
    <definedName name="_________________BTC12" localSheetId="12">NA()</definedName>
    <definedName name="_________________BTC12" localSheetId="0">#REF!</definedName>
    <definedName name="_________________BTC12">#REF!</definedName>
    <definedName name="_________________BTC13" localSheetId="11">NA()</definedName>
    <definedName name="_________________BTC13" localSheetId="12">NA()</definedName>
    <definedName name="_________________BTC13" localSheetId="0">#REF!</definedName>
    <definedName name="_________________BTC13">#REF!</definedName>
    <definedName name="_________________BTC14" localSheetId="11">NA()</definedName>
    <definedName name="_________________BTC14" localSheetId="12">NA()</definedName>
    <definedName name="_________________BTC14" localSheetId="0">#REF!</definedName>
    <definedName name="_________________BTC14">#REF!</definedName>
    <definedName name="_________________BTC15" localSheetId="11">NA()</definedName>
    <definedName name="_________________BTC15" localSheetId="12">NA()</definedName>
    <definedName name="_________________BTC15" localSheetId="0">#REF!</definedName>
    <definedName name="_________________BTC15">#REF!</definedName>
    <definedName name="_________________BTC16" localSheetId="11">NA()</definedName>
    <definedName name="_________________BTC16" localSheetId="12">NA()</definedName>
    <definedName name="_________________BTC16" localSheetId="0">#REF!</definedName>
    <definedName name="_________________BTC16">#REF!</definedName>
    <definedName name="_________________BTC17" localSheetId="11">NA()</definedName>
    <definedName name="_________________BTC17" localSheetId="12">NA()</definedName>
    <definedName name="_________________BTC17" localSheetId="0">#REF!</definedName>
    <definedName name="_________________BTC17">#REF!</definedName>
    <definedName name="_________________BTC18" localSheetId="11">NA()</definedName>
    <definedName name="_________________BTC18" localSheetId="12">NA()</definedName>
    <definedName name="_________________BTC18" localSheetId="0">#REF!</definedName>
    <definedName name="_________________BTC18">#REF!</definedName>
    <definedName name="_________________BTC19" localSheetId="11">NA()</definedName>
    <definedName name="_________________BTC19" localSheetId="12">NA()</definedName>
    <definedName name="_________________BTC19" localSheetId="0">#REF!</definedName>
    <definedName name="_________________BTC19">#REF!</definedName>
    <definedName name="_________________BTC2" localSheetId="11">NA()</definedName>
    <definedName name="_________________BTC2" localSheetId="12">NA()</definedName>
    <definedName name="_________________BTC2" localSheetId="0">#REF!</definedName>
    <definedName name="_________________BTC2">#REF!</definedName>
    <definedName name="_________________BTC20" localSheetId="11">NA()</definedName>
    <definedName name="_________________BTC20" localSheetId="12">NA()</definedName>
    <definedName name="_________________BTC20" localSheetId="0">#REF!</definedName>
    <definedName name="_________________BTC20">#REF!</definedName>
    <definedName name="_________________BTC21" localSheetId="11">NA()</definedName>
    <definedName name="_________________BTC21" localSheetId="12">NA()</definedName>
    <definedName name="_________________BTC21" localSheetId="0">#REF!</definedName>
    <definedName name="_________________BTC21">#REF!</definedName>
    <definedName name="_________________BTC22" localSheetId="11">NA()</definedName>
    <definedName name="_________________BTC22" localSheetId="12">NA()</definedName>
    <definedName name="_________________BTC22" localSheetId="0">#REF!</definedName>
    <definedName name="_________________BTC22">#REF!</definedName>
    <definedName name="_________________BTC23" localSheetId="11">NA()</definedName>
    <definedName name="_________________BTC23" localSheetId="12">NA()</definedName>
    <definedName name="_________________BTC23" localSheetId="0">#REF!</definedName>
    <definedName name="_________________BTC23">#REF!</definedName>
    <definedName name="_________________BTC24" localSheetId="11">NA()</definedName>
    <definedName name="_________________BTC24" localSheetId="12">NA()</definedName>
    <definedName name="_________________BTC24" localSheetId="0">#REF!</definedName>
    <definedName name="_________________BTC24">#REF!</definedName>
    <definedName name="_________________BTC3" localSheetId="11">NA()</definedName>
    <definedName name="_________________BTC3" localSheetId="12">NA()</definedName>
    <definedName name="_________________BTC3" localSheetId="0">#REF!</definedName>
    <definedName name="_________________BTC3">#REF!</definedName>
    <definedName name="_________________BTC4" localSheetId="11">NA()</definedName>
    <definedName name="_________________BTC4" localSheetId="12">NA()</definedName>
    <definedName name="_________________BTC4" localSheetId="0">#REF!</definedName>
    <definedName name="_________________BTC4">#REF!</definedName>
    <definedName name="_________________BTC5" localSheetId="11">NA()</definedName>
    <definedName name="_________________BTC5" localSheetId="12">NA()</definedName>
    <definedName name="_________________BTC5" localSheetId="0">#REF!</definedName>
    <definedName name="_________________BTC5">#REF!</definedName>
    <definedName name="_________________BTC6" localSheetId="11">NA()</definedName>
    <definedName name="_________________BTC6" localSheetId="12">NA()</definedName>
    <definedName name="_________________BTC6" localSheetId="0">#REF!</definedName>
    <definedName name="_________________BTC6">#REF!</definedName>
    <definedName name="_________________BTC7" localSheetId="11">NA()</definedName>
    <definedName name="_________________BTC7" localSheetId="12">NA()</definedName>
    <definedName name="_________________BTC7" localSheetId="0">#REF!</definedName>
    <definedName name="_________________BTC7">#REF!</definedName>
    <definedName name="_________________BTC8" localSheetId="11">NA()</definedName>
    <definedName name="_________________BTC8" localSheetId="12">NA()</definedName>
    <definedName name="_________________BTC8" localSheetId="0">#REF!</definedName>
    <definedName name="_________________BTC8">#REF!</definedName>
    <definedName name="_________________BTC9" localSheetId="11">NA()</definedName>
    <definedName name="_________________BTC9" localSheetId="12">NA()</definedName>
    <definedName name="_________________BTC9" localSheetId="0">#REF!</definedName>
    <definedName name="_________________BTC9">#REF!</definedName>
    <definedName name="_________________BTR1" localSheetId="11">NA()</definedName>
    <definedName name="_________________BTR1" localSheetId="12">NA()</definedName>
    <definedName name="_________________BTR1" localSheetId="0">#REF!</definedName>
    <definedName name="_________________BTR1">#REF!</definedName>
    <definedName name="_________________BTR10" localSheetId="11">NA()</definedName>
    <definedName name="_________________BTR10" localSheetId="12">NA()</definedName>
    <definedName name="_________________BTR10" localSheetId="0">#REF!</definedName>
    <definedName name="_________________BTR10">#REF!</definedName>
    <definedName name="_________________BTR11" localSheetId="11">NA()</definedName>
    <definedName name="_________________BTR11" localSheetId="12">NA()</definedName>
    <definedName name="_________________BTR11" localSheetId="0">#REF!</definedName>
    <definedName name="_________________BTR11">#REF!</definedName>
    <definedName name="_________________BTR12" localSheetId="11">NA()</definedName>
    <definedName name="_________________BTR12" localSheetId="12">NA()</definedName>
    <definedName name="_________________BTR12" localSheetId="0">#REF!</definedName>
    <definedName name="_________________BTR12">#REF!</definedName>
    <definedName name="_________________BTR13" localSheetId="11">NA()</definedName>
    <definedName name="_________________BTR13" localSheetId="12">NA()</definedName>
    <definedName name="_________________BTR13" localSheetId="0">#REF!</definedName>
    <definedName name="_________________BTR13">#REF!</definedName>
    <definedName name="_________________BTR14" localSheetId="11">NA()</definedName>
    <definedName name="_________________BTR14" localSheetId="12">NA()</definedName>
    <definedName name="_________________BTR14" localSheetId="0">#REF!</definedName>
    <definedName name="_________________BTR14">#REF!</definedName>
    <definedName name="_________________BTR15" localSheetId="11">NA()</definedName>
    <definedName name="_________________BTR15" localSheetId="12">NA()</definedName>
    <definedName name="_________________BTR15" localSheetId="0">#REF!</definedName>
    <definedName name="_________________BTR15">#REF!</definedName>
    <definedName name="_________________BTR16" localSheetId="11">NA()</definedName>
    <definedName name="_________________BTR16" localSheetId="12">NA()</definedName>
    <definedName name="_________________BTR16" localSheetId="0">#REF!</definedName>
    <definedName name="_________________BTR16">#REF!</definedName>
    <definedName name="_________________BTR17" localSheetId="11">NA()</definedName>
    <definedName name="_________________BTR17" localSheetId="12">NA()</definedName>
    <definedName name="_________________BTR17" localSheetId="0">#REF!</definedName>
    <definedName name="_________________BTR17">#REF!</definedName>
    <definedName name="_________________BTR18" localSheetId="11">NA()</definedName>
    <definedName name="_________________BTR18" localSheetId="12">NA()</definedName>
    <definedName name="_________________BTR18" localSheetId="0">#REF!</definedName>
    <definedName name="_________________BTR18">#REF!</definedName>
    <definedName name="_________________BTR19" localSheetId="11">NA()</definedName>
    <definedName name="_________________BTR19" localSheetId="12">NA()</definedName>
    <definedName name="_________________BTR19" localSheetId="0">#REF!</definedName>
    <definedName name="_________________BTR19">#REF!</definedName>
    <definedName name="_________________BTR2" localSheetId="11">NA()</definedName>
    <definedName name="_________________BTR2" localSheetId="12">NA()</definedName>
    <definedName name="_________________BTR2" localSheetId="0">#REF!</definedName>
    <definedName name="_________________BTR2">#REF!</definedName>
    <definedName name="_________________BTR20" localSheetId="11">NA()</definedName>
    <definedName name="_________________BTR20" localSheetId="12">NA()</definedName>
    <definedName name="_________________BTR20" localSheetId="0">#REF!</definedName>
    <definedName name="_________________BTR20">#REF!</definedName>
    <definedName name="_________________BTR21" localSheetId="11">NA()</definedName>
    <definedName name="_________________BTR21" localSheetId="12">NA()</definedName>
    <definedName name="_________________BTR21" localSheetId="0">#REF!</definedName>
    <definedName name="_________________BTR21">#REF!</definedName>
    <definedName name="_________________BTR22" localSheetId="11">NA()</definedName>
    <definedName name="_________________BTR22" localSheetId="12">NA()</definedName>
    <definedName name="_________________BTR22" localSheetId="0">#REF!</definedName>
    <definedName name="_________________BTR22">#REF!</definedName>
    <definedName name="_________________BTR23" localSheetId="11">NA()</definedName>
    <definedName name="_________________BTR23" localSheetId="12">NA()</definedName>
    <definedName name="_________________BTR23" localSheetId="0">#REF!</definedName>
    <definedName name="_________________BTR23">#REF!</definedName>
    <definedName name="_________________BTR24" localSheetId="11">NA()</definedName>
    <definedName name="_________________BTR24" localSheetId="12">NA()</definedName>
    <definedName name="_________________BTR24" localSheetId="0">#REF!</definedName>
    <definedName name="_________________BTR24">#REF!</definedName>
    <definedName name="_________________BTR3" localSheetId="11">NA()</definedName>
    <definedName name="_________________BTR3" localSheetId="12">NA()</definedName>
    <definedName name="_________________BTR3" localSheetId="0">#REF!</definedName>
    <definedName name="_________________BTR3">#REF!</definedName>
    <definedName name="_________________BTR4" localSheetId="11">NA()</definedName>
    <definedName name="_________________BTR4" localSheetId="12">NA()</definedName>
    <definedName name="_________________BTR4" localSheetId="0">#REF!</definedName>
    <definedName name="_________________BTR4">#REF!</definedName>
    <definedName name="_________________BTR5" localSheetId="11">NA()</definedName>
    <definedName name="_________________BTR5" localSheetId="12">NA()</definedName>
    <definedName name="_________________BTR5" localSheetId="0">#REF!</definedName>
    <definedName name="_________________BTR5">#REF!</definedName>
    <definedName name="_________________BTR6" localSheetId="11">NA()</definedName>
    <definedName name="_________________BTR6" localSheetId="12">NA()</definedName>
    <definedName name="_________________BTR6" localSheetId="0">#REF!</definedName>
    <definedName name="_________________BTR6">#REF!</definedName>
    <definedName name="_________________BTR7" localSheetId="11">NA()</definedName>
    <definedName name="_________________BTR7" localSheetId="12">NA()</definedName>
    <definedName name="_________________BTR7" localSheetId="0">#REF!</definedName>
    <definedName name="_________________BTR7">#REF!</definedName>
    <definedName name="_________________BTR8" localSheetId="11">NA()</definedName>
    <definedName name="_________________BTR8" localSheetId="12">NA()</definedName>
    <definedName name="_________________BTR8" localSheetId="0">#REF!</definedName>
    <definedName name="_________________BTR8">#REF!</definedName>
    <definedName name="_________________BTR9" localSheetId="11">NA()</definedName>
    <definedName name="_________________BTR9" localSheetId="12">NA()</definedName>
    <definedName name="_________________BTR9" localSheetId="0">#REF!</definedName>
    <definedName name="_________________BTR9">#REF!</definedName>
    <definedName name="_________________BTS1" localSheetId="11">NA()</definedName>
    <definedName name="_________________BTS1" localSheetId="12">NA()</definedName>
    <definedName name="_________________BTS1" localSheetId="0">#REF!</definedName>
    <definedName name="_________________BTS1">#REF!</definedName>
    <definedName name="_________________BTS10" localSheetId="11">NA()</definedName>
    <definedName name="_________________BTS10" localSheetId="12">NA()</definedName>
    <definedName name="_________________BTS10" localSheetId="0">#REF!</definedName>
    <definedName name="_________________BTS10">#REF!</definedName>
    <definedName name="_________________BTS11" localSheetId="11">NA()</definedName>
    <definedName name="_________________BTS11" localSheetId="12">NA()</definedName>
    <definedName name="_________________BTS11" localSheetId="0">#REF!</definedName>
    <definedName name="_________________BTS11">#REF!</definedName>
    <definedName name="_________________BTS12" localSheetId="11">NA()</definedName>
    <definedName name="_________________BTS12" localSheetId="12">NA()</definedName>
    <definedName name="_________________BTS12" localSheetId="0">#REF!</definedName>
    <definedName name="_________________BTS12">#REF!</definedName>
    <definedName name="_________________BTS13" localSheetId="11">NA()</definedName>
    <definedName name="_________________BTS13" localSheetId="12">NA()</definedName>
    <definedName name="_________________BTS13" localSheetId="0">#REF!</definedName>
    <definedName name="_________________BTS13">#REF!</definedName>
    <definedName name="_________________BTS14" localSheetId="11">NA()</definedName>
    <definedName name="_________________BTS14" localSheetId="12">NA()</definedName>
    <definedName name="_________________BTS14" localSheetId="0">#REF!</definedName>
    <definedName name="_________________BTS14">#REF!</definedName>
    <definedName name="_________________BTS15" localSheetId="11">NA()</definedName>
    <definedName name="_________________BTS15" localSheetId="12">NA()</definedName>
    <definedName name="_________________BTS15" localSheetId="0">#REF!</definedName>
    <definedName name="_________________BTS15">#REF!</definedName>
    <definedName name="_________________BTS16" localSheetId="11">NA()</definedName>
    <definedName name="_________________BTS16" localSheetId="12">NA()</definedName>
    <definedName name="_________________BTS16" localSheetId="0">#REF!</definedName>
    <definedName name="_________________BTS16">#REF!</definedName>
    <definedName name="_________________BTS17" localSheetId="11">NA()</definedName>
    <definedName name="_________________BTS17" localSheetId="12">NA()</definedName>
    <definedName name="_________________BTS17" localSheetId="0">#REF!</definedName>
    <definedName name="_________________BTS17">#REF!</definedName>
    <definedName name="_________________BTS18" localSheetId="11">NA()</definedName>
    <definedName name="_________________BTS18" localSheetId="12">NA()</definedName>
    <definedName name="_________________BTS18" localSheetId="0">#REF!</definedName>
    <definedName name="_________________BTS18">#REF!</definedName>
    <definedName name="_________________BTS19" localSheetId="11">NA()</definedName>
    <definedName name="_________________BTS19" localSheetId="12">NA()</definedName>
    <definedName name="_________________BTS19" localSheetId="0">#REF!</definedName>
    <definedName name="_________________BTS19">#REF!</definedName>
    <definedName name="_________________BTS2" localSheetId="11">NA()</definedName>
    <definedName name="_________________BTS2" localSheetId="12">NA()</definedName>
    <definedName name="_________________BTS2" localSheetId="0">#REF!</definedName>
    <definedName name="_________________BTS2">#REF!</definedName>
    <definedName name="_________________BTS20" localSheetId="11">NA()</definedName>
    <definedName name="_________________BTS20" localSheetId="12">NA()</definedName>
    <definedName name="_________________BTS20" localSheetId="0">#REF!</definedName>
    <definedName name="_________________BTS20">#REF!</definedName>
    <definedName name="_________________BTS21" localSheetId="11">NA()</definedName>
    <definedName name="_________________BTS21" localSheetId="12">NA()</definedName>
    <definedName name="_________________BTS21" localSheetId="0">#REF!</definedName>
    <definedName name="_________________BTS21">#REF!</definedName>
    <definedName name="_________________BTS22" localSheetId="11">NA()</definedName>
    <definedName name="_________________BTS22" localSheetId="12">NA()</definedName>
    <definedName name="_________________BTS22" localSheetId="0">#REF!</definedName>
    <definedName name="_________________BTS22">#REF!</definedName>
    <definedName name="_________________BTS23" localSheetId="11">NA()</definedName>
    <definedName name="_________________BTS23" localSheetId="12">NA()</definedName>
    <definedName name="_________________BTS23" localSheetId="0">#REF!</definedName>
    <definedName name="_________________BTS23">#REF!</definedName>
    <definedName name="_________________BTS24" localSheetId="11">NA()</definedName>
    <definedName name="_________________BTS24" localSheetId="12">NA()</definedName>
    <definedName name="_________________BTS24" localSheetId="0">#REF!</definedName>
    <definedName name="_________________BTS24">#REF!</definedName>
    <definedName name="_________________BTS3" localSheetId="11">NA()</definedName>
    <definedName name="_________________BTS3" localSheetId="12">NA()</definedName>
    <definedName name="_________________BTS3" localSheetId="0">#REF!</definedName>
    <definedName name="_________________BTS3">#REF!</definedName>
    <definedName name="_________________BTS4" localSheetId="11">NA()</definedName>
    <definedName name="_________________BTS4" localSheetId="12">NA()</definedName>
    <definedName name="_________________BTS4" localSheetId="0">#REF!</definedName>
    <definedName name="_________________BTS4">#REF!</definedName>
    <definedName name="_________________BTS5" localSheetId="11">NA()</definedName>
    <definedName name="_________________BTS5" localSheetId="12">NA()</definedName>
    <definedName name="_________________BTS5" localSheetId="0">#REF!</definedName>
    <definedName name="_________________BTS5">#REF!</definedName>
    <definedName name="_________________BTS6" localSheetId="11">NA()</definedName>
    <definedName name="_________________BTS6" localSheetId="12">NA()</definedName>
    <definedName name="_________________BTS6" localSheetId="0">#REF!</definedName>
    <definedName name="_________________BTS6">#REF!</definedName>
    <definedName name="_________________BTS7" localSheetId="11">NA()</definedName>
    <definedName name="_________________BTS7" localSheetId="12">NA()</definedName>
    <definedName name="_________________BTS7" localSheetId="0">#REF!</definedName>
    <definedName name="_________________BTS7">#REF!</definedName>
    <definedName name="_________________BTS8" localSheetId="11">NA()</definedName>
    <definedName name="_________________BTS8" localSheetId="12">NA()</definedName>
    <definedName name="_________________BTS8" localSheetId="0">#REF!</definedName>
    <definedName name="_________________BTS8">#REF!</definedName>
    <definedName name="_________________BTS9" localSheetId="11">NA()</definedName>
    <definedName name="_________________BTS9" localSheetId="12">NA()</definedName>
    <definedName name="_________________BTS9" localSheetId="0">#REF!</definedName>
    <definedName name="_________________BTS9">#REF!</definedName>
    <definedName name="_________________can430">40.73</definedName>
    <definedName name="_________________can435">43.3</definedName>
    <definedName name="_________________CCW1">[15]DATA!$H$67</definedName>
    <definedName name="_________________CCW2">[15]DATA!$H$97</definedName>
    <definedName name="_________________cur1">[2]r!$F$30</definedName>
    <definedName name="_________________GBS11" localSheetId="11">NA()</definedName>
    <definedName name="_________________GBS11" localSheetId="12">NA()</definedName>
    <definedName name="_________________GBS11" localSheetId="0">#REF!</definedName>
    <definedName name="_________________GBS11">#REF!</definedName>
    <definedName name="_________________GBS110" localSheetId="11">NA()</definedName>
    <definedName name="_________________GBS110" localSheetId="12">NA()</definedName>
    <definedName name="_________________GBS110" localSheetId="0">#REF!</definedName>
    <definedName name="_________________GBS110">#REF!</definedName>
    <definedName name="_________________GBS111" localSheetId="11">NA()</definedName>
    <definedName name="_________________GBS111" localSheetId="12">NA()</definedName>
    <definedName name="_________________GBS111" localSheetId="0">#REF!</definedName>
    <definedName name="_________________GBS111">#REF!</definedName>
    <definedName name="_________________GBS112" localSheetId="11">NA()</definedName>
    <definedName name="_________________GBS112" localSheetId="12">NA()</definedName>
    <definedName name="_________________GBS112" localSheetId="0">#REF!</definedName>
    <definedName name="_________________GBS112">#REF!</definedName>
    <definedName name="_________________GBS113" localSheetId="11">NA()</definedName>
    <definedName name="_________________GBS113" localSheetId="12">NA()</definedName>
    <definedName name="_________________GBS113" localSheetId="0">#REF!</definedName>
    <definedName name="_________________GBS113">#REF!</definedName>
    <definedName name="_________________GBS114" localSheetId="11">NA()</definedName>
    <definedName name="_________________GBS114" localSheetId="12">NA()</definedName>
    <definedName name="_________________GBS114" localSheetId="0">#REF!</definedName>
    <definedName name="_________________GBS114">#REF!</definedName>
    <definedName name="_________________GBS115" localSheetId="11">NA()</definedName>
    <definedName name="_________________GBS115" localSheetId="12">NA()</definedName>
    <definedName name="_________________GBS115" localSheetId="0">#REF!</definedName>
    <definedName name="_________________GBS115">#REF!</definedName>
    <definedName name="_________________GBS116" localSheetId="11">NA()</definedName>
    <definedName name="_________________GBS116" localSheetId="12">NA()</definedName>
    <definedName name="_________________GBS116" localSheetId="0">#REF!</definedName>
    <definedName name="_________________GBS116">#REF!</definedName>
    <definedName name="_________________GBS117" localSheetId="11">NA()</definedName>
    <definedName name="_________________GBS117" localSheetId="12">NA()</definedName>
    <definedName name="_________________GBS117" localSheetId="0">#REF!</definedName>
    <definedName name="_________________GBS117">#REF!</definedName>
    <definedName name="_________________GBS118" localSheetId="11">NA()</definedName>
    <definedName name="_________________GBS118" localSheetId="12">NA()</definedName>
    <definedName name="_________________GBS118" localSheetId="0">#REF!</definedName>
    <definedName name="_________________GBS118">#REF!</definedName>
    <definedName name="_________________GBS119" localSheetId="11">NA()</definedName>
    <definedName name="_________________GBS119" localSheetId="12">NA()</definedName>
    <definedName name="_________________GBS119" localSheetId="0">#REF!</definedName>
    <definedName name="_________________GBS119">#REF!</definedName>
    <definedName name="_________________GBS12" localSheetId="11">NA()</definedName>
    <definedName name="_________________GBS12" localSheetId="12">NA()</definedName>
    <definedName name="_________________GBS12" localSheetId="0">#REF!</definedName>
    <definedName name="_________________GBS12">#REF!</definedName>
    <definedName name="_________________GBS120" localSheetId="11">NA()</definedName>
    <definedName name="_________________GBS120" localSheetId="12">NA()</definedName>
    <definedName name="_________________GBS120" localSheetId="0">#REF!</definedName>
    <definedName name="_________________GBS120">#REF!</definedName>
    <definedName name="_________________GBS121" localSheetId="11">NA()</definedName>
    <definedName name="_________________GBS121" localSheetId="12">NA()</definedName>
    <definedName name="_________________GBS121" localSheetId="0">#REF!</definedName>
    <definedName name="_________________GBS121">#REF!</definedName>
    <definedName name="_________________GBS122" localSheetId="11">NA()</definedName>
    <definedName name="_________________GBS122" localSheetId="12">NA()</definedName>
    <definedName name="_________________GBS122" localSheetId="0">#REF!</definedName>
    <definedName name="_________________GBS122">#REF!</definedName>
    <definedName name="_________________GBS123" localSheetId="11">NA()</definedName>
    <definedName name="_________________GBS123" localSheetId="12">NA()</definedName>
    <definedName name="_________________GBS123" localSheetId="0">#REF!</definedName>
    <definedName name="_________________GBS123">#REF!</definedName>
    <definedName name="_________________GBS124" localSheetId="11">NA()</definedName>
    <definedName name="_________________GBS124" localSheetId="12">NA()</definedName>
    <definedName name="_________________GBS124" localSheetId="0">#REF!</definedName>
    <definedName name="_________________GBS124">#REF!</definedName>
    <definedName name="_________________GBS13" localSheetId="11">NA()</definedName>
    <definedName name="_________________GBS13" localSheetId="12">NA()</definedName>
    <definedName name="_________________GBS13" localSheetId="0">#REF!</definedName>
    <definedName name="_________________GBS13">#REF!</definedName>
    <definedName name="_________________GBS14" localSheetId="11">NA()</definedName>
    <definedName name="_________________GBS14" localSheetId="12">NA()</definedName>
    <definedName name="_________________GBS14" localSheetId="0">#REF!</definedName>
    <definedName name="_________________GBS14">#REF!</definedName>
    <definedName name="_________________GBS15" localSheetId="11">NA()</definedName>
    <definedName name="_________________GBS15" localSheetId="12">NA()</definedName>
    <definedName name="_________________GBS15" localSheetId="0">#REF!</definedName>
    <definedName name="_________________GBS15">#REF!</definedName>
    <definedName name="_________________GBS16" localSheetId="11">NA()</definedName>
    <definedName name="_________________GBS16" localSheetId="12">NA()</definedName>
    <definedName name="_________________GBS16" localSheetId="0">#REF!</definedName>
    <definedName name="_________________GBS16">#REF!</definedName>
    <definedName name="_________________GBS17" localSheetId="11">NA()</definedName>
    <definedName name="_________________GBS17" localSheetId="12">NA()</definedName>
    <definedName name="_________________GBS17" localSheetId="0">#REF!</definedName>
    <definedName name="_________________GBS17">#REF!</definedName>
    <definedName name="_________________GBS18" localSheetId="11">NA()</definedName>
    <definedName name="_________________GBS18" localSheetId="12">NA()</definedName>
    <definedName name="_________________GBS18" localSheetId="0">#REF!</definedName>
    <definedName name="_________________GBS18">#REF!</definedName>
    <definedName name="_________________GBS19" localSheetId="11">NA()</definedName>
    <definedName name="_________________GBS19" localSheetId="12">NA()</definedName>
    <definedName name="_________________GBS19" localSheetId="0">#REF!</definedName>
    <definedName name="_________________GBS19">#REF!</definedName>
    <definedName name="_________________GBS21" localSheetId="11">NA()</definedName>
    <definedName name="_________________GBS21" localSheetId="12">NA()</definedName>
    <definedName name="_________________GBS21" localSheetId="0">#REF!</definedName>
    <definedName name="_________________GBS21">#REF!</definedName>
    <definedName name="_________________GBS210" localSheetId="11">NA()</definedName>
    <definedName name="_________________GBS210" localSheetId="12">NA()</definedName>
    <definedName name="_________________GBS210" localSheetId="0">#REF!</definedName>
    <definedName name="_________________GBS210">#REF!</definedName>
    <definedName name="_________________GBS211" localSheetId="11">NA()</definedName>
    <definedName name="_________________GBS211" localSheetId="12">NA()</definedName>
    <definedName name="_________________GBS211" localSheetId="0">#REF!</definedName>
    <definedName name="_________________GBS211">#REF!</definedName>
    <definedName name="_________________GBS212" localSheetId="11">NA()</definedName>
    <definedName name="_________________GBS212" localSheetId="12">NA()</definedName>
    <definedName name="_________________GBS212" localSheetId="0">#REF!</definedName>
    <definedName name="_________________GBS212">#REF!</definedName>
    <definedName name="_________________GBS213" localSheetId="11">NA()</definedName>
    <definedName name="_________________GBS213" localSheetId="12">NA()</definedName>
    <definedName name="_________________GBS213" localSheetId="0">#REF!</definedName>
    <definedName name="_________________GBS213">#REF!</definedName>
    <definedName name="_________________GBS214" localSheetId="11">NA()</definedName>
    <definedName name="_________________GBS214" localSheetId="12">NA()</definedName>
    <definedName name="_________________GBS214" localSheetId="0">#REF!</definedName>
    <definedName name="_________________GBS214">#REF!</definedName>
    <definedName name="_________________GBS215" localSheetId="11">NA()</definedName>
    <definedName name="_________________GBS215" localSheetId="12">NA()</definedName>
    <definedName name="_________________GBS215" localSheetId="0">#REF!</definedName>
    <definedName name="_________________GBS215">#REF!</definedName>
    <definedName name="_________________GBS216" localSheetId="11">NA()</definedName>
    <definedName name="_________________GBS216" localSheetId="12">NA()</definedName>
    <definedName name="_________________GBS216" localSheetId="0">#REF!</definedName>
    <definedName name="_________________GBS216">#REF!</definedName>
    <definedName name="_________________GBS217" localSheetId="11">NA()</definedName>
    <definedName name="_________________GBS217" localSheetId="12">NA()</definedName>
    <definedName name="_________________GBS217" localSheetId="0">#REF!</definedName>
    <definedName name="_________________GBS217">#REF!</definedName>
    <definedName name="_________________GBS218" localSheetId="11">NA()</definedName>
    <definedName name="_________________GBS218" localSheetId="12">NA()</definedName>
    <definedName name="_________________GBS218" localSheetId="0">#REF!</definedName>
    <definedName name="_________________GBS218">#REF!</definedName>
    <definedName name="_________________GBS219" localSheetId="11">NA()</definedName>
    <definedName name="_________________GBS219" localSheetId="12">NA()</definedName>
    <definedName name="_________________GBS219" localSheetId="0">#REF!</definedName>
    <definedName name="_________________GBS219">#REF!</definedName>
    <definedName name="_________________GBS22" localSheetId="11">NA()</definedName>
    <definedName name="_________________GBS22" localSheetId="12">NA()</definedName>
    <definedName name="_________________GBS22" localSheetId="0">#REF!</definedName>
    <definedName name="_________________GBS22">#REF!</definedName>
    <definedName name="_________________GBS220" localSheetId="11">NA()</definedName>
    <definedName name="_________________GBS220" localSheetId="12">NA()</definedName>
    <definedName name="_________________GBS220" localSheetId="0">#REF!</definedName>
    <definedName name="_________________GBS220">#REF!</definedName>
    <definedName name="_________________GBS221" localSheetId="11">NA()</definedName>
    <definedName name="_________________GBS221" localSheetId="12">NA()</definedName>
    <definedName name="_________________GBS221" localSheetId="0">#REF!</definedName>
    <definedName name="_________________GBS221">#REF!</definedName>
    <definedName name="_________________GBS222" localSheetId="11">NA()</definedName>
    <definedName name="_________________GBS222" localSheetId="12">NA()</definedName>
    <definedName name="_________________GBS222" localSheetId="0">#REF!</definedName>
    <definedName name="_________________GBS222">#REF!</definedName>
    <definedName name="_________________GBS223" localSheetId="11">NA()</definedName>
    <definedName name="_________________GBS223" localSheetId="12">NA()</definedName>
    <definedName name="_________________GBS223" localSheetId="0">#REF!</definedName>
    <definedName name="_________________GBS223">#REF!</definedName>
    <definedName name="_________________GBS224" localSheetId="11">NA()</definedName>
    <definedName name="_________________GBS224" localSheetId="12">NA()</definedName>
    <definedName name="_________________GBS224" localSheetId="0">#REF!</definedName>
    <definedName name="_________________GBS224">#REF!</definedName>
    <definedName name="_________________GBS23" localSheetId="11">NA()</definedName>
    <definedName name="_________________GBS23" localSheetId="12">NA()</definedName>
    <definedName name="_________________GBS23" localSheetId="0">#REF!</definedName>
    <definedName name="_________________GBS23">#REF!</definedName>
    <definedName name="_________________GBS24" localSheetId="11">NA()</definedName>
    <definedName name="_________________GBS24" localSheetId="12">NA()</definedName>
    <definedName name="_________________GBS24" localSheetId="0">#REF!</definedName>
    <definedName name="_________________GBS24">#REF!</definedName>
    <definedName name="_________________GBS25" localSheetId="11">NA()</definedName>
    <definedName name="_________________GBS25" localSheetId="12">NA()</definedName>
    <definedName name="_________________GBS25" localSheetId="0">#REF!</definedName>
    <definedName name="_________________GBS25">#REF!</definedName>
    <definedName name="_________________GBS26" localSheetId="11">NA()</definedName>
    <definedName name="_________________GBS26" localSheetId="12">NA()</definedName>
    <definedName name="_________________GBS26" localSheetId="0">#REF!</definedName>
    <definedName name="_________________GBS26">#REF!</definedName>
    <definedName name="_________________GBS27" localSheetId="11">NA()</definedName>
    <definedName name="_________________GBS27" localSheetId="12">NA()</definedName>
    <definedName name="_________________GBS27" localSheetId="0">#REF!</definedName>
    <definedName name="_________________GBS27">#REF!</definedName>
    <definedName name="_________________GBS28" localSheetId="11">NA()</definedName>
    <definedName name="_________________GBS28" localSheetId="12">NA()</definedName>
    <definedName name="_________________GBS28" localSheetId="0">#REF!</definedName>
    <definedName name="_________________GBS28">#REF!</definedName>
    <definedName name="_________________GBS29" localSheetId="11">NA()</definedName>
    <definedName name="_________________GBS29" localSheetId="12">NA()</definedName>
    <definedName name="_________________GBS29" localSheetId="0">#REF!</definedName>
    <definedName name="_________________GBS29">#REF!</definedName>
    <definedName name="_________________imp1">[11]DATA_PRG!$H$245</definedName>
    <definedName name="_________________knr2" localSheetId="11">NA()</definedName>
    <definedName name="_________________knr2" localSheetId="12">NA()</definedName>
    <definedName name="_________________knr2" localSheetId="0">#REF!</definedName>
    <definedName name="_________________knr2">#REF!</definedName>
    <definedName name="_________________l1">[3]leads!$A$3:$E$108</definedName>
    <definedName name="_________________l12" localSheetId="11">NA()</definedName>
    <definedName name="_________________l12" localSheetId="12">NA()</definedName>
    <definedName name="_________________l12" localSheetId="0">#REF!</definedName>
    <definedName name="_________________l12">#REF!</definedName>
    <definedName name="_________________l2">[2]r!$F$29</definedName>
    <definedName name="_________________l3" localSheetId="11">NA()</definedName>
    <definedName name="_________________l3" localSheetId="12">NA()</definedName>
    <definedName name="_________________l3" localSheetId="0">#REF!</definedName>
    <definedName name="_________________l3">#REF!</definedName>
    <definedName name="_________________l4">[4]Sheet1!$W$2:$Y$103</definedName>
    <definedName name="_________________l5" localSheetId="11">NA()</definedName>
    <definedName name="_________________l5" localSheetId="12">NA()</definedName>
    <definedName name="_________________l5" localSheetId="0">#REF!</definedName>
    <definedName name="_________________l5">#REF!</definedName>
    <definedName name="_________________l6">[2]r!$F$4</definedName>
    <definedName name="_________________l7">[5]r!$F$4</definedName>
    <definedName name="_________________l8">[2]r!$F$2</definedName>
    <definedName name="_________________l9">[2]r!$F$3</definedName>
    <definedName name="_________________LJ6">[15]DATA!$H$245</definedName>
    <definedName name="_________________lj600" localSheetId="11">NA()</definedName>
    <definedName name="_________________lj600" localSheetId="12">NA()</definedName>
    <definedName name="_________________lj600" localSheetId="0">#REF!</definedName>
    <definedName name="_________________lj600">#REF!</definedName>
    <definedName name="_________________lj900" localSheetId="11">NA()</definedName>
    <definedName name="_________________lj900" localSheetId="12">NA()</definedName>
    <definedName name="_________________lj900" localSheetId="0">#REF!</definedName>
    <definedName name="_________________lj900">#REF!</definedName>
    <definedName name="_________________LL3" localSheetId="11">NA()</definedName>
    <definedName name="_________________LL3" localSheetId="12">NA()</definedName>
    <definedName name="_________________LL3" localSheetId="0">#REF!</definedName>
    <definedName name="_________________LL3">#REF!</definedName>
    <definedName name="_________________LSO24" localSheetId="11">"[14]lead!#ref!"</definedName>
    <definedName name="_________________LSO24" localSheetId="12">"[14]lead!#ref!"</definedName>
    <definedName name="_________________LSO24" localSheetId="0">[10]Lead!#REF!</definedName>
    <definedName name="_________________LSO24">[10]Lead!#REF!</definedName>
    <definedName name="_________________MA1" localSheetId="11">NA()</definedName>
    <definedName name="_________________MA1" localSheetId="12">NA()</definedName>
    <definedName name="_________________MA1" localSheetId="0">#REF!</definedName>
    <definedName name="_________________MA1">#REF!</definedName>
    <definedName name="_________________MA2" localSheetId="11">NA()</definedName>
    <definedName name="_________________MA2" localSheetId="12">NA()</definedName>
    <definedName name="_________________MA2" localSheetId="0">#REF!</definedName>
    <definedName name="_________________MA2">#REF!</definedName>
    <definedName name="_________________Met22" localSheetId="11">NA()</definedName>
    <definedName name="_________________Met22" localSheetId="12">NA()</definedName>
    <definedName name="_________________Met22" localSheetId="0">#REF!</definedName>
    <definedName name="_________________Met22">#REF!</definedName>
    <definedName name="_________________Met45" localSheetId="11">NA()</definedName>
    <definedName name="_________________Met45" localSheetId="12">NA()</definedName>
    <definedName name="_________________Met45" localSheetId="0">#REF!</definedName>
    <definedName name="_________________Met45">#REF!</definedName>
    <definedName name="_________________MEt55" localSheetId="11">NA()</definedName>
    <definedName name="_________________MEt55" localSheetId="12">NA()</definedName>
    <definedName name="_________________MEt55" localSheetId="0">#REF!</definedName>
    <definedName name="_________________MEt55">#REF!</definedName>
    <definedName name="_________________Met63" localSheetId="11">NA()</definedName>
    <definedName name="_________________Met63" localSheetId="12">NA()</definedName>
    <definedName name="_________________Met63" localSheetId="0">#REF!</definedName>
    <definedName name="_________________Met63">#REF!</definedName>
    <definedName name="_________________ML21" localSheetId="11">NA()</definedName>
    <definedName name="_________________ML21" localSheetId="12">NA()</definedName>
    <definedName name="_________________ML21" localSheetId="0">#REF!</definedName>
    <definedName name="_________________ML21">#REF!</definedName>
    <definedName name="_________________ML210" localSheetId="11">NA()</definedName>
    <definedName name="_________________ML210" localSheetId="12">NA()</definedName>
    <definedName name="_________________ML210" localSheetId="0">#REF!</definedName>
    <definedName name="_________________ML210">#REF!</definedName>
    <definedName name="_________________ML211" localSheetId="11">NA()</definedName>
    <definedName name="_________________ML211" localSheetId="12">NA()</definedName>
    <definedName name="_________________ML211" localSheetId="0">#REF!</definedName>
    <definedName name="_________________ML211">#REF!</definedName>
    <definedName name="_________________ML212" localSheetId="11">NA()</definedName>
    <definedName name="_________________ML212" localSheetId="12">NA()</definedName>
    <definedName name="_________________ML212" localSheetId="0">#REF!</definedName>
    <definedName name="_________________ML212">#REF!</definedName>
    <definedName name="_________________ML213" localSheetId="11">NA()</definedName>
    <definedName name="_________________ML213" localSheetId="12">NA()</definedName>
    <definedName name="_________________ML213" localSheetId="0">#REF!</definedName>
    <definedName name="_________________ML213">#REF!</definedName>
    <definedName name="_________________ML214" localSheetId="11">NA()</definedName>
    <definedName name="_________________ML214" localSheetId="12">NA()</definedName>
    <definedName name="_________________ML214" localSheetId="0">#REF!</definedName>
    <definedName name="_________________ML214">#REF!</definedName>
    <definedName name="_________________ML215" localSheetId="11">NA()</definedName>
    <definedName name="_________________ML215" localSheetId="12">NA()</definedName>
    <definedName name="_________________ML215" localSheetId="0">#REF!</definedName>
    <definedName name="_________________ML215">#REF!</definedName>
    <definedName name="_________________ML216" localSheetId="11">NA()</definedName>
    <definedName name="_________________ML216" localSheetId="12">NA()</definedName>
    <definedName name="_________________ML216" localSheetId="0">#REF!</definedName>
    <definedName name="_________________ML216">#REF!</definedName>
    <definedName name="_________________ML217" localSheetId="11">NA()</definedName>
    <definedName name="_________________ML217" localSheetId="12">NA()</definedName>
    <definedName name="_________________ML217" localSheetId="0">#REF!</definedName>
    <definedName name="_________________ML217">#REF!</definedName>
    <definedName name="_________________ML218" localSheetId="11">NA()</definedName>
    <definedName name="_________________ML218" localSheetId="12">NA()</definedName>
    <definedName name="_________________ML218" localSheetId="0">#REF!</definedName>
    <definedName name="_________________ML218">#REF!</definedName>
    <definedName name="_________________ML219" localSheetId="11">NA()</definedName>
    <definedName name="_________________ML219" localSheetId="12">NA()</definedName>
    <definedName name="_________________ML219" localSheetId="0">#REF!</definedName>
    <definedName name="_________________ML219">#REF!</definedName>
    <definedName name="_________________ML22" localSheetId="11">NA()</definedName>
    <definedName name="_________________ML22" localSheetId="12">NA()</definedName>
    <definedName name="_________________ML22" localSheetId="0">#REF!</definedName>
    <definedName name="_________________ML22">#REF!</definedName>
    <definedName name="_________________ML220" localSheetId="11">NA()</definedName>
    <definedName name="_________________ML220" localSheetId="12">NA()</definedName>
    <definedName name="_________________ML220" localSheetId="0">#REF!</definedName>
    <definedName name="_________________ML220">#REF!</definedName>
    <definedName name="_________________ML221" localSheetId="11">NA()</definedName>
    <definedName name="_________________ML221" localSheetId="12">NA()</definedName>
    <definedName name="_________________ML221" localSheetId="0">#REF!</definedName>
    <definedName name="_________________ML221">#REF!</definedName>
    <definedName name="_________________ML222" localSheetId="11">NA()</definedName>
    <definedName name="_________________ML222" localSheetId="12">NA()</definedName>
    <definedName name="_________________ML222" localSheetId="0">#REF!</definedName>
    <definedName name="_________________ML222">#REF!</definedName>
    <definedName name="_________________ML223" localSheetId="11">NA()</definedName>
    <definedName name="_________________ML223" localSheetId="12">NA()</definedName>
    <definedName name="_________________ML223" localSheetId="0">#REF!</definedName>
    <definedName name="_________________ML223">#REF!</definedName>
    <definedName name="_________________ML224" localSheetId="11">NA()</definedName>
    <definedName name="_________________ML224" localSheetId="12">NA()</definedName>
    <definedName name="_________________ML224" localSheetId="0">#REF!</definedName>
    <definedName name="_________________ML224">#REF!</definedName>
    <definedName name="_________________ML23" localSheetId="11">NA()</definedName>
    <definedName name="_________________ML23" localSheetId="12">NA()</definedName>
    <definedName name="_________________ML23" localSheetId="0">#REF!</definedName>
    <definedName name="_________________ML23">#REF!</definedName>
    <definedName name="_________________ML24" localSheetId="11">NA()</definedName>
    <definedName name="_________________ML24" localSheetId="12">NA()</definedName>
    <definedName name="_________________ML24" localSheetId="0">#REF!</definedName>
    <definedName name="_________________ML24">#REF!</definedName>
    <definedName name="_________________ML25" localSheetId="11">NA()</definedName>
    <definedName name="_________________ML25" localSheetId="12">NA()</definedName>
    <definedName name="_________________ML25" localSheetId="0">#REF!</definedName>
    <definedName name="_________________ML25">#REF!</definedName>
    <definedName name="_________________ML26" localSheetId="11">NA()</definedName>
    <definedName name="_________________ML26" localSheetId="12">NA()</definedName>
    <definedName name="_________________ML26" localSheetId="0">#REF!</definedName>
    <definedName name="_________________ML26">#REF!</definedName>
    <definedName name="_________________ML27" localSheetId="11">NA()</definedName>
    <definedName name="_________________ML27" localSheetId="12">NA()</definedName>
    <definedName name="_________________ML27" localSheetId="0">#REF!</definedName>
    <definedName name="_________________ML27">#REF!</definedName>
    <definedName name="_________________ML28" localSheetId="11">NA()</definedName>
    <definedName name="_________________ML28" localSheetId="12">NA()</definedName>
    <definedName name="_________________ML28" localSheetId="0">#REF!</definedName>
    <definedName name="_________________ML28">#REF!</definedName>
    <definedName name="_________________ML29" localSheetId="11">NA()</definedName>
    <definedName name="_________________ML29" localSheetId="12">NA()</definedName>
    <definedName name="_________________ML29" localSheetId="0">#REF!</definedName>
    <definedName name="_________________ML29">#REF!</definedName>
    <definedName name="_________________ML31" localSheetId="11">NA()</definedName>
    <definedName name="_________________ML31" localSheetId="12">NA()</definedName>
    <definedName name="_________________ML31" localSheetId="0">#REF!</definedName>
    <definedName name="_________________ML31">#REF!</definedName>
    <definedName name="_________________ML310" localSheetId="11">NA()</definedName>
    <definedName name="_________________ML310" localSheetId="12">NA()</definedName>
    <definedName name="_________________ML310" localSheetId="0">#REF!</definedName>
    <definedName name="_________________ML310">#REF!</definedName>
    <definedName name="_________________ML311" localSheetId="11">NA()</definedName>
    <definedName name="_________________ML311" localSheetId="12">NA()</definedName>
    <definedName name="_________________ML311" localSheetId="0">#REF!</definedName>
    <definedName name="_________________ML311">#REF!</definedName>
    <definedName name="_________________ML312" localSheetId="11">NA()</definedName>
    <definedName name="_________________ML312" localSheetId="12">NA()</definedName>
    <definedName name="_________________ML312" localSheetId="0">#REF!</definedName>
    <definedName name="_________________ML312">#REF!</definedName>
    <definedName name="_________________ML313" localSheetId="11">NA()</definedName>
    <definedName name="_________________ML313" localSheetId="12">NA()</definedName>
    <definedName name="_________________ML313" localSheetId="0">#REF!</definedName>
    <definedName name="_________________ML313">#REF!</definedName>
    <definedName name="_________________ML314" localSheetId="11">NA()</definedName>
    <definedName name="_________________ML314" localSheetId="12">NA()</definedName>
    <definedName name="_________________ML314" localSheetId="0">#REF!</definedName>
    <definedName name="_________________ML314">#REF!</definedName>
    <definedName name="_________________ML315" localSheetId="11">NA()</definedName>
    <definedName name="_________________ML315" localSheetId="12">NA()</definedName>
    <definedName name="_________________ML315" localSheetId="0">#REF!</definedName>
    <definedName name="_________________ML315">#REF!</definedName>
    <definedName name="_________________ML316" localSheetId="11">NA()</definedName>
    <definedName name="_________________ML316" localSheetId="12">NA()</definedName>
    <definedName name="_________________ML316" localSheetId="0">#REF!</definedName>
    <definedName name="_________________ML316">#REF!</definedName>
    <definedName name="_________________ML317" localSheetId="11">NA()</definedName>
    <definedName name="_________________ML317" localSheetId="12">NA()</definedName>
    <definedName name="_________________ML317" localSheetId="0">#REF!</definedName>
    <definedName name="_________________ML317">#REF!</definedName>
    <definedName name="_________________ML318" localSheetId="11">NA()</definedName>
    <definedName name="_________________ML318" localSheetId="12">NA()</definedName>
    <definedName name="_________________ML318" localSheetId="0">#REF!</definedName>
    <definedName name="_________________ML318">#REF!</definedName>
    <definedName name="_________________ML319" localSheetId="11">NA()</definedName>
    <definedName name="_________________ML319" localSheetId="12">NA()</definedName>
    <definedName name="_________________ML319" localSheetId="0">#REF!</definedName>
    <definedName name="_________________ML319">#REF!</definedName>
    <definedName name="_________________ML32" localSheetId="11">NA()</definedName>
    <definedName name="_________________ML32" localSheetId="12">NA()</definedName>
    <definedName name="_________________ML32" localSheetId="0">#REF!</definedName>
    <definedName name="_________________ML32">#REF!</definedName>
    <definedName name="_________________ML320" localSheetId="11">NA()</definedName>
    <definedName name="_________________ML320" localSheetId="12">NA()</definedName>
    <definedName name="_________________ML320" localSheetId="0">#REF!</definedName>
    <definedName name="_________________ML320">#REF!</definedName>
    <definedName name="_________________ML321" localSheetId="11">NA()</definedName>
    <definedName name="_________________ML321" localSheetId="12">NA()</definedName>
    <definedName name="_________________ML321" localSheetId="0">#REF!</definedName>
    <definedName name="_________________ML321">#REF!</definedName>
    <definedName name="_________________ML322" localSheetId="11">NA()</definedName>
    <definedName name="_________________ML322" localSheetId="12">NA()</definedName>
    <definedName name="_________________ML322" localSheetId="0">#REF!</definedName>
    <definedName name="_________________ML322">#REF!</definedName>
    <definedName name="_________________ML323" localSheetId="11">NA()</definedName>
    <definedName name="_________________ML323" localSheetId="12">NA()</definedName>
    <definedName name="_________________ML323" localSheetId="0">#REF!</definedName>
    <definedName name="_________________ML323">#REF!</definedName>
    <definedName name="_________________ML324" localSheetId="11">NA()</definedName>
    <definedName name="_________________ML324" localSheetId="12">NA()</definedName>
    <definedName name="_________________ML324" localSheetId="0">#REF!</definedName>
    <definedName name="_________________ML324">#REF!</definedName>
    <definedName name="_________________ML33" localSheetId="11">NA()</definedName>
    <definedName name="_________________ML33" localSheetId="12">NA()</definedName>
    <definedName name="_________________ML33" localSheetId="0">#REF!</definedName>
    <definedName name="_________________ML33">#REF!</definedName>
    <definedName name="_________________ML34" localSheetId="11">NA()</definedName>
    <definedName name="_________________ML34" localSheetId="12">NA()</definedName>
    <definedName name="_________________ML34" localSheetId="0">#REF!</definedName>
    <definedName name="_________________ML34">#REF!</definedName>
    <definedName name="_________________ML35" localSheetId="11">NA()</definedName>
    <definedName name="_________________ML35" localSheetId="12">NA()</definedName>
    <definedName name="_________________ML35" localSheetId="0">#REF!</definedName>
    <definedName name="_________________ML35">#REF!</definedName>
    <definedName name="_________________ML36" localSheetId="11">NA()</definedName>
    <definedName name="_________________ML36" localSheetId="12">NA()</definedName>
    <definedName name="_________________ML36" localSheetId="0">#REF!</definedName>
    <definedName name="_________________ML36">#REF!</definedName>
    <definedName name="_________________ML37" localSheetId="11">NA()</definedName>
    <definedName name="_________________ML37" localSheetId="12">NA()</definedName>
    <definedName name="_________________ML37" localSheetId="0">#REF!</definedName>
    <definedName name="_________________ML37">#REF!</definedName>
    <definedName name="_________________ML38" localSheetId="11">NA()</definedName>
    <definedName name="_________________ML38" localSheetId="12">NA()</definedName>
    <definedName name="_________________ML38" localSheetId="0">#REF!</definedName>
    <definedName name="_________________ML38">#REF!</definedName>
    <definedName name="_________________ML39" localSheetId="11">NA()</definedName>
    <definedName name="_________________ML39" localSheetId="12">NA()</definedName>
    <definedName name="_________________ML39" localSheetId="0">#REF!</definedName>
    <definedName name="_________________ML39">#REF!</definedName>
    <definedName name="_________________ML7" localSheetId="11">NA()</definedName>
    <definedName name="_________________ML7" localSheetId="12">NA()</definedName>
    <definedName name="_________________ML7" localSheetId="0">#REF!</definedName>
    <definedName name="_________________ML7">#REF!</definedName>
    <definedName name="_________________ML8" localSheetId="11">NA()</definedName>
    <definedName name="_________________ML8" localSheetId="12">NA()</definedName>
    <definedName name="_________________ML8" localSheetId="0">#REF!</definedName>
    <definedName name="_________________ML8">#REF!</definedName>
    <definedName name="_________________ML9" localSheetId="11">NA()</definedName>
    <definedName name="_________________ML9" localSheetId="12">NA()</definedName>
    <definedName name="_________________ML9" localSheetId="0">#REF!</definedName>
    <definedName name="_________________ML9">#REF!</definedName>
    <definedName name="_________________mm1">[6]r!$F$4</definedName>
    <definedName name="_________________mm1000" localSheetId="11">NA()</definedName>
    <definedName name="_________________mm1000" localSheetId="12">NA()</definedName>
    <definedName name="_________________mm1000" localSheetId="0">#REF!</definedName>
    <definedName name="_________________mm1000">#REF!</definedName>
    <definedName name="_________________mm11">[2]r!$F$4</definedName>
    <definedName name="_________________mm111">[5]r!$F$4</definedName>
    <definedName name="_________________mm600" localSheetId="11">NA()</definedName>
    <definedName name="_________________mm600" localSheetId="12">NA()</definedName>
    <definedName name="_________________mm600" localSheetId="0">#REF!</definedName>
    <definedName name="_________________mm600">#REF!</definedName>
    <definedName name="_________________mm800" localSheetId="11">NA()</definedName>
    <definedName name="_________________mm800" localSheetId="12">NA()</definedName>
    <definedName name="_________________mm800" localSheetId="0">#REF!</definedName>
    <definedName name="_________________mm800">#REF!</definedName>
    <definedName name="_________________PC1" localSheetId="11">NA()</definedName>
    <definedName name="_________________PC1" localSheetId="12">NA()</definedName>
    <definedName name="_________________PC1" localSheetId="0">#REF!</definedName>
    <definedName name="_________________PC1">#REF!</definedName>
    <definedName name="_________________PC10" localSheetId="11">NA()</definedName>
    <definedName name="_________________PC10" localSheetId="12">NA()</definedName>
    <definedName name="_________________PC10" localSheetId="0">#REF!</definedName>
    <definedName name="_________________PC10">#REF!</definedName>
    <definedName name="_________________PC11" localSheetId="11">NA()</definedName>
    <definedName name="_________________PC11" localSheetId="12">NA()</definedName>
    <definedName name="_________________PC11" localSheetId="0">#REF!</definedName>
    <definedName name="_________________PC11">#REF!</definedName>
    <definedName name="_________________PC12" localSheetId="11">NA()</definedName>
    <definedName name="_________________PC12" localSheetId="12">NA()</definedName>
    <definedName name="_________________PC12" localSheetId="0">#REF!</definedName>
    <definedName name="_________________PC12">#REF!</definedName>
    <definedName name="_________________PC13" localSheetId="11">NA()</definedName>
    <definedName name="_________________PC13" localSheetId="12">NA()</definedName>
    <definedName name="_________________PC13" localSheetId="0">#REF!</definedName>
    <definedName name="_________________PC13">#REF!</definedName>
    <definedName name="_________________PC14" localSheetId="11">NA()</definedName>
    <definedName name="_________________PC14" localSheetId="12">NA()</definedName>
    <definedName name="_________________PC14" localSheetId="0">#REF!</definedName>
    <definedName name="_________________PC14">#REF!</definedName>
    <definedName name="_________________PC15" localSheetId="11">NA()</definedName>
    <definedName name="_________________PC15" localSheetId="12">NA()</definedName>
    <definedName name="_________________PC15" localSheetId="0">#REF!</definedName>
    <definedName name="_________________PC15">#REF!</definedName>
    <definedName name="_________________PC16" localSheetId="11">NA()</definedName>
    <definedName name="_________________PC16" localSheetId="12">NA()</definedName>
    <definedName name="_________________PC16" localSheetId="0">#REF!</definedName>
    <definedName name="_________________PC16">#REF!</definedName>
    <definedName name="_________________PC17" localSheetId="11">NA()</definedName>
    <definedName name="_________________PC17" localSheetId="12">NA()</definedName>
    <definedName name="_________________PC17" localSheetId="0">#REF!</definedName>
    <definedName name="_________________PC17">#REF!</definedName>
    <definedName name="_________________PC18" localSheetId="11">NA()</definedName>
    <definedName name="_________________PC18" localSheetId="12">NA()</definedName>
    <definedName name="_________________PC18" localSheetId="0">#REF!</definedName>
    <definedName name="_________________PC18">#REF!</definedName>
    <definedName name="_________________PC19" localSheetId="11">NA()</definedName>
    <definedName name="_________________PC19" localSheetId="12">NA()</definedName>
    <definedName name="_________________PC19" localSheetId="0">#REF!</definedName>
    <definedName name="_________________PC19">#REF!</definedName>
    <definedName name="_________________pc2" localSheetId="11">NA()</definedName>
    <definedName name="_________________pc2" localSheetId="12">NA()</definedName>
    <definedName name="_________________pc2" localSheetId="0">#REF!</definedName>
    <definedName name="_________________pc2">#REF!</definedName>
    <definedName name="_________________PC20">NA()</definedName>
    <definedName name="_________________PC21" localSheetId="11">NA()</definedName>
    <definedName name="_________________PC21" localSheetId="12">NA()</definedName>
    <definedName name="_________________PC21" localSheetId="0">#REF!</definedName>
    <definedName name="_________________PC21">#REF!</definedName>
    <definedName name="_________________PC22" localSheetId="11">NA()</definedName>
    <definedName name="_________________PC22" localSheetId="12">NA()</definedName>
    <definedName name="_________________PC22" localSheetId="0">#REF!</definedName>
    <definedName name="_________________PC22">#REF!</definedName>
    <definedName name="_________________PC23" localSheetId="11">NA()</definedName>
    <definedName name="_________________PC23" localSheetId="12">NA()</definedName>
    <definedName name="_________________PC23" localSheetId="0">#REF!</definedName>
    <definedName name="_________________PC23">#REF!</definedName>
    <definedName name="_________________PC24" localSheetId="11">NA()</definedName>
    <definedName name="_________________PC24" localSheetId="12">NA()</definedName>
    <definedName name="_________________PC24" localSheetId="0">#REF!</definedName>
    <definedName name="_________________PC24">#REF!</definedName>
    <definedName name="_________________PC3" localSheetId="11">NA()</definedName>
    <definedName name="_________________PC3" localSheetId="12">NA()</definedName>
    <definedName name="_________________PC3" localSheetId="0">#REF!</definedName>
    <definedName name="_________________PC3">#REF!</definedName>
    <definedName name="_________________PC4" localSheetId="11">NA()</definedName>
    <definedName name="_________________PC4" localSheetId="12">NA()</definedName>
    <definedName name="_________________PC4" localSheetId="0">#REF!</definedName>
    <definedName name="_________________PC4">#REF!</definedName>
    <definedName name="_________________PC5" localSheetId="11">NA()</definedName>
    <definedName name="_________________PC5" localSheetId="12">NA()</definedName>
    <definedName name="_________________PC5" localSheetId="0">#REF!</definedName>
    <definedName name="_________________PC5">#REF!</definedName>
    <definedName name="_________________PC6" localSheetId="11">NA()</definedName>
    <definedName name="_________________PC6" localSheetId="12">NA()</definedName>
    <definedName name="_________________PC6" localSheetId="0">#REF!</definedName>
    <definedName name="_________________PC6">#REF!</definedName>
    <definedName name="_________________pc600" localSheetId="11">NA()</definedName>
    <definedName name="_________________pc600" localSheetId="12">NA()</definedName>
    <definedName name="_________________pc600" localSheetId="0">#REF!</definedName>
    <definedName name="_________________pc600">#REF!</definedName>
    <definedName name="_________________PC7" localSheetId="11">NA()</definedName>
    <definedName name="_________________PC7" localSheetId="12">NA()</definedName>
    <definedName name="_________________PC7" localSheetId="0">#REF!</definedName>
    <definedName name="_________________PC7">#REF!</definedName>
    <definedName name="_________________PC8" localSheetId="11">NA()</definedName>
    <definedName name="_________________PC8" localSheetId="12">NA()</definedName>
    <definedName name="_________________PC8" localSheetId="0">#REF!</definedName>
    <definedName name="_________________PC8">#REF!</definedName>
    <definedName name="_________________PC9" localSheetId="11">NA()</definedName>
    <definedName name="_________________PC9" localSheetId="12">NA()</definedName>
    <definedName name="_________________PC9" localSheetId="0">#REF!</definedName>
    <definedName name="_________________PC9">#REF!</definedName>
    <definedName name="_________________pc900" localSheetId="11">NA()</definedName>
    <definedName name="_________________pc900" localSheetId="12">NA()</definedName>
    <definedName name="_________________pc900" localSheetId="0">#REF!</definedName>
    <definedName name="_________________pc900">#REF!</definedName>
    <definedName name="_________________pla4">[12]DATA_PRG!$H$269</definedName>
    <definedName name="_________________pv2" localSheetId="11">NA()</definedName>
    <definedName name="_________________pv2" localSheetId="12">NA()</definedName>
    <definedName name="_________________pv2" localSheetId="0">#REF!</definedName>
    <definedName name="_________________pv2">#REF!</definedName>
    <definedName name="_________________rr3">[7]v!$A$2:$E$51</definedName>
    <definedName name="_________________rrr1">[7]r!$B$1:$I$145</definedName>
    <definedName name="_________________SP10">[13]Sheet1!$C$18</definedName>
    <definedName name="_________________SP16">[13]Sheet1!$C$24</definedName>
    <definedName name="_________________SP7">[13]Sheet1!$C$15</definedName>
    <definedName name="_________________ss12">[8]rdamdata!$J$8</definedName>
    <definedName name="_________________ss20">[8]rdamdata!$J$7</definedName>
    <definedName name="_________________ss40">[8]rdamdata!$J$6</definedName>
    <definedName name="_________________var1" localSheetId="11">NA()</definedName>
    <definedName name="_________________var1" localSheetId="12">NA()</definedName>
    <definedName name="_________________var1" localSheetId="0">#REF!</definedName>
    <definedName name="_________________var1">#REF!</definedName>
    <definedName name="_________________var4" localSheetId="11">NA()</definedName>
    <definedName name="_________________var4" localSheetId="12">NA()</definedName>
    <definedName name="_________________var4" localSheetId="0">#REF!</definedName>
    <definedName name="_________________var4">#REF!</definedName>
    <definedName name="_________________vat1">NA()</definedName>
    <definedName name="________________bla1">[1]leads!$H$7</definedName>
    <definedName name="________________BSG100" localSheetId="11">NA()</definedName>
    <definedName name="________________BSG100" localSheetId="12">NA()</definedName>
    <definedName name="________________BSG100" localSheetId="0">#REF!</definedName>
    <definedName name="________________BSG100">#REF!</definedName>
    <definedName name="________________BSG150" localSheetId="11">NA()</definedName>
    <definedName name="________________BSG150" localSheetId="12">NA()</definedName>
    <definedName name="________________BSG150" localSheetId="0">#REF!</definedName>
    <definedName name="________________BSG150">#REF!</definedName>
    <definedName name="________________BSG5" localSheetId="11">NA()</definedName>
    <definedName name="________________BSG5" localSheetId="12">NA()</definedName>
    <definedName name="________________BSG5" localSheetId="0">#REF!</definedName>
    <definedName name="________________BSG5">#REF!</definedName>
    <definedName name="________________BSG75" localSheetId="11">NA()</definedName>
    <definedName name="________________BSG75" localSheetId="12">NA()</definedName>
    <definedName name="________________BSG75" localSheetId="0">#REF!</definedName>
    <definedName name="________________BSG75">#REF!</definedName>
    <definedName name="________________BTC1" localSheetId="11">NA()</definedName>
    <definedName name="________________BTC1" localSheetId="12">NA()</definedName>
    <definedName name="________________BTC1" localSheetId="0">#REF!</definedName>
    <definedName name="________________BTC1">#REF!</definedName>
    <definedName name="________________BTC10" localSheetId="11">NA()</definedName>
    <definedName name="________________BTC10" localSheetId="12">NA()</definedName>
    <definedName name="________________BTC10" localSheetId="0">#REF!</definedName>
    <definedName name="________________BTC10">#REF!</definedName>
    <definedName name="________________BTC11" localSheetId="11">NA()</definedName>
    <definedName name="________________BTC11" localSheetId="12">NA()</definedName>
    <definedName name="________________BTC11" localSheetId="0">#REF!</definedName>
    <definedName name="________________BTC11">#REF!</definedName>
    <definedName name="________________BTC12" localSheetId="11">NA()</definedName>
    <definedName name="________________BTC12" localSheetId="12">NA()</definedName>
    <definedName name="________________BTC12" localSheetId="0">#REF!</definedName>
    <definedName name="________________BTC12">#REF!</definedName>
    <definedName name="________________BTC13" localSheetId="11">NA()</definedName>
    <definedName name="________________BTC13" localSheetId="12">NA()</definedName>
    <definedName name="________________BTC13" localSheetId="0">#REF!</definedName>
    <definedName name="________________BTC13">#REF!</definedName>
    <definedName name="________________BTC14" localSheetId="11">NA()</definedName>
    <definedName name="________________BTC14" localSheetId="12">NA()</definedName>
    <definedName name="________________BTC14" localSheetId="0">#REF!</definedName>
    <definedName name="________________BTC14">#REF!</definedName>
    <definedName name="________________BTC15" localSheetId="11">NA()</definedName>
    <definedName name="________________BTC15" localSheetId="12">NA()</definedName>
    <definedName name="________________BTC15" localSheetId="0">#REF!</definedName>
    <definedName name="________________BTC15">#REF!</definedName>
    <definedName name="________________BTC16" localSheetId="11">NA()</definedName>
    <definedName name="________________BTC16" localSheetId="12">NA()</definedName>
    <definedName name="________________BTC16" localSheetId="0">#REF!</definedName>
    <definedName name="________________BTC16">#REF!</definedName>
    <definedName name="________________BTC17" localSheetId="11">NA()</definedName>
    <definedName name="________________BTC17" localSheetId="12">NA()</definedName>
    <definedName name="________________BTC17" localSheetId="0">#REF!</definedName>
    <definedName name="________________BTC17">#REF!</definedName>
    <definedName name="________________BTC18" localSheetId="11">NA()</definedName>
    <definedName name="________________BTC18" localSheetId="12">NA()</definedName>
    <definedName name="________________BTC18" localSheetId="0">#REF!</definedName>
    <definedName name="________________BTC18">#REF!</definedName>
    <definedName name="________________BTC19" localSheetId="11">NA()</definedName>
    <definedName name="________________BTC19" localSheetId="12">NA()</definedName>
    <definedName name="________________BTC19" localSheetId="0">#REF!</definedName>
    <definedName name="________________BTC19">#REF!</definedName>
    <definedName name="________________BTC2" localSheetId="11">NA()</definedName>
    <definedName name="________________BTC2" localSheetId="12">NA()</definedName>
    <definedName name="________________BTC2" localSheetId="0">#REF!</definedName>
    <definedName name="________________BTC2">#REF!</definedName>
    <definedName name="________________BTC20" localSheetId="11">NA()</definedName>
    <definedName name="________________BTC20" localSheetId="12">NA()</definedName>
    <definedName name="________________BTC20" localSheetId="0">#REF!</definedName>
    <definedName name="________________BTC20">#REF!</definedName>
    <definedName name="________________BTC21" localSheetId="11">NA()</definedName>
    <definedName name="________________BTC21" localSheetId="12">NA()</definedName>
    <definedName name="________________BTC21" localSheetId="0">#REF!</definedName>
    <definedName name="________________BTC21">#REF!</definedName>
    <definedName name="________________BTC22" localSheetId="11">NA()</definedName>
    <definedName name="________________BTC22" localSheetId="12">NA()</definedName>
    <definedName name="________________BTC22" localSheetId="0">#REF!</definedName>
    <definedName name="________________BTC22">#REF!</definedName>
    <definedName name="________________BTC23" localSheetId="11">NA()</definedName>
    <definedName name="________________BTC23" localSheetId="12">NA()</definedName>
    <definedName name="________________BTC23" localSheetId="0">#REF!</definedName>
    <definedName name="________________BTC23">#REF!</definedName>
    <definedName name="________________BTC24" localSheetId="11">NA()</definedName>
    <definedName name="________________BTC24" localSheetId="12">NA()</definedName>
    <definedName name="________________BTC24" localSheetId="0">#REF!</definedName>
    <definedName name="________________BTC24">#REF!</definedName>
    <definedName name="________________BTC3" localSheetId="11">NA()</definedName>
    <definedName name="________________BTC3" localSheetId="12">NA()</definedName>
    <definedName name="________________BTC3" localSheetId="0">#REF!</definedName>
    <definedName name="________________BTC3">#REF!</definedName>
    <definedName name="________________BTC4" localSheetId="11">NA()</definedName>
    <definedName name="________________BTC4" localSheetId="12">NA()</definedName>
    <definedName name="________________BTC4" localSheetId="0">#REF!</definedName>
    <definedName name="________________BTC4">#REF!</definedName>
    <definedName name="________________BTC5" localSheetId="11">NA()</definedName>
    <definedName name="________________BTC5" localSheetId="12">NA()</definedName>
    <definedName name="________________BTC5" localSheetId="0">#REF!</definedName>
    <definedName name="________________BTC5">#REF!</definedName>
    <definedName name="________________BTC6" localSheetId="11">NA()</definedName>
    <definedName name="________________BTC6" localSheetId="12">NA()</definedName>
    <definedName name="________________BTC6" localSheetId="0">#REF!</definedName>
    <definedName name="________________BTC6">#REF!</definedName>
    <definedName name="________________BTC7" localSheetId="11">NA()</definedName>
    <definedName name="________________BTC7" localSheetId="12">NA()</definedName>
    <definedName name="________________BTC7" localSheetId="0">#REF!</definedName>
    <definedName name="________________BTC7">#REF!</definedName>
    <definedName name="________________BTC8" localSheetId="11">NA()</definedName>
    <definedName name="________________BTC8" localSheetId="12">NA()</definedName>
    <definedName name="________________BTC8" localSheetId="0">#REF!</definedName>
    <definedName name="________________BTC8">#REF!</definedName>
    <definedName name="________________BTC9" localSheetId="11">NA()</definedName>
    <definedName name="________________BTC9" localSheetId="12">NA()</definedName>
    <definedName name="________________BTC9" localSheetId="0">#REF!</definedName>
    <definedName name="________________BTC9">#REF!</definedName>
    <definedName name="________________BTR1" localSheetId="11">NA()</definedName>
    <definedName name="________________BTR1" localSheetId="12">NA()</definedName>
    <definedName name="________________BTR1" localSheetId="0">#REF!</definedName>
    <definedName name="________________BTR1">#REF!</definedName>
    <definedName name="________________BTR10" localSheetId="11">NA()</definedName>
    <definedName name="________________BTR10" localSheetId="12">NA()</definedName>
    <definedName name="________________BTR10" localSheetId="0">#REF!</definedName>
    <definedName name="________________BTR10">#REF!</definedName>
    <definedName name="________________BTR11" localSheetId="11">NA()</definedName>
    <definedName name="________________BTR11" localSheetId="12">NA()</definedName>
    <definedName name="________________BTR11" localSheetId="0">#REF!</definedName>
    <definedName name="________________BTR11">#REF!</definedName>
    <definedName name="________________BTR12" localSheetId="11">NA()</definedName>
    <definedName name="________________BTR12" localSheetId="12">NA()</definedName>
    <definedName name="________________BTR12" localSheetId="0">#REF!</definedName>
    <definedName name="________________BTR12">#REF!</definedName>
    <definedName name="________________BTR13" localSheetId="11">NA()</definedName>
    <definedName name="________________BTR13" localSheetId="12">NA()</definedName>
    <definedName name="________________BTR13" localSheetId="0">#REF!</definedName>
    <definedName name="________________BTR13">#REF!</definedName>
    <definedName name="________________BTR14" localSheetId="11">NA()</definedName>
    <definedName name="________________BTR14" localSheetId="12">NA()</definedName>
    <definedName name="________________BTR14" localSheetId="0">#REF!</definedName>
    <definedName name="________________BTR14">#REF!</definedName>
    <definedName name="________________BTR15" localSheetId="11">NA()</definedName>
    <definedName name="________________BTR15" localSheetId="12">NA()</definedName>
    <definedName name="________________BTR15" localSheetId="0">#REF!</definedName>
    <definedName name="________________BTR15">#REF!</definedName>
    <definedName name="________________BTR16" localSheetId="11">NA()</definedName>
    <definedName name="________________BTR16" localSheetId="12">NA()</definedName>
    <definedName name="________________BTR16" localSheetId="0">#REF!</definedName>
    <definedName name="________________BTR16">#REF!</definedName>
    <definedName name="________________BTR17" localSheetId="11">NA()</definedName>
    <definedName name="________________BTR17" localSheetId="12">NA()</definedName>
    <definedName name="________________BTR17" localSheetId="0">#REF!</definedName>
    <definedName name="________________BTR17">#REF!</definedName>
    <definedName name="________________BTR18" localSheetId="11">NA()</definedName>
    <definedName name="________________BTR18" localSheetId="12">NA()</definedName>
    <definedName name="________________BTR18" localSheetId="0">#REF!</definedName>
    <definedName name="________________BTR18">#REF!</definedName>
    <definedName name="________________BTR19" localSheetId="11">NA()</definedName>
    <definedName name="________________BTR19" localSheetId="12">NA()</definedName>
    <definedName name="________________BTR19" localSheetId="0">#REF!</definedName>
    <definedName name="________________BTR19">#REF!</definedName>
    <definedName name="________________BTR2" localSheetId="11">NA()</definedName>
    <definedName name="________________BTR2" localSheetId="12">NA()</definedName>
    <definedName name="________________BTR2" localSheetId="0">#REF!</definedName>
    <definedName name="________________BTR2">#REF!</definedName>
    <definedName name="________________BTR20" localSheetId="11">NA()</definedName>
    <definedName name="________________BTR20" localSheetId="12">NA()</definedName>
    <definedName name="________________BTR20" localSheetId="0">#REF!</definedName>
    <definedName name="________________BTR20">#REF!</definedName>
    <definedName name="________________BTR21" localSheetId="11">NA()</definedName>
    <definedName name="________________BTR21" localSheetId="12">NA()</definedName>
    <definedName name="________________BTR21" localSheetId="0">#REF!</definedName>
    <definedName name="________________BTR21">#REF!</definedName>
    <definedName name="________________BTR22" localSheetId="11">NA()</definedName>
    <definedName name="________________BTR22" localSheetId="12">NA()</definedName>
    <definedName name="________________BTR22" localSheetId="0">#REF!</definedName>
    <definedName name="________________BTR22">#REF!</definedName>
    <definedName name="________________BTR23" localSheetId="11">NA()</definedName>
    <definedName name="________________BTR23" localSheetId="12">NA()</definedName>
    <definedName name="________________BTR23" localSheetId="0">#REF!</definedName>
    <definedName name="________________BTR23">#REF!</definedName>
    <definedName name="________________BTR24" localSheetId="11">NA()</definedName>
    <definedName name="________________BTR24" localSheetId="12">NA()</definedName>
    <definedName name="________________BTR24" localSheetId="0">#REF!</definedName>
    <definedName name="________________BTR24">#REF!</definedName>
    <definedName name="________________BTR3" localSheetId="11">NA()</definedName>
    <definedName name="________________BTR3" localSheetId="12">NA()</definedName>
    <definedName name="________________BTR3" localSheetId="0">#REF!</definedName>
    <definedName name="________________BTR3">#REF!</definedName>
    <definedName name="________________BTR4" localSheetId="11">NA()</definedName>
    <definedName name="________________BTR4" localSheetId="12">NA()</definedName>
    <definedName name="________________BTR4" localSheetId="0">#REF!</definedName>
    <definedName name="________________BTR4">#REF!</definedName>
    <definedName name="________________BTR5" localSheetId="11">NA()</definedName>
    <definedName name="________________BTR5" localSheetId="12">NA()</definedName>
    <definedName name="________________BTR5" localSheetId="0">#REF!</definedName>
    <definedName name="________________BTR5">#REF!</definedName>
    <definedName name="________________BTR6" localSheetId="11">NA()</definedName>
    <definedName name="________________BTR6" localSheetId="12">NA()</definedName>
    <definedName name="________________BTR6" localSheetId="0">#REF!</definedName>
    <definedName name="________________BTR6">#REF!</definedName>
    <definedName name="________________BTR7" localSheetId="11">NA()</definedName>
    <definedName name="________________BTR7" localSheetId="12">NA()</definedName>
    <definedName name="________________BTR7" localSheetId="0">#REF!</definedName>
    <definedName name="________________BTR7">#REF!</definedName>
    <definedName name="________________BTR8" localSheetId="11">NA()</definedName>
    <definedName name="________________BTR8" localSheetId="12">NA()</definedName>
    <definedName name="________________BTR8" localSheetId="0">#REF!</definedName>
    <definedName name="________________BTR8">#REF!</definedName>
    <definedName name="________________BTR9" localSheetId="11">NA()</definedName>
    <definedName name="________________BTR9" localSheetId="12">NA()</definedName>
    <definedName name="________________BTR9" localSheetId="0">#REF!</definedName>
    <definedName name="________________BTR9">#REF!</definedName>
    <definedName name="________________BTS1" localSheetId="11">NA()</definedName>
    <definedName name="________________BTS1" localSheetId="12">NA()</definedName>
    <definedName name="________________BTS1" localSheetId="0">#REF!</definedName>
    <definedName name="________________BTS1">#REF!</definedName>
    <definedName name="________________BTS10" localSheetId="11">NA()</definedName>
    <definedName name="________________BTS10" localSheetId="12">NA()</definedName>
    <definedName name="________________BTS10" localSheetId="0">#REF!</definedName>
    <definedName name="________________BTS10">#REF!</definedName>
    <definedName name="________________BTS11" localSheetId="11">NA()</definedName>
    <definedName name="________________BTS11" localSheetId="12">NA()</definedName>
    <definedName name="________________BTS11" localSheetId="0">#REF!</definedName>
    <definedName name="________________BTS11">#REF!</definedName>
    <definedName name="________________BTS12" localSheetId="11">NA()</definedName>
    <definedName name="________________BTS12" localSheetId="12">NA()</definedName>
    <definedName name="________________BTS12" localSheetId="0">#REF!</definedName>
    <definedName name="________________BTS12">#REF!</definedName>
    <definedName name="________________BTS13" localSheetId="11">NA()</definedName>
    <definedName name="________________BTS13" localSheetId="12">NA()</definedName>
    <definedName name="________________BTS13" localSheetId="0">#REF!</definedName>
    <definedName name="________________BTS13">#REF!</definedName>
    <definedName name="________________BTS14" localSheetId="11">NA()</definedName>
    <definedName name="________________BTS14" localSheetId="12">NA()</definedName>
    <definedName name="________________BTS14" localSheetId="0">#REF!</definedName>
    <definedName name="________________BTS14">#REF!</definedName>
    <definedName name="________________BTS15" localSheetId="11">NA()</definedName>
    <definedName name="________________BTS15" localSheetId="12">NA()</definedName>
    <definedName name="________________BTS15" localSheetId="0">#REF!</definedName>
    <definedName name="________________BTS15">#REF!</definedName>
    <definedName name="________________BTS16" localSheetId="11">NA()</definedName>
    <definedName name="________________BTS16" localSheetId="12">NA()</definedName>
    <definedName name="________________BTS16" localSheetId="0">#REF!</definedName>
    <definedName name="________________BTS16">#REF!</definedName>
    <definedName name="________________BTS17" localSheetId="11">NA()</definedName>
    <definedName name="________________BTS17" localSheetId="12">NA()</definedName>
    <definedName name="________________BTS17" localSheetId="0">#REF!</definedName>
    <definedName name="________________BTS17">#REF!</definedName>
    <definedName name="________________BTS18" localSheetId="11">NA()</definedName>
    <definedName name="________________BTS18" localSheetId="12">NA()</definedName>
    <definedName name="________________BTS18" localSheetId="0">#REF!</definedName>
    <definedName name="________________BTS18">#REF!</definedName>
    <definedName name="________________BTS19" localSheetId="11">NA()</definedName>
    <definedName name="________________BTS19" localSheetId="12">NA()</definedName>
    <definedName name="________________BTS19" localSheetId="0">#REF!</definedName>
    <definedName name="________________BTS19">#REF!</definedName>
    <definedName name="________________BTS2" localSheetId="11">NA()</definedName>
    <definedName name="________________BTS2" localSheetId="12">NA()</definedName>
    <definedName name="________________BTS2" localSheetId="0">#REF!</definedName>
    <definedName name="________________BTS2">#REF!</definedName>
    <definedName name="________________BTS20" localSheetId="11">NA()</definedName>
    <definedName name="________________BTS20" localSheetId="12">NA()</definedName>
    <definedName name="________________BTS20" localSheetId="0">#REF!</definedName>
    <definedName name="________________BTS20">#REF!</definedName>
    <definedName name="________________BTS21" localSheetId="11">NA()</definedName>
    <definedName name="________________BTS21" localSheetId="12">NA()</definedName>
    <definedName name="________________BTS21" localSheetId="0">#REF!</definedName>
    <definedName name="________________BTS21">#REF!</definedName>
    <definedName name="________________BTS22" localSheetId="11">NA()</definedName>
    <definedName name="________________BTS22" localSheetId="12">NA()</definedName>
    <definedName name="________________BTS22" localSheetId="0">#REF!</definedName>
    <definedName name="________________BTS22">#REF!</definedName>
    <definedName name="________________BTS23" localSheetId="11">NA()</definedName>
    <definedName name="________________BTS23" localSheetId="12">NA()</definedName>
    <definedName name="________________BTS23" localSheetId="0">#REF!</definedName>
    <definedName name="________________BTS23">#REF!</definedName>
    <definedName name="________________BTS24" localSheetId="11">NA()</definedName>
    <definedName name="________________BTS24" localSheetId="12">NA()</definedName>
    <definedName name="________________BTS24" localSheetId="0">#REF!</definedName>
    <definedName name="________________BTS24">#REF!</definedName>
    <definedName name="________________BTS3" localSheetId="11">NA()</definedName>
    <definedName name="________________BTS3" localSheetId="12">NA()</definedName>
    <definedName name="________________BTS3" localSheetId="0">#REF!</definedName>
    <definedName name="________________BTS3">#REF!</definedName>
    <definedName name="________________BTS4" localSheetId="11">NA()</definedName>
    <definedName name="________________BTS4" localSheetId="12">NA()</definedName>
    <definedName name="________________BTS4" localSheetId="0">#REF!</definedName>
    <definedName name="________________BTS4">#REF!</definedName>
    <definedName name="________________BTS5" localSheetId="11">NA()</definedName>
    <definedName name="________________BTS5" localSheetId="12">NA()</definedName>
    <definedName name="________________BTS5" localSheetId="0">#REF!</definedName>
    <definedName name="________________BTS5">#REF!</definedName>
    <definedName name="________________BTS6" localSheetId="11">NA()</definedName>
    <definedName name="________________BTS6" localSheetId="12">NA()</definedName>
    <definedName name="________________BTS6" localSheetId="0">#REF!</definedName>
    <definedName name="________________BTS6">#REF!</definedName>
    <definedName name="________________BTS7" localSheetId="11">NA()</definedName>
    <definedName name="________________BTS7" localSheetId="12">NA()</definedName>
    <definedName name="________________BTS7" localSheetId="0">#REF!</definedName>
    <definedName name="________________BTS7">#REF!</definedName>
    <definedName name="________________BTS8" localSheetId="11">NA()</definedName>
    <definedName name="________________BTS8" localSheetId="12">NA()</definedName>
    <definedName name="________________BTS8" localSheetId="0">#REF!</definedName>
    <definedName name="________________BTS8">#REF!</definedName>
    <definedName name="________________BTS9" localSheetId="11">NA()</definedName>
    <definedName name="________________BTS9" localSheetId="12">NA()</definedName>
    <definedName name="________________BTS9" localSheetId="0">#REF!</definedName>
    <definedName name="________________BTS9">#REF!</definedName>
    <definedName name="________________can430">40.73</definedName>
    <definedName name="________________can435">43.3</definedName>
    <definedName name="________________CCW1">[9]DATA!$H$67</definedName>
    <definedName name="________________CCW2">[9]DATA!$H$97</definedName>
    <definedName name="________________cur1">[2]r!$F$30</definedName>
    <definedName name="________________GBS11" localSheetId="11">NA()</definedName>
    <definedName name="________________GBS11" localSheetId="12">NA()</definedName>
    <definedName name="________________GBS11" localSheetId="0">#REF!</definedName>
    <definedName name="________________GBS11">#REF!</definedName>
    <definedName name="________________GBS110" localSheetId="11">NA()</definedName>
    <definedName name="________________GBS110" localSheetId="12">NA()</definedName>
    <definedName name="________________GBS110" localSheetId="0">#REF!</definedName>
    <definedName name="________________GBS110">#REF!</definedName>
    <definedName name="________________GBS111" localSheetId="11">NA()</definedName>
    <definedName name="________________GBS111" localSheetId="12">NA()</definedName>
    <definedName name="________________GBS111" localSheetId="0">#REF!</definedName>
    <definedName name="________________GBS111">#REF!</definedName>
    <definedName name="________________GBS112" localSheetId="11">NA()</definedName>
    <definedName name="________________GBS112" localSheetId="12">NA()</definedName>
    <definedName name="________________GBS112" localSheetId="0">#REF!</definedName>
    <definedName name="________________GBS112">#REF!</definedName>
    <definedName name="________________GBS113" localSheetId="11">NA()</definedName>
    <definedName name="________________GBS113" localSheetId="12">NA()</definedName>
    <definedName name="________________GBS113" localSheetId="0">#REF!</definedName>
    <definedName name="________________GBS113">#REF!</definedName>
    <definedName name="________________GBS114" localSheetId="11">NA()</definedName>
    <definedName name="________________GBS114" localSheetId="12">NA()</definedName>
    <definedName name="________________GBS114" localSheetId="0">#REF!</definedName>
    <definedName name="________________GBS114">#REF!</definedName>
    <definedName name="________________GBS115" localSheetId="11">NA()</definedName>
    <definedName name="________________GBS115" localSheetId="12">NA()</definedName>
    <definedName name="________________GBS115" localSheetId="0">#REF!</definedName>
    <definedName name="________________GBS115">#REF!</definedName>
    <definedName name="________________GBS116" localSheetId="11">NA()</definedName>
    <definedName name="________________GBS116" localSheetId="12">NA()</definedName>
    <definedName name="________________GBS116" localSheetId="0">#REF!</definedName>
    <definedName name="________________GBS116">#REF!</definedName>
    <definedName name="________________GBS117" localSheetId="11">NA()</definedName>
    <definedName name="________________GBS117" localSheetId="12">NA()</definedName>
    <definedName name="________________GBS117" localSheetId="0">#REF!</definedName>
    <definedName name="________________GBS117">#REF!</definedName>
    <definedName name="________________GBS118" localSheetId="11">NA()</definedName>
    <definedName name="________________GBS118" localSheetId="12">NA()</definedName>
    <definedName name="________________GBS118" localSheetId="0">#REF!</definedName>
    <definedName name="________________GBS118">#REF!</definedName>
    <definedName name="________________GBS119" localSheetId="11">NA()</definedName>
    <definedName name="________________GBS119" localSheetId="12">NA()</definedName>
    <definedName name="________________GBS119" localSheetId="0">#REF!</definedName>
    <definedName name="________________GBS119">#REF!</definedName>
    <definedName name="________________GBS12" localSheetId="11">NA()</definedName>
    <definedName name="________________GBS12" localSheetId="12">NA()</definedName>
    <definedName name="________________GBS12" localSheetId="0">#REF!</definedName>
    <definedName name="________________GBS12">#REF!</definedName>
    <definedName name="________________GBS120" localSheetId="11">NA()</definedName>
    <definedName name="________________GBS120" localSheetId="12">NA()</definedName>
    <definedName name="________________GBS120" localSheetId="0">#REF!</definedName>
    <definedName name="________________GBS120">#REF!</definedName>
    <definedName name="________________GBS121" localSheetId="11">NA()</definedName>
    <definedName name="________________GBS121" localSheetId="12">NA()</definedName>
    <definedName name="________________GBS121" localSheetId="0">#REF!</definedName>
    <definedName name="________________GBS121">#REF!</definedName>
    <definedName name="________________GBS122" localSheetId="11">NA()</definedName>
    <definedName name="________________GBS122" localSheetId="12">NA()</definedName>
    <definedName name="________________GBS122" localSheetId="0">#REF!</definedName>
    <definedName name="________________GBS122">#REF!</definedName>
    <definedName name="________________GBS123" localSheetId="11">NA()</definedName>
    <definedName name="________________GBS123" localSheetId="12">NA()</definedName>
    <definedName name="________________GBS123" localSheetId="0">#REF!</definedName>
    <definedName name="________________GBS123">#REF!</definedName>
    <definedName name="________________GBS124" localSheetId="11">NA()</definedName>
    <definedName name="________________GBS124" localSheetId="12">NA()</definedName>
    <definedName name="________________GBS124" localSheetId="0">#REF!</definedName>
    <definedName name="________________GBS124">#REF!</definedName>
    <definedName name="________________GBS13" localSheetId="11">NA()</definedName>
    <definedName name="________________GBS13" localSheetId="12">NA()</definedName>
    <definedName name="________________GBS13" localSheetId="0">#REF!</definedName>
    <definedName name="________________GBS13">#REF!</definedName>
    <definedName name="________________GBS14" localSheetId="11">NA()</definedName>
    <definedName name="________________GBS14" localSheetId="12">NA()</definedName>
    <definedName name="________________GBS14" localSheetId="0">#REF!</definedName>
    <definedName name="________________GBS14">#REF!</definedName>
    <definedName name="________________GBS15" localSheetId="11">NA()</definedName>
    <definedName name="________________GBS15" localSheetId="12">NA()</definedName>
    <definedName name="________________GBS15" localSheetId="0">#REF!</definedName>
    <definedName name="________________GBS15">#REF!</definedName>
    <definedName name="________________GBS16" localSheetId="11">NA()</definedName>
    <definedName name="________________GBS16" localSheetId="12">NA()</definedName>
    <definedName name="________________GBS16" localSheetId="0">#REF!</definedName>
    <definedName name="________________GBS16">#REF!</definedName>
    <definedName name="________________GBS17" localSheetId="11">NA()</definedName>
    <definedName name="________________GBS17" localSheetId="12">NA()</definedName>
    <definedName name="________________GBS17" localSheetId="0">#REF!</definedName>
    <definedName name="________________GBS17">#REF!</definedName>
    <definedName name="________________GBS18" localSheetId="11">NA()</definedName>
    <definedName name="________________GBS18" localSheetId="12">NA()</definedName>
    <definedName name="________________GBS18" localSheetId="0">#REF!</definedName>
    <definedName name="________________GBS18">#REF!</definedName>
    <definedName name="________________GBS19" localSheetId="11">NA()</definedName>
    <definedName name="________________GBS19" localSheetId="12">NA()</definedName>
    <definedName name="________________GBS19" localSheetId="0">#REF!</definedName>
    <definedName name="________________GBS19">#REF!</definedName>
    <definedName name="________________GBS21" localSheetId="11">NA()</definedName>
    <definedName name="________________GBS21" localSheetId="12">NA()</definedName>
    <definedName name="________________GBS21" localSheetId="0">#REF!</definedName>
    <definedName name="________________GBS21">#REF!</definedName>
    <definedName name="________________GBS210" localSheetId="11">NA()</definedName>
    <definedName name="________________GBS210" localSheetId="12">NA()</definedName>
    <definedName name="________________GBS210" localSheetId="0">#REF!</definedName>
    <definedName name="________________GBS210">#REF!</definedName>
    <definedName name="________________GBS211" localSheetId="11">NA()</definedName>
    <definedName name="________________GBS211" localSheetId="12">NA()</definedName>
    <definedName name="________________GBS211" localSheetId="0">#REF!</definedName>
    <definedName name="________________GBS211">#REF!</definedName>
    <definedName name="________________GBS212" localSheetId="11">NA()</definedName>
    <definedName name="________________GBS212" localSheetId="12">NA()</definedName>
    <definedName name="________________GBS212" localSheetId="0">#REF!</definedName>
    <definedName name="________________GBS212">#REF!</definedName>
    <definedName name="________________GBS213" localSheetId="11">NA()</definedName>
    <definedName name="________________GBS213" localSheetId="12">NA()</definedName>
    <definedName name="________________GBS213" localSheetId="0">#REF!</definedName>
    <definedName name="________________GBS213">#REF!</definedName>
    <definedName name="________________GBS214" localSheetId="11">NA()</definedName>
    <definedName name="________________GBS214" localSheetId="12">NA()</definedName>
    <definedName name="________________GBS214" localSheetId="0">#REF!</definedName>
    <definedName name="________________GBS214">#REF!</definedName>
    <definedName name="________________GBS215" localSheetId="11">NA()</definedName>
    <definedName name="________________GBS215" localSheetId="12">NA()</definedName>
    <definedName name="________________GBS215" localSheetId="0">#REF!</definedName>
    <definedName name="________________GBS215">#REF!</definedName>
    <definedName name="________________GBS216" localSheetId="11">NA()</definedName>
    <definedName name="________________GBS216" localSheetId="12">NA()</definedName>
    <definedName name="________________GBS216" localSheetId="0">#REF!</definedName>
    <definedName name="________________GBS216">#REF!</definedName>
    <definedName name="________________GBS217" localSheetId="11">NA()</definedName>
    <definedName name="________________GBS217" localSheetId="12">NA()</definedName>
    <definedName name="________________GBS217" localSheetId="0">#REF!</definedName>
    <definedName name="________________GBS217">#REF!</definedName>
    <definedName name="________________GBS218" localSheetId="11">NA()</definedName>
    <definedName name="________________GBS218" localSheetId="12">NA()</definedName>
    <definedName name="________________GBS218" localSheetId="0">#REF!</definedName>
    <definedName name="________________GBS218">#REF!</definedName>
    <definedName name="________________GBS219" localSheetId="11">NA()</definedName>
    <definedName name="________________GBS219" localSheetId="12">NA()</definedName>
    <definedName name="________________GBS219" localSheetId="0">#REF!</definedName>
    <definedName name="________________GBS219">#REF!</definedName>
    <definedName name="________________GBS22" localSheetId="11">NA()</definedName>
    <definedName name="________________GBS22" localSheetId="12">NA()</definedName>
    <definedName name="________________GBS22" localSheetId="0">#REF!</definedName>
    <definedName name="________________GBS22">#REF!</definedName>
    <definedName name="________________GBS220" localSheetId="11">NA()</definedName>
    <definedName name="________________GBS220" localSheetId="12">NA()</definedName>
    <definedName name="________________GBS220" localSheetId="0">#REF!</definedName>
    <definedName name="________________GBS220">#REF!</definedName>
    <definedName name="________________GBS221" localSheetId="11">NA()</definedName>
    <definedName name="________________GBS221" localSheetId="12">NA()</definedName>
    <definedName name="________________GBS221" localSheetId="0">#REF!</definedName>
    <definedName name="________________GBS221">#REF!</definedName>
    <definedName name="________________GBS222" localSheetId="11">NA()</definedName>
    <definedName name="________________GBS222" localSheetId="12">NA()</definedName>
    <definedName name="________________GBS222" localSheetId="0">#REF!</definedName>
    <definedName name="________________GBS222">#REF!</definedName>
    <definedName name="________________GBS223" localSheetId="11">NA()</definedName>
    <definedName name="________________GBS223" localSheetId="12">NA()</definedName>
    <definedName name="________________GBS223" localSheetId="0">#REF!</definedName>
    <definedName name="________________GBS223">#REF!</definedName>
    <definedName name="________________GBS224" localSheetId="11">NA()</definedName>
    <definedName name="________________GBS224" localSheetId="12">NA()</definedName>
    <definedName name="________________GBS224" localSheetId="0">#REF!</definedName>
    <definedName name="________________GBS224">#REF!</definedName>
    <definedName name="________________GBS23" localSheetId="11">NA()</definedName>
    <definedName name="________________GBS23" localSheetId="12">NA()</definedName>
    <definedName name="________________GBS23" localSheetId="0">#REF!</definedName>
    <definedName name="________________GBS23">#REF!</definedName>
    <definedName name="________________GBS24" localSheetId="11">NA()</definedName>
    <definedName name="________________GBS24" localSheetId="12">NA()</definedName>
    <definedName name="________________GBS24" localSheetId="0">#REF!</definedName>
    <definedName name="________________GBS24">#REF!</definedName>
    <definedName name="________________GBS25" localSheetId="11">NA()</definedName>
    <definedName name="________________GBS25" localSheetId="12">NA()</definedName>
    <definedName name="________________GBS25" localSheetId="0">#REF!</definedName>
    <definedName name="________________GBS25">#REF!</definedName>
    <definedName name="________________GBS26" localSheetId="11">NA()</definedName>
    <definedName name="________________GBS26" localSheetId="12">NA()</definedName>
    <definedName name="________________GBS26" localSheetId="0">#REF!</definedName>
    <definedName name="________________GBS26">#REF!</definedName>
    <definedName name="________________GBS27" localSheetId="11">NA()</definedName>
    <definedName name="________________GBS27" localSheetId="12">NA()</definedName>
    <definedName name="________________GBS27" localSheetId="0">#REF!</definedName>
    <definedName name="________________GBS27">#REF!</definedName>
    <definedName name="________________GBS28" localSheetId="11">NA()</definedName>
    <definedName name="________________GBS28" localSheetId="12">NA()</definedName>
    <definedName name="________________GBS28" localSheetId="0">#REF!</definedName>
    <definedName name="________________GBS28">#REF!</definedName>
    <definedName name="________________GBS29" localSheetId="11">NA()</definedName>
    <definedName name="________________GBS29" localSheetId="12">NA()</definedName>
    <definedName name="________________GBS29" localSheetId="0">#REF!</definedName>
    <definedName name="________________GBS29">#REF!</definedName>
    <definedName name="________________imp1">[11]DATA_PRG!$H$245</definedName>
    <definedName name="________________knr2" localSheetId="11">NA()</definedName>
    <definedName name="________________knr2" localSheetId="12">NA()</definedName>
    <definedName name="________________knr2" localSheetId="0">#REF!</definedName>
    <definedName name="________________knr2">#REF!</definedName>
    <definedName name="________________l1">[3]leads!$A$3:$E$108</definedName>
    <definedName name="________________l12" localSheetId="11">NA()</definedName>
    <definedName name="________________l12" localSheetId="12">NA()</definedName>
    <definedName name="________________l12" localSheetId="0">#REF!</definedName>
    <definedName name="________________l12">#REF!</definedName>
    <definedName name="________________l2">[2]r!$F$29</definedName>
    <definedName name="________________l3" localSheetId="11">NA()</definedName>
    <definedName name="________________l3" localSheetId="12">NA()</definedName>
    <definedName name="________________l3" localSheetId="0">#REF!</definedName>
    <definedName name="________________l3">#REF!</definedName>
    <definedName name="________________l4">[4]Sheet1!$W$2:$Y$103</definedName>
    <definedName name="________________l5" localSheetId="11">NA()</definedName>
    <definedName name="________________l5" localSheetId="12">NA()</definedName>
    <definedName name="________________l5" localSheetId="0">#REF!</definedName>
    <definedName name="________________l5">#REF!</definedName>
    <definedName name="________________l6">[2]r!$F$4</definedName>
    <definedName name="________________l7">[5]r!$F$4</definedName>
    <definedName name="________________l8">[2]r!$F$2</definedName>
    <definedName name="________________l9">[2]r!$F$3</definedName>
    <definedName name="________________LJ6">[9]DATA!$H$245</definedName>
    <definedName name="________________lj600" localSheetId="11">NA()</definedName>
    <definedName name="________________lj600" localSheetId="12">NA()</definedName>
    <definedName name="________________lj600" localSheetId="0">#REF!</definedName>
    <definedName name="________________lj600">#REF!</definedName>
    <definedName name="________________lj900" localSheetId="11">NA()</definedName>
    <definedName name="________________lj900" localSheetId="12">NA()</definedName>
    <definedName name="________________lj900" localSheetId="0">#REF!</definedName>
    <definedName name="________________lj900">#REF!</definedName>
    <definedName name="________________LL3" localSheetId="11">NA()</definedName>
    <definedName name="________________LL3" localSheetId="12">NA()</definedName>
    <definedName name="________________LL3" localSheetId="0">#REF!</definedName>
    <definedName name="________________LL3">#REF!</definedName>
    <definedName name="________________LSO24" localSheetId="11">"[14]lead!#ref!"</definedName>
    <definedName name="________________LSO24" localSheetId="12">"[14]lead!#ref!"</definedName>
    <definedName name="________________LSO24" localSheetId="0">[10]Lead!#REF!</definedName>
    <definedName name="________________LSO24">[10]Lead!#REF!</definedName>
    <definedName name="________________MA1" localSheetId="11">NA()</definedName>
    <definedName name="________________MA1" localSheetId="12">NA()</definedName>
    <definedName name="________________MA1" localSheetId="0">#REF!</definedName>
    <definedName name="________________MA1">#REF!</definedName>
    <definedName name="________________MA2" localSheetId="11">NA()</definedName>
    <definedName name="________________MA2" localSheetId="12">NA()</definedName>
    <definedName name="________________MA2" localSheetId="0">#REF!</definedName>
    <definedName name="________________MA2">#REF!</definedName>
    <definedName name="________________me12">NA()</definedName>
    <definedName name="________________Met22" localSheetId="11">NA()</definedName>
    <definedName name="________________Met22" localSheetId="12">NA()</definedName>
    <definedName name="________________Met22" localSheetId="0">#REF!</definedName>
    <definedName name="________________Met22">#REF!</definedName>
    <definedName name="________________Met45" localSheetId="11">NA()</definedName>
    <definedName name="________________Met45" localSheetId="12">NA()</definedName>
    <definedName name="________________Met45" localSheetId="0">#REF!</definedName>
    <definedName name="________________Met45">#REF!</definedName>
    <definedName name="________________MEt55" localSheetId="11">NA()</definedName>
    <definedName name="________________MEt55" localSheetId="12">NA()</definedName>
    <definedName name="________________MEt55" localSheetId="0">#REF!</definedName>
    <definedName name="________________MEt55">#REF!</definedName>
    <definedName name="________________Met63" localSheetId="11">NA()</definedName>
    <definedName name="________________Met63" localSheetId="12">NA()</definedName>
    <definedName name="________________Met63" localSheetId="0">#REF!</definedName>
    <definedName name="________________Met63">#REF!</definedName>
    <definedName name="________________ML21" localSheetId="11">NA()</definedName>
    <definedName name="________________ML21" localSheetId="12">NA()</definedName>
    <definedName name="________________ML21" localSheetId="0">#REF!</definedName>
    <definedName name="________________ML21">#REF!</definedName>
    <definedName name="________________ML210" localSheetId="11">NA()</definedName>
    <definedName name="________________ML210" localSheetId="12">NA()</definedName>
    <definedName name="________________ML210" localSheetId="0">#REF!</definedName>
    <definedName name="________________ML210">#REF!</definedName>
    <definedName name="________________ML211" localSheetId="11">NA()</definedName>
    <definedName name="________________ML211" localSheetId="12">NA()</definedName>
    <definedName name="________________ML211" localSheetId="0">#REF!</definedName>
    <definedName name="________________ML211">#REF!</definedName>
    <definedName name="________________ML212" localSheetId="11">NA()</definedName>
    <definedName name="________________ML212" localSheetId="12">NA()</definedName>
    <definedName name="________________ML212" localSheetId="0">#REF!</definedName>
    <definedName name="________________ML212">#REF!</definedName>
    <definedName name="________________ML213" localSheetId="11">NA()</definedName>
    <definedName name="________________ML213" localSheetId="12">NA()</definedName>
    <definedName name="________________ML213" localSheetId="0">#REF!</definedName>
    <definedName name="________________ML213">#REF!</definedName>
    <definedName name="________________ML214" localSheetId="11">NA()</definedName>
    <definedName name="________________ML214" localSheetId="12">NA()</definedName>
    <definedName name="________________ML214" localSheetId="0">#REF!</definedName>
    <definedName name="________________ML214">#REF!</definedName>
    <definedName name="________________ML215" localSheetId="11">NA()</definedName>
    <definedName name="________________ML215" localSheetId="12">NA()</definedName>
    <definedName name="________________ML215" localSheetId="0">#REF!</definedName>
    <definedName name="________________ML215">#REF!</definedName>
    <definedName name="________________ML216" localSheetId="11">NA()</definedName>
    <definedName name="________________ML216" localSheetId="12">NA()</definedName>
    <definedName name="________________ML216" localSheetId="0">#REF!</definedName>
    <definedName name="________________ML216">#REF!</definedName>
    <definedName name="________________ML217" localSheetId="11">NA()</definedName>
    <definedName name="________________ML217" localSheetId="12">NA()</definedName>
    <definedName name="________________ML217" localSheetId="0">#REF!</definedName>
    <definedName name="________________ML217">#REF!</definedName>
    <definedName name="________________ML218" localSheetId="11">NA()</definedName>
    <definedName name="________________ML218" localSheetId="12">NA()</definedName>
    <definedName name="________________ML218" localSheetId="0">#REF!</definedName>
    <definedName name="________________ML218">#REF!</definedName>
    <definedName name="________________ML219" localSheetId="11">NA()</definedName>
    <definedName name="________________ML219" localSheetId="12">NA()</definedName>
    <definedName name="________________ML219" localSheetId="0">#REF!</definedName>
    <definedName name="________________ML219">#REF!</definedName>
    <definedName name="________________ML22" localSheetId="11">NA()</definedName>
    <definedName name="________________ML22" localSheetId="12">NA()</definedName>
    <definedName name="________________ML22" localSheetId="0">#REF!</definedName>
    <definedName name="________________ML22">#REF!</definedName>
    <definedName name="________________ML220" localSheetId="11">NA()</definedName>
    <definedName name="________________ML220" localSheetId="12">NA()</definedName>
    <definedName name="________________ML220" localSheetId="0">#REF!</definedName>
    <definedName name="________________ML220">#REF!</definedName>
    <definedName name="________________ML221" localSheetId="11">NA()</definedName>
    <definedName name="________________ML221" localSheetId="12">NA()</definedName>
    <definedName name="________________ML221" localSheetId="0">#REF!</definedName>
    <definedName name="________________ML221">#REF!</definedName>
    <definedName name="________________ML222" localSheetId="11">NA()</definedName>
    <definedName name="________________ML222" localSheetId="12">NA()</definedName>
    <definedName name="________________ML222" localSheetId="0">#REF!</definedName>
    <definedName name="________________ML222">#REF!</definedName>
    <definedName name="________________ML223" localSheetId="11">NA()</definedName>
    <definedName name="________________ML223" localSheetId="12">NA()</definedName>
    <definedName name="________________ML223" localSheetId="0">#REF!</definedName>
    <definedName name="________________ML223">#REF!</definedName>
    <definedName name="________________ML224" localSheetId="11">NA()</definedName>
    <definedName name="________________ML224" localSheetId="12">NA()</definedName>
    <definedName name="________________ML224" localSheetId="0">#REF!</definedName>
    <definedName name="________________ML224">#REF!</definedName>
    <definedName name="________________ML23" localSheetId="11">NA()</definedName>
    <definedName name="________________ML23" localSheetId="12">NA()</definedName>
    <definedName name="________________ML23" localSheetId="0">#REF!</definedName>
    <definedName name="________________ML23">#REF!</definedName>
    <definedName name="________________ML24" localSheetId="11">NA()</definedName>
    <definedName name="________________ML24" localSheetId="12">NA()</definedName>
    <definedName name="________________ML24" localSheetId="0">#REF!</definedName>
    <definedName name="________________ML24">#REF!</definedName>
    <definedName name="________________ML25" localSheetId="11">NA()</definedName>
    <definedName name="________________ML25" localSheetId="12">NA()</definedName>
    <definedName name="________________ML25" localSheetId="0">#REF!</definedName>
    <definedName name="________________ML25">#REF!</definedName>
    <definedName name="________________ML26" localSheetId="11">NA()</definedName>
    <definedName name="________________ML26" localSheetId="12">NA()</definedName>
    <definedName name="________________ML26" localSheetId="0">#REF!</definedName>
    <definedName name="________________ML26">#REF!</definedName>
    <definedName name="________________ML27" localSheetId="11">NA()</definedName>
    <definedName name="________________ML27" localSheetId="12">NA()</definedName>
    <definedName name="________________ML27" localSheetId="0">#REF!</definedName>
    <definedName name="________________ML27">#REF!</definedName>
    <definedName name="________________ML28" localSheetId="11">NA()</definedName>
    <definedName name="________________ML28" localSheetId="12">NA()</definedName>
    <definedName name="________________ML28" localSheetId="0">#REF!</definedName>
    <definedName name="________________ML28">#REF!</definedName>
    <definedName name="________________ML29" localSheetId="11">NA()</definedName>
    <definedName name="________________ML29" localSheetId="12">NA()</definedName>
    <definedName name="________________ML29" localSheetId="0">#REF!</definedName>
    <definedName name="________________ML29">#REF!</definedName>
    <definedName name="________________ML31" localSheetId="11">NA()</definedName>
    <definedName name="________________ML31" localSheetId="12">NA()</definedName>
    <definedName name="________________ML31" localSheetId="0">#REF!</definedName>
    <definedName name="________________ML31">#REF!</definedName>
    <definedName name="________________ML310" localSheetId="11">NA()</definedName>
    <definedName name="________________ML310" localSheetId="12">NA()</definedName>
    <definedName name="________________ML310" localSheetId="0">#REF!</definedName>
    <definedName name="________________ML310">#REF!</definedName>
    <definedName name="________________ML311" localSheetId="11">NA()</definedName>
    <definedName name="________________ML311" localSheetId="12">NA()</definedName>
    <definedName name="________________ML311" localSheetId="0">#REF!</definedName>
    <definedName name="________________ML311">#REF!</definedName>
    <definedName name="________________ML312" localSheetId="11">NA()</definedName>
    <definedName name="________________ML312" localSheetId="12">NA()</definedName>
    <definedName name="________________ML312" localSheetId="0">#REF!</definedName>
    <definedName name="________________ML312">#REF!</definedName>
    <definedName name="________________ML313" localSheetId="11">NA()</definedName>
    <definedName name="________________ML313" localSheetId="12">NA()</definedName>
    <definedName name="________________ML313" localSheetId="0">#REF!</definedName>
    <definedName name="________________ML313">#REF!</definedName>
    <definedName name="________________ML314" localSheetId="11">NA()</definedName>
    <definedName name="________________ML314" localSheetId="12">NA()</definedName>
    <definedName name="________________ML314" localSheetId="0">#REF!</definedName>
    <definedName name="________________ML314">#REF!</definedName>
    <definedName name="________________ML315" localSheetId="11">NA()</definedName>
    <definedName name="________________ML315" localSheetId="12">NA()</definedName>
    <definedName name="________________ML315" localSheetId="0">#REF!</definedName>
    <definedName name="________________ML315">#REF!</definedName>
    <definedName name="________________ML316" localSheetId="11">NA()</definedName>
    <definedName name="________________ML316" localSheetId="12">NA()</definedName>
    <definedName name="________________ML316" localSheetId="0">#REF!</definedName>
    <definedName name="________________ML316">#REF!</definedName>
    <definedName name="________________ML317" localSheetId="11">NA()</definedName>
    <definedName name="________________ML317" localSheetId="12">NA()</definedName>
    <definedName name="________________ML317" localSheetId="0">#REF!</definedName>
    <definedName name="________________ML317">#REF!</definedName>
    <definedName name="________________ML318" localSheetId="11">NA()</definedName>
    <definedName name="________________ML318" localSheetId="12">NA()</definedName>
    <definedName name="________________ML318" localSheetId="0">#REF!</definedName>
    <definedName name="________________ML318">#REF!</definedName>
    <definedName name="________________ML319" localSheetId="11">NA()</definedName>
    <definedName name="________________ML319" localSheetId="12">NA()</definedName>
    <definedName name="________________ML319" localSheetId="0">#REF!</definedName>
    <definedName name="________________ML319">#REF!</definedName>
    <definedName name="________________ML32" localSheetId="11">NA()</definedName>
    <definedName name="________________ML32" localSheetId="12">NA()</definedName>
    <definedName name="________________ML32" localSheetId="0">#REF!</definedName>
    <definedName name="________________ML32">#REF!</definedName>
    <definedName name="________________ML320" localSheetId="11">NA()</definedName>
    <definedName name="________________ML320" localSheetId="12">NA()</definedName>
    <definedName name="________________ML320" localSheetId="0">#REF!</definedName>
    <definedName name="________________ML320">#REF!</definedName>
    <definedName name="________________ML321" localSheetId="11">NA()</definedName>
    <definedName name="________________ML321" localSheetId="12">NA()</definedName>
    <definedName name="________________ML321" localSheetId="0">#REF!</definedName>
    <definedName name="________________ML321">#REF!</definedName>
    <definedName name="________________ML322" localSheetId="11">NA()</definedName>
    <definedName name="________________ML322" localSheetId="12">NA()</definedName>
    <definedName name="________________ML322" localSheetId="0">#REF!</definedName>
    <definedName name="________________ML322">#REF!</definedName>
    <definedName name="________________ML323" localSheetId="11">NA()</definedName>
    <definedName name="________________ML323" localSheetId="12">NA()</definedName>
    <definedName name="________________ML323" localSheetId="0">#REF!</definedName>
    <definedName name="________________ML323">#REF!</definedName>
    <definedName name="________________ML324" localSheetId="11">NA()</definedName>
    <definedName name="________________ML324" localSheetId="12">NA()</definedName>
    <definedName name="________________ML324" localSheetId="0">#REF!</definedName>
    <definedName name="________________ML324">#REF!</definedName>
    <definedName name="________________ML33" localSheetId="11">NA()</definedName>
    <definedName name="________________ML33" localSheetId="12">NA()</definedName>
    <definedName name="________________ML33" localSheetId="0">#REF!</definedName>
    <definedName name="________________ML33">#REF!</definedName>
    <definedName name="________________ML34" localSheetId="11">NA()</definedName>
    <definedName name="________________ML34" localSheetId="12">NA()</definedName>
    <definedName name="________________ML34" localSheetId="0">#REF!</definedName>
    <definedName name="________________ML34">#REF!</definedName>
    <definedName name="________________ML35" localSheetId="11">NA()</definedName>
    <definedName name="________________ML35" localSheetId="12">NA()</definedName>
    <definedName name="________________ML35" localSheetId="0">#REF!</definedName>
    <definedName name="________________ML35">#REF!</definedName>
    <definedName name="________________ML36" localSheetId="11">NA()</definedName>
    <definedName name="________________ML36" localSheetId="12">NA()</definedName>
    <definedName name="________________ML36" localSheetId="0">#REF!</definedName>
    <definedName name="________________ML36">#REF!</definedName>
    <definedName name="________________ML37" localSheetId="11">NA()</definedName>
    <definedName name="________________ML37" localSheetId="12">NA()</definedName>
    <definedName name="________________ML37" localSheetId="0">#REF!</definedName>
    <definedName name="________________ML37">#REF!</definedName>
    <definedName name="________________ML38" localSheetId="11">NA()</definedName>
    <definedName name="________________ML38" localSheetId="12">NA()</definedName>
    <definedName name="________________ML38" localSheetId="0">#REF!</definedName>
    <definedName name="________________ML38">#REF!</definedName>
    <definedName name="________________ML39" localSheetId="11">NA()</definedName>
    <definedName name="________________ML39" localSheetId="12">NA()</definedName>
    <definedName name="________________ML39" localSheetId="0">#REF!</definedName>
    <definedName name="________________ML39">#REF!</definedName>
    <definedName name="________________ML7" localSheetId="11">NA()</definedName>
    <definedName name="________________ML7" localSheetId="12">NA()</definedName>
    <definedName name="________________ML7" localSheetId="0">#REF!</definedName>
    <definedName name="________________ML7">#REF!</definedName>
    <definedName name="________________ML8" localSheetId="11">NA()</definedName>
    <definedName name="________________ML8" localSheetId="12">NA()</definedName>
    <definedName name="________________ML8" localSheetId="0">#REF!</definedName>
    <definedName name="________________ML8">#REF!</definedName>
    <definedName name="________________ML9" localSheetId="11">NA()</definedName>
    <definedName name="________________ML9" localSheetId="12">NA()</definedName>
    <definedName name="________________ML9" localSheetId="0">#REF!</definedName>
    <definedName name="________________ML9">#REF!</definedName>
    <definedName name="________________mm1">[6]r!$F$4</definedName>
    <definedName name="________________mm1000" localSheetId="11">NA()</definedName>
    <definedName name="________________mm1000" localSheetId="12">NA()</definedName>
    <definedName name="________________mm1000" localSheetId="0">#REF!</definedName>
    <definedName name="________________mm1000">#REF!</definedName>
    <definedName name="________________mm11">[2]r!$F$4</definedName>
    <definedName name="________________mm111">[5]r!$F$4</definedName>
    <definedName name="________________mm600" localSheetId="11">NA()</definedName>
    <definedName name="________________mm600" localSheetId="12">NA()</definedName>
    <definedName name="________________mm600" localSheetId="0">#REF!</definedName>
    <definedName name="________________mm600">#REF!</definedName>
    <definedName name="________________mm800" localSheetId="11">NA()</definedName>
    <definedName name="________________mm800" localSheetId="12">NA()</definedName>
    <definedName name="________________mm800" localSheetId="0">#REF!</definedName>
    <definedName name="________________mm800">#REF!</definedName>
    <definedName name="________________PC1" localSheetId="11">NA()</definedName>
    <definedName name="________________PC1" localSheetId="12">NA()</definedName>
    <definedName name="________________PC1" localSheetId="0">#REF!</definedName>
    <definedName name="________________PC1">#REF!</definedName>
    <definedName name="________________PC10" localSheetId="11">NA()</definedName>
    <definedName name="________________PC10" localSheetId="12">NA()</definedName>
    <definedName name="________________PC10" localSheetId="0">#REF!</definedName>
    <definedName name="________________PC10">#REF!</definedName>
    <definedName name="________________PC11" localSheetId="11">NA()</definedName>
    <definedName name="________________PC11" localSheetId="12">NA()</definedName>
    <definedName name="________________PC11" localSheetId="0">#REF!</definedName>
    <definedName name="________________PC11">#REF!</definedName>
    <definedName name="________________PC12" localSheetId="11">NA()</definedName>
    <definedName name="________________PC12" localSheetId="12">NA()</definedName>
    <definedName name="________________PC12" localSheetId="0">#REF!</definedName>
    <definedName name="________________PC12">#REF!</definedName>
    <definedName name="________________PC13" localSheetId="11">NA()</definedName>
    <definedName name="________________PC13" localSheetId="12">NA()</definedName>
    <definedName name="________________PC13" localSheetId="0">#REF!</definedName>
    <definedName name="________________PC13">#REF!</definedName>
    <definedName name="________________PC14" localSheetId="11">NA()</definedName>
    <definedName name="________________PC14" localSheetId="12">NA()</definedName>
    <definedName name="________________PC14" localSheetId="0">#REF!</definedName>
    <definedName name="________________PC14">#REF!</definedName>
    <definedName name="________________PC15" localSheetId="11">NA()</definedName>
    <definedName name="________________PC15" localSheetId="12">NA()</definedName>
    <definedName name="________________PC15" localSheetId="0">#REF!</definedName>
    <definedName name="________________PC15">#REF!</definedName>
    <definedName name="________________PC16" localSheetId="11">NA()</definedName>
    <definedName name="________________PC16" localSheetId="12">NA()</definedName>
    <definedName name="________________PC16" localSheetId="0">#REF!</definedName>
    <definedName name="________________PC16">#REF!</definedName>
    <definedName name="________________PC17" localSheetId="11">NA()</definedName>
    <definedName name="________________PC17" localSheetId="12">NA()</definedName>
    <definedName name="________________PC17" localSheetId="0">#REF!</definedName>
    <definedName name="________________PC17">#REF!</definedName>
    <definedName name="________________PC18" localSheetId="11">NA()</definedName>
    <definedName name="________________PC18" localSheetId="12">NA()</definedName>
    <definedName name="________________PC18" localSheetId="0">#REF!</definedName>
    <definedName name="________________PC18">#REF!</definedName>
    <definedName name="________________PC19" localSheetId="11">NA()</definedName>
    <definedName name="________________PC19" localSheetId="12">NA()</definedName>
    <definedName name="________________PC19" localSheetId="0">#REF!</definedName>
    <definedName name="________________PC19">#REF!</definedName>
    <definedName name="________________pc2" localSheetId="11">NA()</definedName>
    <definedName name="________________pc2" localSheetId="12">NA()</definedName>
    <definedName name="________________pc2" localSheetId="0">#REF!</definedName>
    <definedName name="________________pc2">#REF!</definedName>
    <definedName name="________________PC20">NA()</definedName>
    <definedName name="________________PC21" localSheetId="11">NA()</definedName>
    <definedName name="________________PC21" localSheetId="12">NA()</definedName>
    <definedName name="________________PC21" localSheetId="0">#REF!</definedName>
    <definedName name="________________PC21">#REF!</definedName>
    <definedName name="________________PC22" localSheetId="11">NA()</definedName>
    <definedName name="________________PC22" localSheetId="12">NA()</definedName>
    <definedName name="________________PC22" localSheetId="0">#REF!</definedName>
    <definedName name="________________PC22">#REF!</definedName>
    <definedName name="________________PC23" localSheetId="11">NA()</definedName>
    <definedName name="________________PC23" localSheetId="12">NA()</definedName>
    <definedName name="________________PC23" localSheetId="0">#REF!</definedName>
    <definedName name="________________PC23">#REF!</definedName>
    <definedName name="________________PC24" localSheetId="11">NA()</definedName>
    <definedName name="________________PC24" localSheetId="12">NA()</definedName>
    <definedName name="________________PC24" localSheetId="0">#REF!</definedName>
    <definedName name="________________PC24">#REF!</definedName>
    <definedName name="________________PC3" localSheetId="11">NA()</definedName>
    <definedName name="________________PC3" localSheetId="12">NA()</definedName>
    <definedName name="________________PC3" localSheetId="0">#REF!</definedName>
    <definedName name="________________PC3">#REF!</definedName>
    <definedName name="________________PC4" localSheetId="11">NA()</definedName>
    <definedName name="________________PC4" localSheetId="12">NA()</definedName>
    <definedName name="________________PC4" localSheetId="0">#REF!</definedName>
    <definedName name="________________PC4">#REF!</definedName>
    <definedName name="________________PC5" localSheetId="11">NA()</definedName>
    <definedName name="________________PC5" localSheetId="12">NA()</definedName>
    <definedName name="________________PC5" localSheetId="0">#REF!</definedName>
    <definedName name="________________PC5">#REF!</definedName>
    <definedName name="________________PC6" localSheetId="11">NA()</definedName>
    <definedName name="________________PC6" localSheetId="12">NA()</definedName>
    <definedName name="________________PC6" localSheetId="0">#REF!</definedName>
    <definedName name="________________PC6">#REF!</definedName>
    <definedName name="________________pc600" localSheetId="11">NA()</definedName>
    <definedName name="________________pc600" localSheetId="12">NA()</definedName>
    <definedName name="________________pc600" localSheetId="0">#REF!</definedName>
    <definedName name="________________pc600">#REF!</definedName>
    <definedName name="________________PC7" localSheetId="11">NA()</definedName>
    <definedName name="________________PC7" localSheetId="12">NA()</definedName>
    <definedName name="________________PC7" localSheetId="0">#REF!</definedName>
    <definedName name="________________PC7">#REF!</definedName>
    <definedName name="________________PC8" localSheetId="11">NA()</definedName>
    <definedName name="________________PC8" localSheetId="12">NA()</definedName>
    <definedName name="________________PC8" localSheetId="0">#REF!</definedName>
    <definedName name="________________PC8">#REF!</definedName>
    <definedName name="________________PC9" localSheetId="11">NA()</definedName>
    <definedName name="________________PC9" localSheetId="12">NA()</definedName>
    <definedName name="________________PC9" localSheetId="0">#REF!</definedName>
    <definedName name="________________PC9">#REF!</definedName>
    <definedName name="________________pc900" localSheetId="11">NA()</definedName>
    <definedName name="________________pc900" localSheetId="12">NA()</definedName>
    <definedName name="________________pc900" localSheetId="0">#REF!</definedName>
    <definedName name="________________pc900">#REF!</definedName>
    <definedName name="________________pla4">[12]DATA_PRG!$H$269</definedName>
    <definedName name="________________pv2" localSheetId="11">NA()</definedName>
    <definedName name="________________pv2" localSheetId="12">NA()</definedName>
    <definedName name="________________pv2" localSheetId="0">#REF!</definedName>
    <definedName name="________________pv2">#REF!</definedName>
    <definedName name="________________rr3">[7]v!$A$2:$E$51</definedName>
    <definedName name="________________rrr1">[7]r!$B$1:$I$145</definedName>
    <definedName name="________________SP10">[13]Sheet1!$C$18</definedName>
    <definedName name="________________SP16">[13]Sheet1!$C$24</definedName>
    <definedName name="________________SP7">[13]Sheet1!$C$15</definedName>
    <definedName name="________________ss12">[8]rdamdata!$J$8</definedName>
    <definedName name="________________ss20">[8]rdamdata!$J$7</definedName>
    <definedName name="________________ss40">[8]rdamdata!$J$6</definedName>
    <definedName name="________________var1" localSheetId="11">NA()</definedName>
    <definedName name="________________var1" localSheetId="12">NA()</definedName>
    <definedName name="________________var1" localSheetId="0">#REF!</definedName>
    <definedName name="________________var1">#REF!</definedName>
    <definedName name="________________var4" localSheetId="11">NA()</definedName>
    <definedName name="________________var4" localSheetId="12">NA()</definedName>
    <definedName name="________________var4" localSheetId="0">#REF!</definedName>
    <definedName name="________________var4">#REF!</definedName>
    <definedName name="________________vat1">NA()</definedName>
    <definedName name="_______________bla1">[1]leads!$H$7</definedName>
    <definedName name="_______________BSG100" localSheetId="11">NA()</definedName>
    <definedName name="_______________BSG100" localSheetId="12">NA()</definedName>
    <definedName name="_______________BSG100" localSheetId="0">#REF!</definedName>
    <definedName name="_______________BSG100">#REF!</definedName>
    <definedName name="_______________BSG150" localSheetId="11">NA()</definedName>
    <definedName name="_______________BSG150" localSheetId="12">NA()</definedName>
    <definedName name="_______________BSG150" localSheetId="0">#REF!</definedName>
    <definedName name="_______________BSG150">#REF!</definedName>
    <definedName name="_______________BSG5" localSheetId="11">NA()</definedName>
    <definedName name="_______________BSG5" localSheetId="12">NA()</definedName>
    <definedName name="_______________BSG5" localSheetId="0">#REF!</definedName>
    <definedName name="_______________BSG5">#REF!</definedName>
    <definedName name="_______________BSG75" localSheetId="11">NA()</definedName>
    <definedName name="_______________BSG75" localSheetId="12">NA()</definedName>
    <definedName name="_______________BSG75" localSheetId="0">#REF!</definedName>
    <definedName name="_______________BSG75">#REF!</definedName>
    <definedName name="_______________BTC1" localSheetId="11">NA()</definedName>
    <definedName name="_______________BTC1" localSheetId="12">NA()</definedName>
    <definedName name="_______________BTC1" localSheetId="0">#REF!</definedName>
    <definedName name="_______________BTC1">#REF!</definedName>
    <definedName name="_______________BTC10" localSheetId="11">NA()</definedName>
    <definedName name="_______________BTC10" localSheetId="12">NA()</definedName>
    <definedName name="_______________BTC10" localSheetId="0">#REF!</definedName>
    <definedName name="_______________BTC10">#REF!</definedName>
    <definedName name="_______________BTC11" localSheetId="11">NA()</definedName>
    <definedName name="_______________BTC11" localSheetId="12">NA()</definedName>
    <definedName name="_______________BTC11" localSheetId="0">#REF!</definedName>
    <definedName name="_______________BTC11">#REF!</definedName>
    <definedName name="_______________BTC12" localSheetId="11">NA()</definedName>
    <definedName name="_______________BTC12" localSheetId="12">NA()</definedName>
    <definedName name="_______________BTC12" localSheetId="0">#REF!</definedName>
    <definedName name="_______________BTC12">#REF!</definedName>
    <definedName name="_______________BTC13" localSheetId="11">NA()</definedName>
    <definedName name="_______________BTC13" localSheetId="12">NA()</definedName>
    <definedName name="_______________BTC13" localSheetId="0">#REF!</definedName>
    <definedName name="_______________BTC13">#REF!</definedName>
    <definedName name="_______________BTC14" localSheetId="11">NA()</definedName>
    <definedName name="_______________BTC14" localSheetId="12">NA()</definedName>
    <definedName name="_______________BTC14" localSheetId="0">#REF!</definedName>
    <definedName name="_______________BTC14">#REF!</definedName>
    <definedName name="_______________BTC15" localSheetId="11">NA()</definedName>
    <definedName name="_______________BTC15" localSheetId="12">NA()</definedName>
    <definedName name="_______________BTC15" localSheetId="0">#REF!</definedName>
    <definedName name="_______________BTC15">#REF!</definedName>
    <definedName name="_______________BTC16" localSheetId="11">NA()</definedName>
    <definedName name="_______________BTC16" localSheetId="12">NA()</definedName>
    <definedName name="_______________BTC16" localSheetId="0">#REF!</definedName>
    <definedName name="_______________BTC16">#REF!</definedName>
    <definedName name="_______________BTC17" localSheetId="11">NA()</definedName>
    <definedName name="_______________BTC17" localSheetId="12">NA()</definedName>
    <definedName name="_______________BTC17" localSheetId="0">#REF!</definedName>
    <definedName name="_______________BTC17">#REF!</definedName>
    <definedName name="_______________BTC18" localSheetId="11">NA()</definedName>
    <definedName name="_______________BTC18" localSheetId="12">NA()</definedName>
    <definedName name="_______________BTC18" localSheetId="0">#REF!</definedName>
    <definedName name="_______________BTC18">#REF!</definedName>
    <definedName name="_______________BTC19" localSheetId="11">NA()</definedName>
    <definedName name="_______________BTC19" localSheetId="12">NA()</definedName>
    <definedName name="_______________BTC19" localSheetId="0">#REF!</definedName>
    <definedName name="_______________BTC19">#REF!</definedName>
    <definedName name="_______________BTC2" localSheetId="11">NA()</definedName>
    <definedName name="_______________BTC2" localSheetId="12">NA()</definedName>
    <definedName name="_______________BTC2" localSheetId="0">#REF!</definedName>
    <definedName name="_______________BTC2">#REF!</definedName>
    <definedName name="_______________BTC20" localSheetId="11">NA()</definedName>
    <definedName name="_______________BTC20" localSheetId="12">NA()</definedName>
    <definedName name="_______________BTC20" localSheetId="0">#REF!</definedName>
    <definedName name="_______________BTC20">#REF!</definedName>
    <definedName name="_______________BTC21" localSheetId="11">NA()</definedName>
    <definedName name="_______________BTC21" localSheetId="12">NA()</definedName>
    <definedName name="_______________BTC21" localSheetId="0">#REF!</definedName>
    <definedName name="_______________BTC21">#REF!</definedName>
    <definedName name="_______________BTC22" localSheetId="11">NA()</definedName>
    <definedName name="_______________BTC22" localSheetId="12">NA()</definedName>
    <definedName name="_______________BTC22" localSheetId="0">#REF!</definedName>
    <definedName name="_______________BTC22">#REF!</definedName>
    <definedName name="_______________BTC23" localSheetId="11">NA()</definedName>
    <definedName name="_______________BTC23" localSheetId="12">NA()</definedName>
    <definedName name="_______________BTC23" localSheetId="0">#REF!</definedName>
    <definedName name="_______________BTC23">#REF!</definedName>
    <definedName name="_______________BTC24" localSheetId="11">NA()</definedName>
    <definedName name="_______________BTC24" localSheetId="12">NA()</definedName>
    <definedName name="_______________BTC24" localSheetId="0">#REF!</definedName>
    <definedName name="_______________BTC24">#REF!</definedName>
    <definedName name="_______________BTC3" localSheetId="11">NA()</definedName>
    <definedName name="_______________BTC3" localSheetId="12">NA()</definedName>
    <definedName name="_______________BTC3" localSheetId="0">#REF!</definedName>
    <definedName name="_______________BTC3">#REF!</definedName>
    <definedName name="_______________BTC4" localSheetId="11">NA()</definedName>
    <definedName name="_______________BTC4" localSheetId="12">NA()</definedName>
    <definedName name="_______________BTC4" localSheetId="0">#REF!</definedName>
    <definedName name="_______________BTC4">#REF!</definedName>
    <definedName name="_______________BTC5" localSheetId="11">NA()</definedName>
    <definedName name="_______________BTC5" localSheetId="12">NA()</definedName>
    <definedName name="_______________BTC5" localSheetId="0">#REF!</definedName>
    <definedName name="_______________BTC5">#REF!</definedName>
    <definedName name="_______________BTC6" localSheetId="11">NA()</definedName>
    <definedName name="_______________BTC6" localSheetId="12">NA()</definedName>
    <definedName name="_______________BTC6" localSheetId="0">#REF!</definedName>
    <definedName name="_______________BTC6">#REF!</definedName>
    <definedName name="_______________BTC7" localSheetId="11">NA()</definedName>
    <definedName name="_______________BTC7" localSheetId="12">NA()</definedName>
    <definedName name="_______________BTC7" localSheetId="0">#REF!</definedName>
    <definedName name="_______________BTC7">#REF!</definedName>
    <definedName name="_______________BTC8" localSheetId="11">NA()</definedName>
    <definedName name="_______________BTC8" localSheetId="12">NA()</definedName>
    <definedName name="_______________BTC8" localSheetId="0">#REF!</definedName>
    <definedName name="_______________BTC8">#REF!</definedName>
    <definedName name="_______________BTC9" localSheetId="11">NA()</definedName>
    <definedName name="_______________BTC9" localSheetId="12">NA()</definedName>
    <definedName name="_______________BTC9" localSheetId="0">#REF!</definedName>
    <definedName name="_______________BTC9">#REF!</definedName>
    <definedName name="_______________BTR1" localSheetId="11">NA()</definedName>
    <definedName name="_______________BTR1" localSheetId="12">NA()</definedName>
    <definedName name="_______________BTR1" localSheetId="0">#REF!</definedName>
    <definedName name="_______________BTR1">#REF!</definedName>
    <definedName name="_______________BTR10" localSheetId="11">NA()</definedName>
    <definedName name="_______________BTR10" localSheetId="12">NA()</definedName>
    <definedName name="_______________BTR10" localSheetId="0">#REF!</definedName>
    <definedName name="_______________BTR10">#REF!</definedName>
    <definedName name="_______________BTR11" localSheetId="11">NA()</definedName>
    <definedName name="_______________BTR11" localSheetId="12">NA()</definedName>
    <definedName name="_______________BTR11" localSheetId="0">#REF!</definedName>
    <definedName name="_______________BTR11">#REF!</definedName>
    <definedName name="_______________BTR12" localSheetId="11">NA()</definedName>
    <definedName name="_______________BTR12" localSheetId="12">NA()</definedName>
    <definedName name="_______________BTR12" localSheetId="0">#REF!</definedName>
    <definedName name="_______________BTR12">#REF!</definedName>
    <definedName name="_______________BTR13" localSheetId="11">NA()</definedName>
    <definedName name="_______________BTR13" localSheetId="12">NA()</definedName>
    <definedName name="_______________BTR13" localSheetId="0">#REF!</definedName>
    <definedName name="_______________BTR13">#REF!</definedName>
    <definedName name="_______________BTR14" localSheetId="11">NA()</definedName>
    <definedName name="_______________BTR14" localSheetId="12">NA()</definedName>
    <definedName name="_______________BTR14" localSheetId="0">#REF!</definedName>
    <definedName name="_______________BTR14">#REF!</definedName>
    <definedName name="_______________BTR15" localSheetId="11">NA()</definedName>
    <definedName name="_______________BTR15" localSheetId="12">NA()</definedName>
    <definedName name="_______________BTR15" localSheetId="0">#REF!</definedName>
    <definedName name="_______________BTR15">#REF!</definedName>
    <definedName name="_______________BTR16" localSheetId="11">NA()</definedName>
    <definedName name="_______________BTR16" localSheetId="12">NA()</definedName>
    <definedName name="_______________BTR16" localSheetId="0">#REF!</definedName>
    <definedName name="_______________BTR16">#REF!</definedName>
    <definedName name="_______________BTR17" localSheetId="11">NA()</definedName>
    <definedName name="_______________BTR17" localSheetId="12">NA()</definedName>
    <definedName name="_______________BTR17" localSheetId="0">#REF!</definedName>
    <definedName name="_______________BTR17">#REF!</definedName>
    <definedName name="_______________BTR18" localSheetId="11">NA()</definedName>
    <definedName name="_______________BTR18" localSheetId="12">NA()</definedName>
    <definedName name="_______________BTR18" localSheetId="0">#REF!</definedName>
    <definedName name="_______________BTR18">#REF!</definedName>
    <definedName name="_______________BTR19" localSheetId="11">NA()</definedName>
    <definedName name="_______________BTR19" localSheetId="12">NA()</definedName>
    <definedName name="_______________BTR19" localSheetId="0">#REF!</definedName>
    <definedName name="_______________BTR19">#REF!</definedName>
    <definedName name="_______________BTR2" localSheetId="11">NA()</definedName>
    <definedName name="_______________BTR2" localSheetId="12">NA()</definedName>
    <definedName name="_______________BTR2" localSheetId="0">#REF!</definedName>
    <definedName name="_______________BTR2">#REF!</definedName>
    <definedName name="_______________BTR20" localSheetId="11">NA()</definedName>
    <definedName name="_______________BTR20" localSheetId="12">NA()</definedName>
    <definedName name="_______________BTR20" localSheetId="0">#REF!</definedName>
    <definedName name="_______________BTR20">#REF!</definedName>
    <definedName name="_______________BTR21" localSheetId="11">NA()</definedName>
    <definedName name="_______________BTR21" localSheetId="12">NA()</definedName>
    <definedName name="_______________BTR21" localSheetId="0">#REF!</definedName>
    <definedName name="_______________BTR21">#REF!</definedName>
    <definedName name="_______________BTR22" localSheetId="11">NA()</definedName>
    <definedName name="_______________BTR22" localSheetId="12">NA()</definedName>
    <definedName name="_______________BTR22" localSheetId="0">#REF!</definedName>
    <definedName name="_______________BTR22">#REF!</definedName>
    <definedName name="_______________BTR23" localSheetId="11">NA()</definedName>
    <definedName name="_______________BTR23" localSheetId="12">NA()</definedName>
    <definedName name="_______________BTR23" localSheetId="0">#REF!</definedName>
    <definedName name="_______________BTR23">#REF!</definedName>
    <definedName name="_______________BTR24" localSheetId="11">NA()</definedName>
    <definedName name="_______________BTR24" localSheetId="12">NA()</definedName>
    <definedName name="_______________BTR24" localSheetId="0">#REF!</definedName>
    <definedName name="_______________BTR24">#REF!</definedName>
    <definedName name="_______________BTR3" localSheetId="11">NA()</definedName>
    <definedName name="_______________BTR3" localSheetId="12">NA()</definedName>
    <definedName name="_______________BTR3" localSheetId="0">#REF!</definedName>
    <definedName name="_______________BTR3">#REF!</definedName>
    <definedName name="_______________BTR4" localSheetId="11">NA()</definedName>
    <definedName name="_______________BTR4" localSheetId="12">NA()</definedName>
    <definedName name="_______________BTR4" localSheetId="0">#REF!</definedName>
    <definedName name="_______________BTR4">#REF!</definedName>
    <definedName name="_______________BTR5" localSheetId="11">NA()</definedName>
    <definedName name="_______________BTR5" localSheetId="12">NA()</definedName>
    <definedName name="_______________BTR5" localSheetId="0">#REF!</definedName>
    <definedName name="_______________BTR5">#REF!</definedName>
    <definedName name="_______________BTR6" localSheetId="11">NA()</definedName>
    <definedName name="_______________BTR6" localSheetId="12">NA()</definedName>
    <definedName name="_______________BTR6" localSheetId="0">#REF!</definedName>
    <definedName name="_______________BTR6">#REF!</definedName>
    <definedName name="_______________BTR7" localSheetId="11">NA()</definedName>
    <definedName name="_______________BTR7" localSheetId="12">NA()</definedName>
    <definedName name="_______________BTR7" localSheetId="0">#REF!</definedName>
    <definedName name="_______________BTR7">#REF!</definedName>
    <definedName name="_______________BTR8" localSheetId="11">NA()</definedName>
    <definedName name="_______________BTR8" localSheetId="12">NA()</definedName>
    <definedName name="_______________BTR8" localSheetId="0">#REF!</definedName>
    <definedName name="_______________BTR8">#REF!</definedName>
    <definedName name="_______________BTR9" localSheetId="11">NA()</definedName>
    <definedName name="_______________BTR9" localSheetId="12">NA()</definedName>
    <definedName name="_______________BTR9" localSheetId="0">#REF!</definedName>
    <definedName name="_______________BTR9">#REF!</definedName>
    <definedName name="_______________BTS1" localSheetId="11">NA()</definedName>
    <definedName name="_______________BTS1" localSheetId="12">NA()</definedName>
    <definedName name="_______________BTS1" localSheetId="0">#REF!</definedName>
    <definedName name="_______________BTS1">#REF!</definedName>
    <definedName name="_______________BTS10" localSheetId="11">NA()</definedName>
    <definedName name="_______________BTS10" localSheetId="12">NA()</definedName>
    <definedName name="_______________BTS10" localSheetId="0">#REF!</definedName>
    <definedName name="_______________BTS10">#REF!</definedName>
    <definedName name="_______________BTS11" localSheetId="11">NA()</definedName>
    <definedName name="_______________BTS11" localSheetId="12">NA()</definedName>
    <definedName name="_______________BTS11" localSheetId="0">#REF!</definedName>
    <definedName name="_______________BTS11">#REF!</definedName>
    <definedName name="_______________BTS12" localSheetId="11">NA()</definedName>
    <definedName name="_______________BTS12" localSheetId="12">NA()</definedName>
    <definedName name="_______________BTS12" localSheetId="0">#REF!</definedName>
    <definedName name="_______________BTS12">#REF!</definedName>
    <definedName name="_______________BTS13" localSheetId="11">NA()</definedName>
    <definedName name="_______________BTS13" localSheetId="12">NA()</definedName>
    <definedName name="_______________BTS13" localSheetId="0">#REF!</definedName>
    <definedName name="_______________BTS13">#REF!</definedName>
    <definedName name="_______________BTS14" localSheetId="11">NA()</definedName>
    <definedName name="_______________BTS14" localSheetId="12">NA()</definedName>
    <definedName name="_______________BTS14" localSheetId="0">#REF!</definedName>
    <definedName name="_______________BTS14">#REF!</definedName>
    <definedName name="_______________BTS15" localSheetId="11">NA()</definedName>
    <definedName name="_______________BTS15" localSheetId="12">NA()</definedName>
    <definedName name="_______________BTS15" localSheetId="0">#REF!</definedName>
    <definedName name="_______________BTS15">#REF!</definedName>
    <definedName name="_______________BTS16" localSheetId="11">NA()</definedName>
    <definedName name="_______________BTS16" localSheetId="12">NA()</definedName>
    <definedName name="_______________BTS16" localSheetId="0">#REF!</definedName>
    <definedName name="_______________BTS16">#REF!</definedName>
    <definedName name="_______________BTS17" localSheetId="11">NA()</definedName>
    <definedName name="_______________BTS17" localSheetId="12">NA()</definedName>
    <definedName name="_______________BTS17" localSheetId="0">#REF!</definedName>
    <definedName name="_______________BTS17">#REF!</definedName>
    <definedName name="_______________BTS18" localSheetId="11">NA()</definedName>
    <definedName name="_______________BTS18" localSheetId="12">NA()</definedName>
    <definedName name="_______________BTS18" localSheetId="0">#REF!</definedName>
    <definedName name="_______________BTS18">#REF!</definedName>
    <definedName name="_______________BTS19" localSheetId="11">NA()</definedName>
    <definedName name="_______________BTS19" localSheetId="12">NA()</definedName>
    <definedName name="_______________BTS19" localSheetId="0">#REF!</definedName>
    <definedName name="_______________BTS19">#REF!</definedName>
    <definedName name="_______________BTS2" localSheetId="11">NA()</definedName>
    <definedName name="_______________BTS2" localSheetId="12">NA()</definedName>
    <definedName name="_______________BTS2" localSheetId="0">#REF!</definedName>
    <definedName name="_______________BTS2">#REF!</definedName>
    <definedName name="_______________BTS20" localSheetId="11">NA()</definedName>
    <definedName name="_______________BTS20" localSheetId="12">NA()</definedName>
    <definedName name="_______________BTS20" localSheetId="0">#REF!</definedName>
    <definedName name="_______________BTS20">#REF!</definedName>
    <definedName name="_______________BTS21" localSheetId="11">NA()</definedName>
    <definedName name="_______________BTS21" localSheetId="12">NA()</definedName>
    <definedName name="_______________BTS21" localSheetId="0">#REF!</definedName>
    <definedName name="_______________BTS21">#REF!</definedName>
    <definedName name="_______________BTS22" localSheetId="11">NA()</definedName>
    <definedName name="_______________BTS22" localSheetId="12">NA()</definedName>
    <definedName name="_______________BTS22" localSheetId="0">#REF!</definedName>
    <definedName name="_______________BTS22">#REF!</definedName>
    <definedName name="_______________BTS23" localSheetId="11">NA()</definedName>
    <definedName name="_______________BTS23" localSheetId="12">NA()</definedName>
    <definedName name="_______________BTS23" localSheetId="0">#REF!</definedName>
    <definedName name="_______________BTS23">#REF!</definedName>
    <definedName name="_______________BTS24" localSheetId="11">NA()</definedName>
    <definedName name="_______________BTS24" localSheetId="12">NA()</definedName>
    <definedName name="_______________BTS24" localSheetId="0">#REF!</definedName>
    <definedName name="_______________BTS24">#REF!</definedName>
    <definedName name="_______________BTS3" localSheetId="11">NA()</definedName>
    <definedName name="_______________BTS3" localSheetId="12">NA()</definedName>
    <definedName name="_______________BTS3" localSheetId="0">#REF!</definedName>
    <definedName name="_______________BTS3">#REF!</definedName>
    <definedName name="_______________BTS4" localSheetId="11">NA()</definedName>
    <definedName name="_______________BTS4" localSheetId="12">NA()</definedName>
    <definedName name="_______________BTS4" localSheetId="0">#REF!</definedName>
    <definedName name="_______________BTS4">#REF!</definedName>
    <definedName name="_______________BTS5" localSheetId="11">NA()</definedName>
    <definedName name="_______________BTS5" localSheetId="12">NA()</definedName>
    <definedName name="_______________BTS5" localSheetId="0">#REF!</definedName>
    <definedName name="_______________BTS5">#REF!</definedName>
    <definedName name="_______________BTS6" localSheetId="11">NA()</definedName>
    <definedName name="_______________BTS6" localSheetId="12">NA()</definedName>
    <definedName name="_______________BTS6" localSheetId="0">#REF!</definedName>
    <definedName name="_______________BTS6">#REF!</definedName>
    <definedName name="_______________BTS7" localSheetId="11">NA()</definedName>
    <definedName name="_______________BTS7" localSheetId="12">NA()</definedName>
    <definedName name="_______________BTS7" localSheetId="0">#REF!</definedName>
    <definedName name="_______________BTS7">#REF!</definedName>
    <definedName name="_______________BTS8" localSheetId="11">NA()</definedName>
    <definedName name="_______________BTS8" localSheetId="12">NA()</definedName>
    <definedName name="_______________BTS8" localSheetId="0">#REF!</definedName>
    <definedName name="_______________BTS8">#REF!</definedName>
    <definedName name="_______________BTS9" localSheetId="11">NA()</definedName>
    <definedName name="_______________BTS9" localSheetId="12">NA()</definedName>
    <definedName name="_______________BTS9" localSheetId="0">#REF!</definedName>
    <definedName name="_______________BTS9">#REF!</definedName>
    <definedName name="_______________can430">40.73</definedName>
    <definedName name="_______________can435">43.3</definedName>
    <definedName name="_______________CCW1">[9]DATA!$H$67</definedName>
    <definedName name="_______________CCW2">[9]DATA!$H$97</definedName>
    <definedName name="_______________cur1">[2]r!$F$30</definedName>
    <definedName name="_______________G120907" localSheetId="11">"[21]data!#ref!"</definedName>
    <definedName name="_______________G120907" localSheetId="12">"[21]data!#ref!"</definedName>
    <definedName name="_______________G120907" localSheetId="0">[16]Data!#REF!</definedName>
    <definedName name="_______________G120907">[16]Data!#REF!</definedName>
    <definedName name="_______________GBS11">NA()</definedName>
    <definedName name="_______________GBS110" localSheetId="11">NA()</definedName>
    <definedName name="_______________GBS110" localSheetId="12">NA()</definedName>
    <definedName name="_______________GBS110" localSheetId="0">#REF!</definedName>
    <definedName name="_______________GBS110">#REF!</definedName>
    <definedName name="_______________GBS111" localSheetId="11">NA()</definedName>
    <definedName name="_______________GBS111" localSheetId="12">NA()</definedName>
    <definedName name="_______________GBS111" localSheetId="0">#REF!</definedName>
    <definedName name="_______________GBS111">#REF!</definedName>
    <definedName name="_______________GBS112" localSheetId="11">NA()</definedName>
    <definedName name="_______________GBS112" localSheetId="12">NA()</definedName>
    <definedName name="_______________GBS112" localSheetId="0">#REF!</definedName>
    <definedName name="_______________GBS112">#REF!</definedName>
    <definedName name="_______________GBS113" localSheetId="11">NA()</definedName>
    <definedName name="_______________GBS113" localSheetId="12">NA()</definedName>
    <definedName name="_______________GBS113" localSheetId="0">#REF!</definedName>
    <definedName name="_______________GBS113">#REF!</definedName>
    <definedName name="_______________GBS114" localSheetId="11">NA()</definedName>
    <definedName name="_______________GBS114" localSheetId="12">NA()</definedName>
    <definedName name="_______________GBS114" localSheetId="0">#REF!</definedName>
    <definedName name="_______________GBS114">#REF!</definedName>
    <definedName name="_______________GBS115" localSheetId="11">NA()</definedName>
    <definedName name="_______________GBS115" localSheetId="12">NA()</definedName>
    <definedName name="_______________GBS115" localSheetId="0">#REF!</definedName>
    <definedName name="_______________GBS115">#REF!</definedName>
    <definedName name="_______________GBS116" localSheetId="11">NA()</definedName>
    <definedName name="_______________GBS116" localSheetId="12">NA()</definedName>
    <definedName name="_______________GBS116" localSheetId="0">#REF!</definedName>
    <definedName name="_______________GBS116">#REF!</definedName>
    <definedName name="_______________GBS117" localSheetId="11">NA()</definedName>
    <definedName name="_______________GBS117" localSheetId="12">NA()</definedName>
    <definedName name="_______________GBS117" localSheetId="0">#REF!</definedName>
    <definedName name="_______________GBS117">#REF!</definedName>
    <definedName name="_______________GBS118" localSheetId="11">NA()</definedName>
    <definedName name="_______________GBS118" localSheetId="12">NA()</definedName>
    <definedName name="_______________GBS118" localSheetId="0">#REF!</definedName>
    <definedName name="_______________GBS118">#REF!</definedName>
    <definedName name="_______________GBS119" localSheetId="11">NA()</definedName>
    <definedName name="_______________GBS119" localSheetId="12">NA()</definedName>
    <definedName name="_______________GBS119" localSheetId="0">#REF!</definedName>
    <definedName name="_______________GBS119">#REF!</definedName>
    <definedName name="_______________GBS12" localSheetId="11">NA()</definedName>
    <definedName name="_______________GBS12" localSheetId="12">NA()</definedName>
    <definedName name="_______________GBS12" localSheetId="0">#REF!</definedName>
    <definedName name="_______________GBS12">#REF!</definedName>
    <definedName name="_______________GBS120" localSheetId="11">NA()</definedName>
    <definedName name="_______________GBS120" localSheetId="12">NA()</definedName>
    <definedName name="_______________GBS120" localSheetId="0">#REF!</definedName>
    <definedName name="_______________GBS120">#REF!</definedName>
    <definedName name="_______________GBS121" localSheetId="11">NA()</definedName>
    <definedName name="_______________GBS121" localSheetId="12">NA()</definedName>
    <definedName name="_______________GBS121" localSheetId="0">#REF!</definedName>
    <definedName name="_______________GBS121">#REF!</definedName>
    <definedName name="_______________GBS122" localSheetId="11">NA()</definedName>
    <definedName name="_______________GBS122" localSheetId="12">NA()</definedName>
    <definedName name="_______________GBS122" localSheetId="0">#REF!</definedName>
    <definedName name="_______________GBS122">#REF!</definedName>
    <definedName name="_______________GBS123" localSheetId="11">NA()</definedName>
    <definedName name="_______________GBS123" localSheetId="12">NA()</definedName>
    <definedName name="_______________GBS123" localSheetId="0">#REF!</definedName>
    <definedName name="_______________GBS123">#REF!</definedName>
    <definedName name="_______________GBS124" localSheetId="11">NA()</definedName>
    <definedName name="_______________GBS124" localSheetId="12">NA()</definedName>
    <definedName name="_______________GBS124" localSheetId="0">#REF!</definedName>
    <definedName name="_______________GBS124">#REF!</definedName>
    <definedName name="_______________GBS13" localSheetId="11">NA()</definedName>
    <definedName name="_______________GBS13" localSheetId="12">NA()</definedName>
    <definedName name="_______________GBS13" localSheetId="0">#REF!</definedName>
    <definedName name="_______________GBS13">#REF!</definedName>
    <definedName name="_______________GBS14" localSheetId="11">NA()</definedName>
    <definedName name="_______________GBS14" localSheetId="12">NA()</definedName>
    <definedName name="_______________GBS14" localSheetId="0">#REF!</definedName>
    <definedName name="_______________GBS14">#REF!</definedName>
    <definedName name="_______________GBS15" localSheetId="11">NA()</definedName>
    <definedName name="_______________GBS15" localSheetId="12">NA()</definedName>
    <definedName name="_______________GBS15" localSheetId="0">#REF!</definedName>
    <definedName name="_______________GBS15">#REF!</definedName>
    <definedName name="_______________GBS16" localSheetId="11">NA()</definedName>
    <definedName name="_______________GBS16" localSheetId="12">NA()</definedName>
    <definedName name="_______________GBS16" localSheetId="0">#REF!</definedName>
    <definedName name="_______________GBS16">#REF!</definedName>
    <definedName name="_______________GBS17" localSheetId="11">NA()</definedName>
    <definedName name="_______________GBS17" localSheetId="12">NA()</definedName>
    <definedName name="_______________GBS17" localSheetId="0">#REF!</definedName>
    <definedName name="_______________GBS17">#REF!</definedName>
    <definedName name="_______________GBS18" localSheetId="11">NA()</definedName>
    <definedName name="_______________GBS18" localSheetId="12">NA()</definedName>
    <definedName name="_______________GBS18" localSheetId="0">#REF!</definedName>
    <definedName name="_______________GBS18">#REF!</definedName>
    <definedName name="_______________GBS19" localSheetId="11">NA()</definedName>
    <definedName name="_______________GBS19" localSheetId="12">NA()</definedName>
    <definedName name="_______________GBS19" localSheetId="0">#REF!</definedName>
    <definedName name="_______________GBS19">#REF!</definedName>
    <definedName name="_______________GBS21" localSheetId="11">NA()</definedName>
    <definedName name="_______________GBS21" localSheetId="12">NA()</definedName>
    <definedName name="_______________GBS21" localSheetId="0">#REF!</definedName>
    <definedName name="_______________GBS21">#REF!</definedName>
    <definedName name="_______________GBS210" localSheetId="11">NA()</definedName>
    <definedName name="_______________GBS210" localSheetId="12">NA()</definedName>
    <definedName name="_______________GBS210" localSheetId="0">#REF!</definedName>
    <definedName name="_______________GBS210">#REF!</definedName>
    <definedName name="_______________GBS211" localSheetId="11">NA()</definedName>
    <definedName name="_______________GBS211" localSheetId="12">NA()</definedName>
    <definedName name="_______________GBS211" localSheetId="0">#REF!</definedName>
    <definedName name="_______________GBS211">#REF!</definedName>
    <definedName name="_______________GBS212" localSheetId="11">NA()</definedName>
    <definedName name="_______________GBS212" localSheetId="12">NA()</definedName>
    <definedName name="_______________GBS212" localSheetId="0">#REF!</definedName>
    <definedName name="_______________GBS212">#REF!</definedName>
    <definedName name="_______________GBS213" localSheetId="11">NA()</definedName>
    <definedName name="_______________GBS213" localSheetId="12">NA()</definedName>
    <definedName name="_______________GBS213" localSheetId="0">#REF!</definedName>
    <definedName name="_______________GBS213">#REF!</definedName>
    <definedName name="_______________GBS214" localSheetId="11">NA()</definedName>
    <definedName name="_______________GBS214" localSheetId="12">NA()</definedName>
    <definedName name="_______________GBS214" localSheetId="0">#REF!</definedName>
    <definedName name="_______________GBS214">#REF!</definedName>
    <definedName name="_______________GBS215" localSheetId="11">NA()</definedName>
    <definedName name="_______________GBS215" localSheetId="12">NA()</definedName>
    <definedName name="_______________GBS215" localSheetId="0">#REF!</definedName>
    <definedName name="_______________GBS215">#REF!</definedName>
    <definedName name="_______________GBS216" localSheetId="11">NA()</definedName>
    <definedName name="_______________GBS216" localSheetId="12">NA()</definedName>
    <definedName name="_______________GBS216" localSheetId="0">#REF!</definedName>
    <definedName name="_______________GBS216">#REF!</definedName>
    <definedName name="_______________GBS217" localSheetId="11">NA()</definedName>
    <definedName name="_______________GBS217" localSheetId="12">NA()</definedName>
    <definedName name="_______________GBS217" localSheetId="0">#REF!</definedName>
    <definedName name="_______________GBS217">#REF!</definedName>
    <definedName name="_______________GBS218" localSheetId="11">NA()</definedName>
    <definedName name="_______________GBS218" localSheetId="12">NA()</definedName>
    <definedName name="_______________GBS218" localSheetId="0">#REF!</definedName>
    <definedName name="_______________GBS218">#REF!</definedName>
    <definedName name="_______________GBS219" localSheetId="11">NA()</definedName>
    <definedName name="_______________GBS219" localSheetId="12">NA()</definedName>
    <definedName name="_______________GBS219" localSheetId="0">#REF!</definedName>
    <definedName name="_______________GBS219">#REF!</definedName>
    <definedName name="_______________GBS22" localSheetId="11">NA()</definedName>
    <definedName name="_______________GBS22" localSheetId="12">NA()</definedName>
    <definedName name="_______________GBS22" localSheetId="0">#REF!</definedName>
    <definedName name="_______________GBS22">#REF!</definedName>
    <definedName name="_______________GBS220" localSheetId="11">NA()</definedName>
    <definedName name="_______________GBS220" localSheetId="12">NA()</definedName>
    <definedName name="_______________GBS220" localSheetId="0">#REF!</definedName>
    <definedName name="_______________GBS220">#REF!</definedName>
    <definedName name="_______________GBS221" localSheetId="11">NA()</definedName>
    <definedName name="_______________GBS221" localSheetId="12">NA()</definedName>
    <definedName name="_______________GBS221" localSheetId="0">#REF!</definedName>
    <definedName name="_______________GBS221">#REF!</definedName>
    <definedName name="_______________GBS222" localSheetId="11">NA()</definedName>
    <definedName name="_______________GBS222" localSheetId="12">NA()</definedName>
    <definedName name="_______________GBS222" localSheetId="0">#REF!</definedName>
    <definedName name="_______________GBS222">#REF!</definedName>
    <definedName name="_______________GBS223" localSheetId="11">NA()</definedName>
    <definedName name="_______________GBS223" localSheetId="12">NA()</definedName>
    <definedName name="_______________GBS223" localSheetId="0">#REF!</definedName>
    <definedName name="_______________GBS223">#REF!</definedName>
    <definedName name="_______________GBS224" localSheetId="11">NA()</definedName>
    <definedName name="_______________GBS224" localSheetId="12">NA()</definedName>
    <definedName name="_______________GBS224" localSheetId="0">#REF!</definedName>
    <definedName name="_______________GBS224">#REF!</definedName>
    <definedName name="_______________GBS23" localSheetId="11">NA()</definedName>
    <definedName name="_______________GBS23" localSheetId="12">NA()</definedName>
    <definedName name="_______________GBS23" localSheetId="0">#REF!</definedName>
    <definedName name="_______________GBS23">#REF!</definedName>
    <definedName name="_______________GBS24" localSheetId="11">NA()</definedName>
    <definedName name="_______________GBS24" localSheetId="12">NA()</definedName>
    <definedName name="_______________GBS24" localSheetId="0">#REF!</definedName>
    <definedName name="_______________GBS24">#REF!</definedName>
    <definedName name="_______________GBS25" localSheetId="11">NA()</definedName>
    <definedName name="_______________GBS25" localSheetId="12">NA()</definedName>
    <definedName name="_______________GBS25" localSheetId="0">#REF!</definedName>
    <definedName name="_______________GBS25">#REF!</definedName>
    <definedName name="_______________GBS26" localSheetId="11">NA()</definedName>
    <definedName name="_______________GBS26" localSheetId="12">NA()</definedName>
    <definedName name="_______________GBS26" localSheetId="0">#REF!</definedName>
    <definedName name="_______________GBS26">#REF!</definedName>
    <definedName name="_______________GBS27" localSheetId="11">NA()</definedName>
    <definedName name="_______________GBS27" localSheetId="12">NA()</definedName>
    <definedName name="_______________GBS27" localSheetId="0">#REF!</definedName>
    <definedName name="_______________GBS27">#REF!</definedName>
    <definedName name="_______________GBS28" localSheetId="11">NA()</definedName>
    <definedName name="_______________GBS28" localSheetId="12">NA()</definedName>
    <definedName name="_______________GBS28" localSheetId="0">#REF!</definedName>
    <definedName name="_______________GBS28">#REF!</definedName>
    <definedName name="_______________GBS29" localSheetId="11">NA()</definedName>
    <definedName name="_______________GBS29" localSheetId="12">NA()</definedName>
    <definedName name="_______________GBS29" localSheetId="0">#REF!</definedName>
    <definedName name="_______________GBS29">#REF!</definedName>
    <definedName name="_______________imp1">[11]DATA_PRG!$H$245</definedName>
    <definedName name="_______________knr2" localSheetId="11">NA()</definedName>
    <definedName name="_______________knr2" localSheetId="12">NA()</definedName>
    <definedName name="_______________knr2" localSheetId="0">#REF!</definedName>
    <definedName name="_______________knr2">#REF!</definedName>
    <definedName name="_______________l1">[3]leads!$A$3:$E$108</definedName>
    <definedName name="_______________l12" localSheetId="11">NA()</definedName>
    <definedName name="_______________l12" localSheetId="12">NA()</definedName>
    <definedName name="_______________l12" localSheetId="0">#REF!</definedName>
    <definedName name="_______________l12">#REF!</definedName>
    <definedName name="_______________l2">[2]r!$F$29</definedName>
    <definedName name="_______________l3" localSheetId="11">NA()</definedName>
    <definedName name="_______________l3" localSheetId="12">NA()</definedName>
    <definedName name="_______________l3" localSheetId="0">#REF!</definedName>
    <definedName name="_______________l3">#REF!</definedName>
    <definedName name="_______________l4">[4]Sheet1!$W$2:$Y$103</definedName>
    <definedName name="_______________l5" localSheetId="11">NA()</definedName>
    <definedName name="_______________l5" localSheetId="12">NA()</definedName>
    <definedName name="_______________l5" localSheetId="0">#REF!</definedName>
    <definedName name="_______________l5">#REF!</definedName>
    <definedName name="_______________l6">[2]r!$F$4</definedName>
    <definedName name="_______________l7">[5]r!$F$4</definedName>
    <definedName name="_______________l8">[2]r!$F$2</definedName>
    <definedName name="_______________l9">[2]r!$F$3</definedName>
    <definedName name="_______________LJ6">[9]DATA!$H$245</definedName>
    <definedName name="_______________lj600" localSheetId="11">NA()</definedName>
    <definedName name="_______________lj600" localSheetId="12">NA()</definedName>
    <definedName name="_______________lj600" localSheetId="0">#REF!</definedName>
    <definedName name="_______________lj600">#REF!</definedName>
    <definedName name="_______________lj900" localSheetId="11">NA()</definedName>
    <definedName name="_______________lj900" localSheetId="12">NA()</definedName>
    <definedName name="_______________lj900" localSheetId="0">#REF!</definedName>
    <definedName name="_______________lj900">#REF!</definedName>
    <definedName name="_______________LL3" localSheetId="11">NA()</definedName>
    <definedName name="_______________LL3" localSheetId="12">NA()</definedName>
    <definedName name="_______________LL3" localSheetId="0">#REF!</definedName>
    <definedName name="_______________LL3">#REF!</definedName>
    <definedName name="_______________LSO24" localSheetId="11">"[14]lead!#ref!"</definedName>
    <definedName name="_______________LSO24" localSheetId="12">"[14]lead!#ref!"</definedName>
    <definedName name="_______________LSO24" localSheetId="0">[10]Lead!#REF!</definedName>
    <definedName name="_______________LSO24">[10]Lead!#REF!</definedName>
    <definedName name="_______________MA1" localSheetId="11">NA()</definedName>
    <definedName name="_______________MA1" localSheetId="12">NA()</definedName>
    <definedName name="_______________MA1" localSheetId="0">#REF!</definedName>
    <definedName name="_______________MA1">#REF!</definedName>
    <definedName name="_______________MA2" localSheetId="11">NA()</definedName>
    <definedName name="_______________MA2" localSheetId="12">NA()</definedName>
    <definedName name="_______________MA2" localSheetId="0">#REF!</definedName>
    <definedName name="_______________MA2">#REF!</definedName>
    <definedName name="_______________Met22" localSheetId="11">NA()</definedName>
    <definedName name="_______________Met22" localSheetId="12">NA()</definedName>
    <definedName name="_______________Met22" localSheetId="0">#REF!</definedName>
    <definedName name="_______________Met22">#REF!</definedName>
    <definedName name="_______________Met45" localSheetId="11">NA()</definedName>
    <definedName name="_______________Met45" localSheetId="12">NA()</definedName>
    <definedName name="_______________Met45" localSheetId="0">#REF!</definedName>
    <definedName name="_______________Met45">#REF!</definedName>
    <definedName name="_______________MEt55" localSheetId="11">NA()</definedName>
    <definedName name="_______________MEt55" localSheetId="12">NA()</definedName>
    <definedName name="_______________MEt55" localSheetId="0">#REF!</definedName>
    <definedName name="_______________MEt55">#REF!</definedName>
    <definedName name="_______________Met63" localSheetId="11">NA()</definedName>
    <definedName name="_______________Met63" localSheetId="12">NA()</definedName>
    <definedName name="_______________Met63" localSheetId="0">#REF!</definedName>
    <definedName name="_______________Met63">#REF!</definedName>
    <definedName name="_______________ML21" localSheetId="11">NA()</definedName>
    <definedName name="_______________ML21" localSheetId="12">NA()</definedName>
    <definedName name="_______________ML21" localSheetId="0">#REF!</definedName>
    <definedName name="_______________ML21">#REF!</definedName>
    <definedName name="_______________ML210" localSheetId="11">NA()</definedName>
    <definedName name="_______________ML210" localSheetId="12">NA()</definedName>
    <definedName name="_______________ML210" localSheetId="0">#REF!</definedName>
    <definedName name="_______________ML210">#REF!</definedName>
    <definedName name="_______________ML211" localSheetId="11">NA()</definedName>
    <definedName name="_______________ML211" localSheetId="12">NA()</definedName>
    <definedName name="_______________ML211" localSheetId="0">#REF!</definedName>
    <definedName name="_______________ML211">#REF!</definedName>
    <definedName name="_______________ML212" localSheetId="11">NA()</definedName>
    <definedName name="_______________ML212" localSheetId="12">NA()</definedName>
    <definedName name="_______________ML212" localSheetId="0">#REF!</definedName>
    <definedName name="_______________ML212">#REF!</definedName>
    <definedName name="_______________ML213" localSheetId="11">NA()</definedName>
    <definedName name="_______________ML213" localSheetId="12">NA()</definedName>
    <definedName name="_______________ML213" localSheetId="0">#REF!</definedName>
    <definedName name="_______________ML213">#REF!</definedName>
    <definedName name="_______________ML214" localSheetId="11">NA()</definedName>
    <definedName name="_______________ML214" localSheetId="12">NA()</definedName>
    <definedName name="_______________ML214" localSheetId="0">#REF!</definedName>
    <definedName name="_______________ML214">#REF!</definedName>
    <definedName name="_______________ML215" localSheetId="11">NA()</definedName>
    <definedName name="_______________ML215" localSheetId="12">NA()</definedName>
    <definedName name="_______________ML215" localSheetId="0">#REF!</definedName>
    <definedName name="_______________ML215">#REF!</definedName>
    <definedName name="_______________ML216" localSheetId="11">NA()</definedName>
    <definedName name="_______________ML216" localSheetId="12">NA()</definedName>
    <definedName name="_______________ML216" localSheetId="0">#REF!</definedName>
    <definedName name="_______________ML216">#REF!</definedName>
    <definedName name="_______________ML217" localSheetId="11">NA()</definedName>
    <definedName name="_______________ML217" localSheetId="12">NA()</definedName>
    <definedName name="_______________ML217" localSheetId="0">#REF!</definedName>
    <definedName name="_______________ML217">#REF!</definedName>
    <definedName name="_______________ML218" localSheetId="11">NA()</definedName>
    <definedName name="_______________ML218" localSheetId="12">NA()</definedName>
    <definedName name="_______________ML218" localSheetId="0">#REF!</definedName>
    <definedName name="_______________ML218">#REF!</definedName>
    <definedName name="_______________ML219" localSheetId="11">NA()</definedName>
    <definedName name="_______________ML219" localSheetId="12">NA()</definedName>
    <definedName name="_______________ML219" localSheetId="0">#REF!</definedName>
    <definedName name="_______________ML219">#REF!</definedName>
    <definedName name="_______________ML22" localSheetId="11">NA()</definedName>
    <definedName name="_______________ML22" localSheetId="12">NA()</definedName>
    <definedName name="_______________ML22" localSheetId="0">#REF!</definedName>
    <definedName name="_______________ML22">#REF!</definedName>
    <definedName name="_______________ML220" localSheetId="11">NA()</definedName>
    <definedName name="_______________ML220" localSheetId="12">NA()</definedName>
    <definedName name="_______________ML220" localSheetId="0">#REF!</definedName>
    <definedName name="_______________ML220">#REF!</definedName>
    <definedName name="_______________ML221" localSheetId="11">NA()</definedName>
    <definedName name="_______________ML221" localSheetId="12">NA()</definedName>
    <definedName name="_______________ML221" localSheetId="0">#REF!</definedName>
    <definedName name="_______________ML221">#REF!</definedName>
    <definedName name="_______________ML222" localSheetId="11">NA()</definedName>
    <definedName name="_______________ML222" localSheetId="12">NA()</definedName>
    <definedName name="_______________ML222" localSheetId="0">#REF!</definedName>
    <definedName name="_______________ML222">#REF!</definedName>
    <definedName name="_______________ML223" localSheetId="11">NA()</definedName>
    <definedName name="_______________ML223" localSheetId="12">NA()</definedName>
    <definedName name="_______________ML223" localSheetId="0">#REF!</definedName>
    <definedName name="_______________ML223">#REF!</definedName>
    <definedName name="_______________ML224" localSheetId="11">NA()</definedName>
    <definedName name="_______________ML224" localSheetId="12">NA()</definedName>
    <definedName name="_______________ML224" localSheetId="0">#REF!</definedName>
    <definedName name="_______________ML224">#REF!</definedName>
    <definedName name="_______________ML23" localSheetId="11">NA()</definedName>
    <definedName name="_______________ML23" localSheetId="12">NA()</definedName>
    <definedName name="_______________ML23" localSheetId="0">#REF!</definedName>
    <definedName name="_______________ML23">#REF!</definedName>
    <definedName name="_______________ML24" localSheetId="11">NA()</definedName>
    <definedName name="_______________ML24" localSheetId="12">NA()</definedName>
    <definedName name="_______________ML24" localSheetId="0">#REF!</definedName>
    <definedName name="_______________ML24">#REF!</definedName>
    <definedName name="_______________ML25" localSheetId="11">NA()</definedName>
    <definedName name="_______________ML25" localSheetId="12">NA()</definedName>
    <definedName name="_______________ML25" localSheetId="0">#REF!</definedName>
    <definedName name="_______________ML25">#REF!</definedName>
    <definedName name="_______________ML26" localSheetId="11">NA()</definedName>
    <definedName name="_______________ML26" localSheetId="12">NA()</definedName>
    <definedName name="_______________ML26" localSheetId="0">#REF!</definedName>
    <definedName name="_______________ML26">#REF!</definedName>
    <definedName name="_______________ML27" localSheetId="11">NA()</definedName>
    <definedName name="_______________ML27" localSheetId="12">NA()</definedName>
    <definedName name="_______________ML27" localSheetId="0">#REF!</definedName>
    <definedName name="_______________ML27">#REF!</definedName>
    <definedName name="_______________ML28" localSheetId="11">NA()</definedName>
    <definedName name="_______________ML28" localSheetId="12">NA()</definedName>
    <definedName name="_______________ML28" localSheetId="0">#REF!</definedName>
    <definedName name="_______________ML28">#REF!</definedName>
    <definedName name="_______________ML29" localSheetId="11">NA()</definedName>
    <definedName name="_______________ML29" localSheetId="12">NA()</definedName>
    <definedName name="_______________ML29" localSheetId="0">#REF!</definedName>
    <definedName name="_______________ML29">#REF!</definedName>
    <definedName name="_______________ML31" localSheetId="11">NA()</definedName>
    <definedName name="_______________ML31" localSheetId="12">NA()</definedName>
    <definedName name="_______________ML31" localSheetId="0">#REF!</definedName>
    <definedName name="_______________ML31">#REF!</definedName>
    <definedName name="_______________ML310" localSheetId="11">NA()</definedName>
    <definedName name="_______________ML310" localSheetId="12">NA()</definedName>
    <definedName name="_______________ML310" localSheetId="0">#REF!</definedName>
    <definedName name="_______________ML310">#REF!</definedName>
    <definedName name="_______________ML311" localSheetId="11">NA()</definedName>
    <definedName name="_______________ML311" localSheetId="12">NA()</definedName>
    <definedName name="_______________ML311" localSheetId="0">#REF!</definedName>
    <definedName name="_______________ML311">#REF!</definedName>
    <definedName name="_______________ML312" localSheetId="11">NA()</definedName>
    <definedName name="_______________ML312" localSheetId="12">NA()</definedName>
    <definedName name="_______________ML312" localSheetId="0">#REF!</definedName>
    <definedName name="_______________ML312">#REF!</definedName>
    <definedName name="_______________ML313" localSheetId="11">NA()</definedName>
    <definedName name="_______________ML313" localSheetId="12">NA()</definedName>
    <definedName name="_______________ML313" localSheetId="0">#REF!</definedName>
    <definedName name="_______________ML313">#REF!</definedName>
    <definedName name="_______________ML314" localSheetId="11">NA()</definedName>
    <definedName name="_______________ML314" localSheetId="12">NA()</definedName>
    <definedName name="_______________ML314" localSheetId="0">#REF!</definedName>
    <definedName name="_______________ML314">#REF!</definedName>
    <definedName name="_______________ML315" localSheetId="11">NA()</definedName>
    <definedName name="_______________ML315" localSheetId="12">NA()</definedName>
    <definedName name="_______________ML315" localSheetId="0">#REF!</definedName>
    <definedName name="_______________ML315">#REF!</definedName>
    <definedName name="_______________ML316" localSheetId="11">NA()</definedName>
    <definedName name="_______________ML316" localSheetId="12">NA()</definedName>
    <definedName name="_______________ML316" localSheetId="0">#REF!</definedName>
    <definedName name="_______________ML316">#REF!</definedName>
    <definedName name="_______________ML317" localSheetId="11">NA()</definedName>
    <definedName name="_______________ML317" localSheetId="12">NA()</definedName>
    <definedName name="_______________ML317" localSheetId="0">#REF!</definedName>
    <definedName name="_______________ML317">#REF!</definedName>
    <definedName name="_______________ML318" localSheetId="11">NA()</definedName>
    <definedName name="_______________ML318" localSheetId="12">NA()</definedName>
    <definedName name="_______________ML318" localSheetId="0">#REF!</definedName>
    <definedName name="_______________ML318">#REF!</definedName>
    <definedName name="_______________ML319" localSheetId="11">NA()</definedName>
    <definedName name="_______________ML319" localSheetId="12">NA()</definedName>
    <definedName name="_______________ML319" localSheetId="0">#REF!</definedName>
    <definedName name="_______________ML319">#REF!</definedName>
    <definedName name="_______________ML32" localSheetId="11">NA()</definedName>
    <definedName name="_______________ML32" localSheetId="12">NA()</definedName>
    <definedName name="_______________ML32" localSheetId="0">#REF!</definedName>
    <definedName name="_______________ML32">#REF!</definedName>
    <definedName name="_______________ML320" localSheetId="11">NA()</definedName>
    <definedName name="_______________ML320" localSheetId="12">NA()</definedName>
    <definedName name="_______________ML320" localSheetId="0">#REF!</definedName>
    <definedName name="_______________ML320">#REF!</definedName>
    <definedName name="_______________ML321" localSheetId="11">NA()</definedName>
    <definedName name="_______________ML321" localSheetId="12">NA()</definedName>
    <definedName name="_______________ML321" localSheetId="0">#REF!</definedName>
    <definedName name="_______________ML321">#REF!</definedName>
    <definedName name="_______________ML322" localSheetId="11">NA()</definedName>
    <definedName name="_______________ML322" localSheetId="12">NA()</definedName>
    <definedName name="_______________ML322" localSheetId="0">#REF!</definedName>
    <definedName name="_______________ML322">#REF!</definedName>
    <definedName name="_______________ML323" localSheetId="11">NA()</definedName>
    <definedName name="_______________ML323" localSheetId="12">NA()</definedName>
    <definedName name="_______________ML323" localSheetId="0">#REF!</definedName>
    <definedName name="_______________ML323">#REF!</definedName>
    <definedName name="_______________ML324" localSheetId="11">NA()</definedName>
    <definedName name="_______________ML324" localSheetId="12">NA()</definedName>
    <definedName name="_______________ML324" localSheetId="0">#REF!</definedName>
    <definedName name="_______________ML324">#REF!</definedName>
    <definedName name="_______________ML33" localSheetId="11">NA()</definedName>
    <definedName name="_______________ML33" localSheetId="12">NA()</definedName>
    <definedName name="_______________ML33" localSheetId="0">#REF!</definedName>
    <definedName name="_______________ML33">#REF!</definedName>
    <definedName name="_______________ML34" localSheetId="11">NA()</definedName>
    <definedName name="_______________ML34" localSheetId="12">NA()</definedName>
    <definedName name="_______________ML34" localSheetId="0">#REF!</definedName>
    <definedName name="_______________ML34">#REF!</definedName>
    <definedName name="_______________ML35" localSheetId="11">NA()</definedName>
    <definedName name="_______________ML35" localSheetId="12">NA()</definedName>
    <definedName name="_______________ML35" localSheetId="0">#REF!</definedName>
    <definedName name="_______________ML35">#REF!</definedName>
    <definedName name="_______________ML36" localSheetId="11">NA()</definedName>
    <definedName name="_______________ML36" localSheetId="12">NA()</definedName>
    <definedName name="_______________ML36" localSheetId="0">#REF!</definedName>
    <definedName name="_______________ML36">#REF!</definedName>
    <definedName name="_______________ML37" localSheetId="11">NA()</definedName>
    <definedName name="_______________ML37" localSheetId="12">NA()</definedName>
    <definedName name="_______________ML37" localSheetId="0">#REF!</definedName>
    <definedName name="_______________ML37">#REF!</definedName>
    <definedName name="_______________ML38" localSheetId="11">NA()</definedName>
    <definedName name="_______________ML38" localSheetId="12">NA()</definedName>
    <definedName name="_______________ML38" localSheetId="0">#REF!</definedName>
    <definedName name="_______________ML38">#REF!</definedName>
    <definedName name="_______________ML39" localSheetId="11">NA()</definedName>
    <definedName name="_______________ML39" localSheetId="12">NA()</definedName>
    <definedName name="_______________ML39" localSheetId="0">#REF!</definedName>
    <definedName name="_______________ML39">#REF!</definedName>
    <definedName name="_______________ML7" localSheetId="11">NA()</definedName>
    <definedName name="_______________ML7" localSheetId="12">NA()</definedName>
    <definedName name="_______________ML7" localSheetId="0">#REF!</definedName>
    <definedName name="_______________ML7">#REF!</definedName>
    <definedName name="_______________ML8" localSheetId="11">NA()</definedName>
    <definedName name="_______________ML8" localSheetId="12">NA()</definedName>
    <definedName name="_______________ML8" localSheetId="0">#REF!</definedName>
    <definedName name="_______________ML8">#REF!</definedName>
    <definedName name="_______________ML9" localSheetId="11">NA()</definedName>
    <definedName name="_______________ML9" localSheetId="12">NA()</definedName>
    <definedName name="_______________ML9" localSheetId="0">#REF!</definedName>
    <definedName name="_______________ML9">#REF!</definedName>
    <definedName name="_______________mm1">[6]r!$F$4</definedName>
    <definedName name="_______________mm1000" localSheetId="11">NA()</definedName>
    <definedName name="_______________mm1000" localSheetId="12">NA()</definedName>
    <definedName name="_______________mm1000" localSheetId="0">#REF!</definedName>
    <definedName name="_______________mm1000">#REF!</definedName>
    <definedName name="_______________mm11">[2]r!$F$4</definedName>
    <definedName name="_______________mm111">[5]r!$F$4</definedName>
    <definedName name="_______________mm600" localSheetId="11">NA()</definedName>
    <definedName name="_______________mm600" localSheetId="12">NA()</definedName>
    <definedName name="_______________mm600" localSheetId="0">#REF!</definedName>
    <definedName name="_______________mm600">#REF!</definedName>
    <definedName name="_______________mm800" localSheetId="11">NA()</definedName>
    <definedName name="_______________mm800" localSheetId="12">NA()</definedName>
    <definedName name="_______________mm800" localSheetId="0">#REF!</definedName>
    <definedName name="_______________mm800">#REF!</definedName>
    <definedName name="_______________PC1" localSheetId="11">NA()</definedName>
    <definedName name="_______________PC1" localSheetId="12">NA()</definedName>
    <definedName name="_______________PC1" localSheetId="0">#REF!</definedName>
    <definedName name="_______________PC1">#REF!</definedName>
    <definedName name="_______________PC10" localSheetId="11">NA()</definedName>
    <definedName name="_______________PC10" localSheetId="12">NA()</definedName>
    <definedName name="_______________PC10" localSheetId="0">#REF!</definedName>
    <definedName name="_______________PC10">#REF!</definedName>
    <definedName name="_______________PC11" localSheetId="11">NA()</definedName>
    <definedName name="_______________PC11" localSheetId="12">NA()</definedName>
    <definedName name="_______________PC11" localSheetId="0">#REF!</definedName>
    <definedName name="_______________PC11">#REF!</definedName>
    <definedName name="_______________PC12" localSheetId="11">NA()</definedName>
    <definedName name="_______________PC12" localSheetId="12">NA()</definedName>
    <definedName name="_______________PC12" localSheetId="0">#REF!</definedName>
    <definedName name="_______________PC12">#REF!</definedName>
    <definedName name="_______________PC13" localSheetId="11">NA()</definedName>
    <definedName name="_______________PC13" localSheetId="12">NA()</definedName>
    <definedName name="_______________PC13" localSheetId="0">#REF!</definedName>
    <definedName name="_______________PC13">#REF!</definedName>
    <definedName name="_______________PC14" localSheetId="11">NA()</definedName>
    <definedName name="_______________PC14" localSheetId="12">NA()</definedName>
    <definedName name="_______________PC14" localSheetId="0">#REF!</definedName>
    <definedName name="_______________PC14">#REF!</definedName>
    <definedName name="_______________PC15" localSheetId="11">NA()</definedName>
    <definedName name="_______________PC15" localSheetId="12">NA()</definedName>
    <definedName name="_______________PC15" localSheetId="0">#REF!</definedName>
    <definedName name="_______________PC15">#REF!</definedName>
    <definedName name="_______________PC16" localSheetId="11">NA()</definedName>
    <definedName name="_______________PC16" localSheetId="12">NA()</definedName>
    <definedName name="_______________PC16" localSheetId="0">#REF!</definedName>
    <definedName name="_______________PC16">#REF!</definedName>
    <definedName name="_______________PC17" localSheetId="11">NA()</definedName>
    <definedName name="_______________PC17" localSheetId="12">NA()</definedName>
    <definedName name="_______________PC17" localSheetId="0">#REF!</definedName>
    <definedName name="_______________PC17">#REF!</definedName>
    <definedName name="_______________PC18" localSheetId="11">NA()</definedName>
    <definedName name="_______________PC18" localSheetId="12">NA()</definedName>
    <definedName name="_______________PC18" localSheetId="0">#REF!</definedName>
    <definedName name="_______________PC18">#REF!</definedName>
    <definedName name="_______________PC19" localSheetId="11">NA()</definedName>
    <definedName name="_______________PC19" localSheetId="12">NA()</definedName>
    <definedName name="_______________PC19" localSheetId="0">#REF!</definedName>
    <definedName name="_______________PC19">#REF!</definedName>
    <definedName name="_______________pc2" localSheetId="11">NA()</definedName>
    <definedName name="_______________pc2" localSheetId="12">NA()</definedName>
    <definedName name="_______________pc2" localSheetId="0">#REF!</definedName>
    <definedName name="_______________pc2">#REF!</definedName>
    <definedName name="_______________PC20">NA()</definedName>
    <definedName name="_______________PC21" localSheetId="11">NA()</definedName>
    <definedName name="_______________PC21" localSheetId="12">NA()</definedName>
    <definedName name="_______________PC21" localSheetId="0">#REF!</definedName>
    <definedName name="_______________PC21">#REF!</definedName>
    <definedName name="_______________PC22" localSheetId="11">NA()</definedName>
    <definedName name="_______________PC22" localSheetId="12">NA()</definedName>
    <definedName name="_______________PC22" localSheetId="0">#REF!</definedName>
    <definedName name="_______________PC22">#REF!</definedName>
    <definedName name="_______________PC23" localSheetId="11">NA()</definedName>
    <definedName name="_______________PC23" localSheetId="12">NA()</definedName>
    <definedName name="_______________PC23" localSheetId="0">#REF!</definedName>
    <definedName name="_______________PC23">#REF!</definedName>
    <definedName name="_______________PC24" localSheetId="11">NA()</definedName>
    <definedName name="_______________PC24" localSheetId="12">NA()</definedName>
    <definedName name="_______________PC24" localSheetId="0">#REF!</definedName>
    <definedName name="_______________PC24">#REF!</definedName>
    <definedName name="_______________PC3" localSheetId="11">NA()</definedName>
    <definedName name="_______________PC3" localSheetId="12">NA()</definedName>
    <definedName name="_______________PC3" localSheetId="0">#REF!</definedName>
    <definedName name="_______________PC3">#REF!</definedName>
    <definedName name="_______________PC4" localSheetId="11">NA()</definedName>
    <definedName name="_______________PC4" localSheetId="12">NA()</definedName>
    <definedName name="_______________PC4" localSheetId="0">#REF!</definedName>
    <definedName name="_______________PC4">#REF!</definedName>
    <definedName name="_______________PC5" localSheetId="11">NA()</definedName>
    <definedName name="_______________PC5" localSheetId="12">NA()</definedName>
    <definedName name="_______________PC5" localSheetId="0">#REF!</definedName>
    <definedName name="_______________PC5">#REF!</definedName>
    <definedName name="_______________PC6" localSheetId="11">NA()</definedName>
    <definedName name="_______________PC6" localSheetId="12">NA()</definedName>
    <definedName name="_______________PC6" localSheetId="0">#REF!</definedName>
    <definedName name="_______________PC6">#REF!</definedName>
    <definedName name="_______________pc600" localSheetId="11">NA()</definedName>
    <definedName name="_______________pc600" localSheetId="12">NA()</definedName>
    <definedName name="_______________pc600" localSheetId="0">#REF!</definedName>
    <definedName name="_______________pc600">#REF!</definedName>
    <definedName name="_______________PC7" localSheetId="11">NA()</definedName>
    <definedName name="_______________PC7" localSheetId="12">NA()</definedName>
    <definedName name="_______________PC7" localSheetId="0">#REF!</definedName>
    <definedName name="_______________PC7">#REF!</definedName>
    <definedName name="_______________PC8" localSheetId="11">NA()</definedName>
    <definedName name="_______________PC8" localSheetId="12">NA()</definedName>
    <definedName name="_______________PC8" localSheetId="0">#REF!</definedName>
    <definedName name="_______________PC8">#REF!</definedName>
    <definedName name="_______________PC9" localSheetId="11">NA()</definedName>
    <definedName name="_______________PC9" localSheetId="12">NA()</definedName>
    <definedName name="_______________PC9" localSheetId="0">#REF!</definedName>
    <definedName name="_______________PC9">#REF!</definedName>
    <definedName name="_______________pc900" localSheetId="11">NA()</definedName>
    <definedName name="_______________pc900" localSheetId="12">NA()</definedName>
    <definedName name="_______________pc900" localSheetId="0">#REF!</definedName>
    <definedName name="_______________pc900">#REF!</definedName>
    <definedName name="_______________pla4">[12]DATA_PRG!$H$269</definedName>
    <definedName name="_______________pv2" localSheetId="11">NA()</definedName>
    <definedName name="_______________pv2" localSheetId="12">NA()</definedName>
    <definedName name="_______________pv2" localSheetId="0">#REF!</definedName>
    <definedName name="_______________pv2">#REF!</definedName>
    <definedName name="_______________rr3">[7]v!$A$2:$E$51</definedName>
    <definedName name="_______________rrr1">[7]r!$B$1:$I$145</definedName>
    <definedName name="_______________SP10">[13]Sheet1!$C$18</definedName>
    <definedName name="_______________SP16">[13]Sheet1!$C$24</definedName>
    <definedName name="_______________SP7">[13]Sheet1!$C$15</definedName>
    <definedName name="_______________ss12">[8]rdamdata!$J$8</definedName>
    <definedName name="_______________ss20">[8]rdamdata!$J$7</definedName>
    <definedName name="_______________ss40">[8]rdamdata!$J$6</definedName>
    <definedName name="_______________var1" localSheetId="11">NA()</definedName>
    <definedName name="_______________var1" localSheetId="12">NA()</definedName>
    <definedName name="_______________var1" localSheetId="0">#REF!</definedName>
    <definedName name="_______________var1">#REF!</definedName>
    <definedName name="_______________var4" localSheetId="11">NA()</definedName>
    <definedName name="_______________var4" localSheetId="12">NA()</definedName>
    <definedName name="_______________var4" localSheetId="0">#REF!</definedName>
    <definedName name="_______________var4">#REF!</definedName>
    <definedName name="_______________vat1">NA()</definedName>
    <definedName name="______________bla1">[1]leads!$H$7</definedName>
    <definedName name="______________BSG100" localSheetId="11">NA()</definedName>
    <definedName name="______________BSG100" localSheetId="12">NA()</definedName>
    <definedName name="______________BSG100" localSheetId="0">#REF!</definedName>
    <definedName name="______________BSG100">#REF!</definedName>
    <definedName name="______________BSG150" localSheetId="11">NA()</definedName>
    <definedName name="______________BSG150" localSheetId="12">NA()</definedName>
    <definedName name="______________BSG150" localSheetId="0">#REF!</definedName>
    <definedName name="______________BSG150">#REF!</definedName>
    <definedName name="______________BSG5" localSheetId="11">NA()</definedName>
    <definedName name="______________BSG5" localSheetId="12">NA()</definedName>
    <definedName name="______________BSG5" localSheetId="0">#REF!</definedName>
    <definedName name="______________BSG5">#REF!</definedName>
    <definedName name="______________BSG75" localSheetId="11">NA()</definedName>
    <definedName name="______________BSG75" localSheetId="12">NA()</definedName>
    <definedName name="______________BSG75" localSheetId="0">#REF!</definedName>
    <definedName name="______________BSG75">#REF!</definedName>
    <definedName name="______________BTC1" localSheetId="11">NA()</definedName>
    <definedName name="______________BTC1" localSheetId="12">NA()</definedName>
    <definedName name="______________BTC1" localSheetId="0">#REF!</definedName>
    <definedName name="______________BTC1">#REF!</definedName>
    <definedName name="______________BTC10" localSheetId="11">NA()</definedName>
    <definedName name="______________BTC10" localSheetId="12">NA()</definedName>
    <definedName name="______________BTC10" localSheetId="0">#REF!</definedName>
    <definedName name="______________BTC10">#REF!</definedName>
    <definedName name="______________BTC11" localSheetId="11">NA()</definedName>
    <definedName name="______________BTC11" localSheetId="12">NA()</definedName>
    <definedName name="______________BTC11" localSheetId="0">#REF!</definedName>
    <definedName name="______________BTC11">#REF!</definedName>
    <definedName name="______________BTC12" localSheetId="11">NA()</definedName>
    <definedName name="______________BTC12" localSheetId="12">NA()</definedName>
    <definedName name="______________BTC12" localSheetId="0">#REF!</definedName>
    <definedName name="______________BTC12">#REF!</definedName>
    <definedName name="______________BTC13" localSheetId="11">NA()</definedName>
    <definedName name="______________BTC13" localSheetId="12">NA()</definedName>
    <definedName name="______________BTC13" localSheetId="0">#REF!</definedName>
    <definedName name="______________BTC13">#REF!</definedName>
    <definedName name="______________BTC14" localSheetId="11">NA()</definedName>
    <definedName name="______________BTC14" localSheetId="12">NA()</definedName>
    <definedName name="______________BTC14" localSheetId="0">#REF!</definedName>
    <definedName name="______________BTC14">#REF!</definedName>
    <definedName name="______________BTC15" localSheetId="11">NA()</definedName>
    <definedName name="______________BTC15" localSheetId="12">NA()</definedName>
    <definedName name="______________BTC15" localSheetId="0">#REF!</definedName>
    <definedName name="______________BTC15">#REF!</definedName>
    <definedName name="______________BTC16" localSheetId="11">NA()</definedName>
    <definedName name="______________BTC16" localSheetId="12">NA()</definedName>
    <definedName name="______________BTC16" localSheetId="0">#REF!</definedName>
    <definedName name="______________BTC16">#REF!</definedName>
    <definedName name="______________BTC17" localSheetId="11">NA()</definedName>
    <definedName name="______________BTC17" localSheetId="12">NA()</definedName>
    <definedName name="______________BTC17" localSheetId="0">#REF!</definedName>
    <definedName name="______________BTC17">#REF!</definedName>
    <definedName name="______________BTC18" localSheetId="11">NA()</definedName>
    <definedName name="______________BTC18" localSheetId="12">NA()</definedName>
    <definedName name="______________BTC18" localSheetId="0">#REF!</definedName>
    <definedName name="______________BTC18">#REF!</definedName>
    <definedName name="______________BTC19" localSheetId="11">NA()</definedName>
    <definedName name="______________BTC19" localSheetId="12">NA()</definedName>
    <definedName name="______________BTC19" localSheetId="0">#REF!</definedName>
    <definedName name="______________BTC19">#REF!</definedName>
    <definedName name="______________BTC2" localSheetId="11">NA()</definedName>
    <definedName name="______________BTC2" localSheetId="12">NA()</definedName>
    <definedName name="______________BTC2" localSheetId="0">#REF!</definedName>
    <definedName name="______________BTC2">#REF!</definedName>
    <definedName name="______________BTC20" localSheetId="11">NA()</definedName>
    <definedName name="______________BTC20" localSheetId="12">NA()</definedName>
    <definedName name="______________BTC20" localSheetId="0">#REF!</definedName>
    <definedName name="______________BTC20">#REF!</definedName>
    <definedName name="______________BTC21" localSheetId="11">NA()</definedName>
    <definedName name="______________BTC21" localSheetId="12">NA()</definedName>
    <definedName name="______________BTC21" localSheetId="0">#REF!</definedName>
    <definedName name="______________BTC21">#REF!</definedName>
    <definedName name="______________BTC22" localSheetId="11">NA()</definedName>
    <definedName name="______________BTC22" localSheetId="12">NA()</definedName>
    <definedName name="______________BTC22" localSheetId="0">#REF!</definedName>
    <definedName name="______________BTC22">#REF!</definedName>
    <definedName name="______________BTC23" localSheetId="11">NA()</definedName>
    <definedName name="______________BTC23" localSheetId="12">NA()</definedName>
    <definedName name="______________BTC23" localSheetId="0">#REF!</definedName>
    <definedName name="______________BTC23">#REF!</definedName>
    <definedName name="______________BTC24" localSheetId="11">NA()</definedName>
    <definedName name="______________BTC24" localSheetId="12">NA()</definedName>
    <definedName name="______________BTC24" localSheetId="0">#REF!</definedName>
    <definedName name="______________BTC24">#REF!</definedName>
    <definedName name="______________BTC3" localSheetId="11">NA()</definedName>
    <definedName name="______________BTC3" localSheetId="12">NA()</definedName>
    <definedName name="______________BTC3" localSheetId="0">#REF!</definedName>
    <definedName name="______________BTC3">#REF!</definedName>
    <definedName name="______________BTC4" localSheetId="11">NA()</definedName>
    <definedName name="______________BTC4" localSheetId="12">NA()</definedName>
    <definedName name="______________BTC4" localSheetId="0">#REF!</definedName>
    <definedName name="______________BTC4">#REF!</definedName>
    <definedName name="______________BTC5" localSheetId="11">NA()</definedName>
    <definedName name="______________BTC5" localSheetId="12">NA()</definedName>
    <definedName name="______________BTC5" localSheetId="0">#REF!</definedName>
    <definedName name="______________BTC5">#REF!</definedName>
    <definedName name="______________BTC6" localSheetId="11">NA()</definedName>
    <definedName name="______________BTC6" localSheetId="12">NA()</definedName>
    <definedName name="______________BTC6" localSheetId="0">#REF!</definedName>
    <definedName name="______________BTC6">#REF!</definedName>
    <definedName name="______________BTC7" localSheetId="11">NA()</definedName>
    <definedName name="______________BTC7" localSheetId="12">NA()</definedName>
    <definedName name="______________BTC7" localSheetId="0">#REF!</definedName>
    <definedName name="______________BTC7">#REF!</definedName>
    <definedName name="______________BTC8" localSheetId="11">NA()</definedName>
    <definedName name="______________BTC8" localSheetId="12">NA()</definedName>
    <definedName name="______________BTC8" localSheetId="0">#REF!</definedName>
    <definedName name="______________BTC8">#REF!</definedName>
    <definedName name="______________BTC9" localSheetId="11">NA()</definedName>
    <definedName name="______________BTC9" localSheetId="12">NA()</definedName>
    <definedName name="______________BTC9" localSheetId="0">#REF!</definedName>
    <definedName name="______________BTC9">#REF!</definedName>
    <definedName name="______________BTR1" localSheetId="11">NA()</definedName>
    <definedName name="______________BTR1" localSheetId="12">NA()</definedName>
    <definedName name="______________BTR1" localSheetId="0">#REF!</definedName>
    <definedName name="______________BTR1">#REF!</definedName>
    <definedName name="______________BTR10" localSheetId="11">NA()</definedName>
    <definedName name="______________BTR10" localSheetId="12">NA()</definedName>
    <definedName name="______________BTR10" localSheetId="0">#REF!</definedName>
    <definedName name="______________BTR10">#REF!</definedName>
    <definedName name="______________BTR11" localSheetId="11">NA()</definedName>
    <definedName name="______________BTR11" localSheetId="12">NA()</definedName>
    <definedName name="______________BTR11" localSheetId="0">#REF!</definedName>
    <definedName name="______________BTR11">#REF!</definedName>
    <definedName name="______________BTR12" localSheetId="11">NA()</definedName>
    <definedName name="______________BTR12" localSheetId="12">NA()</definedName>
    <definedName name="______________BTR12" localSheetId="0">#REF!</definedName>
    <definedName name="______________BTR12">#REF!</definedName>
    <definedName name="______________BTR13" localSheetId="11">NA()</definedName>
    <definedName name="______________BTR13" localSheetId="12">NA()</definedName>
    <definedName name="______________BTR13" localSheetId="0">#REF!</definedName>
    <definedName name="______________BTR13">#REF!</definedName>
    <definedName name="______________BTR14" localSheetId="11">NA()</definedName>
    <definedName name="______________BTR14" localSheetId="12">NA()</definedName>
    <definedName name="______________BTR14" localSheetId="0">#REF!</definedName>
    <definedName name="______________BTR14">#REF!</definedName>
    <definedName name="______________BTR15" localSheetId="11">NA()</definedName>
    <definedName name="______________BTR15" localSheetId="12">NA()</definedName>
    <definedName name="______________BTR15" localSheetId="0">#REF!</definedName>
    <definedName name="______________BTR15">#REF!</definedName>
    <definedName name="______________BTR16" localSheetId="11">NA()</definedName>
    <definedName name="______________BTR16" localSheetId="12">NA()</definedName>
    <definedName name="______________BTR16" localSheetId="0">#REF!</definedName>
    <definedName name="______________BTR16">#REF!</definedName>
    <definedName name="______________BTR17" localSheetId="11">NA()</definedName>
    <definedName name="______________BTR17" localSheetId="12">NA()</definedName>
    <definedName name="______________BTR17" localSheetId="0">#REF!</definedName>
    <definedName name="______________BTR17">#REF!</definedName>
    <definedName name="______________BTR18" localSheetId="11">NA()</definedName>
    <definedName name="______________BTR18" localSheetId="12">NA()</definedName>
    <definedName name="______________BTR18" localSheetId="0">#REF!</definedName>
    <definedName name="______________BTR18">#REF!</definedName>
    <definedName name="______________BTR19" localSheetId="11">NA()</definedName>
    <definedName name="______________BTR19" localSheetId="12">NA()</definedName>
    <definedName name="______________BTR19" localSheetId="0">#REF!</definedName>
    <definedName name="______________BTR19">#REF!</definedName>
    <definedName name="______________BTR2" localSheetId="11">NA()</definedName>
    <definedName name="______________BTR2" localSheetId="12">NA()</definedName>
    <definedName name="______________BTR2" localSheetId="0">#REF!</definedName>
    <definedName name="______________BTR2">#REF!</definedName>
    <definedName name="______________BTR20" localSheetId="11">NA()</definedName>
    <definedName name="______________BTR20" localSheetId="12">NA()</definedName>
    <definedName name="______________BTR20" localSheetId="0">#REF!</definedName>
    <definedName name="______________BTR20">#REF!</definedName>
    <definedName name="______________BTR21" localSheetId="11">NA()</definedName>
    <definedName name="______________BTR21" localSheetId="12">NA()</definedName>
    <definedName name="______________BTR21" localSheetId="0">#REF!</definedName>
    <definedName name="______________BTR21">#REF!</definedName>
    <definedName name="______________BTR22" localSheetId="11">NA()</definedName>
    <definedName name="______________BTR22" localSheetId="12">NA()</definedName>
    <definedName name="______________BTR22" localSheetId="0">#REF!</definedName>
    <definedName name="______________BTR22">#REF!</definedName>
    <definedName name="______________BTR23" localSheetId="11">NA()</definedName>
    <definedName name="______________BTR23" localSheetId="12">NA()</definedName>
    <definedName name="______________BTR23" localSheetId="0">#REF!</definedName>
    <definedName name="______________BTR23">#REF!</definedName>
    <definedName name="______________BTR24" localSheetId="11">NA()</definedName>
    <definedName name="______________BTR24" localSheetId="12">NA()</definedName>
    <definedName name="______________BTR24" localSheetId="0">#REF!</definedName>
    <definedName name="______________BTR24">#REF!</definedName>
    <definedName name="______________BTR3" localSheetId="11">NA()</definedName>
    <definedName name="______________BTR3" localSheetId="12">NA()</definedName>
    <definedName name="______________BTR3" localSheetId="0">#REF!</definedName>
    <definedName name="______________BTR3">#REF!</definedName>
    <definedName name="______________BTR4" localSheetId="11">NA()</definedName>
    <definedName name="______________BTR4" localSheetId="12">NA()</definedName>
    <definedName name="______________BTR4" localSheetId="0">#REF!</definedName>
    <definedName name="______________BTR4">#REF!</definedName>
    <definedName name="______________BTR5" localSheetId="11">NA()</definedName>
    <definedName name="______________BTR5" localSheetId="12">NA()</definedName>
    <definedName name="______________BTR5" localSheetId="0">#REF!</definedName>
    <definedName name="______________BTR5">#REF!</definedName>
    <definedName name="______________BTR6" localSheetId="11">NA()</definedName>
    <definedName name="______________BTR6" localSheetId="12">NA()</definedName>
    <definedName name="______________BTR6" localSheetId="0">#REF!</definedName>
    <definedName name="______________BTR6">#REF!</definedName>
    <definedName name="______________BTR7" localSheetId="11">NA()</definedName>
    <definedName name="______________BTR7" localSheetId="12">NA()</definedName>
    <definedName name="______________BTR7" localSheetId="0">#REF!</definedName>
    <definedName name="______________BTR7">#REF!</definedName>
    <definedName name="______________BTR8" localSheetId="11">NA()</definedName>
    <definedName name="______________BTR8" localSheetId="12">NA()</definedName>
    <definedName name="______________BTR8" localSheetId="0">#REF!</definedName>
    <definedName name="______________BTR8">#REF!</definedName>
    <definedName name="______________BTR9" localSheetId="11">NA()</definedName>
    <definedName name="______________BTR9" localSheetId="12">NA()</definedName>
    <definedName name="______________BTR9" localSheetId="0">#REF!</definedName>
    <definedName name="______________BTR9">#REF!</definedName>
    <definedName name="______________BTS1" localSheetId="11">NA()</definedName>
    <definedName name="______________BTS1" localSheetId="12">NA()</definedName>
    <definedName name="______________BTS1" localSheetId="0">#REF!</definedName>
    <definedName name="______________BTS1">#REF!</definedName>
    <definedName name="______________BTS10" localSheetId="11">NA()</definedName>
    <definedName name="______________BTS10" localSheetId="12">NA()</definedName>
    <definedName name="______________BTS10" localSheetId="0">#REF!</definedName>
    <definedName name="______________BTS10">#REF!</definedName>
    <definedName name="______________BTS11" localSheetId="11">NA()</definedName>
    <definedName name="______________BTS11" localSheetId="12">NA()</definedName>
    <definedName name="______________BTS11" localSheetId="0">#REF!</definedName>
    <definedName name="______________BTS11">#REF!</definedName>
    <definedName name="______________BTS12" localSheetId="11">NA()</definedName>
    <definedName name="______________BTS12" localSheetId="12">NA()</definedName>
    <definedName name="______________BTS12" localSheetId="0">#REF!</definedName>
    <definedName name="______________BTS12">#REF!</definedName>
    <definedName name="______________BTS13" localSheetId="11">NA()</definedName>
    <definedName name="______________BTS13" localSheetId="12">NA()</definedName>
    <definedName name="______________BTS13" localSheetId="0">#REF!</definedName>
    <definedName name="______________BTS13">#REF!</definedName>
    <definedName name="______________BTS14" localSheetId="11">NA()</definedName>
    <definedName name="______________BTS14" localSheetId="12">NA()</definedName>
    <definedName name="______________BTS14" localSheetId="0">#REF!</definedName>
    <definedName name="______________BTS14">#REF!</definedName>
    <definedName name="______________BTS15" localSheetId="11">NA()</definedName>
    <definedName name="______________BTS15" localSheetId="12">NA()</definedName>
    <definedName name="______________BTS15" localSheetId="0">#REF!</definedName>
    <definedName name="______________BTS15">#REF!</definedName>
    <definedName name="______________BTS16" localSheetId="11">NA()</definedName>
    <definedName name="______________BTS16" localSheetId="12">NA()</definedName>
    <definedName name="______________BTS16" localSheetId="0">#REF!</definedName>
    <definedName name="______________BTS16">#REF!</definedName>
    <definedName name="______________BTS17" localSheetId="11">NA()</definedName>
    <definedName name="______________BTS17" localSheetId="12">NA()</definedName>
    <definedName name="______________BTS17" localSheetId="0">#REF!</definedName>
    <definedName name="______________BTS17">#REF!</definedName>
    <definedName name="______________BTS18" localSheetId="11">NA()</definedName>
    <definedName name="______________BTS18" localSheetId="12">NA()</definedName>
    <definedName name="______________BTS18" localSheetId="0">#REF!</definedName>
    <definedName name="______________BTS18">#REF!</definedName>
    <definedName name="______________BTS19" localSheetId="11">NA()</definedName>
    <definedName name="______________BTS19" localSheetId="12">NA()</definedName>
    <definedName name="______________BTS19" localSheetId="0">#REF!</definedName>
    <definedName name="______________BTS19">#REF!</definedName>
    <definedName name="______________BTS2" localSheetId="11">NA()</definedName>
    <definedName name="______________BTS2" localSheetId="12">NA()</definedName>
    <definedName name="______________BTS2" localSheetId="0">#REF!</definedName>
    <definedName name="______________BTS2">#REF!</definedName>
    <definedName name="______________BTS20" localSheetId="11">NA()</definedName>
    <definedName name="______________BTS20" localSheetId="12">NA()</definedName>
    <definedName name="______________BTS20" localSheetId="0">#REF!</definedName>
    <definedName name="______________BTS20">#REF!</definedName>
    <definedName name="______________BTS21" localSheetId="11">NA()</definedName>
    <definedName name="______________BTS21" localSheetId="12">NA()</definedName>
    <definedName name="______________BTS21" localSheetId="0">#REF!</definedName>
    <definedName name="______________BTS21">#REF!</definedName>
    <definedName name="______________BTS22" localSheetId="11">NA()</definedName>
    <definedName name="______________BTS22" localSheetId="12">NA()</definedName>
    <definedName name="______________BTS22" localSheetId="0">#REF!</definedName>
    <definedName name="______________BTS22">#REF!</definedName>
    <definedName name="______________BTS23" localSheetId="11">NA()</definedName>
    <definedName name="______________BTS23" localSheetId="12">NA()</definedName>
    <definedName name="______________BTS23" localSheetId="0">#REF!</definedName>
    <definedName name="______________BTS23">#REF!</definedName>
    <definedName name="______________BTS24" localSheetId="11">NA()</definedName>
    <definedName name="______________BTS24" localSheetId="12">NA()</definedName>
    <definedName name="______________BTS24" localSheetId="0">#REF!</definedName>
    <definedName name="______________BTS24">#REF!</definedName>
    <definedName name="______________BTS3" localSheetId="11">NA()</definedName>
    <definedName name="______________BTS3" localSheetId="12">NA()</definedName>
    <definedName name="______________BTS3" localSheetId="0">#REF!</definedName>
    <definedName name="______________BTS3">#REF!</definedName>
    <definedName name="______________BTS4" localSheetId="11">NA()</definedName>
    <definedName name="______________BTS4" localSheetId="12">NA()</definedName>
    <definedName name="______________BTS4" localSheetId="0">#REF!</definedName>
    <definedName name="______________BTS4">#REF!</definedName>
    <definedName name="______________BTS5" localSheetId="11">NA()</definedName>
    <definedName name="______________BTS5" localSheetId="12">NA()</definedName>
    <definedName name="______________BTS5" localSheetId="0">#REF!</definedName>
    <definedName name="______________BTS5">#REF!</definedName>
    <definedName name="______________BTS6" localSheetId="11">NA()</definedName>
    <definedName name="______________BTS6" localSheetId="12">NA()</definedName>
    <definedName name="______________BTS6" localSheetId="0">#REF!</definedName>
    <definedName name="______________BTS6">#REF!</definedName>
    <definedName name="______________BTS7" localSheetId="11">NA()</definedName>
    <definedName name="______________BTS7" localSheetId="12">NA()</definedName>
    <definedName name="______________BTS7" localSheetId="0">#REF!</definedName>
    <definedName name="______________BTS7">#REF!</definedName>
    <definedName name="______________BTS8" localSheetId="11">NA()</definedName>
    <definedName name="______________BTS8" localSheetId="12">NA()</definedName>
    <definedName name="______________BTS8" localSheetId="0">#REF!</definedName>
    <definedName name="______________BTS8">#REF!</definedName>
    <definedName name="______________BTS9" localSheetId="11">NA()</definedName>
    <definedName name="______________BTS9" localSheetId="12">NA()</definedName>
    <definedName name="______________BTS9" localSheetId="0">#REF!</definedName>
    <definedName name="______________BTS9">#REF!</definedName>
    <definedName name="______________can430">40.73</definedName>
    <definedName name="______________can435">43.3</definedName>
    <definedName name="______________CCW1">[9]DATA!$H$67</definedName>
    <definedName name="______________CCW2">[9]DATA!$H$97</definedName>
    <definedName name="______________cur1">[2]r!$F$30</definedName>
    <definedName name="______________G120907" localSheetId="11">"[21]data!#ref!"</definedName>
    <definedName name="______________G120907" localSheetId="12">"[21]data!#ref!"</definedName>
    <definedName name="______________G120907" localSheetId="0">[16]Data!#REF!</definedName>
    <definedName name="______________G120907">[16]Data!#REF!</definedName>
    <definedName name="______________GBS11">NA()</definedName>
    <definedName name="______________GBS110" localSheetId="11">NA()</definedName>
    <definedName name="______________GBS110" localSheetId="12">NA()</definedName>
    <definedName name="______________GBS110" localSheetId="0">#REF!</definedName>
    <definedName name="______________GBS110">#REF!</definedName>
    <definedName name="______________GBS111" localSheetId="11">NA()</definedName>
    <definedName name="______________GBS111" localSheetId="12">NA()</definedName>
    <definedName name="______________GBS111" localSheetId="0">#REF!</definedName>
    <definedName name="______________GBS111">#REF!</definedName>
    <definedName name="______________GBS112" localSheetId="11">NA()</definedName>
    <definedName name="______________GBS112" localSheetId="12">NA()</definedName>
    <definedName name="______________GBS112" localSheetId="0">#REF!</definedName>
    <definedName name="______________GBS112">#REF!</definedName>
    <definedName name="______________GBS113" localSheetId="11">NA()</definedName>
    <definedName name="______________GBS113" localSheetId="12">NA()</definedName>
    <definedName name="______________GBS113" localSheetId="0">#REF!</definedName>
    <definedName name="______________GBS113">#REF!</definedName>
    <definedName name="______________GBS114" localSheetId="11">NA()</definedName>
    <definedName name="______________GBS114" localSheetId="12">NA()</definedName>
    <definedName name="______________GBS114" localSheetId="0">#REF!</definedName>
    <definedName name="______________GBS114">#REF!</definedName>
    <definedName name="______________GBS115" localSheetId="11">NA()</definedName>
    <definedName name="______________GBS115" localSheetId="12">NA()</definedName>
    <definedName name="______________GBS115" localSheetId="0">#REF!</definedName>
    <definedName name="______________GBS115">#REF!</definedName>
    <definedName name="______________GBS116" localSheetId="11">NA()</definedName>
    <definedName name="______________GBS116" localSheetId="12">NA()</definedName>
    <definedName name="______________GBS116" localSheetId="0">#REF!</definedName>
    <definedName name="______________GBS116">#REF!</definedName>
    <definedName name="______________GBS117" localSheetId="11">NA()</definedName>
    <definedName name="______________GBS117" localSheetId="12">NA()</definedName>
    <definedName name="______________GBS117" localSheetId="0">#REF!</definedName>
    <definedName name="______________GBS117">#REF!</definedName>
    <definedName name="______________GBS118" localSheetId="11">NA()</definedName>
    <definedName name="______________GBS118" localSheetId="12">NA()</definedName>
    <definedName name="______________GBS118" localSheetId="0">#REF!</definedName>
    <definedName name="______________GBS118">#REF!</definedName>
    <definedName name="______________GBS119" localSheetId="11">NA()</definedName>
    <definedName name="______________GBS119" localSheetId="12">NA()</definedName>
    <definedName name="______________GBS119" localSheetId="0">#REF!</definedName>
    <definedName name="______________GBS119">#REF!</definedName>
    <definedName name="______________GBS12" localSheetId="11">NA()</definedName>
    <definedName name="______________GBS12" localSheetId="12">NA()</definedName>
    <definedName name="______________GBS12" localSheetId="0">#REF!</definedName>
    <definedName name="______________GBS12">#REF!</definedName>
    <definedName name="______________GBS120" localSheetId="11">NA()</definedName>
    <definedName name="______________GBS120" localSheetId="12">NA()</definedName>
    <definedName name="______________GBS120" localSheetId="0">#REF!</definedName>
    <definedName name="______________GBS120">#REF!</definedName>
    <definedName name="______________GBS121" localSheetId="11">NA()</definedName>
    <definedName name="______________GBS121" localSheetId="12">NA()</definedName>
    <definedName name="______________GBS121" localSheetId="0">#REF!</definedName>
    <definedName name="______________GBS121">#REF!</definedName>
    <definedName name="______________GBS122" localSheetId="11">NA()</definedName>
    <definedName name="______________GBS122" localSheetId="12">NA()</definedName>
    <definedName name="______________GBS122" localSheetId="0">#REF!</definedName>
    <definedName name="______________GBS122">#REF!</definedName>
    <definedName name="______________GBS123" localSheetId="11">NA()</definedName>
    <definedName name="______________GBS123" localSheetId="12">NA()</definedName>
    <definedName name="______________GBS123" localSheetId="0">#REF!</definedName>
    <definedName name="______________GBS123">#REF!</definedName>
    <definedName name="______________GBS124" localSheetId="11">NA()</definedName>
    <definedName name="______________GBS124" localSheetId="12">NA()</definedName>
    <definedName name="______________GBS124" localSheetId="0">#REF!</definedName>
    <definedName name="______________GBS124">#REF!</definedName>
    <definedName name="______________GBS13" localSheetId="11">NA()</definedName>
    <definedName name="______________GBS13" localSheetId="12">NA()</definedName>
    <definedName name="______________GBS13" localSheetId="0">#REF!</definedName>
    <definedName name="______________GBS13">#REF!</definedName>
    <definedName name="______________GBS14" localSheetId="11">NA()</definedName>
    <definedName name="______________GBS14" localSheetId="12">NA()</definedName>
    <definedName name="______________GBS14" localSheetId="0">#REF!</definedName>
    <definedName name="______________GBS14">#REF!</definedName>
    <definedName name="______________GBS15" localSheetId="11">NA()</definedName>
    <definedName name="______________GBS15" localSheetId="12">NA()</definedName>
    <definedName name="______________GBS15" localSheetId="0">#REF!</definedName>
    <definedName name="______________GBS15">#REF!</definedName>
    <definedName name="______________GBS16" localSheetId="11">NA()</definedName>
    <definedName name="______________GBS16" localSheetId="12">NA()</definedName>
    <definedName name="______________GBS16" localSheetId="0">#REF!</definedName>
    <definedName name="______________GBS16">#REF!</definedName>
    <definedName name="______________GBS17" localSheetId="11">NA()</definedName>
    <definedName name="______________GBS17" localSheetId="12">NA()</definedName>
    <definedName name="______________GBS17" localSheetId="0">#REF!</definedName>
    <definedName name="______________GBS17">#REF!</definedName>
    <definedName name="______________GBS18" localSheetId="11">NA()</definedName>
    <definedName name="______________GBS18" localSheetId="12">NA()</definedName>
    <definedName name="______________GBS18" localSheetId="0">#REF!</definedName>
    <definedName name="______________GBS18">#REF!</definedName>
    <definedName name="______________GBS19" localSheetId="11">NA()</definedName>
    <definedName name="______________GBS19" localSheetId="12">NA()</definedName>
    <definedName name="______________GBS19" localSheetId="0">#REF!</definedName>
    <definedName name="______________GBS19">#REF!</definedName>
    <definedName name="______________GBS21" localSheetId="11">NA()</definedName>
    <definedName name="______________GBS21" localSheetId="12">NA()</definedName>
    <definedName name="______________GBS21" localSheetId="0">#REF!</definedName>
    <definedName name="______________GBS21">#REF!</definedName>
    <definedName name="______________GBS210" localSheetId="11">NA()</definedName>
    <definedName name="______________GBS210" localSheetId="12">NA()</definedName>
    <definedName name="______________GBS210" localSheetId="0">#REF!</definedName>
    <definedName name="______________GBS210">#REF!</definedName>
    <definedName name="______________GBS211" localSheetId="11">NA()</definedName>
    <definedName name="______________GBS211" localSheetId="12">NA()</definedName>
    <definedName name="______________GBS211" localSheetId="0">#REF!</definedName>
    <definedName name="______________GBS211">#REF!</definedName>
    <definedName name="______________GBS212" localSheetId="11">NA()</definedName>
    <definedName name="______________GBS212" localSheetId="12">NA()</definedName>
    <definedName name="______________GBS212" localSheetId="0">#REF!</definedName>
    <definedName name="______________GBS212">#REF!</definedName>
    <definedName name="______________GBS213" localSheetId="11">NA()</definedName>
    <definedName name="______________GBS213" localSheetId="12">NA()</definedName>
    <definedName name="______________GBS213" localSheetId="0">#REF!</definedName>
    <definedName name="______________GBS213">#REF!</definedName>
    <definedName name="______________GBS214" localSheetId="11">NA()</definedName>
    <definedName name="______________GBS214" localSheetId="12">NA()</definedName>
    <definedName name="______________GBS214" localSheetId="0">#REF!</definedName>
    <definedName name="______________GBS214">#REF!</definedName>
    <definedName name="______________GBS215" localSheetId="11">NA()</definedName>
    <definedName name="______________GBS215" localSheetId="12">NA()</definedName>
    <definedName name="______________GBS215" localSheetId="0">#REF!</definedName>
    <definedName name="______________GBS215">#REF!</definedName>
    <definedName name="______________GBS216" localSheetId="11">NA()</definedName>
    <definedName name="______________GBS216" localSheetId="12">NA()</definedName>
    <definedName name="______________GBS216" localSheetId="0">#REF!</definedName>
    <definedName name="______________GBS216">#REF!</definedName>
    <definedName name="______________GBS217" localSheetId="11">NA()</definedName>
    <definedName name="______________GBS217" localSheetId="12">NA()</definedName>
    <definedName name="______________GBS217" localSheetId="0">#REF!</definedName>
    <definedName name="______________GBS217">#REF!</definedName>
    <definedName name="______________GBS218" localSheetId="11">NA()</definedName>
    <definedName name="______________GBS218" localSheetId="12">NA()</definedName>
    <definedName name="______________GBS218" localSheetId="0">#REF!</definedName>
    <definedName name="______________GBS218">#REF!</definedName>
    <definedName name="______________GBS219" localSheetId="11">NA()</definedName>
    <definedName name="______________GBS219" localSheetId="12">NA()</definedName>
    <definedName name="______________GBS219" localSheetId="0">#REF!</definedName>
    <definedName name="______________GBS219">#REF!</definedName>
    <definedName name="______________GBS22" localSheetId="11">NA()</definedName>
    <definedName name="______________GBS22" localSheetId="12">NA()</definedName>
    <definedName name="______________GBS22" localSheetId="0">#REF!</definedName>
    <definedName name="______________GBS22">#REF!</definedName>
    <definedName name="______________GBS220" localSheetId="11">NA()</definedName>
    <definedName name="______________GBS220" localSheetId="12">NA()</definedName>
    <definedName name="______________GBS220" localSheetId="0">#REF!</definedName>
    <definedName name="______________GBS220">#REF!</definedName>
    <definedName name="______________GBS221" localSheetId="11">NA()</definedName>
    <definedName name="______________GBS221" localSheetId="12">NA()</definedName>
    <definedName name="______________GBS221" localSheetId="0">#REF!</definedName>
    <definedName name="______________GBS221">#REF!</definedName>
    <definedName name="______________GBS222" localSheetId="11">NA()</definedName>
    <definedName name="______________GBS222" localSheetId="12">NA()</definedName>
    <definedName name="______________GBS222" localSheetId="0">#REF!</definedName>
    <definedName name="______________GBS222">#REF!</definedName>
    <definedName name="______________GBS223" localSheetId="11">NA()</definedName>
    <definedName name="______________GBS223" localSheetId="12">NA()</definedName>
    <definedName name="______________GBS223" localSheetId="0">#REF!</definedName>
    <definedName name="______________GBS223">#REF!</definedName>
    <definedName name="______________GBS224" localSheetId="11">NA()</definedName>
    <definedName name="______________GBS224" localSheetId="12">NA()</definedName>
    <definedName name="______________GBS224" localSheetId="0">#REF!</definedName>
    <definedName name="______________GBS224">#REF!</definedName>
    <definedName name="______________GBS23" localSheetId="11">NA()</definedName>
    <definedName name="______________GBS23" localSheetId="12">NA()</definedName>
    <definedName name="______________GBS23" localSheetId="0">#REF!</definedName>
    <definedName name="______________GBS23">#REF!</definedName>
    <definedName name="______________GBS24" localSheetId="11">NA()</definedName>
    <definedName name="______________GBS24" localSheetId="12">NA()</definedName>
    <definedName name="______________GBS24" localSheetId="0">#REF!</definedName>
    <definedName name="______________GBS24">#REF!</definedName>
    <definedName name="______________GBS25" localSheetId="11">NA()</definedName>
    <definedName name="______________GBS25" localSheetId="12">NA()</definedName>
    <definedName name="______________GBS25" localSheetId="0">#REF!</definedName>
    <definedName name="______________GBS25">#REF!</definedName>
    <definedName name="______________GBS26" localSheetId="11">NA()</definedName>
    <definedName name="______________GBS26" localSheetId="12">NA()</definedName>
    <definedName name="______________GBS26" localSheetId="0">#REF!</definedName>
    <definedName name="______________GBS26">#REF!</definedName>
    <definedName name="______________GBS27" localSheetId="11">NA()</definedName>
    <definedName name="______________GBS27" localSheetId="12">NA()</definedName>
    <definedName name="______________GBS27" localSheetId="0">#REF!</definedName>
    <definedName name="______________GBS27">#REF!</definedName>
    <definedName name="______________GBS28" localSheetId="11">NA()</definedName>
    <definedName name="______________GBS28" localSheetId="12">NA()</definedName>
    <definedName name="______________GBS28" localSheetId="0">#REF!</definedName>
    <definedName name="______________GBS28">#REF!</definedName>
    <definedName name="______________GBS29" localSheetId="11">NA()</definedName>
    <definedName name="______________GBS29" localSheetId="12">NA()</definedName>
    <definedName name="______________GBS29" localSheetId="0">#REF!</definedName>
    <definedName name="______________GBS29">#REF!</definedName>
    <definedName name="______________imp1">[11]DATA_PRG!$H$245</definedName>
    <definedName name="______________knr2" localSheetId="11">NA()</definedName>
    <definedName name="______________knr2" localSheetId="12">NA()</definedName>
    <definedName name="______________knr2" localSheetId="0">#REF!</definedName>
    <definedName name="______________knr2">#REF!</definedName>
    <definedName name="______________l1">[3]leads!$A$3:$E$108</definedName>
    <definedName name="______________l12" localSheetId="11">NA()</definedName>
    <definedName name="______________l12" localSheetId="12">NA()</definedName>
    <definedName name="______________l12" localSheetId="0">#REF!</definedName>
    <definedName name="______________l12">#REF!</definedName>
    <definedName name="______________l2">[2]r!$F$29</definedName>
    <definedName name="______________l3" localSheetId="11">NA()</definedName>
    <definedName name="______________l3" localSheetId="12">NA()</definedName>
    <definedName name="______________l3" localSheetId="0">#REF!</definedName>
    <definedName name="______________l3">#REF!</definedName>
    <definedName name="______________l4">[4]Sheet1!$W$2:$Y$103</definedName>
    <definedName name="______________l5" localSheetId="11">NA()</definedName>
    <definedName name="______________l5" localSheetId="12">NA()</definedName>
    <definedName name="______________l5" localSheetId="0">#REF!</definedName>
    <definedName name="______________l5">#REF!</definedName>
    <definedName name="______________l6">[2]r!$F$4</definedName>
    <definedName name="______________l7">[5]r!$F$4</definedName>
    <definedName name="______________l8">[2]r!$F$2</definedName>
    <definedName name="______________l9">[2]r!$F$3</definedName>
    <definedName name="______________LJ6">[9]DATA!$H$245</definedName>
    <definedName name="______________lj600" localSheetId="11">NA()</definedName>
    <definedName name="______________lj600" localSheetId="12">NA()</definedName>
    <definedName name="______________lj600" localSheetId="0">#REF!</definedName>
    <definedName name="______________lj600">#REF!</definedName>
    <definedName name="______________lj900" localSheetId="11">NA()</definedName>
    <definedName name="______________lj900" localSheetId="12">NA()</definedName>
    <definedName name="______________lj900" localSheetId="0">#REF!</definedName>
    <definedName name="______________lj900">#REF!</definedName>
    <definedName name="______________LL3" localSheetId="11">NA()</definedName>
    <definedName name="______________LL3" localSheetId="12">NA()</definedName>
    <definedName name="______________LL3" localSheetId="0">#REF!</definedName>
    <definedName name="______________LL3">#REF!</definedName>
    <definedName name="______________LSO24" localSheetId="11">"[14]lead!#ref!"</definedName>
    <definedName name="______________LSO24" localSheetId="12">"[14]lead!#ref!"</definedName>
    <definedName name="______________LSO24" localSheetId="0">[10]Lead!#REF!</definedName>
    <definedName name="______________LSO24">[10]Lead!#REF!</definedName>
    <definedName name="______________MA1" localSheetId="11">NA()</definedName>
    <definedName name="______________MA1" localSheetId="12">NA()</definedName>
    <definedName name="______________MA1" localSheetId="0">#REF!</definedName>
    <definedName name="______________MA1">#REF!</definedName>
    <definedName name="______________MA2" localSheetId="11">NA()</definedName>
    <definedName name="______________MA2" localSheetId="12">NA()</definedName>
    <definedName name="______________MA2" localSheetId="0">#REF!</definedName>
    <definedName name="______________MA2">#REF!</definedName>
    <definedName name="______________me12">NA()</definedName>
    <definedName name="______________Met22" localSheetId="11">NA()</definedName>
    <definedName name="______________Met22" localSheetId="12">NA()</definedName>
    <definedName name="______________Met22" localSheetId="0">#REF!</definedName>
    <definedName name="______________Met22">#REF!</definedName>
    <definedName name="______________Met45" localSheetId="11">NA()</definedName>
    <definedName name="______________Met45" localSheetId="12">NA()</definedName>
    <definedName name="______________Met45" localSheetId="0">#REF!</definedName>
    <definedName name="______________Met45">#REF!</definedName>
    <definedName name="______________MEt55" localSheetId="11">NA()</definedName>
    <definedName name="______________MEt55" localSheetId="12">NA()</definedName>
    <definedName name="______________MEt55" localSheetId="0">#REF!</definedName>
    <definedName name="______________MEt55">#REF!</definedName>
    <definedName name="______________Met63" localSheetId="11">NA()</definedName>
    <definedName name="______________Met63" localSheetId="12">NA()</definedName>
    <definedName name="______________Met63" localSheetId="0">#REF!</definedName>
    <definedName name="______________Met63">#REF!</definedName>
    <definedName name="______________ML21" localSheetId="11">NA()</definedName>
    <definedName name="______________ML21" localSheetId="12">NA()</definedName>
    <definedName name="______________ML21" localSheetId="0">#REF!</definedName>
    <definedName name="______________ML21">#REF!</definedName>
    <definedName name="______________ML210" localSheetId="11">NA()</definedName>
    <definedName name="______________ML210" localSheetId="12">NA()</definedName>
    <definedName name="______________ML210" localSheetId="0">#REF!</definedName>
    <definedName name="______________ML210">#REF!</definedName>
    <definedName name="______________ML211" localSheetId="11">NA()</definedName>
    <definedName name="______________ML211" localSheetId="12">NA()</definedName>
    <definedName name="______________ML211" localSheetId="0">#REF!</definedName>
    <definedName name="______________ML211">#REF!</definedName>
    <definedName name="______________ML212" localSheetId="11">NA()</definedName>
    <definedName name="______________ML212" localSheetId="12">NA()</definedName>
    <definedName name="______________ML212" localSheetId="0">#REF!</definedName>
    <definedName name="______________ML212">#REF!</definedName>
    <definedName name="______________ML213" localSheetId="11">NA()</definedName>
    <definedName name="______________ML213" localSheetId="12">NA()</definedName>
    <definedName name="______________ML213" localSheetId="0">#REF!</definedName>
    <definedName name="______________ML213">#REF!</definedName>
    <definedName name="______________ML214" localSheetId="11">NA()</definedName>
    <definedName name="______________ML214" localSheetId="12">NA()</definedName>
    <definedName name="______________ML214" localSheetId="0">#REF!</definedName>
    <definedName name="______________ML214">#REF!</definedName>
    <definedName name="______________ML215" localSheetId="11">NA()</definedName>
    <definedName name="______________ML215" localSheetId="12">NA()</definedName>
    <definedName name="______________ML215" localSheetId="0">#REF!</definedName>
    <definedName name="______________ML215">#REF!</definedName>
    <definedName name="______________ML216" localSheetId="11">NA()</definedName>
    <definedName name="______________ML216" localSheetId="12">NA()</definedName>
    <definedName name="______________ML216" localSheetId="0">#REF!</definedName>
    <definedName name="______________ML216">#REF!</definedName>
    <definedName name="______________ML217" localSheetId="11">NA()</definedName>
    <definedName name="______________ML217" localSheetId="12">NA()</definedName>
    <definedName name="______________ML217" localSheetId="0">#REF!</definedName>
    <definedName name="______________ML217">#REF!</definedName>
    <definedName name="______________ML218" localSheetId="11">NA()</definedName>
    <definedName name="______________ML218" localSheetId="12">NA()</definedName>
    <definedName name="______________ML218" localSheetId="0">#REF!</definedName>
    <definedName name="______________ML218">#REF!</definedName>
    <definedName name="______________ML219" localSheetId="11">NA()</definedName>
    <definedName name="______________ML219" localSheetId="12">NA()</definedName>
    <definedName name="______________ML219" localSheetId="0">#REF!</definedName>
    <definedName name="______________ML219">#REF!</definedName>
    <definedName name="______________ML22" localSheetId="11">NA()</definedName>
    <definedName name="______________ML22" localSheetId="12">NA()</definedName>
    <definedName name="______________ML22" localSheetId="0">#REF!</definedName>
    <definedName name="______________ML22">#REF!</definedName>
    <definedName name="______________ML220" localSheetId="11">NA()</definedName>
    <definedName name="______________ML220" localSheetId="12">NA()</definedName>
    <definedName name="______________ML220" localSheetId="0">#REF!</definedName>
    <definedName name="______________ML220">#REF!</definedName>
    <definedName name="______________ML221" localSheetId="11">NA()</definedName>
    <definedName name="______________ML221" localSheetId="12">NA()</definedName>
    <definedName name="______________ML221" localSheetId="0">#REF!</definedName>
    <definedName name="______________ML221">#REF!</definedName>
    <definedName name="______________ML222" localSheetId="11">NA()</definedName>
    <definedName name="______________ML222" localSheetId="12">NA()</definedName>
    <definedName name="______________ML222" localSheetId="0">#REF!</definedName>
    <definedName name="______________ML222">#REF!</definedName>
    <definedName name="______________ML223" localSheetId="11">NA()</definedName>
    <definedName name="______________ML223" localSheetId="12">NA()</definedName>
    <definedName name="______________ML223" localSheetId="0">#REF!</definedName>
    <definedName name="______________ML223">#REF!</definedName>
    <definedName name="______________ML224" localSheetId="11">NA()</definedName>
    <definedName name="______________ML224" localSheetId="12">NA()</definedName>
    <definedName name="______________ML224" localSheetId="0">#REF!</definedName>
    <definedName name="______________ML224">#REF!</definedName>
    <definedName name="______________ML23" localSheetId="11">NA()</definedName>
    <definedName name="______________ML23" localSheetId="12">NA()</definedName>
    <definedName name="______________ML23" localSheetId="0">#REF!</definedName>
    <definedName name="______________ML23">#REF!</definedName>
    <definedName name="______________ML24" localSheetId="11">NA()</definedName>
    <definedName name="______________ML24" localSheetId="12">NA()</definedName>
    <definedName name="______________ML24" localSheetId="0">#REF!</definedName>
    <definedName name="______________ML24">#REF!</definedName>
    <definedName name="______________ML25" localSheetId="11">NA()</definedName>
    <definedName name="______________ML25" localSheetId="12">NA()</definedName>
    <definedName name="______________ML25" localSheetId="0">#REF!</definedName>
    <definedName name="______________ML25">#REF!</definedName>
    <definedName name="______________ML26" localSheetId="11">NA()</definedName>
    <definedName name="______________ML26" localSheetId="12">NA()</definedName>
    <definedName name="______________ML26" localSheetId="0">#REF!</definedName>
    <definedName name="______________ML26">#REF!</definedName>
    <definedName name="______________ML27" localSheetId="11">NA()</definedName>
    <definedName name="______________ML27" localSheetId="12">NA()</definedName>
    <definedName name="______________ML27" localSheetId="0">#REF!</definedName>
    <definedName name="______________ML27">#REF!</definedName>
    <definedName name="______________ML28" localSheetId="11">NA()</definedName>
    <definedName name="______________ML28" localSheetId="12">NA()</definedName>
    <definedName name="______________ML28" localSheetId="0">#REF!</definedName>
    <definedName name="______________ML28">#REF!</definedName>
    <definedName name="______________ML29" localSheetId="11">NA()</definedName>
    <definedName name="______________ML29" localSheetId="12">NA()</definedName>
    <definedName name="______________ML29" localSheetId="0">#REF!</definedName>
    <definedName name="______________ML29">#REF!</definedName>
    <definedName name="______________ML31" localSheetId="11">NA()</definedName>
    <definedName name="______________ML31" localSheetId="12">NA()</definedName>
    <definedName name="______________ML31" localSheetId="0">#REF!</definedName>
    <definedName name="______________ML31">#REF!</definedName>
    <definedName name="______________ML310" localSheetId="11">NA()</definedName>
    <definedName name="______________ML310" localSheetId="12">NA()</definedName>
    <definedName name="______________ML310" localSheetId="0">#REF!</definedName>
    <definedName name="______________ML310">#REF!</definedName>
    <definedName name="______________ML311" localSheetId="11">NA()</definedName>
    <definedName name="______________ML311" localSheetId="12">NA()</definedName>
    <definedName name="______________ML311" localSheetId="0">#REF!</definedName>
    <definedName name="______________ML311">#REF!</definedName>
    <definedName name="______________ML312" localSheetId="11">NA()</definedName>
    <definedName name="______________ML312" localSheetId="12">NA()</definedName>
    <definedName name="______________ML312" localSheetId="0">#REF!</definedName>
    <definedName name="______________ML312">#REF!</definedName>
    <definedName name="______________ML313" localSheetId="11">NA()</definedName>
    <definedName name="______________ML313" localSheetId="12">NA()</definedName>
    <definedName name="______________ML313" localSheetId="0">#REF!</definedName>
    <definedName name="______________ML313">#REF!</definedName>
    <definedName name="______________ML314" localSheetId="11">NA()</definedName>
    <definedName name="______________ML314" localSheetId="12">NA()</definedName>
    <definedName name="______________ML314" localSheetId="0">#REF!</definedName>
    <definedName name="______________ML314">#REF!</definedName>
    <definedName name="______________ML315" localSheetId="11">NA()</definedName>
    <definedName name="______________ML315" localSheetId="12">NA()</definedName>
    <definedName name="______________ML315" localSheetId="0">#REF!</definedName>
    <definedName name="______________ML315">#REF!</definedName>
    <definedName name="______________ML316" localSheetId="11">NA()</definedName>
    <definedName name="______________ML316" localSheetId="12">NA()</definedName>
    <definedName name="______________ML316" localSheetId="0">#REF!</definedName>
    <definedName name="______________ML316">#REF!</definedName>
    <definedName name="______________ML317" localSheetId="11">NA()</definedName>
    <definedName name="______________ML317" localSheetId="12">NA()</definedName>
    <definedName name="______________ML317" localSheetId="0">#REF!</definedName>
    <definedName name="______________ML317">#REF!</definedName>
    <definedName name="______________ML318" localSheetId="11">NA()</definedName>
    <definedName name="______________ML318" localSheetId="12">NA()</definedName>
    <definedName name="______________ML318" localSheetId="0">#REF!</definedName>
    <definedName name="______________ML318">#REF!</definedName>
    <definedName name="______________ML319" localSheetId="11">NA()</definedName>
    <definedName name="______________ML319" localSheetId="12">NA()</definedName>
    <definedName name="______________ML319" localSheetId="0">#REF!</definedName>
    <definedName name="______________ML319">#REF!</definedName>
    <definedName name="______________ML32" localSheetId="11">NA()</definedName>
    <definedName name="______________ML32" localSheetId="12">NA()</definedName>
    <definedName name="______________ML32" localSheetId="0">#REF!</definedName>
    <definedName name="______________ML32">#REF!</definedName>
    <definedName name="______________ML320" localSheetId="11">NA()</definedName>
    <definedName name="______________ML320" localSheetId="12">NA()</definedName>
    <definedName name="______________ML320" localSheetId="0">#REF!</definedName>
    <definedName name="______________ML320">#REF!</definedName>
    <definedName name="______________ML321" localSheetId="11">NA()</definedName>
    <definedName name="______________ML321" localSheetId="12">NA()</definedName>
    <definedName name="______________ML321" localSheetId="0">#REF!</definedName>
    <definedName name="______________ML321">#REF!</definedName>
    <definedName name="______________ML322" localSheetId="11">NA()</definedName>
    <definedName name="______________ML322" localSheetId="12">NA()</definedName>
    <definedName name="______________ML322" localSheetId="0">#REF!</definedName>
    <definedName name="______________ML322">#REF!</definedName>
    <definedName name="______________ML323" localSheetId="11">NA()</definedName>
    <definedName name="______________ML323" localSheetId="12">NA()</definedName>
    <definedName name="______________ML323" localSheetId="0">#REF!</definedName>
    <definedName name="______________ML323">#REF!</definedName>
    <definedName name="______________ML324" localSheetId="11">NA()</definedName>
    <definedName name="______________ML324" localSheetId="12">NA()</definedName>
    <definedName name="______________ML324" localSheetId="0">#REF!</definedName>
    <definedName name="______________ML324">#REF!</definedName>
    <definedName name="______________ML33" localSheetId="11">NA()</definedName>
    <definedName name="______________ML33" localSheetId="12">NA()</definedName>
    <definedName name="______________ML33" localSheetId="0">#REF!</definedName>
    <definedName name="______________ML33">#REF!</definedName>
    <definedName name="______________ML34" localSheetId="11">NA()</definedName>
    <definedName name="______________ML34" localSheetId="12">NA()</definedName>
    <definedName name="______________ML34" localSheetId="0">#REF!</definedName>
    <definedName name="______________ML34">#REF!</definedName>
    <definedName name="______________ML35" localSheetId="11">NA()</definedName>
    <definedName name="______________ML35" localSheetId="12">NA()</definedName>
    <definedName name="______________ML35" localSheetId="0">#REF!</definedName>
    <definedName name="______________ML35">#REF!</definedName>
    <definedName name="______________ML36" localSheetId="11">NA()</definedName>
    <definedName name="______________ML36" localSheetId="12">NA()</definedName>
    <definedName name="______________ML36" localSheetId="0">#REF!</definedName>
    <definedName name="______________ML36">#REF!</definedName>
    <definedName name="______________ML37" localSheetId="11">NA()</definedName>
    <definedName name="______________ML37" localSheetId="12">NA()</definedName>
    <definedName name="______________ML37" localSheetId="0">#REF!</definedName>
    <definedName name="______________ML37">#REF!</definedName>
    <definedName name="______________ML38" localSheetId="11">NA()</definedName>
    <definedName name="______________ML38" localSheetId="12">NA()</definedName>
    <definedName name="______________ML38" localSheetId="0">#REF!</definedName>
    <definedName name="______________ML38">#REF!</definedName>
    <definedName name="______________ML39" localSheetId="11">NA()</definedName>
    <definedName name="______________ML39" localSheetId="12">NA()</definedName>
    <definedName name="______________ML39" localSheetId="0">#REF!</definedName>
    <definedName name="______________ML39">#REF!</definedName>
    <definedName name="______________ML7" localSheetId="11">NA()</definedName>
    <definedName name="______________ML7" localSheetId="12">NA()</definedName>
    <definedName name="______________ML7" localSheetId="0">#REF!</definedName>
    <definedName name="______________ML7">#REF!</definedName>
    <definedName name="______________ML8" localSheetId="11">NA()</definedName>
    <definedName name="______________ML8" localSheetId="12">NA()</definedName>
    <definedName name="______________ML8" localSheetId="0">#REF!</definedName>
    <definedName name="______________ML8">#REF!</definedName>
    <definedName name="______________ML9" localSheetId="11">NA()</definedName>
    <definedName name="______________ML9" localSheetId="12">NA()</definedName>
    <definedName name="______________ML9" localSheetId="0">#REF!</definedName>
    <definedName name="______________ML9">#REF!</definedName>
    <definedName name="______________mm1">[6]r!$F$4</definedName>
    <definedName name="______________mm1000" localSheetId="11">NA()</definedName>
    <definedName name="______________mm1000" localSheetId="12">NA()</definedName>
    <definedName name="______________mm1000" localSheetId="0">#REF!</definedName>
    <definedName name="______________mm1000">#REF!</definedName>
    <definedName name="______________mm11">[2]r!$F$4</definedName>
    <definedName name="______________mm111">[5]r!$F$4</definedName>
    <definedName name="______________mm600" localSheetId="11">NA()</definedName>
    <definedName name="______________mm600" localSheetId="12">NA()</definedName>
    <definedName name="______________mm600" localSheetId="0">#REF!</definedName>
    <definedName name="______________mm600">#REF!</definedName>
    <definedName name="______________mm800" localSheetId="11">NA()</definedName>
    <definedName name="______________mm800" localSheetId="12">NA()</definedName>
    <definedName name="______________mm800" localSheetId="0">#REF!</definedName>
    <definedName name="______________mm800">#REF!</definedName>
    <definedName name="______________PC1" localSheetId="11">NA()</definedName>
    <definedName name="______________PC1" localSheetId="12">NA()</definedName>
    <definedName name="______________PC1" localSheetId="0">#REF!</definedName>
    <definedName name="______________PC1">#REF!</definedName>
    <definedName name="______________PC10" localSheetId="11">NA()</definedName>
    <definedName name="______________PC10" localSheetId="12">NA()</definedName>
    <definedName name="______________PC10" localSheetId="0">#REF!</definedName>
    <definedName name="______________PC10">#REF!</definedName>
    <definedName name="______________PC11" localSheetId="11">NA()</definedName>
    <definedName name="______________PC11" localSheetId="12">NA()</definedName>
    <definedName name="______________PC11" localSheetId="0">#REF!</definedName>
    <definedName name="______________PC11">#REF!</definedName>
    <definedName name="______________PC12" localSheetId="11">NA()</definedName>
    <definedName name="______________PC12" localSheetId="12">NA()</definedName>
    <definedName name="______________PC12" localSheetId="0">#REF!</definedName>
    <definedName name="______________PC12">#REF!</definedName>
    <definedName name="______________PC13" localSheetId="11">NA()</definedName>
    <definedName name="______________PC13" localSheetId="12">NA()</definedName>
    <definedName name="______________PC13" localSheetId="0">#REF!</definedName>
    <definedName name="______________PC13">#REF!</definedName>
    <definedName name="______________PC14" localSheetId="11">NA()</definedName>
    <definedName name="______________PC14" localSheetId="12">NA()</definedName>
    <definedName name="______________PC14" localSheetId="0">#REF!</definedName>
    <definedName name="______________PC14">#REF!</definedName>
    <definedName name="______________PC15" localSheetId="11">NA()</definedName>
    <definedName name="______________PC15" localSheetId="12">NA()</definedName>
    <definedName name="______________PC15" localSheetId="0">#REF!</definedName>
    <definedName name="______________PC15">#REF!</definedName>
    <definedName name="______________PC16" localSheetId="11">NA()</definedName>
    <definedName name="______________PC16" localSheetId="12">NA()</definedName>
    <definedName name="______________PC16" localSheetId="0">#REF!</definedName>
    <definedName name="______________PC16">#REF!</definedName>
    <definedName name="______________PC17" localSheetId="11">NA()</definedName>
    <definedName name="______________PC17" localSheetId="12">NA()</definedName>
    <definedName name="______________PC17" localSheetId="0">#REF!</definedName>
    <definedName name="______________PC17">#REF!</definedName>
    <definedName name="______________PC18" localSheetId="11">NA()</definedName>
    <definedName name="______________PC18" localSheetId="12">NA()</definedName>
    <definedName name="______________PC18" localSheetId="0">#REF!</definedName>
    <definedName name="______________PC18">#REF!</definedName>
    <definedName name="______________PC19" localSheetId="11">NA()</definedName>
    <definedName name="______________PC19" localSheetId="12">NA()</definedName>
    <definedName name="______________PC19" localSheetId="0">#REF!</definedName>
    <definedName name="______________PC19">#REF!</definedName>
    <definedName name="______________pc2" localSheetId="11">NA()</definedName>
    <definedName name="______________pc2" localSheetId="12">NA()</definedName>
    <definedName name="______________pc2" localSheetId="0">#REF!</definedName>
    <definedName name="______________pc2">#REF!</definedName>
    <definedName name="______________PC20">NA()</definedName>
    <definedName name="______________PC21" localSheetId="11">NA()</definedName>
    <definedName name="______________PC21" localSheetId="12">NA()</definedName>
    <definedName name="______________PC21" localSheetId="0">#REF!</definedName>
    <definedName name="______________PC21">#REF!</definedName>
    <definedName name="______________PC22" localSheetId="11">NA()</definedName>
    <definedName name="______________PC22" localSheetId="12">NA()</definedName>
    <definedName name="______________PC22" localSheetId="0">#REF!</definedName>
    <definedName name="______________PC22">#REF!</definedName>
    <definedName name="______________PC23" localSheetId="11">NA()</definedName>
    <definedName name="______________PC23" localSheetId="12">NA()</definedName>
    <definedName name="______________PC23" localSheetId="0">#REF!</definedName>
    <definedName name="______________PC23">#REF!</definedName>
    <definedName name="______________PC24" localSheetId="11">NA()</definedName>
    <definedName name="______________PC24" localSheetId="12">NA()</definedName>
    <definedName name="______________PC24" localSheetId="0">#REF!</definedName>
    <definedName name="______________PC24">#REF!</definedName>
    <definedName name="______________PC3" localSheetId="11">NA()</definedName>
    <definedName name="______________PC3" localSheetId="12">NA()</definedName>
    <definedName name="______________PC3" localSheetId="0">#REF!</definedName>
    <definedName name="______________PC3">#REF!</definedName>
    <definedName name="______________PC4" localSheetId="11">NA()</definedName>
    <definedName name="______________PC4" localSheetId="12">NA()</definedName>
    <definedName name="______________PC4" localSheetId="0">#REF!</definedName>
    <definedName name="______________PC4">#REF!</definedName>
    <definedName name="______________PC5" localSheetId="11">NA()</definedName>
    <definedName name="______________PC5" localSheetId="12">NA()</definedName>
    <definedName name="______________PC5" localSheetId="0">#REF!</definedName>
    <definedName name="______________PC5">#REF!</definedName>
    <definedName name="______________PC6" localSheetId="11">NA()</definedName>
    <definedName name="______________PC6" localSheetId="12">NA()</definedName>
    <definedName name="______________PC6" localSheetId="0">#REF!</definedName>
    <definedName name="______________PC6">#REF!</definedName>
    <definedName name="______________pc600" localSheetId="11">NA()</definedName>
    <definedName name="______________pc600" localSheetId="12">NA()</definedName>
    <definedName name="______________pc600" localSheetId="0">#REF!</definedName>
    <definedName name="______________pc600">#REF!</definedName>
    <definedName name="______________PC7" localSheetId="11">NA()</definedName>
    <definedName name="______________PC7" localSheetId="12">NA()</definedName>
    <definedName name="______________PC7" localSheetId="0">#REF!</definedName>
    <definedName name="______________PC7">#REF!</definedName>
    <definedName name="______________PC8" localSheetId="11">NA()</definedName>
    <definedName name="______________PC8" localSheetId="12">NA()</definedName>
    <definedName name="______________PC8" localSheetId="0">#REF!</definedName>
    <definedName name="______________PC8">#REF!</definedName>
    <definedName name="______________PC9" localSheetId="11">NA()</definedName>
    <definedName name="______________PC9" localSheetId="12">NA()</definedName>
    <definedName name="______________PC9" localSheetId="0">#REF!</definedName>
    <definedName name="______________PC9">#REF!</definedName>
    <definedName name="______________pc900" localSheetId="11">NA()</definedName>
    <definedName name="______________pc900" localSheetId="12">NA()</definedName>
    <definedName name="______________pc900" localSheetId="0">#REF!</definedName>
    <definedName name="______________pc900">#REF!</definedName>
    <definedName name="______________pla4">[12]DATA_PRG!$H$269</definedName>
    <definedName name="______________pv2" localSheetId="11">NA()</definedName>
    <definedName name="______________pv2" localSheetId="12">NA()</definedName>
    <definedName name="______________pv2" localSheetId="0">#REF!</definedName>
    <definedName name="______________pv2">#REF!</definedName>
    <definedName name="______________rr3">[7]v!$A$2:$E$51</definedName>
    <definedName name="______________rrr1">[7]r!$B$1:$I$145</definedName>
    <definedName name="______________SP10">[13]Sheet1!$C$18</definedName>
    <definedName name="______________SP16">[13]Sheet1!$C$24</definedName>
    <definedName name="______________SP7">[13]Sheet1!$C$15</definedName>
    <definedName name="______________ss12">[8]rdamdata!$J$8</definedName>
    <definedName name="______________ss20">[8]rdamdata!$J$7</definedName>
    <definedName name="______________ss40">[8]rdamdata!$J$6</definedName>
    <definedName name="______________var1" localSheetId="11">NA()</definedName>
    <definedName name="______________var1" localSheetId="12">NA()</definedName>
    <definedName name="______________var1" localSheetId="0">#REF!</definedName>
    <definedName name="______________var1">#REF!</definedName>
    <definedName name="______________var4" localSheetId="11">NA()</definedName>
    <definedName name="______________var4" localSheetId="12">NA()</definedName>
    <definedName name="______________var4" localSheetId="0">#REF!</definedName>
    <definedName name="______________var4">#REF!</definedName>
    <definedName name="______________vat1">NA()</definedName>
    <definedName name="_____________bla1">[1]leads!$H$7</definedName>
    <definedName name="_____________BSG100" localSheetId="11">NA()</definedName>
    <definedName name="_____________BSG100" localSheetId="12">NA()</definedName>
    <definedName name="_____________BSG100" localSheetId="0">#REF!</definedName>
    <definedName name="_____________BSG100">#REF!</definedName>
    <definedName name="_____________BSG150" localSheetId="11">NA()</definedName>
    <definedName name="_____________BSG150" localSheetId="12">NA()</definedName>
    <definedName name="_____________BSG150" localSheetId="0">#REF!</definedName>
    <definedName name="_____________BSG150">#REF!</definedName>
    <definedName name="_____________BSG5" localSheetId="11">NA()</definedName>
    <definedName name="_____________BSG5" localSheetId="12">NA()</definedName>
    <definedName name="_____________BSG5" localSheetId="0">#REF!</definedName>
    <definedName name="_____________BSG5">#REF!</definedName>
    <definedName name="_____________BSG75" localSheetId="11">NA()</definedName>
    <definedName name="_____________BSG75" localSheetId="12">NA()</definedName>
    <definedName name="_____________BSG75" localSheetId="0">#REF!</definedName>
    <definedName name="_____________BSG75">#REF!</definedName>
    <definedName name="_____________BTC1" localSheetId="11">NA()</definedName>
    <definedName name="_____________BTC1" localSheetId="12">NA()</definedName>
    <definedName name="_____________BTC1" localSheetId="0">#REF!</definedName>
    <definedName name="_____________BTC1">#REF!</definedName>
    <definedName name="_____________BTC10" localSheetId="11">NA()</definedName>
    <definedName name="_____________BTC10" localSheetId="12">NA()</definedName>
    <definedName name="_____________BTC10" localSheetId="0">#REF!</definedName>
    <definedName name="_____________BTC10">#REF!</definedName>
    <definedName name="_____________BTC11" localSheetId="11">NA()</definedName>
    <definedName name="_____________BTC11" localSheetId="12">NA()</definedName>
    <definedName name="_____________BTC11" localSheetId="0">#REF!</definedName>
    <definedName name="_____________BTC11">#REF!</definedName>
    <definedName name="_____________BTC12" localSheetId="11">NA()</definedName>
    <definedName name="_____________BTC12" localSheetId="12">NA()</definedName>
    <definedName name="_____________BTC12" localSheetId="0">#REF!</definedName>
    <definedName name="_____________BTC12">#REF!</definedName>
    <definedName name="_____________BTC13" localSheetId="11">NA()</definedName>
    <definedName name="_____________BTC13" localSheetId="12">NA()</definedName>
    <definedName name="_____________BTC13" localSheetId="0">#REF!</definedName>
    <definedName name="_____________BTC13">#REF!</definedName>
    <definedName name="_____________BTC14" localSheetId="11">NA()</definedName>
    <definedName name="_____________BTC14" localSheetId="12">NA()</definedName>
    <definedName name="_____________BTC14" localSheetId="0">#REF!</definedName>
    <definedName name="_____________BTC14">#REF!</definedName>
    <definedName name="_____________BTC15" localSheetId="11">NA()</definedName>
    <definedName name="_____________BTC15" localSheetId="12">NA()</definedName>
    <definedName name="_____________BTC15" localSheetId="0">#REF!</definedName>
    <definedName name="_____________BTC15">#REF!</definedName>
    <definedName name="_____________BTC16" localSheetId="11">NA()</definedName>
    <definedName name="_____________BTC16" localSheetId="12">NA()</definedName>
    <definedName name="_____________BTC16" localSheetId="0">#REF!</definedName>
    <definedName name="_____________BTC16">#REF!</definedName>
    <definedName name="_____________BTC17" localSheetId="11">NA()</definedName>
    <definedName name="_____________BTC17" localSheetId="12">NA()</definedName>
    <definedName name="_____________BTC17" localSheetId="0">#REF!</definedName>
    <definedName name="_____________BTC17">#REF!</definedName>
    <definedName name="_____________BTC18" localSheetId="11">NA()</definedName>
    <definedName name="_____________BTC18" localSheetId="12">NA()</definedName>
    <definedName name="_____________BTC18" localSheetId="0">#REF!</definedName>
    <definedName name="_____________BTC18">#REF!</definedName>
    <definedName name="_____________BTC19" localSheetId="11">NA()</definedName>
    <definedName name="_____________BTC19" localSheetId="12">NA()</definedName>
    <definedName name="_____________BTC19" localSheetId="0">#REF!</definedName>
    <definedName name="_____________BTC19">#REF!</definedName>
    <definedName name="_____________BTC2" localSheetId="11">NA()</definedName>
    <definedName name="_____________BTC2" localSheetId="12">NA()</definedName>
    <definedName name="_____________BTC2" localSheetId="0">#REF!</definedName>
    <definedName name="_____________BTC2">#REF!</definedName>
    <definedName name="_____________BTC20" localSheetId="11">NA()</definedName>
    <definedName name="_____________BTC20" localSheetId="12">NA()</definedName>
    <definedName name="_____________BTC20" localSheetId="0">#REF!</definedName>
    <definedName name="_____________BTC20">#REF!</definedName>
    <definedName name="_____________BTC21" localSheetId="11">NA()</definedName>
    <definedName name="_____________BTC21" localSheetId="12">NA()</definedName>
    <definedName name="_____________BTC21" localSheetId="0">#REF!</definedName>
    <definedName name="_____________BTC21">#REF!</definedName>
    <definedName name="_____________BTC22" localSheetId="11">NA()</definedName>
    <definedName name="_____________BTC22" localSheetId="12">NA()</definedName>
    <definedName name="_____________BTC22" localSheetId="0">#REF!</definedName>
    <definedName name="_____________BTC22">#REF!</definedName>
    <definedName name="_____________BTC23" localSheetId="11">NA()</definedName>
    <definedName name="_____________BTC23" localSheetId="12">NA()</definedName>
    <definedName name="_____________BTC23" localSheetId="0">#REF!</definedName>
    <definedName name="_____________BTC23">#REF!</definedName>
    <definedName name="_____________BTC24" localSheetId="11">NA()</definedName>
    <definedName name="_____________BTC24" localSheetId="12">NA()</definedName>
    <definedName name="_____________BTC24" localSheetId="0">#REF!</definedName>
    <definedName name="_____________BTC24">#REF!</definedName>
    <definedName name="_____________BTC3" localSheetId="11">NA()</definedName>
    <definedName name="_____________BTC3" localSheetId="12">NA()</definedName>
    <definedName name="_____________BTC3" localSheetId="0">#REF!</definedName>
    <definedName name="_____________BTC3">#REF!</definedName>
    <definedName name="_____________BTC4" localSheetId="11">NA()</definedName>
    <definedName name="_____________BTC4" localSheetId="12">NA()</definedName>
    <definedName name="_____________BTC4" localSheetId="0">#REF!</definedName>
    <definedName name="_____________BTC4">#REF!</definedName>
    <definedName name="_____________BTC5" localSheetId="11">NA()</definedName>
    <definedName name="_____________BTC5" localSheetId="12">NA()</definedName>
    <definedName name="_____________BTC5" localSheetId="0">#REF!</definedName>
    <definedName name="_____________BTC5">#REF!</definedName>
    <definedName name="_____________BTC6" localSheetId="11">NA()</definedName>
    <definedName name="_____________BTC6" localSheetId="12">NA()</definedName>
    <definedName name="_____________BTC6" localSheetId="0">#REF!</definedName>
    <definedName name="_____________BTC6">#REF!</definedName>
    <definedName name="_____________BTC7" localSheetId="11">NA()</definedName>
    <definedName name="_____________BTC7" localSheetId="12">NA()</definedName>
    <definedName name="_____________BTC7" localSheetId="0">#REF!</definedName>
    <definedName name="_____________BTC7">#REF!</definedName>
    <definedName name="_____________BTC8" localSheetId="11">NA()</definedName>
    <definedName name="_____________BTC8" localSheetId="12">NA()</definedName>
    <definedName name="_____________BTC8" localSheetId="0">#REF!</definedName>
    <definedName name="_____________BTC8">#REF!</definedName>
    <definedName name="_____________BTC9" localSheetId="11">NA()</definedName>
    <definedName name="_____________BTC9" localSheetId="12">NA()</definedName>
    <definedName name="_____________BTC9" localSheetId="0">#REF!</definedName>
    <definedName name="_____________BTC9">#REF!</definedName>
    <definedName name="_____________BTR1" localSheetId="11">NA()</definedName>
    <definedName name="_____________BTR1" localSheetId="12">NA()</definedName>
    <definedName name="_____________BTR1" localSheetId="0">#REF!</definedName>
    <definedName name="_____________BTR1">#REF!</definedName>
    <definedName name="_____________BTR10" localSheetId="11">NA()</definedName>
    <definedName name="_____________BTR10" localSheetId="12">NA()</definedName>
    <definedName name="_____________BTR10" localSheetId="0">#REF!</definedName>
    <definedName name="_____________BTR10">#REF!</definedName>
    <definedName name="_____________BTR11" localSheetId="11">NA()</definedName>
    <definedName name="_____________BTR11" localSheetId="12">NA()</definedName>
    <definedName name="_____________BTR11" localSheetId="0">#REF!</definedName>
    <definedName name="_____________BTR11">#REF!</definedName>
    <definedName name="_____________BTR12" localSheetId="11">NA()</definedName>
    <definedName name="_____________BTR12" localSheetId="12">NA()</definedName>
    <definedName name="_____________BTR12" localSheetId="0">#REF!</definedName>
    <definedName name="_____________BTR12">#REF!</definedName>
    <definedName name="_____________BTR13" localSheetId="11">NA()</definedName>
    <definedName name="_____________BTR13" localSheetId="12">NA()</definedName>
    <definedName name="_____________BTR13" localSheetId="0">#REF!</definedName>
    <definedName name="_____________BTR13">#REF!</definedName>
    <definedName name="_____________BTR14" localSheetId="11">NA()</definedName>
    <definedName name="_____________BTR14" localSheetId="12">NA()</definedName>
    <definedName name="_____________BTR14" localSheetId="0">#REF!</definedName>
    <definedName name="_____________BTR14">#REF!</definedName>
    <definedName name="_____________BTR15" localSheetId="11">NA()</definedName>
    <definedName name="_____________BTR15" localSheetId="12">NA()</definedName>
    <definedName name="_____________BTR15" localSheetId="0">#REF!</definedName>
    <definedName name="_____________BTR15">#REF!</definedName>
    <definedName name="_____________BTR16" localSheetId="11">NA()</definedName>
    <definedName name="_____________BTR16" localSheetId="12">NA()</definedName>
    <definedName name="_____________BTR16" localSheetId="0">#REF!</definedName>
    <definedName name="_____________BTR16">#REF!</definedName>
    <definedName name="_____________BTR17" localSheetId="11">NA()</definedName>
    <definedName name="_____________BTR17" localSheetId="12">NA()</definedName>
    <definedName name="_____________BTR17" localSheetId="0">#REF!</definedName>
    <definedName name="_____________BTR17">#REF!</definedName>
    <definedName name="_____________BTR18" localSheetId="11">NA()</definedName>
    <definedName name="_____________BTR18" localSheetId="12">NA()</definedName>
    <definedName name="_____________BTR18" localSheetId="0">#REF!</definedName>
    <definedName name="_____________BTR18">#REF!</definedName>
    <definedName name="_____________BTR19" localSheetId="11">NA()</definedName>
    <definedName name="_____________BTR19" localSheetId="12">NA()</definedName>
    <definedName name="_____________BTR19" localSheetId="0">#REF!</definedName>
    <definedName name="_____________BTR19">#REF!</definedName>
    <definedName name="_____________BTR2" localSheetId="11">NA()</definedName>
    <definedName name="_____________BTR2" localSheetId="12">NA()</definedName>
    <definedName name="_____________BTR2" localSheetId="0">#REF!</definedName>
    <definedName name="_____________BTR2">#REF!</definedName>
    <definedName name="_____________BTR20" localSheetId="11">NA()</definedName>
    <definedName name="_____________BTR20" localSheetId="12">NA()</definedName>
    <definedName name="_____________BTR20" localSheetId="0">#REF!</definedName>
    <definedName name="_____________BTR20">#REF!</definedName>
    <definedName name="_____________BTR21" localSheetId="11">NA()</definedName>
    <definedName name="_____________BTR21" localSheetId="12">NA()</definedName>
    <definedName name="_____________BTR21" localSheetId="0">#REF!</definedName>
    <definedName name="_____________BTR21">#REF!</definedName>
    <definedName name="_____________BTR22" localSheetId="11">NA()</definedName>
    <definedName name="_____________BTR22" localSheetId="12">NA()</definedName>
    <definedName name="_____________BTR22" localSheetId="0">#REF!</definedName>
    <definedName name="_____________BTR22">#REF!</definedName>
    <definedName name="_____________BTR23" localSheetId="11">NA()</definedName>
    <definedName name="_____________BTR23" localSheetId="12">NA()</definedName>
    <definedName name="_____________BTR23" localSheetId="0">#REF!</definedName>
    <definedName name="_____________BTR23">#REF!</definedName>
    <definedName name="_____________BTR24" localSheetId="11">NA()</definedName>
    <definedName name="_____________BTR24" localSheetId="12">NA()</definedName>
    <definedName name="_____________BTR24" localSheetId="0">#REF!</definedName>
    <definedName name="_____________BTR24">#REF!</definedName>
    <definedName name="_____________BTR3" localSheetId="11">NA()</definedName>
    <definedName name="_____________BTR3" localSheetId="12">NA()</definedName>
    <definedName name="_____________BTR3" localSheetId="0">#REF!</definedName>
    <definedName name="_____________BTR3">#REF!</definedName>
    <definedName name="_____________BTR4" localSheetId="11">NA()</definedName>
    <definedName name="_____________BTR4" localSheetId="12">NA()</definedName>
    <definedName name="_____________BTR4" localSheetId="0">#REF!</definedName>
    <definedName name="_____________BTR4">#REF!</definedName>
    <definedName name="_____________BTR5" localSheetId="11">NA()</definedName>
    <definedName name="_____________BTR5" localSheetId="12">NA()</definedName>
    <definedName name="_____________BTR5" localSheetId="0">#REF!</definedName>
    <definedName name="_____________BTR5">#REF!</definedName>
    <definedName name="_____________BTR6" localSheetId="11">NA()</definedName>
    <definedName name="_____________BTR6" localSheetId="12">NA()</definedName>
    <definedName name="_____________BTR6" localSheetId="0">#REF!</definedName>
    <definedName name="_____________BTR6">#REF!</definedName>
    <definedName name="_____________BTR7" localSheetId="11">NA()</definedName>
    <definedName name="_____________BTR7" localSheetId="12">NA()</definedName>
    <definedName name="_____________BTR7" localSheetId="0">#REF!</definedName>
    <definedName name="_____________BTR7">#REF!</definedName>
    <definedName name="_____________BTR8" localSheetId="11">NA()</definedName>
    <definedName name="_____________BTR8" localSheetId="12">NA()</definedName>
    <definedName name="_____________BTR8" localSheetId="0">#REF!</definedName>
    <definedName name="_____________BTR8">#REF!</definedName>
    <definedName name="_____________BTR9" localSheetId="11">NA()</definedName>
    <definedName name="_____________BTR9" localSheetId="12">NA()</definedName>
    <definedName name="_____________BTR9" localSheetId="0">#REF!</definedName>
    <definedName name="_____________BTR9">#REF!</definedName>
    <definedName name="_____________BTS1" localSheetId="11">NA()</definedName>
    <definedName name="_____________BTS1" localSheetId="12">NA()</definedName>
    <definedName name="_____________BTS1" localSheetId="0">#REF!</definedName>
    <definedName name="_____________BTS1">#REF!</definedName>
    <definedName name="_____________BTS10" localSheetId="11">NA()</definedName>
    <definedName name="_____________BTS10" localSheetId="12">NA()</definedName>
    <definedName name="_____________BTS10" localSheetId="0">#REF!</definedName>
    <definedName name="_____________BTS10">#REF!</definedName>
    <definedName name="_____________BTS11" localSheetId="11">NA()</definedName>
    <definedName name="_____________BTS11" localSheetId="12">NA()</definedName>
    <definedName name="_____________BTS11" localSheetId="0">#REF!</definedName>
    <definedName name="_____________BTS11">#REF!</definedName>
    <definedName name="_____________BTS12" localSheetId="11">NA()</definedName>
    <definedName name="_____________BTS12" localSheetId="12">NA()</definedName>
    <definedName name="_____________BTS12" localSheetId="0">#REF!</definedName>
    <definedName name="_____________BTS12">#REF!</definedName>
    <definedName name="_____________BTS13" localSheetId="11">NA()</definedName>
    <definedName name="_____________BTS13" localSheetId="12">NA()</definedName>
    <definedName name="_____________BTS13" localSheetId="0">#REF!</definedName>
    <definedName name="_____________BTS13">#REF!</definedName>
    <definedName name="_____________BTS14" localSheetId="11">NA()</definedName>
    <definedName name="_____________BTS14" localSheetId="12">NA()</definedName>
    <definedName name="_____________BTS14" localSheetId="0">#REF!</definedName>
    <definedName name="_____________BTS14">#REF!</definedName>
    <definedName name="_____________BTS15" localSheetId="11">NA()</definedName>
    <definedName name="_____________BTS15" localSheetId="12">NA()</definedName>
    <definedName name="_____________BTS15" localSheetId="0">#REF!</definedName>
    <definedName name="_____________BTS15">#REF!</definedName>
    <definedName name="_____________BTS16" localSheetId="11">NA()</definedName>
    <definedName name="_____________BTS16" localSheetId="12">NA()</definedName>
    <definedName name="_____________BTS16" localSheetId="0">#REF!</definedName>
    <definedName name="_____________BTS16">#REF!</definedName>
    <definedName name="_____________BTS17" localSheetId="11">NA()</definedName>
    <definedName name="_____________BTS17" localSheetId="12">NA()</definedName>
    <definedName name="_____________BTS17" localSheetId="0">#REF!</definedName>
    <definedName name="_____________BTS17">#REF!</definedName>
    <definedName name="_____________BTS18" localSheetId="11">NA()</definedName>
    <definedName name="_____________BTS18" localSheetId="12">NA()</definedName>
    <definedName name="_____________BTS18" localSheetId="0">#REF!</definedName>
    <definedName name="_____________BTS18">#REF!</definedName>
    <definedName name="_____________BTS19" localSheetId="11">NA()</definedName>
    <definedName name="_____________BTS19" localSheetId="12">NA()</definedName>
    <definedName name="_____________BTS19" localSheetId="0">#REF!</definedName>
    <definedName name="_____________BTS19">#REF!</definedName>
    <definedName name="_____________BTS2" localSheetId="11">NA()</definedName>
    <definedName name="_____________BTS2" localSheetId="12">NA()</definedName>
    <definedName name="_____________BTS2" localSheetId="0">#REF!</definedName>
    <definedName name="_____________BTS2">#REF!</definedName>
    <definedName name="_____________BTS20" localSheetId="11">NA()</definedName>
    <definedName name="_____________BTS20" localSheetId="12">NA()</definedName>
    <definedName name="_____________BTS20" localSheetId="0">#REF!</definedName>
    <definedName name="_____________BTS20">#REF!</definedName>
    <definedName name="_____________BTS21" localSheetId="11">NA()</definedName>
    <definedName name="_____________BTS21" localSheetId="12">NA()</definedName>
    <definedName name="_____________BTS21" localSheetId="0">#REF!</definedName>
    <definedName name="_____________BTS21">#REF!</definedName>
    <definedName name="_____________BTS22" localSheetId="11">NA()</definedName>
    <definedName name="_____________BTS22" localSheetId="12">NA()</definedName>
    <definedName name="_____________BTS22" localSheetId="0">#REF!</definedName>
    <definedName name="_____________BTS22">#REF!</definedName>
    <definedName name="_____________BTS23" localSheetId="11">NA()</definedName>
    <definedName name="_____________BTS23" localSheetId="12">NA()</definedName>
    <definedName name="_____________BTS23" localSheetId="0">#REF!</definedName>
    <definedName name="_____________BTS23">#REF!</definedName>
    <definedName name="_____________BTS24" localSheetId="11">NA()</definedName>
    <definedName name="_____________BTS24" localSheetId="12">NA()</definedName>
    <definedName name="_____________BTS24" localSheetId="0">#REF!</definedName>
    <definedName name="_____________BTS24">#REF!</definedName>
    <definedName name="_____________BTS3" localSheetId="11">NA()</definedName>
    <definedName name="_____________BTS3" localSheetId="12">NA()</definedName>
    <definedName name="_____________BTS3" localSheetId="0">#REF!</definedName>
    <definedName name="_____________BTS3">#REF!</definedName>
    <definedName name="_____________BTS4" localSheetId="11">NA()</definedName>
    <definedName name="_____________BTS4" localSheetId="12">NA()</definedName>
    <definedName name="_____________BTS4" localSheetId="0">#REF!</definedName>
    <definedName name="_____________BTS4">#REF!</definedName>
    <definedName name="_____________BTS5" localSheetId="11">NA()</definedName>
    <definedName name="_____________BTS5" localSheetId="12">NA()</definedName>
    <definedName name="_____________BTS5" localSheetId="0">#REF!</definedName>
    <definedName name="_____________BTS5">#REF!</definedName>
    <definedName name="_____________BTS6" localSheetId="11">NA()</definedName>
    <definedName name="_____________BTS6" localSheetId="12">NA()</definedName>
    <definedName name="_____________BTS6" localSheetId="0">#REF!</definedName>
    <definedName name="_____________BTS6">#REF!</definedName>
    <definedName name="_____________BTS7" localSheetId="11">NA()</definedName>
    <definedName name="_____________BTS7" localSheetId="12">NA()</definedName>
    <definedName name="_____________BTS7" localSheetId="0">#REF!</definedName>
    <definedName name="_____________BTS7">#REF!</definedName>
    <definedName name="_____________BTS8" localSheetId="11">NA()</definedName>
    <definedName name="_____________BTS8" localSheetId="12">NA()</definedName>
    <definedName name="_____________BTS8" localSheetId="0">#REF!</definedName>
    <definedName name="_____________BTS8">#REF!</definedName>
    <definedName name="_____________BTS9" localSheetId="11">NA()</definedName>
    <definedName name="_____________BTS9" localSheetId="12">NA()</definedName>
    <definedName name="_____________BTS9" localSheetId="0">#REF!</definedName>
    <definedName name="_____________BTS9">#REF!</definedName>
    <definedName name="_____________can430">40.73</definedName>
    <definedName name="_____________can435">43.3</definedName>
    <definedName name="_____________CCW1">[9]DATA!$H$67</definedName>
    <definedName name="_____________CCW2">[9]DATA!$H$97</definedName>
    <definedName name="_____________cur1">[2]r!$F$30</definedName>
    <definedName name="_____________G120907" localSheetId="11">"[22]data!#ref!"</definedName>
    <definedName name="_____________G120907" localSheetId="12">"[22]data!#ref!"</definedName>
    <definedName name="_____________G120907" localSheetId="0">[17]Data!#REF!</definedName>
    <definedName name="_____________G120907">[17]Data!#REF!</definedName>
    <definedName name="_____________GBS11">NA()</definedName>
    <definedName name="_____________GBS110" localSheetId="11">NA()</definedName>
    <definedName name="_____________GBS110" localSheetId="12">NA()</definedName>
    <definedName name="_____________GBS110" localSheetId="0">#REF!</definedName>
    <definedName name="_____________GBS110">#REF!</definedName>
    <definedName name="_____________GBS111" localSheetId="11">NA()</definedName>
    <definedName name="_____________GBS111" localSheetId="12">NA()</definedName>
    <definedName name="_____________GBS111" localSheetId="0">#REF!</definedName>
    <definedName name="_____________GBS111">#REF!</definedName>
    <definedName name="_____________GBS112" localSheetId="11">NA()</definedName>
    <definedName name="_____________GBS112" localSheetId="12">NA()</definedName>
    <definedName name="_____________GBS112" localSheetId="0">#REF!</definedName>
    <definedName name="_____________GBS112">#REF!</definedName>
    <definedName name="_____________GBS113" localSheetId="11">NA()</definedName>
    <definedName name="_____________GBS113" localSheetId="12">NA()</definedName>
    <definedName name="_____________GBS113" localSheetId="0">#REF!</definedName>
    <definedName name="_____________GBS113">#REF!</definedName>
    <definedName name="_____________GBS114" localSheetId="11">NA()</definedName>
    <definedName name="_____________GBS114" localSheetId="12">NA()</definedName>
    <definedName name="_____________GBS114" localSheetId="0">#REF!</definedName>
    <definedName name="_____________GBS114">#REF!</definedName>
    <definedName name="_____________GBS115" localSheetId="11">NA()</definedName>
    <definedName name="_____________GBS115" localSheetId="12">NA()</definedName>
    <definedName name="_____________GBS115" localSheetId="0">#REF!</definedName>
    <definedName name="_____________GBS115">#REF!</definedName>
    <definedName name="_____________GBS116" localSheetId="11">NA()</definedName>
    <definedName name="_____________GBS116" localSheetId="12">NA()</definedName>
    <definedName name="_____________GBS116" localSheetId="0">#REF!</definedName>
    <definedName name="_____________GBS116">#REF!</definedName>
    <definedName name="_____________GBS117" localSheetId="11">NA()</definedName>
    <definedName name="_____________GBS117" localSheetId="12">NA()</definedName>
    <definedName name="_____________GBS117" localSheetId="0">#REF!</definedName>
    <definedName name="_____________GBS117">#REF!</definedName>
    <definedName name="_____________GBS118" localSheetId="11">NA()</definedName>
    <definedName name="_____________GBS118" localSheetId="12">NA()</definedName>
    <definedName name="_____________GBS118" localSheetId="0">#REF!</definedName>
    <definedName name="_____________GBS118">#REF!</definedName>
    <definedName name="_____________GBS119" localSheetId="11">NA()</definedName>
    <definedName name="_____________GBS119" localSheetId="12">NA()</definedName>
    <definedName name="_____________GBS119" localSheetId="0">#REF!</definedName>
    <definedName name="_____________GBS119">#REF!</definedName>
    <definedName name="_____________GBS12" localSheetId="11">NA()</definedName>
    <definedName name="_____________GBS12" localSheetId="12">NA()</definedName>
    <definedName name="_____________GBS12" localSheetId="0">#REF!</definedName>
    <definedName name="_____________GBS12">#REF!</definedName>
    <definedName name="_____________GBS120" localSheetId="11">NA()</definedName>
    <definedName name="_____________GBS120" localSheetId="12">NA()</definedName>
    <definedName name="_____________GBS120" localSheetId="0">#REF!</definedName>
    <definedName name="_____________GBS120">#REF!</definedName>
    <definedName name="_____________GBS121" localSheetId="11">NA()</definedName>
    <definedName name="_____________GBS121" localSheetId="12">NA()</definedName>
    <definedName name="_____________GBS121" localSheetId="0">#REF!</definedName>
    <definedName name="_____________GBS121">#REF!</definedName>
    <definedName name="_____________GBS122" localSheetId="11">NA()</definedName>
    <definedName name="_____________GBS122" localSheetId="12">NA()</definedName>
    <definedName name="_____________GBS122" localSheetId="0">#REF!</definedName>
    <definedName name="_____________GBS122">#REF!</definedName>
    <definedName name="_____________GBS123" localSheetId="11">NA()</definedName>
    <definedName name="_____________GBS123" localSheetId="12">NA()</definedName>
    <definedName name="_____________GBS123" localSheetId="0">#REF!</definedName>
    <definedName name="_____________GBS123">#REF!</definedName>
    <definedName name="_____________GBS124" localSheetId="11">NA()</definedName>
    <definedName name="_____________GBS124" localSheetId="12">NA()</definedName>
    <definedName name="_____________GBS124" localSheetId="0">#REF!</definedName>
    <definedName name="_____________GBS124">#REF!</definedName>
    <definedName name="_____________GBS13" localSheetId="11">NA()</definedName>
    <definedName name="_____________GBS13" localSheetId="12">NA()</definedName>
    <definedName name="_____________GBS13" localSheetId="0">#REF!</definedName>
    <definedName name="_____________GBS13">#REF!</definedName>
    <definedName name="_____________GBS14" localSheetId="11">NA()</definedName>
    <definedName name="_____________GBS14" localSheetId="12">NA()</definedName>
    <definedName name="_____________GBS14" localSheetId="0">#REF!</definedName>
    <definedName name="_____________GBS14">#REF!</definedName>
    <definedName name="_____________GBS15" localSheetId="11">NA()</definedName>
    <definedName name="_____________GBS15" localSheetId="12">NA()</definedName>
    <definedName name="_____________GBS15" localSheetId="0">#REF!</definedName>
    <definedName name="_____________GBS15">#REF!</definedName>
    <definedName name="_____________GBS16" localSheetId="11">NA()</definedName>
    <definedName name="_____________GBS16" localSheetId="12">NA()</definedName>
    <definedName name="_____________GBS16" localSheetId="0">#REF!</definedName>
    <definedName name="_____________GBS16">#REF!</definedName>
    <definedName name="_____________GBS17" localSheetId="11">NA()</definedName>
    <definedName name="_____________GBS17" localSheetId="12">NA()</definedName>
    <definedName name="_____________GBS17" localSheetId="0">#REF!</definedName>
    <definedName name="_____________GBS17">#REF!</definedName>
    <definedName name="_____________GBS18" localSheetId="11">NA()</definedName>
    <definedName name="_____________GBS18" localSheetId="12">NA()</definedName>
    <definedName name="_____________GBS18" localSheetId="0">#REF!</definedName>
    <definedName name="_____________GBS18">#REF!</definedName>
    <definedName name="_____________GBS19" localSheetId="11">NA()</definedName>
    <definedName name="_____________GBS19" localSheetId="12">NA()</definedName>
    <definedName name="_____________GBS19" localSheetId="0">#REF!</definedName>
    <definedName name="_____________GBS19">#REF!</definedName>
    <definedName name="_____________GBS21" localSheetId="11">NA()</definedName>
    <definedName name="_____________GBS21" localSheetId="12">NA()</definedName>
    <definedName name="_____________GBS21" localSheetId="0">#REF!</definedName>
    <definedName name="_____________GBS21">#REF!</definedName>
    <definedName name="_____________GBS210" localSheetId="11">NA()</definedName>
    <definedName name="_____________GBS210" localSheetId="12">NA()</definedName>
    <definedName name="_____________GBS210" localSheetId="0">#REF!</definedName>
    <definedName name="_____________GBS210">#REF!</definedName>
    <definedName name="_____________GBS211" localSheetId="11">NA()</definedName>
    <definedName name="_____________GBS211" localSheetId="12">NA()</definedName>
    <definedName name="_____________GBS211" localSheetId="0">#REF!</definedName>
    <definedName name="_____________GBS211">#REF!</definedName>
    <definedName name="_____________GBS212" localSheetId="11">NA()</definedName>
    <definedName name="_____________GBS212" localSheetId="12">NA()</definedName>
    <definedName name="_____________GBS212" localSheetId="0">#REF!</definedName>
    <definedName name="_____________GBS212">#REF!</definedName>
    <definedName name="_____________GBS213" localSheetId="11">NA()</definedName>
    <definedName name="_____________GBS213" localSheetId="12">NA()</definedName>
    <definedName name="_____________GBS213" localSheetId="0">#REF!</definedName>
    <definedName name="_____________GBS213">#REF!</definedName>
    <definedName name="_____________GBS214" localSheetId="11">NA()</definedName>
    <definedName name="_____________GBS214" localSheetId="12">NA()</definedName>
    <definedName name="_____________GBS214" localSheetId="0">#REF!</definedName>
    <definedName name="_____________GBS214">#REF!</definedName>
    <definedName name="_____________GBS215" localSheetId="11">NA()</definedName>
    <definedName name="_____________GBS215" localSheetId="12">NA()</definedName>
    <definedName name="_____________GBS215" localSheetId="0">#REF!</definedName>
    <definedName name="_____________GBS215">#REF!</definedName>
    <definedName name="_____________GBS216" localSheetId="11">NA()</definedName>
    <definedName name="_____________GBS216" localSheetId="12">NA()</definedName>
    <definedName name="_____________GBS216" localSheetId="0">#REF!</definedName>
    <definedName name="_____________GBS216">#REF!</definedName>
    <definedName name="_____________GBS217" localSheetId="11">NA()</definedName>
    <definedName name="_____________GBS217" localSheetId="12">NA()</definedName>
    <definedName name="_____________GBS217" localSheetId="0">#REF!</definedName>
    <definedName name="_____________GBS217">#REF!</definedName>
    <definedName name="_____________GBS218" localSheetId="11">NA()</definedName>
    <definedName name="_____________GBS218" localSheetId="12">NA()</definedName>
    <definedName name="_____________GBS218" localSheetId="0">#REF!</definedName>
    <definedName name="_____________GBS218">#REF!</definedName>
    <definedName name="_____________GBS219" localSheetId="11">NA()</definedName>
    <definedName name="_____________GBS219" localSheetId="12">NA()</definedName>
    <definedName name="_____________GBS219" localSheetId="0">#REF!</definedName>
    <definedName name="_____________GBS219">#REF!</definedName>
    <definedName name="_____________GBS22" localSheetId="11">NA()</definedName>
    <definedName name="_____________GBS22" localSheetId="12">NA()</definedName>
    <definedName name="_____________GBS22" localSheetId="0">#REF!</definedName>
    <definedName name="_____________GBS22">#REF!</definedName>
    <definedName name="_____________GBS220" localSheetId="11">NA()</definedName>
    <definedName name="_____________GBS220" localSheetId="12">NA()</definedName>
    <definedName name="_____________GBS220" localSheetId="0">#REF!</definedName>
    <definedName name="_____________GBS220">#REF!</definedName>
    <definedName name="_____________GBS221" localSheetId="11">NA()</definedName>
    <definedName name="_____________GBS221" localSheetId="12">NA()</definedName>
    <definedName name="_____________GBS221" localSheetId="0">#REF!</definedName>
    <definedName name="_____________GBS221">#REF!</definedName>
    <definedName name="_____________GBS222" localSheetId="11">NA()</definedName>
    <definedName name="_____________GBS222" localSheetId="12">NA()</definedName>
    <definedName name="_____________GBS222" localSheetId="0">#REF!</definedName>
    <definedName name="_____________GBS222">#REF!</definedName>
    <definedName name="_____________GBS223" localSheetId="11">NA()</definedName>
    <definedName name="_____________GBS223" localSheetId="12">NA()</definedName>
    <definedName name="_____________GBS223" localSheetId="0">#REF!</definedName>
    <definedName name="_____________GBS223">#REF!</definedName>
    <definedName name="_____________GBS224" localSheetId="11">NA()</definedName>
    <definedName name="_____________GBS224" localSheetId="12">NA()</definedName>
    <definedName name="_____________GBS224" localSheetId="0">#REF!</definedName>
    <definedName name="_____________GBS224">#REF!</definedName>
    <definedName name="_____________GBS23" localSheetId="11">NA()</definedName>
    <definedName name="_____________GBS23" localSheetId="12">NA()</definedName>
    <definedName name="_____________GBS23" localSheetId="0">#REF!</definedName>
    <definedName name="_____________GBS23">#REF!</definedName>
    <definedName name="_____________GBS24" localSheetId="11">NA()</definedName>
    <definedName name="_____________GBS24" localSheetId="12">NA()</definedName>
    <definedName name="_____________GBS24" localSheetId="0">#REF!</definedName>
    <definedName name="_____________GBS24">#REF!</definedName>
    <definedName name="_____________GBS25" localSheetId="11">NA()</definedName>
    <definedName name="_____________GBS25" localSheetId="12">NA()</definedName>
    <definedName name="_____________GBS25" localSheetId="0">#REF!</definedName>
    <definedName name="_____________GBS25">#REF!</definedName>
    <definedName name="_____________GBS26" localSheetId="11">NA()</definedName>
    <definedName name="_____________GBS26" localSheetId="12">NA()</definedName>
    <definedName name="_____________GBS26" localSheetId="0">#REF!</definedName>
    <definedName name="_____________GBS26">#REF!</definedName>
    <definedName name="_____________GBS27" localSheetId="11">NA()</definedName>
    <definedName name="_____________GBS27" localSheetId="12">NA()</definedName>
    <definedName name="_____________GBS27" localSheetId="0">#REF!</definedName>
    <definedName name="_____________GBS27">#REF!</definedName>
    <definedName name="_____________GBS28" localSheetId="11">NA()</definedName>
    <definedName name="_____________GBS28" localSheetId="12">NA()</definedName>
    <definedName name="_____________GBS28" localSheetId="0">#REF!</definedName>
    <definedName name="_____________GBS28">#REF!</definedName>
    <definedName name="_____________GBS29" localSheetId="11">NA()</definedName>
    <definedName name="_____________GBS29" localSheetId="12">NA()</definedName>
    <definedName name="_____________GBS29" localSheetId="0">#REF!</definedName>
    <definedName name="_____________GBS29">#REF!</definedName>
    <definedName name="_____________imp1">[11]DATA_PRG!$H$245</definedName>
    <definedName name="_____________knr2" localSheetId="11">NA()</definedName>
    <definedName name="_____________knr2" localSheetId="12">NA()</definedName>
    <definedName name="_____________knr2" localSheetId="0">#REF!</definedName>
    <definedName name="_____________knr2">#REF!</definedName>
    <definedName name="_____________l1">[3]leads!$A$3:$E$108</definedName>
    <definedName name="_____________l12" localSheetId="11">NA()</definedName>
    <definedName name="_____________l12" localSheetId="12">NA()</definedName>
    <definedName name="_____________l12" localSheetId="0">#REF!</definedName>
    <definedName name="_____________l12">#REF!</definedName>
    <definedName name="_____________l2">[2]r!$F$29</definedName>
    <definedName name="_____________l3" localSheetId="11">NA()</definedName>
    <definedName name="_____________l3" localSheetId="12">NA()</definedName>
    <definedName name="_____________l3" localSheetId="0">#REF!</definedName>
    <definedName name="_____________l3">#REF!</definedName>
    <definedName name="_____________l4">[4]Sheet1!$W$2:$Y$103</definedName>
    <definedName name="_____________l5" localSheetId="11">NA()</definedName>
    <definedName name="_____________l5" localSheetId="12">NA()</definedName>
    <definedName name="_____________l5" localSheetId="0">#REF!</definedName>
    <definedName name="_____________l5">#REF!</definedName>
    <definedName name="_____________l6">[2]r!$F$4</definedName>
    <definedName name="_____________l7">[5]r!$F$4</definedName>
    <definedName name="_____________l8">[2]r!$F$2</definedName>
    <definedName name="_____________l9">[2]r!$F$3</definedName>
    <definedName name="_____________LJ6">[9]DATA!$H$245</definedName>
    <definedName name="_____________lj600" localSheetId="11">NA()</definedName>
    <definedName name="_____________lj600" localSheetId="12">NA()</definedName>
    <definedName name="_____________lj600" localSheetId="0">#REF!</definedName>
    <definedName name="_____________lj600">#REF!</definedName>
    <definedName name="_____________lj900" localSheetId="11">NA()</definedName>
    <definedName name="_____________lj900" localSheetId="12">NA()</definedName>
    <definedName name="_____________lj900" localSheetId="0">#REF!</definedName>
    <definedName name="_____________lj900">#REF!</definedName>
    <definedName name="_____________LL3" localSheetId="11">NA()</definedName>
    <definedName name="_____________LL3" localSheetId="12">NA()</definedName>
    <definedName name="_____________LL3" localSheetId="0">#REF!</definedName>
    <definedName name="_____________LL3">#REF!</definedName>
    <definedName name="_____________LSO24" localSheetId="11">"[14]lead!#ref!"</definedName>
    <definedName name="_____________LSO24" localSheetId="12">"[14]lead!#ref!"</definedName>
    <definedName name="_____________LSO24" localSheetId="0">[10]Lead!#REF!</definedName>
    <definedName name="_____________LSO24">[10]Lead!#REF!</definedName>
    <definedName name="_____________MA1" localSheetId="11">NA()</definedName>
    <definedName name="_____________MA1" localSheetId="12">NA()</definedName>
    <definedName name="_____________MA1" localSheetId="0">#REF!</definedName>
    <definedName name="_____________MA1">#REF!</definedName>
    <definedName name="_____________MA2" localSheetId="11">NA()</definedName>
    <definedName name="_____________MA2" localSheetId="12">NA()</definedName>
    <definedName name="_____________MA2" localSheetId="0">#REF!</definedName>
    <definedName name="_____________MA2">#REF!</definedName>
    <definedName name="_____________me12">NA()</definedName>
    <definedName name="_____________Met22" localSheetId="11">NA()</definedName>
    <definedName name="_____________Met22" localSheetId="12">NA()</definedName>
    <definedName name="_____________Met22" localSheetId="0">#REF!</definedName>
    <definedName name="_____________Met22">#REF!</definedName>
    <definedName name="_____________Met45" localSheetId="11">NA()</definedName>
    <definedName name="_____________Met45" localSheetId="12">NA()</definedName>
    <definedName name="_____________Met45" localSheetId="0">#REF!</definedName>
    <definedName name="_____________Met45">#REF!</definedName>
    <definedName name="_____________MEt55" localSheetId="11">NA()</definedName>
    <definedName name="_____________MEt55" localSheetId="12">NA()</definedName>
    <definedName name="_____________MEt55" localSheetId="0">#REF!</definedName>
    <definedName name="_____________MEt55">#REF!</definedName>
    <definedName name="_____________Met63" localSheetId="11">NA()</definedName>
    <definedName name="_____________Met63" localSheetId="12">NA()</definedName>
    <definedName name="_____________Met63" localSheetId="0">#REF!</definedName>
    <definedName name="_____________Met63">#REF!</definedName>
    <definedName name="_____________ML21" localSheetId="11">NA()</definedName>
    <definedName name="_____________ML21" localSheetId="12">NA()</definedName>
    <definedName name="_____________ML21" localSheetId="0">#REF!</definedName>
    <definedName name="_____________ML21">#REF!</definedName>
    <definedName name="_____________ML210" localSheetId="11">NA()</definedName>
    <definedName name="_____________ML210" localSheetId="12">NA()</definedName>
    <definedName name="_____________ML210" localSheetId="0">#REF!</definedName>
    <definedName name="_____________ML210">#REF!</definedName>
    <definedName name="_____________ML211" localSheetId="11">NA()</definedName>
    <definedName name="_____________ML211" localSheetId="12">NA()</definedName>
    <definedName name="_____________ML211" localSheetId="0">#REF!</definedName>
    <definedName name="_____________ML211">#REF!</definedName>
    <definedName name="_____________ML212" localSheetId="11">NA()</definedName>
    <definedName name="_____________ML212" localSheetId="12">NA()</definedName>
    <definedName name="_____________ML212" localSheetId="0">#REF!</definedName>
    <definedName name="_____________ML212">#REF!</definedName>
    <definedName name="_____________ML213" localSheetId="11">NA()</definedName>
    <definedName name="_____________ML213" localSheetId="12">NA()</definedName>
    <definedName name="_____________ML213" localSheetId="0">#REF!</definedName>
    <definedName name="_____________ML213">#REF!</definedName>
    <definedName name="_____________ML214" localSheetId="11">NA()</definedName>
    <definedName name="_____________ML214" localSheetId="12">NA()</definedName>
    <definedName name="_____________ML214" localSheetId="0">#REF!</definedName>
    <definedName name="_____________ML214">#REF!</definedName>
    <definedName name="_____________ML215" localSheetId="11">NA()</definedName>
    <definedName name="_____________ML215" localSheetId="12">NA()</definedName>
    <definedName name="_____________ML215" localSheetId="0">#REF!</definedName>
    <definedName name="_____________ML215">#REF!</definedName>
    <definedName name="_____________ML216" localSheetId="11">NA()</definedName>
    <definedName name="_____________ML216" localSheetId="12">NA()</definedName>
    <definedName name="_____________ML216" localSheetId="0">#REF!</definedName>
    <definedName name="_____________ML216">#REF!</definedName>
    <definedName name="_____________ML217" localSheetId="11">NA()</definedName>
    <definedName name="_____________ML217" localSheetId="12">NA()</definedName>
    <definedName name="_____________ML217" localSheetId="0">#REF!</definedName>
    <definedName name="_____________ML217">#REF!</definedName>
    <definedName name="_____________ML218" localSheetId="11">NA()</definedName>
    <definedName name="_____________ML218" localSheetId="12">NA()</definedName>
    <definedName name="_____________ML218" localSheetId="0">#REF!</definedName>
    <definedName name="_____________ML218">#REF!</definedName>
    <definedName name="_____________ML219" localSheetId="11">NA()</definedName>
    <definedName name="_____________ML219" localSheetId="12">NA()</definedName>
    <definedName name="_____________ML219" localSheetId="0">#REF!</definedName>
    <definedName name="_____________ML219">#REF!</definedName>
    <definedName name="_____________ML22" localSheetId="11">NA()</definedName>
    <definedName name="_____________ML22" localSheetId="12">NA()</definedName>
    <definedName name="_____________ML22" localSheetId="0">#REF!</definedName>
    <definedName name="_____________ML22">#REF!</definedName>
    <definedName name="_____________ML220" localSheetId="11">NA()</definedName>
    <definedName name="_____________ML220" localSheetId="12">NA()</definedName>
    <definedName name="_____________ML220" localSheetId="0">#REF!</definedName>
    <definedName name="_____________ML220">#REF!</definedName>
    <definedName name="_____________ML221" localSheetId="11">NA()</definedName>
    <definedName name="_____________ML221" localSheetId="12">NA()</definedName>
    <definedName name="_____________ML221" localSheetId="0">#REF!</definedName>
    <definedName name="_____________ML221">#REF!</definedName>
    <definedName name="_____________ML222" localSheetId="11">NA()</definedName>
    <definedName name="_____________ML222" localSheetId="12">NA()</definedName>
    <definedName name="_____________ML222" localSheetId="0">#REF!</definedName>
    <definedName name="_____________ML222">#REF!</definedName>
    <definedName name="_____________ML223" localSheetId="11">NA()</definedName>
    <definedName name="_____________ML223" localSheetId="12">NA()</definedName>
    <definedName name="_____________ML223" localSheetId="0">#REF!</definedName>
    <definedName name="_____________ML223">#REF!</definedName>
    <definedName name="_____________ML224" localSheetId="11">NA()</definedName>
    <definedName name="_____________ML224" localSheetId="12">NA()</definedName>
    <definedName name="_____________ML224" localSheetId="0">#REF!</definedName>
    <definedName name="_____________ML224">#REF!</definedName>
    <definedName name="_____________ML23" localSheetId="11">NA()</definedName>
    <definedName name="_____________ML23" localSheetId="12">NA()</definedName>
    <definedName name="_____________ML23" localSheetId="0">#REF!</definedName>
    <definedName name="_____________ML23">#REF!</definedName>
    <definedName name="_____________ML24" localSheetId="11">NA()</definedName>
    <definedName name="_____________ML24" localSheetId="12">NA()</definedName>
    <definedName name="_____________ML24" localSheetId="0">#REF!</definedName>
    <definedName name="_____________ML24">#REF!</definedName>
    <definedName name="_____________ML25" localSheetId="11">NA()</definedName>
    <definedName name="_____________ML25" localSheetId="12">NA()</definedName>
    <definedName name="_____________ML25" localSheetId="0">#REF!</definedName>
    <definedName name="_____________ML25">#REF!</definedName>
    <definedName name="_____________ML26" localSheetId="11">NA()</definedName>
    <definedName name="_____________ML26" localSheetId="12">NA()</definedName>
    <definedName name="_____________ML26" localSheetId="0">#REF!</definedName>
    <definedName name="_____________ML26">#REF!</definedName>
    <definedName name="_____________ML27" localSheetId="11">NA()</definedName>
    <definedName name="_____________ML27" localSheetId="12">NA()</definedName>
    <definedName name="_____________ML27" localSheetId="0">#REF!</definedName>
    <definedName name="_____________ML27">#REF!</definedName>
    <definedName name="_____________ML28" localSheetId="11">NA()</definedName>
    <definedName name="_____________ML28" localSheetId="12">NA()</definedName>
    <definedName name="_____________ML28" localSheetId="0">#REF!</definedName>
    <definedName name="_____________ML28">#REF!</definedName>
    <definedName name="_____________ML29" localSheetId="11">NA()</definedName>
    <definedName name="_____________ML29" localSheetId="12">NA()</definedName>
    <definedName name="_____________ML29" localSheetId="0">#REF!</definedName>
    <definedName name="_____________ML29">#REF!</definedName>
    <definedName name="_____________ML31" localSheetId="11">NA()</definedName>
    <definedName name="_____________ML31" localSheetId="12">NA()</definedName>
    <definedName name="_____________ML31" localSheetId="0">#REF!</definedName>
    <definedName name="_____________ML31">#REF!</definedName>
    <definedName name="_____________ML310" localSheetId="11">NA()</definedName>
    <definedName name="_____________ML310" localSheetId="12">NA()</definedName>
    <definedName name="_____________ML310" localSheetId="0">#REF!</definedName>
    <definedName name="_____________ML310">#REF!</definedName>
    <definedName name="_____________ML311" localSheetId="11">NA()</definedName>
    <definedName name="_____________ML311" localSheetId="12">NA()</definedName>
    <definedName name="_____________ML311" localSheetId="0">#REF!</definedName>
    <definedName name="_____________ML311">#REF!</definedName>
    <definedName name="_____________ML312" localSheetId="11">NA()</definedName>
    <definedName name="_____________ML312" localSheetId="12">NA()</definedName>
    <definedName name="_____________ML312" localSheetId="0">#REF!</definedName>
    <definedName name="_____________ML312">#REF!</definedName>
    <definedName name="_____________ML313" localSheetId="11">NA()</definedName>
    <definedName name="_____________ML313" localSheetId="12">NA()</definedName>
    <definedName name="_____________ML313" localSheetId="0">#REF!</definedName>
    <definedName name="_____________ML313">#REF!</definedName>
    <definedName name="_____________ML314" localSheetId="11">NA()</definedName>
    <definedName name="_____________ML314" localSheetId="12">NA()</definedName>
    <definedName name="_____________ML314" localSheetId="0">#REF!</definedName>
    <definedName name="_____________ML314">#REF!</definedName>
    <definedName name="_____________ML315" localSheetId="11">NA()</definedName>
    <definedName name="_____________ML315" localSheetId="12">NA()</definedName>
    <definedName name="_____________ML315" localSheetId="0">#REF!</definedName>
    <definedName name="_____________ML315">#REF!</definedName>
    <definedName name="_____________ML316" localSheetId="11">NA()</definedName>
    <definedName name="_____________ML316" localSheetId="12">NA()</definedName>
    <definedName name="_____________ML316" localSheetId="0">#REF!</definedName>
    <definedName name="_____________ML316">#REF!</definedName>
    <definedName name="_____________ML317" localSheetId="11">NA()</definedName>
    <definedName name="_____________ML317" localSheetId="12">NA()</definedName>
    <definedName name="_____________ML317" localSheetId="0">#REF!</definedName>
    <definedName name="_____________ML317">#REF!</definedName>
    <definedName name="_____________ML318" localSheetId="11">NA()</definedName>
    <definedName name="_____________ML318" localSheetId="12">NA()</definedName>
    <definedName name="_____________ML318" localSheetId="0">#REF!</definedName>
    <definedName name="_____________ML318">#REF!</definedName>
    <definedName name="_____________ML319" localSheetId="11">NA()</definedName>
    <definedName name="_____________ML319" localSheetId="12">NA()</definedName>
    <definedName name="_____________ML319" localSheetId="0">#REF!</definedName>
    <definedName name="_____________ML319">#REF!</definedName>
    <definedName name="_____________ML32" localSheetId="11">NA()</definedName>
    <definedName name="_____________ML32" localSheetId="12">NA()</definedName>
    <definedName name="_____________ML32" localSheetId="0">#REF!</definedName>
    <definedName name="_____________ML32">#REF!</definedName>
    <definedName name="_____________ML320" localSheetId="11">NA()</definedName>
    <definedName name="_____________ML320" localSheetId="12">NA()</definedName>
    <definedName name="_____________ML320" localSheetId="0">#REF!</definedName>
    <definedName name="_____________ML320">#REF!</definedName>
    <definedName name="_____________ML321" localSheetId="11">NA()</definedName>
    <definedName name="_____________ML321" localSheetId="12">NA()</definedName>
    <definedName name="_____________ML321" localSheetId="0">#REF!</definedName>
    <definedName name="_____________ML321">#REF!</definedName>
    <definedName name="_____________ML322" localSheetId="11">NA()</definedName>
    <definedName name="_____________ML322" localSheetId="12">NA()</definedName>
    <definedName name="_____________ML322" localSheetId="0">#REF!</definedName>
    <definedName name="_____________ML322">#REF!</definedName>
    <definedName name="_____________ML323" localSheetId="11">NA()</definedName>
    <definedName name="_____________ML323" localSheetId="12">NA()</definedName>
    <definedName name="_____________ML323" localSheetId="0">#REF!</definedName>
    <definedName name="_____________ML323">#REF!</definedName>
    <definedName name="_____________ML324" localSheetId="11">NA()</definedName>
    <definedName name="_____________ML324" localSheetId="12">NA()</definedName>
    <definedName name="_____________ML324" localSheetId="0">#REF!</definedName>
    <definedName name="_____________ML324">#REF!</definedName>
    <definedName name="_____________ML33" localSheetId="11">NA()</definedName>
    <definedName name="_____________ML33" localSheetId="12">NA()</definedName>
    <definedName name="_____________ML33" localSheetId="0">#REF!</definedName>
    <definedName name="_____________ML33">#REF!</definedName>
    <definedName name="_____________ML34" localSheetId="11">NA()</definedName>
    <definedName name="_____________ML34" localSheetId="12">NA()</definedName>
    <definedName name="_____________ML34" localSheetId="0">#REF!</definedName>
    <definedName name="_____________ML34">#REF!</definedName>
    <definedName name="_____________ML35" localSheetId="11">NA()</definedName>
    <definedName name="_____________ML35" localSheetId="12">NA()</definedName>
    <definedName name="_____________ML35" localSheetId="0">#REF!</definedName>
    <definedName name="_____________ML35">#REF!</definedName>
    <definedName name="_____________ML36" localSheetId="11">NA()</definedName>
    <definedName name="_____________ML36" localSheetId="12">NA()</definedName>
    <definedName name="_____________ML36" localSheetId="0">#REF!</definedName>
    <definedName name="_____________ML36">#REF!</definedName>
    <definedName name="_____________ML37" localSheetId="11">NA()</definedName>
    <definedName name="_____________ML37" localSheetId="12">NA()</definedName>
    <definedName name="_____________ML37" localSheetId="0">#REF!</definedName>
    <definedName name="_____________ML37">#REF!</definedName>
    <definedName name="_____________ML38" localSheetId="11">NA()</definedName>
    <definedName name="_____________ML38" localSheetId="12">NA()</definedName>
    <definedName name="_____________ML38" localSheetId="0">#REF!</definedName>
    <definedName name="_____________ML38">#REF!</definedName>
    <definedName name="_____________ML39" localSheetId="11">NA()</definedName>
    <definedName name="_____________ML39" localSheetId="12">NA()</definedName>
    <definedName name="_____________ML39" localSheetId="0">#REF!</definedName>
    <definedName name="_____________ML39">#REF!</definedName>
    <definedName name="_____________ML7" localSheetId="11">NA()</definedName>
    <definedName name="_____________ML7" localSheetId="12">NA()</definedName>
    <definedName name="_____________ML7" localSheetId="0">#REF!</definedName>
    <definedName name="_____________ML7">#REF!</definedName>
    <definedName name="_____________ML8" localSheetId="11">NA()</definedName>
    <definedName name="_____________ML8" localSheetId="12">NA()</definedName>
    <definedName name="_____________ML8" localSheetId="0">#REF!</definedName>
    <definedName name="_____________ML8">#REF!</definedName>
    <definedName name="_____________ML9" localSheetId="11">NA()</definedName>
    <definedName name="_____________ML9" localSheetId="12">NA()</definedName>
    <definedName name="_____________ML9" localSheetId="0">#REF!</definedName>
    <definedName name="_____________ML9">#REF!</definedName>
    <definedName name="_____________mm1">[6]r!$F$4</definedName>
    <definedName name="_____________mm1000" localSheetId="11">NA()</definedName>
    <definedName name="_____________mm1000" localSheetId="12">NA()</definedName>
    <definedName name="_____________mm1000" localSheetId="0">#REF!</definedName>
    <definedName name="_____________mm1000">#REF!</definedName>
    <definedName name="_____________mm11">[2]r!$F$4</definedName>
    <definedName name="_____________mm111">[5]r!$F$4</definedName>
    <definedName name="_____________mm600" localSheetId="11">NA()</definedName>
    <definedName name="_____________mm600" localSheetId="12">NA()</definedName>
    <definedName name="_____________mm600" localSheetId="0">#REF!</definedName>
    <definedName name="_____________mm600">#REF!</definedName>
    <definedName name="_____________mm800" localSheetId="11">NA()</definedName>
    <definedName name="_____________mm800" localSheetId="12">NA()</definedName>
    <definedName name="_____________mm800" localSheetId="0">#REF!</definedName>
    <definedName name="_____________mm800">#REF!</definedName>
    <definedName name="_____________PC1" localSheetId="11">NA()</definedName>
    <definedName name="_____________PC1" localSheetId="12">NA()</definedName>
    <definedName name="_____________PC1" localSheetId="0">#REF!</definedName>
    <definedName name="_____________PC1">#REF!</definedName>
    <definedName name="_____________PC10" localSheetId="11">NA()</definedName>
    <definedName name="_____________PC10" localSheetId="12">NA()</definedName>
    <definedName name="_____________PC10" localSheetId="0">#REF!</definedName>
    <definedName name="_____________PC10">#REF!</definedName>
    <definedName name="_____________PC11" localSheetId="11">NA()</definedName>
    <definedName name="_____________PC11" localSheetId="12">NA()</definedName>
    <definedName name="_____________PC11" localSheetId="0">#REF!</definedName>
    <definedName name="_____________PC11">#REF!</definedName>
    <definedName name="_____________PC12" localSheetId="11">NA()</definedName>
    <definedName name="_____________PC12" localSheetId="12">NA()</definedName>
    <definedName name="_____________PC12" localSheetId="0">#REF!</definedName>
    <definedName name="_____________PC12">#REF!</definedName>
    <definedName name="_____________PC13" localSheetId="11">NA()</definedName>
    <definedName name="_____________PC13" localSheetId="12">NA()</definedName>
    <definedName name="_____________PC13" localSheetId="0">#REF!</definedName>
    <definedName name="_____________PC13">#REF!</definedName>
    <definedName name="_____________PC14" localSheetId="11">NA()</definedName>
    <definedName name="_____________PC14" localSheetId="12">NA()</definedName>
    <definedName name="_____________PC14" localSheetId="0">#REF!</definedName>
    <definedName name="_____________PC14">#REF!</definedName>
    <definedName name="_____________PC15" localSheetId="11">NA()</definedName>
    <definedName name="_____________PC15" localSheetId="12">NA()</definedName>
    <definedName name="_____________PC15" localSheetId="0">#REF!</definedName>
    <definedName name="_____________PC15">#REF!</definedName>
    <definedName name="_____________PC16" localSheetId="11">NA()</definedName>
    <definedName name="_____________PC16" localSheetId="12">NA()</definedName>
    <definedName name="_____________PC16" localSheetId="0">#REF!</definedName>
    <definedName name="_____________PC16">#REF!</definedName>
    <definedName name="_____________PC17" localSheetId="11">NA()</definedName>
    <definedName name="_____________PC17" localSheetId="12">NA()</definedName>
    <definedName name="_____________PC17" localSheetId="0">#REF!</definedName>
    <definedName name="_____________PC17">#REF!</definedName>
    <definedName name="_____________PC18" localSheetId="11">NA()</definedName>
    <definedName name="_____________PC18" localSheetId="12">NA()</definedName>
    <definedName name="_____________PC18" localSheetId="0">#REF!</definedName>
    <definedName name="_____________PC18">#REF!</definedName>
    <definedName name="_____________PC19" localSheetId="11">NA()</definedName>
    <definedName name="_____________PC19" localSheetId="12">NA()</definedName>
    <definedName name="_____________PC19" localSheetId="0">#REF!</definedName>
    <definedName name="_____________PC19">#REF!</definedName>
    <definedName name="_____________pc2" localSheetId="11">NA()</definedName>
    <definedName name="_____________pc2" localSheetId="12">NA()</definedName>
    <definedName name="_____________pc2" localSheetId="0">#REF!</definedName>
    <definedName name="_____________pc2">#REF!</definedName>
    <definedName name="_____________PC20">NA()</definedName>
    <definedName name="_____________PC21" localSheetId="11">NA()</definedName>
    <definedName name="_____________PC21" localSheetId="12">NA()</definedName>
    <definedName name="_____________PC21" localSheetId="0">#REF!</definedName>
    <definedName name="_____________PC21">#REF!</definedName>
    <definedName name="_____________PC22" localSheetId="11">NA()</definedName>
    <definedName name="_____________PC22" localSheetId="12">NA()</definedName>
    <definedName name="_____________PC22" localSheetId="0">#REF!</definedName>
    <definedName name="_____________PC22">#REF!</definedName>
    <definedName name="_____________PC23" localSheetId="11">NA()</definedName>
    <definedName name="_____________PC23" localSheetId="12">NA()</definedName>
    <definedName name="_____________PC23" localSheetId="0">#REF!</definedName>
    <definedName name="_____________PC23">#REF!</definedName>
    <definedName name="_____________PC24" localSheetId="11">NA()</definedName>
    <definedName name="_____________PC24" localSheetId="12">NA()</definedName>
    <definedName name="_____________PC24" localSheetId="0">#REF!</definedName>
    <definedName name="_____________PC24">#REF!</definedName>
    <definedName name="_____________PC3" localSheetId="11">NA()</definedName>
    <definedName name="_____________PC3" localSheetId="12">NA()</definedName>
    <definedName name="_____________PC3" localSheetId="0">#REF!</definedName>
    <definedName name="_____________PC3">#REF!</definedName>
    <definedName name="_____________PC4" localSheetId="11">NA()</definedName>
    <definedName name="_____________PC4" localSheetId="12">NA()</definedName>
    <definedName name="_____________PC4" localSheetId="0">#REF!</definedName>
    <definedName name="_____________PC4">#REF!</definedName>
    <definedName name="_____________PC5" localSheetId="11">NA()</definedName>
    <definedName name="_____________PC5" localSheetId="12">NA()</definedName>
    <definedName name="_____________PC5" localSheetId="0">#REF!</definedName>
    <definedName name="_____________PC5">#REF!</definedName>
    <definedName name="_____________PC6" localSheetId="11">NA()</definedName>
    <definedName name="_____________PC6" localSheetId="12">NA()</definedName>
    <definedName name="_____________PC6" localSheetId="0">#REF!</definedName>
    <definedName name="_____________PC6">#REF!</definedName>
    <definedName name="_____________pc600" localSheetId="11">NA()</definedName>
    <definedName name="_____________pc600" localSheetId="12">NA()</definedName>
    <definedName name="_____________pc600" localSheetId="0">#REF!</definedName>
    <definedName name="_____________pc600">#REF!</definedName>
    <definedName name="_____________PC7" localSheetId="11">NA()</definedName>
    <definedName name="_____________PC7" localSheetId="12">NA()</definedName>
    <definedName name="_____________PC7" localSheetId="0">#REF!</definedName>
    <definedName name="_____________PC7">#REF!</definedName>
    <definedName name="_____________PC8" localSheetId="11">NA()</definedName>
    <definedName name="_____________PC8" localSheetId="12">NA()</definedName>
    <definedName name="_____________PC8" localSheetId="0">#REF!</definedName>
    <definedName name="_____________PC8">#REF!</definedName>
    <definedName name="_____________PC9" localSheetId="11">NA()</definedName>
    <definedName name="_____________PC9" localSheetId="12">NA()</definedName>
    <definedName name="_____________PC9" localSheetId="0">#REF!</definedName>
    <definedName name="_____________PC9">#REF!</definedName>
    <definedName name="_____________pc900" localSheetId="11">NA()</definedName>
    <definedName name="_____________pc900" localSheetId="12">NA()</definedName>
    <definedName name="_____________pc900" localSheetId="0">#REF!</definedName>
    <definedName name="_____________pc900">#REF!</definedName>
    <definedName name="_____________pla4">[12]DATA_PRG!$H$269</definedName>
    <definedName name="_____________pv2" localSheetId="11">NA()</definedName>
    <definedName name="_____________pv2" localSheetId="12">NA()</definedName>
    <definedName name="_____________pv2" localSheetId="0">#REF!</definedName>
    <definedName name="_____________pv2">#REF!</definedName>
    <definedName name="_____________rr3">[7]v!$A$2:$E$51</definedName>
    <definedName name="_____________rrr1">[7]r!$B$1:$I$145</definedName>
    <definedName name="_____________SP10">[13]Sheet1!$C$18</definedName>
    <definedName name="_____________SP16">[13]Sheet1!$C$24</definedName>
    <definedName name="_____________SP7">[13]Sheet1!$C$15</definedName>
    <definedName name="_____________ss12">[8]rdamdata!$J$8</definedName>
    <definedName name="_____________ss20">[8]rdamdata!$J$7</definedName>
    <definedName name="_____________ss40">[8]rdamdata!$J$6</definedName>
    <definedName name="_____________var1" localSheetId="11">NA()</definedName>
    <definedName name="_____________var1" localSheetId="12">NA()</definedName>
    <definedName name="_____________var1" localSheetId="0">#REF!</definedName>
    <definedName name="_____________var1">#REF!</definedName>
    <definedName name="_____________var4" localSheetId="11">NA()</definedName>
    <definedName name="_____________var4" localSheetId="12">NA()</definedName>
    <definedName name="_____________var4" localSheetId="0">#REF!</definedName>
    <definedName name="_____________var4">#REF!</definedName>
    <definedName name="_____________vat1">NA()</definedName>
    <definedName name="____________bla1">[1]leads!$H$7</definedName>
    <definedName name="____________BSG100" localSheetId="11">NA()</definedName>
    <definedName name="____________BSG100" localSheetId="12">NA()</definedName>
    <definedName name="____________BSG100" localSheetId="0">#REF!</definedName>
    <definedName name="____________BSG100">#REF!</definedName>
    <definedName name="____________BSG150" localSheetId="11">NA()</definedName>
    <definedName name="____________BSG150" localSheetId="12">NA()</definedName>
    <definedName name="____________BSG150" localSheetId="0">#REF!</definedName>
    <definedName name="____________BSG150">#REF!</definedName>
    <definedName name="____________BSG5" localSheetId="11">NA()</definedName>
    <definedName name="____________BSG5" localSheetId="12">NA()</definedName>
    <definedName name="____________BSG5" localSheetId="0">#REF!</definedName>
    <definedName name="____________BSG5">#REF!</definedName>
    <definedName name="____________BSG75" localSheetId="11">NA()</definedName>
    <definedName name="____________BSG75" localSheetId="12">NA()</definedName>
    <definedName name="____________BSG75" localSheetId="0">#REF!</definedName>
    <definedName name="____________BSG75">#REF!</definedName>
    <definedName name="____________BTC1" localSheetId="11">NA()</definedName>
    <definedName name="____________BTC1" localSheetId="12">NA()</definedName>
    <definedName name="____________BTC1" localSheetId="0">#REF!</definedName>
    <definedName name="____________BTC1">#REF!</definedName>
    <definedName name="____________BTC10" localSheetId="11">NA()</definedName>
    <definedName name="____________BTC10" localSheetId="12">NA()</definedName>
    <definedName name="____________BTC10" localSheetId="0">#REF!</definedName>
    <definedName name="____________BTC10">#REF!</definedName>
    <definedName name="____________BTC11" localSheetId="11">NA()</definedName>
    <definedName name="____________BTC11" localSheetId="12">NA()</definedName>
    <definedName name="____________BTC11" localSheetId="0">#REF!</definedName>
    <definedName name="____________BTC11">#REF!</definedName>
    <definedName name="____________BTC12" localSheetId="11">NA()</definedName>
    <definedName name="____________BTC12" localSheetId="12">NA()</definedName>
    <definedName name="____________BTC12" localSheetId="0">#REF!</definedName>
    <definedName name="____________BTC12">#REF!</definedName>
    <definedName name="____________BTC13" localSheetId="11">NA()</definedName>
    <definedName name="____________BTC13" localSheetId="12">NA()</definedName>
    <definedName name="____________BTC13" localSheetId="0">#REF!</definedName>
    <definedName name="____________BTC13">#REF!</definedName>
    <definedName name="____________BTC14" localSheetId="11">NA()</definedName>
    <definedName name="____________BTC14" localSheetId="12">NA()</definedName>
    <definedName name="____________BTC14" localSheetId="0">#REF!</definedName>
    <definedName name="____________BTC14">#REF!</definedName>
    <definedName name="____________BTC15" localSheetId="11">NA()</definedName>
    <definedName name="____________BTC15" localSheetId="12">NA()</definedName>
    <definedName name="____________BTC15" localSheetId="0">#REF!</definedName>
    <definedName name="____________BTC15">#REF!</definedName>
    <definedName name="____________BTC16" localSheetId="11">NA()</definedName>
    <definedName name="____________BTC16" localSheetId="12">NA()</definedName>
    <definedName name="____________BTC16" localSheetId="0">#REF!</definedName>
    <definedName name="____________BTC16">#REF!</definedName>
    <definedName name="____________BTC17" localSheetId="11">NA()</definedName>
    <definedName name="____________BTC17" localSheetId="12">NA()</definedName>
    <definedName name="____________BTC17" localSheetId="0">#REF!</definedName>
    <definedName name="____________BTC17">#REF!</definedName>
    <definedName name="____________BTC18" localSheetId="11">NA()</definedName>
    <definedName name="____________BTC18" localSheetId="12">NA()</definedName>
    <definedName name="____________BTC18" localSheetId="0">#REF!</definedName>
    <definedName name="____________BTC18">#REF!</definedName>
    <definedName name="____________BTC19" localSheetId="11">NA()</definedName>
    <definedName name="____________BTC19" localSheetId="12">NA()</definedName>
    <definedName name="____________BTC19" localSheetId="0">#REF!</definedName>
    <definedName name="____________BTC19">#REF!</definedName>
    <definedName name="____________BTC2" localSheetId="11">NA()</definedName>
    <definedName name="____________BTC2" localSheetId="12">NA()</definedName>
    <definedName name="____________BTC2" localSheetId="0">#REF!</definedName>
    <definedName name="____________BTC2">#REF!</definedName>
    <definedName name="____________BTC20" localSheetId="11">NA()</definedName>
    <definedName name="____________BTC20" localSheetId="12">NA()</definedName>
    <definedName name="____________BTC20" localSheetId="0">#REF!</definedName>
    <definedName name="____________BTC20">#REF!</definedName>
    <definedName name="____________BTC21" localSheetId="11">NA()</definedName>
    <definedName name="____________BTC21" localSheetId="12">NA()</definedName>
    <definedName name="____________BTC21" localSheetId="0">#REF!</definedName>
    <definedName name="____________BTC21">#REF!</definedName>
    <definedName name="____________BTC22" localSheetId="11">NA()</definedName>
    <definedName name="____________BTC22" localSheetId="12">NA()</definedName>
    <definedName name="____________BTC22" localSheetId="0">#REF!</definedName>
    <definedName name="____________BTC22">#REF!</definedName>
    <definedName name="____________BTC23" localSheetId="11">NA()</definedName>
    <definedName name="____________BTC23" localSheetId="12">NA()</definedName>
    <definedName name="____________BTC23" localSheetId="0">#REF!</definedName>
    <definedName name="____________BTC23">#REF!</definedName>
    <definedName name="____________BTC24" localSheetId="11">NA()</definedName>
    <definedName name="____________BTC24" localSheetId="12">NA()</definedName>
    <definedName name="____________BTC24" localSheetId="0">#REF!</definedName>
    <definedName name="____________BTC24">#REF!</definedName>
    <definedName name="____________BTC3" localSheetId="11">NA()</definedName>
    <definedName name="____________BTC3" localSheetId="12">NA()</definedName>
    <definedName name="____________BTC3" localSheetId="0">#REF!</definedName>
    <definedName name="____________BTC3">#REF!</definedName>
    <definedName name="____________BTC4" localSheetId="11">NA()</definedName>
    <definedName name="____________BTC4" localSheetId="12">NA()</definedName>
    <definedName name="____________BTC4" localSheetId="0">#REF!</definedName>
    <definedName name="____________BTC4">#REF!</definedName>
    <definedName name="____________BTC5" localSheetId="11">NA()</definedName>
    <definedName name="____________BTC5" localSheetId="12">NA()</definedName>
    <definedName name="____________BTC5" localSheetId="0">#REF!</definedName>
    <definedName name="____________BTC5">#REF!</definedName>
    <definedName name="____________BTC6" localSheetId="11">NA()</definedName>
    <definedName name="____________BTC6" localSheetId="12">NA()</definedName>
    <definedName name="____________BTC6" localSheetId="0">#REF!</definedName>
    <definedName name="____________BTC6">#REF!</definedName>
    <definedName name="____________BTC7" localSheetId="11">NA()</definedName>
    <definedName name="____________BTC7" localSheetId="12">NA()</definedName>
    <definedName name="____________BTC7" localSheetId="0">#REF!</definedName>
    <definedName name="____________BTC7">#REF!</definedName>
    <definedName name="____________BTC8" localSheetId="11">NA()</definedName>
    <definedName name="____________BTC8" localSheetId="12">NA()</definedName>
    <definedName name="____________BTC8" localSheetId="0">#REF!</definedName>
    <definedName name="____________BTC8">#REF!</definedName>
    <definedName name="____________BTC9" localSheetId="11">NA()</definedName>
    <definedName name="____________BTC9" localSheetId="12">NA()</definedName>
    <definedName name="____________BTC9" localSheetId="0">#REF!</definedName>
    <definedName name="____________BTC9">#REF!</definedName>
    <definedName name="____________BTR1" localSheetId="11">NA()</definedName>
    <definedName name="____________BTR1" localSheetId="12">NA()</definedName>
    <definedName name="____________BTR1" localSheetId="0">#REF!</definedName>
    <definedName name="____________BTR1">#REF!</definedName>
    <definedName name="____________BTR10" localSheetId="11">NA()</definedName>
    <definedName name="____________BTR10" localSheetId="12">NA()</definedName>
    <definedName name="____________BTR10" localSheetId="0">#REF!</definedName>
    <definedName name="____________BTR10">#REF!</definedName>
    <definedName name="____________BTR11" localSheetId="11">NA()</definedName>
    <definedName name="____________BTR11" localSheetId="12">NA()</definedName>
    <definedName name="____________BTR11" localSheetId="0">#REF!</definedName>
    <definedName name="____________BTR11">#REF!</definedName>
    <definedName name="____________BTR12" localSheetId="11">NA()</definedName>
    <definedName name="____________BTR12" localSheetId="12">NA()</definedName>
    <definedName name="____________BTR12" localSheetId="0">#REF!</definedName>
    <definedName name="____________BTR12">#REF!</definedName>
    <definedName name="____________BTR13" localSheetId="11">NA()</definedName>
    <definedName name="____________BTR13" localSheetId="12">NA()</definedName>
    <definedName name="____________BTR13" localSheetId="0">#REF!</definedName>
    <definedName name="____________BTR13">#REF!</definedName>
    <definedName name="____________BTR14" localSheetId="11">NA()</definedName>
    <definedName name="____________BTR14" localSheetId="12">NA()</definedName>
    <definedName name="____________BTR14" localSheetId="0">#REF!</definedName>
    <definedName name="____________BTR14">#REF!</definedName>
    <definedName name="____________BTR15" localSheetId="11">NA()</definedName>
    <definedName name="____________BTR15" localSheetId="12">NA()</definedName>
    <definedName name="____________BTR15" localSheetId="0">#REF!</definedName>
    <definedName name="____________BTR15">#REF!</definedName>
    <definedName name="____________BTR16" localSheetId="11">NA()</definedName>
    <definedName name="____________BTR16" localSheetId="12">NA()</definedName>
    <definedName name="____________BTR16" localSheetId="0">#REF!</definedName>
    <definedName name="____________BTR16">#REF!</definedName>
    <definedName name="____________BTR17" localSheetId="11">NA()</definedName>
    <definedName name="____________BTR17" localSheetId="12">NA()</definedName>
    <definedName name="____________BTR17" localSheetId="0">#REF!</definedName>
    <definedName name="____________BTR17">#REF!</definedName>
    <definedName name="____________BTR18" localSheetId="11">NA()</definedName>
    <definedName name="____________BTR18" localSheetId="12">NA()</definedName>
    <definedName name="____________BTR18" localSheetId="0">#REF!</definedName>
    <definedName name="____________BTR18">#REF!</definedName>
    <definedName name="____________BTR19" localSheetId="11">NA()</definedName>
    <definedName name="____________BTR19" localSheetId="12">NA()</definedName>
    <definedName name="____________BTR19" localSheetId="0">#REF!</definedName>
    <definedName name="____________BTR19">#REF!</definedName>
    <definedName name="____________BTR2" localSheetId="11">NA()</definedName>
    <definedName name="____________BTR2" localSheetId="12">NA()</definedName>
    <definedName name="____________BTR2" localSheetId="0">#REF!</definedName>
    <definedName name="____________BTR2">#REF!</definedName>
    <definedName name="____________BTR20" localSheetId="11">NA()</definedName>
    <definedName name="____________BTR20" localSheetId="12">NA()</definedName>
    <definedName name="____________BTR20" localSheetId="0">#REF!</definedName>
    <definedName name="____________BTR20">#REF!</definedName>
    <definedName name="____________BTR21" localSheetId="11">NA()</definedName>
    <definedName name="____________BTR21" localSheetId="12">NA()</definedName>
    <definedName name="____________BTR21" localSheetId="0">#REF!</definedName>
    <definedName name="____________BTR21">#REF!</definedName>
    <definedName name="____________BTR22" localSheetId="11">NA()</definedName>
    <definedName name="____________BTR22" localSheetId="12">NA()</definedName>
    <definedName name="____________BTR22" localSheetId="0">#REF!</definedName>
    <definedName name="____________BTR22">#REF!</definedName>
    <definedName name="____________BTR23" localSheetId="11">NA()</definedName>
    <definedName name="____________BTR23" localSheetId="12">NA()</definedName>
    <definedName name="____________BTR23" localSheetId="0">#REF!</definedName>
    <definedName name="____________BTR23">#REF!</definedName>
    <definedName name="____________BTR24" localSheetId="11">NA()</definedName>
    <definedName name="____________BTR24" localSheetId="12">NA()</definedName>
    <definedName name="____________BTR24" localSheetId="0">#REF!</definedName>
    <definedName name="____________BTR24">#REF!</definedName>
    <definedName name="____________BTR3" localSheetId="11">NA()</definedName>
    <definedName name="____________BTR3" localSheetId="12">NA()</definedName>
    <definedName name="____________BTR3" localSheetId="0">#REF!</definedName>
    <definedName name="____________BTR3">#REF!</definedName>
    <definedName name="____________BTR4" localSheetId="11">NA()</definedName>
    <definedName name="____________BTR4" localSheetId="12">NA()</definedName>
    <definedName name="____________BTR4" localSheetId="0">#REF!</definedName>
    <definedName name="____________BTR4">#REF!</definedName>
    <definedName name="____________BTR5" localSheetId="11">NA()</definedName>
    <definedName name="____________BTR5" localSheetId="12">NA()</definedName>
    <definedName name="____________BTR5" localSheetId="0">#REF!</definedName>
    <definedName name="____________BTR5">#REF!</definedName>
    <definedName name="____________BTR6" localSheetId="11">NA()</definedName>
    <definedName name="____________BTR6" localSheetId="12">NA()</definedName>
    <definedName name="____________BTR6" localSheetId="0">#REF!</definedName>
    <definedName name="____________BTR6">#REF!</definedName>
    <definedName name="____________BTR7" localSheetId="11">NA()</definedName>
    <definedName name="____________BTR7" localSheetId="12">NA()</definedName>
    <definedName name="____________BTR7" localSheetId="0">#REF!</definedName>
    <definedName name="____________BTR7">#REF!</definedName>
    <definedName name="____________BTR8" localSheetId="11">NA()</definedName>
    <definedName name="____________BTR8" localSheetId="12">NA()</definedName>
    <definedName name="____________BTR8" localSheetId="0">#REF!</definedName>
    <definedName name="____________BTR8">#REF!</definedName>
    <definedName name="____________BTR9" localSheetId="11">NA()</definedName>
    <definedName name="____________BTR9" localSheetId="12">NA()</definedName>
    <definedName name="____________BTR9" localSheetId="0">#REF!</definedName>
    <definedName name="____________BTR9">#REF!</definedName>
    <definedName name="____________BTS1" localSheetId="11">NA()</definedName>
    <definedName name="____________BTS1" localSheetId="12">NA()</definedName>
    <definedName name="____________BTS1" localSheetId="0">#REF!</definedName>
    <definedName name="____________BTS1">#REF!</definedName>
    <definedName name="____________BTS10" localSheetId="11">NA()</definedName>
    <definedName name="____________BTS10" localSheetId="12">NA()</definedName>
    <definedName name="____________BTS10" localSheetId="0">#REF!</definedName>
    <definedName name="____________BTS10">#REF!</definedName>
    <definedName name="____________BTS11" localSheetId="11">NA()</definedName>
    <definedName name="____________BTS11" localSheetId="12">NA()</definedName>
    <definedName name="____________BTS11" localSheetId="0">#REF!</definedName>
    <definedName name="____________BTS11">#REF!</definedName>
    <definedName name="____________BTS12" localSheetId="11">NA()</definedName>
    <definedName name="____________BTS12" localSheetId="12">NA()</definedName>
    <definedName name="____________BTS12" localSheetId="0">#REF!</definedName>
    <definedName name="____________BTS12">#REF!</definedName>
    <definedName name="____________BTS13" localSheetId="11">NA()</definedName>
    <definedName name="____________BTS13" localSheetId="12">NA()</definedName>
    <definedName name="____________BTS13" localSheetId="0">#REF!</definedName>
    <definedName name="____________BTS13">#REF!</definedName>
    <definedName name="____________BTS14" localSheetId="11">NA()</definedName>
    <definedName name="____________BTS14" localSheetId="12">NA()</definedName>
    <definedName name="____________BTS14" localSheetId="0">#REF!</definedName>
    <definedName name="____________BTS14">#REF!</definedName>
    <definedName name="____________BTS15" localSheetId="11">NA()</definedName>
    <definedName name="____________BTS15" localSheetId="12">NA()</definedName>
    <definedName name="____________BTS15" localSheetId="0">#REF!</definedName>
    <definedName name="____________BTS15">#REF!</definedName>
    <definedName name="____________BTS16" localSheetId="11">NA()</definedName>
    <definedName name="____________BTS16" localSheetId="12">NA()</definedName>
    <definedName name="____________BTS16" localSheetId="0">#REF!</definedName>
    <definedName name="____________BTS16">#REF!</definedName>
    <definedName name="____________BTS17" localSheetId="11">NA()</definedName>
    <definedName name="____________BTS17" localSheetId="12">NA()</definedName>
    <definedName name="____________BTS17" localSheetId="0">#REF!</definedName>
    <definedName name="____________BTS17">#REF!</definedName>
    <definedName name="____________BTS18" localSheetId="11">NA()</definedName>
    <definedName name="____________BTS18" localSheetId="12">NA()</definedName>
    <definedName name="____________BTS18" localSheetId="0">#REF!</definedName>
    <definedName name="____________BTS18">#REF!</definedName>
    <definedName name="____________BTS19" localSheetId="11">NA()</definedName>
    <definedName name="____________BTS19" localSheetId="12">NA()</definedName>
    <definedName name="____________BTS19" localSheetId="0">#REF!</definedName>
    <definedName name="____________BTS19">#REF!</definedName>
    <definedName name="____________BTS2" localSheetId="11">NA()</definedName>
    <definedName name="____________BTS2" localSheetId="12">NA()</definedName>
    <definedName name="____________BTS2" localSheetId="0">#REF!</definedName>
    <definedName name="____________BTS2">#REF!</definedName>
    <definedName name="____________BTS20" localSheetId="11">NA()</definedName>
    <definedName name="____________BTS20" localSheetId="12">NA()</definedName>
    <definedName name="____________BTS20" localSheetId="0">#REF!</definedName>
    <definedName name="____________BTS20">#REF!</definedName>
    <definedName name="____________BTS21" localSheetId="11">NA()</definedName>
    <definedName name="____________BTS21" localSheetId="12">NA()</definedName>
    <definedName name="____________BTS21" localSheetId="0">#REF!</definedName>
    <definedName name="____________BTS21">#REF!</definedName>
    <definedName name="____________BTS22" localSheetId="11">NA()</definedName>
    <definedName name="____________BTS22" localSheetId="12">NA()</definedName>
    <definedName name="____________BTS22" localSheetId="0">#REF!</definedName>
    <definedName name="____________BTS22">#REF!</definedName>
    <definedName name="____________BTS23" localSheetId="11">NA()</definedName>
    <definedName name="____________BTS23" localSheetId="12">NA()</definedName>
    <definedName name="____________BTS23" localSheetId="0">#REF!</definedName>
    <definedName name="____________BTS23">#REF!</definedName>
    <definedName name="____________BTS24" localSheetId="11">NA()</definedName>
    <definedName name="____________BTS24" localSheetId="12">NA()</definedName>
    <definedName name="____________BTS24" localSheetId="0">#REF!</definedName>
    <definedName name="____________BTS24">#REF!</definedName>
    <definedName name="____________BTS3" localSheetId="11">NA()</definedName>
    <definedName name="____________BTS3" localSheetId="12">NA()</definedName>
    <definedName name="____________BTS3" localSheetId="0">#REF!</definedName>
    <definedName name="____________BTS3">#REF!</definedName>
    <definedName name="____________BTS4" localSheetId="11">NA()</definedName>
    <definedName name="____________BTS4" localSheetId="12">NA()</definedName>
    <definedName name="____________BTS4" localSheetId="0">#REF!</definedName>
    <definedName name="____________BTS4">#REF!</definedName>
    <definedName name="____________BTS5" localSheetId="11">NA()</definedName>
    <definedName name="____________BTS5" localSheetId="12">NA()</definedName>
    <definedName name="____________BTS5" localSheetId="0">#REF!</definedName>
    <definedName name="____________BTS5">#REF!</definedName>
    <definedName name="____________BTS6" localSheetId="11">NA()</definedName>
    <definedName name="____________BTS6" localSheetId="12">NA()</definedName>
    <definedName name="____________BTS6" localSheetId="0">#REF!</definedName>
    <definedName name="____________BTS6">#REF!</definedName>
    <definedName name="____________BTS7" localSheetId="11">NA()</definedName>
    <definedName name="____________BTS7" localSheetId="12">NA()</definedName>
    <definedName name="____________BTS7" localSheetId="0">#REF!</definedName>
    <definedName name="____________BTS7">#REF!</definedName>
    <definedName name="____________BTS8" localSheetId="11">NA()</definedName>
    <definedName name="____________BTS8" localSheetId="12">NA()</definedName>
    <definedName name="____________BTS8" localSheetId="0">#REF!</definedName>
    <definedName name="____________BTS8">#REF!</definedName>
    <definedName name="____________BTS9" localSheetId="11">NA()</definedName>
    <definedName name="____________BTS9" localSheetId="12">NA()</definedName>
    <definedName name="____________BTS9" localSheetId="0">#REF!</definedName>
    <definedName name="____________BTS9">#REF!</definedName>
    <definedName name="____________can430">40.73</definedName>
    <definedName name="____________can435">43.3</definedName>
    <definedName name="____________CCW1">[9]DATA!$H$67</definedName>
    <definedName name="____________CCW2">[9]DATA!$H$97</definedName>
    <definedName name="____________cur1">[2]r!$F$30</definedName>
    <definedName name="____________G120907" localSheetId="11">"[23]data!#ref!"</definedName>
    <definedName name="____________G120907" localSheetId="12">"[23]data!#ref!"</definedName>
    <definedName name="____________G120907" localSheetId="0">[18]Data!#REF!</definedName>
    <definedName name="____________G120907">[18]Data!#REF!</definedName>
    <definedName name="____________GBS11">NA()</definedName>
    <definedName name="____________GBS110" localSheetId="11">NA()</definedName>
    <definedName name="____________GBS110" localSheetId="12">NA()</definedName>
    <definedName name="____________GBS110" localSheetId="0">#REF!</definedName>
    <definedName name="____________GBS110">#REF!</definedName>
    <definedName name="____________GBS111" localSheetId="11">NA()</definedName>
    <definedName name="____________GBS111" localSheetId="12">NA()</definedName>
    <definedName name="____________GBS111" localSheetId="0">#REF!</definedName>
    <definedName name="____________GBS111">#REF!</definedName>
    <definedName name="____________GBS112" localSheetId="11">NA()</definedName>
    <definedName name="____________GBS112" localSheetId="12">NA()</definedName>
    <definedName name="____________GBS112" localSheetId="0">#REF!</definedName>
    <definedName name="____________GBS112">#REF!</definedName>
    <definedName name="____________GBS113" localSheetId="11">NA()</definedName>
    <definedName name="____________GBS113" localSheetId="12">NA()</definedName>
    <definedName name="____________GBS113" localSheetId="0">#REF!</definedName>
    <definedName name="____________GBS113">#REF!</definedName>
    <definedName name="____________GBS114" localSheetId="11">NA()</definedName>
    <definedName name="____________GBS114" localSheetId="12">NA()</definedName>
    <definedName name="____________GBS114" localSheetId="0">#REF!</definedName>
    <definedName name="____________GBS114">#REF!</definedName>
    <definedName name="____________GBS115" localSheetId="11">NA()</definedName>
    <definedName name="____________GBS115" localSheetId="12">NA()</definedName>
    <definedName name="____________GBS115" localSheetId="0">#REF!</definedName>
    <definedName name="____________GBS115">#REF!</definedName>
    <definedName name="____________GBS116" localSheetId="11">NA()</definedName>
    <definedName name="____________GBS116" localSheetId="12">NA()</definedName>
    <definedName name="____________GBS116" localSheetId="0">#REF!</definedName>
    <definedName name="____________GBS116">#REF!</definedName>
    <definedName name="____________GBS117" localSheetId="11">NA()</definedName>
    <definedName name="____________GBS117" localSheetId="12">NA()</definedName>
    <definedName name="____________GBS117" localSheetId="0">#REF!</definedName>
    <definedName name="____________GBS117">#REF!</definedName>
    <definedName name="____________GBS118" localSheetId="11">NA()</definedName>
    <definedName name="____________GBS118" localSheetId="12">NA()</definedName>
    <definedName name="____________GBS118" localSheetId="0">#REF!</definedName>
    <definedName name="____________GBS118">#REF!</definedName>
    <definedName name="____________GBS119" localSheetId="11">NA()</definedName>
    <definedName name="____________GBS119" localSheetId="12">NA()</definedName>
    <definedName name="____________GBS119" localSheetId="0">#REF!</definedName>
    <definedName name="____________GBS119">#REF!</definedName>
    <definedName name="____________GBS12" localSheetId="11">NA()</definedName>
    <definedName name="____________GBS12" localSheetId="12">NA()</definedName>
    <definedName name="____________GBS12" localSheetId="0">#REF!</definedName>
    <definedName name="____________GBS12">#REF!</definedName>
    <definedName name="____________GBS120" localSheetId="11">NA()</definedName>
    <definedName name="____________GBS120" localSheetId="12">NA()</definedName>
    <definedName name="____________GBS120" localSheetId="0">#REF!</definedName>
    <definedName name="____________GBS120">#REF!</definedName>
    <definedName name="____________GBS121" localSheetId="11">NA()</definedName>
    <definedName name="____________GBS121" localSheetId="12">NA()</definedName>
    <definedName name="____________GBS121" localSheetId="0">#REF!</definedName>
    <definedName name="____________GBS121">#REF!</definedName>
    <definedName name="____________GBS122" localSheetId="11">NA()</definedName>
    <definedName name="____________GBS122" localSheetId="12">NA()</definedName>
    <definedName name="____________GBS122" localSheetId="0">#REF!</definedName>
    <definedName name="____________GBS122">#REF!</definedName>
    <definedName name="____________GBS123" localSheetId="11">NA()</definedName>
    <definedName name="____________GBS123" localSheetId="12">NA()</definedName>
    <definedName name="____________GBS123" localSheetId="0">#REF!</definedName>
    <definedName name="____________GBS123">#REF!</definedName>
    <definedName name="____________GBS124" localSheetId="11">NA()</definedName>
    <definedName name="____________GBS124" localSheetId="12">NA()</definedName>
    <definedName name="____________GBS124" localSheetId="0">#REF!</definedName>
    <definedName name="____________GBS124">#REF!</definedName>
    <definedName name="____________GBS13" localSheetId="11">NA()</definedName>
    <definedName name="____________GBS13" localSheetId="12">NA()</definedName>
    <definedName name="____________GBS13" localSheetId="0">#REF!</definedName>
    <definedName name="____________GBS13">#REF!</definedName>
    <definedName name="____________GBS14" localSheetId="11">NA()</definedName>
    <definedName name="____________GBS14" localSheetId="12">NA()</definedName>
    <definedName name="____________GBS14" localSheetId="0">#REF!</definedName>
    <definedName name="____________GBS14">#REF!</definedName>
    <definedName name="____________GBS15" localSheetId="11">NA()</definedName>
    <definedName name="____________GBS15" localSheetId="12">NA()</definedName>
    <definedName name="____________GBS15" localSheetId="0">#REF!</definedName>
    <definedName name="____________GBS15">#REF!</definedName>
    <definedName name="____________GBS16" localSheetId="11">NA()</definedName>
    <definedName name="____________GBS16" localSheetId="12">NA()</definedName>
    <definedName name="____________GBS16" localSheetId="0">#REF!</definedName>
    <definedName name="____________GBS16">#REF!</definedName>
    <definedName name="____________GBS17" localSheetId="11">NA()</definedName>
    <definedName name="____________GBS17" localSheetId="12">NA()</definedName>
    <definedName name="____________GBS17" localSheetId="0">#REF!</definedName>
    <definedName name="____________GBS17">#REF!</definedName>
    <definedName name="____________GBS18" localSheetId="11">NA()</definedName>
    <definedName name="____________GBS18" localSheetId="12">NA()</definedName>
    <definedName name="____________GBS18" localSheetId="0">#REF!</definedName>
    <definedName name="____________GBS18">#REF!</definedName>
    <definedName name="____________GBS19" localSheetId="11">NA()</definedName>
    <definedName name="____________GBS19" localSheetId="12">NA()</definedName>
    <definedName name="____________GBS19" localSheetId="0">#REF!</definedName>
    <definedName name="____________GBS19">#REF!</definedName>
    <definedName name="____________GBS21" localSheetId="11">NA()</definedName>
    <definedName name="____________GBS21" localSheetId="12">NA()</definedName>
    <definedName name="____________GBS21" localSheetId="0">#REF!</definedName>
    <definedName name="____________GBS21">#REF!</definedName>
    <definedName name="____________GBS210" localSheetId="11">NA()</definedName>
    <definedName name="____________GBS210" localSheetId="12">NA()</definedName>
    <definedName name="____________GBS210" localSheetId="0">#REF!</definedName>
    <definedName name="____________GBS210">#REF!</definedName>
    <definedName name="____________GBS211" localSheetId="11">NA()</definedName>
    <definedName name="____________GBS211" localSheetId="12">NA()</definedName>
    <definedName name="____________GBS211" localSheetId="0">#REF!</definedName>
    <definedName name="____________GBS211">#REF!</definedName>
    <definedName name="____________GBS212" localSheetId="11">NA()</definedName>
    <definedName name="____________GBS212" localSheetId="12">NA()</definedName>
    <definedName name="____________GBS212" localSheetId="0">#REF!</definedName>
    <definedName name="____________GBS212">#REF!</definedName>
    <definedName name="____________GBS213" localSheetId="11">NA()</definedName>
    <definedName name="____________GBS213" localSheetId="12">NA()</definedName>
    <definedName name="____________GBS213" localSheetId="0">#REF!</definedName>
    <definedName name="____________GBS213">#REF!</definedName>
    <definedName name="____________GBS214" localSheetId="11">NA()</definedName>
    <definedName name="____________GBS214" localSheetId="12">NA()</definedName>
    <definedName name="____________GBS214" localSheetId="0">#REF!</definedName>
    <definedName name="____________GBS214">#REF!</definedName>
    <definedName name="____________GBS215" localSheetId="11">NA()</definedName>
    <definedName name="____________GBS215" localSheetId="12">NA()</definedName>
    <definedName name="____________GBS215" localSheetId="0">#REF!</definedName>
    <definedName name="____________GBS215">#REF!</definedName>
    <definedName name="____________GBS216" localSheetId="11">NA()</definedName>
    <definedName name="____________GBS216" localSheetId="12">NA()</definedName>
    <definedName name="____________GBS216" localSheetId="0">#REF!</definedName>
    <definedName name="____________GBS216">#REF!</definedName>
    <definedName name="____________GBS217" localSheetId="11">NA()</definedName>
    <definedName name="____________GBS217" localSheetId="12">NA()</definedName>
    <definedName name="____________GBS217" localSheetId="0">#REF!</definedName>
    <definedName name="____________GBS217">#REF!</definedName>
    <definedName name="____________GBS218" localSheetId="11">NA()</definedName>
    <definedName name="____________GBS218" localSheetId="12">NA()</definedName>
    <definedName name="____________GBS218" localSheetId="0">#REF!</definedName>
    <definedName name="____________GBS218">#REF!</definedName>
    <definedName name="____________GBS219" localSheetId="11">NA()</definedName>
    <definedName name="____________GBS219" localSheetId="12">NA()</definedName>
    <definedName name="____________GBS219" localSheetId="0">#REF!</definedName>
    <definedName name="____________GBS219">#REF!</definedName>
    <definedName name="____________GBS22" localSheetId="11">NA()</definedName>
    <definedName name="____________GBS22" localSheetId="12">NA()</definedName>
    <definedName name="____________GBS22" localSheetId="0">#REF!</definedName>
    <definedName name="____________GBS22">#REF!</definedName>
    <definedName name="____________GBS220" localSheetId="11">NA()</definedName>
    <definedName name="____________GBS220" localSheetId="12">NA()</definedName>
    <definedName name="____________GBS220" localSheetId="0">#REF!</definedName>
    <definedName name="____________GBS220">#REF!</definedName>
    <definedName name="____________GBS221" localSheetId="11">NA()</definedName>
    <definedName name="____________GBS221" localSheetId="12">NA()</definedName>
    <definedName name="____________GBS221" localSheetId="0">#REF!</definedName>
    <definedName name="____________GBS221">#REF!</definedName>
    <definedName name="____________GBS222" localSheetId="11">NA()</definedName>
    <definedName name="____________GBS222" localSheetId="12">NA()</definedName>
    <definedName name="____________GBS222" localSheetId="0">#REF!</definedName>
    <definedName name="____________GBS222">#REF!</definedName>
    <definedName name="____________GBS223" localSheetId="11">NA()</definedName>
    <definedName name="____________GBS223" localSheetId="12">NA()</definedName>
    <definedName name="____________GBS223" localSheetId="0">#REF!</definedName>
    <definedName name="____________GBS223">#REF!</definedName>
    <definedName name="____________GBS224" localSheetId="11">NA()</definedName>
    <definedName name="____________GBS224" localSheetId="12">NA()</definedName>
    <definedName name="____________GBS224" localSheetId="0">#REF!</definedName>
    <definedName name="____________GBS224">#REF!</definedName>
    <definedName name="____________GBS23" localSheetId="11">NA()</definedName>
    <definedName name="____________GBS23" localSheetId="12">NA()</definedName>
    <definedName name="____________GBS23" localSheetId="0">#REF!</definedName>
    <definedName name="____________GBS23">#REF!</definedName>
    <definedName name="____________GBS24" localSheetId="11">NA()</definedName>
    <definedName name="____________GBS24" localSheetId="12">NA()</definedName>
    <definedName name="____________GBS24" localSheetId="0">#REF!</definedName>
    <definedName name="____________GBS24">#REF!</definedName>
    <definedName name="____________GBS25" localSheetId="11">NA()</definedName>
    <definedName name="____________GBS25" localSheetId="12">NA()</definedName>
    <definedName name="____________GBS25" localSheetId="0">#REF!</definedName>
    <definedName name="____________GBS25">#REF!</definedName>
    <definedName name="____________GBS26" localSheetId="11">NA()</definedName>
    <definedName name="____________GBS26" localSheetId="12">NA()</definedName>
    <definedName name="____________GBS26" localSheetId="0">#REF!</definedName>
    <definedName name="____________GBS26">#REF!</definedName>
    <definedName name="____________GBS27" localSheetId="11">NA()</definedName>
    <definedName name="____________GBS27" localSheetId="12">NA()</definedName>
    <definedName name="____________GBS27" localSheetId="0">#REF!</definedName>
    <definedName name="____________GBS27">#REF!</definedName>
    <definedName name="____________GBS28" localSheetId="11">NA()</definedName>
    <definedName name="____________GBS28" localSheetId="12">NA()</definedName>
    <definedName name="____________GBS28" localSheetId="0">#REF!</definedName>
    <definedName name="____________GBS28">#REF!</definedName>
    <definedName name="____________GBS29" localSheetId="11">NA()</definedName>
    <definedName name="____________GBS29" localSheetId="12">NA()</definedName>
    <definedName name="____________GBS29" localSheetId="0">#REF!</definedName>
    <definedName name="____________GBS29">#REF!</definedName>
    <definedName name="____________imp1">[11]DATA_PRG!$H$245</definedName>
    <definedName name="____________knr2">NA()</definedName>
    <definedName name="____________l1">[3]leads!$A$3:$E$108</definedName>
    <definedName name="____________l12" localSheetId="11">NA()</definedName>
    <definedName name="____________l12" localSheetId="12">NA()</definedName>
    <definedName name="____________l12" localSheetId="0">#REF!</definedName>
    <definedName name="____________l12">#REF!</definedName>
    <definedName name="____________l2">[2]r!$F$29</definedName>
    <definedName name="____________l3" localSheetId="11">NA()</definedName>
    <definedName name="____________l3" localSheetId="12">NA()</definedName>
    <definedName name="____________l3" localSheetId="0">#REF!</definedName>
    <definedName name="____________l3">#REF!</definedName>
    <definedName name="____________l4">[4]Sheet1!$W$2:$Y$103</definedName>
    <definedName name="____________l5" localSheetId="11">NA()</definedName>
    <definedName name="____________l5" localSheetId="12">NA()</definedName>
    <definedName name="____________l5" localSheetId="0">#REF!</definedName>
    <definedName name="____________l5">#REF!</definedName>
    <definedName name="____________l6">[2]r!$F$4</definedName>
    <definedName name="____________l7">[5]r!$F$4</definedName>
    <definedName name="____________l8">[2]r!$F$2</definedName>
    <definedName name="____________l9">[2]r!$F$3</definedName>
    <definedName name="____________LJ6">[9]DATA!$H$245</definedName>
    <definedName name="____________lj600" localSheetId="11">NA()</definedName>
    <definedName name="____________lj600" localSheetId="12">NA()</definedName>
    <definedName name="____________lj600" localSheetId="0">#REF!</definedName>
    <definedName name="____________lj600">#REF!</definedName>
    <definedName name="____________lj900" localSheetId="11">NA()</definedName>
    <definedName name="____________lj900" localSheetId="12">NA()</definedName>
    <definedName name="____________lj900" localSheetId="0">#REF!</definedName>
    <definedName name="____________lj900">#REF!</definedName>
    <definedName name="____________LL3" localSheetId="11">NA()</definedName>
    <definedName name="____________LL3" localSheetId="12">NA()</definedName>
    <definedName name="____________LL3" localSheetId="0">#REF!</definedName>
    <definedName name="____________LL3">#REF!</definedName>
    <definedName name="____________LSO24" localSheetId="11">"[14]lead!#ref!"</definedName>
    <definedName name="____________LSO24" localSheetId="12">"[14]lead!#ref!"</definedName>
    <definedName name="____________LSO24" localSheetId="0">[10]Lead!#REF!</definedName>
    <definedName name="____________LSO24">[10]Lead!#REF!</definedName>
    <definedName name="____________MA1" localSheetId="11">NA()</definedName>
    <definedName name="____________MA1" localSheetId="12">NA()</definedName>
    <definedName name="____________MA1" localSheetId="0">#REF!</definedName>
    <definedName name="____________MA1">#REF!</definedName>
    <definedName name="____________MA2">NA()</definedName>
    <definedName name="____________me12">NA()</definedName>
    <definedName name="____________Met22">NA()</definedName>
    <definedName name="____________Met45" localSheetId="11">NA()</definedName>
    <definedName name="____________Met45" localSheetId="12">NA()</definedName>
    <definedName name="____________Met45" localSheetId="0">#REF!</definedName>
    <definedName name="____________Met45">#REF!</definedName>
    <definedName name="____________Met54" localSheetId="11">NA()</definedName>
    <definedName name="____________Met54" localSheetId="12">NA()</definedName>
    <definedName name="____________Met54" localSheetId="0">#REF!</definedName>
    <definedName name="____________Met54">#REF!</definedName>
    <definedName name="____________MEt55" localSheetId="11">NA()</definedName>
    <definedName name="____________MEt55" localSheetId="12">NA()</definedName>
    <definedName name="____________MEt55" localSheetId="0">#REF!</definedName>
    <definedName name="____________MEt55">#REF!</definedName>
    <definedName name="____________Met63" localSheetId="11">NA()</definedName>
    <definedName name="____________Met63" localSheetId="12">NA()</definedName>
    <definedName name="____________Met63" localSheetId="0">#REF!</definedName>
    <definedName name="____________Met63">#REF!</definedName>
    <definedName name="____________ML21" localSheetId="11">NA()</definedName>
    <definedName name="____________ML21" localSheetId="12">NA()</definedName>
    <definedName name="____________ML21" localSheetId="0">#REF!</definedName>
    <definedName name="____________ML21">#REF!</definedName>
    <definedName name="____________ML210" localSheetId="11">NA()</definedName>
    <definedName name="____________ML210" localSheetId="12">NA()</definedName>
    <definedName name="____________ML210" localSheetId="0">#REF!</definedName>
    <definedName name="____________ML210">#REF!</definedName>
    <definedName name="____________ML211" localSheetId="11">NA()</definedName>
    <definedName name="____________ML211" localSheetId="12">NA()</definedName>
    <definedName name="____________ML211" localSheetId="0">#REF!</definedName>
    <definedName name="____________ML211">#REF!</definedName>
    <definedName name="____________ML212" localSheetId="11">NA()</definedName>
    <definedName name="____________ML212" localSheetId="12">NA()</definedName>
    <definedName name="____________ML212" localSheetId="0">#REF!</definedName>
    <definedName name="____________ML212">#REF!</definedName>
    <definedName name="____________ML213" localSheetId="11">NA()</definedName>
    <definedName name="____________ML213" localSheetId="12">NA()</definedName>
    <definedName name="____________ML213" localSheetId="0">#REF!</definedName>
    <definedName name="____________ML213">#REF!</definedName>
    <definedName name="____________ML214" localSheetId="11">NA()</definedName>
    <definedName name="____________ML214" localSheetId="12">NA()</definedName>
    <definedName name="____________ML214" localSheetId="0">#REF!</definedName>
    <definedName name="____________ML214">#REF!</definedName>
    <definedName name="____________ML215" localSheetId="11">NA()</definedName>
    <definedName name="____________ML215" localSheetId="12">NA()</definedName>
    <definedName name="____________ML215" localSheetId="0">#REF!</definedName>
    <definedName name="____________ML215">#REF!</definedName>
    <definedName name="____________ML216" localSheetId="11">NA()</definedName>
    <definedName name="____________ML216" localSheetId="12">NA()</definedName>
    <definedName name="____________ML216" localSheetId="0">#REF!</definedName>
    <definedName name="____________ML216">#REF!</definedName>
    <definedName name="____________ML217" localSheetId="11">NA()</definedName>
    <definedName name="____________ML217" localSheetId="12">NA()</definedName>
    <definedName name="____________ML217" localSheetId="0">#REF!</definedName>
    <definedName name="____________ML217">#REF!</definedName>
    <definedName name="____________ML218" localSheetId="11">NA()</definedName>
    <definedName name="____________ML218" localSheetId="12">NA()</definedName>
    <definedName name="____________ML218" localSheetId="0">#REF!</definedName>
    <definedName name="____________ML218">#REF!</definedName>
    <definedName name="____________ML219" localSheetId="11">NA()</definedName>
    <definedName name="____________ML219" localSheetId="12">NA()</definedName>
    <definedName name="____________ML219" localSheetId="0">#REF!</definedName>
    <definedName name="____________ML219">#REF!</definedName>
    <definedName name="____________ML22" localSheetId="11">NA()</definedName>
    <definedName name="____________ML22" localSheetId="12">NA()</definedName>
    <definedName name="____________ML22" localSheetId="0">#REF!</definedName>
    <definedName name="____________ML22">#REF!</definedName>
    <definedName name="____________ML220" localSheetId="11">NA()</definedName>
    <definedName name="____________ML220" localSheetId="12">NA()</definedName>
    <definedName name="____________ML220" localSheetId="0">#REF!</definedName>
    <definedName name="____________ML220">#REF!</definedName>
    <definedName name="____________ML221" localSheetId="11">NA()</definedName>
    <definedName name="____________ML221" localSheetId="12">NA()</definedName>
    <definedName name="____________ML221" localSheetId="0">#REF!</definedName>
    <definedName name="____________ML221">#REF!</definedName>
    <definedName name="____________ML222" localSheetId="11">NA()</definedName>
    <definedName name="____________ML222" localSheetId="12">NA()</definedName>
    <definedName name="____________ML222" localSheetId="0">#REF!</definedName>
    <definedName name="____________ML222">#REF!</definedName>
    <definedName name="____________ML223" localSheetId="11">NA()</definedName>
    <definedName name="____________ML223" localSheetId="12">NA()</definedName>
    <definedName name="____________ML223" localSheetId="0">#REF!</definedName>
    <definedName name="____________ML223">#REF!</definedName>
    <definedName name="____________ML224" localSheetId="11">NA()</definedName>
    <definedName name="____________ML224" localSheetId="12">NA()</definedName>
    <definedName name="____________ML224" localSheetId="0">#REF!</definedName>
    <definedName name="____________ML224">#REF!</definedName>
    <definedName name="____________ML23" localSheetId="11">NA()</definedName>
    <definedName name="____________ML23" localSheetId="12">NA()</definedName>
    <definedName name="____________ML23" localSheetId="0">#REF!</definedName>
    <definedName name="____________ML23">#REF!</definedName>
    <definedName name="____________ML24" localSheetId="11">NA()</definedName>
    <definedName name="____________ML24" localSheetId="12">NA()</definedName>
    <definedName name="____________ML24" localSheetId="0">#REF!</definedName>
    <definedName name="____________ML24">#REF!</definedName>
    <definedName name="____________ML25" localSheetId="11">NA()</definedName>
    <definedName name="____________ML25" localSheetId="12">NA()</definedName>
    <definedName name="____________ML25" localSheetId="0">#REF!</definedName>
    <definedName name="____________ML25">#REF!</definedName>
    <definedName name="____________ML26" localSheetId="11">NA()</definedName>
    <definedName name="____________ML26" localSheetId="12">NA()</definedName>
    <definedName name="____________ML26" localSheetId="0">#REF!</definedName>
    <definedName name="____________ML26">#REF!</definedName>
    <definedName name="____________ML27" localSheetId="11">NA()</definedName>
    <definedName name="____________ML27" localSheetId="12">NA()</definedName>
    <definedName name="____________ML27" localSheetId="0">#REF!</definedName>
    <definedName name="____________ML27">#REF!</definedName>
    <definedName name="____________ML28" localSheetId="11">NA()</definedName>
    <definedName name="____________ML28" localSheetId="12">NA()</definedName>
    <definedName name="____________ML28" localSheetId="0">#REF!</definedName>
    <definedName name="____________ML28">#REF!</definedName>
    <definedName name="____________ML29" localSheetId="11">NA()</definedName>
    <definedName name="____________ML29" localSheetId="12">NA()</definedName>
    <definedName name="____________ML29" localSheetId="0">#REF!</definedName>
    <definedName name="____________ML29">#REF!</definedName>
    <definedName name="____________ML31" localSheetId="11">NA()</definedName>
    <definedName name="____________ML31" localSheetId="12">NA()</definedName>
    <definedName name="____________ML31" localSheetId="0">#REF!</definedName>
    <definedName name="____________ML31">#REF!</definedName>
    <definedName name="____________ML310" localSheetId="11">NA()</definedName>
    <definedName name="____________ML310" localSheetId="12">NA()</definedName>
    <definedName name="____________ML310" localSheetId="0">#REF!</definedName>
    <definedName name="____________ML310">#REF!</definedName>
    <definedName name="____________ML311" localSheetId="11">NA()</definedName>
    <definedName name="____________ML311" localSheetId="12">NA()</definedName>
    <definedName name="____________ML311" localSheetId="0">#REF!</definedName>
    <definedName name="____________ML311">#REF!</definedName>
    <definedName name="____________ML312" localSheetId="11">NA()</definedName>
    <definedName name="____________ML312" localSheetId="12">NA()</definedName>
    <definedName name="____________ML312" localSheetId="0">#REF!</definedName>
    <definedName name="____________ML312">#REF!</definedName>
    <definedName name="____________ML313" localSheetId="11">NA()</definedName>
    <definedName name="____________ML313" localSheetId="12">NA()</definedName>
    <definedName name="____________ML313" localSheetId="0">#REF!</definedName>
    <definedName name="____________ML313">#REF!</definedName>
    <definedName name="____________ML314" localSheetId="11">NA()</definedName>
    <definedName name="____________ML314" localSheetId="12">NA()</definedName>
    <definedName name="____________ML314" localSheetId="0">#REF!</definedName>
    <definedName name="____________ML314">#REF!</definedName>
    <definedName name="____________ML315" localSheetId="11">NA()</definedName>
    <definedName name="____________ML315" localSheetId="12">NA()</definedName>
    <definedName name="____________ML315" localSheetId="0">#REF!</definedName>
    <definedName name="____________ML315">#REF!</definedName>
    <definedName name="____________ML316" localSheetId="11">NA()</definedName>
    <definedName name="____________ML316" localSheetId="12">NA()</definedName>
    <definedName name="____________ML316" localSheetId="0">#REF!</definedName>
    <definedName name="____________ML316">#REF!</definedName>
    <definedName name="____________ML317" localSheetId="11">NA()</definedName>
    <definedName name="____________ML317" localSheetId="12">NA()</definedName>
    <definedName name="____________ML317" localSheetId="0">#REF!</definedName>
    <definedName name="____________ML317">#REF!</definedName>
    <definedName name="____________ML318" localSheetId="11">NA()</definedName>
    <definedName name="____________ML318" localSheetId="12">NA()</definedName>
    <definedName name="____________ML318" localSheetId="0">#REF!</definedName>
    <definedName name="____________ML318">#REF!</definedName>
    <definedName name="____________ML319" localSheetId="11">NA()</definedName>
    <definedName name="____________ML319" localSheetId="12">NA()</definedName>
    <definedName name="____________ML319" localSheetId="0">#REF!</definedName>
    <definedName name="____________ML319">#REF!</definedName>
    <definedName name="____________ML32" localSheetId="11">NA()</definedName>
    <definedName name="____________ML32" localSheetId="12">NA()</definedName>
    <definedName name="____________ML32" localSheetId="0">#REF!</definedName>
    <definedName name="____________ML32">#REF!</definedName>
    <definedName name="____________ML320" localSheetId="11">NA()</definedName>
    <definedName name="____________ML320" localSheetId="12">NA()</definedName>
    <definedName name="____________ML320" localSheetId="0">#REF!</definedName>
    <definedName name="____________ML320">#REF!</definedName>
    <definedName name="____________ML321" localSheetId="11">NA()</definedName>
    <definedName name="____________ML321" localSheetId="12">NA()</definedName>
    <definedName name="____________ML321" localSheetId="0">#REF!</definedName>
    <definedName name="____________ML321">#REF!</definedName>
    <definedName name="____________ML322" localSheetId="11">NA()</definedName>
    <definedName name="____________ML322" localSheetId="12">NA()</definedName>
    <definedName name="____________ML322" localSheetId="0">#REF!</definedName>
    <definedName name="____________ML322">#REF!</definedName>
    <definedName name="____________ML323" localSheetId="11">NA()</definedName>
    <definedName name="____________ML323" localSheetId="12">NA()</definedName>
    <definedName name="____________ML323" localSheetId="0">#REF!</definedName>
    <definedName name="____________ML323">#REF!</definedName>
    <definedName name="____________ML324" localSheetId="11">NA()</definedName>
    <definedName name="____________ML324" localSheetId="12">NA()</definedName>
    <definedName name="____________ML324" localSheetId="0">#REF!</definedName>
    <definedName name="____________ML324">#REF!</definedName>
    <definedName name="____________ML33" localSheetId="11">NA()</definedName>
    <definedName name="____________ML33" localSheetId="12">NA()</definedName>
    <definedName name="____________ML33" localSheetId="0">#REF!</definedName>
    <definedName name="____________ML33">#REF!</definedName>
    <definedName name="____________ML34" localSheetId="11">NA()</definedName>
    <definedName name="____________ML34" localSheetId="12">NA()</definedName>
    <definedName name="____________ML34" localSheetId="0">#REF!</definedName>
    <definedName name="____________ML34">#REF!</definedName>
    <definedName name="____________ML35" localSheetId="11">NA()</definedName>
    <definedName name="____________ML35" localSheetId="12">NA()</definedName>
    <definedName name="____________ML35" localSheetId="0">#REF!</definedName>
    <definedName name="____________ML35">#REF!</definedName>
    <definedName name="____________ML36" localSheetId="11">NA()</definedName>
    <definedName name="____________ML36" localSheetId="12">NA()</definedName>
    <definedName name="____________ML36" localSheetId="0">#REF!</definedName>
    <definedName name="____________ML36">#REF!</definedName>
    <definedName name="____________ML37" localSheetId="11">NA()</definedName>
    <definedName name="____________ML37" localSheetId="12">NA()</definedName>
    <definedName name="____________ML37" localSheetId="0">#REF!</definedName>
    <definedName name="____________ML37">#REF!</definedName>
    <definedName name="____________ML38" localSheetId="11">NA()</definedName>
    <definedName name="____________ML38" localSheetId="12">NA()</definedName>
    <definedName name="____________ML38" localSheetId="0">#REF!</definedName>
    <definedName name="____________ML38">#REF!</definedName>
    <definedName name="____________ML39" localSheetId="11">NA()</definedName>
    <definedName name="____________ML39" localSheetId="12">NA()</definedName>
    <definedName name="____________ML39" localSheetId="0">#REF!</definedName>
    <definedName name="____________ML39">#REF!</definedName>
    <definedName name="____________ML7" localSheetId="11">NA()</definedName>
    <definedName name="____________ML7" localSheetId="12">NA()</definedName>
    <definedName name="____________ML7" localSheetId="0">#REF!</definedName>
    <definedName name="____________ML7">#REF!</definedName>
    <definedName name="____________ML8" localSheetId="11">NA()</definedName>
    <definedName name="____________ML8" localSheetId="12">NA()</definedName>
    <definedName name="____________ML8" localSheetId="0">#REF!</definedName>
    <definedName name="____________ML8">#REF!</definedName>
    <definedName name="____________ML9" localSheetId="11">NA()</definedName>
    <definedName name="____________ML9" localSheetId="12">NA()</definedName>
    <definedName name="____________ML9" localSheetId="0">#REF!</definedName>
    <definedName name="____________ML9">#REF!</definedName>
    <definedName name="____________mm1">[6]r!$F$4</definedName>
    <definedName name="____________mm1000" localSheetId="11">NA()</definedName>
    <definedName name="____________mm1000" localSheetId="12">NA()</definedName>
    <definedName name="____________mm1000" localSheetId="0">#REF!</definedName>
    <definedName name="____________mm1000">#REF!</definedName>
    <definedName name="____________mm11">[2]r!$F$4</definedName>
    <definedName name="____________mm111">[5]r!$F$4</definedName>
    <definedName name="____________mm600" localSheetId="11">NA()</definedName>
    <definedName name="____________mm600" localSheetId="12">NA()</definedName>
    <definedName name="____________mm600" localSheetId="0">#REF!</definedName>
    <definedName name="____________mm600">#REF!</definedName>
    <definedName name="____________mm800" localSheetId="11">NA()</definedName>
    <definedName name="____________mm800" localSheetId="12">NA()</definedName>
    <definedName name="____________mm800" localSheetId="0">#REF!</definedName>
    <definedName name="____________mm800">#REF!</definedName>
    <definedName name="____________PC1" localSheetId="11">NA()</definedName>
    <definedName name="____________PC1" localSheetId="12">NA()</definedName>
    <definedName name="____________PC1" localSheetId="0">#REF!</definedName>
    <definedName name="____________PC1">#REF!</definedName>
    <definedName name="____________PC10" localSheetId="11">NA()</definedName>
    <definedName name="____________PC10" localSheetId="12">NA()</definedName>
    <definedName name="____________PC10" localSheetId="0">#REF!</definedName>
    <definedName name="____________PC10">#REF!</definedName>
    <definedName name="____________PC11" localSheetId="11">NA()</definedName>
    <definedName name="____________PC11" localSheetId="12">NA()</definedName>
    <definedName name="____________PC11" localSheetId="0">#REF!</definedName>
    <definedName name="____________PC11">#REF!</definedName>
    <definedName name="____________PC12" localSheetId="11">NA()</definedName>
    <definedName name="____________PC12" localSheetId="12">NA()</definedName>
    <definedName name="____________PC12" localSheetId="0">#REF!</definedName>
    <definedName name="____________PC12">#REF!</definedName>
    <definedName name="____________PC13" localSheetId="11">NA()</definedName>
    <definedName name="____________PC13" localSheetId="12">NA()</definedName>
    <definedName name="____________PC13" localSheetId="0">#REF!</definedName>
    <definedName name="____________PC13">#REF!</definedName>
    <definedName name="____________PC14" localSheetId="11">NA()</definedName>
    <definedName name="____________PC14" localSheetId="12">NA()</definedName>
    <definedName name="____________PC14" localSheetId="0">#REF!</definedName>
    <definedName name="____________PC14">#REF!</definedName>
    <definedName name="____________PC15" localSheetId="11">NA()</definedName>
    <definedName name="____________PC15" localSheetId="12">NA()</definedName>
    <definedName name="____________PC15" localSheetId="0">#REF!</definedName>
    <definedName name="____________PC15">#REF!</definedName>
    <definedName name="____________PC16" localSheetId="11">NA()</definedName>
    <definedName name="____________PC16" localSheetId="12">NA()</definedName>
    <definedName name="____________PC16" localSheetId="0">#REF!</definedName>
    <definedName name="____________PC16">#REF!</definedName>
    <definedName name="____________PC17" localSheetId="11">NA()</definedName>
    <definedName name="____________PC17" localSheetId="12">NA()</definedName>
    <definedName name="____________PC17" localSheetId="0">#REF!</definedName>
    <definedName name="____________PC17">#REF!</definedName>
    <definedName name="____________PC18" localSheetId="11">NA()</definedName>
    <definedName name="____________PC18" localSheetId="12">NA()</definedName>
    <definedName name="____________PC18" localSheetId="0">#REF!</definedName>
    <definedName name="____________PC18">#REF!</definedName>
    <definedName name="____________PC19" localSheetId="11">NA()</definedName>
    <definedName name="____________PC19" localSheetId="12">NA()</definedName>
    <definedName name="____________PC19" localSheetId="0">#REF!</definedName>
    <definedName name="____________PC19">#REF!</definedName>
    <definedName name="____________pc2" localSheetId="11">NA()</definedName>
    <definedName name="____________pc2" localSheetId="12">NA()</definedName>
    <definedName name="____________pc2" localSheetId="0">#REF!</definedName>
    <definedName name="____________pc2">#REF!</definedName>
    <definedName name="____________PC20">NA()</definedName>
    <definedName name="____________PC21" localSheetId="11">NA()</definedName>
    <definedName name="____________PC21" localSheetId="12">NA()</definedName>
    <definedName name="____________PC21" localSheetId="0">#REF!</definedName>
    <definedName name="____________PC21">#REF!</definedName>
    <definedName name="____________PC22" localSheetId="11">NA()</definedName>
    <definedName name="____________PC22" localSheetId="12">NA()</definedName>
    <definedName name="____________PC22" localSheetId="0">#REF!</definedName>
    <definedName name="____________PC22">#REF!</definedName>
    <definedName name="____________PC23" localSheetId="11">NA()</definedName>
    <definedName name="____________PC23" localSheetId="12">NA()</definedName>
    <definedName name="____________PC23" localSheetId="0">#REF!</definedName>
    <definedName name="____________PC23">#REF!</definedName>
    <definedName name="____________PC24" localSheetId="11">NA()</definedName>
    <definedName name="____________PC24" localSheetId="12">NA()</definedName>
    <definedName name="____________PC24" localSheetId="0">#REF!</definedName>
    <definedName name="____________PC24">#REF!</definedName>
    <definedName name="____________PC3" localSheetId="11">NA()</definedName>
    <definedName name="____________PC3" localSheetId="12">NA()</definedName>
    <definedName name="____________PC3" localSheetId="0">#REF!</definedName>
    <definedName name="____________PC3">#REF!</definedName>
    <definedName name="____________PC4" localSheetId="11">NA()</definedName>
    <definedName name="____________PC4" localSheetId="12">NA()</definedName>
    <definedName name="____________PC4" localSheetId="0">#REF!</definedName>
    <definedName name="____________PC4">#REF!</definedName>
    <definedName name="____________PC5" localSheetId="11">NA()</definedName>
    <definedName name="____________PC5" localSheetId="12">NA()</definedName>
    <definedName name="____________PC5" localSheetId="0">#REF!</definedName>
    <definedName name="____________PC5">#REF!</definedName>
    <definedName name="____________PC6" localSheetId="11">NA()</definedName>
    <definedName name="____________PC6" localSheetId="12">NA()</definedName>
    <definedName name="____________PC6" localSheetId="0">#REF!</definedName>
    <definedName name="____________PC6">#REF!</definedName>
    <definedName name="____________pc600" localSheetId="11">NA()</definedName>
    <definedName name="____________pc600" localSheetId="12">NA()</definedName>
    <definedName name="____________pc600" localSheetId="0">#REF!</definedName>
    <definedName name="____________pc600">#REF!</definedName>
    <definedName name="____________PC7" localSheetId="11">NA()</definedName>
    <definedName name="____________PC7" localSheetId="12">NA()</definedName>
    <definedName name="____________PC7" localSheetId="0">#REF!</definedName>
    <definedName name="____________PC7">#REF!</definedName>
    <definedName name="____________PC8" localSheetId="11">NA()</definedName>
    <definedName name="____________PC8" localSheetId="12">NA()</definedName>
    <definedName name="____________PC8" localSheetId="0">#REF!</definedName>
    <definedName name="____________PC8">#REF!</definedName>
    <definedName name="____________PC9" localSheetId="11">NA()</definedName>
    <definedName name="____________PC9" localSheetId="12">NA()</definedName>
    <definedName name="____________PC9" localSheetId="0">#REF!</definedName>
    <definedName name="____________PC9">#REF!</definedName>
    <definedName name="____________pc900" localSheetId="11">NA()</definedName>
    <definedName name="____________pc900" localSheetId="12">NA()</definedName>
    <definedName name="____________pc900" localSheetId="0">#REF!</definedName>
    <definedName name="____________pc900">#REF!</definedName>
    <definedName name="____________pla4">[12]DATA_PRG!$H$269</definedName>
    <definedName name="____________pv2" localSheetId="11">NA()</definedName>
    <definedName name="____________pv2" localSheetId="12">NA()</definedName>
    <definedName name="____________pv2" localSheetId="0">#REF!</definedName>
    <definedName name="____________pv2">#REF!</definedName>
    <definedName name="____________rr3">[7]v!$A$2:$E$51</definedName>
    <definedName name="____________rrr1">[7]r!$B$1:$I$145</definedName>
    <definedName name="____________SP10">[13]Sheet1!$C$18</definedName>
    <definedName name="____________SP16">[13]Sheet1!$C$24</definedName>
    <definedName name="____________SP7">[13]Sheet1!$C$15</definedName>
    <definedName name="____________ss12">[8]rdamdata!$J$8</definedName>
    <definedName name="____________ss20">[8]rdamdata!$J$7</definedName>
    <definedName name="____________ss40">[8]rdamdata!$J$6</definedName>
    <definedName name="____________var1" localSheetId="11">NA()</definedName>
    <definedName name="____________var1" localSheetId="12">NA()</definedName>
    <definedName name="____________var1" localSheetId="0">#REF!</definedName>
    <definedName name="____________var1">#REF!</definedName>
    <definedName name="____________var4" localSheetId="11">NA()</definedName>
    <definedName name="____________var4" localSheetId="12">NA()</definedName>
    <definedName name="____________var4" localSheetId="0">#REF!</definedName>
    <definedName name="____________var4">#REF!</definedName>
    <definedName name="____________vat1">NA()</definedName>
    <definedName name="____________xh2256">[19]HDPE!$L$30</definedName>
    <definedName name="____________xh2506">[19]HDPE!$M$30</definedName>
    <definedName name="____________xh2806">[19]HDPE!$N$30</definedName>
    <definedName name="____________xh3156">[19]HDPE!$O$30</definedName>
    <definedName name="____________xh634">[19]HDPE!$C$16</definedName>
    <definedName name="____________xk7100">[19]DI!$C$37</definedName>
    <definedName name="____________xk7150">[19]DI!$D$37</definedName>
    <definedName name="____________xk7250">[19]DI!$F$37</definedName>
    <definedName name="____________xk7300">[19]DI!$G$37</definedName>
    <definedName name="____________xp11010">[19]pvc!$F$61</definedName>
    <definedName name="____________xp1104">[19]pvc!$F$31</definedName>
    <definedName name="____________xp1106">[19]pvc!$F$46</definedName>
    <definedName name="____________xp1254">[19]pvc!$G$31</definedName>
    <definedName name="____________xp1256">[19]pvc!$G$46</definedName>
    <definedName name="____________xp14010">[19]pvc!$H$61</definedName>
    <definedName name="____________xp1404">[19]pvc!$H$31</definedName>
    <definedName name="____________xp1406">[19]pvc!$H$46</definedName>
    <definedName name="____________xp1604">[19]pvc!$I$31</definedName>
    <definedName name="____________xp1606">[19]pvc!$I$46</definedName>
    <definedName name="____________xp1804">[19]pvc!$J$31</definedName>
    <definedName name="____________xp1806">[19]pvc!$J$46</definedName>
    <definedName name="____________xp2006">[19]pvc!$K$46</definedName>
    <definedName name="____________xp6310">[19]pvc!$C$61</definedName>
    <definedName name="____________xp636">[19]pvc!$C$46</definedName>
    <definedName name="____________xp7510">[19]pvc!$D$61</definedName>
    <definedName name="____________xp754">[19]pvc!$D$31</definedName>
    <definedName name="____________xp756">[19]pvc!$D$46</definedName>
    <definedName name="____________xp9010">[19]pvc!$E$61</definedName>
    <definedName name="____________xp904">[19]pvc!$E$31</definedName>
    <definedName name="____________xp906">[19]pvc!$E$46</definedName>
    <definedName name="___________bla1">[1]leads!$H$7</definedName>
    <definedName name="___________BSG100" localSheetId="11">NA()</definedName>
    <definedName name="___________BSG100" localSheetId="12">NA()</definedName>
    <definedName name="___________BSG100" localSheetId="0">#REF!</definedName>
    <definedName name="___________BSG100">#REF!</definedName>
    <definedName name="___________BSG150" localSheetId="11">NA()</definedName>
    <definedName name="___________BSG150" localSheetId="12">NA()</definedName>
    <definedName name="___________BSG150" localSheetId="0">#REF!</definedName>
    <definedName name="___________BSG150">#REF!</definedName>
    <definedName name="___________BSG5" localSheetId="11">NA()</definedName>
    <definedName name="___________BSG5" localSheetId="12">NA()</definedName>
    <definedName name="___________BSG5" localSheetId="0">#REF!</definedName>
    <definedName name="___________BSG5">#REF!</definedName>
    <definedName name="___________BSG75" localSheetId="11">NA()</definedName>
    <definedName name="___________BSG75" localSheetId="12">NA()</definedName>
    <definedName name="___________BSG75" localSheetId="0">#REF!</definedName>
    <definedName name="___________BSG75">#REF!</definedName>
    <definedName name="___________BTC1" localSheetId="11">NA()</definedName>
    <definedName name="___________BTC1" localSheetId="12">NA()</definedName>
    <definedName name="___________BTC1" localSheetId="0">#REF!</definedName>
    <definedName name="___________BTC1">#REF!</definedName>
    <definedName name="___________BTC10" localSheetId="11">NA()</definedName>
    <definedName name="___________BTC10" localSheetId="12">NA()</definedName>
    <definedName name="___________BTC10" localSheetId="0">#REF!</definedName>
    <definedName name="___________BTC10">#REF!</definedName>
    <definedName name="___________BTC11" localSheetId="11">NA()</definedName>
    <definedName name="___________BTC11" localSheetId="12">NA()</definedName>
    <definedName name="___________BTC11" localSheetId="0">#REF!</definedName>
    <definedName name="___________BTC11">#REF!</definedName>
    <definedName name="___________BTC12" localSheetId="11">NA()</definedName>
    <definedName name="___________BTC12" localSheetId="12">NA()</definedName>
    <definedName name="___________BTC12" localSheetId="0">#REF!</definedName>
    <definedName name="___________BTC12">#REF!</definedName>
    <definedName name="___________BTC13" localSheetId="11">NA()</definedName>
    <definedName name="___________BTC13" localSheetId="12">NA()</definedName>
    <definedName name="___________BTC13" localSheetId="0">#REF!</definedName>
    <definedName name="___________BTC13">#REF!</definedName>
    <definedName name="___________BTC14" localSheetId="11">NA()</definedName>
    <definedName name="___________BTC14" localSheetId="12">NA()</definedName>
    <definedName name="___________BTC14" localSheetId="0">#REF!</definedName>
    <definedName name="___________BTC14">#REF!</definedName>
    <definedName name="___________BTC15" localSheetId="11">NA()</definedName>
    <definedName name="___________BTC15" localSheetId="12">NA()</definedName>
    <definedName name="___________BTC15" localSheetId="0">#REF!</definedName>
    <definedName name="___________BTC15">#REF!</definedName>
    <definedName name="___________BTC16" localSheetId="11">NA()</definedName>
    <definedName name="___________BTC16" localSheetId="12">NA()</definedName>
    <definedName name="___________BTC16" localSheetId="0">#REF!</definedName>
    <definedName name="___________BTC16">#REF!</definedName>
    <definedName name="___________BTC17" localSheetId="11">NA()</definedName>
    <definedName name="___________BTC17" localSheetId="12">NA()</definedName>
    <definedName name="___________BTC17" localSheetId="0">#REF!</definedName>
    <definedName name="___________BTC17">#REF!</definedName>
    <definedName name="___________BTC18" localSheetId="11">NA()</definedName>
    <definedName name="___________BTC18" localSheetId="12">NA()</definedName>
    <definedName name="___________BTC18" localSheetId="0">#REF!</definedName>
    <definedName name="___________BTC18">#REF!</definedName>
    <definedName name="___________BTC19" localSheetId="11">NA()</definedName>
    <definedName name="___________BTC19" localSheetId="12">NA()</definedName>
    <definedName name="___________BTC19" localSheetId="0">#REF!</definedName>
    <definedName name="___________BTC19">#REF!</definedName>
    <definedName name="___________BTC2" localSheetId="11">NA()</definedName>
    <definedName name="___________BTC2" localSheetId="12">NA()</definedName>
    <definedName name="___________BTC2" localSheetId="0">#REF!</definedName>
    <definedName name="___________BTC2">#REF!</definedName>
    <definedName name="___________BTC20" localSheetId="11">NA()</definedName>
    <definedName name="___________BTC20" localSheetId="12">NA()</definedName>
    <definedName name="___________BTC20" localSheetId="0">#REF!</definedName>
    <definedName name="___________BTC20">#REF!</definedName>
    <definedName name="___________BTC21" localSheetId="11">NA()</definedName>
    <definedName name="___________BTC21" localSheetId="12">NA()</definedName>
    <definedName name="___________BTC21" localSheetId="0">#REF!</definedName>
    <definedName name="___________BTC21">#REF!</definedName>
    <definedName name="___________BTC22" localSheetId="11">NA()</definedName>
    <definedName name="___________BTC22" localSheetId="12">NA()</definedName>
    <definedName name="___________BTC22" localSheetId="0">#REF!</definedName>
    <definedName name="___________BTC22">#REF!</definedName>
    <definedName name="___________BTC23" localSheetId="11">NA()</definedName>
    <definedName name="___________BTC23" localSheetId="12">NA()</definedName>
    <definedName name="___________BTC23" localSheetId="0">#REF!</definedName>
    <definedName name="___________BTC23">#REF!</definedName>
    <definedName name="___________BTC24" localSheetId="11">NA()</definedName>
    <definedName name="___________BTC24" localSheetId="12">NA()</definedName>
    <definedName name="___________BTC24" localSheetId="0">#REF!</definedName>
    <definedName name="___________BTC24">#REF!</definedName>
    <definedName name="___________BTC3" localSheetId="11">NA()</definedName>
    <definedName name="___________BTC3" localSheetId="12">NA()</definedName>
    <definedName name="___________BTC3" localSheetId="0">#REF!</definedName>
    <definedName name="___________BTC3">#REF!</definedName>
    <definedName name="___________BTC4" localSheetId="11">NA()</definedName>
    <definedName name="___________BTC4" localSheetId="12">NA()</definedName>
    <definedName name="___________BTC4" localSheetId="0">#REF!</definedName>
    <definedName name="___________BTC4">#REF!</definedName>
    <definedName name="___________BTC5" localSheetId="11">NA()</definedName>
    <definedName name="___________BTC5" localSheetId="12">NA()</definedName>
    <definedName name="___________BTC5" localSheetId="0">#REF!</definedName>
    <definedName name="___________BTC5">#REF!</definedName>
    <definedName name="___________BTC6" localSheetId="11">NA()</definedName>
    <definedName name="___________BTC6" localSheetId="12">NA()</definedName>
    <definedName name="___________BTC6" localSheetId="0">#REF!</definedName>
    <definedName name="___________BTC6">#REF!</definedName>
    <definedName name="___________BTC7" localSheetId="11">NA()</definedName>
    <definedName name="___________BTC7" localSheetId="12">NA()</definedName>
    <definedName name="___________BTC7" localSheetId="0">#REF!</definedName>
    <definedName name="___________BTC7">#REF!</definedName>
    <definedName name="___________BTC8" localSheetId="11">NA()</definedName>
    <definedName name="___________BTC8" localSheetId="12">NA()</definedName>
    <definedName name="___________BTC8" localSheetId="0">#REF!</definedName>
    <definedName name="___________BTC8">#REF!</definedName>
    <definedName name="___________BTC9" localSheetId="11">NA()</definedName>
    <definedName name="___________BTC9" localSheetId="12">NA()</definedName>
    <definedName name="___________BTC9" localSheetId="0">#REF!</definedName>
    <definedName name="___________BTC9">#REF!</definedName>
    <definedName name="___________BTR1" localSheetId="11">NA()</definedName>
    <definedName name="___________BTR1" localSheetId="12">NA()</definedName>
    <definedName name="___________BTR1" localSheetId="0">#REF!</definedName>
    <definedName name="___________BTR1">#REF!</definedName>
    <definedName name="___________BTR10" localSheetId="11">NA()</definedName>
    <definedName name="___________BTR10" localSheetId="12">NA()</definedName>
    <definedName name="___________BTR10" localSheetId="0">#REF!</definedName>
    <definedName name="___________BTR10">#REF!</definedName>
    <definedName name="___________BTR11" localSheetId="11">NA()</definedName>
    <definedName name="___________BTR11" localSheetId="12">NA()</definedName>
    <definedName name="___________BTR11" localSheetId="0">#REF!</definedName>
    <definedName name="___________BTR11">#REF!</definedName>
    <definedName name="___________BTR12" localSheetId="11">NA()</definedName>
    <definedName name="___________BTR12" localSheetId="12">NA()</definedName>
    <definedName name="___________BTR12" localSheetId="0">#REF!</definedName>
    <definedName name="___________BTR12">#REF!</definedName>
    <definedName name="___________BTR13" localSheetId="11">NA()</definedName>
    <definedName name="___________BTR13" localSheetId="12">NA()</definedName>
    <definedName name="___________BTR13" localSheetId="0">#REF!</definedName>
    <definedName name="___________BTR13">#REF!</definedName>
    <definedName name="___________BTR14" localSheetId="11">NA()</definedName>
    <definedName name="___________BTR14" localSheetId="12">NA()</definedName>
    <definedName name="___________BTR14" localSheetId="0">#REF!</definedName>
    <definedName name="___________BTR14">#REF!</definedName>
    <definedName name="___________BTR15" localSheetId="11">NA()</definedName>
    <definedName name="___________BTR15" localSheetId="12">NA()</definedName>
    <definedName name="___________BTR15" localSheetId="0">#REF!</definedName>
    <definedName name="___________BTR15">#REF!</definedName>
    <definedName name="___________BTR16" localSheetId="11">NA()</definedName>
    <definedName name="___________BTR16" localSheetId="12">NA()</definedName>
    <definedName name="___________BTR16" localSheetId="0">#REF!</definedName>
    <definedName name="___________BTR16">#REF!</definedName>
    <definedName name="___________BTR17" localSheetId="11">NA()</definedName>
    <definedName name="___________BTR17" localSheetId="12">NA()</definedName>
    <definedName name="___________BTR17" localSheetId="0">#REF!</definedName>
    <definedName name="___________BTR17">#REF!</definedName>
    <definedName name="___________BTR18" localSheetId="11">NA()</definedName>
    <definedName name="___________BTR18" localSheetId="12">NA()</definedName>
    <definedName name="___________BTR18" localSheetId="0">#REF!</definedName>
    <definedName name="___________BTR18">#REF!</definedName>
    <definedName name="___________BTR19" localSheetId="11">NA()</definedName>
    <definedName name="___________BTR19" localSheetId="12">NA()</definedName>
    <definedName name="___________BTR19" localSheetId="0">#REF!</definedName>
    <definedName name="___________BTR19">#REF!</definedName>
    <definedName name="___________BTR2" localSheetId="11">NA()</definedName>
    <definedName name="___________BTR2" localSheetId="12">NA()</definedName>
    <definedName name="___________BTR2" localSheetId="0">#REF!</definedName>
    <definedName name="___________BTR2">#REF!</definedName>
    <definedName name="___________BTR20" localSheetId="11">NA()</definedName>
    <definedName name="___________BTR20" localSheetId="12">NA()</definedName>
    <definedName name="___________BTR20" localSheetId="0">#REF!</definedName>
    <definedName name="___________BTR20">#REF!</definedName>
    <definedName name="___________BTR21" localSheetId="11">NA()</definedName>
    <definedName name="___________BTR21" localSheetId="12">NA()</definedName>
    <definedName name="___________BTR21" localSheetId="0">#REF!</definedName>
    <definedName name="___________BTR21">#REF!</definedName>
    <definedName name="___________BTR22" localSheetId="11">NA()</definedName>
    <definedName name="___________BTR22" localSheetId="12">NA()</definedName>
    <definedName name="___________BTR22" localSheetId="0">#REF!</definedName>
    <definedName name="___________BTR22">#REF!</definedName>
    <definedName name="___________BTR23" localSheetId="11">NA()</definedName>
    <definedName name="___________BTR23" localSheetId="12">NA()</definedName>
    <definedName name="___________BTR23" localSheetId="0">#REF!</definedName>
    <definedName name="___________BTR23">#REF!</definedName>
    <definedName name="___________BTR24" localSheetId="11">NA()</definedName>
    <definedName name="___________BTR24" localSheetId="12">NA()</definedName>
    <definedName name="___________BTR24" localSheetId="0">#REF!</definedName>
    <definedName name="___________BTR24">#REF!</definedName>
    <definedName name="___________BTR3" localSheetId="11">NA()</definedName>
    <definedName name="___________BTR3" localSheetId="12">NA()</definedName>
    <definedName name="___________BTR3" localSheetId="0">#REF!</definedName>
    <definedName name="___________BTR3">#REF!</definedName>
    <definedName name="___________BTR4" localSheetId="11">NA()</definedName>
    <definedName name="___________BTR4" localSheetId="12">NA()</definedName>
    <definedName name="___________BTR4" localSheetId="0">#REF!</definedName>
    <definedName name="___________BTR4">#REF!</definedName>
    <definedName name="___________BTR5" localSheetId="11">NA()</definedName>
    <definedName name="___________BTR5" localSheetId="12">NA()</definedName>
    <definedName name="___________BTR5" localSheetId="0">#REF!</definedName>
    <definedName name="___________BTR5">#REF!</definedName>
    <definedName name="___________BTR6" localSheetId="11">NA()</definedName>
    <definedName name="___________BTR6" localSheetId="12">NA()</definedName>
    <definedName name="___________BTR6" localSheetId="0">#REF!</definedName>
    <definedName name="___________BTR6">#REF!</definedName>
    <definedName name="___________BTR7" localSheetId="11">NA()</definedName>
    <definedName name="___________BTR7" localSheetId="12">NA()</definedName>
    <definedName name="___________BTR7" localSheetId="0">#REF!</definedName>
    <definedName name="___________BTR7">#REF!</definedName>
    <definedName name="___________BTR8" localSheetId="11">NA()</definedName>
    <definedName name="___________BTR8" localSheetId="12">NA()</definedName>
    <definedName name="___________BTR8" localSheetId="0">#REF!</definedName>
    <definedName name="___________BTR8">#REF!</definedName>
    <definedName name="___________BTR9" localSheetId="11">NA()</definedName>
    <definedName name="___________BTR9" localSheetId="12">NA()</definedName>
    <definedName name="___________BTR9" localSheetId="0">#REF!</definedName>
    <definedName name="___________BTR9">#REF!</definedName>
    <definedName name="___________BTS1" localSheetId="11">NA()</definedName>
    <definedName name="___________BTS1" localSheetId="12">NA()</definedName>
    <definedName name="___________BTS1" localSheetId="0">#REF!</definedName>
    <definedName name="___________BTS1">#REF!</definedName>
    <definedName name="___________BTS10" localSheetId="11">NA()</definedName>
    <definedName name="___________BTS10" localSheetId="12">NA()</definedName>
    <definedName name="___________BTS10" localSheetId="0">#REF!</definedName>
    <definedName name="___________BTS10">#REF!</definedName>
    <definedName name="___________BTS11" localSheetId="11">NA()</definedName>
    <definedName name="___________BTS11" localSheetId="12">NA()</definedName>
    <definedName name="___________BTS11" localSheetId="0">#REF!</definedName>
    <definedName name="___________BTS11">#REF!</definedName>
    <definedName name="___________BTS12" localSheetId="11">NA()</definedName>
    <definedName name="___________BTS12" localSheetId="12">NA()</definedName>
    <definedName name="___________BTS12" localSheetId="0">#REF!</definedName>
    <definedName name="___________BTS12">#REF!</definedName>
    <definedName name="___________BTS13" localSheetId="11">NA()</definedName>
    <definedName name="___________BTS13" localSheetId="12">NA()</definedName>
    <definedName name="___________BTS13" localSheetId="0">#REF!</definedName>
    <definedName name="___________BTS13">#REF!</definedName>
    <definedName name="___________BTS14" localSheetId="11">NA()</definedName>
    <definedName name="___________BTS14" localSheetId="12">NA()</definedName>
    <definedName name="___________BTS14" localSheetId="0">#REF!</definedName>
    <definedName name="___________BTS14">#REF!</definedName>
    <definedName name="___________BTS15" localSheetId="11">NA()</definedName>
    <definedName name="___________BTS15" localSheetId="12">NA()</definedName>
    <definedName name="___________BTS15" localSheetId="0">#REF!</definedName>
    <definedName name="___________BTS15">#REF!</definedName>
    <definedName name="___________BTS16" localSheetId="11">NA()</definedName>
    <definedName name="___________BTS16" localSheetId="12">NA()</definedName>
    <definedName name="___________BTS16" localSheetId="0">#REF!</definedName>
    <definedName name="___________BTS16">#REF!</definedName>
    <definedName name="___________BTS17" localSheetId="11">NA()</definedName>
    <definedName name="___________BTS17" localSheetId="12">NA()</definedName>
    <definedName name="___________BTS17" localSheetId="0">#REF!</definedName>
    <definedName name="___________BTS17">#REF!</definedName>
    <definedName name="___________BTS18" localSheetId="11">NA()</definedName>
    <definedName name="___________BTS18" localSheetId="12">NA()</definedName>
    <definedName name="___________BTS18" localSheetId="0">#REF!</definedName>
    <definedName name="___________BTS18">#REF!</definedName>
    <definedName name="___________BTS19" localSheetId="11">NA()</definedName>
    <definedName name="___________BTS19" localSheetId="12">NA()</definedName>
    <definedName name="___________BTS19" localSheetId="0">#REF!</definedName>
    <definedName name="___________BTS19">#REF!</definedName>
    <definedName name="___________BTS2" localSheetId="11">NA()</definedName>
    <definedName name="___________BTS2" localSheetId="12">NA()</definedName>
    <definedName name="___________BTS2" localSheetId="0">#REF!</definedName>
    <definedName name="___________BTS2">#REF!</definedName>
    <definedName name="___________BTS20" localSheetId="11">NA()</definedName>
    <definedName name="___________BTS20" localSheetId="12">NA()</definedName>
    <definedName name="___________BTS20" localSheetId="0">#REF!</definedName>
    <definedName name="___________BTS20">#REF!</definedName>
    <definedName name="___________BTS21" localSheetId="11">NA()</definedName>
    <definedName name="___________BTS21" localSheetId="12">NA()</definedName>
    <definedName name="___________BTS21" localSheetId="0">#REF!</definedName>
    <definedName name="___________BTS21">#REF!</definedName>
    <definedName name="___________BTS22" localSheetId="11">NA()</definedName>
    <definedName name="___________BTS22" localSheetId="12">NA()</definedName>
    <definedName name="___________BTS22" localSheetId="0">#REF!</definedName>
    <definedName name="___________BTS22">#REF!</definedName>
    <definedName name="___________BTS23" localSheetId="11">NA()</definedName>
    <definedName name="___________BTS23" localSheetId="12">NA()</definedName>
    <definedName name="___________BTS23" localSheetId="0">#REF!</definedName>
    <definedName name="___________BTS23">#REF!</definedName>
    <definedName name="___________BTS24" localSheetId="11">NA()</definedName>
    <definedName name="___________BTS24" localSheetId="12">NA()</definedName>
    <definedName name="___________BTS24" localSheetId="0">#REF!</definedName>
    <definedName name="___________BTS24">#REF!</definedName>
    <definedName name="___________BTS3" localSheetId="11">NA()</definedName>
    <definedName name="___________BTS3" localSheetId="12">NA()</definedName>
    <definedName name="___________BTS3" localSheetId="0">#REF!</definedName>
    <definedName name="___________BTS3">#REF!</definedName>
    <definedName name="___________BTS4" localSheetId="11">NA()</definedName>
    <definedName name="___________BTS4" localSheetId="12">NA()</definedName>
    <definedName name="___________BTS4" localSheetId="0">#REF!</definedName>
    <definedName name="___________BTS4">#REF!</definedName>
    <definedName name="___________BTS5" localSheetId="11">NA()</definedName>
    <definedName name="___________BTS5" localSheetId="12">NA()</definedName>
    <definedName name="___________BTS5" localSheetId="0">#REF!</definedName>
    <definedName name="___________BTS5">#REF!</definedName>
    <definedName name="___________BTS6" localSheetId="11">NA()</definedName>
    <definedName name="___________BTS6" localSheetId="12">NA()</definedName>
    <definedName name="___________BTS6" localSheetId="0">#REF!</definedName>
    <definedName name="___________BTS6">#REF!</definedName>
    <definedName name="___________BTS7" localSheetId="11">NA()</definedName>
    <definedName name="___________BTS7" localSheetId="12">NA()</definedName>
    <definedName name="___________BTS7" localSheetId="0">#REF!</definedName>
    <definedName name="___________BTS7">#REF!</definedName>
    <definedName name="___________BTS8" localSheetId="11">NA()</definedName>
    <definedName name="___________BTS8" localSheetId="12">NA()</definedName>
    <definedName name="___________BTS8" localSheetId="0">#REF!</definedName>
    <definedName name="___________BTS8">#REF!</definedName>
    <definedName name="___________BTS9" localSheetId="11">NA()</definedName>
    <definedName name="___________BTS9" localSheetId="12">NA()</definedName>
    <definedName name="___________BTS9" localSheetId="0">#REF!</definedName>
    <definedName name="___________BTS9">#REF!</definedName>
    <definedName name="___________can430">40.73</definedName>
    <definedName name="___________can435">43.3</definedName>
    <definedName name="___________CCW1">[9]DATA!$H$67</definedName>
    <definedName name="___________CCW2">[9]DATA!$H$97</definedName>
    <definedName name="___________cur1">[2]r!$F$30</definedName>
    <definedName name="___________ewe1">NA()</definedName>
    <definedName name="___________GBS11" localSheetId="11">NA()</definedName>
    <definedName name="___________GBS11" localSheetId="12">NA()</definedName>
    <definedName name="___________GBS11" localSheetId="0">#REF!</definedName>
    <definedName name="___________GBS11">#REF!</definedName>
    <definedName name="___________GBS110" localSheetId="11">NA()</definedName>
    <definedName name="___________GBS110" localSheetId="12">NA()</definedName>
    <definedName name="___________GBS110" localSheetId="0">#REF!</definedName>
    <definedName name="___________GBS110">#REF!</definedName>
    <definedName name="___________GBS111" localSheetId="11">NA()</definedName>
    <definedName name="___________GBS111" localSheetId="12">NA()</definedName>
    <definedName name="___________GBS111" localSheetId="0">#REF!</definedName>
    <definedName name="___________GBS111">#REF!</definedName>
    <definedName name="___________GBS112" localSheetId="11">NA()</definedName>
    <definedName name="___________GBS112" localSheetId="12">NA()</definedName>
    <definedName name="___________GBS112" localSheetId="0">#REF!</definedName>
    <definedName name="___________GBS112">#REF!</definedName>
    <definedName name="___________GBS113" localSheetId="11">NA()</definedName>
    <definedName name="___________GBS113" localSheetId="12">NA()</definedName>
    <definedName name="___________GBS113" localSheetId="0">#REF!</definedName>
    <definedName name="___________GBS113">#REF!</definedName>
    <definedName name="___________GBS114" localSheetId="11">NA()</definedName>
    <definedName name="___________GBS114" localSheetId="12">NA()</definedName>
    <definedName name="___________GBS114" localSheetId="0">#REF!</definedName>
    <definedName name="___________GBS114">#REF!</definedName>
    <definedName name="___________GBS115" localSheetId="11">NA()</definedName>
    <definedName name="___________GBS115" localSheetId="12">NA()</definedName>
    <definedName name="___________GBS115" localSheetId="0">#REF!</definedName>
    <definedName name="___________GBS115">#REF!</definedName>
    <definedName name="___________GBS116" localSheetId="11">NA()</definedName>
    <definedName name="___________GBS116" localSheetId="12">NA()</definedName>
    <definedName name="___________GBS116" localSheetId="0">#REF!</definedName>
    <definedName name="___________GBS116">#REF!</definedName>
    <definedName name="___________GBS117" localSheetId="11">NA()</definedName>
    <definedName name="___________GBS117" localSheetId="12">NA()</definedName>
    <definedName name="___________GBS117" localSheetId="0">#REF!</definedName>
    <definedName name="___________GBS117">#REF!</definedName>
    <definedName name="___________GBS118" localSheetId="11">NA()</definedName>
    <definedName name="___________GBS118" localSheetId="12">NA()</definedName>
    <definedName name="___________GBS118" localSheetId="0">#REF!</definedName>
    <definedName name="___________GBS118">#REF!</definedName>
    <definedName name="___________GBS119" localSheetId="11">NA()</definedName>
    <definedName name="___________GBS119" localSheetId="12">NA()</definedName>
    <definedName name="___________GBS119" localSheetId="0">#REF!</definedName>
    <definedName name="___________GBS119">#REF!</definedName>
    <definedName name="___________GBS12" localSheetId="11">NA()</definedName>
    <definedName name="___________GBS12" localSheetId="12">NA()</definedName>
    <definedName name="___________GBS12" localSheetId="0">#REF!</definedName>
    <definedName name="___________GBS12">#REF!</definedName>
    <definedName name="___________GBS120" localSheetId="11">NA()</definedName>
    <definedName name="___________GBS120" localSheetId="12">NA()</definedName>
    <definedName name="___________GBS120" localSheetId="0">#REF!</definedName>
    <definedName name="___________GBS120">#REF!</definedName>
    <definedName name="___________GBS121" localSheetId="11">NA()</definedName>
    <definedName name="___________GBS121" localSheetId="12">NA()</definedName>
    <definedName name="___________GBS121" localSheetId="0">#REF!</definedName>
    <definedName name="___________GBS121">#REF!</definedName>
    <definedName name="___________GBS122" localSheetId="11">NA()</definedName>
    <definedName name="___________GBS122" localSheetId="12">NA()</definedName>
    <definedName name="___________GBS122" localSheetId="0">#REF!</definedName>
    <definedName name="___________GBS122">#REF!</definedName>
    <definedName name="___________GBS123" localSheetId="11">NA()</definedName>
    <definedName name="___________GBS123" localSheetId="12">NA()</definedName>
    <definedName name="___________GBS123" localSheetId="0">#REF!</definedName>
    <definedName name="___________GBS123">#REF!</definedName>
    <definedName name="___________GBS124" localSheetId="11">NA()</definedName>
    <definedName name="___________GBS124" localSheetId="12">NA()</definedName>
    <definedName name="___________GBS124" localSheetId="0">#REF!</definedName>
    <definedName name="___________GBS124">#REF!</definedName>
    <definedName name="___________GBS13" localSheetId="11">NA()</definedName>
    <definedName name="___________GBS13" localSheetId="12">NA()</definedName>
    <definedName name="___________GBS13" localSheetId="0">#REF!</definedName>
    <definedName name="___________GBS13">#REF!</definedName>
    <definedName name="___________GBS14" localSheetId="11">NA()</definedName>
    <definedName name="___________GBS14" localSheetId="12">NA()</definedName>
    <definedName name="___________GBS14" localSheetId="0">#REF!</definedName>
    <definedName name="___________GBS14">#REF!</definedName>
    <definedName name="___________GBS15" localSheetId="11">NA()</definedName>
    <definedName name="___________GBS15" localSheetId="12">NA()</definedName>
    <definedName name="___________GBS15" localSheetId="0">#REF!</definedName>
    <definedName name="___________GBS15">#REF!</definedName>
    <definedName name="___________GBS16" localSheetId="11">NA()</definedName>
    <definedName name="___________GBS16" localSheetId="12">NA()</definedName>
    <definedName name="___________GBS16" localSheetId="0">#REF!</definedName>
    <definedName name="___________GBS16">#REF!</definedName>
    <definedName name="___________GBS17" localSheetId="11">NA()</definedName>
    <definedName name="___________GBS17" localSheetId="12">NA()</definedName>
    <definedName name="___________GBS17" localSheetId="0">#REF!</definedName>
    <definedName name="___________GBS17">#REF!</definedName>
    <definedName name="___________GBS18" localSheetId="11">NA()</definedName>
    <definedName name="___________GBS18" localSheetId="12">NA()</definedName>
    <definedName name="___________GBS18" localSheetId="0">#REF!</definedName>
    <definedName name="___________GBS18">#REF!</definedName>
    <definedName name="___________GBS19" localSheetId="11">NA()</definedName>
    <definedName name="___________GBS19" localSheetId="12">NA()</definedName>
    <definedName name="___________GBS19" localSheetId="0">#REF!</definedName>
    <definedName name="___________GBS19">#REF!</definedName>
    <definedName name="___________GBS21" localSheetId="11">NA()</definedName>
    <definedName name="___________GBS21" localSheetId="12">NA()</definedName>
    <definedName name="___________GBS21" localSheetId="0">#REF!</definedName>
    <definedName name="___________GBS21">#REF!</definedName>
    <definedName name="___________GBS210" localSheetId="11">NA()</definedName>
    <definedName name="___________GBS210" localSheetId="12">NA()</definedName>
    <definedName name="___________GBS210" localSheetId="0">#REF!</definedName>
    <definedName name="___________GBS210">#REF!</definedName>
    <definedName name="___________GBS211" localSheetId="11">NA()</definedName>
    <definedName name="___________GBS211" localSheetId="12">NA()</definedName>
    <definedName name="___________GBS211" localSheetId="0">#REF!</definedName>
    <definedName name="___________GBS211">#REF!</definedName>
    <definedName name="___________GBS212" localSheetId="11">NA()</definedName>
    <definedName name="___________GBS212" localSheetId="12">NA()</definedName>
    <definedName name="___________GBS212" localSheetId="0">#REF!</definedName>
    <definedName name="___________GBS212">#REF!</definedName>
    <definedName name="___________GBS213" localSheetId="11">NA()</definedName>
    <definedName name="___________GBS213" localSheetId="12">NA()</definedName>
    <definedName name="___________GBS213" localSheetId="0">#REF!</definedName>
    <definedName name="___________GBS213">#REF!</definedName>
    <definedName name="___________GBS214" localSheetId="11">NA()</definedName>
    <definedName name="___________GBS214" localSheetId="12">NA()</definedName>
    <definedName name="___________GBS214" localSheetId="0">#REF!</definedName>
    <definedName name="___________GBS214">#REF!</definedName>
    <definedName name="___________GBS215" localSheetId="11">NA()</definedName>
    <definedName name="___________GBS215" localSheetId="12">NA()</definedName>
    <definedName name="___________GBS215" localSheetId="0">#REF!</definedName>
    <definedName name="___________GBS215">#REF!</definedName>
    <definedName name="___________GBS216" localSheetId="11">NA()</definedName>
    <definedName name="___________GBS216" localSheetId="12">NA()</definedName>
    <definedName name="___________GBS216" localSheetId="0">#REF!</definedName>
    <definedName name="___________GBS216">#REF!</definedName>
    <definedName name="___________GBS217" localSheetId="11">NA()</definedName>
    <definedName name="___________GBS217" localSheetId="12">NA()</definedName>
    <definedName name="___________GBS217" localSheetId="0">#REF!</definedName>
    <definedName name="___________GBS217">#REF!</definedName>
    <definedName name="___________GBS218" localSheetId="11">NA()</definedName>
    <definedName name="___________GBS218" localSheetId="12">NA()</definedName>
    <definedName name="___________GBS218" localSheetId="0">#REF!</definedName>
    <definedName name="___________GBS218">#REF!</definedName>
    <definedName name="___________GBS219" localSheetId="11">NA()</definedName>
    <definedName name="___________GBS219" localSheetId="12">NA()</definedName>
    <definedName name="___________GBS219" localSheetId="0">#REF!</definedName>
    <definedName name="___________GBS219">#REF!</definedName>
    <definedName name="___________GBS22" localSheetId="11">NA()</definedName>
    <definedName name="___________GBS22" localSheetId="12">NA()</definedName>
    <definedName name="___________GBS22" localSheetId="0">#REF!</definedName>
    <definedName name="___________GBS22">#REF!</definedName>
    <definedName name="___________GBS220" localSheetId="11">NA()</definedName>
    <definedName name="___________GBS220" localSheetId="12">NA()</definedName>
    <definedName name="___________GBS220" localSheetId="0">#REF!</definedName>
    <definedName name="___________GBS220">#REF!</definedName>
    <definedName name="___________GBS221" localSheetId="11">NA()</definedName>
    <definedName name="___________GBS221" localSheetId="12">NA()</definedName>
    <definedName name="___________GBS221" localSheetId="0">#REF!</definedName>
    <definedName name="___________GBS221">#REF!</definedName>
    <definedName name="___________GBS222" localSheetId="11">NA()</definedName>
    <definedName name="___________GBS222" localSheetId="12">NA()</definedName>
    <definedName name="___________GBS222" localSheetId="0">#REF!</definedName>
    <definedName name="___________GBS222">#REF!</definedName>
    <definedName name="___________GBS223" localSheetId="11">NA()</definedName>
    <definedName name="___________GBS223" localSheetId="12">NA()</definedName>
    <definedName name="___________GBS223" localSheetId="0">#REF!</definedName>
    <definedName name="___________GBS223">#REF!</definedName>
    <definedName name="___________GBS224" localSheetId="11">NA()</definedName>
    <definedName name="___________GBS224" localSheetId="12">NA()</definedName>
    <definedName name="___________GBS224" localSheetId="0">#REF!</definedName>
    <definedName name="___________GBS224">#REF!</definedName>
    <definedName name="___________GBS23" localSheetId="11">NA()</definedName>
    <definedName name="___________GBS23" localSheetId="12">NA()</definedName>
    <definedName name="___________GBS23" localSheetId="0">#REF!</definedName>
    <definedName name="___________GBS23">#REF!</definedName>
    <definedName name="___________GBS24" localSheetId="11">NA()</definedName>
    <definedName name="___________GBS24" localSheetId="12">NA()</definedName>
    <definedName name="___________GBS24" localSheetId="0">#REF!</definedName>
    <definedName name="___________GBS24">#REF!</definedName>
    <definedName name="___________GBS25" localSheetId="11">NA()</definedName>
    <definedName name="___________GBS25" localSheetId="12">NA()</definedName>
    <definedName name="___________GBS25" localSheetId="0">#REF!</definedName>
    <definedName name="___________GBS25">#REF!</definedName>
    <definedName name="___________GBS26" localSheetId="11">NA()</definedName>
    <definedName name="___________GBS26" localSheetId="12">NA()</definedName>
    <definedName name="___________GBS26" localSheetId="0">#REF!</definedName>
    <definedName name="___________GBS26">#REF!</definedName>
    <definedName name="___________GBS27" localSheetId="11">NA()</definedName>
    <definedName name="___________GBS27" localSheetId="12">NA()</definedName>
    <definedName name="___________GBS27" localSheetId="0">#REF!</definedName>
    <definedName name="___________GBS27">#REF!</definedName>
    <definedName name="___________GBS28" localSheetId="11">NA()</definedName>
    <definedName name="___________GBS28" localSheetId="12">NA()</definedName>
    <definedName name="___________GBS28" localSheetId="0">#REF!</definedName>
    <definedName name="___________GBS28">#REF!</definedName>
    <definedName name="___________GBS29" localSheetId="11">NA()</definedName>
    <definedName name="___________GBS29" localSheetId="12">NA()</definedName>
    <definedName name="___________GBS29" localSheetId="0">#REF!</definedName>
    <definedName name="___________GBS29">#REF!</definedName>
    <definedName name="___________imp1">[11]DATA_PRG!$H$245</definedName>
    <definedName name="___________knr2">NA()</definedName>
    <definedName name="___________l1">[3]leads!$A$3:$E$108</definedName>
    <definedName name="___________l12" localSheetId="11">NA()</definedName>
    <definedName name="___________l12" localSheetId="12">NA()</definedName>
    <definedName name="___________l12" localSheetId="0">#REF!</definedName>
    <definedName name="___________l12">#REF!</definedName>
    <definedName name="___________l2">[2]r!$F$29</definedName>
    <definedName name="___________l3" localSheetId="11">NA()</definedName>
    <definedName name="___________l3" localSheetId="12">NA()</definedName>
    <definedName name="___________l3" localSheetId="0">#REF!</definedName>
    <definedName name="___________l3">#REF!</definedName>
    <definedName name="___________l4">[4]Sheet1!$W$2:$Y$103</definedName>
    <definedName name="___________l5" localSheetId="11">NA()</definedName>
    <definedName name="___________l5" localSheetId="12">NA()</definedName>
    <definedName name="___________l5" localSheetId="0">#REF!</definedName>
    <definedName name="___________l5">#REF!</definedName>
    <definedName name="___________l6">[2]r!$F$4</definedName>
    <definedName name="___________l7">[5]r!$F$4</definedName>
    <definedName name="___________l8">[2]r!$F$2</definedName>
    <definedName name="___________l9">[2]r!$F$3</definedName>
    <definedName name="___________LJ6">[9]DATA!$H$245</definedName>
    <definedName name="___________lj600" localSheetId="11">NA()</definedName>
    <definedName name="___________lj600" localSheetId="12">NA()</definedName>
    <definedName name="___________lj600" localSheetId="0">#REF!</definedName>
    <definedName name="___________lj600">#REF!</definedName>
    <definedName name="___________lj900" localSheetId="11">NA()</definedName>
    <definedName name="___________lj900" localSheetId="12">NA()</definedName>
    <definedName name="___________lj900" localSheetId="0">#REF!</definedName>
    <definedName name="___________lj900">#REF!</definedName>
    <definedName name="___________LL3" localSheetId="11">NA()</definedName>
    <definedName name="___________LL3" localSheetId="12">NA()</definedName>
    <definedName name="___________LL3" localSheetId="0">#REF!</definedName>
    <definedName name="___________LL3">#REF!</definedName>
    <definedName name="___________LSO24">NA()</definedName>
    <definedName name="___________MA1">NA()</definedName>
    <definedName name="___________MA2">NA()</definedName>
    <definedName name="___________me12">NA()</definedName>
    <definedName name="___________Met22">NA()</definedName>
    <definedName name="___________Met45" localSheetId="11">NA()</definedName>
    <definedName name="___________Met45" localSheetId="12">NA()</definedName>
    <definedName name="___________Met45" localSheetId="0">#REF!</definedName>
    <definedName name="___________Met45">#REF!</definedName>
    <definedName name="___________MEt55" localSheetId="11">NA()</definedName>
    <definedName name="___________MEt55" localSheetId="12">NA()</definedName>
    <definedName name="___________MEt55" localSheetId="0">#REF!</definedName>
    <definedName name="___________MEt55">#REF!</definedName>
    <definedName name="___________Met63" localSheetId="11">NA()</definedName>
    <definedName name="___________Met63" localSheetId="12">NA()</definedName>
    <definedName name="___________Met63" localSheetId="0">#REF!</definedName>
    <definedName name="___________Met63">#REF!</definedName>
    <definedName name="___________ML21" localSheetId="11">NA()</definedName>
    <definedName name="___________ML21" localSheetId="12">NA()</definedName>
    <definedName name="___________ML21" localSheetId="0">#REF!</definedName>
    <definedName name="___________ML21">#REF!</definedName>
    <definedName name="___________ML210" localSheetId="11">NA()</definedName>
    <definedName name="___________ML210" localSheetId="12">NA()</definedName>
    <definedName name="___________ML210" localSheetId="0">#REF!</definedName>
    <definedName name="___________ML210">#REF!</definedName>
    <definedName name="___________ML211" localSheetId="11">NA()</definedName>
    <definedName name="___________ML211" localSheetId="12">NA()</definedName>
    <definedName name="___________ML211" localSheetId="0">#REF!</definedName>
    <definedName name="___________ML211">#REF!</definedName>
    <definedName name="___________ML212" localSheetId="11">NA()</definedName>
    <definedName name="___________ML212" localSheetId="12">NA()</definedName>
    <definedName name="___________ML212" localSheetId="0">#REF!</definedName>
    <definedName name="___________ML212">#REF!</definedName>
    <definedName name="___________ML213" localSheetId="11">NA()</definedName>
    <definedName name="___________ML213" localSheetId="12">NA()</definedName>
    <definedName name="___________ML213" localSheetId="0">#REF!</definedName>
    <definedName name="___________ML213">#REF!</definedName>
    <definedName name="___________ML214" localSheetId="11">NA()</definedName>
    <definedName name="___________ML214" localSheetId="12">NA()</definedName>
    <definedName name="___________ML214" localSheetId="0">#REF!</definedName>
    <definedName name="___________ML214">#REF!</definedName>
    <definedName name="___________ML215" localSheetId="11">NA()</definedName>
    <definedName name="___________ML215" localSheetId="12">NA()</definedName>
    <definedName name="___________ML215" localSheetId="0">#REF!</definedName>
    <definedName name="___________ML215">#REF!</definedName>
    <definedName name="___________ML216" localSheetId="11">NA()</definedName>
    <definedName name="___________ML216" localSheetId="12">NA()</definedName>
    <definedName name="___________ML216" localSheetId="0">#REF!</definedName>
    <definedName name="___________ML216">#REF!</definedName>
    <definedName name="___________ML217" localSheetId="11">NA()</definedName>
    <definedName name="___________ML217" localSheetId="12">NA()</definedName>
    <definedName name="___________ML217" localSheetId="0">#REF!</definedName>
    <definedName name="___________ML217">#REF!</definedName>
    <definedName name="___________ML218" localSheetId="11">NA()</definedName>
    <definedName name="___________ML218" localSheetId="12">NA()</definedName>
    <definedName name="___________ML218" localSheetId="0">#REF!</definedName>
    <definedName name="___________ML218">#REF!</definedName>
    <definedName name="___________ML219" localSheetId="11">NA()</definedName>
    <definedName name="___________ML219" localSheetId="12">NA()</definedName>
    <definedName name="___________ML219" localSheetId="0">#REF!</definedName>
    <definedName name="___________ML219">#REF!</definedName>
    <definedName name="___________ML22" localSheetId="11">NA()</definedName>
    <definedName name="___________ML22" localSheetId="12">NA()</definedName>
    <definedName name="___________ML22" localSheetId="0">#REF!</definedName>
    <definedName name="___________ML22">#REF!</definedName>
    <definedName name="___________ML220" localSheetId="11">NA()</definedName>
    <definedName name="___________ML220" localSheetId="12">NA()</definedName>
    <definedName name="___________ML220" localSheetId="0">#REF!</definedName>
    <definedName name="___________ML220">#REF!</definedName>
    <definedName name="___________ML221" localSheetId="11">NA()</definedName>
    <definedName name="___________ML221" localSheetId="12">NA()</definedName>
    <definedName name="___________ML221" localSheetId="0">#REF!</definedName>
    <definedName name="___________ML221">#REF!</definedName>
    <definedName name="___________ML222" localSheetId="11">NA()</definedName>
    <definedName name="___________ML222" localSheetId="12">NA()</definedName>
    <definedName name="___________ML222" localSheetId="0">#REF!</definedName>
    <definedName name="___________ML222">#REF!</definedName>
    <definedName name="___________ML223" localSheetId="11">NA()</definedName>
    <definedName name="___________ML223" localSheetId="12">NA()</definedName>
    <definedName name="___________ML223" localSheetId="0">#REF!</definedName>
    <definedName name="___________ML223">#REF!</definedName>
    <definedName name="___________ML224" localSheetId="11">NA()</definedName>
    <definedName name="___________ML224" localSheetId="12">NA()</definedName>
    <definedName name="___________ML224" localSheetId="0">#REF!</definedName>
    <definedName name="___________ML224">#REF!</definedName>
    <definedName name="___________ML23" localSheetId="11">NA()</definedName>
    <definedName name="___________ML23" localSheetId="12">NA()</definedName>
    <definedName name="___________ML23" localSheetId="0">#REF!</definedName>
    <definedName name="___________ML23">#REF!</definedName>
    <definedName name="___________ML24" localSheetId="11">NA()</definedName>
    <definedName name="___________ML24" localSheetId="12">NA()</definedName>
    <definedName name="___________ML24" localSheetId="0">#REF!</definedName>
    <definedName name="___________ML24">#REF!</definedName>
    <definedName name="___________ML25" localSheetId="11">NA()</definedName>
    <definedName name="___________ML25" localSheetId="12">NA()</definedName>
    <definedName name="___________ML25" localSheetId="0">#REF!</definedName>
    <definedName name="___________ML25">#REF!</definedName>
    <definedName name="___________ML26" localSheetId="11">NA()</definedName>
    <definedName name="___________ML26" localSheetId="12">NA()</definedName>
    <definedName name="___________ML26" localSheetId="0">#REF!</definedName>
    <definedName name="___________ML26">#REF!</definedName>
    <definedName name="___________ML27" localSheetId="11">NA()</definedName>
    <definedName name="___________ML27" localSheetId="12">NA()</definedName>
    <definedName name="___________ML27" localSheetId="0">#REF!</definedName>
    <definedName name="___________ML27">#REF!</definedName>
    <definedName name="___________ML28" localSheetId="11">NA()</definedName>
    <definedName name="___________ML28" localSheetId="12">NA()</definedName>
    <definedName name="___________ML28" localSheetId="0">#REF!</definedName>
    <definedName name="___________ML28">#REF!</definedName>
    <definedName name="___________ML29" localSheetId="11">NA()</definedName>
    <definedName name="___________ML29" localSheetId="12">NA()</definedName>
    <definedName name="___________ML29" localSheetId="0">#REF!</definedName>
    <definedName name="___________ML29">#REF!</definedName>
    <definedName name="___________ML31" localSheetId="11">NA()</definedName>
    <definedName name="___________ML31" localSheetId="12">NA()</definedName>
    <definedName name="___________ML31" localSheetId="0">#REF!</definedName>
    <definedName name="___________ML31">#REF!</definedName>
    <definedName name="___________ML310" localSheetId="11">NA()</definedName>
    <definedName name="___________ML310" localSheetId="12">NA()</definedName>
    <definedName name="___________ML310" localSheetId="0">#REF!</definedName>
    <definedName name="___________ML310">#REF!</definedName>
    <definedName name="___________ML311" localSheetId="11">NA()</definedName>
    <definedName name="___________ML311" localSheetId="12">NA()</definedName>
    <definedName name="___________ML311" localSheetId="0">#REF!</definedName>
    <definedName name="___________ML311">#REF!</definedName>
    <definedName name="___________ML312" localSheetId="11">NA()</definedName>
    <definedName name="___________ML312" localSheetId="12">NA()</definedName>
    <definedName name="___________ML312" localSheetId="0">#REF!</definedName>
    <definedName name="___________ML312">#REF!</definedName>
    <definedName name="___________ML313" localSheetId="11">NA()</definedName>
    <definedName name="___________ML313" localSheetId="12">NA()</definedName>
    <definedName name="___________ML313" localSheetId="0">#REF!</definedName>
    <definedName name="___________ML313">#REF!</definedName>
    <definedName name="___________ML314" localSheetId="11">NA()</definedName>
    <definedName name="___________ML314" localSheetId="12">NA()</definedName>
    <definedName name="___________ML314" localSheetId="0">#REF!</definedName>
    <definedName name="___________ML314">#REF!</definedName>
    <definedName name="___________ML315" localSheetId="11">NA()</definedName>
    <definedName name="___________ML315" localSheetId="12">NA()</definedName>
    <definedName name="___________ML315" localSheetId="0">#REF!</definedName>
    <definedName name="___________ML315">#REF!</definedName>
    <definedName name="___________ML316" localSheetId="11">NA()</definedName>
    <definedName name="___________ML316" localSheetId="12">NA()</definedName>
    <definedName name="___________ML316" localSheetId="0">#REF!</definedName>
    <definedName name="___________ML316">#REF!</definedName>
    <definedName name="___________ML317" localSheetId="11">NA()</definedName>
    <definedName name="___________ML317" localSheetId="12">NA()</definedName>
    <definedName name="___________ML317" localSheetId="0">#REF!</definedName>
    <definedName name="___________ML317">#REF!</definedName>
    <definedName name="___________ML318" localSheetId="11">NA()</definedName>
    <definedName name="___________ML318" localSheetId="12">NA()</definedName>
    <definedName name="___________ML318" localSheetId="0">#REF!</definedName>
    <definedName name="___________ML318">#REF!</definedName>
    <definedName name="___________ML319" localSheetId="11">NA()</definedName>
    <definedName name="___________ML319" localSheetId="12">NA()</definedName>
    <definedName name="___________ML319" localSheetId="0">#REF!</definedName>
    <definedName name="___________ML319">#REF!</definedName>
    <definedName name="___________ML32" localSheetId="11">NA()</definedName>
    <definedName name="___________ML32" localSheetId="12">NA()</definedName>
    <definedName name="___________ML32" localSheetId="0">#REF!</definedName>
    <definedName name="___________ML32">#REF!</definedName>
    <definedName name="___________ML320" localSheetId="11">NA()</definedName>
    <definedName name="___________ML320" localSheetId="12">NA()</definedName>
    <definedName name="___________ML320" localSheetId="0">#REF!</definedName>
    <definedName name="___________ML320">#REF!</definedName>
    <definedName name="___________ML321" localSheetId="11">NA()</definedName>
    <definedName name="___________ML321" localSheetId="12">NA()</definedName>
    <definedName name="___________ML321" localSheetId="0">#REF!</definedName>
    <definedName name="___________ML321">#REF!</definedName>
    <definedName name="___________ML322" localSheetId="11">NA()</definedName>
    <definedName name="___________ML322" localSheetId="12">NA()</definedName>
    <definedName name="___________ML322" localSheetId="0">#REF!</definedName>
    <definedName name="___________ML322">#REF!</definedName>
    <definedName name="___________ML323" localSheetId="11">NA()</definedName>
    <definedName name="___________ML323" localSheetId="12">NA()</definedName>
    <definedName name="___________ML323" localSheetId="0">#REF!</definedName>
    <definedName name="___________ML323">#REF!</definedName>
    <definedName name="___________ML324" localSheetId="11">NA()</definedName>
    <definedName name="___________ML324" localSheetId="12">NA()</definedName>
    <definedName name="___________ML324" localSheetId="0">#REF!</definedName>
    <definedName name="___________ML324">#REF!</definedName>
    <definedName name="___________ML33" localSheetId="11">NA()</definedName>
    <definedName name="___________ML33" localSheetId="12">NA()</definedName>
    <definedName name="___________ML33" localSheetId="0">#REF!</definedName>
    <definedName name="___________ML33">#REF!</definedName>
    <definedName name="___________ML34" localSheetId="11">NA()</definedName>
    <definedName name="___________ML34" localSheetId="12">NA()</definedName>
    <definedName name="___________ML34" localSheetId="0">#REF!</definedName>
    <definedName name="___________ML34">#REF!</definedName>
    <definedName name="___________ML35" localSheetId="11">NA()</definedName>
    <definedName name="___________ML35" localSheetId="12">NA()</definedName>
    <definedName name="___________ML35" localSheetId="0">#REF!</definedName>
    <definedName name="___________ML35">#REF!</definedName>
    <definedName name="___________ML36" localSheetId="11">NA()</definedName>
    <definedName name="___________ML36" localSheetId="12">NA()</definedName>
    <definedName name="___________ML36" localSheetId="0">#REF!</definedName>
    <definedName name="___________ML36">#REF!</definedName>
    <definedName name="___________ML37" localSheetId="11">NA()</definedName>
    <definedName name="___________ML37" localSheetId="12">NA()</definedName>
    <definedName name="___________ML37" localSheetId="0">#REF!</definedName>
    <definedName name="___________ML37">#REF!</definedName>
    <definedName name="___________ML38" localSheetId="11">NA()</definedName>
    <definedName name="___________ML38" localSheetId="12">NA()</definedName>
    <definedName name="___________ML38" localSheetId="0">#REF!</definedName>
    <definedName name="___________ML38">#REF!</definedName>
    <definedName name="___________ML39" localSheetId="11">NA()</definedName>
    <definedName name="___________ML39" localSheetId="12">NA()</definedName>
    <definedName name="___________ML39" localSheetId="0">#REF!</definedName>
    <definedName name="___________ML39">#REF!</definedName>
    <definedName name="___________ML7" localSheetId="11">NA()</definedName>
    <definedName name="___________ML7" localSheetId="12">NA()</definedName>
    <definedName name="___________ML7" localSheetId="0">#REF!</definedName>
    <definedName name="___________ML7">#REF!</definedName>
    <definedName name="___________ML8" localSheetId="11">NA()</definedName>
    <definedName name="___________ML8" localSheetId="12">NA()</definedName>
    <definedName name="___________ML8" localSheetId="0">#REF!</definedName>
    <definedName name="___________ML8">#REF!</definedName>
    <definedName name="___________ML9" localSheetId="11">NA()</definedName>
    <definedName name="___________ML9" localSheetId="12">NA()</definedName>
    <definedName name="___________ML9" localSheetId="0">#REF!</definedName>
    <definedName name="___________ML9">#REF!</definedName>
    <definedName name="___________mm1">[6]r!$F$4</definedName>
    <definedName name="___________mm1000" localSheetId="11">NA()</definedName>
    <definedName name="___________mm1000" localSheetId="12">NA()</definedName>
    <definedName name="___________mm1000" localSheetId="0">#REF!</definedName>
    <definedName name="___________mm1000">#REF!</definedName>
    <definedName name="___________mm11">[2]r!$F$4</definedName>
    <definedName name="___________mm111">[5]r!$F$4</definedName>
    <definedName name="___________mm600" localSheetId="11">NA()</definedName>
    <definedName name="___________mm600" localSheetId="12">NA()</definedName>
    <definedName name="___________mm600" localSheetId="0">#REF!</definedName>
    <definedName name="___________mm600">#REF!</definedName>
    <definedName name="___________mm800" localSheetId="11">NA()</definedName>
    <definedName name="___________mm800" localSheetId="12">NA()</definedName>
    <definedName name="___________mm800" localSheetId="0">#REF!</definedName>
    <definedName name="___________mm800">#REF!</definedName>
    <definedName name="___________PC1" localSheetId="11">NA()</definedName>
    <definedName name="___________PC1" localSheetId="12">NA()</definedName>
    <definedName name="___________PC1" localSheetId="0">#REF!</definedName>
    <definedName name="___________PC1">#REF!</definedName>
    <definedName name="___________PC10" localSheetId="11">NA()</definedName>
    <definedName name="___________PC10" localSheetId="12">NA()</definedName>
    <definedName name="___________PC10" localSheetId="0">#REF!</definedName>
    <definedName name="___________PC10">#REF!</definedName>
    <definedName name="___________PC11" localSheetId="11">NA()</definedName>
    <definedName name="___________PC11" localSheetId="12">NA()</definedName>
    <definedName name="___________PC11" localSheetId="0">#REF!</definedName>
    <definedName name="___________PC11">#REF!</definedName>
    <definedName name="___________PC12" localSheetId="11">NA()</definedName>
    <definedName name="___________PC12" localSheetId="12">NA()</definedName>
    <definedName name="___________PC12" localSheetId="0">#REF!</definedName>
    <definedName name="___________PC12">#REF!</definedName>
    <definedName name="___________PC13" localSheetId="11">NA()</definedName>
    <definedName name="___________PC13" localSheetId="12">NA()</definedName>
    <definedName name="___________PC13" localSheetId="0">#REF!</definedName>
    <definedName name="___________PC13">#REF!</definedName>
    <definedName name="___________PC14" localSheetId="11">NA()</definedName>
    <definedName name="___________PC14" localSheetId="12">NA()</definedName>
    <definedName name="___________PC14" localSheetId="0">#REF!</definedName>
    <definedName name="___________PC14">#REF!</definedName>
    <definedName name="___________PC15" localSheetId="11">NA()</definedName>
    <definedName name="___________PC15" localSheetId="12">NA()</definedName>
    <definedName name="___________PC15" localSheetId="0">#REF!</definedName>
    <definedName name="___________PC15">#REF!</definedName>
    <definedName name="___________PC16" localSheetId="11">NA()</definedName>
    <definedName name="___________PC16" localSheetId="12">NA()</definedName>
    <definedName name="___________PC16" localSheetId="0">#REF!</definedName>
    <definedName name="___________PC16">#REF!</definedName>
    <definedName name="___________PC17" localSheetId="11">NA()</definedName>
    <definedName name="___________PC17" localSheetId="12">NA()</definedName>
    <definedName name="___________PC17" localSheetId="0">#REF!</definedName>
    <definedName name="___________PC17">#REF!</definedName>
    <definedName name="___________PC18" localSheetId="11">NA()</definedName>
    <definedName name="___________PC18" localSheetId="12">NA()</definedName>
    <definedName name="___________PC18" localSheetId="0">#REF!</definedName>
    <definedName name="___________PC18">#REF!</definedName>
    <definedName name="___________PC19" localSheetId="11">NA()</definedName>
    <definedName name="___________PC19" localSheetId="12">NA()</definedName>
    <definedName name="___________PC19" localSheetId="0">#REF!</definedName>
    <definedName name="___________PC19">#REF!</definedName>
    <definedName name="___________pc2" localSheetId="11">NA()</definedName>
    <definedName name="___________pc2" localSheetId="12">NA()</definedName>
    <definedName name="___________pc2" localSheetId="0">#REF!</definedName>
    <definedName name="___________pc2">#REF!</definedName>
    <definedName name="___________PC20">NA()</definedName>
    <definedName name="___________PC21" localSheetId="11">NA()</definedName>
    <definedName name="___________PC21" localSheetId="12">NA()</definedName>
    <definedName name="___________PC21" localSheetId="0">#REF!</definedName>
    <definedName name="___________PC21">#REF!</definedName>
    <definedName name="___________PC22" localSheetId="11">NA()</definedName>
    <definedName name="___________PC22" localSheetId="12">NA()</definedName>
    <definedName name="___________PC22" localSheetId="0">#REF!</definedName>
    <definedName name="___________PC22">#REF!</definedName>
    <definedName name="___________PC23" localSheetId="11">NA()</definedName>
    <definedName name="___________PC23" localSheetId="12">NA()</definedName>
    <definedName name="___________PC23" localSheetId="0">#REF!</definedName>
    <definedName name="___________PC23">#REF!</definedName>
    <definedName name="___________PC24" localSheetId="11">NA()</definedName>
    <definedName name="___________PC24" localSheetId="12">NA()</definedName>
    <definedName name="___________PC24" localSheetId="0">#REF!</definedName>
    <definedName name="___________PC24">#REF!</definedName>
    <definedName name="___________PC3" localSheetId="11">NA()</definedName>
    <definedName name="___________PC3" localSheetId="12">NA()</definedName>
    <definedName name="___________PC3" localSheetId="0">#REF!</definedName>
    <definedName name="___________PC3">#REF!</definedName>
    <definedName name="___________PC4" localSheetId="11">NA()</definedName>
    <definedName name="___________PC4" localSheetId="12">NA()</definedName>
    <definedName name="___________PC4" localSheetId="0">#REF!</definedName>
    <definedName name="___________PC4">#REF!</definedName>
    <definedName name="___________PC5" localSheetId="11">NA()</definedName>
    <definedName name="___________PC5" localSheetId="12">NA()</definedName>
    <definedName name="___________PC5" localSheetId="0">#REF!</definedName>
    <definedName name="___________PC5">#REF!</definedName>
    <definedName name="___________PC6" localSheetId="11">NA()</definedName>
    <definedName name="___________PC6" localSheetId="12">NA()</definedName>
    <definedName name="___________PC6" localSheetId="0">#REF!</definedName>
    <definedName name="___________PC6">#REF!</definedName>
    <definedName name="___________pc600" localSheetId="11">NA()</definedName>
    <definedName name="___________pc600" localSheetId="12">NA()</definedName>
    <definedName name="___________pc600" localSheetId="0">#REF!</definedName>
    <definedName name="___________pc600">#REF!</definedName>
    <definedName name="___________PC7" localSheetId="11">NA()</definedName>
    <definedName name="___________PC7" localSheetId="12">NA()</definedName>
    <definedName name="___________PC7" localSheetId="0">#REF!</definedName>
    <definedName name="___________PC7">#REF!</definedName>
    <definedName name="___________PC8" localSheetId="11">NA()</definedName>
    <definedName name="___________PC8" localSheetId="12">NA()</definedName>
    <definedName name="___________PC8" localSheetId="0">#REF!</definedName>
    <definedName name="___________PC8">#REF!</definedName>
    <definedName name="___________PC9" localSheetId="11">NA()</definedName>
    <definedName name="___________PC9" localSheetId="12">NA()</definedName>
    <definedName name="___________PC9" localSheetId="0">#REF!</definedName>
    <definedName name="___________PC9">#REF!</definedName>
    <definedName name="___________pc900" localSheetId="11">NA()</definedName>
    <definedName name="___________pc900" localSheetId="12">NA()</definedName>
    <definedName name="___________pc900" localSheetId="0">#REF!</definedName>
    <definedName name="___________pc900">#REF!</definedName>
    <definedName name="___________pla4">[12]DATA_PRG!$H$269</definedName>
    <definedName name="___________pv2" localSheetId="11">NA()</definedName>
    <definedName name="___________pv2" localSheetId="12">NA()</definedName>
    <definedName name="___________pv2" localSheetId="0">#REF!</definedName>
    <definedName name="___________pv2">#REF!</definedName>
    <definedName name="___________rr3">[7]v!$A$2:$E$51</definedName>
    <definedName name="___________rrr1">[7]r!$B$1:$I$145</definedName>
    <definedName name="___________SP10">[13]Sheet1!$C$18</definedName>
    <definedName name="___________SP16">[13]Sheet1!$C$24</definedName>
    <definedName name="___________SP7">[13]Sheet1!$C$15</definedName>
    <definedName name="___________ss12">[8]rdamdata!$J$8</definedName>
    <definedName name="___________ss20">[8]rdamdata!$J$7</definedName>
    <definedName name="___________ss40">[8]rdamdata!$J$6</definedName>
    <definedName name="___________var1" localSheetId="11">NA()</definedName>
    <definedName name="___________var1" localSheetId="12">NA()</definedName>
    <definedName name="___________var1" localSheetId="0">#REF!</definedName>
    <definedName name="___________var1">#REF!</definedName>
    <definedName name="___________var4" localSheetId="11">NA()</definedName>
    <definedName name="___________var4" localSheetId="12">NA()</definedName>
    <definedName name="___________var4" localSheetId="0">#REF!</definedName>
    <definedName name="___________var4">#REF!</definedName>
    <definedName name="___________vat1">NA()</definedName>
    <definedName name="___________xh2256">[19]HDPE!$L$30</definedName>
    <definedName name="___________xh2506">[19]HDPE!$M$30</definedName>
    <definedName name="___________xh2806">[19]HDPE!$N$30</definedName>
    <definedName name="___________xh3156">[19]HDPE!$O$30</definedName>
    <definedName name="___________xh634">[19]HDPE!$C$16</definedName>
    <definedName name="___________xk7100">[19]DI!$C$37</definedName>
    <definedName name="___________xk7150">[19]DI!$D$37</definedName>
    <definedName name="___________xk7250">[19]DI!$F$37</definedName>
    <definedName name="___________xk7300">[19]DI!$G$37</definedName>
    <definedName name="___________xp11010">[19]pvc!$F$61</definedName>
    <definedName name="___________xp1104">[19]pvc!$F$31</definedName>
    <definedName name="___________xp1106">[19]pvc!$F$46</definedName>
    <definedName name="___________xp1254">[19]pvc!$G$31</definedName>
    <definedName name="___________xp1256">[19]pvc!$G$46</definedName>
    <definedName name="___________xp14010">[19]pvc!$H$61</definedName>
    <definedName name="___________xp1404">[19]pvc!$H$31</definedName>
    <definedName name="___________xp1406">[19]pvc!$H$46</definedName>
    <definedName name="___________xp1604">[19]pvc!$I$31</definedName>
    <definedName name="___________xp1606">[19]pvc!$I$46</definedName>
    <definedName name="___________xp1804">[19]pvc!$J$31</definedName>
    <definedName name="___________xp1806">[19]pvc!$J$46</definedName>
    <definedName name="___________xp2006">[19]pvc!$K$46</definedName>
    <definedName name="___________xp6310">[19]pvc!$C$61</definedName>
    <definedName name="___________xp636">[19]pvc!$C$46</definedName>
    <definedName name="___________xp7510">[19]pvc!$D$61</definedName>
    <definedName name="___________xp754">[19]pvc!$D$31</definedName>
    <definedName name="___________xp756">[19]pvc!$D$46</definedName>
    <definedName name="___________xp9010">[19]pvc!$E$61</definedName>
    <definedName name="___________xp904">[19]pvc!$E$31</definedName>
    <definedName name="___________xp906">[19]pvc!$E$46</definedName>
    <definedName name="__________bla1">[1]leads!$H$7</definedName>
    <definedName name="__________BSG100" localSheetId="11">NA()</definedName>
    <definedName name="__________BSG100" localSheetId="12">NA()</definedName>
    <definedName name="__________BSG100" localSheetId="0">#REF!</definedName>
    <definedName name="__________BSG100">#REF!</definedName>
    <definedName name="__________BSG150" localSheetId="11">NA()</definedName>
    <definedName name="__________BSG150" localSheetId="12">NA()</definedName>
    <definedName name="__________BSG150" localSheetId="0">#REF!</definedName>
    <definedName name="__________BSG150">#REF!</definedName>
    <definedName name="__________BSG5" localSheetId="11">NA()</definedName>
    <definedName name="__________BSG5" localSheetId="12">NA()</definedName>
    <definedName name="__________BSG5" localSheetId="0">#REF!</definedName>
    <definedName name="__________BSG5">#REF!</definedName>
    <definedName name="__________BSG75" localSheetId="11">NA()</definedName>
    <definedName name="__________BSG75" localSheetId="12">NA()</definedName>
    <definedName name="__________BSG75" localSheetId="0">#REF!</definedName>
    <definedName name="__________BSG75">#REF!</definedName>
    <definedName name="__________BTC1" localSheetId="11">NA()</definedName>
    <definedName name="__________BTC1" localSheetId="12">NA()</definedName>
    <definedName name="__________BTC1" localSheetId="0">#REF!</definedName>
    <definedName name="__________BTC1">#REF!</definedName>
    <definedName name="__________BTC10" localSheetId="11">NA()</definedName>
    <definedName name="__________BTC10" localSheetId="12">NA()</definedName>
    <definedName name="__________BTC10" localSheetId="0">#REF!</definedName>
    <definedName name="__________BTC10">#REF!</definedName>
    <definedName name="__________BTC11" localSheetId="11">NA()</definedName>
    <definedName name="__________BTC11" localSheetId="12">NA()</definedName>
    <definedName name="__________BTC11" localSheetId="0">#REF!</definedName>
    <definedName name="__________BTC11">#REF!</definedName>
    <definedName name="__________BTC12" localSheetId="11">NA()</definedName>
    <definedName name="__________BTC12" localSheetId="12">NA()</definedName>
    <definedName name="__________BTC12" localSheetId="0">#REF!</definedName>
    <definedName name="__________BTC12">#REF!</definedName>
    <definedName name="__________BTC13" localSheetId="11">NA()</definedName>
    <definedName name="__________BTC13" localSheetId="12">NA()</definedName>
    <definedName name="__________BTC13" localSheetId="0">#REF!</definedName>
    <definedName name="__________BTC13">#REF!</definedName>
    <definedName name="__________BTC14" localSheetId="11">NA()</definedName>
    <definedName name="__________BTC14" localSheetId="12">NA()</definedName>
    <definedName name="__________BTC14" localSheetId="0">#REF!</definedName>
    <definedName name="__________BTC14">#REF!</definedName>
    <definedName name="__________BTC15" localSheetId="11">NA()</definedName>
    <definedName name="__________BTC15" localSheetId="12">NA()</definedName>
    <definedName name="__________BTC15" localSheetId="0">#REF!</definedName>
    <definedName name="__________BTC15">#REF!</definedName>
    <definedName name="__________BTC16" localSheetId="11">NA()</definedName>
    <definedName name="__________BTC16" localSheetId="12">NA()</definedName>
    <definedName name="__________BTC16" localSheetId="0">#REF!</definedName>
    <definedName name="__________BTC16">#REF!</definedName>
    <definedName name="__________BTC17" localSheetId="11">NA()</definedName>
    <definedName name="__________BTC17" localSheetId="12">NA()</definedName>
    <definedName name="__________BTC17" localSheetId="0">#REF!</definedName>
    <definedName name="__________BTC17">#REF!</definedName>
    <definedName name="__________BTC18" localSheetId="11">NA()</definedName>
    <definedName name="__________BTC18" localSheetId="12">NA()</definedName>
    <definedName name="__________BTC18" localSheetId="0">#REF!</definedName>
    <definedName name="__________BTC18">#REF!</definedName>
    <definedName name="__________BTC19" localSheetId="11">NA()</definedName>
    <definedName name="__________BTC19" localSheetId="12">NA()</definedName>
    <definedName name="__________BTC19" localSheetId="0">#REF!</definedName>
    <definedName name="__________BTC19">#REF!</definedName>
    <definedName name="__________BTC2" localSheetId="11">NA()</definedName>
    <definedName name="__________BTC2" localSheetId="12">NA()</definedName>
    <definedName name="__________BTC2" localSheetId="0">#REF!</definedName>
    <definedName name="__________BTC2">#REF!</definedName>
    <definedName name="__________BTC20" localSheetId="11">NA()</definedName>
    <definedName name="__________BTC20" localSheetId="12">NA()</definedName>
    <definedName name="__________BTC20" localSheetId="0">#REF!</definedName>
    <definedName name="__________BTC20">#REF!</definedName>
    <definedName name="__________BTC21" localSheetId="11">NA()</definedName>
    <definedName name="__________BTC21" localSheetId="12">NA()</definedName>
    <definedName name="__________BTC21" localSheetId="0">#REF!</definedName>
    <definedName name="__________BTC21">#REF!</definedName>
    <definedName name="__________BTC22" localSheetId="11">NA()</definedName>
    <definedName name="__________BTC22" localSheetId="12">NA()</definedName>
    <definedName name="__________BTC22" localSheetId="0">#REF!</definedName>
    <definedName name="__________BTC22">#REF!</definedName>
    <definedName name="__________BTC23" localSheetId="11">NA()</definedName>
    <definedName name="__________BTC23" localSheetId="12">NA()</definedName>
    <definedName name="__________BTC23" localSheetId="0">#REF!</definedName>
    <definedName name="__________BTC23">#REF!</definedName>
    <definedName name="__________BTC24" localSheetId="11">NA()</definedName>
    <definedName name="__________BTC24" localSheetId="12">NA()</definedName>
    <definedName name="__________BTC24" localSheetId="0">#REF!</definedName>
    <definedName name="__________BTC24">#REF!</definedName>
    <definedName name="__________BTC3" localSheetId="11">NA()</definedName>
    <definedName name="__________BTC3" localSheetId="12">NA()</definedName>
    <definedName name="__________BTC3" localSheetId="0">#REF!</definedName>
    <definedName name="__________BTC3">#REF!</definedName>
    <definedName name="__________BTC4" localSheetId="11">NA()</definedName>
    <definedName name="__________BTC4" localSheetId="12">NA()</definedName>
    <definedName name="__________BTC4" localSheetId="0">#REF!</definedName>
    <definedName name="__________BTC4">#REF!</definedName>
    <definedName name="__________BTC5" localSheetId="11">NA()</definedName>
    <definedName name="__________BTC5" localSheetId="12">NA()</definedName>
    <definedName name="__________BTC5" localSheetId="0">#REF!</definedName>
    <definedName name="__________BTC5">#REF!</definedName>
    <definedName name="__________BTC6" localSheetId="11">NA()</definedName>
    <definedName name="__________BTC6" localSheetId="12">NA()</definedName>
    <definedName name="__________BTC6" localSheetId="0">#REF!</definedName>
    <definedName name="__________BTC6">#REF!</definedName>
    <definedName name="__________BTC7" localSheetId="11">NA()</definedName>
    <definedName name="__________BTC7" localSheetId="12">NA()</definedName>
    <definedName name="__________BTC7" localSheetId="0">#REF!</definedName>
    <definedName name="__________BTC7">#REF!</definedName>
    <definedName name="__________BTC8" localSheetId="11">NA()</definedName>
    <definedName name="__________BTC8" localSheetId="12">NA()</definedName>
    <definedName name="__________BTC8" localSheetId="0">#REF!</definedName>
    <definedName name="__________BTC8">#REF!</definedName>
    <definedName name="__________BTC9" localSheetId="11">NA()</definedName>
    <definedName name="__________BTC9" localSheetId="12">NA()</definedName>
    <definedName name="__________BTC9" localSheetId="0">#REF!</definedName>
    <definedName name="__________BTC9">#REF!</definedName>
    <definedName name="__________BTR1" localSheetId="11">NA()</definedName>
    <definedName name="__________BTR1" localSheetId="12">NA()</definedName>
    <definedName name="__________BTR1" localSheetId="0">#REF!</definedName>
    <definedName name="__________BTR1">#REF!</definedName>
    <definedName name="__________BTR10" localSheetId="11">NA()</definedName>
    <definedName name="__________BTR10" localSheetId="12">NA()</definedName>
    <definedName name="__________BTR10" localSheetId="0">#REF!</definedName>
    <definedName name="__________BTR10">#REF!</definedName>
    <definedName name="__________BTR11" localSheetId="11">NA()</definedName>
    <definedName name="__________BTR11" localSheetId="12">NA()</definedName>
    <definedName name="__________BTR11" localSheetId="0">#REF!</definedName>
    <definedName name="__________BTR11">#REF!</definedName>
    <definedName name="__________BTR12" localSheetId="11">NA()</definedName>
    <definedName name="__________BTR12" localSheetId="12">NA()</definedName>
    <definedName name="__________BTR12" localSheetId="0">#REF!</definedName>
    <definedName name="__________BTR12">#REF!</definedName>
    <definedName name="__________BTR13" localSheetId="11">NA()</definedName>
    <definedName name="__________BTR13" localSheetId="12">NA()</definedName>
    <definedName name="__________BTR13" localSheetId="0">#REF!</definedName>
    <definedName name="__________BTR13">#REF!</definedName>
    <definedName name="__________BTR14" localSheetId="11">NA()</definedName>
    <definedName name="__________BTR14" localSheetId="12">NA()</definedName>
    <definedName name="__________BTR14" localSheetId="0">#REF!</definedName>
    <definedName name="__________BTR14">#REF!</definedName>
    <definedName name="__________BTR15" localSheetId="11">NA()</definedName>
    <definedName name="__________BTR15" localSheetId="12">NA()</definedName>
    <definedName name="__________BTR15" localSheetId="0">#REF!</definedName>
    <definedName name="__________BTR15">#REF!</definedName>
    <definedName name="__________BTR16" localSheetId="11">NA()</definedName>
    <definedName name="__________BTR16" localSheetId="12">NA()</definedName>
    <definedName name="__________BTR16" localSheetId="0">#REF!</definedName>
    <definedName name="__________BTR16">#REF!</definedName>
    <definedName name="__________BTR17" localSheetId="11">NA()</definedName>
    <definedName name="__________BTR17" localSheetId="12">NA()</definedName>
    <definedName name="__________BTR17" localSheetId="0">#REF!</definedName>
    <definedName name="__________BTR17">#REF!</definedName>
    <definedName name="__________BTR18" localSheetId="11">NA()</definedName>
    <definedName name="__________BTR18" localSheetId="12">NA()</definedName>
    <definedName name="__________BTR18" localSheetId="0">#REF!</definedName>
    <definedName name="__________BTR18">#REF!</definedName>
    <definedName name="__________BTR19" localSheetId="11">NA()</definedName>
    <definedName name="__________BTR19" localSheetId="12">NA()</definedName>
    <definedName name="__________BTR19" localSheetId="0">#REF!</definedName>
    <definedName name="__________BTR19">#REF!</definedName>
    <definedName name="__________BTR2" localSheetId="11">NA()</definedName>
    <definedName name="__________BTR2" localSheetId="12">NA()</definedName>
    <definedName name="__________BTR2" localSheetId="0">#REF!</definedName>
    <definedName name="__________BTR2">#REF!</definedName>
    <definedName name="__________BTR20" localSheetId="11">NA()</definedName>
    <definedName name="__________BTR20" localSheetId="12">NA()</definedName>
    <definedName name="__________BTR20" localSheetId="0">#REF!</definedName>
    <definedName name="__________BTR20">#REF!</definedName>
    <definedName name="__________BTR21" localSheetId="11">NA()</definedName>
    <definedName name="__________BTR21" localSheetId="12">NA()</definedName>
    <definedName name="__________BTR21" localSheetId="0">#REF!</definedName>
    <definedName name="__________BTR21">#REF!</definedName>
    <definedName name="__________BTR22" localSheetId="11">NA()</definedName>
    <definedName name="__________BTR22" localSheetId="12">NA()</definedName>
    <definedName name="__________BTR22" localSheetId="0">#REF!</definedName>
    <definedName name="__________BTR22">#REF!</definedName>
    <definedName name="__________BTR23" localSheetId="11">NA()</definedName>
    <definedName name="__________BTR23" localSheetId="12">NA()</definedName>
    <definedName name="__________BTR23" localSheetId="0">#REF!</definedName>
    <definedName name="__________BTR23">#REF!</definedName>
    <definedName name="__________BTR24" localSheetId="11">NA()</definedName>
    <definedName name="__________BTR24" localSheetId="12">NA()</definedName>
    <definedName name="__________BTR24" localSheetId="0">#REF!</definedName>
    <definedName name="__________BTR24">#REF!</definedName>
    <definedName name="__________BTR3" localSheetId="11">NA()</definedName>
    <definedName name="__________BTR3" localSheetId="12">NA()</definedName>
    <definedName name="__________BTR3" localSheetId="0">#REF!</definedName>
    <definedName name="__________BTR3">#REF!</definedName>
    <definedName name="__________BTR4" localSheetId="11">NA()</definedName>
    <definedName name="__________BTR4" localSheetId="12">NA()</definedName>
    <definedName name="__________BTR4" localSheetId="0">#REF!</definedName>
    <definedName name="__________BTR4">#REF!</definedName>
    <definedName name="__________BTR5" localSheetId="11">NA()</definedName>
    <definedName name="__________BTR5" localSheetId="12">NA()</definedName>
    <definedName name="__________BTR5" localSheetId="0">#REF!</definedName>
    <definedName name="__________BTR5">#REF!</definedName>
    <definedName name="__________BTR6" localSheetId="11">NA()</definedName>
    <definedName name="__________BTR6" localSheetId="12">NA()</definedName>
    <definedName name="__________BTR6" localSheetId="0">#REF!</definedName>
    <definedName name="__________BTR6">#REF!</definedName>
    <definedName name="__________BTR7" localSheetId="11">NA()</definedName>
    <definedName name="__________BTR7" localSheetId="12">NA()</definedName>
    <definedName name="__________BTR7" localSheetId="0">#REF!</definedName>
    <definedName name="__________BTR7">#REF!</definedName>
    <definedName name="__________BTR8" localSheetId="11">NA()</definedName>
    <definedName name="__________BTR8" localSheetId="12">NA()</definedName>
    <definedName name="__________BTR8" localSheetId="0">#REF!</definedName>
    <definedName name="__________BTR8">#REF!</definedName>
    <definedName name="__________BTR9" localSheetId="11">NA()</definedName>
    <definedName name="__________BTR9" localSheetId="12">NA()</definedName>
    <definedName name="__________BTR9" localSheetId="0">#REF!</definedName>
    <definedName name="__________BTR9">#REF!</definedName>
    <definedName name="__________BTS1" localSheetId="11">NA()</definedName>
    <definedName name="__________BTS1" localSheetId="12">NA()</definedName>
    <definedName name="__________BTS1" localSheetId="0">#REF!</definedName>
    <definedName name="__________BTS1">#REF!</definedName>
    <definedName name="__________BTS10" localSheetId="11">NA()</definedName>
    <definedName name="__________BTS10" localSheetId="12">NA()</definedName>
    <definedName name="__________BTS10" localSheetId="0">#REF!</definedName>
    <definedName name="__________BTS10">#REF!</definedName>
    <definedName name="__________BTS11" localSheetId="11">NA()</definedName>
    <definedName name="__________BTS11" localSheetId="12">NA()</definedName>
    <definedName name="__________BTS11" localSheetId="0">#REF!</definedName>
    <definedName name="__________BTS11">#REF!</definedName>
    <definedName name="__________BTS12" localSheetId="11">NA()</definedName>
    <definedName name="__________BTS12" localSheetId="12">NA()</definedName>
    <definedName name="__________BTS12" localSheetId="0">#REF!</definedName>
    <definedName name="__________BTS12">#REF!</definedName>
    <definedName name="__________BTS13" localSheetId="11">NA()</definedName>
    <definedName name="__________BTS13" localSheetId="12">NA()</definedName>
    <definedName name="__________BTS13" localSheetId="0">#REF!</definedName>
    <definedName name="__________BTS13">#REF!</definedName>
    <definedName name="__________BTS14" localSheetId="11">NA()</definedName>
    <definedName name="__________BTS14" localSheetId="12">NA()</definedName>
    <definedName name="__________BTS14" localSheetId="0">#REF!</definedName>
    <definedName name="__________BTS14">#REF!</definedName>
    <definedName name="__________BTS15" localSheetId="11">NA()</definedName>
    <definedName name="__________BTS15" localSheetId="12">NA()</definedName>
    <definedName name="__________BTS15" localSheetId="0">#REF!</definedName>
    <definedName name="__________BTS15">#REF!</definedName>
    <definedName name="__________BTS16" localSheetId="11">NA()</definedName>
    <definedName name="__________BTS16" localSheetId="12">NA()</definedName>
    <definedName name="__________BTS16" localSheetId="0">#REF!</definedName>
    <definedName name="__________BTS16">#REF!</definedName>
    <definedName name="__________BTS17" localSheetId="11">NA()</definedName>
    <definedName name="__________BTS17" localSheetId="12">NA()</definedName>
    <definedName name="__________BTS17" localSheetId="0">#REF!</definedName>
    <definedName name="__________BTS17">#REF!</definedName>
    <definedName name="__________BTS18" localSheetId="11">NA()</definedName>
    <definedName name="__________BTS18" localSheetId="12">NA()</definedName>
    <definedName name="__________BTS18" localSheetId="0">#REF!</definedName>
    <definedName name="__________BTS18">#REF!</definedName>
    <definedName name="__________BTS19" localSheetId="11">NA()</definedName>
    <definedName name="__________BTS19" localSheetId="12">NA()</definedName>
    <definedName name="__________BTS19" localSheetId="0">#REF!</definedName>
    <definedName name="__________BTS19">#REF!</definedName>
    <definedName name="__________BTS2" localSheetId="11">NA()</definedName>
    <definedName name="__________BTS2" localSheetId="12">NA()</definedName>
    <definedName name="__________BTS2" localSheetId="0">#REF!</definedName>
    <definedName name="__________BTS2">#REF!</definedName>
    <definedName name="__________BTS20" localSheetId="11">NA()</definedName>
    <definedName name="__________BTS20" localSheetId="12">NA()</definedName>
    <definedName name="__________BTS20" localSheetId="0">#REF!</definedName>
    <definedName name="__________BTS20">#REF!</definedName>
    <definedName name="__________BTS21" localSheetId="11">NA()</definedName>
    <definedName name="__________BTS21" localSheetId="12">NA()</definedName>
    <definedName name="__________BTS21" localSheetId="0">#REF!</definedName>
    <definedName name="__________BTS21">#REF!</definedName>
    <definedName name="__________BTS22" localSheetId="11">NA()</definedName>
    <definedName name="__________BTS22" localSheetId="12">NA()</definedName>
    <definedName name="__________BTS22" localSheetId="0">#REF!</definedName>
    <definedName name="__________BTS22">#REF!</definedName>
    <definedName name="__________BTS23" localSheetId="11">NA()</definedName>
    <definedName name="__________BTS23" localSheetId="12">NA()</definedName>
    <definedName name="__________BTS23" localSheetId="0">#REF!</definedName>
    <definedName name="__________BTS23">#REF!</definedName>
    <definedName name="__________BTS24" localSheetId="11">NA()</definedName>
    <definedName name="__________BTS24" localSheetId="12">NA()</definedName>
    <definedName name="__________BTS24" localSheetId="0">#REF!</definedName>
    <definedName name="__________BTS24">#REF!</definedName>
    <definedName name="__________BTS3" localSheetId="11">NA()</definedName>
    <definedName name="__________BTS3" localSheetId="12">NA()</definedName>
    <definedName name="__________BTS3" localSheetId="0">#REF!</definedName>
    <definedName name="__________BTS3">#REF!</definedName>
    <definedName name="__________BTS4" localSheetId="11">NA()</definedName>
    <definedName name="__________BTS4" localSheetId="12">NA()</definedName>
    <definedName name="__________BTS4" localSheetId="0">#REF!</definedName>
    <definedName name="__________BTS4">#REF!</definedName>
    <definedName name="__________BTS5" localSheetId="11">NA()</definedName>
    <definedName name="__________BTS5" localSheetId="12">NA()</definedName>
    <definedName name="__________BTS5" localSheetId="0">#REF!</definedName>
    <definedName name="__________BTS5">#REF!</definedName>
    <definedName name="__________BTS6" localSheetId="11">NA()</definedName>
    <definedName name="__________BTS6" localSheetId="12">NA()</definedName>
    <definedName name="__________BTS6" localSheetId="0">#REF!</definedName>
    <definedName name="__________BTS6">#REF!</definedName>
    <definedName name="__________BTS7" localSheetId="11">NA()</definedName>
    <definedName name="__________BTS7" localSheetId="12">NA()</definedName>
    <definedName name="__________BTS7" localSheetId="0">#REF!</definedName>
    <definedName name="__________BTS7">#REF!</definedName>
    <definedName name="__________BTS8" localSheetId="11">NA()</definedName>
    <definedName name="__________BTS8" localSheetId="12">NA()</definedName>
    <definedName name="__________BTS8" localSheetId="0">#REF!</definedName>
    <definedName name="__________BTS8">#REF!</definedName>
    <definedName name="__________BTS9" localSheetId="11">NA()</definedName>
    <definedName name="__________BTS9" localSheetId="12">NA()</definedName>
    <definedName name="__________BTS9" localSheetId="0">#REF!</definedName>
    <definedName name="__________BTS9">#REF!</definedName>
    <definedName name="__________can430">40.73</definedName>
    <definedName name="__________can435">43.3</definedName>
    <definedName name="__________CCW1">[9]DATA!$H$67</definedName>
    <definedName name="__________CCW2">[9]DATA!$H$97</definedName>
    <definedName name="__________cur1">[2]r!$F$30</definedName>
    <definedName name="__________G120907" localSheetId="11">"[23]data!#ref!"</definedName>
    <definedName name="__________G120907" localSheetId="12">"[23]data!#ref!"</definedName>
    <definedName name="__________G120907" localSheetId="0">[18]Data!#REF!</definedName>
    <definedName name="__________G120907">[18]Data!#REF!</definedName>
    <definedName name="__________GBS11">NA()</definedName>
    <definedName name="__________GBS110" localSheetId="11">NA()</definedName>
    <definedName name="__________GBS110" localSheetId="12">NA()</definedName>
    <definedName name="__________GBS110" localSheetId="0">#REF!</definedName>
    <definedName name="__________GBS110">#REF!</definedName>
    <definedName name="__________GBS111" localSheetId="11">NA()</definedName>
    <definedName name="__________GBS111" localSheetId="12">NA()</definedName>
    <definedName name="__________GBS111" localSheetId="0">#REF!</definedName>
    <definedName name="__________GBS111">#REF!</definedName>
    <definedName name="__________GBS112" localSheetId="11">NA()</definedName>
    <definedName name="__________GBS112" localSheetId="12">NA()</definedName>
    <definedName name="__________GBS112" localSheetId="0">#REF!</definedName>
    <definedName name="__________GBS112">#REF!</definedName>
    <definedName name="__________GBS113" localSheetId="11">NA()</definedName>
    <definedName name="__________GBS113" localSheetId="12">NA()</definedName>
    <definedName name="__________GBS113" localSheetId="0">#REF!</definedName>
    <definedName name="__________GBS113">#REF!</definedName>
    <definedName name="__________GBS114" localSheetId="11">NA()</definedName>
    <definedName name="__________GBS114" localSheetId="12">NA()</definedName>
    <definedName name="__________GBS114" localSheetId="0">#REF!</definedName>
    <definedName name="__________GBS114">#REF!</definedName>
    <definedName name="__________GBS115" localSheetId="11">NA()</definedName>
    <definedName name="__________GBS115" localSheetId="12">NA()</definedName>
    <definedName name="__________GBS115" localSheetId="0">#REF!</definedName>
    <definedName name="__________GBS115">#REF!</definedName>
    <definedName name="__________GBS116" localSheetId="11">NA()</definedName>
    <definedName name="__________GBS116" localSheetId="12">NA()</definedName>
    <definedName name="__________GBS116" localSheetId="0">#REF!</definedName>
    <definedName name="__________GBS116">#REF!</definedName>
    <definedName name="__________GBS117" localSheetId="11">NA()</definedName>
    <definedName name="__________GBS117" localSheetId="12">NA()</definedName>
    <definedName name="__________GBS117" localSheetId="0">#REF!</definedName>
    <definedName name="__________GBS117">#REF!</definedName>
    <definedName name="__________GBS118" localSheetId="11">NA()</definedName>
    <definedName name="__________GBS118" localSheetId="12">NA()</definedName>
    <definedName name="__________GBS118" localSheetId="0">#REF!</definedName>
    <definedName name="__________GBS118">#REF!</definedName>
    <definedName name="__________GBS119" localSheetId="11">NA()</definedName>
    <definedName name="__________GBS119" localSheetId="12">NA()</definedName>
    <definedName name="__________GBS119" localSheetId="0">#REF!</definedName>
    <definedName name="__________GBS119">#REF!</definedName>
    <definedName name="__________GBS12" localSheetId="11">NA()</definedName>
    <definedName name="__________GBS12" localSheetId="12">NA()</definedName>
    <definedName name="__________GBS12" localSheetId="0">#REF!</definedName>
    <definedName name="__________GBS12">#REF!</definedName>
    <definedName name="__________GBS120" localSheetId="11">NA()</definedName>
    <definedName name="__________GBS120" localSheetId="12">NA()</definedName>
    <definedName name="__________GBS120" localSheetId="0">#REF!</definedName>
    <definedName name="__________GBS120">#REF!</definedName>
    <definedName name="__________GBS121" localSheetId="11">NA()</definedName>
    <definedName name="__________GBS121" localSheetId="12">NA()</definedName>
    <definedName name="__________GBS121" localSheetId="0">#REF!</definedName>
    <definedName name="__________GBS121">#REF!</definedName>
    <definedName name="__________GBS122" localSheetId="11">NA()</definedName>
    <definedName name="__________GBS122" localSheetId="12">NA()</definedName>
    <definedName name="__________GBS122" localSheetId="0">#REF!</definedName>
    <definedName name="__________GBS122">#REF!</definedName>
    <definedName name="__________GBS123" localSheetId="11">NA()</definedName>
    <definedName name="__________GBS123" localSheetId="12">NA()</definedName>
    <definedName name="__________GBS123" localSheetId="0">#REF!</definedName>
    <definedName name="__________GBS123">#REF!</definedName>
    <definedName name="__________GBS124" localSheetId="11">NA()</definedName>
    <definedName name="__________GBS124" localSheetId="12">NA()</definedName>
    <definedName name="__________GBS124" localSheetId="0">#REF!</definedName>
    <definedName name="__________GBS124">#REF!</definedName>
    <definedName name="__________GBS13" localSheetId="11">NA()</definedName>
    <definedName name="__________GBS13" localSheetId="12">NA()</definedName>
    <definedName name="__________GBS13" localSheetId="0">#REF!</definedName>
    <definedName name="__________GBS13">#REF!</definedName>
    <definedName name="__________GBS14" localSheetId="11">NA()</definedName>
    <definedName name="__________GBS14" localSheetId="12">NA()</definedName>
    <definedName name="__________GBS14" localSheetId="0">#REF!</definedName>
    <definedName name="__________GBS14">#REF!</definedName>
    <definedName name="__________GBS15" localSheetId="11">NA()</definedName>
    <definedName name="__________GBS15" localSheetId="12">NA()</definedName>
    <definedName name="__________GBS15" localSheetId="0">#REF!</definedName>
    <definedName name="__________GBS15">#REF!</definedName>
    <definedName name="__________GBS16" localSheetId="11">NA()</definedName>
    <definedName name="__________GBS16" localSheetId="12">NA()</definedName>
    <definedName name="__________GBS16" localSheetId="0">#REF!</definedName>
    <definedName name="__________GBS16">#REF!</definedName>
    <definedName name="__________GBS17" localSheetId="11">NA()</definedName>
    <definedName name="__________GBS17" localSheetId="12">NA()</definedName>
    <definedName name="__________GBS17" localSheetId="0">#REF!</definedName>
    <definedName name="__________GBS17">#REF!</definedName>
    <definedName name="__________GBS18" localSheetId="11">NA()</definedName>
    <definedName name="__________GBS18" localSheetId="12">NA()</definedName>
    <definedName name="__________GBS18" localSheetId="0">#REF!</definedName>
    <definedName name="__________GBS18">#REF!</definedName>
    <definedName name="__________GBS19" localSheetId="11">NA()</definedName>
    <definedName name="__________GBS19" localSheetId="12">NA()</definedName>
    <definedName name="__________GBS19" localSheetId="0">#REF!</definedName>
    <definedName name="__________GBS19">#REF!</definedName>
    <definedName name="__________GBS21" localSheetId="11">NA()</definedName>
    <definedName name="__________GBS21" localSheetId="12">NA()</definedName>
    <definedName name="__________GBS21" localSheetId="0">#REF!</definedName>
    <definedName name="__________GBS21">#REF!</definedName>
    <definedName name="__________GBS210" localSheetId="11">NA()</definedName>
    <definedName name="__________GBS210" localSheetId="12">NA()</definedName>
    <definedName name="__________GBS210" localSheetId="0">#REF!</definedName>
    <definedName name="__________GBS210">#REF!</definedName>
    <definedName name="__________GBS211" localSheetId="11">NA()</definedName>
    <definedName name="__________GBS211" localSheetId="12">NA()</definedName>
    <definedName name="__________GBS211" localSheetId="0">#REF!</definedName>
    <definedName name="__________GBS211">#REF!</definedName>
    <definedName name="__________GBS212" localSheetId="11">NA()</definedName>
    <definedName name="__________GBS212" localSheetId="12">NA()</definedName>
    <definedName name="__________GBS212" localSheetId="0">#REF!</definedName>
    <definedName name="__________GBS212">#REF!</definedName>
    <definedName name="__________GBS213" localSheetId="11">NA()</definedName>
    <definedName name="__________GBS213" localSheetId="12">NA()</definedName>
    <definedName name="__________GBS213" localSheetId="0">#REF!</definedName>
    <definedName name="__________GBS213">#REF!</definedName>
    <definedName name="__________GBS214" localSheetId="11">NA()</definedName>
    <definedName name="__________GBS214" localSheetId="12">NA()</definedName>
    <definedName name="__________GBS214" localSheetId="0">#REF!</definedName>
    <definedName name="__________GBS214">#REF!</definedName>
    <definedName name="__________GBS215" localSheetId="11">NA()</definedName>
    <definedName name="__________GBS215" localSheetId="12">NA()</definedName>
    <definedName name="__________GBS215" localSheetId="0">#REF!</definedName>
    <definedName name="__________GBS215">#REF!</definedName>
    <definedName name="__________GBS216" localSheetId="11">NA()</definedName>
    <definedName name="__________GBS216" localSheetId="12">NA()</definedName>
    <definedName name="__________GBS216" localSheetId="0">#REF!</definedName>
    <definedName name="__________GBS216">#REF!</definedName>
    <definedName name="__________GBS217" localSheetId="11">NA()</definedName>
    <definedName name="__________GBS217" localSheetId="12">NA()</definedName>
    <definedName name="__________GBS217" localSheetId="0">#REF!</definedName>
    <definedName name="__________GBS217">#REF!</definedName>
    <definedName name="__________GBS218" localSheetId="11">NA()</definedName>
    <definedName name="__________GBS218" localSheetId="12">NA()</definedName>
    <definedName name="__________GBS218" localSheetId="0">#REF!</definedName>
    <definedName name="__________GBS218">#REF!</definedName>
    <definedName name="__________GBS219" localSheetId="11">NA()</definedName>
    <definedName name="__________GBS219" localSheetId="12">NA()</definedName>
    <definedName name="__________GBS219" localSheetId="0">#REF!</definedName>
    <definedName name="__________GBS219">#REF!</definedName>
    <definedName name="__________GBS22" localSheetId="11">NA()</definedName>
    <definedName name="__________GBS22" localSheetId="12">NA()</definedName>
    <definedName name="__________GBS22" localSheetId="0">#REF!</definedName>
    <definedName name="__________GBS22">#REF!</definedName>
    <definedName name="__________GBS220" localSheetId="11">NA()</definedName>
    <definedName name="__________GBS220" localSheetId="12">NA()</definedName>
    <definedName name="__________GBS220" localSheetId="0">#REF!</definedName>
    <definedName name="__________GBS220">#REF!</definedName>
    <definedName name="__________GBS221" localSheetId="11">NA()</definedName>
    <definedName name="__________GBS221" localSheetId="12">NA()</definedName>
    <definedName name="__________GBS221" localSheetId="0">#REF!</definedName>
    <definedName name="__________GBS221">#REF!</definedName>
    <definedName name="__________GBS222" localSheetId="11">NA()</definedName>
    <definedName name="__________GBS222" localSheetId="12">NA()</definedName>
    <definedName name="__________GBS222" localSheetId="0">#REF!</definedName>
    <definedName name="__________GBS222">#REF!</definedName>
    <definedName name="__________GBS223" localSheetId="11">NA()</definedName>
    <definedName name="__________GBS223" localSheetId="12">NA()</definedName>
    <definedName name="__________GBS223" localSheetId="0">#REF!</definedName>
    <definedName name="__________GBS223">#REF!</definedName>
    <definedName name="__________GBS224" localSheetId="11">NA()</definedName>
    <definedName name="__________GBS224" localSheetId="12">NA()</definedName>
    <definedName name="__________GBS224" localSheetId="0">#REF!</definedName>
    <definedName name="__________GBS224">#REF!</definedName>
    <definedName name="__________GBS23" localSheetId="11">NA()</definedName>
    <definedName name="__________GBS23" localSheetId="12">NA()</definedName>
    <definedName name="__________GBS23" localSheetId="0">#REF!</definedName>
    <definedName name="__________GBS23">#REF!</definedName>
    <definedName name="__________GBS24" localSheetId="11">NA()</definedName>
    <definedName name="__________GBS24" localSheetId="12">NA()</definedName>
    <definedName name="__________GBS24" localSheetId="0">#REF!</definedName>
    <definedName name="__________GBS24">#REF!</definedName>
    <definedName name="__________GBS25" localSheetId="11">NA()</definedName>
    <definedName name="__________GBS25" localSheetId="12">NA()</definedName>
    <definedName name="__________GBS25" localSheetId="0">#REF!</definedName>
    <definedName name="__________GBS25">#REF!</definedName>
    <definedName name="__________GBS26" localSheetId="11">NA()</definedName>
    <definedName name="__________GBS26" localSheetId="12">NA()</definedName>
    <definedName name="__________GBS26" localSheetId="0">#REF!</definedName>
    <definedName name="__________GBS26">#REF!</definedName>
    <definedName name="__________GBS27" localSheetId="11">NA()</definedName>
    <definedName name="__________GBS27" localSheetId="12">NA()</definedName>
    <definedName name="__________GBS27" localSheetId="0">#REF!</definedName>
    <definedName name="__________GBS27">#REF!</definedName>
    <definedName name="__________GBS28" localSheetId="11">NA()</definedName>
    <definedName name="__________GBS28" localSheetId="12">NA()</definedName>
    <definedName name="__________GBS28" localSheetId="0">#REF!</definedName>
    <definedName name="__________GBS28">#REF!</definedName>
    <definedName name="__________GBS29" localSheetId="11">NA()</definedName>
    <definedName name="__________GBS29" localSheetId="12">NA()</definedName>
    <definedName name="__________GBS29" localSheetId="0">#REF!</definedName>
    <definedName name="__________GBS29">#REF!</definedName>
    <definedName name="__________imp1">[11]DATA_PRG!$H$245</definedName>
    <definedName name="__________KC139">NA()</definedName>
    <definedName name="__________knr2">NA()</definedName>
    <definedName name="__________l1">[3]leads!$A$3:$E$108</definedName>
    <definedName name="__________l12" localSheetId="11">NA()</definedName>
    <definedName name="__________l12" localSheetId="12">NA()</definedName>
    <definedName name="__________l12" localSheetId="0">#REF!</definedName>
    <definedName name="__________l12">#REF!</definedName>
    <definedName name="__________l2">[2]r!$F$29</definedName>
    <definedName name="__________l3" localSheetId="11">NA()</definedName>
    <definedName name="__________l3" localSheetId="12">NA()</definedName>
    <definedName name="__________l3" localSheetId="0">#REF!</definedName>
    <definedName name="__________l3">#REF!</definedName>
    <definedName name="__________l4">[4]Sheet1!$W$2:$Y$103</definedName>
    <definedName name="__________l5" localSheetId="11">NA()</definedName>
    <definedName name="__________l5" localSheetId="12">NA()</definedName>
    <definedName name="__________l5" localSheetId="0">#REF!</definedName>
    <definedName name="__________l5">#REF!</definedName>
    <definedName name="__________l6">[2]r!$F$4</definedName>
    <definedName name="__________l7">[5]r!$F$4</definedName>
    <definedName name="__________l8">[2]r!$F$2</definedName>
    <definedName name="__________l9">[2]r!$F$3</definedName>
    <definedName name="__________LJ6">[9]DATA!$H$245</definedName>
    <definedName name="__________lj600" localSheetId="11">NA()</definedName>
    <definedName name="__________lj600" localSheetId="12">NA()</definedName>
    <definedName name="__________lj600" localSheetId="0">#REF!</definedName>
    <definedName name="__________lj600">#REF!</definedName>
    <definedName name="__________lj900" localSheetId="11">NA()</definedName>
    <definedName name="__________lj900" localSheetId="12">NA()</definedName>
    <definedName name="__________lj900" localSheetId="0">#REF!</definedName>
    <definedName name="__________lj900">#REF!</definedName>
    <definedName name="__________LL3" localSheetId="11">NA()</definedName>
    <definedName name="__________LL3" localSheetId="12">NA()</definedName>
    <definedName name="__________LL3" localSheetId="0">#REF!</definedName>
    <definedName name="__________LL3">#REF!</definedName>
    <definedName name="__________LSO24" localSheetId="11">"[14]lead!#ref!"</definedName>
    <definedName name="__________LSO24" localSheetId="12">"[14]lead!#ref!"</definedName>
    <definedName name="__________LSO24" localSheetId="0">[10]Lead!#REF!</definedName>
    <definedName name="__________LSO24">[10]Lead!#REF!</definedName>
    <definedName name="__________MA1">NA()</definedName>
    <definedName name="__________MA2">NA()</definedName>
    <definedName name="__________me12">NA()</definedName>
    <definedName name="__________Met22">NA()</definedName>
    <definedName name="__________Met45" localSheetId="11">NA()</definedName>
    <definedName name="__________Met45" localSheetId="12">NA()</definedName>
    <definedName name="__________Met45" localSheetId="0">#REF!</definedName>
    <definedName name="__________Met45">#REF!</definedName>
    <definedName name="__________MEt55" localSheetId="11">NA()</definedName>
    <definedName name="__________MEt55" localSheetId="12">NA()</definedName>
    <definedName name="__________MEt55" localSheetId="0">#REF!</definedName>
    <definedName name="__________MEt55">#REF!</definedName>
    <definedName name="__________Met63" localSheetId="11">NA()</definedName>
    <definedName name="__________Met63" localSheetId="12">NA()</definedName>
    <definedName name="__________Met63" localSheetId="0">#REF!</definedName>
    <definedName name="__________Met63">#REF!</definedName>
    <definedName name="__________ML21" localSheetId="11">NA()</definedName>
    <definedName name="__________ML21" localSheetId="12">NA()</definedName>
    <definedName name="__________ML21" localSheetId="0">#REF!</definedName>
    <definedName name="__________ML21">#REF!</definedName>
    <definedName name="__________ML210" localSheetId="11">NA()</definedName>
    <definedName name="__________ML210" localSheetId="12">NA()</definedName>
    <definedName name="__________ML210" localSheetId="0">#REF!</definedName>
    <definedName name="__________ML210">#REF!</definedName>
    <definedName name="__________ML211" localSheetId="11">NA()</definedName>
    <definedName name="__________ML211" localSheetId="12">NA()</definedName>
    <definedName name="__________ML211" localSheetId="0">#REF!</definedName>
    <definedName name="__________ML211">#REF!</definedName>
    <definedName name="__________ML212" localSheetId="11">NA()</definedName>
    <definedName name="__________ML212" localSheetId="12">NA()</definedName>
    <definedName name="__________ML212" localSheetId="0">#REF!</definedName>
    <definedName name="__________ML212">#REF!</definedName>
    <definedName name="__________ML213" localSheetId="11">NA()</definedName>
    <definedName name="__________ML213" localSheetId="12">NA()</definedName>
    <definedName name="__________ML213" localSheetId="0">#REF!</definedName>
    <definedName name="__________ML213">#REF!</definedName>
    <definedName name="__________ML214" localSheetId="11">NA()</definedName>
    <definedName name="__________ML214" localSheetId="12">NA()</definedName>
    <definedName name="__________ML214" localSheetId="0">#REF!</definedName>
    <definedName name="__________ML214">#REF!</definedName>
    <definedName name="__________ML215" localSheetId="11">NA()</definedName>
    <definedName name="__________ML215" localSheetId="12">NA()</definedName>
    <definedName name="__________ML215" localSheetId="0">#REF!</definedName>
    <definedName name="__________ML215">#REF!</definedName>
    <definedName name="__________ML216" localSheetId="11">NA()</definedName>
    <definedName name="__________ML216" localSheetId="12">NA()</definedName>
    <definedName name="__________ML216" localSheetId="0">#REF!</definedName>
    <definedName name="__________ML216">#REF!</definedName>
    <definedName name="__________ML217" localSheetId="11">NA()</definedName>
    <definedName name="__________ML217" localSheetId="12">NA()</definedName>
    <definedName name="__________ML217" localSheetId="0">#REF!</definedName>
    <definedName name="__________ML217">#REF!</definedName>
    <definedName name="__________ML218" localSheetId="11">NA()</definedName>
    <definedName name="__________ML218" localSheetId="12">NA()</definedName>
    <definedName name="__________ML218" localSheetId="0">#REF!</definedName>
    <definedName name="__________ML218">#REF!</definedName>
    <definedName name="__________ML219" localSheetId="11">NA()</definedName>
    <definedName name="__________ML219" localSheetId="12">NA()</definedName>
    <definedName name="__________ML219" localSheetId="0">#REF!</definedName>
    <definedName name="__________ML219">#REF!</definedName>
    <definedName name="__________ML22" localSheetId="11">NA()</definedName>
    <definedName name="__________ML22" localSheetId="12">NA()</definedName>
    <definedName name="__________ML22" localSheetId="0">#REF!</definedName>
    <definedName name="__________ML22">#REF!</definedName>
    <definedName name="__________ML220" localSheetId="11">NA()</definedName>
    <definedName name="__________ML220" localSheetId="12">NA()</definedName>
    <definedName name="__________ML220" localSheetId="0">#REF!</definedName>
    <definedName name="__________ML220">#REF!</definedName>
    <definedName name="__________ML221" localSheetId="11">NA()</definedName>
    <definedName name="__________ML221" localSheetId="12">NA()</definedName>
    <definedName name="__________ML221" localSheetId="0">#REF!</definedName>
    <definedName name="__________ML221">#REF!</definedName>
    <definedName name="__________ML222" localSheetId="11">NA()</definedName>
    <definedName name="__________ML222" localSheetId="12">NA()</definedName>
    <definedName name="__________ML222" localSheetId="0">#REF!</definedName>
    <definedName name="__________ML222">#REF!</definedName>
    <definedName name="__________ML223" localSheetId="11">NA()</definedName>
    <definedName name="__________ML223" localSheetId="12">NA()</definedName>
    <definedName name="__________ML223" localSheetId="0">#REF!</definedName>
    <definedName name="__________ML223">#REF!</definedName>
    <definedName name="__________ML224" localSheetId="11">NA()</definedName>
    <definedName name="__________ML224" localSheetId="12">NA()</definedName>
    <definedName name="__________ML224" localSheetId="0">#REF!</definedName>
    <definedName name="__________ML224">#REF!</definedName>
    <definedName name="__________ML23" localSheetId="11">NA()</definedName>
    <definedName name="__________ML23" localSheetId="12">NA()</definedName>
    <definedName name="__________ML23" localSheetId="0">#REF!</definedName>
    <definedName name="__________ML23">#REF!</definedName>
    <definedName name="__________ML24" localSheetId="11">NA()</definedName>
    <definedName name="__________ML24" localSheetId="12">NA()</definedName>
    <definedName name="__________ML24" localSheetId="0">#REF!</definedName>
    <definedName name="__________ML24">#REF!</definedName>
    <definedName name="__________ML25" localSheetId="11">NA()</definedName>
    <definedName name="__________ML25" localSheetId="12">NA()</definedName>
    <definedName name="__________ML25" localSheetId="0">#REF!</definedName>
    <definedName name="__________ML25">#REF!</definedName>
    <definedName name="__________ML26" localSheetId="11">NA()</definedName>
    <definedName name="__________ML26" localSheetId="12">NA()</definedName>
    <definedName name="__________ML26" localSheetId="0">#REF!</definedName>
    <definedName name="__________ML26">#REF!</definedName>
    <definedName name="__________ML27" localSheetId="11">NA()</definedName>
    <definedName name="__________ML27" localSheetId="12">NA()</definedName>
    <definedName name="__________ML27" localSheetId="0">#REF!</definedName>
    <definedName name="__________ML27">#REF!</definedName>
    <definedName name="__________ML28" localSheetId="11">NA()</definedName>
    <definedName name="__________ML28" localSheetId="12">NA()</definedName>
    <definedName name="__________ML28" localSheetId="0">#REF!</definedName>
    <definedName name="__________ML28">#REF!</definedName>
    <definedName name="__________ML29" localSheetId="11">NA()</definedName>
    <definedName name="__________ML29" localSheetId="12">NA()</definedName>
    <definedName name="__________ML29" localSheetId="0">#REF!</definedName>
    <definedName name="__________ML29">#REF!</definedName>
    <definedName name="__________ML31" localSheetId="11">NA()</definedName>
    <definedName name="__________ML31" localSheetId="12">NA()</definedName>
    <definedName name="__________ML31" localSheetId="0">#REF!</definedName>
    <definedName name="__________ML31">#REF!</definedName>
    <definedName name="__________ML310" localSheetId="11">NA()</definedName>
    <definedName name="__________ML310" localSheetId="12">NA()</definedName>
    <definedName name="__________ML310" localSheetId="0">#REF!</definedName>
    <definedName name="__________ML310">#REF!</definedName>
    <definedName name="__________ML311" localSheetId="11">NA()</definedName>
    <definedName name="__________ML311" localSheetId="12">NA()</definedName>
    <definedName name="__________ML311" localSheetId="0">#REF!</definedName>
    <definedName name="__________ML311">#REF!</definedName>
    <definedName name="__________ML312" localSheetId="11">NA()</definedName>
    <definedName name="__________ML312" localSheetId="12">NA()</definedName>
    <definedName name="__________ML312" localSheetId="0">#REF!</definedName>
    <definedName name="__________ML312">#REF!</definedName>
    <definedName name="__________ML313" localSheetId="11">NA()</definedName>
    <definedName name="__________ML313" localSheetId="12">NA()</definedName>
    <definedName name="__________ML313" localSheetId="0">#REF!</definedName>
    <definedName name="__________ML313">#REF!</definedName>
    <definedName name="__________ML314" localSheetId="11">NA()</definedName>
    <definedName name="__________ML314" localSheetId="12">NA()</definedName>
    <definedName name="__________ML314" localSheetId="0">#REF!</definedName>
    <definedName name="__________ML314">#REF!</definedName>
    <definedName name="__________ML315" localSheetId="11">NA()</definedName>
    <definedName name="__________ML315" localSheetId="12">NA()</definedName>
    <definedName name="__________ML315" localSheetId="0">#REF!</definedName>
    <definedName name="__________ML315">#REF!</definedName>
    <definedName name="__________ML316" localSheetId="11">NA()</definedName>
    <definedName name="__________ML316" localSheetId="12">NA()</definedName>
    <definedName name="__________ML316" localSheetId="0">#REF!</definedName>
    <definedName name="__________ML316">#REF!</definedName>
    <definedName name="__________ML317" localSheetId="11">NA()</definedName>
    <definedName name="__________ML317" localSheetId="12">NA()</definedName>
    <definedName name="__________ML317" localSheetId="0">#REF!</definedName>
    <definedName name="__________ML317">#REF!</definedName>
    <definedName name="__________ML318" localSheetId="11">NA()</definedName>
    <definedName name="__________ML318" localSheetId="12">NA()</definedName>
    <definedName name="__________ML318" localSheetId="0">#REF!</definedName>
    <definedName name="__________ML318">#REF!</definedName>
    <definedName name="__________ML319" localSheetId="11">NA()</definedName>
    <definedName name="__________ML319" localSheetId="12">NA()</definedName>
    <definedName name="__________ML319" localSheetId="0">#REF!</definedName>
    <definedName name="__________ML319">#REF!</definedName>
    <definedName name="__________ML32" localSheetId="11">NA()</definedName>
    <definedName name="__________ML32" localSheetId="12">NA()</definedName>
    <definedName name="__________ML32" localSheetId="0">#REF!</definedName>
    <definedName name="__________ML32">#REF!</definedName>
    <definedName name="__________ML320" localSheetId="11">NA()</definedName>
    <definedName name="__________ML320" localSheetId="12">NA()</definedName>
    <definedName name="__________ML320" localSheetId="0">#REF!</definedName>
    <definedName name="__________ML320">#REF!</definedName>
    <definedName name="__________ML321" localSheetId="11">NA()</definedName>
    <definedName name="__________ML321" localSheetId="12">NA()</definedName>
    <definedName name="__________ML321" localSheetId="0">#REF!</definedName>
    <definedName name="__________ML321">#REF!</definedName>
    <definedName name="__________ML322" localSheetId="11">NA()</definedName>
    <definedName name="__________ML322" localSheetId="12">NA()</definedName>
    <definedName name="__________ML322" localSheetId="0">#REF!</definedName>
    <definedName name="__________ML322">#REF!</definedName>
    <definedName name="__________ML323" localSheetId="11">NA()</definedName>
    <definedName name="__________ML323" localSheetId="12">NA()</definedName>
    <definedName name="__________ML323" localSheetId="0">#REF!</definedName>
    <definedName name="__________ML323">#REF!</definedName>
    <definedName name="__________ML324" localSheetId="11">NA()</definedName>
    <definedName name="__________ML324" localSheetId="12">NA()</definedName>
    <definedName name="__________ML324" localSheetId="0">#REF!</definedName>
    <definedName name="__________ML324">#REF!</definedName>
    <definedName name="__________ML33" localSheetId="11">NA()</definedName>
    <definedName name="__________ML33" localSheetId="12">NA()</definedName>
    <definedName name="__________ML33" localSheetId="0">#REF!</definedName>
    <definedName name="__________ML33">#REF!</definedName>
    <definedName name="__________ML34" localSheetId="11">NA()</definedName>
    <definedName name="__________ML34" localSheetId="12">NA()</definedName>
    <definedName name="__________ML34" localSheetId="0">#REF!</definedName>
    <definedName name="__________ML34">#REF!</definedName>
    <definedName name="__________ML35" localSheetId="11">NA()</definedName>
    <definedName name="__________ML35" localSheetId="12">NA()</definedName>
    <definedName name="__________ML35" localSheetId="0">#REF!</definedName>
    <definedName name="__________ML35">#REF!</definedName>
    <definedName name="__________ML36" localSheetId="11">NA()</definedName>
    <definedName name="__________ML36" localSheetId="12">NA()</definedName>
    <definedName name="__________ML36" localSheetId="0">#REF!</definedName>
    <definedName name="__________ML36">#REF!</definedName>
    <definedName name="__________ML37" localSheetId="11">NA()</definedName>
    <definedName name="__________ML37" localSheetId="12">NA()</definedName>
    <definedName name="__________ML37" localSheetId="0">#REF!</definedName>
    <definedName name="__________ML37">#REF!</definedName>
    <definedName name="__________ML38" localSheetId="11">NA()</definedName>
    <definedName name="__________ML38" localSheetId="12">NA()</definedName>
    <definedName name="__________ML38" localSheetId="0">#REF!</definedName>
    <definedName name="__________ML38">#REF!</definedName>
    <definedName name="__________ML39" localSheetId="11">NA()</definedName>
    <definedName name="__________ML39" localSheetId="12">NA()</definedName>
    <definedName name="__________ML39" localSheetId="0">#REF!</definedName>
    <definedName name="__________ML39">#REF!</definedName>
    <definedName name="__________ML7" localSheetId="11">NA()</definedName>
    <definedName name="__________ML7" localSheetId="12">NA()</definedName>
    <definedName name="__________ML7" localSheetId="0">#REF!</definedName>
    <definedName name="__________ML7">#REF!</definedName>
    <definedName name="__________ML8" localSheetId="11">NA()</definedName>
    <definedName name="__________ML8" localSheetId="12">NA()</definedName>
    <definedName name="__________ML8" localSheetId="0">#REF!</definedName>
    <definedName name="__________ML8">#REF!</definedName>
    <definedName name="__________ML9" localSheetId="11">NA()</definedName>
    <definedName name="__________ML9" localSheetId="12">NA()</definedName>
    <definedName name="__________ML9" localSheetId="0">#REF!</definedName>
    <definedName name="__________ML9">#REF!</definedName>
    <definedName name="__________mm1">[6]r!$F$4</definedName>
    <definedName name="__________mm1000" localSheetId="11">NA()</definedName>
    <definedName name="__________mm1000" localSheetId="12">NA()</definedName>
    <definedName name="__________mm1000" localSheetId="0">#REF!</definedName>
    <definedName name="__________mm1000">#REF!</definedName>
    <definedName name="__________mm11">[2]r!$F$4</definedName>
    <definedName name="__________mm111">[5]r!$F$4</definedName>
    <definedName name="__________mm600" localSheetId="11">NA()</definedName>
    <definedName name="__________mm600" localSheetId="12">NA()</definedName>
    <definedName name="__________mm600" localSheetId="0">#REF!</definedName>
    <definedName name="__________mm600">#REF!</definedName>
    <definedName name="__________mm800" localSheetId="11">NA()</definedName>
    <definedName name="__________mm800" localSheetId="12">NA()</definedName>
    <definedName name="__________mm800" localSheetId="0">#REF!</definedName>
    <definedName name="__________mm800">#REF!</definedName>
    <definedName name="__________PC1" localSheetId="11">NA()</definedName>
    <definedName name="__________PC1" localSheetId="12">NA()</definedName>
    <definedName name="__________PC1" localSheetId="0">#REF!</definedName>
    <definedName name="__________PC1">#REF!</definedName>
    <definedName name="__________PC10" localSheetId="11">NA()</definedName>
    <definedName name="__________PC10" localSheetId="12">NA()</definedName>
    <definedName name="__________PC10" localSheetId="0">#REF!</definedName>
    <definedName name="__________PC10">#REF!</definedName>
    <definedName name="__________PC11" localSheetId="11">NA()</definedName>
    <definedName name="__________PC11" localSheetId="12">NA()</definedName>
    <definedName name="__________PC11" localSheetId="0">#REF!</definedName>
    <definedName name="__________PC11">#REF!</definedName>
    <definedName name="__________PC12" localSheetId="11">NA()</definedName>
    <definedName name="__________PC12" localSheetId="12">NA()</definedName>
    <definedName name="__________PC12" localSheetId="0">#REF!</definedName>
    <definedName name="__________PC12">#REF!</definedName>
    <definedName name="__________PC13" localSheetId="11">NA()</definedName>
    <definedName name="__________PC13" localSheetId="12">NA()</definedName>
    <definedName name="__________PC13" localSheetId="0">#REF!</definedName>
    <definedName name="__________PC13">#REF!</definedName>
    <definedName name="__________PC14" localSheetId="11">NA()</definedName>
    <definedName name="__________PC14" localSheetId="12">NA()</definedName>
    <definedName name="__________PC14" localSheetId="0">#REF!</definedName>
    <definedName name="__________PC14">#REF!</definedName>
    <definedName name="__________PC15" localSheetId="11">NA()</definedName>
    <definedName name="__________PC15" localSheetId="12">NA()</definedName>
    <definedName name="__________PC15" localSheetId="0">#REF!</definedName>
    <definedName name="__________PC15">#REF!</definedName>
    <definedName name="__________PC16" localSheetId="11">NA()</definedName>
    <definedName name="__________PC16" localSheetId="12">NA()</definedName>
    <definedName name="__________PC16" localSheetId="0">#REF!</definedName>
    <definedName name="__________PC16">#REF!</definedName>
    <definedName name="__________PC17" localSheetId="11">NA()</definedName>
    <definedName name="__________PC17" localSheetId="12">NA()</definedName>
    <definedName name="__________PC17" localSheetId="0">#REF!</definedName>
    <definedName name="__________PC17">#REF!</definedName>
    <definedName name="__________PC18" localSheetId="11">NA()</definedName>
    <definedName name="__________PC18" localSheetId="12">NA()</definedName>
    <definedName name="__________PC18" localSheetId="0">#REF!</definedName>
    <definedName name="__________PC18">#REF!</definedName>
    <definedName name="__________PC19" localSheetId="11">NA()</definedName>
    <definedName name="__________PC19" localSheetId="12">NA()</definedName>
    <definedName name="__________PC19" localSheetId="0">#REF!</definedName>
    <definedName name="__________PC19">#REF!</definedName>
    <definedName name="__________pc2" localSheetId="11">NA()</definedName>
    <definedName name="__________pc2" localSheetId="12">NA()</definedName>
    <definedName name="__________pc2" localSheetId="0">#REF!</definedName>
    <definedName name="__________pc2">#REF!</definedName>
    <definedName name="__________PC20">NA()</definedName>
    <definedName name="__________PC21" localSheetId="11">NA()</definedName>
    <definedName name="__________PC21" localSheetId="12">NA()</definedName>
    <definedName name="__________PC21" localSheetId="0">#REF!</definedName>
    <definedName name="__________PC21">#REF!</definedName>
    <definedName name="__________PC22" localSheetId="11">NA()</definedName>
    <definedName name="__________PC22" localSheetId="12">NA()</definedName>
    <definedName name="__________PC22" localSheetId="0">#REF!</definedName>
    <definedName name="__________PC22">#REF!</definedName>
    <definedName name="__________PC23" localSheetId="11">NA()</definedName>
    <definedName name="__________PC23" localSheetId="12">NA()</definedName>
    <definedName name="__________PC23" localSheetId="0">#REF!</definedName>
    <definedName name="__________PC23">#REF!</definedName>
    <definedName name="__________PC24" localSheetId="11">NA()</definedName>
    <definedName name="__________PC24" localSheetId="12">NA()</definedName>
    <definedName name="__________PC24" localSheetId="0">#REF!</definedName>
    <definedName name="__________PC24">#REF!</definedName>
    <definedName name="__________PC3" localSheetId="11">NA()</definedName>
    <definedName name="__________PC3" localSheetId="12">NA()</definedName>
    <definedName name="__________PC3" localSheetId="0">#REF!</definedName>
    <definedName name="__________PC3">#REF!</definedName>
    <definedName name="__________PC4" localSheetId="11">NA()</definedName>
    <definedName name="__________PC4" localSheetId="12">NA()</definedName>
    <definedName name="__________PC4" localSheetId="0">#REF!</definedName>
    <definedName name="__________PC4">#REF!</definedName>
    <definedName name="__________PC5" localSheetId="11">NA()</definedName>
    <definedName name="__________PC5" localSheetId="12">NA()</definedName>
    <definedName name="__________PC5" localSheetId="0">#REF!</definedName>
    <definedName name="__________PC5">#REF!</definedName>
    <definedName name="__________PC6" localSheetId="11">NA()</definedName>
    <definedName name="__________PC6" localSheetId="12">NA()</definedName>
    <definedName name="__________PC6" localSheetId="0">#REF!</definedName>
    <definedName name="__________PC6">#REF!</definedName>
    <definedName name="__________pc600" localSheetId="11">NA()</definedName>
    <definedName name="__________pc600" localSheetId="12">NA()</definedName>
    <definedName name="__________pc600" localSheetId="0">#REF!</definedName>
    <definedName name="__________pc600">#REF!</definedName>
    <definedName name="__________PC7" localSheetId="11">NA()</definedName>
    <definedName name="__________PC7" localSheetId="12">NA()</definedName>
    <definedName name="__________PC7" localSheetId="0">#REF!</definedName>
    <definedName name="__________PC7">#REF!</definedName>
    <definedName name="__________PC8" localSheetId="11">NA()</definedName>
    <definedName name="__________PC8" localSheetId="12">NA()</definedName>
    <definedName name="__________PC8" localSheetId="0">#REF!</definedName>
    <definedName name="__________PC8">#REF!</definedName>
    <definedName name="__________PC9" localSheetId="11">NA()</definedName>
    <definedName name="__________PC9" localSheetId="12">NA()</definedName>
    <definedName name="__________PC9" localSheetId="0">#REF!</definedName>
    <definedName name="__________PC9">#REF!</definedName>
    <definedName name="__________pc900" localSheetId="11">NA()</definedName>
    <definedName name="__________pc900" localSheetId="12">NA()</definedName>
    <definedName name="__________pc900" localSheetId="0">#REF!</definedName>
    <definedName name="__________pc900">#REF!</definedName>
    <definedName name="__________pla4">[12]DATA_PRG!$H$269</definedName>
    <definedName name="__________pv2" localSheetId="11">NA()</definedName>
    <definedName name="__________pv2" localSheetId="12">NA()</definedName>
    <definedName name="__________pv2" localSheetId="0">#REF!</definedName>
    <definedName name="__________pv2">#REF!</definedName>
    <definedName name="__________rr3">[7]v!$A$2:$E$51</definedName>
    <definedName name="__________rrr1">[7]r!$B$1:$I$145</definedName>
    <definedName name="__________S12">NA()</definedName>
    <definedName name="__________SP10">[13]Sheet1!$C$18</definedName>
    <definedName name="__________SP16">[13]Sheet1!$C$24</definedName>
    <definedName name="__________SP7">[13]Sheet1!$C$15</definedName>
    <definedName name="__________ss12">[8]rdamdata!$J$8</definedName>
    <definedName name="__________ss20">[8]rdamdata!$J$7</definedName>
    <definedName name="__________ss40">[8]rdamdata!$J$6</definedName>
    <definedName name="__________var1" localSheetId="11">NA()</definedName>
    <definedName name="__________var1" localSheetId="12">NA()</definedName>
    <definedName name="__________var1" localSheetId="0">#REF!</definedName>
    <definedName name="__________var1">#REF!</definedName>
    <definedName name="__________var4" localSheetId="11">NA()</definedName>
    <definedName name="__________var4" localSheetId="12">NA()</definedName>
    <definedName name="__________var4" localSheetId="0">#REF!</definedName>
    <definedName name="__________var4">#REF!</definedName>
    <definedName name="__________vat1">NA()</definedName>
    <definedName name="__________xh2256">[19]HDPE!$L$30</definedName>
    <definedName name="__________xh2506">[19]HDPE!$M$30</definedName>
    <definedName name="__________xh2806">[19]HDPE!$N$30</definedName>
    <definedName name="__________xh3156">[19]HDPE!$O$30</definedName>
    <definedName name="__________xh634">[19]HDPE!$C$16</definedName>
    <definedName name="__________xk7100">[19]DI!$C$37</definedName>
    <definedName name="__________xk7150">[19]DI!$D$37</definedName>
    <definedName name="__________xk7250">[19]DI!$F$37</definedName>
    <definedName name="__________xk7300">[19]DI!$G$37</definedName>
    <definedName name="__________xp11010">[19]pvc!$F$61</definedName>
    <definedName name="__________xp1104">[19]pvc!$F$31</definedName>
    <definedName name="__________xp1106">[19]pvc!$F$46</definedName>
    <definedName name="__________xp1254">[19]pvc!$G$31</definedName>
    <definedName name="__________xp1256">[19]pvc!$G$46</definedName>
    <definedName name="__________xp14010">[19]pvc!$H$61</definedName>
    <definedName name="__________xp1404">[19]pvc!$H$31</definedName>
    <definedName name="__________xp1406">[19]pvc!$H$46</definedName>
    <definedName name="__________xp1604">[19]pvc!$I$31</definedName>
    <definedName name="__________xp1606">[19]pvc!$I$46</definedName>
    <definedName name="__________xp1804">[19]pvc!$J$31</definedName>
    <definedName name="__________xp1806">[19]pvc!$J$46</definedName>
    <definedName name="__________xp2006">[19]pvc!$K$46</definedName>
    <definedName name="__________xp6310">[19]pvc!$C$61</definedName>
    <definedName name="__________xp636">[19]pvc!$C$46</definedName>
    <definedName name="__________xp7510">[19]pvc!$D$61</definedName>
    <definedName name="__________xp754">[19]pvc!$D$31</definedName>
    <definedName name="__________xp756">[19]pvc!$D$46</definedName>
    <definedName name="__________xp9010">[19]pvc!$E$61</definedName>
    <definedName name="__________xp904">[19]pvc!$E$31</definedName>
    <definedName name="__________xp906">[19]pvc!$E$46</definedName>
    <definedName name="_________bla1">[1]leads!$H$7</definedName>
    <definedName name="_________BSG100">NA()</definedName>
    <definedName name="_________BSG150">NA()</definedName>
    <definedName name="_________BSG5">NA()</definedName>
    <definedName name="_________BSG75">NA()</definedName>
    <definedName name="_________BTC1">NA()</definedName>
    <definedName name="_________BTC10">NA()</definedName>
    <definedName name="_________BTC11">NA()</definedName>
    <definedName name="_________BTC12">NA()</definedName>
    <definedName name="_________BTC13">NA()</definedName>
    <definedName name="_________BTC14">NA()</definedName>
    <definedName name="_________BTC15">NA()</definedName>
    <definedName name="_________BTC16">NA()</definedName>
    <definedName name="_________BTC17">NA()</definedName>
    <definedName name="_________BTC18">NA()</definedName>
    <definedName name="_________BTC19">NA()</definedName>
    <definedName name="_________BTC2">NA()</definedName>
    <definedName name="_________BTC20">NA()</definedName>
    <definedName name="_________BTC21">NA()</definedName>
    <definedName name="_________BTC22">NA()</definedName>
    <definedName name="_________BTC23">NA()</definedName>
    <definedName name="_________BTC24">NA()</definedName>
    <definedName name="_________BTC3">NA()</definedName>
    <definedName name="_________BTC4">NA()</definedName>
    <definedName name="_________BTC5">NA()</definedName>
    <definedName name="_________BTC6">NA()</definedName>
    <definedName name="_________BTC7">NA()</definedName>
    <definedName name="_________BTC8">NA()</definedName>
    <definedName name="_________BTC9">NA()</definedName>
    <definedName name="_________BTR1">NA()</definedName>
    <definedName name="_________BTR10">NA()</definedName>
    <definedName name="_________BTR11">NA()</definedName>
    <definedName name="_________BTR12">NA()</definedName>
    <definedName name="_________BTR13">NA()</definedName>
    <definedName name="_________BTR14">NA()</definedName>
    <definedName name="_________BTR15">NA()</definedName>
    <definedName name="_________BTR16">NA()</definedName>
    <definedName name="_________BTR17">NA()</definedName>
    <definedName name="_________BTR18">NA()</definedName>
    <definedName name="_________BTR19">NA()</definedName>
    <definedName name="_________BTR2">NA()</definedName>
    <definedName name="_________BTR20">NA()</definedName>
    <definedName name="_________BTR21">NA()</definedName>
    <definedName name="_________BTR22">NA()</definedName>
    <definedName name="_________BTR23">NA()</definedName>
    <definedName name="_________BTR24">NA()</definedName>
    <definedName name="_________BTR3">NA()</definedName>
    <definedName name="_________BTR4">NA()</definedName>
    <definedName name="_________BTR5">NA()</definedName>
    <definedName name="_________BTR6">NA()</definedName>
    <definedName name="_________BTR7">NA()</definedName>
    <definedName name="_________BTR8">NA()</definedName>
    <definedName name="_________BTR9">NA()</definedName>
    <definedName name="_________BTS1">NA()</definedName>
    <definedName name="_________BTS10">NA()</definedName>
    <definedName name="_________BTS11">NA()</definedName>
    <definedName name="_________BTS12">NA()</definedName>
    <definedName name="_________BTS13">NA()</definedName>
    <definedName name="_________BTS14">NA()</definedName>
    <definedName name="_________BTS15">NA()</definedName>
    <definedName name="_________BTS16">NA()</definedName>
    <definedName name="_________BTS17">NA()</definedName>
    <definedName name="_________BTS18">NA()</definedName>
    <definedName name="_________BTS19">NA()</definedName>
    <definedName name="_________BTS2">NA()</definedName>
    <definedName name="_________BTS20">NA()</definedName>
    <definedName name="_________BTS21">NA()</definedName>
    <definedName name="_________BTS22">NA()</definedName>
    <definedName name="_________BTS23">NA()</definedName>
    <definedName name="_________BTS24">NA()</definedName>
    <definedName name="_________BTS3">NA()</definedName>
    <definedName name="_________BTS4">NA()</definedName>
    <definedName name="_________BTS5">NA()</definedName>
    <definedName name="_________BTS6">NA()</definedName>
    <definedName name="_________BTS7">NA()</definedName>
    <definedName name="_________BTS8">NA()</definedName>
    <definedName name="_________BTS9">NA()</definedName>
    <definedName name="_________can430">40.73</definedName>
    <definedName name="_________can435">43.3</definedName>
    <definedName name="_________CCW1">[9]DATA!$H$67</definedName>
    <definedName name="_________CCW2">[9]DATA!$H$97</definedName>
    <definedName name="_________cur1">[2]r!$F$30</definedName>
    <definedName name="_________GBS11">NA()</definedName>
    <definedName name="_________GBS110">NA()</definedName>
    <definedName name="_________GBS111">NA()</definedName>
    <definedName name="_________GBS112">NA()</definedName>
    <definedName name="_________GBS113">NA()</definedName>
    <definedName name="_________GBS114">NA()</definedName>
    <definedName name="_________GBS115">NA()</definedName>
    <definedName name="_________GBS116">NA()</definedName>
    <definedName name="_________GBS117">NA()</definedName>
    <definedName name="_________GBS118">NA()</definedName>
    <definedName name="_________GBS119">NA()</definedName>
    <definedName name="_________GBS12">NA()</definedName>
    <definedName name="_________GBS120">NA()</definedName>
    <definedName name="_________GBS121">NA()</definedName>
    <definedName name="_________GBS122">NA()</definedName>
    <definedName name="_________GBS123">NA()</definedName>
    <definedName name="_________GBS124">NA()</definedName>
    <definedName name="_________GBS13">NA()</definedName>
    <definedName name="_________GBS14">NA()</definedName>
    <definedName name="_________GBS15">NA()</definedName>
    <definedName name="_________GBS16">NA()</definedName>
    <definedName name="_________GBS17">NA()</definedName>
    <definedName name="_________GBS18">NA()</definedName>
    <definedName name="_________GBS19">NA()</definedName>
    <definedName name="_________GBS21">NA()</definedName>
    <definedName name="_________GBS210">NA()</definedName>
    <definedName name="_________GBS211">NA()</definedName>
    <definedName name="_________GBS212">NA()</definedName>
    <definedName name="_________GBS213">NA()</definedName>
    <definedName name="_________GBS214">NA()</definedName>
    <definedName name="_________GBS215">NA()</definedName>
    <definedName name="_________GBS216">NA()</definedName>
    <definedName name="_________GBS217">NA()</definedName>
    <definedName name="_________GBS218">NA()</definedName>
    <definedName name="_________GBS219">NA()</definedName>
    <definedName name="_________GBS22">NA()</definedName>
    <definedName name="_________GBS220">NA()</definedName>
    <definedName name="_________GBS221">NA()</definedName>
    <definedName name="_________GBS222">NA()</definedName>
    <definedName name="_________GBS223">NA()</definedName>
    <definedName name="_________GBS224">NA()</definedName>
    <definedName name="_________GBS23">NA()</definedName>
    <definedName name="_________GBS24">NA()</definedName>
    <definedName name="_________GBS25">NA()</definedName>
    <definedName name="_________GBS26">NA()</definedName>
    <definedName name="_________GBS27">NA()</definedName>
    <definedName name="_________GBS28">NA()</definedName>
    <definedName name="_________GBS29">NA()</definedName>
    <definedName name="_________imp1">[11]DATA_PRG!$H$245</definedName>
    <definedName name="_________KC139">NA()</definedName>
    <definedName name="_________knr2">NA()</definedName>
    <definedName name="_________l1">[3]leads!$A$3:$E$108</definedName>
    <definedName name="_________l12" localSheetId="11">NA()</definedName>
    <definedName name="_________l12" localSheetId="12">NA()</definedName>
    <definedName name="_________l12" localSheetId="0">#REF!</definedName>
    <definedName name="_________l12">#REF!</definedName>
    <definedName name="_________l2">[2]r!$F$29</definedName>
    <definedName name="_________l3" localSheetId="11">NA()</definedName>
    <definedName name="_________l3" localSheetId="12">NA()</definedName>
    <definedName name="_________l3" localSheetId="0">#REF!</definedName>
    <definedName name="_________l3">#REF!</definedName>
    <definedName name="_________l4">[4]Sheet1!$W$2:$Y$103</definedName>
    <definedName name="_________l5" localSheetId="11">NA()</definedName>
    <definedName name="_________l5" localSheetId="12">NA()</definedName>
    <definedName name="_________l5" localSheetId="0">#REF!</definedName>
    <definedName name="_________l5">#REF!</definedName>
    <definedName name="_________l6">[2]r!$F$4</definedName>
    <definedName name="_________l7">[5]r!$F$4</definedName>
    <definedName name="_________l8">[2]r!$F$2</definedName>
    <definedName name="_________l9">[2]r!$F$3</definedName>
    <definedName name="_________LJ6">[9]DATA!$H$245</definedName>
    <definedName name="_________lj600">NA()</definedName>
    <definedName name="_________lj900">NA()</definedName>
    <definedName name="_________LL3">NA()</definedName>
    <definedName name="_________LSO24">"[14]lead!#ref!"</definedName>
    <definedName name="_________MA1">NA()</definedName>
    <definedName name="_________MA2">NA()</definedName>
    <definedName name="_________me12">NA()</definedName>
    <definedName name="_________Met22">NA()</definedName>
    <definedName name="_________Met45" localSheetId="11">NA()</definedName>
    <definedName name="_________Met45" localSheetId="12">NA()</definedName>
    <definedName name="_________Met45" localSheetId="0">#REF!</definedName>
    <definedName name="_________Met45">#REF!</definedName>
    <definedName name="_________MEt55" localSheetId="11">NA()</definedName>
    <definedName name="_________MEt55" localSheetId="12">NA()</definedName>
    <definedName name="_________MEt55" localSheetId="0">#REF!</definedName>
    <definedName name="_________MEt55">#REF!</definedName>
    <definedName name="_________Met63" localSheetId="11">NA()</definedName>
    <definedName name="_________Met63" localSheetId="12">NA()</definedName>
    <definedName name="_________Met63" localSheetId="0">#REF!</definedName>
    <definedName name="_________Met63">#REF!</definedName>
    <definedName name="_________ML21">NA()</definedName>
    <definedName name="_________ML210">NA()</definedName>
    <definedName name="_________ML211">NA()</definedName>
    <definedName name="_________ML212">NA()</definedName>
    <definedName name="_________ML213">NA()</definedName>
    <definedName name="_________ML214">NA()</definedName>
    <definedName name="_________ML215">NA()</definedName>
    <definedName name="_________ML216">NA()</definedName>
    <definedName name="_________ML217">NA()</definedName>
    <definedName name="_________ML218">NA()</definedName>
    <definedName name="_________ML219">NA()</definedName>
    <definedName name="_________ML22">NA()</definedName>
    <definedName name="_________ML220">NA()</definedName>
    <definedName name="_________ML221">NA()</definedName>
    <definedName name="_________ML222">NA()</definedName>
    <definedName name="_________ML223">NA()</definedName>
    <definedName name="_________ML224">NA()</definedName>
    <definedName name="_________ML23">NA()</definedName>
    <definedName name="_________ML24">NA()</definedName>
    <definedName name="_________ML25">NA()</definedName>
    <definedName name="_________ML26">NA()</definedName>
    <definedName name="_________ML27">NA()</definedName>
    <definedName name="_________ML28">NA()</definedName>
    <definedName name="_________ML29">NA()</definedName>
    <definedName name="_________ML31">NA()</definedName>
    <definedName name="_________ML310">NA()</definedName>
    <definedName name="_________ML311">NA()</definedName>
    <definedName name="_________ML312">NA()</definedName>
    <definedName name="_________ML313">NA()</definedName>
    <definedName name="_________ML314">NA()</definedName>
    <definedName name="_________ML315">NA()</definedName>
    <definedName name="_________ML316">NA()</definedName>
    <definedName name="_________ML317">NA()</definedName>
    <definedName name="_________ML318">NA()</definedName>
    <definedName name="_________ML319">NA()</definedName>
    <definedName name="_________ML32">NA()</definedName>
    <definedName name="_________ML320">NA()</definedName>
    <definedName name="_________ML321">NA()</definedName>
    <definedName name="_________ML322">NA()</definedName>
    <definedName name="_________ML323">NA()</definedName>
    <definedName name="_________ML324">NA()</definedName>
    <definedName name="_________ML33">NA()</definedName>
    <definedName name="_________ML34">NA()</definedName>
    <definedName name="_________ML35">NA()</definedName>
    <definedName name="_________ML36">NA()</definedName>
    <definedName name="_________ML37">NA()</definedName>
    <definedName name="_________ML38">NA()</definedName>
    <definedName name="_________ML39">NA()</definedName>
    <definedName name="_________ML7">NA()</definedName>
    <definedName name="_________ML8">NA()</definedName>
    <definedName name="_________ML9">NA()</definedName>
    <definedName name="_________mm1">[6]r!$F$4</definedName>
    <definedName name="_________mm1000" localSheetId="11">NA()</definedName>
    <definedName name="_________mm1000" localSheetId="12">NA()</definedName>
    <definedName name="_________mm1000" localSheetId="0">#REF!</definedName>
    <definedName name="_________mm1000">#REF!</definedName>
    <definedName name="_________mm11">[2]r!$F$4</definedName>
    <definedName name="_________mm111">[5]r!$F$4</definedName>
    <definedName name="_________mm600" localSheetId="11">NA()</definedName>
    <definedName name="_________mm600" localSheetId="12">NA()</definedName>
    <definedName name="_________mm600" localSheetId="0">#REF!</definedName>
    <definedName name="_________mm600">#REF!</definedName>
    <definedName name="_________mm800" localSheetId="11">NA()</definedName>
    <definedName name="_________mm800" localSheetId="12">NA()</definedName>
    <definedName name="_________mm800" localSheetId="0">#REF!</definedName>
    <definedName name="_________mm800">#REF!</definedName>
    <definedName name="_________PC1">NA()</definedName>
    <definedName name="_________PC10">NA()</definedName>
    <definedName name="_________PC11">NA()</definedName>
    <definedName name="_________PC12">NA()</definedName>
    <definedName name="_________PC13">NA()</definedName>
    <definedName name="_________PC14">NA()</definedName>
    <definedName name="_________PC15">NA()</definedName>
    <definedName name="_________PC16">NA()</definedName>
    <definedName name="_________PC17">NA()</definedName>
    <definedName name="_________PC18">NA()</definedName>
    <definedName name="_________PC19">NA()</definedName>
    <definedName name="_________pc2" localSheetId="11">NA()</definedName>
    <definedName name="_________pc2" localSheetId="12">NA()</definedName>
    <definedName name="_________pc2" localSheetId="0">#REF!</definedName>
    <definedName name="_________pc2">#REF!</definedName>
    <definedName name="_________PC20">NA()</definedName>
    <definedName name="_________PC21">NA()</definedName>
    <definedName name="_________PC22">NA()</definedName>
    <definedName name="_________PC23">NA()</definedName>
    <definedName name="_________PC24">NA()</definedName>
    <definedName name="_________PC3">NA()</definedName>
    <definedName name="_________PC4">NA()</definedName>
    <definedName name="_________PC5">NA()</definedName>
    <definedName name="_________PC6">NA()</definedName>
    <definedName name="_________pc600">NA()</definedName>
    <definedName name="_________PC7">NA()</definedName>
    <definedName name="_________PC8">NA()</definedName>
    <definedName name="_________PC9">NA()</definedName>
    <definedName name="_________pc900">NA()</definedName>
    <definedName name="_________pla4">[12]DATA_PRG!$H$269</definedName>
    <definedName name="_________pv2" localSheetId="11">NA()</definedName>
    <definedName name="_________pv2" localSheetId="12">NA()</definedName>
    <definedName name="_________pv2" localSheetId="0">#REF!</definedName>
    <definedName name="_________pv2">#REF!</definedName>
    <definedName name="_________rr3">[7]v!$A$2:$E$51</definedName>
    <definedName name="_________rrr1">[7]r!$B$1:$I$145</definedName>
    <definedName name="_________RT5565" localSheetId="11">NA()</definedName>
    <definedName name="_________RT5565" localSheetId="12">NA()</definedName>
    <definedName name="_________RT5565" localSheetId="0">#REF!</definedName>
    <definedName name="_________RT5565">#REF!</definedName>
    <definedName name="_________S12">NA()</definedName>
    <definedName name="_________SP10">[13]Sheet1!$C$18</definedName>
    <definedName name="_________SP16">[13]Sheet1!$C$24</definedName>
    <definedName name="_________SP7">[13]Sheet1!$C$15</definedName>
    <definedName name="_________ss12">[8]rdamdata!$J$8</definedName>
    <definedName name="_________ss20">[8]rdamdata!$J$7</definedName>
    <definedName name="_________ss40">[8]rdamdata!$J$6</definedName>
    <definedName name="_________var1" localSheetId="11">NA()</definedName>
    <definedName name="_________var1" localSheetId="12">NA()</definedName>
    <definedName name="_________var1" localSheetId="0">#REF!</definedName>
    <definedName name="_________var1">#REF!</definedName>
    <definedName name="_________var4" localSheetId="11">NA()</definedName>
    <definedName name="_________var4" localSheetId="12">NA()</definedName>
    <definedName name="_________var4" localSheetId="0">#REF!</definedName>
    <definedName name="_________var4">#REF!</definedName>
    <definedName name="_________vat1">NA()</definedName>
    <definedName name="_________xh2506">[20]HDPE!$M$30</definedName>
    <definedName name="_________xh2806">[20]HDPE!$N$30</definedName>
    <definedName name="_________xh3156">[20]HDPE!$O$30</definedName>
    <definedName name="_________xh634">[20]HDPE!$C$16</definedName>
    <definedName name="_________xk7100">[20]DI!$C$37</definedName>
    <definedName name="_________xk7150">[20]DI!$D$37</definedName>
    <definedName name="_________xk7250">[20]DI!$F$37</definedName>
    <definedName name="_________xk7300">[20]DI!$G$37</definedName>
    <definedName name="_________xp11010">[20]pvc!$F$61</definedName>
    <definedName name="_________xp1104">[20]pvc!$F$31</definedName>
    <definedName name="_________xp1106">[20]pvc!$F$46</definedName>
    <definedName name="_________xp1254">[20]pvc!$G$31</definedName>
    <definedName name="_________xp1256">[20]pvc!$G$46</definedName>
    <definedName name="_________xp14010">[20]pvc!$H$61</definedName>
    <definedName name="_________xp1404">[20]pvc!$H$31</definedName>
    <definedName name="_________xp1406">[20]pvc!$H$46</definedName>
    <definedName name="_________xp1604">[20]pvc!$I$31</definedName>
    <definedName name="_________xp1606">[20]pvc!$I$46</definedName>
    <definedName name="_________xp1804">[20]pvc!$J$31</definedName>
    <definedName name="_________xp1806">[20]pvc!$J$46</definedName>
    <definedName name="_________xp2006">[20]pvc!$K$46</definedName>
    <definedName name="_________xp6310">[20]pvc!$C$61</definedName>
    <definedName name="_________xp636">[20]pvc!$C$46</definedName>
    <definedName name="_________xp7510">[20]pvc!$D$61</definedName>
    <definedName name="_________xp754">[20]pvc!$D$31</definedName>
    <definedName name="_________xp756">[20]pvc!$D$46</definedName>
    <definedName name="_________xp9010">[20]pvc!$E$61</definedName>
    <definedName name="_________xp904">[20]pvc!$E$31</definedName>
    <definedName name="_________xp906">[20]pvc!$E$46</definedName>
    <definedName name="________bla1">[1]leads!$H$7</definedName>
    <definedName name="________BSG100">NA()</definedName>
    <definedName name="________BSG150">NA()</definedName>
    <definedName name="________BSG5">NA()</definedName>
    <definedName name="________BSG75">NA()</definedName>
    <definedName name="________BTC1">NA()</definedName>
    <definedName name="________BTC10">NA()</definedName>
    <definedName name="________BTC11">NA()</definedName>
    <definedName name="________BTC12">NA()</definedName>
    <definedName name="________BTC13">NA()</definedName>
    <definedName name="________BTC14">NA()</definedName>
    <definedName name="________BTC15">NA()</definedName>
    <definedName name="________BTC16">NA()</definedName>
    <definedName name="________BTC17">NA()</definedName>
    <definedName name="________BTC18">NA()</definedName>
    <definedName name="________BTC19">NA()</definedName>
    <definedName name="________BTC2">NA()</definedName>
    <definedName name="________BTC20">NA()</definedName>
    <definedName name="________BTC21">NA()</definedName>
    <definedName name="________BTC22">NA()</definedName>
    <definedName name="________BTC23">NA()</definedName>
    <definedName name="________BTC24">NA()</definedName>
    <definedName name="________BTC3">NA()</definedName>
    <definedName name="________BTC4">NA()</definedName>
    <definedName name="________BTC5">NA()</definedName>
    <definedName name="________BTC6">NA()</definedName>
    <definedName name="________BTC7">NA()</definedName>
    <definedName name="________BTC8">NA()</definedName>
    <definedName name="________BTC9">NA()</definedName>
    <definedName name="________BTR1">NA()</definedName>
    <definedName name="________BTR10">NA()</definedName>
    <definedName name="________BTR11">NA()</definedName>
    <definedName name="________BTR12">NA()</definedName>
    <definedName name="________BTR13">NA()</definedName>
    <definedName name="________BTR14">NA()</definedName>
    <definedName name="________BTR15">NA()</definedName>
    <definedName name="________BTR16">NA()</definedName>
    <definedName name="________BTR17">NA()</definedName>
    <definedName name="________BTR18">NA()</definedName>
    <definedName name="________BTR19">NA()</definedName>
    <definedName name="________BTR2">NA()</definedName>
    <definedName name="________BTR20">NA()</definedName>
    <definedName name="________BTR21">NA()</definedName>
    <definedName name="________BTR22">NA()</definedName>
    <definedName name="________BTR23">NA()</definedName>
    <definedName name="________BTR24">NA()</definedName>
    <definedName name="________BTR3">NA()</definedName>
    <definedName name="________BTR4">NA()</definedName>
    <definedName name="________BTR5">NA()</definedName>
    <definedName name="________BTR6">NA()</definedName>
    <definedName name="________BTR7">NA()</definedName>
    <definedName name="________BTR8">NA()</definedName>
    <definedName name="________BTR9">NA()</definedName>
    <definedName name="________BTS1">NA()</definedName>
    <definedName name="________BTS10">NA()</definedName>
    <definedName name="________BTS11">NA()</definedName>
    <definedName name="________BTS12">NA()</definedName>
    <definedName name="________BTS13">NA()</definedName>
    <definedName name="________BTS14">NA()</definedName>
    <definedName name="________BTS15">NA()</definedName>
    <definedName name="________BTS16">NA()</definedName>
    <definedName name="________BTS17">NA()</definedName>
    <definedName name="________BTS18">NA()</definedName>
    <definedName name="________BTS19">NA()</definedName>
    <definedName name="________BTS2">NA()</definedName>
    <definedName name="________BTS20">NA()</definedName>
    <definedName name="________BTS21">NA()</definedName>
    <definedName name="________BTS22">NA()</definedName>
    <definedName name="________BTS23">NA()</definedName>
    <definedName name="________BTS24">NA()</definedName>
    <definedName name="________BTS3">NA()</definedName>
    <definedName name="________BTS4">NA()</definedName>
    <definedName name="________BTS5">NA()</definedName>
    <definedName name="________BTS6">NA()</definedName>
    <definedName name="________BTS7">NA()</definedName>
    <definedName name="________BTS8">NA()</definedName>
    <definedName name="________BTS9">NA()</definedName>
    <definedName name="________can430">40.73</definedName>
    <definedName name="________can435">43.3</definedName>
    <definedName name="________CCW1">[9]DATA!$H$67</definedName>
    <definedName name="________CCW2">[9]DATA!$H$97</definedName>
    <definedName name="________cur1">[2]r!$F$30</definedName>
    <definedName name="________G120907" localSheetId="11">"[31]data!#ref!"</definedName>
    <definedName name="________G120907" localSheetId="12">"[31]data!#ref!"</definedName>
    <definedName name="________G120907" localSheetId="0">[21]Data!#REF!</definedName>
    <definedName name="________G120907">[21]Data!#REF!</definedName>
    <definedName name="________GBS11">NA()</definedName>
    <definedName name="________GBS110">NA()</definedName>
    <definedName name="________GBS111">NA()</definedName>
    <definedName name="________GBS112">NA()</definedName>
    <definedName name="________GBS113">NA()</definedName>
    <definedName name="________GBS114">NA()</definedName>
    <definedName name="________GBS115">NA()</definedName>
    <definedName name="________GBS116">NA()</definedName>
    <definedName name="________GBS117">NA()</definedName>
    <definedName name="________GBS118">NA()</definedName>
    <definedName name="________GBS119">NA()</definedName>
    <definedName name="________GBS12">NA()</definedName>
    <definedName name="________GBS120">NA()</definedName>
    <definedName name="________GBS121">NA()</definedName>
    <definedName name="________GBS122">NA()</definedName>
    <definedName name="________GBS123">NA()</definedName>
    <definedName name="________GBS124">NA()</definedName>
    <definedName name="________GBS13">NA()</definedName>
    <definedName name="________GBS14">NA()</definedName>
    <definedName name="________GBS15">NA()</definedName>
    <definedName name="________GBS16">NA()</definedName>
    <definedName name="________GBS17">NA()</definedName>
    <definedName name="________GBS18">NA()</definedName>
    <definedName name="________GBS19">NA()</definedName>
    <definedName name="________GBS21">NA()</definedName>
    <definedName name="________GBS210">NA()</definedName>
    <definedName name="________GBS211">NA()</definedName>
    <definedName name="________GBS212">NA()</definedName>
    <definedName name="________GBS213">NA()</definedName>
    <definedName name="________GBS214">NA()</definedName>
    <definedName name="________GBS215">NA()</definedName>
    <definedName name="________GBS216">NA()</definedName>
    <definedName name="________GBS217">NA()</definedName>
    <definedName name="________GBS218">NA()</definedName>
    <definedName name="________GBS219">NA()</definedName>
    <definedName name="________GBS22">NA()</definedName>
    <definedName name="________GBS220">NA()</definedName>
    <definedName name="________GBS221">NA()</definedName>
    <definedName name="________GBS222">NA()</definedName>
    <definedName name="________GBS223">NA()</definedName>
    <definedName name="________GBS224">NA()</definedName>
    <definedName name="________GBS23">NA()</definedName>
    <definedName name="________GBS24">NA()</definedName>
    <definedName name="________GBS25">NA()</definedName>
    <definedName name="________GBS26">NA()</definedName>
    <definedName name="________GBS27">NA()</definedName>
    <definedName name="________GBS28">NA()</definedName>
    <definedName name="________GBS29">NA()</definedName>
    <definedName name="________imp1">[11]DATA_PRG!$H$245</definedName>
    <definedName name="________KC139">NA()</definedName>
    <definedName name="________knr2">NA()</definedName>
    <definedName name="________l1">[3]leads!$A$3:$E$108</definedName>
    <definedName name="________l12" localSheetId="11">NA()</definedName>
    <definedName name="________l12" localSheetId="12">NA()</definedName>
    <definedName name="________l12" localSheetId="0">#REF!</definedName>
    <definedName name="________l12">#REF!</definedName>
    <definedName name="________l2">[2]r!$F$29</definedName>
    <definedName name="________l3" localSheetId="11">NA()</definedName>
    <definedName name="________l3" localSheetId="12">NA()</definedName>
    <definedName name="________l3" localSheetId="0">#REF!</definedName>
    <definedName name="________l3">#REF!</definedName>
    <definedName name="________l4">[4]Sheet1!$W$2:$Y$103</definedName>
    <definedName name="________l5" localSheetId="11">NA()</definedName>
    <definedName name="________l5" localSheetId="12">NA()</definedName>
    <definedName name="________l5" localSheetId="0">#REF!</definedName>
    <definedName name="________l5">#REF!</definedName>
    <definedName name="________l6">[2]r!$F$4</definedName>
    <definedName name="________l7">[5]r!$F$4</definedName>
    <definedName name="________l8">[2]r!$F$2</definedName>
    <definedName name="________l9">[2]r!$F$3</definedName>
    <definedName name="________LJ6">[9]DATA!$H$245</definedName>
    <definedName name="________lj600">NA()</definedName>
    <definedName name="________lj900">NA()</definedName>
    <definedName name="________LL3">NA()</definedName>
    <definedName name="________LSO24">"[14]lead!#ref!"</definedName>
    <definedName name="________MA1">NA()</definedName>
    <definedName name="________MA2">NA()</definedName>
    <definedName name="________me12">NA()</definedName>
    <definedName name="________Met22">NA()</definedName>
    <definedName name="________Met45">NA()</definedName>
    <definedName name="________MEt55">NA()</definedName>
    <definedName name="________Met63">NA()</definedName>
    <definedName name="________ML21">NA()</definedName>
    <definedName name="________ML210">NA()</definedName>
    <definedName name="________ML211">NA()</definedName>
    <definedName name="________ML212">NA()</definedName>
    <definedName name="________ML213">NA()</definedName>
    <definedName name="________ML214">NA()</definedName>
    <definedName name="________ML215">NA()</definedName>
    <definedName name="________ML216">NA()</definedName>
    <definedName name="________ML217">NA()</definedName>
    <definedName name="________ML218">NA()</definedName>
    <definedName name="________ML219">NA()</definedName>
    <definedName name="________ML22">NA()</definedName>
    <definedName name="________ML220">NA()</definedName>
    <definedName name="________ML221">NA()</definedName>
    <definedName name="________ML222">NA()</definedName>
    <definedName name="________ML223">NA()</definedName>
    <definedName name="________ML224">NA()</definedName>
    <definedName name="________ML23">NA()</definedName>
    <definedName name="________ML24">NA()</definedName>
    <definedName name="________ML25">NA()</definedName>
    <definedName name="________ML26">NA()</definedName>
    <definedName name="________ML27">NA()</definedName>
    <definedName name="________ML28">NA()</definedName>
    <definedName name="________ML29">NA()</definedName>
    <definedName name="________ML31">NA()</definedName>
    <definedName name="________ML310">NA()</definedName>
    <definedName name="________ML311">NA()</definedName>
    <definedName name="________ML312">NA()</definedName>
    <definedName name="________ML313">NA()</definedName>
    <definedName name="________ML314">NA()</definedName>
    <definedName name="________ML315">NA()</definedName>
    <definedName name="________ML316">NA()</definedName>
    <definedName name="________ML317">NA()</definedName>
    <definedName name="________ML318">NA()</definedName>
    <definedName name="________ML319">NA()</definedName>
    <definedName name="________ML32">NA()</definedName>
    <definedName name="________ML320">NA()</definedName>
    <definedName name="________ML321">NA()</definedName>
    <definedName name="________ML322">NA()</definedName>
    <definedName name="________ML323">NA()</definedName>
    <definedName name="________ML324">NA()</definedName>
    <definedName name="________ML33">NA()</definedName>
    <definedName name="________ML34">NA()</definedName>
    <definedName name="________ML35">NA()</definedName>
    <definedName name="________ML36">NA()</definedName>
    <definedName name="________ML37">NA()</definedName>
    <definedName name="________ML38">NA()</definedName>
    <definedName name="________ML39">NA()</definedName>
    <definedName name="________ML7">NA()</definedName>
    <definedName name="________ML8">NA()</definedName>
    <definedName name="________ML9">NA()</definedName>
    <definedName name="________mm1">[6]r!$F$4</definedName>
    <definedName name="________mm1000">NA()</definedName>
    <definedName name="________mm11">[2]r!$F$4</definedName>
    <definedName name="________mm111">[5]r!$F$4</definedName>
    <definedName name="________mm600">NA()</definedName>
    <definedName name="________mm800">NA()</definedName>
    <definedName name="________PC1">NA()</definedName>
    <definedName name="________PC10">NA()</definedName>
    <definedName name="________PC11">NA()</definedName>
    <definedName name="________PC12">NA()</definedName>
    <definedName name="________PC13">NA()</definedName>
    <definedName name="________PC14">NA()</definedName>
    <definedName name="________PC15">NA()</definedName>
    <definedName name="________PC16">NA()</definedName>
    <definedName name="________PC17">NA()</definedName>
    <definedName name="________PC18">NA()</definedName>
    <definedName name="________PC19">NA()</definedName>
    <definedName name="________pc2" localSheetId="11">NA()</definedName>
    <definedName name="________pc2" localSheetId="12">NA()</definedName>
    <definedName name="________pc2" localSheetId="0">#REF!</definedName>
    <definedName name="________pc2">#REF!</definedName>
    <definedName name="________PC20">NA()</definedName>
    <definedName name="________PC21">NA()</definedName>
    <definedName name="________PC22">NA()</definedName>
    <definedName name="________PC23">NA()</definedName>
    <definedName name="________PC24">NA()</definedName>
    <definedName name="________PC3">NA()</definedName>
    <definedName name="________PC4">NA()</definedName>
    <definedName name="________PC5">NA()</definedName>
    <definedName name="________PC6">NA()</definedName>
    <definedName name="________pc600">NA()</definedName>
    <definedName name="________PC7">NA()</definedName>
    <definedName name="________PC8">NA()</definedName>
    <definedName name="________PC9">NA()</definedName>
    <definedName name="________pc900">NA()</definedName>
    <definedName name="________pla4">[12]DATA_PRG!$H$269</definedName>
    <definedName name="________pv2" localSheetId="11">NA()</definedName>
    <definedName name="________pv2" localSheetId="12">NA()</definedName>
    <definedName name="________pv2" localSheetId="0">#REF!</definedName>
    <definedName name="________pv2">#REF!</definedName>
    <definedName name="________rr3">[7]v!$A$2:$E$51</definedName>
    <definedName name="________rrr1">[7]r!$B$1:$I$145</definedName>
    <definedName name="________S12">NA()</definedName>
    <definedName name="________SP10">[13]Sheet1!$C$18</definedName>
    <definedName name="________SP16">[13]Sheet1!$C$24</definedName>
    <definedName name="________SP7">[13]Sheet1!$C$15</definedName>
    <definedName name="________ss12">[8]rdamdata!$J$8</definedName>
    <definedName name="________ss20">[8]rdamdata!$J$7</definedName>
    <definedName name="________ss40">[8]rdamdata!$J$6</definedName>
    <definedName name="________var1" localSheetId="11">NA()</definedName>
    <definedName name="________var1" localSheetId="12">NA()</definedName>
    <definedName name="________var1" localSheetId="0">#REF!</definedName>
    <definedName name="________var1">#REF!</definedName>
    <definedName name="________var4" localSheetId="11">NA()</definedName>
    <definedName name="________var4" localSheetId="12">NA()</definedName>
    <definedName name="________var4" localSheetId="0">#REF!</definedName>
    <definedName name="________var4">#REF!</definedName>
    <definedName name="________vat1">NA()</definedName>
    <definedName name="________xh2256">[20]HDPE!$L$30</definedName>
    <definedName name="________xh2506">[20]HDPE!$M$30</definedName>
    <definedName name="________xh2806">[20]HDPE!$N$30</definedName>
    <definedName name="________xh3156">[20]HDPE!$O$30</definedName>
    <definedName name="________xh634">[20]HDPE!$C$16</definedName>
    <definedName name="________xk7100">[20]DI!$C$37</definedName>
    <definedName name="________xk7150">[20]DI!$D$37</definedName>
    <definedName name="________xk7250">[20]DI!$F$37</definedName>
    <definedName name="________xk7300">[20]DI!$G$37</definedName>
    <definedName name="________xp11010">[20]pvc!$F$61</definedName>
    <definedName name="________xp1104">[20]pvc!$F$31</definedName>
    <definedName name="________xp1106">[20]pvc!$F$46</definedName>
    <definedName name="________xp1254">[20]pvc!$G$31</definedName>
    <definedName name="________xp1256">[20]pvc!$G$46</definedName>
    <definedName name="________xp14010">[20]pvc!$H$61</definedName>
    <definedName name="________xp1404">[20]pvc!$H$31</definedName>
    <definedName name="________xp1406">[20]pvc!$H$46</definedName>
    <definedName name="________xp1604">[20]pvc!$I$31</definedName>
    <definedName name="________xp1606">[20]pvc!$I$46</definedName>
    <definedName name="________xp1804">[20]pvc!$J$31</definedName>
    <definedName name="________xp1806">[20]pvc!$J$46</definedName>
    <definedName name="________xp2006">[20]pvc!$K$46</definedName>
    <definedName name="________xp6310">[20]pvc!$C$61</definedName>
    <definedName name="________xp636">[20]pvc!$C$46</definedName>
    <definedName name="________xp7510">[20]pvc!$D$61</definedName>
    <definedName name="________xp754">[20]pvc!$D$31</definedName>
    <definedName name="________xp756">[20]pvc!$D$46</definedName>
    <definedName name="________xp9010">[20]pvc!$E$61</definedName>
    <definedName name="________xp904">[20]pvc!$E$31</definedName>
    <definedName name="________xp906">[20]pvc!$E$46</definedName>
    <definedName name="_______bla1">[1]leads!$H$7</definedName>
    <definedName name="_______BSG100">NA()</definedName>
    <definedName name="_______BSG150">NA()</definedName>
    <definedName name="_______BSG5">NA()</definedName>
    <definedName name="_______BSG75">NA()</definedName>
    <definedName name="_______BTC1">NA()</definedName>
    <definedName name="_______BTC10">NA()</definedName>
    <definedName name="_______BTC11">NA()</definedName>
    <definedName name="_______BTC12">NA()</definedName>
    <definedName name="_______BTC13">NA()</definedName>
    <definedName name="_______BTC14">NA()</definedName>
    <definedName name="_______BTC15">NA()</definedName>
    <definedName name="_______BTC16">NA()</definedName>
    <definedName name="_______BTC17">NA()</definedName>
    <definedName name="_______BTC18">NA()</definedName>
    <definedName name="_______BTC19">NA()</definedName>
    <definedName name="_______BTC2">NA()</definedName>
    <definedName name="_______BTC20">NA()</definedName>
    <definedName name="_______BTC21">NA()</definedName>
    <definedName name="_______BTC22">NA()</definedName>
    <definedName name="_______BTC23">NA()</definedName>
    <definedName name="_______BTC24">NA()</definedName>
    <definedName name="_______BTC3">NA()</definedName>
    <definedName name="_______BTC4">NA()</definedName>
    <definedName name="_______BTC5">NA()</definedName>
    <definedName name="_______BTC6">NA()</definedName>
    <definedName name="_______BTC7">NA()</definedName>
    <definedName name="_______BTC8">NA()</definedName>
    <definedName name="_______BTC9">NA()</definedName>
    <definedName name="_______BTR1">NA()</definedName>
    <definedName name="_______BTR10">NA()</definedName>
    <definedName name="_______BTR11">NA()</definedName>
    <definedName name="_______BTR12">NA()</definedName>
    <definedName name="_______BTR13">NA()</definedName>
    <definedName name="_______BTR14">NA()</definedName>
    <definedName name="_______BTR15">NA()</definedName>
    <definedName name="_______BTR16">NA()</definedName>
    <definedName name="_______BTR17">NA()</definedName>
    <definedName name="_______BTR18">NA()</definedName>
    <definedName name="_______BTR19">NA()</definedName>
    <definedName name="_______BTR2">NA()</definedName>
    <definedName name="_______BTR20">NA()</definedName>
    <definedName name="_______BTR21">NA()</definedName>
    <definedName name="_______BTR22">NA()</definedName>
    <definedName name="_______BTR23">NA()</definedName>
    <definedName name="_______BTR24">NA()</definedName>
    <definedName name="_______BTR3">NA()</definedName>
    <definedName name="_______BTR4">NA()</definedName>
    <definedName name="_______BTR5">NA()</definedName>
    <definedName name="_______BTR6">NA()</definedName>
    <definedName name="_______BTR7">NA()</definedName>
    <definedName name="_______BTR8">NA()</definedName>
    <definedName name="_______BTR9">NA()</definedName>
    <definedName name="_______BTS1">NA()</definedName>
    <definedName name="_______BTS10">NA()</definedName>
    <definedName name="_______BTS11">NA()</definedName>
    <definedName name="_______BTS12">NA()</definedName>
    <definedName name="_______BTS13">NA()</definedName>
    <definedName name="_______BTS14">NA()</definedName>
    <definedName name="_______BTS15">NA()</definedName>
    <definedName name="_______BTS16">NA()</definedName>
    <definedName name="_______BTS17">NA()</definedName>
    <definedName name="_______BTS18">NA()</definedName>
    <definedName name="_______BTS19">NA()</definedName>
    <definedName name="_______BTS2">NA()</definedName>
    <definedName name="_______BTS20">NA()</definedName>
    <definedName name="_______BTS21">NA()</definedName>
    <definedName name="_______BTS22">NA()</definedName>
    <definedName name="_______BTS23">NA()</definedName>
    <definedName name="_______BTS24">NA()</definedName>
    <definedName name="_______BTS3">NA()</definedName>
    <definedName name="_______BTS4">NA()</definedName>
    <definedName name="_______BTS5">NA()</definedName>
    <definedName name="_______BTS6">NA()</definedName>
    <definedName name="_______BTS7">NA()</definedName>
    <definedName name="_______BTS8">NA()</definedName>
    <definedName name="_______BTS9">NA()</definedName>
    <definedName name="_______can430">40.73</definedName>
    <definedName name="_______can435">43.3</definedName>
    <definedName name="_______cbr1">NA()</definedName>
    <definedName name="_______cbr2">NA()</definedName>
    <definedName name="_______cbr3">NA()</definedName>
    <definedName name="_______cbr4">NA()</definedName>
    <definedName name="_______CCW1">[9]DATA!$H$67</definedName>
    <definedName name="_______CCW2">[9]DATA!$H$97</definedName>
    <definedName name="_______cur1">[2]r!$F$30</definedName>
    <definedName name="_______ewe1">NA()</definedName>
    <definedName name="_______G120907" localSheetId="11">"[31]data!#ref!"</definedName>
    <definedName name="_______G120907" localSheetId="12">"[31]data!#ref!"</definedName>
    <definedName name="_______G120907" localSheetId="0">[21]Data!#REF!</definedName>
    <definedName name="_______G120907">[21]Data!#REF!</definedName>
    <definedName name="_______GBS11">NA()</definedName>
    <definedName name="_______GBS110">NA()</definedName>
    <definedName name="_______GBS111">NA()</definedName>
    <definedName name="_______GBS112">NA()</definedName>
    <definedName name="_______GBS113">NA()</definedName>
    <definedName name="_______GBS114">NA()</definedName>
    <definedName name="_______GBS115">NA()</definedName>
    <definedName name="_______GBS116">NA()</definedName>
    <definedName name="_______GBS117">NA()</definedName>
    <definedName name="_______GBS118">NA()</definedName>
    <definedName name="_______GBS119">NA()</definedName>
    <definedName name="_______GBS12">NA()</definedName>
    <definedName name="_______GBS120">NA()</definedName>
    <definedName name="_______GBS121">NA()</definedName>
    <definedName name="_______GBS122">NA()</definedName>
    <definedName name="_______GBS123">NA()</definedName>
    <definedName name="_______GBS124">NA()</definedName>
    <definedName name="_______GBS13">NA()</definedName>
    <definedName name="_______GBS14">NA()</definedName>
    <definedName name="_______GBS15">NA()</definedName>
    <definedName name="_______GBS16">NA()</definedName>
    <definedName name="_______GBS17">NA()</definedName>
    <definedName name="_______GBS18">NA()</definedName>
    <definedName name="_______GBS19">NA()</definedName>
    <definedName name="_______GBS21">NA()</definedName>
    <definedName name="_______GBS210">NA()</definedName>
    <definedName name="_______GBS211">NA()</definedName>
    <definedName name="_______GBS212">NA()</definedName>
    <definedName name="_______GBS213">NA()</definedName>
    <definedName name="_______GBS214">NA()</definedName>
    <definedName name="_______GBS215">NA()</definedName>
    <definedName name="_______GBS216">NA()</definedName>
    <definedName name="_______GBS217">NA()</definedName>
    <definedName name="_______GBS218">NA()</definedName>
    <definedName name="_______GBS219">NA()</definedName>
    <definedName name="_______GBS22">NA()</definedName>
    <definedName name="_______GBS220">NA()</definedName>
    <definedName name="_______GBS221">NA()</definedName>
    <definedName name="_______GBS222">NA()</definedName>
    <definedName name="_______GBS223">NA()</definedName>
    <definedName name="_______GBS224">NA()</definedName>
    <definedName name="_______GBS23">NA()</definedName>
    <definedName name="_______GBS24">NA()</definedName>
    <definedName name="_______GBS25">NA()</definedName>
    <definedName name="_______GBS26">NA()</definedName>
    <definedName name="_______GBS27">NA()</definedName>
    <definedName name="_______GBS28">NA()</definedName>
    <definedName name="_______GBS29">NA()</definedName>
    <definedName name="_______imp1">[11]DATA_PRG!$H$245</definedName>
    <definedName name="_______KC139">NA()</definedName>
    <definedName name="_______knr2">NA()</definedName>
    <definedName name="_______l1">[3]leads!$A$3:$E$108</definedName>
    <definedName name="_______l12" localSheetId="11">NA()</definedName>
    <definedName name="_______l12" localSheetId="12">NA()</definedName>
    <definedName name="_______l12" localSheetId="0">#REF!</definedName>
    <definedName name="_______l12">#REF!</definedName>
    <definedName name="_______l2">[2]r!$F$29</definedName>
    <definedName name="_______l3" localSheetId="11">NA()</definedName>
    <definedName name="_______l3" localSheetId="12">NA()</definedName>
    <definedName name="_______l3" localSheetId="0">#REF!</definedName>
    <definedName name="_______l3">#REF!</definedName>
    <definedName name="_______l4">[4]Sheet1!$W$2:$Y$103</definedName>
    <definedName name="_______l5" localSheetId="11">NA()</definedName>
    <definedName name="_______l5" localSheetId="12">NA()</definedName>
    <definedName name="_______l5" localSheetId="0">#REF!</definedName>
    <definedName name="_______l5">#REF!</definedName>
    <definedName name="_______l6">[2]r!$F$4</definedName>
    <definedName name="_______l7">[5]r!$F$4</definedName>
    <definedName name="_______l8">[2]r!$F$2</definedName>
    <definedName name="_______l9">[2]r!$F$3</definedName>
    <definedName name="_______LJ6">[9]DATA!$H$245</definedName>
    <definedName name="_______lj600">NA()</definedName>
    <definedName name="_______lj900">NA()</definedName>
    <definedName name="_______LL3">NA()</definedName>
    <definedName name="_______LSO24">"[14]lead!#ref!"</definedName>
    <definedName name="_______MA1" localSheetId="11">NA()</definedName>
    <definedName name="_______MA1" localSheetId="12">NA()</definedName>
    <definedName name="_______MA1" localSheetId="0">#REF!</definedName>
    <definedName name="_______MA1">#REF!</definedName>
    <definedName name="_______MA2">NA()</definedName>
    <definedName name="_______me12">NA()</definedName>
    <definedName name="_______Met22">NA()</definedName>
    <definedName name="_______Met45">NA()</definedName>
    <definedName name="_______MEt55">NA()</definedName>
    <definedName name="_______Met63">NA()</definedName>
    <definedName name="_______ML21">NA()</definedName>
    <definedName name="_______ML210">NA()</definedName>
    <definedName name="_______ML211">NA()</definedName>
    <definedName name="_______ML212">NA()</definedName>
    <definedName name="_______ML213">NA()</definedName>
    <definedName name="_______ML214">NA()</definedName>
    <definedName name="_______ML215">NA()</definedName>
    <definedName name="_______ML216">NA()</definedName>
    <definedName name="_______ML217">NA()</definedName>
    <definedName name="_______ML218">NA()</definedName>
    <definedName name="_______ML219">NA()</definedName>
    <definedName name="_______ML22">NA()</definedName>
    <definedName name="_______ML220">NA()</definedName>
    <definedName name="_______ML221">NA()</definedName>
    <definedName name="_______ML222">NA()</definedName>
    <definedName name="_______ML223">NA()</definedName>
    <definedName name="_______ML224">NA()</definedName>
    <definedName name="_______ML23">NA()</definedName>
    <definedName name="_______ML24">NA()</definedName>
    <definedName name="_______ML25">NA()</definedName>
    <definedName name="_______ML26">NA()</definedName>
    <definedName name="_______ML27">NA()</definedName>
    <definedName name="_______ML28">NA()</definedName>
    <definedName name="_______ML29">NA()</definedName>
    <definedName name="_______ML31">NA()</definedName>
    <definedName name="_______ML310">NA()</definedName>
    <definedName name="_______ML311">NA()</definedName>
    <definedName name="_______ML312">NA()</definedName>
    <definedName name="_______ML313">NA()</definedName>
    <definedName name="_______ML314">NA()</definedName>
    <definedName name="_______ML315">NA()</definedName>
    <definedName name="_______ML316">NA()</definedName>
    <definedName name="_______ML317">NA()</definedName>
    <definedName name="_______ML318">NA()</definedName>
    <definedName name="_______ML319">NA()</definedName>
    <definedName name="_______ML32">NA()</definedName>
    <definedName name="_______ML320">NA()</definedName>
    <definedName name="_______ML321">NA()</definedName>
    <definedName name="_______ML322">NA()</definedName>
    <definedName name="_______ML323">NA()</definedName>
    <definedName name="_______ML324">NA()</definedName>
    <definedName name="_______ML33">NA()</definedName>
    <definedName name="_______ML34">NA()</definedName>
    <definedName name="_______ML35">NA()</definedName>
    <definedName name="_______ML36">NA()</definedName>
    <definedName name="_______ML37">NA()</definedName>
    <definedName name="_______ML38">NA()</definedName>
    <definedName name="_______ML39">NA()</definedName>
    <definedName name="_______ML7">NA()</definedName>
    <definedName name="_______ML8">NA()</definedName>
    <definedName name="_______ML9">NA()</definedName>
    <definedName name="_______mm1">[6]r!$F$4</definedName>
    <definedName name="_______mm1000">NA()</definedName>
    <definedName name="_______mm11">[2]r!$F$4</definedName>
    <definedName name="_______mm111">[5]r!$F$4</definedName>
    <definedName name="_______mm20">NA()</definedName>
    <definedName name="_______mm40">NA()</definedName>
    <definedName name="_______mm600">NA()</definedName>
    <definedName name="_______mm800">NA()</definedName>
    <definedName name="_______PC1">NA()</definedName>
    <definedName name="_______PC10">NA()</definedName>
    <definedName name="_______PC11">NA()</definedName>
    <definedName name="_______PC12">NA()</definedName>
    <definedName name="_______PC13">NA()</definedName>
    <definedName name="_______PC14">NA()</definedName>
    <definedName name="_______PC15">NA()</definedName>
    <definedName name="_______PC16">NA()</definedName>
    <definedName name="_______PC17">NA()</definedName>
    <definedName name="_______PC18">NA()</definedName>
    <definedName name="_______PC19">NA()</definedName>
    <definedName name="_______pc2" localSheetId="11">NA()</definedName>
    <definedName name="_______pc2" localSheetId="12">NA()</definedName>
    <definedName name="_______pc2" localSheetId="0">#REF!</definedName>
    <definedName name="_______pc2">#REF!</definedName>
    <definedName name="_______PC20">NA()</definedName>
    <definedName name="_______PC21">NA()</definedName>
    <definedName name="_______PC22">NA()</definedName>
    <definedName name="_______PC23">NA()</definedName>
    <definedName name="_______PC24">NA()</definedName>
    <definedName name="_______PC3">NA()</definedName>
    <definedName name="_______PC4">NA()</definedName>
    <definedName name="_______PC5">NA()</definedName>
    <definedName name="_______PC6">NA()</definedName>
    <definedName name="_______pc600">NA()</definedName>
    <definedName name="_______PC7">NA()</definedName>
    <definedName name="_______PC8">NA()</definedName>
    <definedName name="_______PC9">NA()</definedName>
    <definedName name="_______pc900">NA()</definedName>
    <definedName name="_______pla4">[12]DATA_PRG!$H$269</definedName>
    <definedName name="_______pv2" localSheetId="11">NA()</definedName>
    <definedName name="_______pv2" localSheetId="12">NA()</definedName>
    <definedName name="_______pv2" localSheetId="0">#REF!</definedName>
    <definedName name="_______pv2">#REF!</definedName>
    <definedName name="_______rr3">[7]v!$A$2:$E$51</definedName>
    <definedName name="_______rrr1">[7]r!$B$1:$I$145</definedName>
    <definedName name="_______RT5565" localSheetId="11">NA()</definedName>
    <definedName name="_______RT5565" localSheetId="12">NA()</definedName>
    <definedName name="_______RT5565" localSheetId="0">#REF!</definedName>
    <definedName name="_______RT5565">#REF!</definedName>
    <definedName name="_______S12">NA()</definedName>
    <definedName name="_______SP10">[13]Sheet1!$C$18</definedName>
    <definedName name="_______SP16">[13]Sheet1!$C$24</definedName>
    <definedName name="_______SP7">[13]Sheet1!$C$15</definedName>
    <definedName name="_______ss12">[8]rdamdata!$J$8</definedName>
    <definedName name="_______ss20">[8]rdamdata!$J$7</definedName>
    <definedName name="_______ss40">[8]rdamdata!$J$6</definedName>
    <definedName name="_______var1" localSheetId="11">NA()</definedName>
    <definedName name="_______var1" localSheetId="12">NA()</definedName>
    <definedName name="_______var1" localSheetId="0">#REF!</definedName>
    <definedName name="_______var1">#REF!</definedName>
    <definedName name="_______var4" localSheetId="11">NA()</definedName>
    <definedName name="_______var4" localSheetId="12">NA()</definedName>
    <definedName name="_______var4" localSheetId="0">#REF!</definedName>
    <definedName name="_______var4">#REF!</definedName>
    <definedName name="_______vat1">NA()</definedName>
    <definedName name="_______vat2">NA()</definedName>
    <definedName name="_______xh2256">[20]HDPE!$L$30</definedName>
    <definedName name="_______xh2506">[20]HDPE!$M$30</definedName>
    <definedName name="_______xh2806">[20]HDPE!$N$30</definedName>
    <definedName name="_______xh3156">[20]HDPE!$O$30</definedName>
    <definedName name="_______xh634">[20]HDPE!$C$16</definedName>
    <definedName name="_______xk7100">[20]DI!$C$37</definedName>
    <definedName name="_______xk7150">[20]DI!$D$37</definedName>
    <definedName name="_______xk7250">[20]DI!$F$37</definedName>
    <definedName name="_______xk7300">[20]DI!$G$37</definedName>
    <definedName name="_______xp11010">[20]pvc!$F$61</definedName>
    <definedName name="_______xp1104">[20]pvc!$F$31</definedName>
    <definedName name="_______xp1106">[20]pvc!$F$46</definedName>
    <definedName name="_______xp1254">[20]pvc!$G$31</definedName>
    <definedName name="_______xp1256">[20]pvc!$G$46</definedName>
    <definedName name="_______xp14010">[20]pvc!$H$61</definedName>
    <definedName name="_______xp1404">[20]pvc!$H$31</definedName>
    <definedName name="_______xp1406">[20]pvc!$H$46</definedName>
    <definedName name="_______xp1604">[20]pvc!$I$31</definedName>
    <definedName name="_______xp1606">[20]pvc!$I$46</definedName>
    <definedName name="_______xp1804">[20]pvc!$J$31</definedName>
    <definedName name="_______xp1806">[20]pvc!$J$46</definedName>
    <definedName name="_______xp2006">[20]pvc!$K$46</definedName>
    <definedName name="_______xp6310">[20]pvc!$C$61</definedName>
    <definedName name="_______xp636">[20]pvc!$C$46</definedName>
    <definedName name="_______xp7510">[20]pvc!$D$61</definedName>
    <definedName name="_______xp754">[20]pvc!$D$31</definedName>
    <definedName name="_______xp756">[20]pvc!$D$46</definedName>
    <definedName name="_______xp9010">[20]pvc!$E$61</definedName>
    <definedName name="_______xp904">[20]pvc!$E$31</definedName>
    <definedName name="_______xp906">[20]pvc!$E$46</definedName>
    <definedName name="______bla1">[1]leads!$H$7</definedName>
    <definedName name="______BSG100">NA()</definedName>
    <definedName name="______BSG150">NA()</definedName>
    <definedName name="______BSG5">NA()</definedName>
    <definedName name="______BSG75">NA()</definedName>
    <definedName name="______BTC1">NA()</definedName>
    <definedName name="______BTC10">NA()</definedName>
    <definedName name="______BTC11">NA()</definedName>
    <definedName name="______BTC12">NA()</definedName>
    <definedName name="______BTC13">NA()</definedName>
    <definedName name="______BTC14">NA()</definedName>
    <definedName name="______BTC15">NA()</definedName>
    <definedName name="______BTC16">NA()</definedName>
    <definedName name="______BTC17">NA()</definedName>
    <definedName name="______BTC18">NA()</definedName>
    <definedName name="______BTC19">NA()</definedName>
    <definedName name="______BTC2">NA()</definedName>
    <definedName name="______BTC20">NA()</definedName>
    <definedName name="______BTC21">NA()</definedName>
    <definedName name="______BTC22">NA()</definedName>
    <definedName name="______BTC23">NA()</definedName>
    <definedName name="______BTC24">NA()</definedName>
    <definedName name="______BTC3">NA()</definedName>
    <definedName name="______BTC4">NA()</definedName>
    <definedName name="______BTC5">NA()</definedName>
    <definedName name="______BTC6">NA()</definedName>
    <definedName name="______BTC7">NA()</definedName>
    <definedName name="______BTC8">NA()</definedName>
    <definedName name="______BTC9">NA()</definedName>
    <definedName name="______BTR1">NA()</definedName>
    <definedName name="______BTR10">NA()</definedName>
    <definedName name="______BTR11">NA()</definedName>
    <definedName name="______BTR12">NA()</definedName>
    <definedName name="______BTR13">NA()</definedName>
    <definedName name="______BTR14">NA()</definedName>
    <definedName name="______BTR15">NA()</definedName>
    <definedName name="______BTR16">NA()</definedName>
    <definedName name="______BTR17">NA()</definedName>
    <definedName name="______BTR18">NA()</definedName>
    <definedName name="______BTR19">NA()</definedName>
    <definedName name="______BTR2">NA()</definedName>
    <definedName name="______BTR20">NA()</definedName>
    <definedName name="______BTR21">NA()</definedName>
    <definedName name="______BTR22">NA()</definedName>
    <definedName name="______BTR23">NA()</definedName>
    <definedName name="______BTR24">NA()</definedName>
    <definedName name="______BTR3">NA()</definedName>
    <definedName name="______BTR4">NA()</definedName>
    <definedName name="______BTR5">NA()</definedName>
    <definedName name="______BTR6">NA()</definedName>
    <definedName name="______BTR7">NA()</definedName>
    <definedName name="______BTR8">NA()</definedName>
    <definedName name="______BTR9">NA()</definedName>
    <definedName name="______BTS1">NA()</definedName>
    <definedName name="______BTS10">NA()</definedName>
    <definedName name="______BTS11">NA()</definedName>
    <definedName name="______BTS12">NA()</definedName>
    <definedName name="______BTS13">NA()</definedName>
    <definedName name="______BTS14">NA()</definedName>
    <definedName name="______BTS15">NA()</definedName>
    <definedName name="______BTS16">NA()</definedName>
    <definedName name="______BTS17">NA()</definedName>
    <definedName name="______BTS18">NA()</definedName>
    <definedName name="______BTS19">NA()</definedName>
    <definedName name="______BTS2">NA()</definedName>
    <definedName name="______BTS20">NA()</definedName>
    <definedName name="______BTS21">NA()</definedName>
    <definedName name="______BTS22">NA()</definedName>
    <definedName name="______BTS23">NA()</definedName>
    <definedName name="______BTS24">NA()</definedName>
    <definedName name="______BTS3">NA()</definedName>
    <definedName name="______BTS4">NA()</definedName>
    <definedName name="______BTS5">NA()</definedName>
    <definedName name="______BTS6">NA()</definedName>
    <definedName name="______BTS7">NA()</definedName>
    <definedName name="______BTS8">NA()</definedName>
    <definedName name="______BTS9">NA()</definedName>
    <definedName name="______can430">40.73</definedName>
    <definedName name="______can435">43.3</definedName>
    <definedName name="______cbr1">NA()</definedName>
    <definedName name="______cbr2">NA()</definedName>
    <definedName name="______cbr3">NA()</definedName>
    <definedName name="______cbr4">NA()</definedName>
    <definedName name="______CCW1">[9]DATA!$H$67</definedName>
    <definedName name="______CCW2">[9]DATA!$H$97</definedName>
    <definedName name="______cur1">[2]r!$F$30</definedName>
    <definedName name="______dem2">NA()</definedName>
    <definedName name="______er1" localSheetId="11">NA()</definedName>
    <definedName name="______er1" localSheetId="12">NA()</definedName>
    <definedName name="______er1" localSheetId="0">#REF!</definedName>
    <definedName name="______er1">#REF!</definedName>
    <definedName name="______f1">NA()</definedName>
    <definedName name="______G120907" localSheetId="11">"[34]data!#ref!"</definedName>
    <definedName name="______G120907" localSheetId="12">"[34]data!#ref!"</definedName>
    <definedName name="______G120907" localSheetId="0">[22]Data!#REF!</definedName>
    <definedName name="______G120907">[22]Data!#REF!</definedName>
    <definedName name="______GBS11">NA()</definedName>
    <definedName name="______GBS110">NA()</definedName>
    <definedName name="______GBS111">NA()</definedName>
    <definedName name="______GBS112">NA()</definedName>
    <definedName name="______GBS113">NA()</definedName>
    <definedName name="______GBS114">NA()</definedName>
    <definedName name="______GBS115">NA()</definedName>
    <definedName name="______GBS116">NA()</definedName>
    <definedName name="______GBS117">NA()</definedName>
    <definedName name="______GBS118">NA()</definedName>
    <definedName name="______GBS119">NA()</definedName>
    <definedName name="______GBS12">NA()</definedName>
    <definedName name="______GBS120">NA()</definedName>
    <definedName name="______GBS121">NA()</definedName>
    <definedName name="______GBS122">NA()</definedName>
    <definedName name="______GBS123">NA()</definedName>
    <definedName name="______GBS124">NA()</definedName>
    <definedName name="______GBS13">NA()</definedName>
    <definedName name="______GBS14">NA()</definedName>
    <definedName name="______GBS15">NA()</definedName>
    <definedName name="______GBS16">NA()</definedName>
    <definedName name="______GBS17">NA()</definedName>
    <definedName name="______GBS18">NA()</definedName>
    <definedName name="______GBS19">NA()</definedName>
    <definedName name="______GBS21">NA()</definedName>
    <definedName name="______GBS210">NA()</definedName>
    <definedName name="______GBS211">NA()</definedName>
    <definedName name="______GBS212">NA()</definedName>
    <definedName name="______GBS213">NA()</definedName>
    <definedName name="______GBS214">NA()</definedName>
    <definedName name="______GBS215">NA()</definedName>
    <definedName name="______GBS216">NA()</definedName>
    <definedName name="______GBS217">NA()</definedName>
    <definedName name="______GBS218">NA()</definedName>
    <definedName name="______GBS219">NA()</definedName>
    <definedName name="______GBS22">NA()</definedName>
    <definedName name="______GBS220">NA()</definedName>
    <definedName name="______GBS221">NA()</definedName>
    <definedName name="______GBS222">NA()</definedName>
    <definedName name="______GBS223">NA()</definedName>
    <definedName name="______GBS224">NA()</definedName>
    <definedName name="______GBS23">NA()</definedName>
    <definedName name="______GBS24">NA()</definedName>
    <definedName name="______GBS25">NA()</definedName>
    <definedName name="______GBS26">NA()</definedName>
    <definedName name="______GBS27">NA()</definedName>
    <definedName name="______GBS28">NA()</definedName>
    <definedName name="______GBS29">NA()</definedName>
    <definedName name="______imp1">[11]DATA_PRG!$H$245</definedName>
    <definedName name="______KC139">NA()</definedName>
    <definedName name="______knr2">NA()</definedName>
    <definedName name="______KNR3">NA()</definedName>
    <definedName name="______l1">[3]leads!$A$3:$E$108</definedName>
    <definedName name="______l12" localSheetId="11">NA()</definedName>
    <definedName name="______l12" localSheetId="12">NA()</definedName>
    <definedName name="______l12" localSheetId="0">#REF!</definedName>
    <definedName name="______l12">#REF!</definedName>
    <definedName name="______l2">[2]r!$F$29</definedName>
    <definedName name="______l3" localSheetId="11">NA()</definedName>
    <definedName name="______l3" localSheetId="12">NA()</definedName>
    <definedName name="______l3" localSheetId="0">#REF!</definedName>
    <definedName name="______l3">#REF!</definedName>
    <definedName name="______l4">[4]Sheet1!$W$2:$Y$103</definedName>
    <definedName name="______l5" localSheetId="11">NA()</definedName>
    <definedName name="______l5" localSheetId="12">NA()</definedName>
    <definedName name="______l5" localSheetId="0">#REF!</definedName>
    <definedName name="______l5">#REF!</definedName>
    <definedName name="______l6">[2]r!$F$4</definedName>
    <definedName name="______l7">[5]r!$F$4</definedName>
    <definedName name="______l8">[2]r!$F$2</definedName>
    <definedName name="______l9">[2]r!$F$3</definedName>
    <definedName name="______LJ6">[9]DATA!$H$245</definedName>
    <definedName name="______lj600">NA()</definedName>
    <definedName name="______lj900">NA()</definedName>
    <definedName name="______LL3">NA()</definedName>
    <definedName name="______LSO24">"[14]lead!#ref!"</definedName>
    <definedName name="______MA1">NA()</definedName>
    <definedName name="______MA2">NA()</definedName>
    <definedName name="______me12" localSheetId="11">NA()</definedName>
    <definedName name="______me12" localSheetId="12">NA()</definedName>
    <definedName name="______me12" localSheetId="0">'[23]Lead statement'!#REF!</definedName>
    <definedName name="______me12">'[23]Lead statement'!#REF!</definedName>
    <definedName name="______Met22">NA()</definedName>
    <definedName name="______Met45">NA()</definedName>
    <definedName name="______MEt55">NA()</definedName>
    <definedName name="______Met63">NA()</definedName>
    <definedName name="______ML21">NA()</definedName>
    <definedName name="______ML210">NA()</definedName>
    <definedName name="______ML211">NA()</definedName>
    <definedName name="______ML212">NA()</definedName>
    <definedName name="______ML213">NA()</definedName>
    <definedName name="______ML214">NA()</definedName>
    <definedName name="______ML215">NA()</definedName>
    <definedName name="______ML216">NA()</definedName>
    <definedName name="______ML217">NA()</definedName>
    <definedName name="______ML218">NA()</definedName>
    <definedName name="______ML219">NA()</definedName>
    <definedName name="______ML22">NA()</definedName>
    <definedName name="______ML220">NA()</definedName>
    <definedName name="______ML221">NA()</definedName>
    <definedName name="______ML222">NA()</definedName>
    <definedName name="______ML223">NA()</definedName>
    <definedName name="______ML224">NA()</definedName>
    <definedName name="______ML23">NA()</definedName>
    <definedName name="______ML24">NA()</definedName>
    <definedName name="______ML25">NA()</definedName>
    <definedName name="______ML26">NA()</definedName>
    <definedName name="______ML27">NA()</definedName>
    <definedName name="______ML28">NA()</definedName>
    <definedName name="______ML29">NA()</definedName>
    <definedName name="______ML31">NA()</definedName>
    <definedName name="______ML310">NA()</definedName>
    <definedName name="______ML311">NA()</definedName>
    <definedName name="______ML312">NA()</definedName>
    <definedName name="______ML313">NA()</definedName>
    <definedName name="______ML314">NA()</definedName>
    <definedName name="______ML315">NA()</definedName>
    <definedName name="______ML316">NA()</definedName>
    <definedName name="______ML317">NA()</definedName>
    <definedName name="______ML318">NA()</definedName>
    <definedName name="______ML319">NA()</definedName>
    <definedName name="______ML32">NA()</definedName>
    <definedName name="______ML320">NA()</definedName>
    <definedName name="______ML321">NA()</definedName>
    <definedName name="______ML322">NA()</definedName>
    <definedName name="______ML323">NA()</definedName>
    <definedName name="______ML324">NA()</definedName>
    <definedName name="______ML33">NA()</definedName>
    <definedName name="______ML34">NA()</definedName>
    <definedName name="______ML35">NA()</definedName>
    <definedName name="______ML36">NA()</definedName>
    <definedName name="______ML37">NA()</definedName>
    <definedName name="______ML38">NA()</definedName>
    <definedName name="______ML39">NA()</definedName>
    <definedName name="______ML7">NA()</definedName>
    <definedName name="______ML8">NA()</definedName>
    <definedName name="______ML9">NA()</definedName>
    <definedName name="______mm1">[6]r!$F$4</definedName>
    <definedName name="______mm1000">NA()</definedName>
    <definedName name="______mm11">[2]r!$F$4</definedName>
    <definedName name="______mm111">[5]r!$F$4</definedName>
    <definedName name="______mm20">NA()</definedName>
    <definedName name="______mm40">NA()</definedName>
    <definedName name="______mm600">NA()</definedName>
    <definedName name="______mm800">NA()</definedName>
    <definedName name="______PC1">NA()</definedName>
    <definedName name="______PC10">NA()</definedName>
    <definedName name="______PC11">NA()</definedName>
    <definedName name="______PC12">NA()</definedName>
    <definedName name="______PC13">NA()</definedName>
    <definedName name="______PC14">NA()</definedName>
    <definedName name="______PC15">NA()</definedName>
    <definedName name="______PC16">NA()</definedName>
    <definedName name="______PC17">NA()</definedName>
    <definedName name="______PC18">NA()</definedName>
    <definedName name="______PC19">NA()</definedName>
    <definedName name="______pc2" localSheetId="11">NA()</definedName>
    <definedName name="______pc2" localSheetId="12">NA()</definedName>
    <definedName name="______pc2" localSheetId="0">#REF!</definedName>
    <definedName name="______pc2">#REF!</definedName>
    <definedName name="______PC20">NA()</definedName>
    <definedName name="______PC21">NA()</definedName>
    <definedName name="______PC22">NA()</definedName>
    <definedName name="______PC23">NA()</definedName>
    <definedName name="______PC24">NA()</definedName>
    <definedName name="______PC3">NA()</definedName>
    <definedName name="______PC4">NA()</definedName>
    <definedName name="______PC5">NA()</definedName>
    <definedName name="______PC6">NA()</definedName>
    <definedName name="______pc600">NA()</definedName>
    <definedName name="______PC7">NA()</definedName>
    <definedName name="______PC8">NA()</definedName>
    <definedName name="______PC9">NA()</definedName>
    <definedName name="______pc900">NA()</definedName>
    <definedName name="______pla4">[12]DATA_PRG!$H$269</definedName>
    <definedName name="______pv2" localSheetId="11">NA()</definedName>
    <definedName name="______pv2" localSheetId="12">NA()</definedName>
    <definedName name="______pv2" localSheetId="0">#REF!</definedName>
    <definedName name="______pv2">#REF!</definedName>
    <definedName name="______rr3">[7]v!$A$2:$E$51</definedName>
    <definedName name="______rrr1">[7]r!$B$1:$I$145</definedName>
    <definedName name="______S12">NA()</definedName>
    <definedName name="______SP10">[13]Sheet1!$C$18</definedName>
    <definedName name="______SP16">[13]Sheet1!$C$24</definedName>
    <definedName name="______SP7">[13]Sheet1!$C$15</definedName>
    <definedName name="______ss12">[8]rdamdata!$J$8</definedName>
    <definedName name="______ss20">[8]rdamdata!$J$7</definedName>
    <definedName name="______ss40">[8]rdamdata!$J$6</definedName>
    <definedName name="______var1" localSheetId="11">NA()</definedName>
    <definedName name="______var1" localSheetId="12">NA()</definedName>
    <definedName name="______var1" localSheetId="0">#REF!</definedName>
    <definedName name="______var1">#REF!</definedName>
    <definedName name="______var4" localSheetId="11">NA()</definedName>
    <definedName name="______var4" localSheetId="12">NA()</definedName>
    <definedName name="______var4" localSheetId="0">#REF!</definedName>
    <definedName name="______var4">#REF!</definedName>
    <definedName name="______vat1">NA()</definedName>
    <definedName name="______vat2">NA()</definedName>
    <definedName name="______xh2256">[20]HDPE!$L$30</definedName>
    <definedName name="______xh2506">[20]HDPE!$M$30</definedName>
    <definedName name="______xh2806">[20]HDPE!$N$30</definedName>
    <definedName name="______xh3156">[20]HDPE!$O$30</definedName>
    <definedName name="______xh634">[20]HDPE!$C$16</definedName>
    <definedName name="______xk7100">[20]DI!$C$37</definedName>
    <definedName name="______xk7150">[20]DI!$D$37</definedName>
    <definedName name="______xk7250">[20]DI!$F$37</definedName>
    <definedName name="______xk7300">[20]DI!$G$37</definedName>
    <definedName name="______xlnm_Print_Titles_1">NA()</definedName>
    <definedName name="______xp11010">[20]pvc!$F$61</definedName>
    <definedName name="______xp1104">[20]pvc!$F$31</definedName>
    <definedName name="______xp1106">[20]pvc!$F$46</definedName>
    <definedName name="______xp1254">[20]pvc!$G$31</definedName>
    <definedName name="______xp1256">[20]pvc!$G$46</definedName>
    <definedName name="______xp14010">[20]pvc!$H$61</definedName>
    <definedName name="______xp1404">[20]pvc!$H$31</definedName>
    <definedName name="______xp1406">[20]pvc!$H$46</definedName>
    <definedName name="______xp1604">[20]pvc!$I$31</definedName>
    <definedName name="______xp1606">[20]pvc!$I$46</definedName>
    <definedName name="______xp1804">[20]pvc!$J$31</definedName>
    <definedName name="______xp1806">[20]pvc!$J$46</definedName>
    <definedName name="______xp2006">[20]pvc!$K$46</definedName>
    <definedName name="______xp6310">[20]pvc!$C$61</definedName>
    <definedName name="______xp636">[20]pvc!$C$46</definedName>
    <definedName name="______xp7510">[20]pvc!$D$61</definedName>
    <definedName name="______xp754">[20]pvc!$D$31</definedName>
    <definedName name="______xp756">[20]pvc!$D$46</definedName>
    <definedName name="______xp9010">[20]pvc!$E$61</definedName>
    <definedName name="______xp904">[20]pvc!$E$31</definedName>
    <definedName name="______xp906">[20]pvc!$E$46</definedName>
    <definedName name="_____12" localSheetId="11">NA()</definedName>
    <definedName name="_____12" localSheetId="12">NA()</definedName>
    <definedName name="_____12" localSheetId="0">#REF!</definedName>
    <definedName name="_____12">#REF!</definedName>
    <definedName name="_____bla1">[1]leads!$H$7</definedName>
    <definedName name="_____BSG100" localSheetId="11">NA()</definedName>
    <definedName name="_____BSG100" localSheetId="12">NA()</definedName>
    <definedName name="_____BSG100" localSheetId="0">#REF!</definedName>
    <definedName name="_____BSG100">#REF!</definedName>
    <definedName name="_____BSG150" localSheetId="11">NA()</definedName>
    <definedName name="_____BSG150" localSheetId="12">NA()</definedName>
    <definedName name="_____BSG150" localSheetId="0">#REF!</definedName>
    <definedName name="_____BSG150">#REF!</definedName>
    <definedName name="_____BSG5" localSheetId="11">NA()</definedName>
    <definedName name="_____BSG5" localSheetId="12">NA()</definedName>
    <definedName name="_____BSG5" localSheetId="0">#REF!</definedName>
    <definedName name="_____BSG5">#REF!</definedName>
    <definedName name="_____BSG75" localSheetId="11">NA()</definedName>
    <definedName name="_____BSG75" localSheetId="12">NA()</definedName>
    <definedName name="_____BSG75" localSheetId="0">#REF!</definedName>
    <definedName name="_____BSG75">#REF!</definedName>
    <definedName name="_____BTC1" localSheetId="11">NA()</definedName>
    <definedName name="_____BTC1" localSheetId="12">NA()</definedName>
    <definedName name="_____BTC1" localSheetId="0">#REF!</definedName>
    <definedName name="_____BTC1">#REF!</definedName>
    <definedName name="_____BTC10" localSheetId="11">NA()</definedName>
    <definedName name="_____BTC10" localSheetId="12">NA()</definedName>
    <definedName name="_____BTC10" localSheetId="0">#REF!</definedName>
    <definedName name="_____BTC10">#REF!</definedName>
    <definedName name="_____BTC11" localSheetId="11">NA()</definedName>
    <definedName name="_____BTC11" localSheetId="12">NA()</definedName>
    <definedName name="_____BTC11" localSheetId="0">#REF!</definedName>
    <definedName name="_____BTC11">#REF!</definedName>
    <definedName name="_____BTC12" localSheetId="11">NA()</definedName>
    <definedName name="_____BTC12" localSheetId="12">NA()</definedName>
    <definedName name="_____BTC12" localSheetId="0">#REF!</definedName>
    <definedName name="_____BTC12">#REF!</definedName>
    <definedName name="_____BTC13" localSheetId="11">NA()</definedName>
    <definedName name="_____BTC13" localSheetId="12">NA()</definedName>
    <definedName name="_____BTC13" localSheetId="0">#REF!</definedName>
    <definedName name="_____BTC13">#REF!</definedName>
    <definedName name="_____BTC14" localSheetId="11">NA()</definedName>
    <definedName name="_____BTC14" localSheetId="12">NA()</definedName>
    <definedName name="_____BTC14" localSheetId="0">#REF!</definedName>
    <definedName name="_____BTC14">#REF!</definedName>
    <definedName name="_____BTC15" localSheetId="11">NA()</definedName>
    <definedName name="_____BTC15" localSheetId="12">NA()</definedName>
    <definedName name="_____BTC15" localSheetId="0">#REF!</definedName>
    <definedName name="_____BTC15">#REF!</definedName>
    <definedName name="_____BTC16" localSheetId="11">NA()</definedName>
    <definedName name="_____BTC16" localSheetId="12">NA()</definedName>
    <definedName name="_____BTC16" localSheetId="0">#REF!</definedName>
    <definedName name="_____BTC16">#REF!</definedName>
    <definedName name="_____BTC17" localSheetId="11">NA()</definedName>
    <definedName name="_____BTC17" localSheetId="12">NA()</definedName>
    <definedName name="_____BTC17" localSheetId="0">#REF!</definedName>
    <definedName name="_____BTC17">#REF!</definedName>
    <definedName name="_____BTC18" localSheetId="11">NA()</definedName>
    <definedName name="_____BTC18" localSheetId="12">NA()</definedName>
    <definedName name="_____BTC18" localSheetId="0">#REF!</definedName>
    <definedName name="_____BTC18">#REF!</definedName>
    <definedName name="_____BTC19" localSheetId="11">NA()</definedName>
    <definedName name="_____BTC19" localSheetId="12">NA()</definedName>
    <definedName name="_____BTC19" localSheetId="0">#REF!</definedName>
    <definedName name="_____BTC19">#REF!</definedName>
    <definedName name="_____BTC2" localSheetId="11">NA()</definedName>
    <definedName name="_____BTC2" localSheetId="12">NA()</definedName>
    <definedName name="_____BTC2" localSheetId="0">#REF!</definedName>
    <definedName name="_____BTC2">#REF!</definedName>
    <definedName name="_____BTC20" localSheetId="11">NA()</definedName>
    <definedName name="_____BTC20" localSheetId="12">NA()</definedName>
    <definedName name="_____BTC20" localSheetId="0">#REF!</definedName>
    <definedName name="_____BTC20">#REF!</definedName>
    <definedName name="_____BTC21" localSheetId="11">NA()</definedName>
    <definedName name="_____BTC21" localSheetId="12">NA()</definedName>
    <definedName name="_____BTC21" localSheetId="0">#REF!</definedName>
    <definedName name="_____BTC21">#REF!</definedName>
    <definedName name="_____BTC22" localSheetId="11">NA()</definedName>
    <definedName name="_____BTC22" localSheetId="12">NA()</definedName>
    <definedName name="_____BTC22" localSheetId="0">#REF!</definedName>
    <definedName name="_____BTC22">#REF!</definedName>
    <definedName name="_____BTC23" localSheetId="11">NA()</definedName>
    <definedName name="_____BTC23" localSheetId="12">NA()</definedName>
    <definedName name="_____BTC23" localSheetId="0">#REF!</definedName>
    <definedName name="_____BTC23">#REF!</definedName>
    <definedName name="_____BTC24" localSheetId="11">NA()</definedName>
    <definedName name="_____BTC24" localSheetId="12">NA()</definedName>
    <definedName name="_____BTC24" localSheetId="0">#REF!</definedName>
    <definedName name="_____BTC24">#REF!</definedName>
    <definedName name="_____BTC3" localSheetId="11">NA()</definedName>
    <definedName name="_____BTC3" localSheetId="12">NA()</definedName>
    <definedName name="_____BTC3" localSheetId="0">#REF!</definedName>
    <definedName name="_____BTC3">#REF!</definedName>
    <definedName name="_____BTC4" localSheetId="11">NA()</definedName>
    <definedName name="_____BTC4" localSheetId="12">NA()</definedName>
    <definedName name="_____BTC4" localSheetId="0">#REF!</definedName>
    <definedName name="_____BTC4">#REF!</definedName>
    <definedName name="_____BTC5" localSheetId="11">NA()</definedName>
    <definedName name="_____BTC5" localSheetId="12">NA()</definedName>
    <definedName name="_____BTC5" localSheetId="0">#REF!</definedName>
    <definedName name="_____BTC5">#REF!</definedName>
    <definedName name="_____BTC6" localSheetId="11">NA()</definedName>
    <definedName name="_____BTC6" localSheetId="12">NA()</definedName>
    <definedName name="_____BTC6" localSheetId="0">#REF!</definedName>
    <definedName name="_____BTC6">#REF!</definedName>
    <definedName name="_____BTC7" localSheetId="11">NA()</definedName>
    <definedName name="_____BTC7" localSheetId="12">NA()</definedName>
    <definedName name="_____BTC7" localSheetId="0">#REF!</definedName>
    <definedName name="_____BTC7">#REF!</definedName>
    <definedName name="_____BTC8" localSheetId="11">NA()</definedName>
    <definedName name="_____BTC8" localSheetId="12">NA()</definedName>
    <definedName name="_____BTC8" localSheetId="0">#REF!</definedName>
    <definedName name="_____BTC8">#REF!</definedName>
    <definedName name="_____BTC9" localSheetId="11">NA()</definedName>
    <definedName name="_____BTC9" localSheetId="12">NA()</definedName>
    <definedName name="_____BTC9" localSheetId="0">#REF!</definedName>
    <definedName name="_____BTC9">#REF!</definedName>
    <definedName name="_____BTR1" localSheetId="11">NA()</definedName>
    <definedName name="_____BTR1" localSheetId="12">NA()</definedName>
    <definedName name="_____BTR1" localSheetId="0">#REF!</definedName>
    <definedName name="_____BTR1">#REF!</definedName>
    <definedName name="_____BTR10" localSheetId="11">NA()</definedName>
    <definedName name="_____BTR10" localSheetId="12">NA()</definedName>
    <definedName name="_____BTR10" localSheetId="0">#REF!</definedName>
    <definedName name="_____BTR10">#REF!</definedName>
    <definedName name="_____BTR11" localSheetId="11">NA()</definedName>
    <definedName name="_____BTR11" localSheetId="12">NA()</definedName>
    <definedName name="_____BTR11" localSheetId="0">#REF!</definedName>
    <definedName name="_____BTR11">#REF!</definedName>
    <definedName name="_____BTR12" localSheetId="11">NA()</definedName>
    <definedName name="_____BTR12" localSheetId="12">NA()</definedName>
    <definedName name="_____BTR12" localSheetId="0">#REF!</definedName>
    <definedName name="_____BTR12">#REF!</definedName>
    <definedName name="_____BTR13" localSheetId="11">NA()</definedName>
    <definedName name="_____BTR13" localSheetId="12">NA()</definedName>
    <definedName name="_____BTR13" localSheetId="0">#REF!</definedName>
    <definedName name="_____BTR13">#REF!</definedName>
    <definedName name="_____BTR14" localSheetId="11">NA()</definedName>
    <definedName name="_____BTR14" localSheetId="12">NA()</definedName>
    <definedName name="_____BTR14" localSheetId="0">#REF!</definedName>
    <definedName name="_____BTR14">#REF!</definedName>
    <definedName name="_____BTR15" localSheetId="11">NA()</definedName>
    <definedName name="_____BTR15" localSheetId="12">NA()</definedName>
    <definedName name="_____BTR15" localSheetId="0">#REF!</definedName>
    <definedName name="_____BTR15">#REF!</definedName>
    <definedName name="_____BTR16" localSheetId="11">NA()</definedName>
    <definedName name="_____BTR16" localSheetId="12">NA()</definedName>
    <definedName name="_____BTR16" localSheetId="0">#REF!</definedName>
    <definedName name="_____BTR16">#REF!</definedName>
    <definedName name="_____BTR17" localSheetId="11">NA()</definedName>
    <definedName name="_____BTR17" localSheetId="12">NA()</definedName>
    <definedName name="_____BTR17" localSheetId="0">#REF!</definedName>
    <definedName name="_____BTR17">#REF!</definedName>
    <definedName name="_____BTR18" localSheetId="11">NA()</definedName>
    <definedName name="_____BTR18" localSheetId="12">NA()</definedName>
    <definedName name="_____BTR18" localSheetId="0">#REF!</definedName>
    <definedName name="_____BTR18">#REF!</definedName>
    <definedName name="_____BTR19" localSheetId="11">NA()</definedName>
    <definedName name="_____BTR19" localSheetId="12">NA()</definedName>
    <definedName name="_____BTR19" localSheetId="0">#REF!</definedName>
    <definedName name="_____BTR19">#REF!</definedName>
    <definedName name="_____BTR2" localSheetId="11">NA()</definedName>
    <definedName name="_____BTR2" localSheetId="12">NA()</definedName>
    <definedName name="_____BTR2" localSheetId="0">#REF!</definedName>
    <definedName name="_____BTR2">#REF!</definedName>
    <definedName name="_____BTR20" localSheetId="11">NA()</definedName>
    <definedName name="_____BTR20" localSheetId="12">NA()</definedName>
    <definedName name="_____BTR20" localSheetId="0">#REF!</definedName>
    <definedName name="_____BTR20">#REF!</definedName>
    <definedName name="_____BTR21" localSheetId="11">NA()</definedName>
    <definedName name="_____BTR21" localSheetId="12">NA()</definedName>
    <definedName name="_____BTR21" localSheetId="0">#REF!</definedName>
    <definedName name="_____BTR21">#REF!</definedName>
    <definedName name="_____BTR22" localSheetId="11">NA()</definedName>
    <definedName name="_____BTR22" localSheetId="12">NA()</definedName>
    <definedName name="_____BTR22" localSheetId="0">#REF!</definedName>
    <definedName name="_____BTR22">#REF!</definedName>
    <definedName name="_____BTR23" localSheetId="11">NA()</definedName>
    <definedName name="_____BTR23" localSheetId="12">NA()</definedName>
    <definedName name="_____BTR23" localSheetId="0">#REF!</definedName>
    <definedName name="_____BTR23">#REF!</definedName>
    <definedName name="_____BTR24" localSheetId="11">NA()</definedName>
    <definedName name="_____BTR24" localSheetId="12">NA()</definedName>
    <definedName name="_____BTR24" localSheetId="0">#REF!</definedName>
    <definedName name="_____BTR24">#REF!</definedName>
    <definedName name="_____BTR3" localSheetId="11">NA()</definedName>
    <definedName name="_____BTR3" localSheetId="12">NA()</definedName>
    <definedName name="_____BTR3" localSheetId="0">#REF!</definedName>
    <definedName name="_____BTR3">#REF!</definedName>
    <definedName name="_____BTR4" localSheetId="11">NA()</definedName>
    <definedName name="_____BTR4" localSheetId="12">NA()</definedName>
    <definedName name="_____BTR4" localSheetId="0">#REF!</definedName>
    <definedName name="_____BTR4">#REF!</definedName>
    <definedName name="_____BTR5" localSheetId="11">NA()</definedName>
    <definedName name="_____BTR5" localSheetId="12">NA()</definedName>
    <definedName name="_____BTR5" localSheetId="0">#REF!</definedName>
    <definedName name="_____BTR5">#REF!</definedName>
    <definedName name="_____BTR6" localSheetId="11">NA()</definedName>
    <definedName name="_____BTR6" localSheetId="12">NA()</definedName>
    <definedName name="_____BTR6" localSheetId="0">#REF!</definedName>
    <definedName name="_____BTR6">#REF!</definedName>
    <definedName name="_____BTR7" localSheetId="11">NA()</definedName>
    <definedName name="_____BTR7" localSheetId="12">NA()</definedName>
    <definedName name="_____BTR7" localSheetId="0">#REF!</definedName>
    <definedName name="_____BTR7">#REF!</definedName>
    <definedName name="_____BTR8" localSheetId="11">NA()</definedName>
    <definedName name="_____BTR8" localSheetId="12">NA()</definedName>
    <definedName name="_____BTR8" localSheetId="0">#REF!</definedName>
    <definedName name="_____BTR8">#REF!</definedName>
    <definedName name="_____BTR9" localSheetId="11">NA()</definedName>
    <definedName name="_____BTR9" localSheetId="12">NA()</definedName>
    <definedName name="_____BTR9" localSheetId="0">#REF!</definedName>
    <definedName name="_____BTR9">#REF!</definedName>
    <definedName name="_____BTS1" localSheetId="11">NA()</definedName>
    <definedName name="_____BTS1" localSheetId="12">NA()</definedName>
    <definedName name="_____BTS1" localSheetId="0">#REF!</definedName>
    <definedName name="_____BTS1">#REF!</definedName>
    <definedName name="_____BTS10" localSheetId="11">NA()</definedName>
    <definedName name="_____BTS10" localSheetId="12">NA()</definedName>
    <definedName name="_____BTS10" localSheetId="0">#REF!</definedName>
    <definedName name="_____BTS10">#REF!</definedName>
    <definedName name="_____BTS11" localSheetId="11">NA()</definedName>
    <definedName name="_____BTS11" localSheetId="12">NA()</definedName>
    <definedName name="_____BTS11" localSheetId="0">#REF!</definedName>
    <definedName name="_____BTS11">#REF!</definedName>
    <definedName name="_____BTS12" localSheetId="11">NA()</definedName>
    <definedName name="_____BTS12" localSheetId="12">NA()</definedName>
    <definedName name="_____BTS12" localSheetId="0">#REF!</definedName>
    <definedName name="_____BTS12">#REF!</definedName>
    <definedName name="_____BTS13" localSheetId="11">NA()</definedName>
    <definedName name="_____BTS13" localSheetId="12">NA()</definedName>
    <definedName name="_____BTS13" localSheetId="0">#REF!</definedName>
    <definedName name="_____BTS13">#REF!</definedName>
    <definedName name="_____BTS14" localSheetId="11">NA()</definedName>
    <definedName name="_____BTS14" localSheetId="12">NA()</definedName>
    <definedName name="_____BTS14" localSheetId="0">#REF!</definedName>
    <definedName name="_____BTS14">#REF!</definedName>
    <definedName name="_____BTS15" localSheetId="11">NA()</definedName>
    <definedName name="_____BTS15" localSheetId="12">NA()</definedName>
    <definedName name="_____BTS15" localSheetId="0">#REF!</definedName>
    <definedName name="_____BTS15">#REF!</definedName>
    <definedName name="_____BTS16" localSheetId="11">NA()</definedName>
    <definedName name="_____BTS16" localSheetId="12">NA()</definedName>
    <definedName name="_____BTS16" localSheetId="0">#REF!</definedName>
    <definedName name="_____BTS16">#REF!</definedName>
    <definedName name="_____BTS17" localSheetId="11">NA()</definedName>
    <definedName name="_____BTS17" localSheetId="12">NA()</definedName>
    <definedName name="_____BTS17" localSheetId="0">#REF!</definedName>
    <definedName name="_____BTS17">#REF!</definedName>
    <definedName name="_____BTS18" localSheetId="11">NA()</definedName>
    <definedName name="_____BTS18" localSheetId="12">NA()</definedName>
    <definedName name="_____BTS18" localSheetId="0">#REF!</definedName>
    <definedName name="_____BTS18">#REF!</definedName>
    <definedName name="_____BTS19" localSheetId="11">NA()</definedName>
    <definedName name="_____BTS19" localSheetId="12">NA()</definedName>
    <definedName name="_____BTS19" localSheetId="0">#REF!</definedName>
    <definedName name="_____BTS19">#REF!</definedName>
    <definedName name="_____BTS2" localSheetId="11">NA()</definedName>
    <definedName name="_____BTS2" localSheetId="12">NA()</definedName>
    <definedName name="_____BTS2" localSheetId="0">#REF!</definedName>
    <definedName name="_____BTS2">#REF!</definedName>
    <definedName name="_____BTS20" localSheetId="11">NA()</definedName>
    <definedName name="_____BTS20" localSheetId="12">NA()</definedName>
    <definedName name="_____BTS20" localSheetId="0">#REF!</definedName>
    <definedName name="_____BTS20">#REF!</definedName>
    <definedName name="_____BTS21" localSheetId="11">NA()</definedName>
    <definedName name="_____BTS21" localSheetId="12">NA()</definedName>
    <definedName name="_____BTS21" localSheetId="0">#REF!</definedName>
    <definedName name="_____BTS21">#REF!</definedName>
    <definedName name="_____BTS22" localSheetId="11">NA()</definedName>
    <definedName name="_____BTS22" localSheetId="12">NA()</definedName>
    <definedName name="_____BTS22" localSheetId="0">#REF!</definedName>
    <definedName name="_____BTS22">#REF!</definedName>
    <definedName name="_____BTS23" localSheetId="11">NA()</definedName>
    <definedName name="_____BTS23" localSheetId="12">NA()</definedName>
    <definedName name="_____BTS23" localSheetId="0">#REF!</definedName>
    <definedName name="_____BTS23">#REF!</definedName>
    <definedName name="_____BTS24" localSheetId="11">NA()</definedName>
    <definedName name="_____BTS24" localSheetId="12">NA()</definedName>
    <definedName name="_____BTS24" localSheetId="0">#REF!</definedName>
    <definedName name="_____BTS24">#REF!</definedName>
    <definedName name="_____BTS3" localSheetId="11">NA()</definedName>
    <definedName name="_____BTS3" localSheetId="12">NA()</definedName>
    <definedName name="_____BTS3" localSheetId="0">#REF!</definedName>
    <definedName name="_____BTS3">#REF!</definedName>
    <definedName name="_____BTS4" localSheetId="11">NA()</definedName>
    <definedName name="_____BTS4" localSheetId="12">NA()</definedName>
    <definedName name="_____BTS4" localSheetId="0">#REF!</definedName>
    <definedName name="_____BTS4">#REF!</definedName>
    <definedName name="_____BTS5" localSheetId="11">NA()</definedName>
    <definedName name="_____BTS5" localSheetId="12">NA()</definedName>
    <definedName name="_____BTS5" localSheetId="0">#REF!</definedName>
    <definedName name="_____BTS5">#REF!</definedName>
    <definedName name="_____BTS6" localSheetId="11">NA()</definedName>
    <definedName name="_____BTS6" localSheetId="12">NA()</definedName>
    <definedName name="_____BTS6" localSheetId="0">#REF!</definedName>
    <definedName name="_____BTS6">#REF!</definedName>
    <definedName name="_____BTS7" localSheetId="11">NA()</definedName>
    <definedName name="_____BTS7" localSheetId="12">NA()</definedName>
    <definedName name="_____BTS7" localSheetId="0">#REF!</definedName>
    <definedName name="_____BTS7">#REF!</definedName>
    <definedName name="_____BTS8" localSheetId="11">NA()</definedName>
    <definedName name="_____BTS8" localSheetId="12">NA()</definedName>
    <definedName name="_____BTS8" localSheetId="0">#REF!</definedName>
    <definedName name="_____BTS8">#REF!</definedName>
    <definedName name="_____BTS9" localSheetId="11">NA()</definedName>
    <definedName name="_____BTS9" localSheetId="12">NA()</definedName>
    <definedName name="_____BTS9" localSheetId="0">#REF!</definedName>
    <definedName name="_____BTS9">#REF!</definedName>
    <definedName name="_____can430">40.73</definedName>
    <definedName name="_____can435">43.3</definedName>
    <definedName name="_____cbr1">NA()</definedName>
    <definedName name="_____cbr2">NA()</definedName>
    <definedName name="_____cbr3">NA()</definedName>
    <definedName name="_____cbr4">NA()</definedName>
    <definedName name="_____CCW1">[9]DATA!$H$67</definedName>
    <definedName name="_____CCW2">[9]DATA!$H$97</definedName>
    <definedName name="_____cur1">[2]r!$F$30</definedName>
    <definedName name="_____dem2">NA()</definedName>
    <definedName name="_____er1" localSheetId="11">NA()</definedName>
    <definedName name="_____er1" localSheetId="12">NA()</definedName>
    <definedName name="_____er1" localSheetId="0">#REF!</definedName>
    <definedName name="_____er1">#REF!</definedName>
    <definedName name="_____f1">NA()</definedName>
    <definedName name="_____G120907" localSheetId="11">"[34]data!#ref!"</definedName>
    <definedName name="_____G120907" localSheetId="12">"[34]data!#ref!"</definedName>
    <definedName name="_____G120907" localSheetId="0">[22]Data!#REF!</definedName>
    <definedName name="_____G120907">[22]Data!#REF!</definedName>
    <definedName name="_____GBS11">NA()</definedName>
    <definedName name="_____GBS110" localSheetId="11">NA()</definedName>
    <definedName name="_____GBS110" localSheetId="12">NA()</definedName>
    <definedName name="_____GBS110" localSheetId="0">#REF!</definedName>
    <definedName name="_____GBS110">#REF!</definedName>
    <definedName name="_____GBS111" localSheetId="11">NA()</definedName>
    <definedName name="_____GBS111" localSheetId="12">NA()</definedName>
    <definedName name="_____GBS111" localSheetId="0">#REF!</definedName>
    <definedName name="_____GBS111">#REF!</definedName>
    <definedName name="_____GBS112" localSheetId="11">NA()</definedName>
    <definedName name="_____GBS112" localSheetId="12">NA()</definedName>
    <definedName name="_____GBS112" localSheetId="0">#REF!</definedName>
    <definedName name="_____GBS112">#REF!</definedName>
    <definedName name="_____GBS113" localSheetId="11">NA()</definedName>
    <definedName name="_____GBS113" localSheetId="12">NA()</definedName>
    <definedName name="_____GBS113" localSheetId="0">#REF!</definedName>
    <definedName name="_____GBS113">#REF!</definedName>
    <definedName name="_____GBS114" localSheetId="11">NA()</definedName>
    <definedName name="_____GBS114" localSheetId="12">NA()</definedName>
    <definedName name="_____GBS114" localSheetId="0">#REF!</definedName>
    <definedName name="_____GBS114">#REF!</definedName>
    <definedName name="_____GBS115" localSheetId="11">NA()</definedName>
    <definedName name="_____GBS115" localSheetId="12">NA()</definedName>
    <definedName name="_____GBS115" localSheetId="0">#REF!</definedName>
    <definedName name="_____GBS115">#REF!</definedName>
    <definedName name="_____GBS116" localSheetId="11">NA()</definedName>
    <definedName name="_____GBS116" localSheetId="12">NA()</definedName>
    <definedName name="_____GBS116" localSheetId="0">#REF!</definedName>
    <definedName name="_____GBS116">#REF!</definedName>
    <definedName name="_____GBS117" localSheetId="11">NA()</definedName>
    <definedName name="_____GBS117" localSheetId="12">NA()</definedName>
    <definedName name="_____GBS117" localSheetId="0">#REF!</definedName>
    <definedName name="_____GBS117">#REF!</definedName>
    <definedName name="_____GBS118" localSheetId="11">NA()</definedName>
    <definedName name="_____GBS118" localSheetId="12">NA()</definedName>
    <definedName name="_____GBS118" localSheetId="0">#REF!</definedName>
    <definedName name="_____GBS118">#REF!</definedName>
    <definedName name="_____GBS119" localSheetId="11">NA()</definedName>
    <definedName name="_____GBS119" localSheetId="12">NA()</definedName>
    <definedName name="_____GBS119" localSheetId="0">#REF!</definedName>
    <definedName name="_____GBS119">#REF!</definedName>
    <definedName name="_____GBS12" localSheetId="11">NA()</definedName>
    <definedName name="_____GBS12" localSheetId="12">NA()</definedName>
    <definedName name="_____GBS12" localSheetId="0">#REF!</definedName>
    <definedName name="_____GBS12">#REF!</definedName>
    <definedName name="_____GBS120" localSheetId="11">NA()</definedName>
    <definedName name="_____GBS120" localSheetId="12">NA()</definedName>
    <definedName name="_____GBS120" localSheetId="0">#REF!</definedName>
    <definedName name="_____GBS120">#REF!</definedName>
    <definedName name="_____GBS121" localSheetId="11">NA()</definedName>
    <definedName name="_____GBS121" localSheetId="12">NA()</definedName>
    <definedName name="_____GBS121" localSheetId="0">#REF!</definedName>
    <definedName name="_____GBS121">#REF!</definedName>
    <definedName name="_____GBS122" localSheetId="11">NA()</definedName>
    <definedName name="_____GBS122" localSheetId="12">NA()</definedName>
    <definedName name="_____GBS122" localSheetId="0">#REF!</definedName>
    <definedName name="_____GBS122">#REF!</definedName>
    <definedName name="_____GBS123" localSheetId="11">NA()</definedName>
    <definedName name="_____GBS123" localSheetId="12">NA()</definedName>
    <definedName name="_____GBS123" localSheetId="0">#REF!</definedName>
    <definedName name="_____GBS123">#REF!</definedName>
    <definedName name="_____GBS124" localSheetId="11">NA()</definedName>
    <definedName name="_____GBS124" localSheetId="12">NA()</definedName>
    <definedName name="_____GBS124" localSheetId="0">#REF!</definedName>
    <definedName name="_____GBS124">#REF!</definedName>
    <definedName name="_____GBS13" localSheetId="11">NA()</definedName>
    <definedName name="_____GBS13" localSheetId="12">NA()</definedName>
    <definedName name="_____GBS13" localSheetId="0">#REF!</definedName>
    <definedName name="_____GBS13">#REF!</definedName>
    <definedName name="_____GBS14" localSheetId="11">NA()</definedName>
    <definedName name="_____GBS14" localSheetId="12">NA()</definedName>
    <definedName name="_____GBS14" localSheetId="0">#REF!</definedName>
    <definedName name="_____GBS14">#REF!</definedName>
    <definedName name="_____GBS15" localSheetId="11">NA()</definedName>
    <definedName name="_____GBS15" localSheetId="12">NA()</definedName>
    <definedName name="_____GBS15" localSheetId="0">#REF!</definedName>
    <definedName name="_____GBS15">#REF!</definedName>
    <definedName name="_____GBS16" localSheetId="11">NA()</definedName>
    <definedName name="_____GBS16" localSheetId="12">NA()</definedName>
    <definedName name="_____GBS16" localSheetId="0">#REF!</definedName>
    <definedName name="_____GBS16">#REF!</definedName>
    <definedName name="_____GBS17" localSheetId="11">NA()</definedName>
    <definedName name="_____GBS17" localSheetId="12">NA()</definedName>
    <definedName name="_____GBS17" localSheetId="0">#REF!</definedName>
    <definedName name="_____GBS17">#REF!</definedName>
    <definedName name="_____GBS18" localSheetId="11">NA()</definedName>
    <definedName name="_____GBS18" localSheetId="12">NA()</definedName>
    <definedName name="_____GBS18" localSheetId="0">#REF!</definedName>
    <definedName name="_____GBS18">#REF!</definedName>
    <definedName name="_____GBS19" localSheetId="11">NA()</definedName>
    <definedName name="_____GBS19" localSheetId="12">NA()</definedName>
    <definedName name="_____GBS19" localSheetId="0">#REF!</definedName>
    <definedName name="_____GBS19">#REF!</definedName>
    <definedName name="_____GBS21" localSheetId="11">NA()</definedName>
    <definedName name="_____GBS21" localSheetId="12">NA()</definedName>
    <definedName name="_____GBS21" localSheetId="0">#REF!</definedName>
    <definedName name="_____GBS21">#REF!</definedName>
    <definedName name="_____GBS210" localSheetId="11">NA()</definedName>
    <definedName name="_____GBS210" localSheetId="12">NA()</definedName>
    <definedName name="_____GBS210" localSheetId="0">#REF!</definedName>
    <definedName name="_____GBS210">#REF!</definedName>
    <definedName name="_____GBS211" localSheetId="11">NA()</definedName>
    <definedName name="_____GBS211" localSheetId="12">NA()</definedName>
    <definedName name="_____GBS211" localSheetId="0">#REF!</definedName>
    <definedName name="_____GBS211">#REF!</definedName>
    <definedName name="_____GBS212" localSheetId="11">NA()</definedName>
    <definedName name="_____GBS212" localSheetId="12">NA()</definedName>
    <definedName name="_____GBS212" localSheetId="0">#REF!</definedName>
    <definedName name="_____GBS212">#REF!</definedName>
    <definedName name="_____GBS213" localSheetId="11">NA()</definedName>
    <definedName name="_____GBS213" localSheetId="12">NA()</definedName>
    <definedName name="_____GBS213" localSheetId="0">#REF!</definedName>
    <definedName name="_____GBS213">#REF!</definedName>
    <definedName name="_____GBS214" localSheetId="11">NA()</definedName>
    <definedName name="_____GBS214" localSheetId="12">NA()</definedName>
    <definedName name="_____GBS214" localSheetId="0">#REF!</definedName>
    <definedName name="_____GBS214">#REF!</definedName>
    <definedName name="_____GBS215" localSheetId="11">NA()</definedName>
    <definedName name="_____GBS215" localSheetId="12">NA()</definedName>
    <definedName name="_____GBS215" localSheetId="0">#REF!</definedName>
    <definedName name="_____GBS215">#REF!</definedName>
    <definedName name="_____GBS216" localSheetId="11">NA()</definedName>
    <definedName name="_____GBS216" localSheetId="12">NA()</definedName>
    <definedName name="_____GBS216" localSheetId="0">#REF!</definedName>
    <definedName name="_____GBS216">#REF!</definedName>
    <definedName name="_____GBS217" localSheetId="11">NA()</definedName>
    <definedName name="_____GBS217" localSheetId="12">NA()</definedName>
    <definedName name="_____GBS217" localSheetId="0">#REF!</definedName>
    <definedName name="_____GBS217">#REF!</definedName>
    <definedName name="_____GBS218" localSheetId="11">NA()</definedName>
    <definedName name="_____GBS218" localSheetId="12">NA()</definedName>
    <definedName name="_____GBS218" localSheetId="0">#REF!</definedName>
    <definedName name="_____GBS218">#REF!</definedName>
    <definedName name="_____GBS219" localSheetId="11">NA()</definedName>
    <definedName name="_____GBS219" localSheetId="12">NA()</definedName>
    <definedName name="_____GBS219" localSheetId="0">#REF!</definedName>
    <definedName name="_____GBS219">#REF!</definedName>
    <definedName name="_____GBS22" localSheetId="11">NA()</definedName>
    <definedName name="_____GBS22" localSheetId="12">NA()</definedName>
    <definedName name="_____GBS22" localSheetId="0">#REF!</definedName>
    <definedName name="_____GBS22">#REF!</definedName>
    <definedName name="_____GBS220" localSheetId="11">NA()</definedName>
    <definedName name="_____GBS220" localSheetId="12">NA()</definedName>
    <definedName name="_____GBS220" localSheetId="0">#REF!</definedName>
    <definedName name="_____GBS220">#REF!</definedName>
    <definedName name="_____GBS221" localSheetId="11">NA()</definedName>
    <definedName name="_____GBS221" localSheetId="12">NA()</definedName>
    <definedName name="_____GBS221" localSheetId="0">#REF!</definedName>
    <definedName name="_____GBS221">#REF!</definedName>
    <definedName name="_____GBS222" localSheetId="11">NA()</definedName>
    <definedName name="_____GBS222" localSheetId="12">NA()</definedName>
    <definedName name="_____GBS222" localSheetId="0">#REF!</definedName>
    <definedName name="_____GBS222">#REF!</definedName>
    <definedName name="_____GBS223" localSheetId="11">NA()</definedName>
    <definedName name="_____GBS223" localSheetId="12">NA()</definedName>
    <definedName name="_____GBS223" localSheetId="0">#REF!</definedName>
    <definedName name="_____GBS223">#REF!</definedName>
    <definedName name="_____GBS224" localSheetId="11">NA()</definedName>
    <definedName name="_____GBS224" localSheetId="12">NA()</definedName>
    <definedName name="_____GBS224" localSheetId="0">#REF!</definedName>
    <definedName name="_____GBS224">#REF!</definedName>
    <definedName name="_____GBS23" localSheetId="11">NA()</definedName>
    <definedName name="_____GBS23" localSheetId="12">NA()</definedName>
    <definedName name="_____GBS23" localSheetId="0">#REF!</definedName>
    <definedName name="_____GBS23">#REF!</definedName>
    <definedName name="_____GBS24" localSheetId="11">NA()</definedName>
    <definedName name="_____GBS24" localSheetId="12">NA()</definedName>
    <definedName name="_____GBS24" localSheetId="0">#REF!</definedName>
    <definedName name="_____GBS24">#REF!</definedName>
    <definedName name="_____GBS25" localSheetId="11">NA()</definedName>
    <definedName name="_____GBS25" localSheetId="12">NA()</definedName>
    <definedName name="_____GBS25" localSheetId="0">#REF!</definedName>
    <definedName name="_____GBS25">#REF!</definedName>
    <definedName name="_____GBS26" localSheetId="11">NA()</definedName>
    <definedName name="_____GBS26" localSheetId="12">NA()</definedName>
    <definedName name="_____GBS26" localSheetId="0">#REF!</definedName>
    <definedName name="_____GBS26">#REF!</definedName>
    <definedName name="_____GBS27" localSheetId="11">NA()</definedName>
    <definedName name="_____GBS27" localSheetId="12">NA()</definedName>
    <definedName name="_____GBS27" localSheetId="0">#REF!</definedName>
    <definedName name="_____GBS27">#REF!</definedName>
    <definedName name="_____GBS28" localSheetId="11">NA()</definedName>
    <definedName name="_____GBS28" localSheetId="12">NA()</definedName>
    <definedName name="_____GBS28" localSheetId="0">#REF!</definedName>
    <definedName name="_____GBS28">#REF!</definedName>
    <definedName name="_____GBS29" localSheetId="11">NA()</definedName>
    <definedName name="_____GBS29" localSheetId="12">NA()</definedName>
    <definedName name="_____GBS29" localSheetId="0">#REF!</definedName>
    <definedName name="_____GBS29">#REF!</definedName>
    <definedName name="_____grp10003">NA()</definedName>
    <definedName name="_____grp3503">NA()</definedName>
    <definedName name="_____grp4003">NA()</definedName>
    <definedName name="_____grp4503">NA()</definedName>
    <definedName name="_____grp5003">NA()</definedName>
    <definedName name="_____grp6003">NA()</definedName>
    <definedName name="_____grp7003">NA()</definedName>
    <definedName name="_____grp8003">NA()</definedName>
    <definedName name="_____grp9003">NA()</definedName>
    <definedName name="_____imp1">[11]DATA_PRG!$H$245</definedName>
    <definedName name="_____KC139">NA()</definedName>
    <definedName name="_____knr2">NA()</definedName>
    <definedName name="_____KNR3">NA()</definedName>
    <definedName name="_____l1">[3]leads!$A$3:$E$108</definedName>
    <definedName name="_____l12" localSheetId="11">NA()</definedName>
    <definedName name="_____l12" localSheetId="12">NA()</definedName>
    <definedName name="_____l12" localSheetId="0">#REF!</definedName>
    <definedName name="_____l12">#REF!</definedName>
    <definedName name="_____l2">[2]r!$F$29</definedName>
    <definedName name="_____l3" localSheetId="11">NA()</definedName>
    <definedName name="_____l3" localSheetId="12">NA()</definedName>
    <definedName name="_____l3" localSheetId="0">#REF!</definedName>
    <definedName name="_____l3">#REF!</definedName>
    <definedName name="_____l4">[4]Sheet1!$W$2:$Y$103</definedName>
    <definedName name="_____l5" localSheetId="11">NA()</definedName>
    <definedName name="_____l5" localSheetId="12">NA()</definedName>
    <definedName name="_____l5" localSheetId="0">#REF!</definedName>
    <definedName name="_____l5">#REF!</definedName>
    <definedName name="_____l6">[2]r!$F$4</definedName>
    <definedName name="_____l7">[5]r!$F$4</definedName>
    <definedName name="_____l8">[2]r!$F$2</definedName>
    <definedName name="_____l9">[2]r!$F$3</definedName>
    <definedName name="_____LJ6">[9]DATA!$H$245</definedName>
    <definedName name="_____lj600" localSheetId="11">NA()</definedName>
    <definedName name="_____lj600" localSheetId="12">NA()</definedName>
    <definedName name="_____lj600" localSheetId="0">#REF!</definedName>
    <definedName name="_____lj600">#REF!</definedName>
    <definedName name="_____lj900" localSheetId="11">NA()</definedName>
    <definedName name="_____lj900" localSheetId="12">NA()</definedName>
    <definedName name="_____lj900" localSheetId="0">#REF!</definedName>
    <definedName name="_____lj900">#REF!</definedName>
    <definedName name="_____LL3" localSheetId="11">NA()</definedName>
    <definedName name="_____LL3" localSheetId="12">NA()</definedName>
    <definedName name="_____LL3" localSheetId="0">#REF!</definedName>
    <definedName name="_____LL3">#REF!</definedName>
    <definedName name="_____LSO24">"[14]lead!#ref!"</definedName>
    <definedName name="_____MA1">NA()</definedName>
    <definedName name="_____MA2">NA()</definedName>
    <definedName name="_____me12">NA()</definedName>
    <definedName name="_____Met22">NA()</definedName>
    <definedName name="_____Met45">NA()</definedName>
    <definedName name="_____MEt55">NA()</definedName>
    <definedName name="_____Met63">NA()</definedName>
    <definedName name="_____ML21" localSheetId="11">NA()</definedName>
    <definedName name="_____ML21" localSheetId="12">NA()</definedName>
    <definedName name="_____ML21" localSheetId="0">#REF!</definedName>
    <definedName name="_____ML21">#REF!</definedName>
    <definedName name="_____ML210" localSheetId="11">NA()</definedName>
    <definedName name="_____ML210" localSheetId="12">NA()</definedName>
    <definedName name="_____ML210" localSheetId="0">#REF!</definedName>
    <definedName name="_____ML210">#REF!</definedName>
    <definedName name="_____ML211" localSheetId="11">NA()</definedName>
    <definedName name="_____ML211" localSheetId="12">NA()</definedName>
    <definedName name="_____ML211" localSheetId="0">#REF!</definedName>
    <definedName name="_____ML211">#REF!</definedName>
    <definedName name="_____ML212" localSheetId="11">NA()</definedName>
    <definedName name="_____ML212" localSheetId="12">NA()</definedName>
    <definedName name="_____ML212" localSheetId="0">#REF!</definedName>
    <definedName name="_____ML212">#REF!</definedName>
    <definedName name="_____ML213" localSheetId="11">NA()</definedName>
    <definedName name="_____ML213" localSheetId="12">NA()</definedName>
    <definedName name="_____ML213" localSheetId="0">#REF!</definedName>
    <definedName name="_____ML213">#REF!</definedName>
    <definedName name="_____ML214" localSheetId="11">NA()</definedName>
    <definedName name="_____ML214" localSheetId="12">NA()</definedName>
    <definedName name="_____ML214" localSheetId="0">#REF!</definedName>
    <definedName name="_____ML214">#REF!</definedName>
    <definedName name="_____ML215" localSheetId="11">NA()</definedName>
    <definedName name="_____ML215" localSheetId="12">NA()</definedName>
    <definedName name="_____ML215" localSheetId="0">#REF!</definedName>
    <definedName name="_____ML215">#REF!</definedName>
    <definedName name="_____ML216" localSheetId="11">NA()</definedName>
    <definedName name="_____ML216" localSheetId="12">NA()</definedName>
    <definedName name="_____ML216" localSheetId="0">#REF!</definedName>
    <definedName name="_____ML216">#REF!</definedName>
    <definedName name="_____ML217" localSheetId="11">NA()</definedName>
    <definedName name="_____ML217" localSheetId="12">NA()</definedName>
    <definedName name="_____ML217" localSheetId="0">#REF!</definedName>
    <definedName name="_____ML217">#REF!</definedName>
    <definedName name="_____ML218" localSheetId="11">NA()</definedName>
    <definedName name="_____ML218" localSheetId="12">NA()</definedName>
    <definedName name="_____ML218" localSheetId="0">#REF!</definedName>
    <definedName name="_____ML218">#REF!</definedName>
    <definedName name="_____ML219" localSheetId="11">NA()</definedName>
    <definedName name="_____ML219" localSheetId="12">NA()</definedName>
    <definedName name="_____ML219" localSheetId="0">#REF!</definedName>
    <definedName name="_____ML219">#REF!</definedName>
    <definedName name="_____ML22" localSheetId="11">NA()</definedName>
    <definedName name="_____ML22" localSheetId="12">NA()</definedName>
    <definedName name="_____ML22" localSheetId="0">#REF!</definedName>
    <definedName name="_____ML22">#REF!</definedName>
    <definedName name="_____ML220" localSheetId="11">NA()</definedName>
    <definedName name="_____ML220" localSheetId="12">NA()</definedName>
    <definedName name="_____ML220" localSheetId="0">#REF!</definedName>
    <definedName name="_____ML220">#REF!</definedName>
    <definedName name="_____ML221" localSheetId="11">NA()</definedName>
    <definedName name="_____ML221" localSheetId="12">NA()</definedName>
    <definedName name="_____ML221" localSheetId="0">#REF!</definedName>
    <definedName name="_____ML221">#REF!</definedName>
    <definedName name="_____ML222" localSheetId="11">NA()</definedName>
    <definedName name="_____ML222" localSheetId="12">NA()</definedName>
    <definedName name="_____ML222" localSheetId="0">#REF!</definedName>
    <definedName name="_____ML222">#REF!</definedName>
    <definedName name="_____ML223" localSheetId="11">NA()</definedName>
    <definedName name="_____ML223" localSheetId="12">NA()</definedName>
    <definedName name="_____ML223" localSheetId="0">#REF!</definedName>
    <definedName name="_____ML223">#REF!</definedName>
    <definedName name="_____ML224" localSheetId="11">NA()</definedName>
    <definedName name="_____ML224" localSheetId="12">NA()</definedName>
    <definedName name="_____ML224" localSheetId="0">#REF!</definedName>
    <definedName name="_____ML224">#REF!</definedName>
    <definedName name="_____ML23" localSheetId="11">NA()</definedName>
    <definedName name="_____ML23" localSheetId="12">NA()</definedName>
    <definedName name="_____ML23" localSheetId="0">#REF!</definedName>
    <definedName name="_____ML23">#REF!</definedName>
    <definedName name="_____ML24" localSheetId="11">NA()</definedName>
    <definedName name="_____ML24" localSheetId="12">NA()</definedName>
    <definedName name="_____ML24" localSheetId="0">#REF!</definedName>
    <definedName name="_____ML24">#REF!</definedName>
    <definedName name="_____ML25" localSheetId="11">NA()</definedName>
    <definedName name="_____ML25" localSheetId="12">NA()</definedName>
    <definedName name="_____ML25" localSheetId="0">#REF!</definedName>
    <definedName name="_____ML25">#REF!</definedName>
    <definedName name="_____ML26" localSheetId="11">NA()</definedName>
    <definedName name="_____ML26" localSheetId="12">NA()</definedName>
    <definedName name="_____ML26" localSheetId="0">#REF!</definedName>
    <definedName name="_____ML26">#REF!</definedName>
    <definedName name="_____ML27" localSheetId="11">NA()</definedName>
    <definedName name="_____ML27" localSheetId="12">NA()</definedName>
    <definedName name="_____ML27" localSheetId="0">#REF!</definedName>
    <definedName name="_____ML27">#REF!</definedName>
    <definedName name="_____ML28" localSheetId="11">NA()</definedName>
    <definedName name="_____ML28" localSheetId="12">NA()</definedName>
    <definedName name="_____ML28" localSheetId="0">#REF!</definedName>
    <definedName name="_____ML28">#REF!</definedName>
    <definedName name="_____ML29" localSheetId="11">NA()</definedName>
    <definedName name="_____ML29" localSheetId="12">NA()</definedName>
    <definedName name="_____ML29" localSheetId="0">#REF!</definedName>
    <definedName name="_____ML29">#REF!</definedName>
    <definedName name="_____ML31" localSheetId="11">NA()</definedName>
    <definedName name="_____ML31" localSheetId="12">NA()</definedName>
    <definedName name="_____ML31" localSheetId="0">#REF!</definedName>
    <definedName name="_____ML31">#REF!</definedName>
    <definedName name="_____ML310" localSheetId="11">NA()</definedName>
    <definedName name="_____ML310" localSheetId="12">NA()</definedName>
    <definedName name="_____ML310" localSheetId="0">#REF!</definedName>
    <definedName name="_____ML310">#REF!</definedName>
    <definedName name="_____ML311" localSheetId="11">NA()</definedName>
    <definedName name="_____ML311" localSheetId="12">NA()</definedName>
    <definedName name="_____ML311" localSheetId="0">#REF!</definedName>
    <definedName name="_____ML311">#REF!</definedName>
    <definedName name="_____ML312" localSheetId="11">NA()</definedName>
    <definedName name="_____ML312" localSheetId="12">NA()</definedName>
    <definedName name="_____ML312" localSheetId="0">#REF!</definedName>
    <definedName name="_____ML312">#REF!</definedName>
    <definedName name="_____ML313" localSheetId="11">NA()</definedName>
    <definedName name="_____ML313" localSheetId="12">NA()</definedName>
    <definedName name="_____ML313" localSheetId="0">#REF!</definedName>
    <definedName name="_____ML313">#REF!</definedName>
    <definedName name="_____ML314" localSheetId="11">NA()</definedName>
    <definedName name="_____ML314" localSheetId="12">NA()</definedName>
    <definedName name="_____ML314" localSheetId="0">#REF!</definedName>
    <definedName name="_____ML314">#REF!</definedName>
    <definedName name="_____ML315" localSheetId="11">NA()</definedName>
    <definedName name="_____ML315" localSheetId="12">NA()</definedName>
    <definedName name="_____ML315" localSheetId="0">#REF!</definedName>
    <definedName name="_____ML315">#REF!</definedName>
    <definedName name="_____ML316" localSheetId="11">NA()</definedName>
    <definedName name="_____ML316" localSheetId="12">NA()</definedName>
    <definedName name="_____ML316" localSheetId="0">#REF!</definedName>
    <definedName name="_____ML316">#REF!</definedName>
    <definedName name="_____ML317" localSheetId="11">NA()</definedName>
    <definedName name="_____ML317" localSheetId="12">NA()</definedName>
    <definedName name="_____ML317" localSheetId="0">#REF!</definedName>
    <definedName name="_____ML317">#REF!</definedName>
    <definedName name="_____ML318" localSheetId="11">NA()</definedName>
    <definedName name="_____ML318" localSheetId="12">NA()</definedName>
    <definedName name="_____ML318" localSheetId="0">#REF!</definedName>
    <definedName name="_____ML318">#REF!</definedName>
    <definedName name="_____ML319" localSheetId="11">NA()</definedName>
    <definedName name="_____ML319" localSheetId="12">NA()</definedName>
    <definedName name="_____ML319" localSheetId="0">#REF!</definedName>
    <definedName name="_____ML319">#REF!</definedName>
    <definedName name="_____ML32" localSheetId="11">NA()</definedName>
    <definedName name="_____ML32" localSheetId="12">NA()</definedName>
    <definedName name="_____ML32" localSheetId="0">#REF!</definedName>
    <definedName name="_____ML32">#REF!</definedName>
    <definedName name="_____ML320" localSheetId="11">NA()</definedName>
    <definedName name="_____ML320" localSheetId="12">NA()</definedName>
    <definedName name="_____ML320" localSheetId="0">#REF!</definedName>
    <definedName name="_____ML320">#REF!</definedName>
    <definedName name="_____ML321" localSheetId="11">NA()</definedName>
    <definedName name="_____ML321" localSheetId="12">NA()</definedName>
    <definedName name="_____ML321" localSheetId="0">#REF!</definedName>
    <definedName name="_____ML321">#REF!</definedName>
    <definedName name="_____ML322" localSheetId="11">NA()</definedName>
    <definedName name="_____ML322" localSheetId="12">NA()</definedName>
    <definedName name="_____ML322" localSheetId="0">#REF!</definedName>
    <definedName name="_____ML322">#REF!</definedName>
    <definedName name="_____ML323" localSheetId="11">NA()</definedName>
    <definedName name="_____ML323" localSheetId="12">NA()</definedName>
    <definedName name="_____ML323" localSheetId="0">#REF!</definedName>
    <definedName name="_____ML323">#REF!</definedName>
    <definedName name="_____ML324" localSheetId="11">NA()</definedName>
    <definedName name="_____ML324" localSheetId="12">NA()</definedName>
    <definedName name="_____ML324" localSheetId="0">#REF!</definedName>
    <definedName name="_____ML324">#REF!</definedName>
    <definedName name="_____ML33" localSheetId="11">NA()</definedName>
    <definedName name="_____ML33" localSheetId="12">NA()</definedName>
    <definedName name="_____ML33" localSheetId="0">#REF!</definedName>
    <definedName name="_____ML33">#REF!</definedName>
    <definedName name="_____ML34" localSheetId="11">NA()</definedName>
    <definedName name="_____ML34" localSheetId="12">NA()</definedName>
    <definedName name="_____ML34" localSheetId="0">#REF!</definedName>
    <definedName name="_____ML34">#REF!</definedName>
    <definedName name="_____ML35" localSheetId="11">NA()</definedName>
    <definedName name="_____ML35" localSheetId="12">NA()</definedName>
    <definedName name="_____ML35" localSheetId="0">#REF!</definedName>
    <definedName name="_____ML35">#REF!</definedName>
    <definedName name="_____ML36" localSheetId="11">NA()</definedName>
    <definedName name="_____ML36" localSheetId="12">NA()</definedName>
    <definedName name="_____ML36" localSheetId="0">#REF!</definedName>
    <definedName name="_____ML36">#REF!</definedName>
    <definedName name="_____ML37" localSheetId="11">NA()</definedName>
    <definedName name="_____ML37" localSheetId="12">NA()</definedName>
    <definedName name="_____ML37" localSheetId="0">#REF!</definedName>
    <definedName name="_____ML37">#REF!</definedName>
    <definedName name="_____ML38" localSheetId="11">NA()</definedName>
    <definedName name="_____ML38" localSheetId="12">NA()</definedName>
    <definedName name="_____ML38" localSheetId="0">#REF!</definedName>
    <definedName name="_____ML38">#REF!</definedName>
    <definedName name="_____ML39" localSheetId="11">NA()</definedName>
    <definedName name="_____ML39" localSheetId="12">NA()</definedName>
    <definedName name="_____ML39" localSheetId="0">#REF!</definedName>
    <definedName name="_____ML39">#REF!</definedName>
    <definedName name="_____ML7" localSheetId="11">NA()</definedName>
    <definedName name="_____ML7" localSheetId="12">NA()</definedName>
    <definedName name="_____ML7" localSheetId="0">#REF!</definedName>
    <definedName name="_____ML7">#REF!</definedName>
    <definedName name="_____ML8" localSheetId="11">NA()</definedName>
    <definedName name="_____ML8" localSheetId="12">NA()</definedName>
    <definedName name="_____ML8" localSheetId="0">#REF!</definedName>
    <definedName name="_____ML8">#REF!</definedName>
    <definedName name="_____ML9" localSheetId="11">NA()</definedName>
    <definedName name="_____ML9" localSheetId="12">NA()</definedName>
    <definedName name="_____ML9" localSheetId="0">#REF!</definedName>
    <definedName name="_____ML9">#REF!</definedName>
    <definedName name="_____mm1">[6]r!$F$4</definedName>
    <definedName name="_____mm1000">NA()</definedName>
    <definedName name="_____mm11">[2]r!$F$4</definedName>
    <definedName name="_____mm111">[5]r!$F$4</definedName>
    <definedName name="_____mm20">NA()</definedName>
    <definedName name="_____mm40">NA()</definedName>
    <definedName name="_____mm600">NA()</definedName>
    <definedName name="_____mm800">NA()</definedName>
    <definedName name="_____OH1">[24]MRATES!$T$26</definedName>
    <definedName name="_____PC1" localSheetId="11">NA()</definedName>
    <definedName name="_____PC1" localSheetId="12">NA()</definedName>
    <definedName name="_____PC1" localSheetId="0">#REF!</definedName>
    <definedName name="_____PC1">#REF!</definedName>
    <definedName name="_____PC10" localSheetId="11">NA()</definedName>
    <definedName name="_____PC10" localSheetId="12">NA()</definedName>
    <definedName name="_____PC10" localSheetId="0">#REF!</definedName>
    <definedName name="_____PC10">#REF!</definedName>
    <definedName name="_____PC11" localSheetId="11">NA()</definedName>
    <definedName name="_____PC11" localSheetId="12">NA()</definedName>
    <definedName name="_____PC11" localSheetId="0">#REF!</definedName>
    <definedName name="_____PC11">#REF!</definedName>
    <definedName name="_____PC12" localSheetId="11">NA()</definedName>
    <definedName name="_____PC12" localSheetId="12">NA()</definedName>
    <definedName name="_____PC12" localSheetId="0">#REF!</definedName>
    <definedName name="_____PC12">#REF!</definedName>
    <definedName name="_____PC13" localSheetId="11">NA()</definedName>
    <definedName name="_____PC13" localSheetId="12">NA()</definedName>
    <definedName name="_____PC13" localSheetId="0">#REF!</definedName>
    <definedName name="_____PC13">#REF!</definedName>
    <definedName name="_____PC14" localSheetId="11">NA()</definedName>
    <definedName name="_____PC14" localSheetId="12">NA()</definedName>
    <definedName name="_____PC14" localSheetId="0">#REF!</definedName>
    <definedName name="_____PC14">#REF!</definedName>
    <definedName name="_____PC15" localSheetId="11">NA()</definedName>
    <definedName name="_____PC15" localSheetId="12">NA()</definedName>
    <definedName name="_____PC15" localSheetId="0">#REF!</definedName>
    <definedName name="_____PC15">#REF!</definedName>
    <definedName name="_____PC16" localSheetId="11">NA()</definedName>
    <definedName name="_____PC16" localSheetId="12">NA()</definedName>
    <definedName name="_____PC16" localSheetId="0">#REF!</definedName>
    <definedName name="_____PC16">#REF!</definedName>
    <definedName name="_____PC17" localSheetId="11">NA()</definedName>
    <definedName name="_____PC17" localSheetId="12">NA()</definedName>
    <definedName name="_____PC17" localSheetId="0">#REF!</definedName>
    <definedName name="_____PC17">#REF!</definedName>
    <definedName name="_____PC18" localSheetId="11">NA()</definedName>
    <definedName name="_____PC18" localSheetId="12">NA()</definedName>
    <definedName name="_____PC18" localSheetId="0">#REF!</definedName>
    <definedName name="_____PC18">#REF!</definedName>
    <definedName name="_____PC19" localSheetId="11">NA()</definedName>
    <definedName name="_____PC19" localSheetId="12">NA()</definedName>
    <definedName name="_____PC19" localSheetId="0">#REF!</definedName>
    <definedName name="_____PC19">#REF!</definedName>
    <definedName name="_____pc2" localSheetId="11">NA()</definedName>
    <definedName name="_____pc2" localSheetId="12">NA()</definedName>
    <definedName name="_____pc2" localSheetId="0">#REF!</definedName>
    <definedName name="_____pc2">#REF!</definedName>
    <definedName name="_____PC20">NA()</definedName>
    <definedName name="_____PC21" localSheetId="11">NA()</definedName>
    <definedName name="_____PC21" localSheetId="12">NA()</definedName>
    <definedName name="_____PC21" localSheetId="0">#REF!</definedName>
    <definedName name="_____PC21">#REF!</definedName>
    <definedName name="_____PC22" localSheetId="11">NA()</definedName>
    <definedName name="_____PC22" localSheetId="12">NA()</definedName>
    <definedName name="_____PC22" localSheetId="0">#REF!</definedName>
    <definedName name="_____PC22">#REF!</definedName>
    <definedName name="_____PC23" localSheetId="11">NA()</definedName>
    <definedName name="_____PC23" localSheetId="12">NA()</definedName>
    <definedName name="_____PC23" localSheetId="0">#REF!</definedName>
    <definedName name="_____PC23">#REF!</definedName>
    <definedName name="_____PC24" localSheetId="11">NA()</definedName>
    <definedName name="_____PC24" localSheetId="12">NA()</definedName>
    <definedName name="_____PC24" localSheetId="0">#REF!</definedName>
    <definedName name="_____PC24">#REF!</definedName>
    <definedName name="_____PC3" localSheetId="11">NA()</definedName>
    <definedName name="_____PC3" localSheetId="12">NA()</definedName>
    <definedName name="_____PC3" localSheetId="0">#REF!</definedName>
    <definedName name="_____PC3">#REF!</definedName>
    <definedName name="_____PC4" localSheetId="11">NA()</definedName>
    <definedName name="_____PC4" localSheetId="12">NA()</definedName>
    <definedName name="_____PC4" localSheetId="0">#REF!</definedName>
    <definedName name="_____PC4">#REF!</definedName>
    <definedName name="_____PC5" localSheetId="11">NA()</definedName>
    <definedName name="_____PC5" localSheetId="12">NA()</definedName>
    <definedName name="_____PC5" localSheetId="0">#REF!</definedName>
    <definedName name="_____PC5">#REF!</definedName>
    <definedName name="_____PC6" localSheetId="11">NA()</definedName>
    <definedName name="_____PC6" localSheetId="12">NA()</definedName>
    <definedName name="_____PC6" localSheetId="0">#REF!</definedName>
    <definedName name="_____PC6">#REF!</definedName>
    <definedName name="_____pc600" localSheetId="11">NA()</definedName>
    <definedName name="_____pc600" localSheetId="12">NA()</definedName>
    <definedName name="_____pc600" localSheetId="0">#REF!</definedName>
    <definedName name="_____pc600">#REF!</definedName>
    <definedName name="_____PC7" localSheetId="11">NA()</definedName>
    <definedName name="_____PC7" localSheetId="12">NA()</definedName>
    <definedName name="_____PC7" localSheetId="0">#REF!</definedName>
    <definedName name="_____PC7">#REF!</definedName>
    <definedName name="_____PC8" localSheetId="11">NA()</definedName>
    <definedName name="_____PC8" localSheetId="12">NA()</definedName>
    <definedName name="_____PC8" localSheetId="0">#REF!</definedName>
    <definedName name="_____PC8">#REF!</definedName>
    <definedName name="_____PC9" localSheetId="11">NA()</definedName>
    <definedName name="_____PC9" localSheetId="12">NA()</definedName>
    <definedName name="_____PC9" localSheetId="0">#REF!</definedName>
    <definedName name="_____PC9">#REF!</definedName>
    <definedName name="_____pc900" localSheetId="11">NA()</definedName>
    <definedName name="_____pc900" localSheetId="12">NA()</definedName>
    <definedName name="_____pc900" localSheetId="0">#REF!</definedName>
    <definedName name="_____pc900">#REF!</definedName>
    <definedName name="_____pla4">[12]DATA_PRG!$H$269</definedName>
    <definedName name="_____psc10006">NA()</definedName>
    <definedName name="_____psc10008">NA()</definedName>
    <definedName name="_____psc3506">NA()</definedName>
    <definedName name="_____psc3508">NA()</definedName>
    <definedName name="_____psc4006">NA()</definedName>
    <definedName name="_____psc4008">NA()</definedName>
    <definedName name="_____psc4506">NA()</definedName>
    <definedName name="_____psc4508">NA()</definedName>
    <definedName name="_____psc5006">NA()</definedName>
    <definedName name="_____psc5008">NA()</definedName>
    <definedName name="_____psc6006">NA()</definedName>
    <definedName name="_____psc6008">NA()</definedName>
    <definedName name="_____psc7006">NA()</definedName>
    <definedName name="_____psc7008">NA()</definedName>
    <definedName name="_____psc8006">NA()</definedName>
    <definedName name="_____psc8008">NA()</definedName>
    <definedName name="_____psc9006">NA()</definedName>
    <definedName name="_____psc9008">NA()</definedName>
    <definedName name="_____pv2" localSheetId="11">NA()</definedName>
    <definedName name="_____pv2" localSheetId="12">NA()</definedName>
    <definedName name="_____pv2" localSheetId="0">#REF!</definedName>
    <definedName name="_____pv2">#REF!</definedName>
    <definedName name="_____rr3">[7]v!$A$2:$E$51</definedName>
    <definedName name="_____rrr1">[7]r!$B$1:$I$145</definedName>
    <definedName name="_____RT5565" localSheetId="11">NA()</definedName>
    <definedName name="_____RT5565" localSheetId="12">NA()</definedName>
    <definedName name="_____RT5565" localSheetId="0">#REF!</definedName>
    <definedName name="_____RT5565">#REF!</definedName>
    <definedName name="_____S12">NA()</definedName>
    <definedName name="_____SP10">[13]Sheet1!$C$18</definedName>
    <definedName name="_____SP16">[13]Sheet1!$C$24</definedName>
    <definedName name="_____SP7">[13]Sheet1!$C$15</definedName>
    <definedName name="_____ss12">[8]rdamdata!$J$8</definedName>
    <definedName name="_____ss20">[8]rdamdata!$J$7</definedName>
    <definedName name="_____ss40">[8]rdamdata!$J$6</definedName>
    <definedName name="_____var1" localSheetId="11">NA()</definedName>
    <definedName name="_____var1" localSheetId="12">NA()</definedName>
    <definedName name="_____var1" localSheetId="0">#REF!</definedName>
    <definedName name="_____var1">#REF!</definedName>
    <definedName name="_____var4" localSheetId="11">NA()</definedName>
    <definedName name="_____var4" localSheetId="12">NA()</definedName>
    <definedName name="_____var4" localSheetId="0">#REF!</definedName>
    <definedName name="_____var4">#REF!</definedName>
    <definedName name="_____vat1">NA()</definedName>
    <definedName name="_____vat2">NA()</definedName>
    <definedName name="_____xh11010">NA()</definedName>
    <definedName name="_____xh1104">NA()</definedName>
    <definedName name="_____xh1106">NA()</definedName>
    <definedName name="_____xh1108">NA()</definedName>
    <definedName name="_____xh12510">NA()</definedName>
    <definedName name="_____xh1254">NA()</definedName>
    <definedName name="_____xh1256">NA()</definedName>
    <definedName name="_____xh1258">NA()</definedName>
    <definedName name="_____xh14010">NA()</definedName>
    <definedName name="_____xh1404">NA()</definedName>
    <definedName name="_____xh1406">NA()</definedName>
    <definedName name="_____xh1408">NA()</definedName>
    <definedName name="_____xh16010">NA()</definedName>
    <definedName name="_____xh1604">NA()</definedName>
    <definedName name="_____xh1606">NA()</definedName>
    <definedName name="_____xh1608">NA()</definedName>
    <definedName name="_____xh18010">NA()</definedName>
    <definedName name="_____xh1804">NA()</definedName>
    <definedName name="_____xh1806">NA()</definedName>
    <definedName name="_____xh1808">NA()</definedName>
    <definedName name="_____xh20010">NA()</definedName>
    <definedName name="_____xh2004">NA()</definedName>
    <definedName name="_____xh2006">NA()</definedName>
    <definedName name="_____xh2008">NA()</definedName>
    <definedName name="_____xh22510">NA()</definedName>
    <definedName name="_____xh2254">NA()</definedName>
    <definedName name="_____xh2256">[20]HDPE!$L$30</definedName>
    <definedName name="_____xh2258">NA()</definedName>
    <definedName name="_____xh25010">NA()</definedName>
    <definedName name="_____xh2504">NA()</definedName>
    <definedName name="_____xh2506">[20]HDPE!$M$30</definedName>
    <definedName name="_____xh2508">NA()</definedName>
    <definedName name="_____xh28010">NA()</definedName>
    <definedName name="_____xh2804">NA()</definedName>
    <definedName name="_____xh2806">[20]HDPE!$N$30</definedName>
    <definedName name="_____xh2808">NA()</definedName>
    <definedName name="_____xh31510">NA()</definedName>
    <definedName name="_____xh3154">NA()</definedName>
    <definedName name="_____xh3156">[20]HDPE!$O$30</definedName>
    <definedName name="_____xh3158">NA()</definedName>
    <definedName name="_____xh3554">NA()</definedName>
    <definedName name="_____xh3556">NA()</definedName>
    <definedName name="_____xh6310">NA()</definedName>
    <definedName name="_____xh634">[20]HDPE!$C$16</definedName>
    <definedName name="_____xh636">NA()</definedName>
    <definedName name="_____xh638">NA()</definedName>
    <definedName name="_____xh7510">NA()</definedName>
    <definedName name="_____xh754">NA()</definedName>
    <definedName name="_____xh756">NA()</definedName>
    <definedName name="_____xh758">NA()</definedName>
    <definedName name="_____xh9010">NA()</definedName>
    <definedName name="_____xh904">NA()</definedName>
    <definedName name="_____xh906">NA()</definedName>
    <definedName name="_____xh908">NA()</definedName>
    <definedName name="_____xk7100">[20]DI!$C$37</definedName>
    <definedName name="_____xk7150">[20]DI!$D$37</definedName>
    <definedName name="_____xk7200">NA()</definedName>
    <definedName name="_____xk7250">[20]DI!$F$37</definedName>
    <definedName name="_____xk7300">[20]DI!$G$37</definedName>
    <definedName name="_____xk7350">NA()</definedName>
    <definedName name="_____xk7400">NA()</definedName>
    <definedName name="_____xk7450">NA()</definedName>
    <definedName name="_____xk7500">NA()</definedName>
    <definedName name="_____xk7600">NA()</definedName>
    <definedName name="_____xk9100">NA()</definedName>
    <definedName name="_____xk91000">NA()</definedName>
    <definedName name="_____xk9150">NA()</definedName>
    <definedName name="_____xk9200">NA()</definedName>
    <definedName name="_____xk9250">NA()</definedName>
    <definedName name="_____xk9300">NA()</definedName>
    <definedName name="_____xk9350">NA()</definedName>
    <definedName name="_____xk9400">NA()</definedName>
    <definedName name="_____xk9450">NA()</definedName>
    <definedName name="_____xk9500">NA()</definedName>
    <definedName name="_____xk9600">NA()</definedName>
    <definedName name="_____xk9700">NA()</definedName>
    <definedName name="_____xk9750">NA()</definedName>
    <definedName name="_____xk9800">NA()</definedName>
    <definedName name="_____xk9900">NA()</definedName>
    <definedName name="_____xlnm_Print_Titles_1">NA()</definedName>
    <definedName name="_____xp11010">[20]pvc!$F$61</definedName>
    <definedName name="_____xp1104">[20]pvc!$F$31</definedName>
    <definedName name="_____xp1106">[20]pvc!$F$46</definedName>
    <definedName name="_____xp12510">NA()</definedName>
    <definedName name="_____xp1254">[20]pvc!$G$31</definedName>
    <definedName name="_____xp1256">[20]pvc!$G$46</definedName>
    <definedName name="_____xp14010">[20]pvc!$H$61</definedName>
    <definedName name="_____xp1404">[20]pvc!$H$31</definedName>
    <definedName name="_____xp1406">[20]pvc!$H$46</definedName>
    <definedName name="_____xp16010">NA()</definedName>
    <definedName name="_____xp1604">[20]pvc!$I$31</definedName>
    <definedName name="_____xp1606">[20]pvc!$I$46</definedName>
    <definedName name="_____xp18010">NA()</definedName>
    <definedName name="_____xp1804">[20]pvc!$J$31</definedName>
    <definedName name="_____xp1806">[20]pvc!$J$46</definedName>
    <definedName name="_____xp20010">NA()</definedName>
    <definedName name="_____xp2004">NA()</definedName>
    <definedName name="_____xp2006">[20]pvc!$K$46</definedName>
    <definedName name="_____xp22510">NA()</definedName>
    <definedName name="_____xp2254">NA()</definedName>
    <definedName name="_____xp2256">NA()</definedName>
    <definedName name="_____xp25010">NA()</definedName>
    <definedName name="_____xp2504">NA()</definedName>
    <definedName name="_____xp2506">NA()</definedName>
    <definedName name="_____xp28010">NA()</definedName>
    <definedName name="_____xp2804">NA()</definedName>
    <definedName name="_____xp2806">NA()</definedName>
    <definedName name="_____xp31510">NA()</definedName>
    <definedName name="_____xp3154">NA()</definedName>
    <definedName name="_____xp3156">NA()</definedName>
    <definedName name="_____xp6310">[20]pvc!$C$61</definedName>
    <definedName name="_____xp634">NA()</definedName>
    <definedName name="_____xp636">[20]pvc!$C$46</definedName>
    <definedName name="_____xp7510">[20]pvc!$D$61</definedName>
    <definedName name="_____xp754">[20]pvc!$D$31</definedName>
    <definedName name="_____xp756">[20]pvc!$D$46</definedName>
    <definedName name="_____xp9010">[20]pvc!$E$61</definedName>
    <definedName name="_____xp904">[20]pvc!$E$31</definedName>
    <definedName name="_____xp906">[20]pvc!$E$46</definedName>
    <definedName name="____A5">NA()</definedName>
    <definedName name="____bla1">[1]leads!$H$7</definedName>
    <definedName name="____BSG100">NA()</definedName>
    <definedName name="____BSG150">NA()</definedName>
    <definedName name="____BSG5">NA()</definedName>
    <definedName name="____BSG75">NA()</definedName>
    <definedName name="____BTC1">NA()</definedName>
    <definedName name="____BTC10">NA()</definedName>
    <definedName name="____BTC11">NA()</definedName>
    <definedName name="____BTC12">NA()</definedName>
    <definedName name="____BTC13">NA()</definedName>
    <definedName name="____BTC14">NA()</definedName>
    <definedName name="____BTC15">NA()</definedName>
    <definedName name="____BTC16">NA()</definedName>
    <definedName name="____BTC17">NA()</definedName>
    <definedName name="____BTC18">NA()</definedName>
    <definedName name="____BTC19">NA()</definedName>
    <definedName name="____BTC2">NA()</definedName>
    <definedName name="____BTC20">NA()</definedName>
    <definedName name="____BTC21">NA()</definedName>
    <definedName name="____BTC22">NA()</definedName>
    <definedName name="____BTC23">NA()</definedName>
    <definedName name="____BTC24">NA()</definedName>
    <definedName name="____BTC3">NA()</definedName>
    <definedName name="____BTC4">NA()</definedName>
    <definedName name="____BTC5">NA()</definedName>
    <definedName name="____BTC6">NA()</definedName>
    <definedName name="____BTC7">NA()</definedName>
    <definedName name="____BTC8">NA()</definedName>
    <definedName name="____BTC9">NA()</definedName>
    <definedName name="____BTR1">NA()</definedName>
    <definedName name="____BTR10">NA()</definedName>
    <definedName name="____BTR11">NA()</definedName>
    <definedName name="____BTR12">NA()</definedName>
    <definedName name="____BTR13">NA()</definedName>
    <definedName name="____BTR14">NA()</definedName>
    <definedName name="____BTR15">NA()</definedName>
    <definedName name="____BTR16">NA()</definedName>
    <definedName name="____BTR17">NA()</definedName>
    <definedName name="____BTR18">NA()</definedName>
    <definedName name="____BTR19">NA()</definedName>
    <definedName name="____BTR2">NA()</definedName>
    <definedName name="____BTR20">NA()</definedName>
    <definedName name="____BTR21">NA()</definedName>
    <definedName name="____BTR22">NA()</definedName>
    <definedName name="____BTR23">NA()</definedName>
    <definedName name="____BTR24">NA()</definedName>
    <definedName name="____BTR3">NA()</definedName>
    <definedName name="____BTR4">NA()</definedName>
    <definedName name="____BTR5">NA()</definedName>
    <definedName name="____BTR6">NA()</definedName>
    <definedName name="____BTR7">NA()</definedName>
    <definedName name="____BTR8">NA()</definedName>
    <definedName name="____BTR9">NA()</definedName>
    <definedName name="____BTS1">NA()</definedName>
    <definedName name="____BTS10">NA()</definedName>
    <definedName name="____BTS11">NA()</definedName>
    <definedName name="____BTS12">NA()</definedName>
    <definedName name="____BTS13">NA()</definedName>
    <definedName name="____BTS14">NA()</definedName>
    <definedName name="____BTS15">NA()</definedName>
    <definedName name="____BTS16">NA()</definedName>
    <definedName name="____BTS17">NA()</definedName>
    <definedName name="____BTS18">NA()</definedName>
    <definedName name="____BTS19">NA()</definedName>
    <definedName name="____BTS2">NA()</definedName>
    <definedName name="____BTS20">NA()</definedName>
    <definedName name="____BTS21">NA()</definedName>
    <definedName name="____BTS22">NA()</definedName>
    <definedName name="____BTS23">NA()</definedName>
    <definedName name="____BTS24">NA()</definedName>
    <definedName name="____BTS3">NA()</definedName>
    <definedName name="____BTS4">NA()</definedName>
    <definedName name="____BTS5">NA()</definedName>
    <definedName name="____BTS6">NA()</definedName>
    <definedName name="____BTS7">NA()</definedName>
    <definedName name="____BTS8">NA()</definedName>
    <definedName name="____BTS9">NA()</definedName>
    <definedName name="____can430">40.73</definedName>
    <definedName name="____can435">43.3</definedName>
    <definedName name="____cbr1">NA()</definedName>
    <definedName name="____cbr2">NA()</definedName>
    <definedName name="____cbr3">NA()</definedName>
    <definedName name="____cbr4">NA()</definedName>
    <definedName name="____CCW1">[9]DATA!$H$67</definedName>
    <definedName name="____CCW2">[9]DATA!$H$97</definedName>
    <definedName name="____cur1">[2]r!$F$30</definedName>
    <definedName name="____dem2">NA()</definedName>
    <definedName name="____df3">NA()</definedName>
    <definedName name="____er1" localSheetId="11">NA()</definedName>
    <definedName name="____er1" localSheetId="12">NA()</definedName>
    <definedName name="____er1" localSheetId="0">#REF!</definedName>
    <definedName name="____er1">#REF!</definedName>
    <definedName name="____ewe1">NA()</definedName>
    <definedName name="____f1">NA()</definedName>
    <definedName name="____G120907" localSheetId="11">"[42]data!#ref!"</definedName>
    <definedName name="____G120907" localSheetId="12">"[42]data!#ref!"</definedName>
    <definedName name="____G120907" localSheetId="0">[25]Data!#REF!</definedName>
    <definedName name="____G120907">[25]Data!#REF!</definedName>
    <definedName name="____GBS11">NA()</definedName>
    <definedName name="____GBS110">NA()</definedName>
    <definedName name="____GBS111">NA()</definedName>
    <definedName name="____GBS112">NA()</definedName>
    <definedName name="____GBS113">NA()</definedName>
    <definedName name="____GBS114">NA()</definedName>
    <definedName name="____GBS115">NA()</definedName>
    <definedName name="____GBS116">NA()</definedName>
    <definedName name="____GBS117">NA()</definedName>
    <definedName name="____GBS118">NA()</definedName>
    <definedName name="____GBS119">NA()</definedName>
    <definedName name="____GBS12">NA()</definedName>
    <definedName name="____GBS120">NA()</definedName>
    <definedName name="____GBS121">NA()</definedName>
    <definedName name="____GBS122">NA()</definedName>
    <definedName name="____GBS123">NA()</definedName>
    <definedName name="____GBS124">NA()</definedName>
    <definedName name="____GBS13">NA()</definedName>
    <definedName name="____GBS14">NA()</definedName>
    <definedName name="____GBS15">NA()</definedName>
    <definedName name="____GBS16">NA()</definedName>
    <definedName name="____GBS17">NA()</definedName>
    <definedName name="____GBS18">NA()</definedName>
    <definedName name="____GBS19">NA()</definedName>
    <definedName name="____GBS21">NA()</definedName>
    <definedName name="____GBS210">NA()</definedName>
    <definedName name="____GBS211">NA()</definedName>
    <definedName name="____GBS212">NA()</definedName>
    <definedName name="____GBS213">NA()</definedName>
    <definedName name="____GBS214">NA()</definedName>
    <definedName name="____GBS215">NA()</definedName>
    <definedName name="____GBS216">NA()</definedName>
    <definedName name="____GBS217">NA()</definedName>
    <definedName name="____GBS218">NA()</definedName>
    <definedName name="____GBS219">NA()</definedName>
    <definedName name="____GBS22">NA()</definedName>
    <definedName name="____GBS220">NA()</definedName>
    <definedName name="____GBS221">NA()</definedName>
    <definedName name="____GBS222">NA()</definedName>
    <definedName name="____GBS223">NA()</definedName>
    <definedName name="____GBS224">NA()</definedName>
    <definedName name="____GBS23">NA()</definedName>
    <definedName name="____GBS24">NA()</definedName>
    <definedName name="____GBS25">NA()</definedName>
    <definedName name="____GBS26">NA()</definedName>
    <definedName name="____GBS27">NA()</definedName>
    <definedName name="____GBS28">NA()</definedName>
    <definedName name="____GBS29">NA()</definedName>
    <definedName name="____imp1">[11]DATA_PRG!$H$245</definedName>
    <definedName name="____KC139">NA()</definedName>
    <definedName name="____knr2" localSheetId="11">NA()</definedName>
    <definedName name="____knr2" localSheetId="12">NA()</definedName>
    <definedName name="____knr2" localSheetId="0">#REF!</definedName>
    <definedName name="____knr2">#REF!</definedName>
    <definedName name="____l1">[3]leads!$A$3:$E$108</definedName>
    <definedName name="____l12" localSheetId="11">NA()</definedName>
    <definedName name="____l12" localSheetId="12">NA()</definedName>
    <definedName name="____l12" localSheetId="0">#REF!</definedName>
    <definedName name="____l12">#REF!</definedName>
    <definedName name="____l2">[2]r!$F$29</definedName>
    <definedName name="____l3" localSheetId="11">NA()</definedName>
    <definedName name="____l3" localSheetId="12">NA()</definedName>
    <definedName name="____l3" localSheetId="0">#REF!</definedName>
    <definedName name="____l3">#REF!</definedName>
    <definedName name="____l4">[4]Sheet1!$W$2:$Y$103</definedName>
    <definedName name="____l5" localSheetId="11">NA()</definedName>
    <definedName name="____l5" localSheetId="12">NA()</definedName>
    <definedName name="____l5" localSheetId="0">#REF!</definedName>
    <definedName name="____l5">#REF!</definedName>
    <definedName name="____l6">[2]r!$F$4</definedName>
    <definedName name="____l7">[5]r!$F$4</definedName>
    <definedName name="____l8">[2]r!$F$2</definedName>
    <definedName name="____l9">[2]r!$F$3</definedName>
    <definedName name="____LJ6">[9]DATA!$H$245</definedName>
    <definedName name="____lj600">NA()</definedName>
    <definedName name="____lj900">NA()</definedName>
    <definedName name="____LL3">NA()</definedName>
    <definedName name="____LSO24">"[14]lead!#ref!"</definedName>
    <definedName name="____MA1">NA()</definedName>
    <definedName name="____MA2">NA()</definedName>
    <definedName name="____me12">NA()</definedName>
    <definedName name="____Met22">NA()</definedName>
    <definedName name="____Met45">NA()</definedName>
    <definedName name="____MEt55">NA()</definedName>
    <definedName name="____Met63">NA()</definedName>
    <definedName name="____ML21">NA()</definedName>
    <definedName name="____ML210">NA()</definedName>
    <definedName name="____ML211">NA()</definedName>
    <definedName name="____ML212">NA()</definedName>
    <definedName name="____ML213">NA()</definedName>
    <definedName name="____ML214">NA()</definedName>
    <definedName name="____ML215">NA()</definedName>
    <definedName name="____ML216">NA()</definedName>
    <definedName name="____ML217">NA()</definedName>
    <definedName name="____ML218">NA()</definedName>
    <definedName name="____ML219">NA()</definedName>
    <definedName name="____ML22">NA()</definedName>
    <definedName name="____ML220">NA()</definedName>
    <definedName name="____ML221">NA()</definedName>
    <definedName name="____ML222">NA()</definedName>
    <definedName name="____ML223">NA()</definedName>
    <definedName name="____ML224">NA()</definedName>
    <definedName name="____ML23">NA()</definedName>
    <definedName name="____ML24">NA()</definedName>
    <definedName name="____ML25">NA()</definedName>
    <definedName name="____ML26">NA()</definedName>
    <definedName name="____ML27">NA()</definedName>
    <definedName name="____ML28">NA()</definedName>
    <definedName name="____ML29">NA()</definedName>
    <definedName name="____ML31">NA()</definedName>
    <definedName name="____ML310">NA()</definedName>
    <definedName name="____ML311">NA()</definedName>
    <definedName name="____ML312">NA()</definedName>
    <definedName name="____ML313">NA()</definedName>
    <definedName name="____ML314">NA()</definedName>
    <definedName name="____ML315">NA()</definedName>
    <definedName name="____ML316">NA()</definedName>
    <definedName name="____ML317">NA()</definedName>
    <definedName name="____ML318">NA()</definedName>
    <definedName name="____ML319">NA()</definedName>
    <definedName name="____ML32">NA()</definedName>
    <definedName name="____ML320">NA()</definedName>
    <definedName name="____ML321">NA()</definedName>
    <definedName name="____ML322">NA()</definedName>
    <definedName name="____ML323">NA()</definedName>
    <definedName name="____ML324">NA()</definedName>
    <definedName name="____ML33">NA()</definedName>
    <definedName name="____ML34">NA()</definedName>
    <definedName name="____ML35">NA()</definedName>
    <definedName name="____ML36">NA()</definedName>
    <definedName name="____ML37">NA()</definedName>
    <definedName name="____ML38">NA()</definedName>
    <definedName name="____ML39">NA()</definedName>
    <definedName name="____ML7">NA()</definedName>
    <definedName name="____ML8">NA()</definedName>
    <definedName name="____ML9">NA()</definedName>
    <definedName name="____mm1">[6]r!$F$4</definedName>
    <definedName name="____mm1000">NA()</definedName>
    <definedName name="____mm11">[2]r!$F$4</definedName>
    <definedName name="____mm111">[5]r!$F$4</definedName>
    <definedName name="____mm20">NA()</definedName>
    <definedName name="____mm40">NA()</definedName>
    <definedName name="____mm600">NA()</definedName>
    <definedName name="____mm800">NA()</definedName>
    <definedName name="____OH1">[24]MRATES!$T$26</definedName>
    <definedName name="____PC1">NA()</definedName>
    <definedName name="____PC10">NA()</definedName>
    <definedName name="____PC11">NA()</definedName>
    <definedName name="____PC12">NA()</definedName>
    <definedName name="____PC13">NA()</definedName>
    <definedName name="____PC14">NA()</definedName>
    <definedName name="____PC15">NA()</definedName>
    <definedName name="____PC16">NA()</definedName>
    <definedName name="____PC17">NA()</definedName>
    <definedName name="____PC18">NA()</definedName>
    <definedName name="____PC19">NA()</definedName>
    <definedName name="____pc2" localSheetId="11">NA()</definedName>
    <definedName name="____pc2" localSheetId="12">NA()</definedName>
    <definedName name="____pc2" localSheetId="0">#REF!</definedName>
    <definedName name="____pc2">#REF!</definedName>
    <definedName name="____PC20">NA()</definedName>
    <definedName name="____PC21">NA()</definedName>
    <definedName name="____PC22">NA()</definedName>
    <definedName name="____PC23">NA()</definedName>
    <definedName name="____PC24">NA()</definedName>
    <definedName name="____PC3">NA()</definedName>
    <definedName name="____PC4">NA()</definedName>
    <definedName name="____PC5">NA()</definedName>
    <definedName name="____PC6">NA()</definedName>
    <definedName name="____pc600">NA()</definedName>
    <definedName name="____PC7">NA()</definedName>
    <definedName name="____PC8">NA()</definedName>
    <definedName name="____PC9">NA()</definedName>
    <definedName name="____pc900">NA()</definedName>
    <definedName name="____pla4">[12]DATA_PRG!$H$269</definedName>
    <definedName name="____pv1">NA()</definedName>
    <definedName name="____pv2" localSheetId="11">NA()</definedName>
    <definedName name="____pv2" localSheetId="12">NA()</definedName>
    <definedName name="____pv2" localSheetId="0">#REF!</definedName>
    <definedName name="____pv2">#REF!</definedName>
    <definedName name="____rr3">[7]v!$A$2:$E$51</definedName>
    <definedName name="____rrr1">[7]r!$B$1:$I$145</definedName>
    <definedName name="____S12">NA()</definedName>
    <definedName name="____SO016">NA()</definedName>
    <definedName name="____SP001">NA()</definedName>
    <definedName name="____SP002">NA()</definedName>
    <definedName name="____SP003">NA()</definedName>
    <definedName name="____SP004">NA()</definedName>
    <definedName name="____SP005">NA()</definedName>
    <definedName name="____SP006">NA()</definedName>
    <definedName name="____SP007">NA()</definedName>
    <definedName name="____SP008">NA()</definedName>
    <definedName name="____SP009">NA()</definedName>
    <definedName name="____SP010">NA()</definedName>
    <definedName name="____SP011">NA()</definedName>
    <definedName name="____SP012">NA()</definedName>
    <definedName name="____SP013">NA()</definedName>
    <definedName name="____SP014">NA()</definedName>
    <definedName name="____SP015">NA()</definedName>
    <definedName name="____SP016">NA()</definedName>
    <definedName name="____SP017">NA()</definedName>
    <definedName name="____SP018">NA()</definedName>
    <definedName name="____SP019">NA()</definedName>
    <definedName name="____SP020">NA()</definedName>
    <definedName name="____SP021">NA()</definedName>
    <definedName name="____SP022">NA()</definedName>
    <definedName name="____SP023">NA()</definedName>
    <definedName name="____SP024">NA()</definedName>
    <definedName name="____SP025">NA()</definedName>
    <definedName name="____SP026">NA()</definedName>
    <definedName name="____SP027">NA()</definedName>
    <definedName name="____SP028">NA()</definedName>
    <definedName name="____SP029">NA()</definedName>
    <definedName name="____SP030">NA()</definedName>
    <definedName name="____SP031">NA()</definedName>
    <definedName name="____SP032">NA()</definedName>
    <definedName name="____SP033">NA()</definedName>
    <definedName name="____SP034">NA()</definedName>
    <definedName name="____SP035">NA()</definedName>
    <definedName name="____SP036">NA()</definedName>
    <definedName name="____SP037">NA()</definedName>
    <definedName name="____SP038">NA()</definedName>
    <definedName name="____SP039">NA()</definedName>
    <definedName name="____SP040">NA()</definedName>
    <definedName name="____SP041">NA()</definedName>
    <definedName name="____SP042">NA()</definedName>
    <definedName name="____SP043">NA()</definedName>
    <definedName name="____SP044">NA()</definedName>
    <definedName name="____SP045">NA()</definedName>
    <definedName name="____SP046">NA()</definedName>
    <definedName name="____SP047">NA()</definedName>
    <definedName name="____SP048">NA()</definedName>
    <definedName name="____SP049">NA()</definedName>
    <definedName name="____SP050">NA()</definedName>
    <definedName name="____SP051">NA()</definedName>
    <definedName name="____SP052">NA()</definedName>
    <definedName name="____SP053">NA()</definedName>
    <definedName name="____SP054">NA()</definedName>
    <definedName name="____SP055">NA()</definedName>
    <definedName name="____SP056">NA()</definedName>
    <definedName name="____SP057">NA()</definedName>
    <definedName name="____SP058">NA()</definedName>
    <definedName name="____SP059">NA()</definedName>
    <definedName name="____SP060">NA()</definedName>
    <definedName name="____SP061">NA()</definedName>
    <definedName name="____SP062">NA()</definedName>
    <definedName name="____SP063">NA()</definedName>
    <definedName name="____SP064">NA()</definedName>
    <definedName name="____SP065">NA()</definedName>
    <definedName name="____SP066">NA()</definedName>
    <definedName name="____SP067">NA()</definedName>
    <definedName name="____SP068">NA()</definedName>
    <definedName name="____SP069">NA()</definedName>
    <definedName name="____SP070">NA()</definedName>
    <definedName name="____sp071">NA()</definedName>
    <definedName name="____SP072">NA()</definedName>
    <definedName name="____SP073">NA()</definedName>
    <definedName name="____SP074">NA()</definedName>
    <definedName name="____SP075">NA()</definedName>
    <definedName name="____SP076">NA()</definedName>
    <definedName name="____SP077">NA()</definedName>
    <definedName name="____sp078">NA()</definedName>
    <definedName name="____SP10">[13]Sheet1!$C$18</definedName>
    <definedName name="____SP16">[13]Sheet1!$C$24</definedName>
    <definedName name="____SP7">[13]Sheet1!$C$15</definedName>
    <definedName name="____SPO79">NA()</definedName>
    <definedName name="____ss12">[8]rdamdata!$J$8</definedName>
    <definedName name="____ss20">[8]rdamdata!$J$7</definedName>
    <definedName name="____ss40">[8]rdamdata!$J$6</definedName>
    <definedName name="____var1" localSheetId="11">NA()</definedName>
    <definedName name="____var1" localSheetId="12">NA()</definedName>
    <definedName name="____var1" localSheetId="0">#REF!</definedName>
    <definedName name="____var1">#REF!</definedName>
    <definedName name="____var4" localSheetId="11">NA()</definedName>
    <definedName name="____var4" localSheetId="12">NA()</definedName>
    <definedName name="____var4" localSheetId="0">#REF!</definedName>
    <definedName name="____var4">#REF!</definedName>
    <definedName name="____vat1">NA()</definedName>
    <definedName name="____vat2">NA()</definedName>
    <definedName name="____xh2256">[20]HDPE!$L$30</definedName>
    <definedName name="____xh2506">[20]HDPE!$M$30</definedName>
    <definedName name="____xh2806">[20]HDPE!$N$30</definedName>
    <definedName name="____xh3156">[20]HDPE!$O$30</definedName>
    <definedName name="____xh634">[20]HDPE!$C$16</definedName>
    <definedName name="____xk7100">[20]DI!$C$37</definedName>
    <definedName name="____xk7150">[20]DI!$D$37</definedName>
    <definedName name="____xk7250">[20]DI!$F$37</definedName>
    <definedName name="____xk7300">[20]DI!$G$37</definedName>
    <definedName name="____xlnm_Print_Titles_1">NA()</definedName>
    <definedName name="____xp11010">[20]pvc!$F$61</definedName>
    <definedName name="____xp1104">[20]pvc!$F$31</definedName>
    <definedName name="____xp1106">[20]pvc!$F$46</definedName>
    <definedName name="____xp1254">[20]pvc!$G$31</definedName>
    <definedName name="____xp1256">[20]pvc!$G$46</definedName>
    <definedName name="____xp14010">[20]pvc!$H$61</definedName>
    <definedName name="____xp1404">[20]pvc!$H$31</definedName>
    <definedName name="____xp1406">[20]pvc!$H$46</definedName>
    <definedName name="____xp1604">[20]pvc!$I$31</definedName>
    <definedName name="____xp1606">[20]pvc!$I$46</definedName>
    <definedName name="____xp1804">[20]pvc!$J$31</definedName>
    <definedName name="____xp1806">[20]pvc!$J$46</definedName>
    <definedName name="____xp2006">[20]pvc!$K$46</definedName>
    <definedName name="____xp6310">[20]pvc!$C$61</definedName>
    <definedName name="____xp636">[20]pvc!$C$46</definedName>
    <definedName name="____xp7510">[20]pvc!$D$61</definedName>
    <definedName name="____xp754">[20]pvc!$D$31</definedName>
    <definedName name="____xp756">[20]pvc!$D$46</definedName>
    <definedName name="____xp9010">[20]pvc!$E$61</definedName>
    <definedName name="____xp904">[20]pvc!$E$31</definedName>
    <definedName name="____xp906">[20]pvc!$E$46</definedName>
    <definedName name="___bla1">[1]leads!$H$7</definedName>
    <definedName name="___BSG100" localSheetId="11">NA()</definedName>
    <definedName name="___BSG100" localSheetId="12">NA()</definedName>
    <definedName name="___BSG100" localSheetId="0">#REF!</definedName>
    <definedName name="___BSG100">#REF!</definedName>
    <definedName name="___BSG150" localSheetId="11">NA()</definedName>
    <definedName name="___BSG150" localSheetId="12">NA()</definedName>
    <definedName name="___BSG150" localSheetId="0">#REF!</definedName>
    <definedName name="___BSG150">#REF!</definedName>
    <definedName name="___BSG5" localSheetId="11">NA()</definedName>
    <definedName name="___BSG5" localSheetId="12">NA()</definedName>
    <definedName name="___BSG5" localSheetId="0">#REF!</definedName>
    <definedName name="___BSG5">#REF!</definedName>
    <definedName name="___BSG75" localSheetId="11">NA()</definedName>
    <definedName name="___BSG75" localSheetId="12">NA()</definedName>
    <definedName name="___BSG75" localSheetId="0">#REF!</definedName>
    <definedName name="___BSG75">#REF!</definedName>
    <definedName name="___BTC1" localSheetId="11">NA()</definedName>
    <definedName name="___BTC1" localSheetId="12">NA()</definedName>
    <definedName name="___BTC1" localSheetId="0">#REF!</definedName>
    <definedName name="___BTC1">#REF!</definedName>
    <definedName name="___BTC10" localSheetId="11">NA()</definedName>
    <definedName name="___BTC10" localSheetId="12">NA()</definedName>
    <definedName name="___BTC10" localSheetId="0">#REF!</definedName>
    <definedName name="___BTC10">#REF!</definedName>
    <definedName name="___BTC11" localSheetId="11">NA()</definedName>
    <definedName name="___BTC11" localSheetId="12">NA()</definedName>
    <definedName name="___BTC11" localSheetId="0">#REF!</definedName>
    <definedName name="___BTC11">#REF!</definedName>
    <definedName name="___BTC12" localSheetId="11">NA()</definedName>
    <definedName name="___BTC12" localSheetId="12">NA()</definedName>
    <definedName name="___BTC12" localSheetId="0">#REF!</definedName>
    <definedName name="___BTC12">#REF!</definedName>
    <definedName name="___BTC13" localSheetId="11">NA()</definedName>
    <definedName name="___BTC13" localSheetId="12">NA()</definedName>
    <definedName name="___BTC13" localSheetId="0">#REF!</definedName>
    <definedName name="___BTC13">#REF!</definedName>
    <definedName name="___BTC14" localSheetId="11">NA()</definedName>
    <definedName name="___BTC14" localSheetId="12">NA()</definedName>
    <definedName name="___BTC14" localSheetId="0">#REF!</definedName>
    <definedName name="___BTC14">#REF!</definedName>
    <definedName name="___BTC15" localSheetId="11">NA()</definedName>
    <definedName name="___BTC15" localSheetId="12">NA()</definedName>
    <definedName name="___BTC15" localSheetId="0">#REF!</definedName>
    <definedName name="___BTC15">#REF!</definedName>
    <definedName name="___BTC16" localSheetId="11">NA()</definedName>
    <definedName name="___BTC16" localSheetId="12">NA()</definedName>
    <definedName name="___BTC16" localSheetId="0">#REF!</definedName>
    <definedName name="___BTC16">#REF!</definedName>
    <definedName name="___BTC17" localSheetId="11">NA()</definedName>
    <definedName name="___BTC17" localSheetId="12">NA()</definedName>
    <definedName name="___BTC17" localSheetId="0">#REF!</definedName>
    <definedName name="___BTC17">#REF!</definedName>
    <definedName name="___BTC18" localSheetId="11">NA()</definedName>
    <definedName name="___BTC18" localSheetId="12">NA()</definedName>
    <definedName name="___BTC18" localSheetId="0">#REF!</definedName>
    <definedName name="___BTC18">#REF!</definedName>
    <definedName name="___BTC19" localSheetId="11">NA()</definedName>
    <definedName name="___BTC19" localSheetId="12">NA()</definedName>
    <definedName name="___BTC19" localSheetId="0">#REF!</definedName>
    <definedName name="___BTC19">#REF!</definedName>
    <definedName name="___BTC2" localSheetId="11">NA()</definedName>
    <definedName name="___BTC2" localSheetId="12">NA()</definedName>
    <definedName name="___BTC2" localSheetId="0">#REF!</definedName>
    <definedName name="___BTC2">#REF!</definedName>
    <definedName name="___BTC20" localSheetId="11">NA()</definedName>
    <definedName name="___BTC20" localSheetId="12">NA()</definedName>
    <definedName name="___BTC20" localSheetId="0">#REF!</definedName>
    <definedName name="___BTC20">#REF!</definedName>
    <definedName name="___BTC21" localSheetId="11">NA()</definedName>
    <definedName name="___BTC21" localSheetId="12">NA()</definedName>
    <definedName name="___BTC21" localSheetId="0">#REF!</definedName>
    <definedName name="___BTC21">#REF!</definedName>
    <definedName name="___BTC22" localSheetId="11">NA()</definedName>
    <definedName name="___BTC22" localSheetId="12">NA()</definedName>
    <definedName name="___BTC22" localSheetId="0">#REF!</definedName>
    <definedName name="___BTC22">#REF!</definedName>
    <definedName name="___BTC23" localSheetId="11">NA()</definedName>
    <definedName name="___BTC23" localSheetId="12">NA()</definedName>
    <definedName name="___BTC23" localSheetId="0">#REF!</definedName>
    <definedName name="___BTC23">#REF!</definedName>
    <definedName name="___BTC24" localSheetId="11">NA()</definedName>
    <definedName name="___BTC24" localSheetId="12">NA()</definedName>
    <definedName name="___BTC24" localSheetId="0">#REF!</definedName>
    <definedName name="___BTC24">#REF!</definedName>
    <definedName name="___BTC3" localSheetId="11">NA()</definedName>
    <definedName name="___BTC3" localSheetId="12">NA()</definedName>
    <definedName name="___BTC3" localSheetId="0">#REF!</definedName>
    <definedName name="___BTC3">#REF!</definedName>
    <definedName name="___BTC4" localSheetId="11">NA()</definedName>
    <definedName name="___BTC4" localSheetId="12">NA()</definedName>
    <definedName name="___BTC4" localSheetId="0">#REF!</definedName>
    <definedName name="___BTC4">#REF!</definedName>
    <definedName name="___BTC5" localSheetId="11">NA()</definedName>
    <definedName name="___BTC5" localSheetId="12">NA()</definedName>
    <definedName name="___BTC5" localSheetId="0">#REF!</definedName>
    <definedName name="___BTC5">#REF!</definedName>
    <definedName name="___BTC6" localSheetId="11">NA()</definedName>
    <definedName name="___BTC6" localSheetId="12">NA()</definedName>
    <definedName name="___BTC6" localSheetId="0">#REF!</definedName>
    <definedName name="___BTC6">#REF!</definedName>
    <definedName name="___BTC7" localSheetId="11">NA()</definedName>
    <definedName name="___BTC7" localSheetId="12">NA()</definedName>
    <definedName name="___BTC7" localSheetId="0">#REF!</definedName>
    <definedName name="___BTC7">#REF!</definedName>
    <definedName name="___BTC8" localSheetId="11">NA()</definedName>
    <definedName name="___BTC8" localSheetId="12">NA()</definedName>
    <definedName name="___BTC8" localSheetId="0">#REF!</definedName>
    <definedName name="___BTC8">#REF!</definedName>
    <definedName name="___BTC9" localSheetId="11">NA()</definedName>
    <definedName name="___BTC9" localSheetId="12">NA()</definedName>
    <definedName name="___BTC9" localSheetId="0">#REF!</definedName>
    <definedName name="___BTC9">#REF!</definedName>
    <definedName name="___BTR1" localSheetId="11">NA()</definedName>
    <definedName name="___BTR1" localSheetId="12">NA()</definedName>
    <definedName name="___BTR1" localSheetId="0">#REF!</definedName>
    <definedName name="___BTR1">#REF!</definedName>
    <definedName name="___BTR10" localSheetId="11">NA()</definedName>
    <definedName name="___BTR10" localSheetId="12">NA()</definedName>
    <definedName name="___BTR10" localSheetId="0">#REF!</definedName>
    <definedName name="___BTR10">#REF!</definedName>
    <definedName name="___BTR11" localSheetId="11">NA()</definedName>
    <definedName name="___BTR11" localSheetId="12">NA()</definedName>
    <definedName name="___BTR11" localSheetId="0">#REF!</definedName>
    <definedName name="___BTR11">#REF!</definedName>
    <definedName name="___BTR12" localSheetId="11">NA()</definedName>
    <definedName name="___BTR12" localSheetId="12">NA()</definedName>
    <definedName name="___BTR12" localSheetId="0">#REF!</definedName>
    <definedName name="___BTR12">#REF!</definedName>
    <definedName name="___BTR13" localSheetId="11">NA()</definedName>
    <definedName name="___BTR13" localSheetId="12">NA()</definedName>
    <definedName name="___BTR13" localSheetId="0">#REF!</definedName>
    <definedName name="___BTR13">#REF!</definedName>
    <definedName name="___BTR14" localSheetId="11">NA()</definedName>
    <definedName name="___BTR14" localSheetId="12">NA()</definedName>
    <definedName name="___BTR14" localSheetId="0">#REF!</definedName>
    <definedName name="___BTR14">#REF!</definedName>
    <definedName name="___BTR15" localSheetId="11">NA()</definedName>
    <definedName name="___BTR15" localSheetId="12">NA()</definedName>
    <definedName name="___BTR15" localSheetId="0">#REF!</definedName>
    <definedName name="___BTR15">#REF!</definedName>
    <definedName name="___BTR16" localSheetId="11">NA()</definedName>
    <definedName name="___BTR16" localSheetId="12">NA()</definedName>
    <definedName name="___BTR16" localSheetId="0">#REF!</definedName>
    <definedName name="___BTR16">#REF!</definedName>
    <definedName name="___BTR17" localSheetId="11">NA()</definedName>
    <definedName name="___BTR17" localSheetId="12">NA()</definedName>
    <definedName name="___BTR17" localSheetId="0">#REF!</definedName>
    <definedName name="___BTR17">#REF!</definedName>
    <definedName name="___BTR18" localSheetId="11">NA()</definedName>
    <definedName name="___BTR18" localSheetId="12">NA()</definedName>
    <definedName name="___BTR18" localSheetId="0">#REF!</definedName>
    <definedName name="___BTR18">#REF!</definedName>
    <definedName name="___BTR19" localSheetId="11">NA()</definedName>
    <definedName name="___BTR19" localSheetId="12">NA()</definedName>
    <definedName name="___BTR19" localSheetId="0">#REF!</definedName>
    <definedName name="___BTR19">#REF!</definedName>
    <definedName name="___BTR2" localSheetId="11">NA()</definedName>
    <definedName name="___BTR2" localSheetId="12">NA()</definedName>
    <definedName name="___BTR2" localSheetId="0">#REF!</definedName>
    <definedName name="___BTR2">#REF!</definedName>
    <definedName name="___BTR20" localSheetId="11">NA()</definedName>
    <definedName name="___BTR20" localSheetId="12">NA()</definedName>
    <definedName name="___BTR20" localSheetId="0">#REF!</definedName>
    <definedName name="___BTR20">#REF!</definedName>
    <definedName name="___BTR21" localSheetId="11">NA()</definedName>
    <definedName name="___BTR21" localSheetId="12">NA()</definedName>
    <definedName name="___BTR21" localSheetId="0">#REF!</definedName>
    <definedName name="___BTR21">#REF!</definedName>
    <definedName name="___BTR22" localSheetId="11">NA()</definedName>
    <definedName name="___BTR22" localSheetId="12">NA()</definedName>
    <definedName name="___BTR22" localSheetId="0">#REF!</definedName>
    <definedName name="___BTR22">#REF!</definedName>
    <definedName name="___BTR23" localSheetId="11">NA()</definedName>
    <definedName name="___BTR23" localSheetId="12">NA()</definedName>
    <definedName name="___BTR23" localSheetId="0">#REF!</definedName>
    <definedName name="___BTR23">#REF!</definedName>
    <definedName name="___BTR24" localSheetId="11">NA()</definedName>
    <definedName name="___BTR24" localSheetId="12">NA()</definedName>
    <definedName name="___BTR24" localSheetId="0">#REF!</definedName>
    <definedName name="___BTR24">#REF!</definedName>
    <definedName name="___BTR3" localSheetId="11">NA()</definedName>
    <definedName name="___BTR3" localSheetId="12">NA()</definedName>
    <definedName name="___BTR3" localSheetId="0">#REF!</definedName>
    <definedName name="___BTR3">#REF!</definedName>
    <definedName name="___BTR4" localSheetId="11">NA()</definedName>
    <definedName name="___BTR4" localSheetId="12">NA()</definedName>
    <definedName name="___BTR4" localSheetId="0">#REF!</definedName>
    <definedName name="___BTR4">#REF!</definedName>
    <definedName name="___BTR5" localSheetId="11">NA()</definedName>
    <definedName name="___BTR5" localSheetId="12">NA()</definedName>
    <definedName name="___BTR5" localSheetId="0">#REF!</definedName>
    <definedName name="___BTR5">#REF!</definedName>
    <definedName name="___BTR6" localSheetId="11">NA()</definedName>
    <definedName name="___BTR6" localSheetId="12">NA()</definedName>
    <definedName name="___BTR6" localSheetId="0">#REF!</definedName>
    <definedName name="___BTR6">#REF!</definedName>
    <definedName name="___BTR7" localSheetId="11">NA()</definedName>
    <definedName name="___BTR7" localSheetId="12">NA()</definedName>
    <definedName name="___BTR7" localSheetId="0">#REF!</definedName>
    <definedName name="___BTR7">#REF!</definedName>
    <definedName name="___BTR8" localSheetId="11">NA()</definedName>
    <definedName name="___BTR8" localSheetId="12">NA()</definedName>
    <definedName name="___BTR8" localSheetId="0">#REF!</definedName>
    <definedName name="___BTR8">#REF!</definedName>
    <definedName name="___BTR9" localSheetId="11">NA()</definedName>
    <definedName name="___BTR9" localSheetId="12">NA()</definedName>
    <definedName name="___BTR9" localSheetId="0">#REF!</definedName>
    <definedName name="___BTR9">#REF!</definedName>
    <definedName name="___BTS1" localSheetId="11">NA()</definedName>
    <definedName name="___BTS1" localSheetId="12">NA()</definedName>
    <definedName name="___BTS1" localSheetId="0">#REF!</definedName>
    <definedName name="___BTS1">#REF!</definedName>
    <definedName name="___BTS10" localSheetId="11">NA()</definedName>
    <definedName name="___BTS10" localSheetId="12">NA()</definedName>
    <definedName name="___BTS10" localSheetId="0">#REF!</definedName>
    <definedName name="___BTS10">#REF!</definedName>
    <definedName name="___BTS11" localSheetId="11">NA()</definedName>
    <definedName name="___BTS11" localSheetId="12">NA()</definedName>
    <definedName name="___BTS11" localSheetId="0">#REF!</definedName>
    <definedName name="___BTS11">#REF!</definedName>
    <definedName name="___BTS12" localSheetId="11">NA()</definedName>
    <definedName name="___BTS12" localSheetId="12">NA()</definedName>
    <definedName name="___BTS12" localSheetId="0">#REF!</definedName>
    <definedName name="___BTS12">#REF!</definedName>
    <definedName name="___BTS13" localSheetId="11">NA()</definedName>
    <definedName name="___BTS13" localSheetId="12">NA()</definedName>
    <definedName name="___BTS13" localSheetId="0">#REF!</definedName>
    <definedName name="___BTS13">#REF!</definedName>
    <definedName name="___BTS14" localSheetId="11">NA()</definedName>
    <definedName name="___BTS14" localSheetId="12">NA()</definedName>
    <definedName name="___BTS14" localSheetId="0">#REF!</definedName>
    <definedName name="___BTS14">#REF!</definedName>
    <definedName name="___BTS15" localSheetId="11">NA()</definedName>
    <definedName name="___BTS15" localSheetId="12">NA()</definedName>
    <definedName name="___BTS15" localSheetId="0">#REF!</definedName>
    <definedName name="___BTS15">#REF!</definedName>
    <definedName name="___BTS16" localSheetId="11">NA()</definedName>
    <definedName name="___BTS16" localSheetId="12">NA()</definedName>
    <definedName name="___BTS16" localSheetId="0">#REF!</definedName>
    <definedName name="___BTS16">#REF!</definedName>
    <definedName name="___BTS17" localSheetId="11">NA()</definedName>
    <definedName name="___BTS17" localSheetId="12">NA()</definedName>
    <definedName name="___BTS17" localSheetId="0">#REF!</definedName>
    <definedName name="___BTS17">#REF!</definedName>
    <definedName name="___BTS18" localSheetId="11">NA()</definedName>
    <definedName name="___BTS18" localSheetId="12">NA()</definedName>
    <definedName name="___BTS18" localSheetId="0">#REF!</definedName>
    <definedName name="___BTS18">#REF!</definedName>
    <definedName name="___BTS19" localSheetId="11">NA()</definedName>
    <definedName name="___BTS19" localSheetId="12">NA()</definedName>
    <definedName name="___BTS19" localSheetId="0">#REF!</definedName>
    <definedName name="___BTS19">#REF!</definedName>
    <definedName name="___BTS2" localSheetId="11">NA()</definedName>
    <definedName name="___BTS2" localSheetId="12">NA()</definedName>
    <definedName name="___BTS2" localSheetId="0">#REF!</definedName>
    <definedName name="___BTS2">#REF!</definedName>
    <definedName name="___BTS20" localSheetId="11">NA()</definedName>
    <definedName name="___BTS20" localSheetId="12">NA()</definedName>
    <definedName name="___BTS20" localSheetId="0">#REF!</definedName>
    <definedName name="___BTS20">#REF!</definedName>
    <definedName name="___BTS21" localSheetId="11">NA()</definedName>
    <definedName name="___BTS21" localSheetId="12">NA()</definedName>
    <definedName name="___BTS21" localSheetId="0">#REF!</definedName>
    <definedName name="___BTS21">#REF!</definedName>
    <definedName name="___BTS22" localSheetId="11">NA()</definedName>
    <definedName name="___BTS22" localSheetId="12">NA()</definedName>
    <definedName name="___BTS22" localSheetId="0">#REF!</definedName>
    <definedName name="___BTS22">#REF!</definedName>
    <definedName name="___BTS23" localSheetId="11">NA()</definedName>
    <definedName name="___BTS23" localSheetId="12">NA()</definedName>
    <definedName name="___BTS23" localSheetId="0">#REF!</definedName>
    <definedName name="___BTS23">#REF!</definedName>
    <definedName name="___BTS24" localSheetId="11">NA()</definedName>
    <definedName name="___BTS24" localSheetId="12">NA()</definedName>
    <definedName name="___BTS24" localSheetId="0">#REF!</definedName>
    <definedName name="___BTS24">#REF!</definedName>
    <definedName name="___BTS3" localSheetId="11">NA()</definedName>
    <definedName name="___BTS3" localSheetId="12">NA()</definedName>
    <definedName name="___BTS3" localSheetId="0">#REF!</definedName>
    <definedName name="___BTS3">#REF!</definedName>
    <definedName name="___BTS4" localSheetId="11">NA()</definedName>
    <definedName name="___BTS4" localSheetId="12">NA()</definedName>
    <definedName name="___BTS4" localSheetId="0">#REF!</definedName>
    <definedName name="___BTS4">#REF!</definedName>
    <definedName name="___BTS5" localSheetId="11">NA()</definedName>
    <definedName name="___BTS5" localSheetId="12">NA()</definedName>
    <definedName name="___BTS5" localSheetId="0">#REF!</definedName>
    <definedName name="___BTS5">#REF!</definedName>
    <definedName name="___BTS6" localSheetId="11">NA()</definedName>
    <definedName name="___BTS6" localSheetId="12">NA()</definedName>
    <definedName name="___BTS6" localSheetId="0">#REF!</definedName>
    <definedName name="___BTS6">#REF!</definedName>
    <definedName name="___BTS7" localSheetId="11">NA()</definedName>
    <definedName name="___BTS7" localSheetId="12">NA()</definedName>
    <definedName name="___BTS7" localSheetId="0">#REF!</definedName>
    <definedName name="___BTS7">#REF!</definedName>
    <definedName name="___BTS8" localSheetId="11">NA()</definedName>
    <definedName name="___BTS8" localSheetId="12">NA()</definedName>
    <definedName name="___BTS8" localSheetId="0">#REF!</definedName>
    <definedName name="___BTS8">#REF!</definedName>
    <definedName name="___BTS9" localSheetId="11">NA()</definedName>
    <definedName name="___BTS9" localSheetId="12">NA()</definedName>
    <definedName name="___BTS9" localSheetId="0">#REF!</definedName>
    <definedName name="___BTS9">#REF!</definedName>
    <definedName name="___can430">40.73</definedName>
    <definedName name="___can435">43.3</definedName>
    <definedName name="___cbr1">NA()</definedName>
    <definedName name="___cbr2">NA()</definedName>
    <definedName name="___cbr3">NA()</definedName>
    <definedName name="___cbr4">NA()</definedName>
    <definedName name="___CCW1">[9]DATA!$H$67</definedName>
    <definedName name="___CCW2">[9]DATA!$H$97</definedName>
    <definedName name="___cem1">NA()</definedName>
    <definedName name="___cur1">[2]r!$F$30</definedName>
    <definedName name="___df3">NA()</definedName>
    <definedName name="___er1" localSheetId="11">NA()</definedName>
    <definedName name="___er1" localSheetId="12">NA()</definedName>
    <definedName name="___er1" localSheetId="0">#REF!</definedName>
    <definedName name="___er1">#REF!</definedName>
    <definedName name="___ewe1">NA()</definedName>
    <definedName name="___f1">NA()</definedName>
    <definedName name="___G120907" localSheetId="11">"[42]data!#ref!"</definedName>
    <definedName name="___G120907" localSheetId="12">"[42]data!#ref!"</definedName>
    <definedName name="___G120907" localSheetId="0">[25]Data!#REF!</definedName>
    <definedName name="___G120907">[25]Data!#REF!</definedName>
    <definedName name="___GBS11">NA()</definedName>
    <definedName name="___GBS110" localSheetId="11">NA()</definedName>
    <definedName name="___GBS110" localSheetId="12">NA()</definedName>
    <definedName name="___GBS110" localSheetId="0">#REF!</definedName>
    <definedName name="___GBS110">#REF!</definedName>
    <definedName name="___GBS111" localSheetId="11">NA()</definedName>
    <definedName name="___GBS111" localSheetId="12">NA()</definedName>
    <definedName name="___GBS111" localSheetId="0">#REF!</definedName>
    <definedName name="___GBS111">#REF!</definedName>
    <definedName name="___GBS112" localSheetId="11">NA()</definedName>
    <definedName name="___GBS112" localSheetId="12">NA()</definedName>
    <definedName name="___GBS112" localSheetId="0">#REF!</definedName>
    <definedName name="___GBS112">#REF!</definedName>
    <definedName name="___GBS113" localSheetId="11">NA()</definedName>
    <definedName name="___GBS113" localSheetId="12">NA()</definedName>
    <definedName name="___GBS113" localSheetId="0">#REF!</definedName>
    <definedName name="___GBS113">#REF!</definedName>
    <definedName name="___GBS114" localSheetId="11">NA()</definedName>
    <definedName name="___GBS114" localSheetId="12">NA()</definedName>
    <definedName name="___GBS114" localSheetId="0">#REF!</definedName>
    <definedName name="___GBS114">#REF!</definedName>
    <definedName name="___GBS115" localSheetId="11">NA()</definedName>
    <definedName name="___GBS115" localSheetId="12">NA()</definedName>
    <definedName name="___GBS115" localSheetId="0">#REF!</definedName>
    <definedName name="___GBS115">#REF!</definedName>
    <definedName name="___GBS116" localSheetId="11">NA()</definedName>
    <definedName name="___GBS116" localSheetId="12">NA()</definedName>
    <definedName name="___GBS116" localSheetId="0">#REF!</definedName>
    <definedName name="___GBS116">#REF!</definedName>
    <definedName name="___GBS117" localSheetId="11">NA()</definedName>
    <definedName name="___GBS117" localSheetId="12">NA()</definedName>
    <definedName name="___GBS117" localSheetId="0">#REF!</definedName>
    <definedName name="___GBS117">#REF!</definedName>
    <definedName name="___GBS118" localSheetId="11">NA()</definedName>
    <definedName name="___GBS118" localSheetId="12">NA()</definedName>
    <definedName name="___GBS118" localSheetId="0">#REF!</definedName>
    <definedName name="___GBS118">#REF!</definedName>
    <definedName name="___GBS119" localSheetId="11">NA()</definedName>
    <definedName name="___GBS119" localSheetId="12">NA()</definedName>
    <definedName name="___GBS119" localSheetId="0">#REF!</definedName>
    <definedName name="___GBS119">#REF!</definedName>
    <definedName name="___GBS12" localSheetId="11">NA()</definedName>
    <definedName name="___GBS12" localSheetId="12">NA()</definedName>
    <definedName name="___GBS12" localSheetId="0">#REF!</definedName>
    <definedName name="___GBS12">#REF!</definedName>
    <definedName name="___GBS120" localSheetId="11">NA()</definedName>
    <definedName name="___GBS120" localSheetId="12">NA()</definedName>
    <definedName name="___GBS120" localSheetId="0">#REF!</definedName>
    <definedName name="___GBS120">#REF!</definedName>
    <definedName name="___GBS121" localSheetId="11">NA()</definedName>
    <definedName name="___GBS121" localSheetId="12">NA()</definedName>
    <definedName name="___GBS121" localSheetId="0">#REF!</definedName>
    <definedName name="___GBS121">#REF!</definedName>
    <definedName name="___GBS122" localSheetId="11">NA()</definedName>
    <definedName name="___GBS122" localSheetId="12">NA()</definedName>
    <definedName name="___GBS122" localSheetId="0">#REF!</definedName>
    <definedName name="___GBS122">#REF!</definedName>
    <definedName name="___GBS123" localSheetId="11">NA()</definedName>
    <definedName name="___GBS123" localSheetId="12">NA()</definedName>
    <definedName name="___GBS123" localSheetId="0">#REF!</definedName>
    <definedName name="___GBS123">#REF!</definedName>
    <definedName name="___GBS124" localSheetId="11">NA()</definedName>
    <definedName name="___GBS124" localSheetId="12">NA()</definedName>
    <definedName name="___GBS124" localSheetId="0">#REF!</definedName>
    <definedName name="___GBS124">#REF!</definedName>
    <definedName name="___GBS13" localSheetId="11">NA()</definedName>
    <definedName name="___GBS13" localSheetId="12">NA()</definedName>
    <definedName name="___GBS13" localSheetId="0">#REF!</definedName>
    <definedName name="___GBS13">#REF!</definedName>
    <definedName name="___GBS14" localSheetId="11">NA()</definedName>
    <definedName name="___GBS14" localSheetId="12">NA()</definedName>
    <definedName name="___GBS14" localSheetId="0">#REF!</definedName>
    <definedName name="___GBS14">#REF!</definedName>
    <definedName name="___GBS15" localSheetId="11">NA()</definedName>
    <definedName name="___GBS15" localSheetId="12">NA()</definedName>
    <definedName name="___GBS15" localSheetId="0">#REF!</definedName>
    <definedName name="___GBS15">#REF!</definedName>
    <definedName name="___GBS16" localSheetId="11">NA()</definedName>
    <definedName name="___GBS16" localSheetId="12">NA()</definedName>
    <definedName name="___GBS16" localSheetId="0">#REF!</definedName>
    <definedName name="___GBS16">#REF!</definedName>
    <definedName name="___GBS17" localSheetId="11">NA()</definedName>
    <definedName name="___GBS17" localSheetId="12">NA()</definedName>
    <definedName name="___GBS17" localSheetId="0">#REF!</definedName>
    <definedName name="___GBS17">#REF!</definedName>
    <definedName name="___GBS18" localSheetId="11">NA()</definedName>
    <definedName name="___GBS18" localSheetId="12">NA()</definedName>
    <definedName name="___GBS18" localSheetId="0">#REF!</definedName>
    <definedName name="___GBS18">#REF!</definedName>
    <definedName name="___GBS19" localSheetId="11">NA()</definedName>
    <definedName name="___GBS19" localSheetId="12">NA()</definedName>
    <definedName name="___GBS19" localSheetId="0">#REF!</definedName>
    <definedName name="___GBS19">#REF!</definedName>
    <definedName name="___GBS21" localSheetId="11">NA()</definedName>
    <definedName name="___GBS21" localSheetId="12">NA()</definedName>
    <definedName name="___GBS21" localSheetId="0">#REF!</definedName>
    <definedName name="___GBS21">#REF!</definedName>
    <definedName name="___GBS210" localSheetId="11">NA()</definedName>
    <definedName name="___GBS210" localSheetId="12">NA()</definedName>
    <definedName name="___GBS210" localSheetId="0">#REF!</definedName>
    <definedName name="___GBS210">#REF!</definedName>
    <definedName name="___GBS211" localSheetId="11">NA()</definedName>
    <definedName name="___GBS211" localSheetId="12">NA()</definedName>
    <definedName name="___GBS211" localSheetId="0">#REF!</definedName>
    <definedName name="___GBS211">#REF!</definedName>
    <definedName name="___GBS212" localSheetId="11">NA()</definedName>
    <definedName name="___GBS212" localSheetId="12">NA()</definedName>
    <definedName name="___GBS212" localSheetId="0">#REF!</definedName>
    <definedName name="___GBS212">#REF!</definedName>
    <definedName name="___GBS213" localSheetId="11">NA()</definedName>
    <definedName name="___GBS213" localSheetId="12">NA()</definedName>
    <definedName name="___GBS213" localSheetId="0">#REF!</definedName>
    <definedName name="___GBS213">#REF!</definedName>
    <definedName name="___GBS214" localSheetId="11">NA()</definedName>
    <definedName name="___GBS214" localSheetId="12">NA()</definedName>
    <definedName name="___GBS214" localSheetId="0">#REF!</definedName>
    <definedName name="___GBS214">#REF!</definedName>
    <definedName name="___GBS215" localSheetId="11">NA()</definedName>
    <definedName name="___GBS215" localSheetId="12">NA()</definedName>
    <definedName name="___GBS215" localSheetId="0">#REF!</definedName>
    <definedName name="___GBS215">#REF!</definedName>
    <definedName name="___GBS216" localSheetId="11">NA()</definedName>
    <definedName name="___GBS216" localSheetId="12">NA()</definedName>
    <definedName name="___GBS216" localSheetId="0">#REF!</definedName>
    <definedName name="___GBS216">#REF!</definedName>
    <definedName name="___GBS217" localSheetId="11">NA()</definedName>
    <definedName name="___GBS217" localSheetId="12">NA()</definedName>
    <definedName name="___GBS217" localSheetId="0">#REF!</definedName>
    <definedName name="___GBS217">#REF!</definedName>
    <definedName name="___GBS218" localSheetId="11">NA()</definedName>
    <definedName name="___GBS218" localSheetId="12">NA()</definedName>
    <definedName name="___GBS218" localSheetId="0">#REF!</definedName>
    <definedName name="___GBS218">#REF!</definedName>
    <definedName name="___GBS219" localSheetId="11">NA()</definedName>
    <definedName name="___GBS219" localSheetId="12">NA()</definedName>
    <definedName name="___GBS219" localSheetId="0">#REF!</definedName>
    <definedName name="___GBS219">#REF!</definedName>
    <definedName name="___GBS22" localSheetId="11">NA()</definedName>
    <definedName name="___GBS22" localSheetId="12">NA()</definedName>
    <definedName name="___GBS22" localSheetId="0">#REF!</definedName>
    <definedName name="___GBS22">#REF!</definedName>
    <definedName name="___GBS220" localSheetId="11">NA()</definedName>
    <definedName name="___GBS220" localSheetId="12">NA()</definedName>
    <definedName name="___GBS220" localSheetId="0">#REF!</definedName>
    <definedName name="___GBS220">#REF!</definedName>
    <definedName name="___GBS221" localSheetId="11">NA()</definedName>
    <definedName name="___GBS221" localSheetId="12">NA()</definedName>
    <definedName name="___GBS221" localSheetId="0">#REF!</definedName>
    <definedName name="___GBS221">#REF!</definedName>
    <definedName name="___GBS222" localSheetId="11">NA()</definedName>
    <definedName name="___GBS222" localSheetId="12">NA()</definedName>
    <definedName name="___GBS222" localSheetId="0">#REF!</definedName>
    <definedName name="___GBS222">#REF!</definedName>
    <definedName name="___GBS223" localSheetId="11">NA()</definedName>
    <definedName name="___GBS223" localSheetId="12">NA()</definedName>
    <definedName name="___GBS223" localSheetId="0">#REF!</definedName>
    <definedName name="___GBS223">#REF!</definedName>
    <definedName name="___GBS224" localSheetId="11">NA()</definedName>
    <definedName name="___GBS224" localSheetId="12">NA()</definedName>
    <definedName name="___GBS224" localSheetId="0">#REF!</definedName>
    <definedName name="___GBS224">#REF!</definedName>
    <definedName name="___GBS23" localSheetId="11">NA()</definedName>
    <definedName name="___GBS23" localSheetId="12">NA()</definedName>
    <definedName name="___GBS23" localSheetId="0">#REF!</definedName>
    <definedName name="___GBS23">#REF!</definedName>
    <definedName name="___GBS24" localSheetId="11">NA()</definedName>
    <definedName name="___GBS24" localSheetId="12">NA()</definedName>
    <definedName name="___GBS24" localSheetId="0">#REF!</definedName>
    <definedName name="___GBS24">#REF!</definedName>
    <definedName name="___GBS25" localSheetId="11">NA()</definedName>
    <definedName name="___GBS25" localSheetId="12">NA()</definedName>
    <definedName name="___GBS25" localSheetId="0">#REF!</definedName>
    <definedName name="___GBS25">#REF!</definedName>
    <definedName name="___GBS26" localSheetId="11">NA()</definedName>
    <definedName name="___GBS26" localSheetId="12">NA()</definedName>
    <definedName name="___GBS26" localSheetId="0">#REF!</definedName>
    <definedName name="___GBS26">#REF!</definedName>
    <definedName name="___GBS27" localSheetId="11">NA()</definedName>
    <definedName name="___GBS27" localSheetId="12">NA()</definedName>
    <definedName name="___GBS27" localSheetId="0">#REF!</definedName>
    <definedName name="___GBS27">#REF!</definedName>
    <definedName name="___GBS28" localSheetId="11">NA()</definedName>
    <definedName name="___GBS28" localSheetId="12">NA()</definedName>
    <definedName name="___GBS28" localSheetId="0">#REF!</definedName>
    <definedName name="___GBS28">#REF!</definedName>
    <definedName name="___GBS29" localSheetId="11">NA()</definedName>
    <definedName name="___GBS29" localSheetId="12">NA()</definedName>
    <definedName name="___GBS29" localSheetId="0">#REF!</definedName>
    <definedName name="___GBS29">#REF!</definedName>
    <definedName name="___grp10003">NA()</definedName>
    <definedName name="___grp3503">NA()</definedName>
    <definedName name="___grp4003">NA()</definedName>
    <definedName name="___grp4503">NA()</definedName>
    <definedName name="___grp5003">NA()</definedName>
    <definedName name="___grp6003">NA()</definedName>
    <definedName name="___grp7003">NA()</definedName>
    <definedName name="___grp8003">NA()</definedName>
    <definedName name="___grp9003">NA()</definedName>
    <definedName name="___imp1">[11]DATA_PRG!$H$245</definedName>
    <definedName name="___KC139">NA()</definedName>
    <definedName name="___knr2" localSheetId="11">NA()</definedName>
    <definedName name="___knr2" localSheetId="12">NA()</definedName>
    <definedName name="___knr2" localSheetId="0">#REF!</definedName>
    <definedName name="___knr2">#REF!</definedName>
    <definedName name="___KNR3">NA()</definedName>
    <definedName name="___l1">[3]leads!$A$3:$E$108</definedName>
    <definedName name="___l12" localSheetId="11">NA()</definedName>
    <definedName name="___l12" localSheetId="12">NA()</definedName>
    <definedName name="___l12" localSheetId="0">#REF!</definedName>
    <definedName name="___l12">#REF!</definedName>
    <definedName name="___l2">[2]r!$F$29</definedName>
    <definedName name="___l3" localSheetId="11">NA()</definedName>
    <definedName name="___l3" localSheetId="12">NA()</definedName>
    <definedName name="___l3" localSheetId="0">#REF!</definedName>
    <definedName name="___l3">#REF!</definedName>
    <definedName name="___l4">[4]Sheet1!$W$2:$Y$103</definedName>
    <definedName name="___l5" localSheetId="11">NA()</definedName>
    <definedName name="___l5" localSheetId="12">NA()</definedName>
    <definedName name="___l5" localSheetId="0">#REF!</definedName>
    <definedName name="___l5">#REF!</definedName>
    <definedName name="___l6">[2]r!$F$4</definedName>
    <definedName name="___l7">[5]r!$F$4</definedName>
    <definedName name="___l8">[2]r!$F$2</definedName>
    <definedName name="___l9">[2]r!$F$3</definedName>
    <definedName name="___LJ6">[9]DATA!$H$245</definedName>
    <definedName name="___lj600" localSheetId="11">NA()</definedName>
    <definedName name="___lj600" localSheetId="12">NA()</definedName>
    <definedName name="___lj600" localSheetId="0">#REF!</definedName>
    <definedName name="___lj600">#REF!</definedName>
    <definedName name="___lj900" localSheetId="11">NA()</definedName>
    <definedName name="___lj900" localSheetId="12">NA()</definedName>
    <definedName name="___lj900" localSheetId="0">#REF!</definedName>
    <definedName name="___lj900">#REF!</definedName>
    <definedName name="___LL3" localSheetId="11">NA()</definedName>
    <definedName name="___LL3" localSheetId="12">NA()</definedName>
    <definedName name="___LL3" localSheetId="0">#REF!</definedName>
    <definedName name="___LL3">#REF!</definedName>
    <definedName name="___LSO24">"[14]lead!#ref!"</definedName>
    <definedName name="___MA1">NA()</definedName>
    <definedName name="___ma2">'[26]C-data'!$F$7</definedName>
    <definedName name="___me12" localSheetId="11">NA()</definedName>
    <definedName name="___me12" localSheetId="12">NA()</definedName>
    <definedName name="___me12">'[27]Lead statement'!#REF!</definedName>
    <definedName name="___me15" localSheetId="11">NA()</definedName>
    <definedName name="___me15" localSheetId="12">NA()</definedName>
    <definedName name="___me15">'[28]Lead statement'!#REF!</definedName>
    <definedName name="___Met22">NA()</definedName>
    <definedName name="___Met45">NA()</definedName>
    <definedName name="___MEt55">NA()</definedName>
    <definedName name="___Met63">NA()</definedName>
    <definedName name="___ML21" localSheetId="11">NA()</definedName>
    <definedName name="___ML21" localSheetId="12">NA()</definedName>
    <definedName name="___ML21" localSheetId="0">#REF!</definedName>
    <definedName name="___ML21">#REF!</definedName>
    <definedName name="___ML210" localSheetId="11">NA()</definedName>
    <definedName name="___ML210" localSheetId="12">NA()</definedName>
    <definedName name="___ML210" localSheetId="0">#REF!</definedName>
    <definedName name="___ML210">#REF!</definedName>
    <definedName name="___ML211" localSheetId="11">NA()</definedName>
    <definedName name="___ML211" localSheetId="12">NA()</definedName>
    <definedName name="___ML211" localSheetId="0">#REF!</definedName>
    <definedName name="___ML211">#REF!</definedName>
    <definedName name="___ML212" localSheetId="11">NA()</definedName>
    <definedName name="___ML212" localSheetId="12">NA()</definedName>
    <definedName name="___ML212" localSheetId="0">#REF!</definedName>
    <definedName name="___ML212">#REF!</definedName>
    <definedName name="___ML213" localSheetId="11">NA()</definedName>
    <definedName name="___ML213" localSheetId="12">NA()</definedName>
    <definedName name="___ML213" localSheetId="0">#REF!</definedName>
    <definedName name="___ML213">#REF!</definedName>
    <definedName name="___ML214" localSheetId="11">NA()</definedName>
    <definedName name="___ML214" localSheetId="12">NA()</definedName>
    <definedName name="___ML214" localSheetId="0">#REF!</definedName>
    <definedName name="___ML214">#REF!</definedName>
    <definedName name="___ML215" localSheetId="11">NA()</definedName>
    <definedName name="___ML215" localSheetId="12">NA()</definedName>
    <definedName name="___ML215" localSheetId="0">#REF!</definedName>
    <definedName name="___ML215">#REF!</definedName>
    <definedName name="___ML216" localSheetId="11">NA()</definedName>
    <definedName name="___ML216" localSheetId="12">NA()</definedName>
    <definedName name="___ML216" localSheetId="0">#REF!</definedName>
    <definedName name="___ML216">#REF!</definedName>
    <definedName name="___ML217" localSheetId="11">NA()</definedName>
    <definedName name="___ML217" localSheetId="12">NA()</definedName>
    <definedName name="___ML217" localSheetId="0">#REF!</definedName>
    <definedName name="___ML217">#REF!</definedName>
    <definedName name="___ML218" localSheetId="11">NA()</definedName>
    <definedName name="___ML218" localSheetId="12">NA()</definedName>
    <definedName name="___ML218" localSheetId="0">#REF!</definedName>
    <definedName name="___ML218">#REF!</definedName>
    <definedName name="___ML219" localSheetId="11">NA()</definedName>
    <definedName name="___ML219" localSheetId="12">NA()</definedName>
    <definedName name="___ML219" localSheetId="0">#REF!</definedName>
    <definedName name="___ML219">#REF!</definedName>
    <definedName name="___ML22" localSheetId="11">NA()</definedName>
    <definedName name="___ML22" localSheetId="12">NA()</definedName>
    <definedName name="___ML22" localSheetId="0">#REF!</definedName>
    <definedName name="___ML22">#REF!</definedName>
    <definedName name="___ML220" localSheetId="11">NA()</definedName>
    <definedName name="___ML220" localSheetId="12">NA()</definedName>
    <definedName name="___ML220" localSheetId="0">#REF!</definedName>
    <definedName name="___ML220">#REF!</definedName>
    <definedName name="___ML221" localSheetId="11">NA()</definedName>
    <definedName name="___ML221" localSheetId="12">NA()</definedName>
    <definedName name="___ML221" localSheetId="0">#REF!</definedName>
    <definedName name="___ML221">#REF!</definedName>
    <definedName name="___ML222" localSheetId="11">NA()</definedName>
    <definedName name="___ML222" localSheetId="12">NA()</definedName>
    <definedName name="___ML222" localSheetId="0">#REF!</definedName>
    <definedName name="___ML222">#REF!</definedName>
    <definedName name="___ML223" localSheetId="11">NA()</definedName>
    <definedName name="___ML223" localSheetId="12">NA()</definedName>
    <definedName name="___ML223" localSheetId="0">#REF!</definedName>
    <definedName name="___ML223">#REF!</definedName>
    <definedName name="___ML224" localSheetId="11">NA()</definedName>
    <definedName name="___ML224" localSheetId="12">NA()</definedName>
    <definedName name="___ML224" localSheetId="0">#REF!</definedName>
    <definedName name="___ML224">#REF!</definedName>
    <definedName name="___ML23" localSheetId="11">NA()</definedName>
    <definedName name="___ML23" localSheetId="12">NA()</definedName>
    <definedName name="___ML23" localSheetId="0">#REF!</definedName>
    <definedName name="___ML23">#REF!</definedName>
    <definedName name="___ML24" localSheetId="11">NA()</definedName>
    <definedName name="___ML24" localSheetId="12">NA()</definedName>
    <definedName name="___ML24" localSheetId="0">#REF!</definedName>
    <definedName name="___ML24">#REF!</definedName>
    <definedName name="___ML25" localSheetId="11">NA()</definedName>
    <definedName name="___ML25" localSheetId="12">NA()</definedName>
    <definedName name="___ML25" localSheetId="0">#REF!</definedName>
    <definedName name="___ML25">#REF!</definedName>
    <definedName name="___ML26" localSheetId="11">NA()</definedName>
    <definedName name="___ML26" localSheetId="12">NA()</definedName>
    <definedName name="___ML26" localSheetId="0">#REF!</definedName>
    <definedName name="___ML26">#REF!</definedName>
    <definedName name="___ML27" localSheetId="11">NA()</definedName>
    <definedName name="___ML27" localSheetId="12">NA()</definedName>
    <definedName name="___ML27" localSheetId="0">#REF!</definedName>
    <definedName name="___ML27">#REF!</definedName>
    <definedName name="___ML28" localSheetId="11">NA()</definedName>
    <definedName name="___ML28" localSheetId="12">NA()</definedName>
    <definedName name="___ML28" localSheetId="0">#REF!</definedName>
    <definedName name="___ML28">#REF!</definedName>
    <definedName name="___ML29" localSheetId="11">NA()</definedName>
    <definedName name="___ML29" localSheetId="12">NA()</definedName>
    <definedName name="___ML29" localSheetId="0">#REF!</definedName>
    <definedName name="___ML29">#REF!</definedName>
    <definedName name="___ML31" localSheetId="11">NA()</definedName>
    <definedName name="___ML31" localSheetId="12">NA()</definedName>
    <definedName name="___ML31" localSheetId="0">#REF!</definedName>
    <definedName name="___ML31">#REF!</definedName>
    <definedName name="___ML310" localSheetId="11">NA()</definedName>
    <definedName name="___ML310" localSheetId="12">NA()</definedName>
    <definedName name="___ML310" localSheetId="0">#REF!</definedName>
    <definedName name="___ML310">#REF!</definedName>
    <definedName name="___ML311" localSheetId="11">NA()</definedName>
    <definedName name="___ML311" localSheetId="12">NA()</definedName>
    <definedName name="___ML311" localSheetId="0">#REF!</definedName>
    <definedName name="___ML311">#REF!</definedName>
    <definedName name="___ML312" localSheetId="11">NA()</definedName>
    <definedName name="___ML312" localSheetId="12">NA()</definedName>
    <definedName name="___ML312" localSheetId="0">#REF!</definedName>
    <definedName name="___ML312">#REF!</definedName>
    <definedName name="___ML313" localSheetId="11">NA()</definedName>
    <definedName name="___ML313" localSheetId="12">NA()</definedName>
    <definedName name="___ML313" localSheetId="0">#REF!</definedName>
    <definedName name="___ML313">#REF!</definedName>
    <definedName name="___ML314" localSheetId="11">NA()</definedName>
    <definedName name="___ML314" localSheetId="12">NA()</definedName>
    <definedName name="___ML314" localSheetId="0">#REF!</definedName>
    <definedName name="___ML314">#REF!</definedName>
    <definedName name="___ML315" localSheetId="11">NA()</definedName>
    <definedName name="___ML315" localSheetId="12">NA()</definedName>
    <definedName name="___ML315" localSheetId="0">#REF!</definedName>
    <definedName name="___ML315">#REF!</definedName>
    <definedName name="___ML316" localSheetId="11">NA()</definedName>
    <definedName name="___ML316" localSheetId="12">NA()</definedName>
    <definedName name="___ML316" localSheetId="0">#REF!</definedName>
    <definedName name="___ML316">#REF!</definedName>
    <definedName name="___ML317" localSheetId="11">NA()</definedName>
    <definedName name="___ML317" localSheetId="12">NA()</definedName>
    <definedName name="___ML317" localSheetId="0">#REF!</definedName>
    <definedName name="___ML317">#REF!</definedName>
    <definedName name="___ML318" localSheetId="11">NA()</definedName>
    <definedName name="___ML318" localSheetId="12">NA()</definedName>
    <definedName name="___ML318" localSheetId="0">#REF!</definedName>
    <definedName name="___ML318">#REF!</definedName>
    <definedName name="___ML319" localSheetId="11">NA()</definedName>
    <definedName name="___ML319" localSheetId="12">NA()</definedName>
    <definedName name="___ML319" localSheetId="0">#REF!</definedName>
    <definedName name="___ML319">#REF!</definedName>
    <definedName name="___ML32" localSheetId="11">NA()</definedName>
    <definedName name="___ML32" localSheetId="12">NA()</definedName>
    <definedName name="___ML32" localSheetId="0">#REF!</definedName>
    <definedName name="___ML32">#REF!</definedName>
    <definedName name="___ML320" localSheetId="11">NA()</definedName>
    <definedName name="___ML320" localSheetId="12">NA()</definedName>
    <definedName name="___ML320" localSheetId="0">#REF!</definedName>
    <definedName name="___ML320">#REF!</definedName>
    <definedName name="___ML321" localSheetId="11">NA()</definedName>
    <definedName name="___ML321" localSheetId="12">NA()</definedName>
    <definedName name="___ML321" localSheetId="0">#REF!</definedName>
    <definedName name="___ML321">#REF!</definedName>
    <definedName name="___ML322" localSheetId="11">NA()</definedName>
    <definedName name="___ML322" localSheetId="12">NA()</definedName>
    <definedName name="___ML322" localSheetId="0">#REF!</definedName>
    <definedName name="___ML322">#REF!</definedName>
    <definedName name="___ML323" localSheetId="11">NA()</definedName>
    <definedName name="___ML323" localSheetId="12">NA()</definedName>
    <definedName name="___ML323" localSheetId="0">#REF!</definedName>
    <definedName name="___ML323">#REF!</definedName>
    <definedName name="___ML324" localSheetId="11">NA()</definedName>
    <definedName name="___ML324" localSheetId="12">NA()</definedName>
    <definedName name="___ML324" localSheetId="0">#REF!</definedName>
    <definedName name="___ML324">#REF!</definedName>
    <definedName name="___ML33" localSheetId="11">NA()</definedName>
    <definedName name="___ML33" localSheetId="12">NA()</definedName>
    <definedName name="___ML33" localSheetId="0">#REF!</definedName>
    <definedName name="___ML33">#REF!</definedName>
    <definedName name="___ML34" localSheetId="11">NA()</definedName>
    <definedName name="___ML34" localSheetId="12">NA()</definedName>
    <definedName name="___ML34" localSheetId="0">#REF!</definedName>
    <definedName name="___ML34">#REF!</definedName>
    <definedName name="___ML35" localSheetId="11">NA()</definedName>
    <definedName name="___ML35" localSheetId="12">NA()</definedName>
    <definedName name="___ML35" localSheetId="0">#REF!</definedName>
    <definedName name="___ML35">#REF!</definedName>
    <definedName name="___ML36" localSheetId="11">NA()</definedName>
    <definedName name="___ML36" localSheetId="12">NA()</definedName>
    <definedName name="___ML36" localSheetId="0">#REF!</definedName>
    <definedName name="___ML36">#REF!</definedName>
    <definedName name="___ML37" localSheetId="11">NA()</definedName>
    <definedName name="___ML37" localSheetId="12">NA()</definedName>
    <definedName name="___ML37" localSheetId="0">#REF!</definedName>
    <definedName name="___ML37">#REF!</definedName>
    <definedName name="___ML38" localSheetId="11">NA()</definedName>
    <definedName name="___ML38" localSheetId="12">NA()</definedName>
    <definedName name="___ML38" localSheetId="0">#REF!</definedName>
    <definedName name="___ML38">#REF!</definedName>
    <definedName name="___ML39" localSheetId="11">NA()</definedName>
    <definedName name="___ML39" localSheetId="12">NA()</definedName>
    <definedName name="___ML39" localSheetId="0">#REF!</definedName>
    <definedName name="___ML39">#REF!</definedName>
    <definedName name="___ML7" localSheetId="11">NA()</definedName>
    <definedName name="___ML7" localSheetId="12">NA()</definedName>
    <definedName name="___ML7" localSheetId="0">#REF!</definedName>
    <definedName name="___ML7">#REF!</definedName>
    <definedName name="___ML8" localSheetId="11">NA()</definedName>
    <definedName name="___ML8" localSheetId="12">NA()</definedName>
    <definedName name="___ML8" localSheetId="0">#REF!</definedName>
    <definedName name="___ML8">#REF!</definedName>
    <definedName name="___ML9" localSheetId="11">NA()</definedName>
    <definedName name="___ML9" localSheetId="12">NA()</definedName>
    <definedName name="___ML9" localSheetId="0">#REF!</definedName>
    <definedName name="___ML9">#REF!</definedName>
    <definedName name="___mm1">[6]r!$F$4</definedName>
    <definedName name="___mm1000">NA()</definedName>
    <definedName name="___mm11">[2]r!$F$4</definedName>
    <definedName name="___mm111">[5]r!$F$4</definedName>
    <definedName name="___mm20">NA()</definedName>
    <definedName name="___mm40">NA()</definedName>
    <definedName name="___mm600">NA()</definedName>
    <definedName name="___mm800">NA()</definedName>
    <definedName name="___MS6">[29]MRATES!$P$50</definedName>
    <definedName name="___ne10" localSheetId="11">NA()</definedName>
    <definedName name="___ne10" localSheetId="12">NA()</definedName>
    <definedName name="___ne10">'[30]Lead statement'!#REF!</definedName>
    <definedName name="___PC1" localSheetId="11">NA()</definedName>
    <definedName name="___PC1" localSheetId="12">NA()</definedName>
    <definedName name="___PC1" localSheetId="0">#REF!</definedName>
    <definedName name="___PC1">#REF!</definedName>
    <definedName name="___PC10" localSheetId="11">NA()</definedName>
    <definedName name="___PC10" localSheetId="12">NA()</definedName>
    <definedName name="___PC10" localSheetId="0">#REF!</definedName>
    <definedName name="___PC10">#REF!</definedName>
    <definedName name="___PC11" localSheetId="11">NA()</definedName>
    <definedName name="___PC11" localSheetId="12">NA()</definedName>
    <definedName name="___PC11" localSheetId="0">#REF!</definedName>
    <definedName name="___PC11">#REF!</definedName>
    <definedName name="___PC12" localSheetId="11">NA()</definedName>
    <definedName name="___PC12" localSheetId="12">NA()</definedName>
    <definedName name="___PC12" localSheetId="0">#REF!</definedName>
    <definedName name="___PC12">#REF!</definedName>
    <definedName name="___PC13" localSheetId="11">NA()</definedName>
    <definedName name="___PC13" localSheetId="12">NA()</definedName>
    <definedName name="___PC13" localSheetId="0">#REF!</definedName>
    <definedName name="___PC13">#REF!</definedName>
    <definedName name="___PC14" localSheetId="11">NA()</definedName>
    <definedName name="___PC14" localSheetId="12">NA()</definedName>
    <definedName name="___PC14" localSheetId="0">#REF!</definedName>
    <definedName name="___PC14">#REF!</definedName>
    <definedName name="___PC15" localSheetId="11">NA()</definedName>
    <definedName name="___PC15" localSheetId="12">NA()</definedName>
    <definedName name="___PC15" localSheetId="0">#REF!</definedName>
    <definedName name="___PC15">#REF!</definedName>
    <definedName name="___PC16" localSheetId="11">NA()</definedName>
    <definedName name="___PC16" localSheetId="12">NA()</definedName>
    <definedName name="___PC16" localSheetId="0">#REF!</definedName>
    <definedName name="___PC16">#REF!</definedName>
    <definedName name="___PC17" localSheetId="11">NA()</definedName>
    <definedName name="___PC17" localSheetId="12">NA()</definedName>
    <definedName name="___PC17" localSheetId="0">#REF!</definedName>
    <definedName name="___PC17">#REF!</definedName>
    <definedName name="___PC18" localSheetId="11">NA()</definedName>
    <definedName name="___PC18" localSheetId="12">NA()</definedName>
    <definedName name="___PC18" localSheetId="0">#REF!</definedName>
    <definedName name="___PC18">#REF!</definedName>
    <definedName name="___PC19" localSheetId="11">NA()</definedName>
    <definedName name="___PC19" localSheetId="12">NA()</definedName>
    <definedName name="___PC19" localSheetId="0">#REF!</definedName>
    <definedName name="___PC19">#REF!</definedName>
    <definedName name="___pc2" localSheetId="11">NA()</definedName>
    <definedName name="___pc2" localSheetId="12">NA()</definedName>
    <definedName name="___pc2" localSheetId="0">#REF!</definedName>
    <definedName name="___pc2">#REF!</definedName>
    <definedName name="___PC20">NA()</definedName>
    <definedName name="___PC21" localSheetId="11">NA()</definedName>
    <definedName name="___PC21" localSheetId="12">NA()</definedName>
    <definedName name="___PC21" localSheetId="0">#REF!</definedName>
    <definedName name="___PC21">#REF!</definedName>
    <definedName name="___PC22" localSheetId="11">NA()</definedName>
    <definedName name="___PC22" localSheetId="12">NA()</definedName>
    <definedName name="___PC22" localSheetId="0">#REF!</definedName>
    <definedName name="___PC22">#REF!</definedName>
    <definedName name="___PC23" localSheetId="11">NA()</definedName>
    <definedName name="___PC23" localSheetId="12">NA()</definedName>
    <definedName name="___PC23" localSheetId="0">#REF!</definedName>
    <definedName name="___PC23">#REF!</definedName>
    <definedName name="___PC24" localSheetId="11">NA()</definedName>
    <definedName name="___PC24" localSheetId="12">NA()</definedName>
    <definedName name="___PC24" localSheetId="0">#REF!</definedName>
    <definedName name="___PC24">#REF!</definedName>
    <definedName name="___PC3" localSheetId="11">NA()</definedName>
    <definedName name="___PC3" localSheetId="12">NA()</definedName>
    <definedName name="___PC3" localSheetId="0">#REF!</definedName>
    <definedName name="___PC3">#REF!</definedName>
    <definedName name="___PC4" localSheetId="11">NA()</definedName>
    <definedName name="___PC4" localSheetId="12">NA()</definedName>
    <definedName name="___PC4" localSheetId="0">#REF!</definedName>
    <definedName name="___PC4">#REF!</definedName>
    <definedName name="___PC5" localSheetId="11">NA()</definedName>
    <definedName name="___PC5" localSheetId="12">NA()</definedName>
    <definedName name="___PC5" localSheetId="0">#REF!</definedName>
    <definedName name="___PC5">#REF!</definedName>
    <definedName name="___PC6" localSheetId="11">NA()</definedName>
    <definedName name="___PC6" localSheetId="12">NA()</definedName>
    <definedName name="___PC6" localSheetId="0">#REF!</definedName>
    <definedName name="___PC6">#REF!</definedName>
    <definedName name="___pc600" localSheetId="11">NA()</definedName>
    <definedName name="___pc600" localSheetId="12">NA()</definedName>
    <definedName name="___pc600" localSheetId="0">#REF!</definedName>
    <definedName name="___pc600">#REF!</definedName>
    <definedName name="___PC7" localSheetId="11">NA()</definedName>
    <definedName name="___PC7" localSheetId="12">NA()</definedName>
    <definedName name="___PC7" localSheetId="0">#REF!</definedName>
    <definedName name="___PC7">#REF!</definedName>
    <definedName name="___PC8" localSheetId="11">NA()</definedName>
    <definedName name="___PC8" localSheetId="12">NA()</definedName>
    <definedName name="___PC8" localSheetId="0">#REF!</definedName>
    <definedName name="___PC8">#REF!</definedName>
    <definedName name="___PC9" localSheetId="11">NA()</definedName>
    <definedName name="___PC9" localSheetId="12">NA()</definedName>
    <definedName name="___PC9" localSheetId="0">#REF!</definedName>
    <definedName name="___PC9">#REF!</definedName>
    <definedName name="___pc900" localSheetId="11">NA()</definedName>
    <definedName name="___pc900" localSheetId="12">NA()</definedName>
    <definedName name="___pc900" localSheetId="0">#REF!</definedName>
    <definedName name="___pc900">#REF!</definedName>
    <definedName name="___pla4">[12]DATA_PRG!$H$269</definedName>
    <definedName name="___psc10006">NA()</definedName>
    <definedName name="___psc10008">NA()</definedName>
    <definedName name="___psc3506">NA()</definedName>
    <definedName name="___psc3508">NA()</definedName>
    <definedName name="___psc4006">NA()</definedName>
    <definedName name="___psc4008">NA()</definedName>
    <definedName name="___psc4506">NA()</definedName>
    <definedName name="___psc4508">NA()</definedName>
    <definedName name="___psc5006">NA()</definedName>
    <definedName name="___psc5008">NA()</definedName>
    <definedName name="___psc6006">NA()</definedName>
    <definedName name="___psc6008">NA()</definedName>
    <definedName name="___psc7006">NA()</definedName>
    <definedName name="___psc7008">NA()</definedName>
    <definedName name="___psc8006">NA()</definedName>
    <definedName name="___psc8008">NA()</definedName>
    <definedName name="___psc9006">NA()</definedName>
    <definedName name="___psc9008">NA()</definedName>
    <definedName name="___pv2" localSheetId="11">NA()</definedName>
    <definedName name="___pv2" localSheetId="12">NA()</definedName>
    <definedName name="___pv2" localSheetId="0">#REF!</definedName>
    <definedName name="___pv2">#REF!</definedName>
    <definedName name="___rr3">[7]v!$A$2:$E$51</definedName>
    <definedName name="___rrr1">[7]r!$B$1:$I$145</definedName>
    <definedName name="___RT5565" localSheetId="11">NA()</definedName>
    <definedName name="___RT5565" localSheetId="12">NA()</definedName>
    <definedName name="___RT5565" localSheetId="0">#REF!</definedName>
    <definedName name="___RT5565">#REF!</definedName>
    <definedName name="___S12">NA()</definedName>
    <definedName name="___SP10">[13]Sheet1!$C$18</definedName>
    <definedName name="___SP16">[13]Sheet1!$C$24</definedName>
    <definedName name="___SP7">[13]Sheet1!$C$15</definedName>
    <definedName name="___ss12">[8]rdamdata!$J$8</definedName>
    <definedName name="___ss20">[8]rdamdata!$J$7</definedName>
    <definedName name="___ss40">[8]rdamdata!$J$6</definedName>
    <definedName name="___var1" localSheetId="11">NA()</definedName>
    <definedName name="___var1" localSheetId="12">NA()</definedName>
    <definedName name="___var1" localSheetId="0">#REF!</definedName>
    <definedName name="___var1">#REF!</definedName>
    <definedName name="___var4" localSheetId="11">NA()</definedName>
    <definedName name="___var4" localSheetId="12">NA()</definedName>
    <definedName name="___var4" localSheetId="0">#REF!</definedName>
    <definedName name="___var4">#REF!</definedName>
    <definedName name="___vat1">NA()</definedName>
    <definedName name="___vat2">NA()</definedName>
    <definedName name="___xh11010">NA()</definedName>
    <definedName name="___xh1104">NA()</definedName>
    <definedName name="___xh1106">NA()</definedName>
    <definedName name="___xh1108">NA()</definedName>
    <definedName name="___xh12510">NA()</definedName>
    <definedName name="___xh1254">NA()</definedName>
    <definedName name="___xh1256">NA()</definedName>
    <definedName name="___xh1258">NA()</definedName>
    <definedName name="___xh14010">NA()</definedName>
    <definedName name="___xh1404">NA()</definedName>
    <definedName name="___xh1406">NA()</definedName>
    <definedName name="___xh1408">NA()</definedName>
    <definedName name="___xh16010">NA()</definedName>
    <definedName name="___xh1604">NA()</definedName>
    <definedName name="___xh1606">NA()</definedName>
    <definedName name="___xh1608">NA()</definedName>
    <definedName name="___xh18010">NA()</definedName>
    <definedName name="___xh1804">NA()</definedName>
    <definedName name="___xh1806">NA()</definedName>
    <definedName name="___xh1808">NA()</definedName>
    <definedName name="___xh20010">NA()</definedName>
    <definedName name="___xh2004">NA()</definedName>
    <definedName name="___xh2006">NA()</definedName>
    <definedName name="___xh2008">NA()</definedName>
    <definedName name="___xh22510">NA()</definedName>
    <definedName name="___xh2254">NA()</definedName>
    <definedName name="___xh2256">[20]HDPE!$L$30</definedName>
    <definedName name="___xh2258">NA()</definedName>
    <definedName name="___xh25010">NA()</definedName>
    <definedName name="___xh2504">NA()</definedName>
    <definedName name="___xh2506">[20]HDPE!$M$30</definedName>
    <definedName name="___xh2508">NA()</definedName>
    <definedName name="___xh28010">NA()</definedName>
    <definedName name="___xh2804">NA()</definedName>
    <definedName name="___xh2806">[20]HDPE!$N$30</definedName>
    <definedName name="___xh2808">NA()</definedName>
    <definedName name="___xh31510">NA()</definedName>
    <definedName name="___xh3154">NA()</definedName>
    <definedName name="___xh3156">[20]HDPE!$O$30</definedName>
    <definedName name="___xh3158">NA()</definedName>
    <definedName name="___xh3554">NA()</definedName>
    <definedName name="___xh3556">NA()</definedName>
    <definedName name="___xh6310">NA()</definedName>
    <definedName name="___xh634">[20]HDPE!$C$16</definedName>
    <definedName name="___xh636">NA()</definedName>
    <definedName name="___xh638">NA()</definedName>
    <definedName name="___xh7510">NA()</definedName>
    <definedName name="___xh754">NA()</definedName>
    <definedName name="___xh756">NA()</definedName>
    <definedName name="___xh758">NA()</definedName>
    <definedName name="___xh9010">NA()</definedName>
    <definedName name="___xh904">NA()</definedName>
    <definedName name="___xh906">NA()</definedName>
    <definedName name="___xh908">NA()</definedName>
    <definedName name="___xk7100">[20]DI!$C$37</definedName>
    <definedName name="___xk7150">[20]DI!$D$37</definedName>
    <definedName name="___xk7200">NA()</definedName>
    <definedName name="___xk7250">[20]DI!$F$37</definedName>
    <definedName name="___xk7300">[20]DI!$G$37</definedName>
    <definedName name="___xk7350">NA()</definedName>
    <definedName name="___xk7400">NA()</definedName>
    <definedName name="___xk7450">NA()</definedName>
    <definedName name="___xk7500">NA()</definedName>
    <definedName name="___xk7600">NA()</definedName>
    <definedName name="___xk9100">NA()</definedName>
    <definedName name="___xk91000">NA()</definedName>
    <definedName name="___xk9150">NA()</definedName>
    <definedName name="___xk9200">NA()</definedName>
    <definedName name="___xk9250">NA()</definedName>
    <definedName name="___xk9300">NA()</definedName>
    <definedName name="___xk9350">NA()</definedName>
    <definedName name="___xk9400">NA()</definedName>
    <definedName name="___xk9450">NA()</definedName>
    <definedName name="___xk9500">NA()</definedName>
    <definedName name="___xk9600">NA()</definedName>
    <definedName name="___xk9700">NA()</definedName>
    <definedName name="___xk9750">NA()</definedName>
    <definedName name="___xk9800">NA()</definedName>
    <definedName name="___xk9900">NA()</definedName>
    <definedName name="___xlfn_BAHTTEXT">NA()</definedName>
    <definedName name="___xlfn_ISFORMULA">NA()</definedName>
    <definedName name="___xlnm_Database">NA()</definedName>
    <definedName name="___xlnm_Print_Area" localSheetId="12">Joinery!$A$1:$I$1268</definedName>
    <definedName name="___xlnm_Print_Area">NA()</definedName>
    <definedName name="___xlnm_Print_Titles">NA()</definedName>
    <definedName name="___xlnm_Print_Titles_1">NA()</definedName>
    <definedName name="___xp11010">[20]pvc!$F$61</definedName>
    <definedName name="___xp1104">[20]pvc!$F$31</definedName>
    <definedName name="___xp1106">[20]pvc!$F$46</definedName>
    <definedName name="___xp12510">NA()</definedName>
    <definedName name="___xp1254">[20]pvc!$G$31</definedName>
    <definedName name="___xp1256">[20]pvc!$G$46</definedName>
    <definedName name="___xp14010">[20]pvc!$H$61</definedName>
    <definedName name="___xp1404">[20]pvc!$H$31</definedName>
    <definedName name="___xp1406">[20]pvc!$H$46</definedName>
    <definedName name="___xp16010">NA()</definedName>
    <definedName name="___xp1604">[20]pvc!$I$31</definedName>
    <definedName name="___xp1606">[20]pvc!$I$46</definedName>
    <definedName name="___xp18010">NA()</definedName>
    <definedName name="___xp1804">[20]pvc!$J$31</definedName>
    <definedName name="___xp1806">[20]pvc!$J$46</definedName>
    <definedName name="___xp20010">NA()</definedName>
    <definedName name="___xp2004">NA()</definedName>
    <definedName name="___xp2006">[20]pvc!$K$46</definedName>
    <definedName name="___xp22510">NA()</definedName>
    <definedName name="___xp2254">NA()</definedName>
    <definedName name="___xp2256">NA()</definedName>
    <definedName name="___xp25010">NA()</definedName>
    <definedName name="___xp2504">NA()</definedName>
    <definedName name="___xp2506">NA()</definedName>
    <definedName name="___xp28010">NA()</definedName>
    <definedName name="___xp2804">NA()</definedName>
    <definedName name="___xp2806">NA()</definedName>
    <definedName name="___xp31510">NA()</definedName>
    <definedName name="___xp3154">NA()</definedName>
    <definedName name="___xp3156">NA()</definedName>
    <definedName name="___xp6310">[20]pvc!$C$61</definedName>
    <definedName name="___xp634">NA()</definedName>
    <definedName name="___xp636">[20]pvc!$C$46</definedName>
    <definedName name="___xp7510">[20]pvc!$D$61</definedName>
    <definedName name="___xp754">[20]pvc!$D$31</definedName>
    <definedName name="___xp756">[20]pvc!$D$46</definedName>
    <definedName name="___xp9010">[20]pvc!$E$61</definedName>
    <definedName name="___xp904">[20]pvc!$E$31</definedName>
    <definedName name="___xp906">[20]pvc!$E$46</definedName>
    <definedName name="__atw2">'[26]C-data'!$F$92</definedName>
    <definedName name="__AUX1" localSheetId="11">NA()</definedName>
    <definedName name="__AUX1" localSheetId="12">NA()</definedName>
    <definedName name="__AUX1" localSheetId="0">#REF!</definedName>
    <definedName name="__AUX1">#REF!</definedName>
    <definedName name="__AUX111">[31]bom!$R$2</definedName>
    <definedName name="__aux2" localSheetId="11">NA()</definedName>
    <definedName name="__aux2" localSheetId="12">NA()</definedName>
    <definedName name="__aux2" localSheetId="0">#REF!</definedName>
    <definedName name="__aux2">#REF!</definedName>
    <definedName name="__AUX3" localSheetId="11">NA()</definedName>
    <definedName name="__AUX3" localSheetId="12">NA()</definedName>
    <definedName name="__AUX3" localSheetId="0">#REF!</definedName>
    <definedName name="__AUX3">#REF!</definedName>
    <definedName name="__bla1">[1]leads!$H$7</definedName>
    <definedName name="__BSG100">NA()</definedName>
    <definedName name="__BSG150">NA()</definedName>
    <definedName name="__BSG5">NA()</definedName>
    <definedName name="__BSG75">NA()</definedName>
    <definedName name="__BTC1">NA()</definedName>
    <definedName name="__BTC10">NA()</definedName>
    <definedName name="__BTC11">NA()</definedName>
    <definedName name="__BTC12">NA()</definedName>
    <definedName name="__BTC13">NA()</definedName>
    <definedName name="__BTC14">NA()</definedName>
    <definedName name="__BTC15">NA()</definedName>
    <definedName name="__BTC16">NA()</definedName>
    <definedName name="__BTC17">NA()</definedName>
    <definedName name="__BTC18">NA()</definedName>
    <definedName name="__BTC19">NA()</definedName>
    <definedName name="__BTC2">NA()</definedName>
    <definedName name="__BTC20">NA()</definedName>
    <definedName name="__BTC21">NA()</definedName>
    <definedName name="__BTC22">NA()</definedName>
    <definedName name="__BTC23">NA()</definedName>
    <definedName name="__BTC24">NA()</definedName>
    <definedName name="__BTC3">NA()</definedName>
    <definedName name="__BTC4">NA()</definedName>
    <definedName name="__BTC5">NA()</definedName>
    <definedName name="__BTC6">NA()</definedName>
    <definedName name="__BTC7">NA()</definedName>
    <definedName name="__BTC8">NA()</definedName>
    <definedName name="__BTC9">NA()</definedName>
    <definedName name="__BTR1">NA()</definedName>
    <definedName name="__BTR10">NA()</definedName>
    <definedName name="__BTR11">NA()</definedName>
    <definedName name="__BTR12">NA()</definedName>
    <definedName name="__BTR13">NA()</definedName>
    <definedName name="__BTR14">NA()</definedName>
    <definedName name="__BTR15">NA()</definedName>
    <definedName name="__BTR16">NA()</definedName>
    <definedName name="__BTR17">NA()</definedName>
    <definedName name="__BTR18">NA()</definedName>
    <definedName name="__BTR19">NA()</definedName>
    <definedName name="__BTR2">NA()</definedName>
    <definedName name="__BTR20">NA()</definedName>
    <definedName name="__BTR21">NA()</definedName>
    <definedName name="__BTR22">NA()</definedName>
    <definedName name="__BTR23">NA()</definedName>
    <definedName name="__BTR24">NA()</definedName>
    <definedName name="__BTR3">NA()</definedName>
    <definedName name="__BTR4">NA()</definedName>
    <definedName name="__BTR5">NA()</definedName>
    <definedName name="__BTR6">NA()</definedName>
    <definedName name="__BTR7">NA()</definedName>
    <definedName name="__BTR8">NA()</definedName>
    <definedName name="__BTR9">NA()</definedName>
    <definedName name="__BTS1">NA()</definedName>
    <definedName name="__BTS10">NA()</definedName>
    <definedName name="__BTS11">NA()</definedName>
    <definedName name="__BTS12">NA()</definedName>
    <definedName name="__BTS13">NA()</definedName>
    <definedName name="__BTS14">NA()</definedName>
    <definedName name="__BTS15">NA()</definedName>
    <definedName name="__BTS16">NA()</definedName>
    <definedName name="__BTS17">NA()</definedName>
    <definedName name="__BTS18">NA()</definedName>
    <definedName name="__BTS19">NA()</definedName>
    <definedName name="__BTS2">NA()</definedName>
    <definedName name="__BTS20">NA()</definedName>
    <definedName name="__BTS21">NA()</definedName>
    <definedName name="__BTS22">NA()</definedName>
    <definedName name="__BTS23">NA()</definedName>
    <definedName name="__BTS24">NA()</definedName>
    <definedName name="__BTS3">NA()</definedName>
    <definedName name="__BTS4">NA()</definedName>
    <definedName name="__BTS5">NA()</definedName>
    <definedName name="__BTS6">NA()</definedName>
    <definedName name="__BTS7">NA()</definedName>
    <definedName name="__BTS8">NA()</definedName>
    <definedName name="__BTS9">NA()</definedName>
    <definedName name="__can430">40.73</definedName>
    <definedName name="__can435">43.3</definedName>
    <definedName name="__cbr1">NA()</definedName>
    <definedName name="__cbr2">NA()</definedName>
    <definedName name="__cbr3">NA()</definedName>
    <definedName name="__cbr4">NA()</definedName>
    <definedName name="__CCW1">[14]DATA!$H$67</definedName>
    <definedName name="__CCW2">[14]DATA!$H$97</definedName>
    <definedName name="__cur1">[2]r!$F$30</definedName>
    <definedName name="__dem2">NA()</definedName>
    <definedName name="__df3">NA()</definedName>
    <definedName name="__er1" localSheetId="11">NA()</definedName>
    <definedName name="__er1" localSheetId="12">NA()</definedName>
    <definedName name="__er1" localSheetId="0">#REF!</definedName>
    <definedName name="__er1">#REF!</definedName>
    <definedName name="__ewe1">NA()</definedName>
    <definedName name="__f1">NA()</definedName>
    <definedName name="__G120907" localSheetId="11">"[54]data!#ref!"</definedName>
    <definedName name="__G120907" localSheetId="12">"[54]data!#ref!"</definedName>
    <definedName name="__G120907" localSheetId="0">[32]Data!#REF!</definedName>
    <definedName name="__G120907">[32]Data!#REF!</definedName>
    <definedName name="__GBS11">NA()</definedName>
    <definedName name="__GBS110">NA()</definedName>
    <definedName name="__GBS111">NA()</definedName>
    <definedName name="__GBS112">NA()</definedName>
    <definedName name="__GBS113">NA()</definedName>
    <definedName name="__GBS114">NA()</definedName>
    <definedName name="__GBS115">NA()</definedName>
    <definedName name="__GBS116">NA()</definedName>
    <definedName name="__GBS117">NA()</definedName>
    <definedName name="__GBS118">NA()</definedName>
    <definedName name="__GBS119">NA()</definedName>
    <definedName name="__GBS12">NA()</definedName>
    <definedName name="__GBS120">NA()</definedName>
    <definedName name="__GBS121">NA()</definedName>
    <definedName name="__GBS122">NA()</definedName>
    <definedName name="__GBS123">NA()</definedName>
    <definedName name="__GBS124">NA()</definedName>
    <definedName name="__GBS13">NA()</definedName>
    <definedName name="__GBS14">NA()</definedName>
    <definedName name="__GBS15">NA()</definedName>
    <definedName name="__GBS16">NA()</definedName>
    <definedName name="__GBS17">NA()</definedName>
    <definedName name="__GBS18">NA()</definedName>
    <definedName name="__GBS19">NA()</definedName>
    <definedName name="__GBS21">NA()</definedName>
    <definedName name="__GBS210">NA()</definedName>
    <definedName name="__GBS211">NA()</definedName>
    <definedName name="__GBS212">NA()</definedName>
    <definedName name="__GBS213">NA()</definedName>
    <definedName name="__GBS214">NA()</definedName>
    <definedName name="__GBS215">NA()</definedName>
    <definedName name="__GBS216">NA()</definedName>
    <definedName name="__GBS217">NA()</definedName>
    <definedName name="__GBS218">NA()</definedName>
    <definedName name="__GBS219">NA()</definedName>
    <definedName name="__GBS22">NA()</definedName>
    <definedName name="__GBS220">NA()</definedName>
    <definedName name="__GBS221">NA()</definedName>
    <definedName name="__GBS222">NA()</definedName>
    <definedName name="__GBS223">NA()</definedName>
    <definedName name="__GBS224">NA()</definedName>
    <definedName name="__GBS23">NA()</definedName>
    <definedName name="__GBS24">NA()</definedName>
    <definedName name="__GBS25">NA()</definedName>
    <definedName name="__GBS26">NA()</definedName>
    <definedName name="__GBS27">NA()</definedName>
    <definedName name="__GBS28">NA()</definedName>
    <definedName name="__GBS29">NA()</definedName>
    <definedName name="__grp10003">NA()</definedName>
    <definedName name="__grp3503">NA()</definedName>
    <definedName name="__grp4003">NA()</definedName>
    <definedName name="__grp4503">NA()</definedName>
    <definedName name="__grp5003">NA()</definedName>
    <definedName name="__grp6003">NA()</definedName>
    <definedName name="__grp7003">NA()</definedName>
    <definedName name="__grp8003">NA()</definedName>
    <definedName name="__grp9003">NA()</definedName>
    <definedName name="__gus1">NA()</definedName>
    <definedName name="__hpm1" localSheetId="11">NA()</definedName>
    <definedName name="__hpm1" localSheetId="12">NA()</definedName>
    <definedName name="__hpm1" localSheetId="0">#REF!</definedName>
    <definedName name="__hpm1">#REF!</definedName>
    <definedName name="__imp1">[11]DATA_PRG!$H$245</definedName>
    <definedName name="__IRC12" localSheetId="11">"[56]mrates!$m$9"</definedName>
    <definedName name="__IRC12" localSheetId="12">"[56]mrates!$m$9"</definedName>
    <definedName name="__IRC12">[29]MRATES!$M$9</definedName>
    <definedName name="__IRC19" localSheetId="11">"[56]mrates!$m$10"</definedName>
    <definedName name="__IRC19" localSheetId="12">"[56]mrates!$m$10"</definedName>
    <definedName name="__IRC19">[29]MRATES!$M$10</definedName>
    <definedName name="__IRC25" localSheetId="11">"[56]mrates!$m$11"</definedName>
    <definedName name="__IRC25" localSheetId="12">"[56]mrates!$m$11"</definedName>
    <definedName name="__IRC25">[29]MRATES!$M$11</definedName>
    <definedName name="__IRC40" localSheetId="11">"[56]mrates!$m$12"</definedName>
    <definedName name="__IRC40" localSheetId="12">"[56]mrates!$m$12"</definedName>
    <definedName name="__IRC40">[29]MRATES!$M$12</definedName>
    <definedName name="__IRC5" localSheetId="11">"[56]mrates!$m$7"</definedName>
    <definedName name="__IRC5" localSheetId="12">"[56]mrates!$m$7"</definedName>
    <definedName name="__IRC5">[29]MRATES!$M$7</definedName>
    <definedName name="__IRC50" localSheetId="11">"[56]mrates!$m$13"</definedName>
    <definedName name="__IRC50" localSheetId="12">"[56]mrates!$m$13"</definedName>
    <definedName name="__IRC50">[29]MRATES!$M$13</definedName>
    <definedName name="__IRC60" localSheetId="11">"[56]mrates!$m$14"</definedName>
    <definedName name="__IRC60" localSheetId="12">"[56]mrates!$m$14"</definedName>
    <definedName name="__IRC60">[29]MRATES!$M$14</definedName>
    <definedName name="__IRC9" localSheetId="11">"[56]mrates!$m$8"</definedName>
    <definedName name="__IRC9" localSheetId="12">"[56]mrates!$m$8"</definedName>
    <definedName name="__IRC9">[29]MRATES!$M$8</definedName>
    <definedName name="__k1">NA()</definedName>
    <definedName name="__KC139">NA()</definedName>
    <definedName name="__KC580">NA()</definedName>
    <definedName name="__knr2" localSheetId="11">NA()</definedName>
    <definedName name="__knr2" localSheetId="12">NA()</definedName>
    <definedName name="__knr2" localSheetId="0">#REF!</definedName>
    <definedName name="__knr2">#REF!</definedName>
    <definedName name="__KNR3">NA()</definedName>
    <definedName name="__l1">[3]leads!$A$3:$E$108</definedName>
    <definedName name="__l12" localSheetId="11">NA()</definedName>
    <definedName name="__l12" localSheetId="12">NA()</definedName>
    <definedName name="__l12" localSheetId="0">#REF!</definedName>
    <definedName name="__l12">#REF!</definedName>
    <definedName name="__l2">[2]r!$F$29</definedName>
    <definedName name="__l3" localSheetId="11">NA()</definedName>
    <definedName name="__l3" localSheetId="12">NA()</definedName>
    <definedName name="__l3" localSheetId="0">#REF!</definedName>
    <definedName name="__l3">#REF!</definedName>
    <definedName name="__l4">[4]Sheet1!$W$2:$Y$103</definedName>
    <definedName name="__l5" localSheetId="11">NA()</definedName>
    <definedName name="__l5" localSheetId="12">NA()</definedName>
    <definedName name="__l5" localSheetId="0">#REF!</definedName>
    <definedName name="__l5">#REF!</definedName>
    <definedName name="__l6">[2]r!$F$4</definedName>
    <definedName name="__l7">[5]r!$F$4</definedName>
    <definedName name="__l8">[2]r!$F$2</definedName>
    <definedName name="__l9">[2]r!$F$3</definedName>
    <definedName name="__lcn1" localSheetId="11">NA()</definedName>
    <definedName name="__lcn1" localSheetId="12">NA()</definedName>
    <definedName name="__lcn1" localSheetId="0">#REF!</definedName>
    <definedName name="__lcn1">#REF!</definedName>
    <definedName name="__LJ6">[14]DATA!$H$245</definedName>
    <definedName name="__lj600">NA()</definedName>
    <definedName name="__lj900">NA()</definedName>
    <definedName name="__LL3">NA()</definedName>
    <definedName name="__lm1">NA()</definedName>
    <definedName name="__LSO24">"[14]lead!#ref!"</definedName>
    <definedName name="__ma1">'[26]C-data'!$F$6</definedName>
    <definedName name="__ma2">NA()</definedName>
    <definedName name="__me12" localSheetId="11">NA()</definedName>
    <definedName name="__me12" localSheetId="12">NA()</definedName>
    <definedName name="__me12">'[23]Lead statement'!#REF!</definedName>
    <definedName name="__me20">'[33]Lead statement'!$P$13</definedName>
    <definedName name="__me40">'[33]Lead statement'!$P$14</definedName>
    <definedName name="__Met22">NA()</definedName>
    <definedName name="__Met45">NA()</definedName>
    <definedName name="__MEt55">NA()</definedName>
    <definedName name="__Met63">NA()</definedName>
    <definedName name="__ML21">NA()</definedName>
    <definedName name="__ML210">NA()</definedName>
    <definedName name="__ML211">NA()</definedName>
    <definedName name="__ML212">NA()</definedName>
    <definedName name="__ML213">NA()</definedName>
    <definedName name="__ML214">NA()</definedName>
    <definedName name="__ML215">NA()</definedName>
    <definedName name="__ML216">NA()</definedName>
    <definedName name="__ML217">NA()</definedName>
    <definedName name="__ML218">NA()</definedName>
    <definedName name="__ML219">NA()</definedName>
    <definedName name="__ML22">NA()</definedName>
    <definedName name="__ML220">NA()</definedName>
    <definedName name="__ML221">NA()</definedName>
    <definedName name="__ML222">NA()</definedName>
    <definedName name="__ML223">NA()</definedName>
    <definedName name="__ML224">NA()</definedName>
    <definedName name="__ML23">NA()</definedName>
    <definedName name="__ML24">NA()</definedName>
    <definedName name="__ML25">NA()</definedName>
    <definedName name="__ML26">NA()</definedName>
    <definedName name="__ML27">NA()</definedName>
    <definedName name="__ML28">NA()</definedName>
    <definedName name="__ML29">NA()</definedName>
    <definedName name="__ML31">NA()</definedName>
    <definedName name="__ML310">NA()</definedName>
    <definedName name="__ML311">NA()</definedName>
    <definedName name="__ML312">NA()</definedName>
    <definedName name="__ML313">NA()</definedName>
    <definedName name="__ML314">NA()</definedName>
    <definedName name="__ML315">NA()</definedName>
    <definedName name="__ML316">NA()</definedName>
    <definedName name="__ML317">NA()</definedName>
    <definedName name="__ML318">NA()</definedName>
    <definedName name="__ML319">NA()</definedName>
    <definedName name="__ML32">NA()</definedName>
    <definedName name="__ML320">NA()</definedName>
    <definedName name="__ML321">NA()</definedName>
    <definedName name="__ML322">NA()</definedName>
    <definedName name="__ML323">NA()</definedName>
    <definedName name="__ML324">NA()</definedName>
    <definedName name="__ML33">NA()</definedName>
    <definedName name="__ML34">NA()</definedName>
    <definedName name="__ML35">NA()</definedName>
    <definedName name="__ML36">NA()</definedName>
    <definedName name="__ML37">NA()</definedName>
    <definedName name="__ML38">NA()</definedName>
    <definedName name="__ML39">NA()</definedName>
    <definedName name="__ML7">NA()</definedName>
    <definedName name="__ML8">NA()</definedName>
    <definedName name="__ML9">NA()</definedName>
    <definedName name="__mm1">[6]r!$F$4</definedName>
    <definedName name="__mm1000">NA()</definedName>
    <definedName name="__mm11">[2]r!$F$4</definedName>
    <definedName name="__mm111">[5]r!$F$4</definedName>
    <definedName name="__mm20">NA()</definedName>
    <definedName name="__mm40">NA()</definedName>
    <definedName name="__mm600">NA()</definedName>
    <definedName name="__mm800">NA()</definedName>
    <definedName name="__MS6">[34]MRATES!$T$17</definedName>
    <definedName name="__MT1">NA()</definedName>
    <definedName name="__MT10">NA()</definedName>
    <definedName name="__MT100">NA()</definedName>
    <definedName name="__MT101">NA()</definedName>
    <definedName name="__MT102">NA()</definedName>
    <definedName name="__MT103">NA()</definedName>
    <definedName name="__MT104">NA()</definedName>
    <definedName name="__MT105">NA()</definedName>
    <definedName name="__MT106">NA()</definedName>
    <definedName name="__MT107">NA()</definedName>
    <definedName name="__MT108">NA()</definedName>
    <definedName name="__MT109">NA()</definedName>
    <definedName name="__MT11">NA()</definedName>
    <definedName name="__MT110">NA()</definedName>
    <definedName name="__MT111">NA()</definedName>
    <definedName name="__MT112">NA()</definedName>
    <definedName name="__MT113">NA()</definedName>
    <definedName name="__MT114">NA()</definedName>
    <definedName name="__MT115">NA()</definedName>
    <definedName name="__MT116">NA()</definedName>
    <definedName name="__MT117">NA()</definedName>
    <definedName name="__MT118">NA()</definedName>
    <definedName name="__MT119">NA()</definedName>
    <definedName name="__MT12">NA()</definedName>
    <definedName name="__MT120">NA()</definedName>
    <definedName name="__MT121">NA()</definedName>
    <definedName name="__MT122">NA()</definedName>
    <definedName name="__MT123">NA()</definedName>
    <definedName name="__MT124">NA()</definedName>
    <definedName name="__MT125">NA()</definedName>
    <definedName name="__MT126">NA()</definedName>
    <definedName name="__MT127">NA()</definedName>
    <definedName name="__MT128">NA()</definedName>
    <definedName name="__MT129">NA()</definedName>
    <definedName name="__MT13">NA()</definedName>
    <definedName name="__MT130">NA()</definedName>
    <definedName name="__MT131">NA()</definedName>
    <definedName name="__MT132">NA()</definedName>
    <definedName name="__MT133">NA()</definedName>
    <definedName name="__MT134">NA()</definedName>
    <definedName name="__MT135">NA()</definedName>
    <definedName name="__MT136">NA()</definedName>
    <definedName name="__MT137">NA()</definedName>
    <definedName name="__MT138">NA()</definedName>
    <definedName name="__MT139">NA()</definedName>
    <definedName name="__MT14">NA()</definedName>
    <definedName name="__MT140">NA()</definedName>
    <definedName name="__MT141">NA()</definedName>
    <definedName name="__MT142">NA()</definedName>
    <definedName name="__MT143">NA()</definedName>
    <definedName name="__MT144">NA()</definedName>
    <definedName name="__MT145">NA()</definedName>
    <definedName name="__MT146">NA()</definedName>
    <definedName name="__MT147">NA()</definedName>
    <definedName name="__MT148">NA()</definedName>
    <definedName name="__MT149">NA()</definedName>
    <definedName name="__MT15">NA()</definedName>
    <definedName name="__MT150">NA()</definedName>
    <definedName name="__MT16">NA()</definedName>
    <definedName name="__MT17">NA()</definedName>
    <definedName name="__MT18">NA()</definedName>
    <definedName name="__MT19">NA()</definedName>
    <definedName name="__MT2">NA()</definedName>
    <definedName name="__MT20">NA()</definedName>
    <definedName name="__MT21">NA()</definedName>
    <definedName name="__MT22">NA()</definedName>
    <definedName name="__MT23">NA()</definedName>
    <definedName name="__MT24">NA()</definedName>
    <definedName name="__MT25">NA()</definedName>
    <definedName name="__MT26">NA()</definedName>
    <definedName name="__MT27">NA()</definedName>
    <definedName name="__MT28">NA()</definedName>
    <definedName name="__MT29">NA()</definedName>
    <definedName name="__MT3">NA()</definedName>
    <definedName name="__MT30">NA()</definedName>
    <definedName name="__MT31">NA()</definedName>
    <definedName name="__MT32">NA()</definedName>
    <definedName name="__MT33">NA()</definedName>
    <definedName name="__MT34">NA()</definedName>
    <definedName name="__MT35">NA()</definedName>
    <definedName name="__MT36">NA()</definedName>
    <definedName name="__MT37">NA()</definedName>
    <definedName name="__MT38">NA()</definedName>
    <definedName name="__MT39">NA()</definedName>
    <definedName name="__MT4">NA()</definedName>
    <definedName name="__MT40">NA()</definedName>
    <definedName name="__MT41">NA()</definedName>
    <definedName name="__MT42">NA()</definedName>
    <definedName name="__MT43">NA()</definedName>
    <definedName name="__MT44">NA()</definedName>
    <definedName name="__MT45">NA()</definedName>
    <definedName name="__MT46">NA()</definedName>
    <definedName name="__MT47">NA()</definedName>
    <definedName name="__MT48">NA()</definedName>
    <definedName name="__MT49">NA()</definedName>
    <definedName name="__MT5">NA()</definedName>
    <definedName name="__MT50">NA()</definedName>
    <definedName name="__MT500">NA()</definedName>
    <definedName name="__MT51">NA()</definedName>
    <definedName name="__MT52">NA()</definedName>
    <definedName name="__MT53">NA()</definedName>
    <definedName name="__MT54">NA()</definedName>
    <definedName name="__MT55">NA()</definedName>
    <definedName name="__MT56">NA()</definedName>
    <definedName name="__MT57">NA()</definedName>
    <definedName name="__MT58">NA()</definedName>
    <definedName name="__MT59">NA()</definedName>
    <definedName name="__MT6">NA()</definedName>
    <definedName name="__MT60">NA()</definedName>
    <definedName name="__MT61">NA()</definedName>
    <definedName name="__MT62">NA()</definedName>
    <definedName name="__MT63">NA()</definedName>
    <definedName name="__MT64">NA()</definedName>
    <definedName name="__MT65">NA()</definedName>
    <definedName name="__MT66">NA()</definedName>
    <definedName name="__MT67">NA()</definedName>
    <definedName name="__MT68">NA()</definedName>
    <definedName name="__MT69">NA()</definedName>
    <definedName name="__MT7">NA()</definedName>
    <definedName name="__MT70">NA()</definedName>
    <definedName name="__MT71">NA()</definedName>
    <definedName name="__MT72">NA()</definedName>
    <definedName name="__MT73">NA()</definedName>
    <definedName name="__MT74">NA()</definedName>
    <definedName name="__MT75">NA()</definedName>
    <definedName name="__MT76">NA()</definedName>
    <definedName name="__MT77">NA()</definedName>
    <definedName name="__MT78">NA()</definedName>
    <definedName name="__MT79">NA()</definedName>
    <definedName name="__MT8">NA()</definedName>
    <definedName name="__MT80">NA()</definedName>
    <definedName name="__MT81">NA()</definedName>
    <definedName name="__MT82">NA()</definedName>
    <definedName name="__MT83">NA()</definedName>
    <definedName name="__MT84">NA()</definedName>
    <definedName name="__MT85">NA()</definedName>
    <definedName name="__MT86">NA()</definedName>
    <definedName name="__MT87">NA()</definedName>
    <definedName name="__MT88">NA()</definedName>
    <definedName name="__MT89">NA()</definedName>
    <definedName name="__MT9">NA()</definedName>
    <definedName name="__MT90">NA()</definedName>
    <definedName name="__MT91">NA()</definedName>
    <definedName name="__MT92">NA()</definedName>
    <definedName name="__MT93">NA()</definedName>
    <definedName name="__MT94">NA()</definedName>
    <definedName name="__MT95">NA()</definedName>
    <definedName name="__MT96">NA()</definedName>
    <definedName name="__MT97">NA()</definedName>
    <definedName name="__MT98">NA()</definedName>
    <definedName name="__MT99">NA()</definedName>
    <definedName name="__OH1">[34]MRATES!$T$26</definedName>
    <definedName name="__p5">NA()</definedName>
    <definedName name="__PC1">NA()</definedName>
    <definedName name="__PC10">NA()</definedName>
    <definedName name="__PC11">NA()</definedName>
    <definedName name="__PC12">NA()</definedName>
    <definedName name="__PC13">NA()</definedName>
    <definedName name="__PC14">NA()</definedName>
    <definedName name="__PC15">NA()</definedName>
    <definedName name="__PC16">NA()</definedName>
    <definedName name="__PC17">NA()</definedName>
    <definedName name="__PC18">NA()</definedName>
    <definedName name="__PC19">NA()</definedName>
    <definedName name="__pc2" localSheetId="11">NA()</definedName>
    <definedName name="__pc2" localSheetId="12">NA()</definedName>
    <definedName name="__pc2" localSheetId="0">#REF!</definedName>
    <definedName name="__pc2">#REF!</definedName>
    <definedName name="__PC20">NA()</definedName>
    <definedName name="__PC21">NA()</definedName>
    <definedName name="__PC22">NA()</definedName>
    <definedName name="__PC23">NA()</definedName>
    <definedName name="__PC24">NA()</definedName>
    <definedName name="__PC3">NA()</definedName>
    <definedName name="__PC4">NA()</definedName>
    <definedName name="__PC5">NA()</definedName>
    <definedName name="__PC6">NA()</definedName>
    <definedName name="__pc600">NA()</definedName>
    <definedName name="__PC7">NA()</definedName>
    <definedName name="__PC8">NA()</definedName>
    <definedName name="__PC9">NA()</definedName>
    <definedName name="__pc900">NA()</definedName>
    <definedName name="__pla4">[12]DATA_PRG!$H$269</definedName>
    <definedName name="__PPA14">NA()</definedName>
    <definedName name="__PPB154">NA()</definedName>
    <definedName name="__PPB155">NA()</definedName>
    <definedName name="__PPB16">NA()</definedName>
    <definedName name="__PPB17">NA()</definedName>
    <definedName name="__PPB18">NA()</definedName>
    <definedName name="__PPB19">NA()</definedName>
    <definedName name="__PPB2">NA()</definedName>
    <definedName name="__PPB20">NA()</definedName>
    <definedName name="__PPB21">NA()</definedName>
    <definedName name="__PPB22">NA()</definedName>
    <definedName name="__PPB23">NA()</definedName>
    <definedName name="__PPB24">NA()</definedName>
    <definedName name="__PPB25">NA()</definedName>
    <definedName name="__PPB26">NA()</definedName>
    <definedName name="__PPB27">NA()</definedName>
    <definedName name="__PPB28">NA()</definedName>
    <definedName name="__PPB29">NA()</definedName>
    <definedName name="__PPB3">NA()</definedName>
    <definedName name="__PPB30">NA()</definedName>
    <definedName name="__PPB31">NA()</definedName>
    <definedName name="__PPB32">NA()</definedName>
    <definedName name="__PPB33">NA()</definedName>
    <definedName name="__PPB34">NA()</definedName>
    <definedName name="__PPB35">NA()</definedName>
    <definedName name="__PPB36">NA()</definedName>
    <definedName name="__PPB37">NA()</definedName>
    <definedName name="__PPB38">NA()</definedName>
    <definedName name="__PPB39">NA()</definedName>
    <definedName name="__PPB4">NA()</definedName>
    <definedName name="__PPB40">NA()</definedName>
    <definedName name="__PPB41">NA()</definedName>
    <definedName name="__PPB42">NA()</definedName>
    <definedName name="__PPB43">NA()</definedName>
    <definedName name="__PPB44">NA()</definedName>
    <definedName name="__PPB45">NA()</definedName>
    <definedName name="__PPB46">NA()</definedName>
    <definedName name="__PPB47">NA()</definedName>
    <definedName name="__PPB48">NA()</definedName>
    <definedName name="__PPB49">NA()</definedName>
    <definedName name="__PPB5">NA()</definedName>
    <definedName name="__PPB50">NA()</definedName>
    <definedName name="__PPB51">NA()</definedName>
    <definedName name="__PPB52">NA()</definedName>
    <definedName name="__PPB53">NA()</definedName>
    <definedName name="__PPB54">NA()</definedName>
    <definedName name="__PPB55">NA()</definedName>
    <definedName name="__PPB56">NA()</definedName>
    <definedName name="__PPB57">NA()</definedName>
    <definedName name="__PPB58">NA()</definedName>
    <definedName name="__PPB59">NA()</definedName>
    <definedName name="__PPB6">NA()</definedName>
    <definedName name="__PPB60">NA()</definedName>
    <definedName name="__PPB61">NA()</definedName>
    <definedName name="__PPB62">NA()</definedName>
    <definedName name="__PPB63">NA()</definedName>
    <definedName name="__PPB64">NA()</definedName>
    <definedName name="__PPB65">NA()</definedName>
    <definedName name="__PPB66">NA()</definedName>
    <definedName name="__PPB67">NA()</definedName>
    <definedName name="__PPB68">NA()</definedName>
    <definedName name="__PPB69">NA()</definedName>
    <definedName name="__PPB7">NA()</definedName>
    <definedName name="__PPB70">NA()</definedName>
    <definedName name="__PPB71">NA()</definedName>
    <definedName name="__PPB72">NA()</definedName>
    <definedName name="__PPB73">NA()</definedName>
    <definedName name="__PPB74">NA()</definedName>
    <definedName name="__PPB75">NA()</definedName>
    <definedName name="__PPB76">NA()</definedName>
    <definedName name="__PPB77">NA()</definedName>
    <definedName name="__PPB78">NA()</definedName>
    <definedName name="__PPB79">NA()</definedName>
    <definedName name="__PPB8">NA()</definedName>
    <definedName name="__PPB80">NA()</definedName>
    <definedName name="__PPB81">NA()</definedName>
    <definedName name="__PPB82">NA()</definedName>
    <definedName name="__PPB83">NA()</definedName>
    <definedName name="__PPB84">NA()</definedName>
    <definedName name="__PPB85">NA()</definedName>
    <definedName name="__PPB86">NA()</definedName>
    <definedName name="__PPB87">NA()</definedName>
    <definedName name="__PPB88">NA()</definedName>
    <definedName name="__PPB89">NA()</definedName>
    <definedName name="__PPB9">NA()</definedName>
    <definedName name="__PPB90">NA()</definedName>
    <definedName name="__PPB91">NA()</definedName>
    <definedName name="__PPB92">NA()</definedName>
    <definedName name="__PPB93">NA()</definedName>
    <definedName name="__PPB94">NA()</definedName>
    <definedName name="__PPB95">NA()</definedName>
    <definedName name="__PPB96">NA()</definedName>
    <definedName name="__PPB97">NA()</definedName>
    <definedName name="__PPB98">NA()</definedName>
    <definedName name="__PPB99">NA()</definedName>
    <definedName name="__PPC1">NA()</definedName>
    <definedName name="__PPC10">NA()</definedName>
    <definedName name="__PPC100">NA()</definedName>
    <definedName name="__PPC101">NA()</definedName>
    <definedName name="__PPC102">NA()</definedName>
    <definedName name="__PPC103">NA()</definedName>
    <definedName name="__PPC104">NA()</definedName>
    <definedName name="__PPC105">NA()</definedName>
    <definedName name="__PPC106">NA()</definedName>
    <definedName name="__PPC107">NA()</definedName>
    <definedName name="__PPC108">NA()</definedName>
    <definedName name="__PPC109">NA()</definedName>
    <definedName name="__PPC11">NA()</definedName>
    <definedName name="__PPC110">NA()</definedName>
    <definedName name="__PPC111">NA()</definedName>
    <definedName name="__PPC112">NA()</definedName>
    <definedName name="__PPC113">NA()</definedName>
    <definedName name="__PPC114">NA()</definedName>
    <definedName name="__PPC115">NA()</definedName>
    <definedName name="__PPC116">NA()</definedName>
    <definedName name="__PPC117">NA()</definedName>
    <definedName name="__PPC118">NA()</definedName>
    <definedName name="__PPC119">NA()</definedName>
    <definedName name="__PPC12">NA()</definedName>
    <definedName name="__PPC120">NA()</definedName>
    <definedName name="__PPC121">NA()</definedName>
    <definedName name="__PPC122">NA()</definedName>
    <definedName name="__PPC123">NA()</definedName>
    <definedName name="__PPC124">NA()</definedName>
    <definedName name="__PPC125">NA()</definedName>
    <definedName name="__PPC126">NA()</definedName>
    <definedName name="__PPC127">NA()</definedName>
    <definedName name="__PPC128">NA()</definedName>
    <definedName name="__PPC129">NA()</definedName>
    <definedName name="__PPC13">NA()</definedName>
    <definedName name="__PPC130">NA()</definedName>
    <definedName name="__PPC131">NA()</definedName>
    <definedName name="__PPC132">NA()</definedName>
    <definedName name="__PPC133">NA()</definedName>
    <definedName name="__PPC134">NA()</definedName>
    <definedName name="__PPC135">NA()</definedName>
    <definedName name="__PPC136">NA()</definedName>
    <definedName name="__PPC137">NA()</definedName>
    <definedName name="__PPC138">NA()</definedName>
    <definedName name="__PPC139">NA()</definedName>
    <definedName name="__PPC14">NA()</definedName>
    <definedName name="__PPC140">NA()</definedName>
    <definedName name="__PPC141">NA()</definedName>
    <definedName name="__PPC142">NA()</definedName>
    <definedName name="__PPC143">NA()</definedName>
    <definedName name="__PPC144">NA()</definedName>
    <definedName name="__PPC145">NA()</definedName>
    <definedName name="__PPC146">NA()</definedName>
    <definedName name="__PPC147">NA()</definedName>
    <definedName name="__PPC148">NA()</definedName>
    <definedName name="__PPC149">NA()</definedName>
    <definedName name="__PPC15">NA()</definedName>
    <definedName name="__PPC150">NA()</definedName>
    <definedName name="__PPC151">NA()</definedName>
    <definedName name="__PPC152">NA()</definedName>
    <definedName name="__PPC153">NA()</definedName>
    <definedName name="__PPC154">NA()</definedName>
    <definedName name="__PPC155">NA()</definedName>
    <definedName name="__PPC16">NA()</definedName>
    <definedName name="__PPC17">NA()</definedName>
    <definedName name="__PPC18">NA()</definedName>
    <definedName name="__PPC19">NA()</definedName>
    <definedName name="__PPC2">NA()</definedName>
    <definedName name="__PPC20">NA()</definedName>
    <definedName name="__PPC21">NA()</definedName>
    <definedName name="__PPC22">NA()</definedName>
    <definedName name="__PPC23">NA()</definedName>
    <definedName name="__PPC24">NA()</definedName>
    <definedName name="__PPC25">NA()</definedName>
    <definedName name="__PPC26">NA()</definedName>
    <definedName name="__PPC27">NA()</definedName>
    <definedName name="__PPC28">NA()</definedName>
    <definedName name="__PPC29">NA()</definedName>
    <definedName name="__PPC3">NA()</definedName>
    <definedName name="__PPC30">NA()</definedName>
    <definedName name="__PPC31">NA()</definedName>
    <definedName name="__PPC32">NA()</definedName>
    <definedName name="__PPC33">NA()</definedName>
    <definedName name="__PPC34">NA()</definedName>
    <definedName name="__PPC35">NA()</definedName>
    <definedName name="__PPC36">NA()</definedName>
    <definedName name="__PPC37">NA()</definedName>
    <definedName name="__PPC38">NA()</definedName>
    <definedName name="__PPC39">NA()</definedName>
    <definedName name="__PPC4">NA()</definedName>
    <definedName name="__PPC40">NA()</definedName>
    <definedName name="__PPC41">NA()</definedName>
    <definedName name="__PPC42">NA()</definedName>
    <definedName name="__PPC43">NA()</definedName>
    <definedName name="__PPC44">NA()</definedName>
    <definedName name="__PPC45">NA()</definedName>
    <definedName name="__PPC46">NA()</definedName>
    <definedName name="__PPC47">NA()</definedName>
    <definedName name="__PPC48">NA()</definedName>
    <definedName name="__PPC49">NA()</definedName>
    <definedName name="__PPC5">NA()</definedName>
    <definedName name="__PPC50">NA()</definedName>
    <definedName name="__PPC51">NA()</definedName>
    <definedName name="__PPC52">NA()</definedName>
    <definedName name="__PPC53">NA()</definedName>
    <definedName name="__PPC54">NA()</definedName>
    <definedName name="__PPC55">NA()</definedName>
    <definedName name="__PPC56">NA()</definedName>
    <definedName name="__PPC57">NA()</definedName>
    <definedName name="__PPC58">NA()</definedName>
    <definedName name="__PPC59">NA()</definedName>
    <definedName name="__PPC6">NA()</definedName>
    <definedName name="__PPC60">NA()</definedName>
    <definedName name="__PPC61">NA()</definedName>
    <definedName name="__PPC62">NA()</definedName>
    <definedName name="__PPC63">NA()</definedName>
    <definedName name="__PPC64">NA()</definedName>
    <definedName name="__PPC65">NA()</definedName>
    <definedName name="__PPC66">NA()</definedName>
    <definedName name="__PPC67">NA()</definedName>
    <definedName name="__PPC68">NA()</definedName>
    <definedName name="__PPC69">NA()</definedName>
    <definedName name="__PPC7">NA()</definedName>
    <definedName name="__PPC70">NA()</definedName>
    <definedName name="__PPC71">NA()</definedName>
    <definedName name="__PPC72">NA()</definedName>
    <definedName name="__PPC73">NA()</definedName>
    <definedName name="__PPC74">NA()</definedName>
    <definedName name="__PPC75">NA()</definedName>
    <definedName name="__PPC76">NA()</definedName>
    <definedName name="__PPC77">NA()</definedName>
    <definedName name="__PPC78">NA()</definedName>
    <definedName name="__PPC79">NA()</definedName>
    <definedName name="__PPC8">NA()</definedName>
    <definedName name="__PPC80">NA()</definedName>
    <definedName name="__PPC81">NA()</definedName>
    <definedName name="__PPC82">NA()</definedName>
    <definedName name="__PPC83">NA()</definedName>
    <definedName name="__PPC84">NA()</definedName>
    <definedName name="__PPC85">NA()</definedName>
    <definedName name="__PPC86">NA()</definedName>
    <definedName name="__PPC87">NA()</definedName>
    <definedName name="__PPC88">NA()</definedName>
    <definedName name="__PPC89">NA()</definedName>
    <definedName name="__PPC9">NA()</definedName>
    <definedName name="__PPC90">NA()</definedName>
    <definedName name="__PPC91">NA()</definedName>
    <definedName name="__PPC92">NA()</definedName>
    <definedName name="__PPC93">NA()</definedName>
    <definedName name="__PPC94">NA()</definedName>
    <definedName name="__PPD114">NA()</definedName>
    <definedName name="__psc10006">NA()</definedName>
    <definedName name="__psc10008">NA()</definedName>
    <definedName name="__psc3506">NA()</definedName>
    <definedName name="__psc3508">NA()</definedName>
    <definedName name="__psc4006">NA()</definedName>
    <definedName name="__psc4008">NA()</definedName>
    <definedName name="__psc4506">NA()</definedName>
    <definedName name="__psc4508">NA()</definedName>
    <definedName name="__psc5006">NA()</definedName>
    <definedName name="__psc5008">NA()</definedName>
    <definedName name="__psc6006">NA()</definedName>
    <definedName name="__psc6008">NA()</definedName>
    <definedName name="__psc7006">NA()</definedName>
    <definedName name="__psc7008">NA()</definedName>
    <definedName name="__psc8006">NA()</definedName>
    <definedName name="__psc8008">NA()</definedName>
    <definedName name="__psc9006">NA()</definedName>
    <definedName name="__psc9008">NA()</definedName>
    <definedName name="__pv1">NA()</definedName>
    <definedName name="__pv2" localSheetId="11">NA()</definedName>
    <definedName name="__pv2" localSheetId="12">NA()</definedName>
    <definedName name="__pv2" localSheetId="0">#REF!</definedName>
    <definedName name="__pv2">#REF!</definedName>
    <definedName name="__QS25" localSheetId="11">"[56]mrates!$g$16"</definedName>
    <definedName name="__QS25" localSheetId="12">"[56]mrates!$g$16"</definedName>
    <definedName name="__QS25">[29]MRATES!$G$16</definedName>
    <definedName name="__QS40" localSheetId="11">"[56]mrates!$g$17"</definedName>
    <definedName name="__QS40" localSheetId="12">"[56]mrates!$g$17"</definedName>
    <definedName name="__QS40">[29]MRATES!$G$17</definedName>
    <definedName name="__rr3">[7]v!$A$2:$E$51</definedName>
    <definedName name="__rrr1">[7]r!$B$1:$I$145</definedName>
    <definedName name="__RS300">NA()</definedName>
    <definedName name="__RT5565" localSheetId="11">NA()</definedName>
    <definedName name="__RT5565" localSheetId="12">NA()</definedName>
    <definedName name="__RT5565" localSheetId="0">#REF!</definedName>
    <definedName name="__RT5565">#REF!</definedName>
    <definedName name="__S12">NA()</definedName>
    <definedName name="__SD10">NA()</definedName>
    <definedName name="__SD100">NA()</definedName>
    <definedName name="__SD101">NA()</definedName>
    <definedName name="__SD102">NA()</definedName>
    <definedName name="__SD103">NA()</definedName>
    <definedName name="__SD104">NA()</definedName>
    <definedName name="__SD105">NA()</definedName>
    <definedName name="__SD106">NA()</definedName>
    <definedName name="__SD107">NA()</definedName>
    <definedName name="__SD108">NA()</definedName>
    <definedName name="__SD109">NA()</definedName>
    <definedName name="__SD11">NA()</definedName>
    <definedName name="__SD110">NA()</definedName>
    <definedName name="__SD111">NA()</definedName>
    <definedName name="__SD112">NA()</definedName>
    <definedName name="__SD113">NA()</definedName>
    <definedName name="__SD114">NA()</definedName>
    <definedName name="__SD115">NA()</definedName>
    <definedName name="__SD116">NA()</definedName>
    <definedName name="__SD117">NA()</definedName>
    <definedName name="__SD118">NA()</definedName>
    <definedName name="__SD119">NA()</definedName>
    <definedName name="__SD12">NA()</definedName>
    <definedName name="__SD121">NA()</definedName>
    <definedName name="__SD122">NA()</definedName>
    <definedName name="__SD123">NA()</definedName>
    <definedName name="__SD124">NA()</definedName>
    <definedName name="__SD125">NA()</definedName>
    <definedName name="__SD126">NA()</definedName>
    <definedName name="__SD127">NA()</definedName>
    <definedName name="__SD128">NA()</definedName>
    <definedName name="__SD129">NA()</definedName>
    <definedName name="__SD13">NA()</definedName>
    <definedName name="__SD130">NA()</definedName>
    <definedName name="__SD131">NA()</definedName>
    <definedName name="__SD132">NA()</definedName>
    <definedName name="__SD133">NA()</definedName>
    <definedName name="__SD134">NA()</definedName>
    <definedName name="__SD135">NA()</definedName>
    <definedName name="__SD136">NA()</definedName>
    <definedName name="__SD137">NA()</definedName>
    <definedName name="__SD138">NA()</definedName>
    <definedName name="__SD139">NA()</definedName>
    <definedName name="__SD14">NA()</definedName>
    <definedName name="__SD140">NA()</definedName>
    <definedName name="__SD141">NA()</definedName>
    <definedName name="__SD142">NA()</definedName>
    <definedName name="__SD143">NA()</definedName>
    <definedName name="__SD144">NA()</definedName>
    <definedName name="__SD145">NA()</definedName>
    <definedName name="__SD146">NA()</definedName>
    <definedName name="__SD147">NA()</definedName>
    <definedName name="__SD148">NA()</definedName>
    <definedName name="__SD149">NA()</definedName>
    <definedName name="__SD15">NA()</definedName>
    <definedName name="__SD150">NA()</definedName>
    <definedName name="__SD16">NA()</definedName>
    <definedName name="__SD17">NA()</definedName>
    <definedName name="__SD18">NA()</definedName>
    <definedName name="__SD19">NA()</definedName>
    <definedName name="__SD2">NA()</definedName>
    <definedName name="__SD20">NA()</definedName>
    <definedName name="__SD21">NA()</definedName>
    <definedName name="__SD22">NA()</definedName>
    <definedName name="__SD23">NA()</definedName>
    <definedName name="__SD24">NA()</definedName>
    <definedName name="__SD25">NA()</definedName>
    <definedName name="__SD250">NA()</definedName>
    <definedName name="__SD26">NA()</definedName>
    <definedName name="__SD27">NA()</definedName>
    <definedName name="__SD28">NA()</definedName>
    <definedName name="__SD29">NA()</definedName>
    <definedName name="__SD3">NA()</definedName>
    <definedName name="__SD30">NA()</definedName>
    <definedName name="__SD31">NA()</definedName>
    <definedName name="__SD32">NA()</definedName>
    <definedName name="__SD33">NA()</definedName>
    <definedName name="__SD34">NA()</definedName>
    <definedName name="__SD35">NA()</definedName>
    <definedName name="__SD36">NA()</definedName>
    <definedName name="__SD37">NA()</definedName>
    <definedName name="__SD38">NA()</definedName>
    <definedName name="__SD39">NA()</definedName>
    <definedName name="__SD4">NA()</definedName>
    <definedName name="__SD40">NA()</definedName>
    <definedName name="__SD41">NA()</definedName>
    <definedName name="__SD42">NA()</definedName>
    <definedName name="__SD43">NA()</definedName>
    <definedName name="__SD44">NA()</definedName>
    <definedName name="__SD45">NA()</definedName>
    <definedName name="__SD46">NA()</definedName>
    <definedName name="__SD47">NA()</definedName>
    <definedName name="__SD48">NA()</definedName>
    <definedName name="__SD49">NA()</definedName>
    <definedName name="__SD5">NA()</definedName>
    <definedName name="__SD50">NA()</definedName>
    <definedName name="__SD500">NA()</definedName>
    <definedName name="__SD51">NA()</definedName>
    <definedName name="__SD52">NA()</definedName>
    <definedName name="__SD53">NA()</definedName>
    <definedName name="__SD54">NA()</definedName>
    <definedName name="__SD55">NA()</definedName>
    <definedName name="__SD56">NA()</definedName>
    <definedName name="__SD57">NA()</definedName>
    <definedName name="__SD58">NA()</definedName>
    <definedName name="__SD59">NA()</definedName>
    <definedName name="__SD6">NA()</definedName>
    <definedName name="__SD60">NA()</definedName>
    <definedName name="__SD61">NA()</definedName>
    <definedName name="__SD62">NA()</definedName>
    <definedName name="__SD63">NA()</definedName>
    <definedName name="__SD64">NA()</definedName>
    <definedName name="__SD65">NA()</definedName>
    <definedName name="__SD66">NA()</definedName>
    <definedName name="__SD67">NA()</definedName>
    <definedName name="__SD68">NA()</definedName>
    <definedName name="__SD69">NA()</definedName>
    <definedName name="__SD7">NA()</definedName>
    <definedName name="__SD70">NA()</definedName>
    <definedName name="__SD71">NA()</definedName>
    <definedName name="__SD72">NA()</definedName>
    <definedName name="__SD73">NA()</definedName>
    <definedName name="__SD74">NA()</definedName>
    <definedName name="__SD75">NA()</definedName>
    <definedName name="__SD76">NA()</definedName>
    <definedName name="__SD77">NA()</definedName>
    <definedName name="__SD78">NA()</definedName>
    <definedName name="__SD79">NA()</definedName>
    <definedName name="__SD8">NA()</definedName>
    <definedName name="__SD80">NA()</definedName>
    <definedName name="__SD81">NA()</definedName>
    <definedName name="__SD82">NA()</definedName>
    <definedName name="__SD83">NA()</definedName>
    <definedName name="__SD84">NA()</definedName>
    <definedName name="__SD85">NA()</definedName>
    <definedName name="__SD86">NA()</definedName>
    <definedName name="__SD87">NA()</definedName>
    <definedName name="__SD88">NA()</definedName>
    <definedName name="__SD89">NA()</definedName>
    <definedName name="__SD9">NA()</definedName>
    <definedName name="__SD90">NA()</definedName>
    <definedName name="__SD91">NA()</definedName>
    <definedName name="__SD92">NA()</definedName>
    <definedName name="__SD93">NA()</definedName>
    <definedName name="__SD94">NA()</definedName>
    <definedName name="__SD95">NA()</definedName>
    <definedName name="__SD96">NA()</definedName>
    <definedName name="__SD97">NA()</definedName>
    <definedName name="__SD98">NA()</definedName>
    <definedName name="__SD99">NA()</definedName>
    <definedName name="__shared_11_0_0">NA()</definedName>
    <definedName name="__shared_11_0_1">NA()</definedName>
    <definedName name="__shared_11_0_10">NA()</definedName>
    <definedName name="__shared_11_0_11">NA()</definedName>
    <definedName name="__shared_11_0_12">2.5-0.15-0.6-0.45</definedName>
    <definedName name="__shared_11_0_13">NA()</definedName>
    <definedName name="__shared_11_0_14">3.6-0.15</definedName>
    <definedName name="__shared_11_0_15">NA()</definedName>
    <definedName name="__shared_11_0_16">NA()</definedName>
    <definedName name="__shared_11_0_17">NA()</definedName>
    <definedName name="__shared_11_0_18">NA()</definedName>
    <definedName name="__shared_11_0_19">0.425-0.15</definedName>
    <definedName name="__shared_11_0_2">NA()</definedName>
    <definedName name="__shared_11_0_20">0.425-0.125</definedName>
    <definedName name="__shared_11_0_21">0.45-0.15</definedName>
    <definedName name="__shared_11_0_22">NA()</definedName>
    <definedName name="__shared_11_0_23">NA()</definedName>
    <definedName name="__shared_11_0_24">NA()</definedName>
    <definedName name="__shared_11_0_25">NA()</definedName>
    <definedName name="__shared_11_0_26">NA()</definedName>
    <definedName name="__shared_11_0_27">NA()</definedName>
    <definedName name="__shared_11_0_28">NA()</definedName>
    <definedName name="__shared_11_0_29">NA()</definedName>
    <definedName name="__shared_11_0_3">NA()</definedName>
    <definedName name="__shared_11_0_30">NA()</definedName>
    <definedName name="__shared_11_0_31">NA()</definedName>
    <definedName name="__shared_11_0_32">NA()</definedName>
    <definedName name="__shared_11_0_33">NA()</definedName>
    <definedName name="__shared_11_0_34">3.6-0.45</definedName>
    <definedName name="__shared_11_0_35">NA()</definedName>
    <definedName name="__shared_11_0_36">3.6-0.425</definedName>
    <definedName name="__shared_11_0_37">3.6-0.45</definedName>
    <definedName name="__shared_11_0_38">NA()</definedName>
    <definedName name="__shared_11_0_39">NA()</definedName>
    <definedName name="__shared_11_0_4">NA()</definedName>
    <definedName name="__shared_11_0_40">3.6-0.45</definedName>
    <definedName name="__shared_11_0_41">NA()</definedName>
    <definedName name="__shared_11_0_42">3.6-0.45</definedName>
    <definedName name="__shared_11_0_43">NA()</definedName>
    <definedName name="__shared_11_0_44">NA()</definedName>
    <definedName name="__shared_11_0_45">NA()</definedName>
    <definedName name="__shared_11_0_46">NA()</definedName>
    <definedName name="__shared_11_0_47">NA()</definedName>
    <definedName name="__shared_11_0_48">NA()</definedName>
    <definedName name="__shared_11_0_49">NA()</definedName>
    <definedName name="__shared_11_0_5">NA()</definedName>
    <definedName name="__shared_11_0_50">NA()</definedName>
    <definedName name="__shared_11_0_51">NA()</definedName>
    <definedName name="__shared_11_0_52">NA()</definedName>
    <definedName name="__shared_11_0_53">NA()</definedName>
    <definedName name="__shared_11_0_54">NA()</definedName>
    <definedName name="__shared_11_0_55">3.6-0.125</definedName>
    <definedName name="__shared_11_0_56">NA()</definedName>
    <definedName name="__shared_11_0_57">NA()</definedName>
    <definedName name="__shared_11_0_58">NA()</definedName>
    <definedName name="__shared_11_0_59">NA()</definedName>
    <definedName name="__shared_11_0_6">NA()</definedName>
    <definedName name="__shared_11_0_60">NA()</definedName>
    <definedName name="__shared_11_0_61">NA()</definedName>
    <definedName name="__shared_11_0_62">NA()</definedName>
    <definedName name="__shared_11_0_63">NA()</definedName>
    <definedName name="__shared_11_0_64">NA()</definedName>
    <definedName name="__shared_11_0_65">NA()</definedName>
    <definedName name="__shared_11_0_66">NA()</definedName>
    <definedName name="__shared_11_0_67">NA()</definedName>
    <definedName name="__shared_11_0_68">NA()</definedName>
    <definedName name="__shared_11_0_69">NA()</definedName>
    <definedName name="__shared_11_0_7">NA()</definedName>
    <definedName name="__shared_11_0_70">NA()</definedName>
    <definedName name="__shared_11_0_71">NA()</definedName>
    <definedName name="__shared_11_0_72">NA()</definedName>
    <definedName name="__shared_11_0_73">NA()</definedName>
    <definedName name="__shared_11_0_8">NA()</definedName>
    <definedName name="__shared_11_0_9">NA()</definedName>
    <definedName name="__shared_12_0_0">3.6-0.15</definedName>
    <definedName name="__shared_12_0_1">NA()</definedName>
    <definedName name="__shared_12_0_10">NA()</definedName>
    <definedName name="__shared_12_0_11">NA()</definedName>
    <definedName name="__shared_12_0_12">NA()</definedName>
    <definedName name="__shared_12_0_13">3.6-0.45</definedName>
    <definedName name="__shared_12_0_14">NA()</definedName>
    <definedName name="__shared_12_0_15">3.6-0.45</definedName>
    <definedName name="__shared_12_0_16">NA()</definedName>
    <definedName name="__shared_12_0_17">NA()</definedName>
    <definedName name="__shared_12_0_18">(3.6/0.15)-2</definedName>
    <definedName name="__shared_12_0_19">NA()</definedName>
    <definedName name="__shared_12_0_2">0.425-0.15</definedName>
    <definedName name="__shared_12_0_20">NA()</definedName>
    <definedName name="__shared_12_0_21">NA()</definedName>
    <definedName name="__shared_12_0_22">NA()</definedName>
    <definedName name="__shared_12_0_23">NA()</definedName>
    <definedName name="__shared_12_0_24">3.6-0.125</definedName>
    <definedName name="__shared_12_0_25">NA()</definedName>
    <definedName name="__shared_12_0_26">NA()</definedName>
    <definedName name="__shared_12_0_27">NA()</definedName>
    <definedName name="__shared_12_0_28">NA()</definedName>
    <definedName name="__shared_12_0_29">NA()</definedName>
    <definedName name="__shared_12_0_3">0.425-0.125</definedName>
    <definedName name="__shared_12_0_30">NA()</definedName>
    <definedName name="__shared_12_0_31">NA()</definedName>
    <definedName name="__shared_12_0_32">NA()</definedName>
    <definedName name="__shared_12_0_33">NA()</definedName>
    <definedName name="__shared_12_0_34">NA()</definedName>
    <definedName name="__shared_12_0_35">NA()</definedName>
    <definedName name="__shared_12_0_36">NA()</definedName>
    <definedName name="__shared_12_0_37">NA()</definedName>
    <definedName name="__shared_12_0_38">NA()</definedName>
    <definedName name="__shared_12_0_39">NA()</definedName>
    <definedName name="__shared_12_0_4">0.45-0.15</definedName>
    <definedName name="__shared_12_0_40">NA()</definedName>
    <definedName name="__shared_12_0_5">NA()</definedName>
    <definedName name="__shared_12_0_6">NA()</definedName>
    <definedName name="__shared_12_0_7">NA()</definedName>
    <definedName name="__shared_12_0_8">NA()</definedName>
    <definedName name="__shared_12_0_9">NA()</definedName>
    <definedName name="__shared_13_0_0">0.6-0.15</definedName>
    <definedName name="__shared_13_0_1">NA()</definedName>
    <definedName name="__shared_13_0_2">3.6-0.6</definedName>
    <definedName name="__shared_13_0_3">NA()</definedName>
    <definedName name="__shared_15_0_0">NA()</definedName>
    <definedName name="__shared_15_0_1">NA()</definedName>
    <definedName name="__shared_15_0_10">NA()</definedName>
    <definedName name="__shared_15_0_11">NA()</definedName>
    <definedName name="__shared_15_0_12">NA()</definedName>
    <definedName name="__shared_15_0_13">NA()</definedName>
    <definedName name="__shared_15_0_2">NA()</definedName>
    <definedName name="__shared_15_0_3">NA()</definedName>
    <definedName name="__shared_15_0_4">NA()</definedName>
    <definedName name="__shared_15_0_5">NA()</definedName>
    <definedName name="__shared_15_0_6">NA()</definedName>
    <definedName name="__shared_15_0_7">NA()</definedName>
    <definedName name="__shared_15_0_8">NA()</definedName>
    <definedName name="__shared_15_0_9">NA()</definedName>
    <definedName name="__shared_16_0_0">NA()</definedName>
    <definedName name="__shared_16_0_1">NA()</definedName>
    <definedName name="__shared_16_0_2">NA()</definedName>
    <definedName name="__shared_16_0_3">NA()</definedName>
    <definedName name="__shared_18_0_0">NA()</definedName>
    <definedName name="__shared_18_0_1">NA()</definedName>
    <definedName name="__shared_18_0_10">NA()</definedName>
    <definedName name="__shared_18_0_11">NA()</definedName>
    <definedName name="__shared_18_0_12">NA()</definedName>
    <definedName name="__shared_18_0_13">2.5-0.15-0.65</definedName>
    <definedName name="__shared_18_0_14">NA()</definedName>
    <definedName name="__shared_18_0_15">3.8-0.15</definedName>
    <definedName name="__shared_18_0_16">NA()</definedName>
    <definedName name="__shared_18_0_17">NA()</definedName>
    <definedName name="__shared_18_0_18">NA()</definedName>
    <definedName name="__shared_18_0_19">NA()</definedName>
    <definedName name="__shared_18_0_2">NA()</definedName>
    <definedName name="__shared_18_0_20">NA()</definedName>
    <definedName name="__shared_18_0_21">NA()</definedName>
    <definedName name="__shared_18_0_22">NA()</definedName>
    <definedName name="__shared_18_0_23">NA()</definedName>
    <definedName name="__shared_18_0_24">NA()</definedName>
    <definedName name="__shared_18_0_25">NA()</definedName>
    <definedName name="__shared_18_0_26">NA()</definedName>
    <definedName name="__shared_18_0_27">3.8-0.45</definedName>
    <definedName name="__shared_18_0_28">3.8-0.475</definedName>
    <definedName name="__shared_18_0_29">3.8-0.475</definedName>
    <definedName name="__shared_18_0_3">NA()</definedName>
    <definedName name="__shared_18_0_30">NA()</definedName>
    <definedName name="__shared_18_0_31">NA()</definedName>
    <definedName name="__shared_18_0_32">NA()</definedName>
    <definedName name="__shared_18_0_33">NA()</definedName>
    <definedName name="__shared_18_0_34">NA()</definedName>
    <definedName name="__shared_18_0_35">NA()</definedName>
    <definedName name="__shared_18_0_36">NA()</definedName>
    <definedName name="__shared_18_0_37">NA()</definedName>
    <definedName name="__shared_18_0_38">NA()</definedName>
    <definedName name="__shared_18_0_39">NA()</definedName>
    <definedName name="__shared_18_0_4">NA()</definedName>
    <definedName name="__shared_18_0_40">NA()</definedName>
    <definedName name="__shared_18_0_41">NA()</definedName>
    <definedName name="__shared_18_0_42">NA()</definedName>
    <definedName name="__shared_18_0_43">NA()</definedName>
    <definedName name="__shared_18_0_44">NA()</definedName>
    <definedName name="__shared_18_0_45">NA()</definedName>
    <definedName name="__shared_18_0_46">NA()</definedName>
    <definedName name="__shared_18_0_47">3.8-0.125</definedName>
    <definedName name="__shared_18_0_48">3.8-0.125</definedName>
    <definedName name="__shared_18_0_49">NA()</definedName>
    <definedName name="__shared_18_0_5">NA()</definedName>
    <definedName name="__shared_18_0_50">NA()</definedName>
    <definedName name="__shared_18_0_51">3.8-0.125</definedName>
    <definedName name="__shared_18_0_52">NA()</definedName>
    <definedName name="__shared_18_0_53">NA()</definedName>
    <definedName name="__shared_18_0_54">NA()</definedName>
    <definedName name="__shared_18_0_55">NA()</definedName>
    <definedName name="__shared_18_0_56">NA()</definedName>
    <definedName name="__shared_18_0_57">NA()</definedName>
    <definedName name="__shared_18_0_58">NA()</definedName>
    <definedName name="__shared_18_0_59">NA()</definedName>
    <definedName name="__shared_18_0_6">NA()</definedName>
    <definedName name="__shared_18_0_60">NA()</definedName>
    <definedName name="__shared_18_0_61">NA()</definedName>
    <definedName name="__shared_18_0_62">NA()</definedName>
    <definedName name="__shared_18_0_63">NA()</definedName>
    <definedName name="__shared_18_0_64">NA()</definedName>
    <definedName name="__shared_18_0_65">NA()</definedName>
    <definedName name="__shared_18_0_66">NA()</definedName>
    <definedName name="__shared_18_0_67">NA()</definedName>
    <definedName name="__shared_18_0_7">NA()</definedName>
    <definedName name="__shared_18_0_8">NA()</definedName>
    <definedName name="__shared_18_0_9">NA()</definedName>
    <definedName name="__shared_19_0_0">3.8-0.15</definedName>
    <definedName name="__shared_19_0_1">NA()</definedName>
    <definedName name="__shared_19_0_10">3.8-0.45</definedName>
    <definedName name="__shared_19_0_11">3.8-0.475</definedName>
    <definedName name="__shared_19_0_12">3.8-0.475</definedName>
    <definedName name="__shared_19_0_13">NA()</definedName>
    <definedName name="__shared_19_0_14">NA()</definedName>
    <definedName name="__shared_19_0_15">NA()</definedName>
    <definedName name="__shared_19_0_16">NA()</definedName>
    <definedName name="__shared_19_0_17">NA()</definedName>
    <definedName name="__shared_19_0_18">NA()</definedName>
    <definedName name="__shared_19_0_19">NA()</definedName>
    <definedName name="__shared_19_0_2">NA()</definedName>
    <definedName name="__shared_19_0_20">NA()</definedName>
    <definedName name="__shared_19_0_21">NA()</definedName>
    <definedName name="__shared_19_0_22">NA()</definedName>
    <definedName name="__shared_19_0_23">NA()</definedName>
    <definedName name="__shared_19_0_24">NA()</definedName>
    <definedName name="__shared_19_0_25">NA()</definedName>
    <definedName name="__shared_19_0_26">NA()</definedName>
    <definedName name="__shared_19_0_27">3.8-0.125</definedName>
    <definedName name="__shared_19_0_28">3.8-0.125</definedName>
    <definedName name="__shared_19_0_29">NA()</definedName>
    <definedName name="__shared_19_0_3">NA()</definedName>
    <definedName name="__shared_19_0_30">NA()</definedName>
    <definedName name="__shared_19_0_31">3.8-0.125</definedName>
    <definedName name="__shared_19_0_32">NA()</definedName>
    <definedName name="__shared_19_0_33">NA()</definedName>
    <definedName name="__shared_19_0_34">NA()</definedName>
    <definedName name="__shared_19_0_35">NA()</definedName>
    <definedName name="__shared_19_0_36">NA()</definedName>
    <definedName name="__shared_19_0_37">NA()</definedName>
    <definedName name="__shared_19_0_38">NA()</definedName>
    <definedName name="__shared_19_0_39">NA()</definedName>
    <definedName name="__shared_19_0_4">NA()</definedName>
    <definedName name="__shared_19_0_40">NA()</definedName>
    <definedName name="__shared_19_0_41">NA()</definedName>
    <definedName name="__shared_19_0_42">NA()</definedName>
    <definedName name="__shared_19_0_43">NA()</definedName>
    <definedName name="__shared_19_0_5">NA()</definedName>
    <definedName name="__shared_19_0_6">NA()</definedName>
    <definedName name="__shared_19_0_7">NA()</definedName>
    <definedName name="__shared_19_0_8">NA()</definedName>
    <definedName name="__shared_19_0_9">NA()</definedName>
    <definedName name="__shared_2_0_0">NA()</definedName>
    <definedName name="__shared_2_0_1">NA()</definedName>
    <definedName name="__shared_2_0_2">NA()</definedName>
    <definedName name="__shared_20_0_0">3.8-0.15</definedName>
    <definedName name="__shared_20_0_1">1.5-0.125</definedName>
    <definedName name="__shared_20_0_10">NA()</definedName>
    <definedName name="__shared_20_0_11">2*0.9+0.11</definedName>
    <definedName name="__shared_20_0_12">1.5-0.125</definedName>
    <definedName name="__shared_20_0_13">NA()</definedName>
    <definedName name="__shared_20_0_14">NA()</definedName>
    <definedName name="__shared_20_0_2">NA()</definedName>
    <definedName name="__shared_20_0_3">NA()</definedName>
    <definedName name="__shared_20_0_4">NA()</definedName>
    <definedName name="__shared_20_0_5">0.475-0.175</definedName>
    <definedName name="__shared_20_0_6">NA()</definedName>
    <definedName name="__shared_20_0_7">NA()</definedName>
    <definedName name="__shared_20_0_8">NA()</definedName>
    <definedName name="__shared_20_0_9">NA()</definedName>
    <definedName name="__shared_22_0_0">NA()</definedName>
    <definedName name="__shared_22_0_1">NA()</definedName>
    <definedName name="__shared_22_0_10">NA()</definedName>
    <definedName name="__shared_22_0_11">NA()</definedName>
    <definedName name="__shared_22_0_12">NA()</definedName>
    <definedName name="__shared_22_0_13">NA()</definedName>
    <definedName name="__shared_22_0_2">NA()</definedName>
    <definedName name="__shared_22_0_3">NA()</definedName>
    <definedName name="__shared_22_0_4">NA()</definedName>
    <definedName name="__shared_22_0_5">NA()</definedName>
    <definedName name="__shared_22_0_6">NA()</definedName>
    <definedName name="__shared_22_0_7">NA()</definedName>
    <definedName name="__shared_22_0_8">NA()</definedName>
    <definedName name="__shared_22_0_9">NA()</definedName>
    <definedName name="__shared_23_0_0">NA()</definedName>
    <definedName name="__shared_23_0_1">NA()</definedName>
    <definedName name="__shared_23_0_2">NA()</definedName>
    <definedName name="__shared_25_0_0">NA()</definedName>
    <definedName name="__shared_25_0_1">NA()</definedName>
    <definedName name="__shared_25_0_10">NA()</definedName>
    <definedName name="__shared_25_0_11">NA()</definedName>
    <definedName name="__shared_25_0_12">NA()</definedName>
    <definedName name="__shared_25_0_13">3.8-0.125</definedName>
    <definedName name="__shared_25_0_14">NA()</definedName>
    <definedName name="__shared_25_0_15">NA()</definedName>
    <definedName name="__shared_25_0_16">NA()</definedName>
    <definedName name="__shared_25_0_17">NA()</definedName>
    <definedName name="__shared_25_0_18">NA()</definedName>
    <definedName name="__shared_25_0_19">NA()</definedName>
    <definedName name="__shared_25_0_2">NA()</definedName>
    <definedName name="__shared_25_0_20">NA()</definedName>
    <definedName name="__shared_25_0_21">NA()</definedName>
    <definedName name="__shared_25_0_22">NA()</definedName>
    <definedName name="__shared_25_0_23">NA()</definedName>
    <definedName name="__shared_25_0_24">3.8-0.425</definedName>
    <definedName name="__shared_25_0_25">NA()</definedName>
    <definedName name="__shared_25_0_26">NA()</definedName>
    <definedName name="__shared_25_0_27">3.8-0.425</definedName>
    <definedName name="__shared_25_0_28">NA()</definedName>
    <definedName name="__shared_25_0_29">NA()</definedName>
    <definedName name="__shared_25_0_3">NA()</definedName>
    <definedName name="__shared_25_0_30">NA()</definedName>
    <definedName name="__shared_25_0_31">NA()</definedName>
    <definedName name="__shared_25_0_32">NA()</definedName>
    <definedName name="__shared_25_0_33">NA()</definedName>
    <definedName name="__shared_25_0_34">NA()</definedName>
    <definedName name="__shared_25_0_35">NA()</definedName>
    <definedName name="__shared_25_0_36">NA()</definedName>
    <definedName name="__shared_25_0_37">NA()</definedName>
    <definedName name="__shared_25_0_38">3.8-0.125</definedName>
    <definedName name="__shared_25_0_39">NA()</definedName>
    <definedName name="__shared_25_0_4">NA()</definedName>
    <definedName name="__shared_25_0_40">NA()</definedName>
    <definedName name="__shared_25_0_41">NA()</definedName>
    <definedName name="__shared_25_0_42">NA()</definedName>
    <definedName name="__shared_25_0_43">NA()</definedName>
    <definedName name="__shared_25_0_44">NA()</definedName>
    <definedName name="__shared_25_0_45">NA()</definedName>
    <definedName name="__shared_25_0_46">NA()</definedName>
    <definedName name="__shared_25_0_47">NA()</definedName>
    <definedName name="__shared_25_0_48">NA()</definedName>
    <definedName name="__shared_25_0_49">NA()</definedName>
    <definedName name="__shared_25_0_5">NA()</definedName>
    <definedName name="__shared_25_0_50">NA()</definedName>
    <definedName name="__shared_25_0_6">NA()</definedName>
    <definedName name="__shared_25_0_7">NA()</definedName>
    <definedName name="__shared_25_0_8">NA()</definedName>
    <definedName name="__shared_25_0_9">NA()</definedName>
    <definedName name="__shared_26_0_0">NA()</definedName>
    <definedName name="__shared_26_0_1">NA()</definedName>
    <definedName name="__shared_26_0_2">NA()</definedName>
    <definedName name="__shared_28_0_0">NA()</definedName>
    <definedName name="__shared_28_0_1">NA()</definedName>
    <definedName name="__shared_28_0_10">NA()</definedName>
    <definedName name="__shared_28_0_11">NA()</definedName>
    <definedName name="__shared_28_0_2">NA()</definedName>
    <definedName name="__shared_28_0_3">NA()</definedName>
    <definedName name="__shared_28_0_4">NA()</definedName>
    <definedName name="__shared_28_0_5">NA()</definedName>
    <definedName name="__shared_28_0_6">NA()</definedName>
    <definedName name="__shared_28_0_7">NA()</definedName>
    <definedName name="__shared_28_0_8">NA()</definedName>
    <definedName name="__shared_28_0_9">NA()</definedName>
    <definedName name="__shared_29_0_0">NA()</definedName>
    <definedName name="__shared_29_0_1">NA()</definedName>
    <definedName name="__shared_29_0_2">NA()</definedName>
    <definedName name="__shared_3_0_0">NA()</definedName>
    <definedName name="__shared_3_0_1">NA()</definedName>
    <definedName name="__shared_3_0_2">NA()</definedName>
    <definedName name="__shared_3_0_3">NA()</definedName>
    <definedName name="__shared_31_0_0">NA()</definedName>
    <definedName name="__shared_31_0_1">NA()</definedName>
    <definedName name="__shared_31_0_10">NA()</definedName>
    <definedName name="__shared_31_0_11">NA()</definedName>
    <definedName name="__shared_31_0_12">NA()</definedName>
    <definedName name="__shared_31_0_13">NA()</definedName>
    <definedName name="__shared_31_0_14">NA()</definedName>
    <definedName name="__shared_31_0_15">NA()</definedName>
    <definedName name="__shared_31_0_16">NA()</definedName>
    <definedName name="__shared_31_0_17">NA()</definedName>
    <definedName name="__shared_31_0_18">NA()</definedName>
    <definedName name="__shared_31_0_19">NA()</definedName>
    <definedName name="__shared_31_0_2">NA()</definedName>
    <definedName name="__shared_31_0_20">NA()</definedName>
    <definedName name="__shared_31_0_21">NA()</definedName>
    <definedName name="__shared_31_0_22">NA()</definedName>
    <definedName name="__shared_31_0_23">NA()</definedName>
    <definedName name="__shared_31_0_24">NA()</definedName>
    <definedName name="__shared_31_0_25">NA()</definedName>
    <definedName name="__shared_31_0_26">NA()</definedName>
    <definedName name="__shared_31_0_27">NA()</definedName>
    <definedName name="__shared_31_0_28">NA()</definedName>
    <definedName name="__shared_31_0_29">NA()</definedName>
    <definedName name="__shared_31_0_3">NA()</definedName>
    <definedName name="__shared_31_0_30">NA()</definedName>
    <definedName name="__shared_31_0_31">NA()</definedName>
    <definedName name="__shared_31_0_32">NA()</definedName>
    <definedName name="__shared_31_0_33">NA()</definedName>
    <definedName name="__shared_31_0_34">NA()</definedName>
    <definedName name="__shared_31_0_35">NA()</definedName>
    <definedName name="__shared_31_0_36">3-0.15</definedName>
    <definedName name="__shared_31_0_37">NA()</definedName>
    <definedName name="__shared_31_0_38">NA()</definedName>
    <definedName name="__shared_31_0_39">NA()</definedName>
    <definedName name="__shared_31_0_4">NA()</definedName>
    <definedName name="__shared_31_0_40">NA()</definedName>
    <definedName name="__shared_31_0_41">NA()</definedName>
    <definedName name="__shared_31_0_42">NA()</definedName>
    <definedName name="__shared_31_0_43">NA()</definedName>
    <definedName name="__shared_31_0_44">NA()</definedName>
    <definedName name="__shared_31_0_45">NA()</definedName>
    <definedName name="__shared_31_0_46">NA()</definedName>
    <definedName name="__shared_31_0_47">NA()</definedName>
    <definedName name="__shared_31_0_5">NA()</definedName>
    <definedName name="__shared_31_0_6">NA()</definedName>
    <definedName name="__shared_31_0_7">NA()</definedName>
    <definedName name="__shared_31_0_8">0.45-0.15</definedName>
    <definedName name="__shared_31_0_9">NA()</definedName>
    <definedName name="__shared_33_0_0">NA()</definedName>
    <definedName name="__shared_33_0_1">NA()</definedName>
    <definedName name="__shared_33_0_2">NA()</definedName>
    <definedName name="__shared_33_0_3">NA()</definedName>
    <definedName name="__shared_33_0_4">NA()</definedName>
    <definedName name="__shared_33_0_5">NA()</definedName>
    <definedName name="__shared_33_0_6">NA()</definedName>
    <definedName name="__shared_33_0_7">NA()</definedName>
    <definedName name="__shared_33_0_8">NA()</definedName>
    <definedName name="__shared_33_0_9">NA()</definedName>
    <definedName name="__shared_34_0_0">NA()</definedName>
    <definedName name="__shared_34_0_1">NA()</definedName>
    <definedName name="__shared_34_0_2">NA()</definedName>
    <definedName name="__shared_36_0_0">NA()</definedName>
    <definedName name="__shared_36_0_1">NA()</definedName>
    <definedName name="__shared_36_0_10">NA()</definedName>
    <definedName name="__shared_36_0_11">0.45-0.15</definedName>
    <definedName name="__shared_36_0_12">NA()</definedName>
    <definedName name="__shared_36_0_13">NA()</definedName>
    <definedName name="__shared_36_0_14">NA()</definedName>
    <definedName name="__shared_36_0_15">NA()</definedName>
    <definedName name="__shared_36_0_16">NA()</definedName>
    <definedName name="__shared_36_0_17">NA()</definedName>
    <definedName name="__shared_36_0_18">NA()</definedName>
    <definedName name="__shared_36_0_19">NA()</definedName>
    <definedName name="__shared_36_0_2">NA()</definedName>
    <definedName name="__shared_36_0_20">3-0.45</definedName>
    <definedName name="__shared_36_0_21">NA()</definedName>
    <definedName name="__shared_36_0_22">NA()</definedName>
    <definedName name="__shared_36_0_23">NA()</definedName>
    <definedName name="__shared_36_0_24">NA()</definedName>
    <definedName name="__shared_36_0_25">NA()</definedName>
    <definedName name="__shared_36_0_26">NA()</definedName>
    <definedName name="__shared_36_0_27">3-0.15</definedName>
    <definedName name="__shared_36_0_28">NA()</definedName>
    <definedName name="__shared_36_0_29">3-0.45</definedName>
    <definedName name="__shared_36_0_3">NA()</definedName>
    <definedName name="__shared_36_0_30">NA()</definedName>
    <definedName name="__shared_36_0_31">NA()</definedName>
    <definedName name="__shared_36_0_32">NA()</definedName>
    <definedName name="__shared_36_0_33">NA()</definedName>
    <definedName name="__shared_36_0_34">NA()</definedName>
    <definedName name="__shared_36_0_35">NA()</definedName>
    <definedName name="__shared_36_0_36">NA()</definedName>
    <definedName name="__shared_36_0_37">NA()</definedName>
    <definedName name="__shared_36_0_38">3-0.15</definedName>
    <definedName name="__shared_36_0_39">NA()</definedName>
    <definedName name="__shared_36_0_4">NA()</definedName>
    <definedName name="__shared_36_0_40">3-0.15</definedName>
    <definedName name="__shared_36_0_41">NA()</definedName>
    <definedName name="__shared_36_0_42">NA()</definedName>
    <definedName name="__shared_36_0_43">3-0.15</definedName>
    <definedName name="__shared_36_0_44">NA()</definedName>
    <definedName name="__shared_36_0_45">NA()</definedName>
    <definedName name="__shared_36_0_46">NA()</definedName>
    <definedName name="__shared_36_0_47">NA()</definedName>
    <definedName name="__shared_36_0_48">NA()</definedName>
    <definedName name="__shared_36_0_49">NA()</definedName>
    <definedName name="__shared_36_0_5">NA()</definedName>
    <definedName name="__shared_36_0_50">NA()</definedName>
    <definedName name="__shared_36_0_51">NA()</definedName>
    <definedName name="__shared_36_0_52">NA()</definedName>
    <definedName name="__shared_36_0_53">NA()</definedName>
    <definedName name="__shared_36_0_54">NA()</definedName>
    <definedName name="__shared_36_0_55">NA()</definedName>
    <definedName name="__shared_36_0_56">NA()</definedName>
    <definedName name="__shared_36_0_6">NA()</definedName>
    <definedName name="__shared_36_0_7">NA()</definedName>
    <definedName name="__shared_36_0_8">NA()</definedName>
    <definedName name="__shared_36_0_9">NA()</definedName>
    <definedName name="__shared_37_0_0">NA()</definedName>
    <definedName name="__shared_37_0_1">0.45-0.15</definedName>
    <definedName name="__shared_37_0_10">3-0.45</definedName>
    <definedName name="__shared_37_0_11">NA()</definedName>
    <definedName name="__shared_37_0_12">NA()</definedName>
    <definedName name="__shared_37_0_13">NA()</definedName>
    <definedName name="__shared_37_0_14">NA()</definedName>
    <definedName name="__shared_37_0_15">NA()</definedName>
    <definedName name="__shared_37_0_16">NA()</definedName>
    <definedName name="__shared_37_0_17">3-0.15</definedName>
    <definedName name="__shared_37_0_18">NA()</definedName>
    <definedName name="__shared_37_0_19">3-0.45</definedName>
    <definedName name="__shared_37_0_2">NA()</definedName>
    <definedName name="__shared_37_0_20">NA()</definedName>
    <definedName name="__shared_37_0_21">NA()</definedName>
    <definedName name="__shared_37_0_22">NA()</definedName>
    <definedName name="__shared_37_0_23">NA()</definedName>
    <definedName name="__shared_37_0_24">NA()</definedName>
    <definedName name="__shared_37_0_25">NA()</definedName>
    <definedName name="__shared_37_0_26">NA()</definedName>
    <definedName name="__shared_37_0_27">NA()</definedName>
    <definedName name="__shared_37_0_28">3-0.15</definedName>
    <definedName name="__shared_37_0_29">NA()</definedName>
    <definedName name="__shared_37_0_3">NA()</definedName>
    <definedName name="__shared_37_0_30">3-0.15</definedName>
    <definedName name="__shared_37_0_31">NA()</definedName>
    <definedName name="__shared_37_0_32">NA()</definedName>
    <definedName name="__shared_37_0_33">3-0.15</definedName>
    <definedName name="__shared_37_0_34">NA()</definedName>
    <definedName name="__shared_37_0_35">NA()</definedName>
    <definedName name="__shared_37_0_36">NA()</definedName>
    <definedName name="__shared_37_0_37">NA()</definedName>
    <definedName name="__shared_37_0_38">NA()</definedName>
    <definedName name="__shared_37_0_39">NA()</definedName>
    <definedName name="__shared_37_0_4">NA()</definedName>
    <definedName name="__shared_37_0_40">NA()</definedName>
    <definedName name="__shared_37_0_41">NA()</definedName>
    <definedName name="__shared_37_0_42">NA()</definedName>
    <definedName name="__shared_37_0_43">NA()</definedName>
    <definedName name="__shared_37_0_44">NA()</definedName>
    <definedName name="__shared_37_0_45">NA()</definedName>
    <definedName name="__shared_37_0_46">NA()</definedName>
    <definedName name="__shared_37_0_5">NA()</definedName>
    <definedName name="__shared_37_0_6">NA()</definedName>
    <definedName name="__shared_37_0_7">NA()</definedName>
    <definedName name="__shared_37_0_8">NA()</definedName>
    <definedName name="__shared_37_0_9">NA()</definedName>
    <definedName name="__shared_38_0_0">NA()</definedName>
    <definedName name="__shared_38_0_1">NA()</definedName>
    <definedName name="__shared_38_0_2">3.3-0.45</definedName>
    <definedName name="__shared_38_0_3">NA()</definedName>
    <definedName name="__shared_4_0_0">NA()</definedName>
    <definedName name="__shared_4_0_1">NA()</definedName>
    <definedName name="__shared_4_0_10">NA()</definedName>
    <definedName name="__shared_4_0_11">NA()</definedName>
    <definedName name="__shared_4_0_12">NA()</definedName>
    <definedName name="__shared_4_0_13">NA()</definedName>
    <definedName name="__shared_4_0_14">NA()</definedName>
    <definedName name="__shared_4_0_15">NA()</definedName>
    <definedName name="__shared_4_0_16">NA()</definedName>
    <definedName name="__shared_4_0_17">NA()</definedName>
    <definedName name="__shared_4_0_18">NA()</definedName>
    <definedName name="__shared_4_0_19">NA()</definedName>
    <definedName name="__shared_4_0_2">NA()</definedName>
    <definedName name="__shared_4_0_20">NA()</definedName>
    <definedName name="__shared_4_0_21">NA()</definedName>
    <definedName name="__shared_4_0_22">NA()</definedName>
    <definedName name="__shared_4_0_23">NA()</definedName>
    <definedName name="__shared_4_0_24">NA()</definedName>
    <definedName name="__shared_4_0_25">NA()</definedName>
    <definedName name="__shared_4_0_26">NA()</definedName>
    <definedName name="__shared_4_0_27">NA()</definedName>
    <definedName name="__shared_4_0_28">NA()</definedName>
    <definedName name="__shared_4_0_29">NA()</definedName>
    <definedName name="__shared_4_0_3">NA()</definedName>
    <definedName name="__shared_4_0_30">NA()</definedName>
    <definedName name="__shared_4_0_31">NA()</definedName>
    <definedName name="__shared_4_0_32">NA()</definedName>
    <definedName name="__shared_4_0_33">NA()</definedName>
    <definedName name="__shared_4_0_34">NA()</definedName>
    <definedName name="__shared_4_0_35">NA()</definedName>
    <definedName name="__shared_4_0_36">NA()</definedName>
    <definedName name="__shared_4_0_37">NA()</definedName>
    <definedName name="__shared_4_0_38">NA()</definedName>
    <definedName name="__shared_4_0_39">NA()</definedName>
    <definedName name="__shared_4_0_4">NA()</definedName>
    <definedName name="__shared_4_0_40">NA()</definedName>
    <definedName name="__shared_4_0_41">NA()</definedName>
    <definedName name="__shared_4_0_42">NA()</definedName>
    <definedName name="__shared_4_0_43">NA()</definedName>
    <definedName name="__shared_4_0_44">NA()</definedName>
    <definedName name="__shared_4_0_45">NA()</definedName>
    <definedName name="__shared_4_0_46">NA()</definedName>
    <definedName name="__shared_4_0_47">NA()</definedName>
    <definedName name="__shared_4_0_48">NA()</definedName>
    <definedName name="__shared_4_0_49">NA()</definedName>
    <definedName name="__shared_4_0_5">NA()</definedName>
    <definedName name="__shared_4_0_50">NA()</definedName>
    <definedName name="__shared_4_0_51">NA()</definedName>
    <definedName name="__shared_4_0_52">NA()</definedName>
    <definedName name="__shared_4_0_53">NA()</definedName>
    <definedName name="__shared_4_0_54">NA()</definedName>
    <definedName name="__shared_4_0_55">NA()</definedName>
    <definedName name="__shared_4_0_56">NA()</definedName>
    <definedName name="__shared_4_0_57">NA()</definedName>
    <definedName name="__shared_4_0_58">NA()</definedName>
    <definedName name="__shared_4_0_59">NA()</definedName>
    <definedName name="__shared_4_0_6">NA()</definedName>
    <definedName name="__shared_4_0_60">NA()</definedName>
    <definedName name="__shared_4_0_61">NA()</definedName>
    <definedName name="__shared_4_0_62">NA()</definedName>
    <definedName name="__shared_4_0_63">NA()</definedName>
    <definedName name="__shared_4_0_64">NA()</definedName>
    <definedName name="__shared_4_0_65">NA()</definedName>
    <definedName name="__shared_4_0_66">NA()</definedName>
    <definedName name="__shared_4_0_67">NA()</definedName>
    <definedName name="__shared_4_0_68">NA()</definedName>
    <definedName name="__shared_4_0_69">NA()</definedName>
    <definedName name="__shared_4_0_7">NA()</definedName>
    <definedName name="__shared_4_0_70">NA()</definedName>
    <definedName name="__shared_4_0_71">NA()</definedName>
    <definedName name="__shared_4_0_72">NA()</definedName>
    <definedName name="__shared_4_0_73">NA()</definedName>
    <definedName name="__shared_4_0_74">NA()</definedName>
    <definedName name="__shared_4_0_75">NA()</definedName>
    <definedName name="__shared_4_0_76">NA()</definedName>
    <definedName name="__shared_4_0_77">NA()</definedName>
    <definedName name="__shared_4_0_78">NA()</definedName>
    <definedName name="__shared_4_0_79">NA()</definedName>
    <definedName name="__shared_4_0_8">NA()</definedName>
    <definedName name="__shared_4_0_80">NA()</definedName>
    <definedName name="__shared_4_0_81">NA()</definedName>
    <definedName name="__shared_4_0_82">NA()</definedName>
    <definedName name="__shared_4_0_83">NA()</definedName>
    <definedName name="__shared_4_0_84">NA()</definedName>
    <definedName name="__shared_4_0_85">NA()</definedName>
    <definedName name="__shared_4_0_86">NA()</definedName>
    <definedName name="__shared_4_0_87">NA()</definedName>
    <definedName name="__shared_4_0_88">NA()</definedName>
    <definedName name="__shared_4_0_89">NA()</definedName>
    <definedName name="__shared_4_0_9">NA()</definedName>
    <definedName name="__shared_40_0_0">NA()</definedName>
    <definedName name="__shared_40_0_1">NA()</definedName>
    <definedName name="__shared_40_0_2">NA()</definedName>
    <definedName name="__shared_40_0_3">NA()</definedName>
    <definedName name="__shared_40_0_4">NA()</definedName>
    <definedName name="__shared_40_0_5">NA()</definedName>
    <definedName name="__shared_40_0_6">NA()</definedName>
    <definedName name="__shared_40_0_7">NA()</definedName>
    <definedName name="__shared_40_0_8">NA()</definedName>
    <definedName name="__shared_40_0_9">NA()</definedName>
    <definedName name="__shared_41_0_0">NA()</definedName>
    <definedName name="__shared_41_0_1">NA()</definedName>
    <definedName name="__shared_42_0_0">3.6-0.15</definedName>
    <definedName name="__shared_42_0_1">NA()</definedName>
    <definedName name="__shared_42_0_10">NA()</definedName>
    <definedName name="__shared_42_0_11">NA()</definedName>
    <definedName name="__shared_42_0_12">NA()</definedName>
    <definedName name="__shared_42_0_13">NA()</definedName>
    <definedName name="__shared_42_0_14">3.6-0.45</definedName>
    <definedName name="__shared_42_0_15">3.6-0.45</definedName>
    <definedName name="__shared_42_0_16">NA()</definedName>
    <definedName name="__shared_42_0_17">3.6-0.45</definedName>
    <definedName name="__shared_42_0_18">NA()</definedName>
    <definedName name="__shared_42_0_19">NA()</definedName>
    <definedName name="__shared_42_0_2">0.425-0.15</definedName>
    <definedName name="__shared_42_0_20">(3.6/0.15)-2</definedName>
    <definedName name="__shared_42_0_21">NA()</definedName>
    <definedName name="__shared_42_0_22">NA()</definedName>
    <definedName name="__shared_42_0_23">NA()</definedName>
    <definedName name="__shared_42_0_24">3.6-0.125</definedName>
    <definedName name="__shared_42_0_25">NA()</definedName>
    <definedName name="__shared_42_0_26">3.6-0.125</definedName>
    <definedName name="__shared_42_0_27">NA()</definedName>
    <definedName name="__shared_42_0_28">NA()</definedName>
    <definedName name="__shared_42_0_29">NA()</definedName>
    <definedName name="__shared_42_0_3">0.425-0.125</definedName>
    <definedName name="__shared_42_0_30">NA()</definedName>
    <definedName name="__shared_42_0_31">NA()</definedName>
    <definedName name="__shared_42_0_32">NA()</definedName>
    <definedName name="__shared_42_0_33">NA()</definedName>
    <definedName name="__shared_42_0_34">NA()</definedName>
    <definedName name="__shared_42_0_35">NA()</definedName>
    <definedName name="__shared_42_0_36">NA()</definedName>
    <definedName name="__shared_42_0_37">NA()</definedName>
    <definedName name="__shared_42_0_38">NA()</definedName>
    <definedName name="__shared_42_0_39">NA()</definedName>
    <definedName name="__shared_42_0_4">0.45-0.15</definedName>
    <definedName name="__shared_42_0_40">NA()</definedName>
    <definedName name="__shared_42_0_41">NA()</definedName>
    <definedName name="__shared_42_0_42">NA()</definedName>
    <definedName name="__shared_42_0_43">NA()</definedName>
    <definedName name="__shared_42_0_5">NA()</definedName>
    <definedName name="__shared_42_0_6">NA()</definedName>
    <definedName name="__shared_42_0_7">NA()</definedName>
    <definedName name="__shared_42_0_8">NA()</definedName>
    <definedName name="__shared_42_0_9">NA()</definedName>
    <definedName name="__shared_45_0_0">NA()</definedName>
    <definedName name="__shared_45_0_1">NA()</definedName>
    <definedName name="__shared_45_0_2">NA()</definedName>
    <definedName name="__shared_5_0_0">NA()</definedName>
    <definedName name="__shared_5_0_1">NA()</definedName>
    <definedName name="__shared_56_0_0">NA()</definedName>
    <definedName name="__shared_56_0_1">NA()</definedName>
    <definedName name="__shared_56_0_10">NA()</definedName>
    <definedName name="__shared_56_0_11">NA()</definedName>
    <definedName name="__shared_56_0_12">NA()</definedName>
    <definedName name="__shared_56_0_13">NA()</definedName>
    <definedName name="__shared_56_0_2">NA()</definedName>
    <definedName name="__shared_56_0_3">NA()</definedName>
    <definedName name="__shared_56_0_4">NA()</definedName>
    <definedName name="__shared_56_0_5">NA()</definedName>
    <definedName name="__shared_56_0_6">NA()</definedName>
    <definedName name="__shared_56_0_7">NA()</definedName>
    <definedName name="__shared_56_0_8">NA()</definedName>
    <definedName name="__shared_56_0_9">NA()</definedName>
    <definedName name="__shared_57_0_0">NA()</definedName>
    <definedName name="__shared_57_0_1">NA()</definedName>
    <definedName name="__shared_57_0_10">NA()</definedName>
    <definedName name="__shared_57_0_11">NA()</definedName>
    <definedName name="__shared_57_0_12">NA()</definedName>
    <definedName name="__shared_57_0_13">NA()</definedName>
    <definedName name="__shared_57_0_14">NA()</definedName>
    <definedName name="__shared_57_0_15">NA()</definedName>
    <definedName name="__shared_57_0_16">NA()</definedName>
    <definedName name="__shared_57_0_17">NA()</definedName>
    <definedName name="__shared_57_0_18">NA()</definedName>
    <definedName name="__shared_57_0_19">NA()</definedName>
    <definedName name="__shared_57_0_2">NA()</definedName>
    <definedName name="__shared_57_0_20">NA()</definedName>
    <definedName name="__shared_57_0_21">NA()</definedName>
    <definedName name="__shared_57_0_22">NA()</definedName>
    <definedName name="__shared_57_0_23">NA()</definedName>
    <definedName name="__shared_57_0_24">NA()</definedName>
    <definedName name="__shared_57_0_25">NA()</definedName>
    <definedName name="__shared_57_0_26">NA()</definedName>
    <definedName name="__shared_57_0_27">NA()</definedName>
    <definedName name="__shared_57_0_28">NA()</definedName>
    <definedName name="__shared_57_0_29">NA()</definedName>
    <definedName name="__shared_57_0_3">NA()</definedName>
    <definedName name="__shared_57_0_30">NA()</definedName>
    <definedName name="__shared_57_0_31">NA()</definedName>
    <definedName name="__shared_57_0_32">NA()</definedName>
    <definedName name="__shared_57_0_33">NA()</definedName>
    <definedName name="__shared_57_0_34">NA()</definedName>
    <definedName name="__shared_57_0_35">NA()</definedName>
    <definedName name="__shared_57_0_36">NA()</definedName>
    <definedName name="__shared_57_0_37">NA()</definedName>
    <definedName name="__shared_57_0_38">NA()</definedName>
    <definedName name="__shared_57_0_39">NA()</definedName>
    <definedName name="__shared_57_0_4">NA()</definedName>
    <definedName name="__shared_57_0_40">NA()</definedName>
    <definedName name="__shared_57_0_41">NA()</definedName>
    <definedName name="__shared_57_0_42">NA()</definedName>
    <definedName name="__shared_57_0_43">NA()</definedName>
    <definedName name="__shared_57_0_44">NA()</definedName>
    <definedName name="__shared_57_0_45">NA()</definedName>
    <definedName name="__shared_57_0_46">NA()</definedName>
    <definedName name="__shared_57_0_47">NA()</definedName>
    <definedName name="__shared_57_0_48">NA()</definedName>
    <definedName name="__shared_57_0_49">NA()</definedName>
    <definedName name="__shared_57_0_5">NA()</definedName>
    <definedName name="__shared_57_0_50">NA()</definedName>
    <definedName name="__shared_57_0_51">NA()</definedName>
    <definedName name="__shared_57_0_52">NA()</definedName>
    <definedName name="__shared_57_0_53">NA()</definedName>
    <definedName name="__shared_57_0_54">NA()</definedName>
    <definedName name="__shared_57_0_55">NA()</definedName>
    <definedName name="__shared_57_0_56">NA()</definedName>
    <definedName name="__shared_57_0_57">NA()</definedName>
    <definedName name="__shared_57_0_58">NA()</definedName>
    <definedName name="__shared_57_0_59">NA()</definedName>
    <definedName name="__shared_57_0_6">NA()</definedName>
    <definedName name="__shared_57_0_60">NA()</definedName>
    <definedName name="__shared_57_0_61">NA()</definedName>
    <definedName name="__shared_57_0_62">NA()</definedName>
    <definedName name="__shared_57_0_63">NA()</definedName>
    <definedName name="__shared_57_0_64">NA()</definedName>
    <definedName name="__shared_57_0_65">NA()</definedName>
    <definedName name="__shared_57_0_66">NA()</definedName>
    <definedName name="__shared_57_0_67">NA()</definedName>
    <definedName name="__shared_57_0_68">NA()</definedName>
    <definedName name="__shared_57_0_69">NA()</definedName>
    <definedName name="__shared_57_0_7">NA()</definedName>
    <definedName name="__shared_57_0_70">NA()</definedName>
    <definedName name="__shared_57_0_71">NA()</definedName>
    <definedName name="__shared_57_0_72">NA()</definedName>
    <definedName name="__shared_57_0_73">NA()</definedName>
    <definedName name="__shared_57_0_74">NA()</definedName>
    <definedName name="__shared_57_0_75">NA()</definedName>
    <definedName name="__shared_57_0_76">NA()</definedName>
    <definedName name="__shared_57_0_77">NA()</definedName>
    <definedName name="__shared_57_0_78">NA()</definedName>
    <definedName name="__shared_57_0_79">NA()</definedName>
    <definedName name="__shared_57_0_8">NA()</definedName>
    <definedName name="__shared_57_0_80">NA()</definedName>
    <definedName name="__shared_57_0_81">NA()</definedName>
    <definedName name="__shared_57_0_82">NA()</definedName>
    <definedName name="__shared_57_0_83">NA()</definedName>
    <definedName name="__shared_57_0_84">NA()</definedName>
    <definedName name="__shared_57_0_85">NA()</definedName>
    <definedName name="__shared_57_0_86">NA()</definedName>
    <definedName name="__shared_57_0_87">NA()</definedName>
    <definedName name="__shared_57_0_88">NA()</definedName>
    <definedName name="__shared_57_0_89">NA()</definedName>
    <definedName name="__shared_57_0_9">NA()</definedName>
    <definedName name="__shared_57_0_90">NA()</definedName>
    <definedName name="__shared_57_0_91">NA()</definedName>
    <definedName name="__shared_57_0_92">NA()</definedName>
    <definedName name="__shared_57_0_93">NA()</definedName>
    <definedName name="__shared_57_0_94">NA()</definedName>
    <definedName name="__shared_57_0_95">NA()</definedName>
    <definedName name="__shared_57_0_96">NA()</definedName>
    <definedName name="__shared_57_0_97">NA()</definedName>
    <definedName name="__shared_58_0_0">NA()</definedName>
    <definedName name="__shared_58_0_1">NA()</definedName>
    <definedName name="__shared_58_0_10">NA()</definedName>
    <definedName name="__shared_58_0_11">NA()</definedName>
    <definedName name="__shared_58_0_12">NA()</definedName>
    <definedName name="__shared_58_0_13">NA()</definedName>
    <definedName name="__shared_58_0_14">NA()</definedName>
    <definedName name="__shared_58_0_15">NA()</definedName>
    <definedName name="__shared_58_0_16">NA()</definedName>
    <definedName name="__shared_58_0_17">NA()</definedName>
    <definedName name="__shared_58_0_2">NA()</definedName>
    <definedName name="__shared_58_0_3">NA()</definedName>
    <definedName name="__shared_58_0_4">NA()</definedName>
    <definedName name="__shared_58_0_5">NA()</definedName>
    <definedName name="__shared_58_0_6">NA()</definedName>
    <definedName name="__shared_58_0_7">NA()</definedName>
    <definedName name="__shared_58_0_8">NA()</definedName>
    <definedName name="__shared_58_0_9">NA()</definedName>
    <definedName name="__shared_59_0_0">NA()</definedName>
    <definedName name="__shared_59_0_1">NA()</definedName>
    <definedName name="__shared_59_0_10">NA()</definedName>
    <definedName name="__shared_59_0_11">NA()</definedName>
    <definedName name="__shared_59_0_12">NA()</definedName>
    <definedName name="__shared_59_0_13">NA()</definedName>
    <definedName name="__shared_59_0_2">NA()</definedName>
    <definedName name="__shared_59_0_3">NA()</definedName>
    <definedName name="__shared_59_0_4">NA()</definedName>
    <definedName name="__shared_59_0_5">NA()</definedName>
    <definedName name="__shared_59_0_6">NA()</definedName>
    <definedName name="__shared_59_0_7">NA()</definedName>
    <definedName name="__shared_59_0_8">NA()</definedName>
    <definedName name="__shared_59_0_9">NA()</definedName>
    <definedName name="__shared_60_0_0">NA()</definedName>
    <definedName name="__shared_60_0_1">NA()</definedName>
    <definedName name="__shared_61_0_0">NA()</definedName>
    <definedName name="__shared_62_0_0">NA()</definedName>
    <definedName name="__shared_62_0_1">NA()</definedName>
    <definedName name="__shared_62_0_10">NA()</definedName>
    <definedName name="__shared_62_0_11">NA()</definedName>
    <definedName name="__shared_62_0_2">NA()</definedName>
    <definedName name="__shared_62_0_3">NA()</definedName>
    <definedName name="__shared_62_0_4">NA()</definedName>
    <definedName name="__shared_62_0_5">NA()</definedName>
    <definedName name="__shared_62_0_6">NA()</definedName>
    <definedName name="__shared_62_0_7">NA()</definedName>
    <definedName name="__shared_62_0_8">NA()</definedName>
    <definedName name="__shared_62_0_9">NA()</definedName>
    <definedName name="__shared_63_0_0">NA()</definedName>
    <definedName name="__SO016">NA()</definedName>
    <definedName name="__SP001">NA()</definedName>
    <definedName name="__SP002">NA()</definedName>
    <definedName name="__SP003">NA()</definedName>
    <definedName name="__SP004">NA()</definedName>
    <definedName name="__SP005">NA()</definedName>
    <definedName name="__SP006">NA()</definedName>
    <definedName name="__SP007">NA()</definedName>
    <definedName name="__SP008">NA()</definedName>
    <definedName name="__SP009">NA()</definedName>
    <definedName name="__SP010">NA()</definedName>
    <definedName name="__SP011">NA()</definedName>
    <definedName name="__SP012">NA()</definedName>
    <definedName name="__SP013">NA()</definedName>
    <definedName name="__SP014">NA()</definedName>
    <definedName name="__SP015">NA()</definedName>
    <definedName name="__SP016">NA()</definedName>
    <definedName name="__SP017">NA()</definedName>
    <definedName name="__SP018">NA()</definedName>
    <definedName name="__SP019">NA()</definedName>
    <definedName name="__SP020">NA()</definedName>
    <definedName name="__SP021">NA()</definedName>
    <definedName name="__SP022">NA()</definedName>
    <definedName name="__SP023">NA()</definedName>
    <definedName name="__SP024">NA()</definedName>
    <definedName name="__SP025">NA()</definedName>
    <definedName name="__SP026">NA()</definedName>
    <definedName name="__SP027">NA()</definedName>
    <definedName name="__SP028">NA()</definedName>
    <definedName name="__SP029">NA()</definedName>
    <definedName name="__SP030">NA()</definedName>
    <definedName name="__SP031">NA()</definedName>
    <definedName name="__SP032">NA()</definedName>
    <definedName name="__SP033">NA()</definedName>
    <definedName name="__SP034">NA()</definedName>
    <definedName name="__SP035">NA()</definedName>
    <definedName name="__SP036">NA()</definedName>
    <definedName name="__SP037">NA()</definedName>
    <definedName name="__SP038">NA()</definedName>
    <definedName name="__SP039">NA()</definedName>
    <definedName name="__SP040">NA()</definedName>
    <definedName name="__SP041">NA()</definedName>
    <definedName name="__SP042">NA()</definedName>
    <definedName name="__SP043">NA()</definedName>
    <definedName name="__SP044">NA()</definedName>
    <definedName name="__SP045">NA()</definedName>
    <definedName name="__SP046">NA()</definedName>
    <definedName name="__SP047">NA()</definedName>
    <definedName name="__SP048">NA()</definedName>
    <definedName name="__SP049">NA()</definedName>
    <definedName name="__SP050">NA()</definedName>
    <definedName name="__SP051">NA()</definedName>
    <definedName name="__SP052">NA()</definedName>
    <definedName name="__SP053">NA()</definedName>
    <definedName name="__SP054">NA()</definedName>
    <definedName name="__SP055">NA()</definedName>
    <definedName name="__SP056">NA()</definedName>
    <definedName name="__SP057">NA()</definedName>
    <definedName name="__SP058">NA()</definedName>
    <definedName name="__SP059">NA()</definedName>
    <definedName name="__SP060">NA()</definedName>
    <definedName name="__SP061">NA()</definedName>
    <definedName name="__SP062">NA()</definedName>
    <definedName name="__SP063">NA()</definedName>
    <definedName name="__SP064">NA()</definedName>
    <definedName name="__SP065">NA()</definedName>
    <definedName name="__SP066">NA()</definedName>
    <definedName name="__SP067">NA()</definedName>
    <definedName name="__SP068">NA()</definedName>
    <definedName name="__SP069">NA()</definedName>
    <definedName name="__SP070">NA()</definedName>
    <definedName name="__sp071">NA()</definedName>
    <definedName name="__SP072">NA()</definedName>
    <definedName name="__SP073">NA()</definedName>
    <definedName name="__SP074">NA()</definedName>
    <definedName name="__SP075">NA()</definedName>
    <definedName name="__SP076">NA()</definedName>
    <definedName name="__SP077">NA()</definedName>
    <definedName name="__sp078">NA()</definedName>
    <definedName name="__SP10">[13]Sheet1!$C$18</definedName>
    <definedName name="__SP16">[13]Sheet1!$C$24</definedName>
    <definedName name="__SP7">[13]Sheet1!$C$15</definedName>
    <definedName name="__SPO79">NA()</definedName>
    <definedName name="__SS10" localSheetId="11">"[56]mrates!$j$7"</definedName>
    <definedName name="__SS10" localSheetId="12">"[56]mrates!$j$7"</definedName>
    <definedName name="__SS10">[29]MRATES!$J$7</definedName>
    <definedName name="__ss12">[8]rdamdata!$J$8</definedName>
    <definedName name="__SS150" localSheetId="11">"[56]mrates!$g$13"</definedName>
    <definedName name="__SS150" localSheetId="12">"[56]mrates!$g$13"</definedName>
    <definedName name="__SS150">[29]MRATES!$G$13</definedName>
    <definedName name="__ss20">[8]rdamdata!$J$7</definedName>
    <definedName name="__SS225" localSheetId="11">"[56]mrates!$g$14"</definedName>
    <definedName name="__SS225" localSheetId="12">"[56]mrates!$g$14"</definedName>
    <definedName name="__SS225">[29]MRATES!$G$14</definedName>
    <definedName name="__SS25" localSheetId="11">"[56]mrates!$j$10"</definedName>
    <definedName name="__SS25" localSheetId="12">"[56]mrates!$j$10"</definedName>
    <definedName name="__SS25">[29]MRATES!$J$10</definedName>
    <definedName name="__SS300" localSheetId="11">"[56]mrates!$g$15"</definedName>
    <definedName name="__SS300" localSheetId="12">"[56]mrates!$g$15"</definedName>
    <definedName name="__SS300">[29]MRATES!$G$15</definedName>
    <definedName name="__ss40">[8]rdamdata!$J$6</definedName>
    <definedName name="__SS6" localSheetId="11">"[56]mrates!$j$6"</definedName>
    <definedName name="__SS6" localSheetId="12">"[56]mrates!$j$6"</definedName>
    <definedName name="__SS6">[29]MRATES!$J$6</definedName>
    <definedName name="__sw1" localSheetId="11">NA()</definedName>
    <definedName name="__sw1" localSheetId="12">NA()</definedName>
    <definedName name="__sw1" localSheetId="0">#REF!</definedName>
    <definedName name="__sw1">#REF!</definedName>
    <definedName name="__TB2" localSheetId="11">NA()</definedName>
    <definedName name="__TB2" localSheetId="12">NA()</definedName>
    <definedName name="__TB2">'[35]SPT vs PHI'!$B$2:$C$65</definedName>
    <definedName name="__tw2">'[26]C-data'!$F$90</definedName>
    <definedName name="__us1" localSheetId="11">NA()</definedName>
    <definedName name="__us1" localSheetId="12">NA()</definedName>
    <definedName name="__us1" localSheetId="0">#REF!</definedName>
    <definedName name="__us1">#REF!</definedName>
    <definedName name="__var1" localSheetId="11">NA()</definedName>
    <definedName name="__var1" localSheetId="12">NA()</definedName>
    <definedName name="__var1" localSheetId="0">#REF!</definedName>
    <definedName name="__var1">#REF!</definedName>
    <definedName name="__var4" localSheetId="11">NA()</definedName>
    <definedName name="__var4" localSheetId="12">NA()</definedName>
    <definedName name="__var4" localSheetId="0">#REF!</definedName>
    <definedName name="__var4">#REF!</definedName>
    <definedName name="__vat1">NA()</definedName>
    <definedName name="__vat2">NA()</definedName>
    <definedName name="__xh11010">NA()</definedName>
    <definedName name="__xh1104">NA()</definedName>
    <definedName name="__xh1106">NA()</definedName>
    <definedName name="__xh1108">NA()</definedName>
    <definedName name="__xh12510">NA()</definedName>
    <definedName name="__xh1254">NA()</definedName>
    <definedName name="__xh1256">NA()</definedName>
    <definedName name="__xh1258">NA()</definedName>
    <definedName name="__xh14010">NA()</definedName>
    <definedName name="__xh1404">NA()</definedName>
    <definedName name="__xh1406">NA()</definedName>
    <definedName name="__xh1408">NA()</definedName>
    <definedName name="__xh16010">NA()</definedName>
    <definedName name="__xh1604">NA()</definedName>
    <definedName name="__xh1606">NA()</definedName>
    <definedName name="__xh1608">NA()</definedName>
    <definedName name="__xh18010">NA()</definedName>
    <definedName name="__xh1804">NA()</definedName>
    <definedName name="__xh1806">NA()</definedName>
    <definedName name="__xh1808">NA()</definedName>
    <definedName name="__xh20010">NA()</definedName>
    <definedName name="__xh2004">NA()</definedName>
    <definedName name="__xh2006">NA()</definedName>
    <definedName name="__xh2008">NA()</definedName>
    <definedName name="__xh22510">NA()</definedName>
    <definedName name="__xh2254">NA()</definedName>
    <definedName name="__xh2256">[20]HDPE!$L$30</definedName>
    <definedName name="__xh2258">NA()</definedName>
    <definedName name="__xh25010">NA()</definedName>
    <definedName name="__xh2504">NA()</definedName>
    <definedName name="__xh2506">[20]HDPE!$M$30</definedName>
    <definedName name="__xh2508">NA()</definedName>
    <definedName name="__xh28010">NA()</definedName>
    <definedName name="__xh2804">NA()</definedName>
    <definedName name="__xh2806">[20]HDPE!$N$30</definedName>
    <definedName name="__xh2808">NA()</definedName>
    <definedName name="__xh31510">NA()</definedName>
    <definedName name="__xh3154">NA()</definedName>
    <definedName name="__xh3156">[20]HDPE!$O$30</definedName>
    <definedName name="__xh3158">NA()</definedName>
    <definedName name="__xh3554">NA()</definedName>
    <definedName name="__xh3556">NA()</definedName>
    <definedName name="__xh6310">NA()</definedName>
    <definedName name="__xh634">[20]HDPE!$C$16</definedName>
    <definedName name="__xh636">NA()</definedName>
    <definedName name="__xh638">NA()</definedName>
    <definedName name="__xh7510">NA()</definedName>
    <definedName name="__xh754">NA()</definedName>
    <definedName name="__xh756">NA()</definedName>
    <definedName name="__xh758">NA()</definedName>
    <definedName name="__xh9010">NA()</definedName>
    <definedName name="__xh904">NA()</definedName>
    <definedName name="__xh906">NA()</definedName>
    <definedName name="__xh908">NA()</definedName>
    <definedName name="__xh9999">[36]HDPE!$L$30</definedName>
    <definedName name="__xk7100">[20]DI!$C$37</definedName>
    <definedName name="__xk7150">[20]DI!$D$37</definedName>
    <definedName name="__xk7200">NA()</definedName>
    <definedName name="__xk7250">[20]DI!$F$37</definedName>
    <definedName name="__xk7300">[20]DI!$G$37</definedName>
    <definedName name="__xk7350">NA()</definedName>
    <definedName name="__xk7400">NA()</definedName>
    <definedName name="__xk7450">NA()</definedName>
    <definedName name="__xk7500">NA()</definedName>
    <definedName name="__xk7600">NA()</definedName>
    <definedName name="__xk9100">NA()</definedName>
    <definedName name="__xk91000">NA()</definedName>
    <definedName name="__xk9150">NA()</definedName>
    <definedName name="__xk9200">NA()</definedName>
    <definedName name="__xk9250">NA()</definedName>
    <definedName name="__xk9300">NA()</definedName>
    <definedName name="__xk9350">NA()</definedName>
    <definedName name="__xk9400">NA()</definedName>
    <definedName name="__xk9450">NA()</definedName>
    <definedName name="__xk9500">NA()</definedName>
    <definedName name="__xk9600">NA()</definedName>
    <definedName name="__xk9700">NA()</definedName>
    <definedName name="__xk9750">NA()</definedName>
    <definedName name="__xk9800">NA()</definedName>
    <definedName name="__xk9900">NA()</definedName>
    <definedName name="__xlfn_BAHTTEXT">NA()</definedName>
    <definedName name="__xlfn_CEILING_MATH">NA()</definedName>
    <definedName name="__xlfn_ISFORMULA">NA()</definedName>
    <definedName name="__xlnm__FilterDatabase">NA()</definedName>
    <definedName name="__xlnm_Database">NA()</definedName>
    <definedName name="__xlnm_Print_Area" localSheetId="12">Joinery!$A$1:$M$1268</definedName>
    <definedName name="__xlnm_Print_Area">NA()</definedName>
    <definedName name="__xlnm_Print_Titles">NA()</definedName>
    <definedName name="__xlnm_Print_Titles_1">NA()</definedName>
    <definedName name="__xp11010">[20]pvc!$F$61</definedName>
    <definedName name="__xp1104">[20]pvc!$F$31</definedName>
    <definedName name="__xp1106">[20]pvc!$F$46</definedName>
    <definedName name="__xp12510">NA()</definedName>
    <definedName name="__xp1254">[20]pvc!$G$31</definedName>
    <definedName name="__xp1256">[20]pvc!$G$46</definedName>
    <definedName name="__xp14010">[20]pvc!$H$61</definedName>
    <definedName name="__xp1404">[20]pvc!$H$31</definedName>
    <definedName name="__xp1406">[20]pvc!$H$46</definedName>
    <definedName name="__xp16010">NA()</definedName>
    <definedName name="__xp1604">[20]pvc!$I$31</definedName>
    <definedName name="__xp1606">[20]pvc!$I$46</definedName>
    <definedName name="__xp18010">NA()</definedName>
    <definedName name="__xp1804">[20]pvc!$J$31</definedName>
    <definedName name="__xp1806">[20]pvc!$J$46</definedName>
    <definedName name="__xp20010">NA()</definedName>
    <definedName name="__xp2004">NA()</definedName>
    <definedName name="__xp2006">[20]pvc!$K$46</definedName>
    <definedName name="__xp22510">NA()</definedName>
    <definedName name="__xp2254">NA()</definedName>
    <definedName name="__xp2256">NA()</definedName>
    <definedName name="__xp25010">NA()</definedName>
    <definedName name="__xp2504">NA()</definedName>
    <definedName name="__xp2506">NA()</definedName>
    <definedName name="__xp28010">NA()</definedName>
    <definedName name="__xp2804">NA()</definedName>
    <definedName name="__xp2806">NA()</definedName>
    <definedName name="__xp31510">NA()</definedName>
    <definedName name="__xp3154">NA()</definedName>
    <definedName name="__xp3156">NA()</definedName>
    <definedName name="__xp6310">[20]pvc!$C$61</definedName>
    <definedName name="__xp634">NA()</definedName>
    <definedName name="__xp636">[20]pvc!$C$46</definedName>
    <definedName name="__xp7510">[20]pvc!$D$61</definedName>
    <definedName name="__xp754">[20]pvc!$D$31</definedName>
    <definedName name="__xp756">[20]pvc!$D$46</definedName>
    <definedName name="__xp9010">[20]pvc!$E$61</definedName>
    <definedName name="__xp904">[20]pvc!$E$31</definedName>
    <definedName name="__xp906">[20]pvc!$E$46</definedName>
    <definedName name="_0">NA()</definedName>
    <definedName name="_0_10">NA()</definedName>
    <definedName name="_055">NA()</definedName>
    <definedName name="_0knrothpfinal" localSheetId="11">NA()</definedName>
    <definedName name="_0knrothpfinal" localSheetId="12">NA()</definedName>
    <definedName name="_0knrothpfinal" localSheetId="0">#REF!</definedName>
    <definedName name="_0knrothpfinal">#REF!</definedName>
    <definedName name="_1__Bitumen_pressure">[37]Usage!$C$11</definedName>
    <definedName name="_1_1">NA()</definedName>
    <definedName name="_10_mm">NA()</definedName>
    <definedName name="_1000_mm_diameter">NA()</definedName>
    <definedName name="_12_mm">NA()</definedName>
    <definedName name="_1220_mm_diameter">NA()</definedName>
    <definedName name="_13">NA()</definedName>
    <definedName name="_150_mm_thickness">'[37]Common '!$D$294</definedName>
    <definedName name="_2_and_3" localSheetId="11">NA()</definedName>
    <definedName name="_2_and_3" localSheetId="12">NA()</definedName>
    <definedName name="_2_and_3">'[38]Estimate '!#REF!</definedName>
    <definedName name="_20_mm">NA()</definedName>
    <definedName name="_25_mm">NA()</definedName>
    <definedName name="_250_mm_diameter">NA()</definedName>
    <definedName name="_2m_100">NA()</definedName>
    <definedName name="_2m_150">NA()</definedName>
    <definedName name="_2m_200">NA()</definedName>
    <definedName name="_2m_25">NA()</definedName>
    <definedName name="_2m_250">NA()</definedName>
    <definedName name="_2m_300">NA()</definedName>
    <definedName name="_2m_32">NA()</definedName>
    <definedName name="_2m_40">NA()</definedName>
    <definedName name="_2m_50">NA()</definedName>
    <definedName name="_2m_65">NA()</definedName>
    <definedName name="_2m_80">NA()</definedName>
    <definedName name="_3" localSheetId="11">NA()</definedName>
    <definedName name="_3" localSheetId="12">NA()</definedName>
    <definedName name="_3" hidden="1">'[39]final abstract'!#REF!</definedName>
    <definedName name="_300_mm_diameter">NA()</definedName>
    <definedName name="_3m_100">NA()</definedName>
    <definedName name="_3m_150">NA()</definedName>
    <definedName name="_3m_200">NA()</definedName>
    <definedName name="_3m_25">NA()</definedName>
    <definedName name="_3m_250">NA()</definedName>
    <definedName name="_3m_300">NA()</definedName>
    <definedName name="_3m_32">NA()</definedName>
    <definedName name="_3m_40">NA()</definedName>
    <definedName name="_3m_50">NA()</definedName>
    <definedName name="_3m_65">NA()</definedName>
    <definedName name="_3m_80">NA()</definedName>
    <definedName name="_40_mm">NA()</definedName>
    <definedName name="_40_mm_size_OG">NA()</definedName>
    <definedName name="_40_mm_SS_5_HBG">"[71]material!#ref!"</definedName>
    <definedName name="_40_mm_thick_ness">NA()</definedName>
    <definedName name="_40MM_HBG">NA()</definedName>
    <definedName name="_45_mm">NA()</definedName>
    <definedName name="_450_mm_diameter">NA()</definedName>
    <definedName name="_50_mm">NA()</definedName>
    <definedName name="_6_mm">NA()</definedName>
    <definedName name="_6_mm_SS_5_HBG_m_c">"[71]material!#ref!"</definedName>
    <definedName name="_600_mm_diameter">NA()</definedName>
    <definedName name="_65MM_HBG">NA()</definedName>
    <definedName name="_65MM_HBT">NA()</definedName>
    <definedName name="_65MM_OG">NA()</definedName>
    <definedName name="_75_mm_thick_ness">'[37]Common '!$D$287</definedName>
    <definedName name="_750_mm_diameter">NA()</definedName>
    <definedName name="_800_mm_diameter">NA()</definedName>
    <definedName name="_a">NA()</definedName>
    <definedName name="_a_10">NA()</definedName>
    <definedName name="_aaa10">NA()</definedName>
    <definedName name="_aaa5">NA()</definedName>
    <definedName name="_AAA51">NA()</definedName>
    <definedName name="_aaa55">NA()</definedName>
    <definedName name="_AAA6">NA()</definedName>
    <definedName name="_AAA7">NA()</definedName>
    <definedName name="_AAD5">NA()</definedName>
    <definedName name="_aad55">NA()</definedName>
    <definedName name="_Apr02">"[72]newabstract!#ref!"</definedName>
    <definedName name="_Apr03">"[72]newabstract!#ref!"</definedName>
    <definedName name="_Apr04">"[72]newabstract!#ref!"</definedName>
    <definedName name="_Apr05">"[72]newabstract!#ref!"</definedName>
    <definedName name="_Apr06">"[72]newabstract!#ref!"</definedName>
    <definedName name="_Apr07">"[72]newabstract!#ref!"</definedName>
    <definedName name="_Apr08">"[72]newabstract!#ref!"</definedName>
    <definedName name="_Apr09">"[72]newabstract!#ref!"</definedName>
    <definedName name="_Apr10">"[72]newabstract!#ref!"</definedName>
    <definedName name="_Apr11">"[72]newabstract!#ref!"</definedName>
    <definedName name="_Apr13">"[72]newabstract!#ref!"</definedName>
    <definedName name="_Apr14">"[72]newabstract!#ref!"</definedName>
    <definedName name="_Apr15">"[72]newabstract!#ref!"</definedName>
    <definedName name="_Apr16">"[72]newabstract!#ref!"</definedName>
    <definedName name="_Apr17">"[72]newabstract!#ref!"</definedName>
    <definedName name="_Apr20">"[72]newabstract!#ref!"</definedName>
    <definedName name="_Apr21">"[72]newabstract!#ref!"</definedName>
    <definedName name="_Apr22">"[72]newabstract!#ref!"</definedName>
    <definedName name="_Apr23">"[72]newabstract!#ref!"</definedName>
    <definedName name="_Apr24">"[72]newabstract!#ref!"</definedName>
    <definedName name="_Apr27">"[72]newabstract!#ref!"</definedName>
    <definedName name="_Apr28">"[72]newabstract!#ref!"</definedName>
    <definedName name="_Apr29">"[72]newabstract!#ref!"</definedName>
    <definedName name="_Apr30">"[72]newabstract!#ref!"</definedName>
    <definedName name="_atw2">NA()</definedName>
    <definedName name="_AUX1">NA()</definedName>
    <definedName name="_AUX111">[31]bom!$R$2</definedName>
    <definedName name="_aux2" localSheetId="11">NA()</definedName>
    <definedName name="_aux2" localSheetId="12">NA()</definedName>
    <definedName name="_aux2" localSheetId="0">#REF!</definedName>
    <definedName name="_aux2">#REF!</definedName>
    <definedName name="_AUX3" localSheetId="11">NA()</definedName>
    <definedName name="_AUX3" localSheetId="12">NA()</definedName>
    <definedName name="_AUX3" localSheetId="0">#REF!</definedName>
    <definedName name="_AUX3">#REF!</definedName>
    <definedName name="_b">NA()</definedName>
    <definedName name="_bla1">[1]leads!$H$7</definedName>
    <definedName name="_bol1">NA()</definedName>
    <definedName name="_brush">NA()</definedName>
    <definedName name="_BSG100">NA()</definedName>
    <definedName name="_BSG150">NA()</definedName>
    <definedName name="_BSG5">NA()</definedName>
    <definedName name="_BSG75">NA()</definedName>
    <definedName name="_BTC1">NA()</definedName>
    <definedName name="_BTC10">NA()</definedName>
    <definedName name="_BTC11">NA()</definedName>
    <definedName name="_BTC12">NA()</definedName>
    <definedName name="_BTC13">NA()</definedName>
    <definedName name="_BTC14">NA()</definedName>
    <definedName name="_BTC15">NA()</definedName>
    <definedName name="_BTC16">NA()</definedName>
    <definedName name="_BTC17">NA()</definedName>
    <definedName name="_BTC18">NA()</definedName>
    <definedName name="_BTC19">NA()</definedName>
    <definedName name="_BTC2">NA()</definedName>
    <definedName name="_BTC20">NA()</definedName>
    <definedName name="_BTC21">NA()</definedName>
    <definedName name="_BTC22">NA()</definedName>
    <definedName name="_BTC23">NA()</definedName>
    <definedName name="_BTC24">NA()</definedName>
    <definedName name="_BTC3">NA()</definedName>
    <definedName name="_BTC4">NA()</definedName>
    <definedName name="_BTC5">NA()</definedName>
    <definedName name="_BTC6">NA()</definedName>
    <definedName name="_BTC7">NA()</definedName>
    <definedName name="_BTC8">NA()</definedName>
    <definedName name="_BTC9">NA()</definedName>
    <definedName name="_BTR1">NA()</definedName>
    <definedName name="_BTR10">NA()</definedName>
    <definedName name="_BTR11">NA()</definedName>
    <definedName name="_BTR12">NA()</definedName>
    <definedName name="_BTR13">NA()</definedName>
    <definedName name="_BTR14">NA()</definedName>
    <definedName name="_BTR15">NA()</definedName>
    <definedName name="_BTR16">NA()</definedName>
    <definedName name="_BTR17">NA()</definedName>
    <definedName name="_BTR18">NA()</definedName>
    <definedName name="_BTR19">NA()</definedName>
    <definedName name="_BTR2">NA()</definedName>
    <definedName name="_BTR20">NA()</definedName>
    <definedName name="_BTR21">NA()</definedName>
    <definedName name="_BTR22">NA()</definedName>
    <definedName name="_BTR23">NA()</definedName>
    <definedName name="_BTR24">NA()</definedName>
    <definedName name="_BTR3">NA()</definedName>
    <definedName name="_BTR4">NA()</definedName>
    <definedName name="_BTR5">NA()</definedName>
    <definedName name="_BTR6">NA()</definedName>
    <definedName name="_BTR7">NA()</definedName>
    <definedName name="_BTR8">NA()</definedName>
    <definedName name="_BTR9">NA()</definedName>
    <definedName name="_BTS1">NA()</definedName>
    <definedName name="_BTS10">NA()</definedName>
    <definedName name="_BTS11">NA()</definedName>
    <definedName name="_BTS12">NA()</definedName>
    <definedName name="_BTS13">NA()</definedName>
    <definedName name="_BTS14">NA()</definedName>
    <definedName name="_BTS15">NA()</definedName>
    <definedName name="_BTS16">NA()</definedName>
    <definedName name="_BTS17">NA()</definedName>
    <definedName name="_BTS18">NA()</definedName>
    <definedName name="_BTS19">NA()</definedName>
    <definedName name="_BTS2">NA()</definedName>
    <definedName name="_BTS20">NA()</definedName>
    <definedName name="_BTS21">NA()</definedName>
    <definedName name="_BTS22">NA()</definedName>
    <definedName name="_BTS23">NA()</definedName>
    <definedName name="_BTS24">NA()</definedName>
    <definedName name="_BTS3">NA()</definedName>
    <definedName name="_BTS4">NA()</definedName>
    <definedName name="_BTS5">NA()</definedName>
    <definedName name="_BTS6">NA()</definedName>
    <definedName name="_BTS7">NA()</definedName>
    <definedName name="_BTS8">NA()</definedName>
    <definedName name="_BTS9">NA()</definedName>
    <definedName name="_C">NA()</definedName>
    <definedName name="_C_10">NA()</definedName>
    <definedName name="_can430">40.73</definedName>
    <definedName name="_can435">43.3</definedName>
    <definedName name="_cbr1">NA()</definedName>
    <definedName name="_cbr2">NA()</definedName>
    <definedName name="_cbr3">NA()</definedName>
    <definedName name="_cbr4">NA()</definedName>
    <definedName name="_CCW1">[9]DATA!$H$67</definedName>
    <definedName name="_CCW2">[9]DATA!$H$97</definedName>
    <definedName name="_CD2">NA()</definedName>
    <definedName name="_CEM">NA()</definedName>
    <definedName name="_ceramic">NA()</definedName>
    <definedName name="_cir">[40]Cover!$E$27</definedName>
    <definedName name="_COL10">NA()</definedName>
    <definedName name="_COL101">NA()</definedName>
    <definedName name="_COL11">NA()</definedName>
    <definedName name="_COL111">NA()</definedName>
    <definedName name="_cp">NA()</definedName>
    <definedName name="_Ctr10">NA()</definedName>
    <definedName name="_cur1">[2]r!$F$30</definedName>
    <definedName name="_CY53__">NA()</definedName>
    <definedName name="_CY53___10">NA()</definedName>
    <definedName name="_dadoing">NA()</definedName>
    <definedName name="_df3">NA()</definedName>
    <definedName name="_div">[40]Cover!$E$28</definedName>
    <definedName name="_E02" localSheetId="11">[41]mlead!$C$8</definedName>
    <definedName name="_E02" localSheetId="12">[41]mlead!$C$8</definedName>
    <definedName name="_E02" localSheetId="0">[41]mlead!$C$8</definedName>
    <definedName name="_E02">[42]mlead!$C$8</definedName>
    <definedName name="_E05" localSheetId="11">[43]mlead!$C$11</definedName>
    <definedName name="_E05" localSheetId="12">[43]mlead!$C$11</definedName>
    <definedName name="_E05" localSheetId="0">[43]mlead!$C$11</definedName>
    <definedName name="_E05">[44]mlead!$C$11</definedName>
    <definedName name="_E12" localSheetId="11">[41]mlead!$C$18</definedName>
    <definedName name="_E12" localSheetId="12">[41]mlead!$C$18</definedName>
    <definedName name="_E12" localSheetId="0">[41]mlead!$C$18</definedName>
    <definedName name="_E12">[42]mlead!$C$18</definedName>
    <definedName name="_E29" localSheetId="11">NA()</definedName>
    <definedName name="_E29" localSheetId="12">NA()</definedName>
    <definedName name="_E29" localSheetId="0">#REF!</definedName>
    <definedName name="_E29">#REF!</definedName>
    <definedName name="_E38" localSheetId="11">NA()</definedName>
    <definedName name="_E38" localSheetId="12">NA()</definedName>
    <definedName name="_E38" localSheetId="0">#REF!</definedName>
    <definedName name="_E38">#REF!</definedName>
    <definedName name="_emulsion">NA()</definedName>
    <definedName name="_er1">NA()</definedName>
    <definedName name="_ewe1" localSheetId="11">NA()</definedName>
    <definedName name="_ewe1" localSheetId="12">NA()</definedName>
    <definedName name="_ewe1" localSheetId="0">#REF!</definedName>
    <definedName name="_ewe1">#REF!</definedName>
    <definedName name="_exc1">NA()</definedName>
    <definedName name="_exc11">NA()</definedName>
    <definedName name="_exc2">NA()</definedName>
    <definedName name="_EXC3">NA()</definedName>
    <definedName name="_EXC4">NA()</definedName>
    <definedName name="_f1">NA()</definedName>
    <definedName name="_Fill" localSheetId="11">NA()</definedName>
    <definedName name="_Fill" localSheetId="12">NA()</definedName>
    <definedName name="_Fill" localSheetId="0" hidden="1">'[39]final abstract'!#REF!</definedName>
    <definedName name="_Fill" hidden="1">'[39]final abstract'!#REF!</definedName>
    <definedName name="_xlnm._FilterDatabase" localSheetId="4" hidden="1">'Revised Estimate'!$P$7:$P$756</definedName>
    <definedName name="_flx200">NA()</definedName>
    <definedName name="_flx250">NA()</definedName>
    <definedName name="_flx300">NA()</definedName>
    <definedName name="_foo1">NA()</definedName>
    <definedName name="_foo2">NA()</definedName>
    <definedName name="_foo3">NA()</definedName>
    <definedName name="_FOO4">NA()</definedName>
    <definedName name="_G">NA()</definedName>
    <definedName name="_G120907" localSheetId="11">"[42]data!#ref!"</definedName>
    <definedName name="_G120907" localSheetId="12">"[42]data!#ref!"</definedName>
    <definedName name="_G120907" localSheetId="0">[25]Data!#REF!</definedName>
    <definedName name="_G120907">[25]Data!#REF!</definedName>
    <definedName name="_GBS11">NA()</definedName>
    <definedName name="_GBS110">NA()</definedName>
    <definedName name="_GBS111">NA()</definedName>
    <definedName name="_GBS112">NA()</definedName>
    <definedName name="_GBS113">NA()</definedName>
    <definedName name="_GBS114">NA()</definedName>
    <definedName name="_GBS115">NA()</definedName>
    <definedName name="_GBS116">NA()</definedName>
    <definedName name="_GBS117">NA()</definedName>
    <definedName name="_GBS118">NA()</definedName>
    <definedName name="_GBS119">NA()</definedName>
    <definedName name="_GBS12">NA()</definedName>
    <definedName name="_GBS120">NA()</definedName>
    <definedName name="_GBS121">NA()</definedName>
    <definedName name="_GBS122">NA()</definedName>
    <definedName name="_GBS123">NA()</definedName>
    <definedName name="_GBS124">NA()</definedName>
    <definedName name="_GBS13">NA()</definedName>
    <definedName name="_GBS14">NA()</definedName>
    <definedName name="_GBS15">NA()</definedName>
    <definedName name="_GBS16">NA()</definedName>
    <definedName name="_GBS17">NA()</definedName>
    <definedName name="_GBS18">NA()</definedName>
    <definedName name="_GBS19">NA()</definedName>
    <definedName name="_GBS21">NA()</definedName>
    <definedName name="_GBS210">NA()</definedName>
    <definedName name="_GBS211">NA()</definedName>
    <definedName name="_GBS212">NA()</definedName>
    <definedName name="_GBS213">NA()</definedName>
    <definedName name="_GBS214">NA()</definedName>
    <definedName name="_GBS215">NA()</definedName>
    <definedName name="_GBS216">NA()</definedName>
    <definedName name="_GBS217">NA()</definedName>
    <definedName name="_GBS218">NA()</definedName>
    <definedName name="_GBS219">NA()</definedName>
    <definedName name="_GBS22">NA()</definedName>
    <definedName name="_GBS220">NA()</definedName>
    <definedName name="_GBS221">NA()</definedName>
    <definedName name="_GBS222">NA()</definedName>
    <definedName name="_GBS223">NA()</definedName>
    <definedName name="_GBS224">NA()</definedName>
    <definedName name="_GBS23">NA()</definedName>
    <definedName name="_GBS24">NA()</definedName>
    <definedName name="_GBS25">NA()</definedName>
    <definedName name="_GBS26">NA()</definedName>
    <definedName name="_GBS27">NA()</definedName>
    <definedName name="_GBS28">NA()</definedName>
    <definedName name="_GBS29">NA()</definedName>
    <definedName name="_gk">NA()</definedName>
    <definedName name="_GOTO_I10_">NA()</definedName>
    <definedName name="_GOTO_I10__10">NA()</definedName>
    <definedName name="_GRA">NA()</definedName>
    <definedName name="_grp10003">NA()</definedName>
    <definedName name="_grp3503">NA()</definedName>
    <definedName name="_grp4003">NA()</definedName>
    <definedName name="_grp4503">NA()</definedName>
    <definedName name="_grp5003">NA()</definedName>
    <definedName name="_grp6003">NA()</definedName>
    <definedName name="_grp7003">NA()</definedName>
    <definedName name="_grp8003">NA()</definedName>
    <definedName name="_grp9003">NA()</definedName>
    <definedName name="_grstn">NA()</definedName>
    <definedName name="_grstn1">NA()</definedName>
    <definedName name="_gus1">NA()</definedName>
    <definedName name="_hab1" localSheetId="11">NA()</definedName>
    <definedName name="_hab1" localSheetId="12">NA()</definedName>
    <definedName name="_hab1" localSheetId="0">#REF!</definedName>
    <definedName name="_hab1">#REF!</definedName>
    <definedName name="_hpm1" localSheetId="11">NA()</definedName>
    <definedName name="_hpm1" localSheetId="12">NA()</definedName>
    <definedName name="_hpm1" localSheetId="0">#REF!</definedName>
    <definedName name="_hpm1">#REF!</definedName>
    <definedName name="_I">NA()</definedName>
    <definedName name="_I06">NA()</definedName>
    <definedName name="_I10">NA()</definedName>
    <definedName name="_I12">NA()</definedName>
    <definedName name="_I150">NA()</definedName>
    <definedName name="_I20">NA()</definedName>
    <definedName name="_I25">NA()</definedName>
    <definedName name="_I40">NA()</definedName>
    <definedName name="_I50">NA()</definedName>
    <definedName name="_I60">NA()</definedName>
    <definedName name="_I65">NA()</definedName>
    <definedName name="_I75">NA()</definedName>
    <definedName name="_imp1">[11]DATA_PRG!$H$245</definedName>
    <definedName name="_IRC12" localSheetId="11">"[56]mrates!$m$9"</definedName>
    <definedName name="_IRC12" localSheetId="12">"[56]mrates!$m$9"</definedName>
    <definedName name="_IRC12">[29]MRATES!$M$9</definedName>
    <definedName name="_IRC19" localSheetId="11">"[56]mrates!$m$10"</definedName>
    <definedName name="_IRC19" localSheetId="12">"[56]mrates!$m$10"</definedName>
    <definedName name="_IRC19">[29]MRATES!$M$10</definedName>
    <definedName name="_IRC25" localSheetId="11">"[56]mrates!$m$11"</definedName>
    <definedName name="_IRC25" localSheetId="12">"[56]mrates!$m$11"</definedName>
    <definedName name="_IRC25">[29]MRATES!$M$11</definedName>
    <definedName name="_IRC40" localSheetId="11">"[56]mrates!$m$12"</definedName>
    <definedName name="_IRC40" localSheetId="12">"[56]mrates!$m$12"</definedName>
    <definedName name="_IRC40">[29]MRATES!$M$12</definedName>
    <definedName name="_IRC5" localSheetId="11">"[56]mrates!$m$7"</definedName>
    <definedName name="_IRC5" localSheetId="12">"[56]mrates!$m$7"</definedName>
    <definedName name="_IRC5">[29]MRATES!$M$7</definedName>
    <definedName name="_IRC50" localSheetId="11">"[56]mrates!$m$13"</definedName>
    <definedName name="_IRC50" localSheetId="12">"[56]mrates!$m$13"</definedName>
    <definedName name="_IRC50">[29]MRATES!$M$13</definedName>
    <definedName name="_IRC60" localSheetId="11">"[56]mrates!$m$14"</definedName>
    <definedName name="_IRC60" localSheetId="12">"[56]mrates!$m$14"</definedName>
    <definedName name="_IRC60">[29]MRATES!$M$14</definedName>
    <definedName name="_IRC9" localSheetId="11">"[56]mrates!$m$8"</definedName>
    <definedName name="_IRC9" localSheetId="12">"[56]mrates!$m$8"</definedName>
    <definedName name="_IRC9">[29]MRATES!$M$8</definedName>
    <definedName name="_J">NA()</definedName>
    <definedName name="_ja">"[83]labour!#ref!"</definedName>
    <definedName name="_JCR23">NA()</definedName>
    <definedName name="_k1">NA()</definedName>
    <definedName name="_KC139">NA()</definedName>
    <definedName name="_KC580">NA()</definedName>
    <definedName name="_Key1" localSheetId="11">NA()</definedName>
    <definedName name="_Key1" localSheetId="12">NA()</definedName>
    <definedName name="_Key1" localSheetId="0" hidden="1">#REF!</definedName>
    <definedName name="_Key1" hidden="1">#REF!</definedName>
    <definedName name="_knr2" localSheetId="11">NA()</definedName>
    <definedName name="_knr2" localSheetId="12">NA()</definedName>
    <definedName name="_knr2" localSheetId="0">#REF!</definedName>
    <definedName name="_knr2">#REF!</definedName>
    <definedName name="_knr3">NA()</definedName>
    <definedName name="_L_BX">NA()</definedName>
    <definedName name="_L_CX">NA()</definedName>
    <definedName name="_l1">[3]leads!$A$3:$E$108</definedName>
    <definedName name="_l12" localSheetId="11">NA()</definedName>
    <definedName name="_l12" localSheetId="12">NA()</definedName>
    <definedName name="_l12" localSheetId="0">#REF!</definedName>
    <definedName name="_l12">#REF!</definedName>
    <definedName name="_l2">[2]r!$F$29</definedName>
    <definedName name="_l3" localSheetId="11">NA()</definedName>
    <definedName name="_l3" localSheetId="12">NA()</definedName>
    <definedName name="_l3" localSheetId="0">#REF!</definedName>
    <definedName name="_l3">#REF!</definedName>
    <definedName name="_l4">[4]Sheet1!$W$2:$Y$103</definedName>
    <definedName name="_l5" localSheetId="11">NA()</definedName>
    <definedName name="_l5" localSheetId="12">NA()</definedName>
    <definedName name="_l5" localSheetId="0">#REF!</definedName>
    <definedName name="_l5">#REF!</definedName>
    <definedName name="_l6">[2]r!$F$4</definedName>
    <definedName name="_l7">[5]r!$F$4</definedName>
    <definedName name="_l8">[2]r!$F$2</definedName>
    <definedName name="_l9">[2]r!$F$3</definedName>
    <definedName name="_LC1">"[84]labour!#ref!"</definedName>
    <definedName name="_LC2">"[84]labour!#ref!"</definedName>
    <definedName name="_lcn1" localSheetId="11">NA()</definedName>
    <definedName name="_lcn1" localSheetId="12">NA()</definedName>
    <definedName name="_lcn1" localSheetId="0">#REF!</definedName>
    <definedName name="_lcn1">#REF!</definedName>
    <definedName name="_LEAD">[45]RMR!$D$31</definedName>
    <definedName name="_LJ6">[9]DATA!$H$245</definedName>
    <definedName name="_lj600">NA()</definedName>
    <definedName name="_lj900">NA()</definedName>
    <definedName name="_LL3">NA()</definedName>
    <definedName name="_lm1">NA()</definedName>
    <definedName name="_LSO24">"[14]lead!#ref!"</definedName>
    <definedName name="_m">NA()</definedName>
    <definedName name="_m_10">NA()</definedName>
    <definedName name="_M17" localSheetId="11">[41]mlead!$D$23</definedName>
    <definedName name="_M17" localSheetId="12">[41]mlead!$D$23</definedName>
    <definedName name="_M17" localSheetId="0">[41]mlead!$D$23</definedName>
    <definedName name="_M17">[42]mlead!$D$23</definedName>
    <definedName name="_M38" localSheetId="11">[41]mlead!$D$44</definedName>
    <definedName name="_M38" localSheetId="12">[41]mlead!$D$44</definedName>
    <definedName name="_M38" localSheetId="0">[41]mlead!$D$44</definedName>
    <definedName name="_M38">[42]mlead!$D$44</definedName>
    <definedName name="_M55">NA()</definedName>
    <definedName name="_M67" localSheetId="11">[43]mlead!$D$73</definedName>
    <definedName name="_M67" localSheetId="12">[43]mlead!$D$73</definedName>
    <definedName name="_M67" localSheetId="0">[43]mlead!$D$73</definedName>
    <definedName name="_M67">[44]mlead!$D$73</definedName>
    <definedName name="_ma">NA()</definedName>
    <definedName name="_ma1">NA()</definedName>
    <definedName name="_ma2">NA()</definedName>
    <definedName name="_Mar06">"[72]newabstract!#ref!"</definedName>
    <definedName name="_Mar09">"[72]newabstract!#ref!"</definedName>
    <definedName name="_Mar10">"[72]newabstract!#ref!"</definedName>
    <definedName name="_Mar11">"[72]newabstract!#ref!"</definedName>
    <definedName name="_Mar12">"[72]newabstract!#ref!"</definedName>
    <definedName name="_Mar13">"[72]newabstract!#ref!"</definedName>
    <definedName name="_Mar16">"[72]newabstract!#ref!"</definedName>
    <definedName name="_Mar17">"[72]newabstract!#ref!"</definedName>
    <definedName name="_Mar18">"[72]newabstract!#ref!"</definedName>
    <definedName name="_Mar19">"[72]newabstract!#ref!"</definedName>
    <definedName name="_Mar20">"[72]newabstract!#ref!"</definedName>
    <definedName name="_Mar23">"[72]newabstract!#ref!"</definedName>
    <definedName name="_Mar24">"[72]newabstract!#ref!"</definedName>
    <definedName name="_Mar25">"[72]newabstract!#ref!"</definedName>
    <definedName name="_Mar26">"[72]newabstract!#ref!"</definedName>
    <definedName name="_Mar27">"[72]newabstract!#ref!"</definedName>
    <definedName name="_Mar28">"[72]newabstract!#ref!"</definedName>
    <definedName name="_Mar30">"[72]newabstract!#ref!"</definedName>
    <definedName name="_Mar31">"[72]newabstract!#ref!"</definedName>
    <definedName name="_me12" localSheetId="11">NA()</definedName>
    <definedName name="_me12" localSheetId="12">NA()</definedName>
    <definedName name="_me12" localSheetId="0">'[46]Lead statement'!#REF!</definedName>
    <definedName name="_me12">'[46]Lead statement'!#REF!</definedName>
    <definedName name="_me15" localSheetId="11">NA()</definedName>
    <definedName name="_me15" localSheetId="12">NA()</definedName>
    <definedName name="_me15" localSheetId="0">'[47]Lead statement'!#REF!</definedName>
    <definedName name="_me15">'[47]Lead statement'!#REF!</definedName>
    <definedName name="_me20">'[48]Lead statement'!$P$12</definedName>
    <definedName name="_me40">'[48]Lead statement'!$P$13</definedName>
    <definedName name="_melamine">NA()</definedName>
    <definedName name="_Met21">NA()</definedName>
    <definedName name="_Met22">NA()</definedName>
    <definedName name="_Met45">NA()</definedName>
    <definedName name="_MEt55">NA()</definedName>
    <definedName name="_Met63">NA()</definedName>
    <definedName name="_ML21">NA()</definedName>
    <definedName name="_ML210">NA()</definedName>
    <definedName name="_ML211">NA()</definedName>
    <definedName name="_ML212">NA()</definedName>
    <definedName name="_ML213">NA()</definedName>
    <definedName name="_ML214">NA()</definedName>
    <definedName name="_ML215">NA()</definedName>
    <definedName name="_ML216">NA()</definedName>
    <definedName name="_ML217">NA()</definedName>
    <definedName name="_ML218">NA()</definedName>
    <definedName name="_ML219">NA()</definedName>
    <definedName name="_ML22">NA()</definedName>
    <definedName name="_ML220">NA()</definedName>
    <definedName name="_ML221">NA()</definedName>
    <definedName name="_ML222">NA()</definedName>
    <definedName name="_ML223">NA()</definedName>
    <definedName name="_ML224">NA()</definedName>
    <definedName name="_ML23">NA()</definedName>
    <definedName name="_ML24">NA()</definedName>
    <definedName name="_ML25">NA()</definedName>
    <definedName name="_ML26">NA()</definedName>
    <definedName name="_ML27">NA()</definedName>
    <definedName name="_ML28">NA()</definedName>
    <definedName name="_ML29">NA()</definedName>
    <definedName name="_ML31">NA()</definedName>
    <definedName name="_ML310">NA()</definedName>
    <definedName name="_ML311">NA()</definedName>
    <definedName name="_ML312">NA()</definedName>
    <definedName name="_ML313">NA()</definedName>
    <definedName name="_ML314">NA()</definedName>
    <definedName name="_ML315">NA()</definedName>
    <definedName name="_ML316">NA()</definedName>
    <definedName name="_ML317">NA()</definedName>
    <definedName name="_ML318">NA()</definedName>
    <definedName name="_ML319">NA()</definedName>
    <definedName name="_ML32">NA()</definedName>
    <definedName name="_ML320">NA()</definedName>
    <definedName name="_ML321">NA()</definedName>
    <definedName name="_ML322">NA()</definedName>
    <definedName name="_ML323">NA()</definedName>
    <definedName name="_ML324">NA()</definedName>
    <definedName name="_ML33">NA()</definedName>
    <definedName name="_ML34">NA()</definedName>
    <definedName name="_ML35">NA()</definedName>
    <definedName name="_ML36">NA()</definedName>
    <definedName name="_ML37">NA()</definedName>
    <definedName name="_ML38">NA()</definedName>
    <definedName name="_ML39">NA()</definedName>
    <definedName name="_ML7">NA()</definedName>
    <definedName name="_ML8">NA()</definedName>
    <definedName name="_ML9">NA()</definedName>
    <definedName name="_mm">NA()</definedName>
    <definedName name="_mm1">[6]r!$F$4</definedName>
    <definedName name="_mm1000">NA()</definedName>
    <definedName name="_mm1001">NA()</definedName>
    <definedName name="_mm11">[2]r!$F$4</definedName>
    <definedName name="_mm111">[5]r!$F$4</definedName>
    <definedName name="_mm20">NA()</definedName>
    <definedName name="_mm40">NA()</definedName>
    <definedName name="_mm600">NA()</definedName>
    <definedName name="_mm800">NA()</definedName>
    <definedName name="_MS6">[29]MRATES!$P$50</definedName>
    <definedName name="_MT1">NA()</definedName>
    <definedName name="_MT10">NA()</definedName>
    <definedName name="_MT100">NA()</definedName>
    <definedName name="_MT101">NA()</definedName>
    <definedName name="_MT102">NA()</definedName>
    <definedName name="_MT103">NA()</definedName>
    <definedName name="_MT104">NA()</definedName>
    <definedName name="_MT105">NA()</definedName>
    <definedName name="_MT106">NA()</definedName>
    <definedName name="_MT107">NA()</definedName>
    <definedName name="_MT108">NA()</definedName>
    <definedName name="_MT109">NA()</definedName>
    <definedName name="_MT11">NA()</definedName>
    <definedName name="_MT110">NA()</definedName>
    <definedName name="_MT111">NA()</definedName>
    <definedName name="_MT112">NA()</definedName>
    <definedName name="_MT113">NA()</definedName>
    <definedName name="_MT114">NA()</definedName>
    <definedName name="_MT115">NA()</definedName>
    <definedName name="_MT116">NA()</definedName>
    <definedName name="_MT117">NA()</definedName>
    <definedName name="_MT118">NA()</definedName>
    <definedName name="_MT119">NA()</definedName>
    <definedName name="_MT12">NA()</definedName>
    <definedName name="_MT120">NA()</definedName>
    <definedName name="_MT121">NA()</definedName>
    <definedName name="_MT122">NA()</definedName>
    <definedName name="_MT123">NA()</definedName>
    <definedName name="_MT124">NA()</definedName>
    <definedName name="_MT125">NA()</definedName>
    <definedName name="_MT126">NA()</definedName>
    <definedName name="_MT127">NA()</definedName>
    <definedName name="_MT128">NA()</definedName>
    <definedName name="_MT129">NA()</definedName>
    <definedName name="_MT13">NA()</definedName>
    <definedName name="_MT130">NA()</definedName>
    <definedName name="_MT131">NA()</definedName>
    <definedName name="_MT132">NA()</definedName>
    <definedName name="_MT133">NA()</definedName>
    <definedName name="_MT134">NA()</definedName>
    <definedName name="_MT135">NA()</definedName>
    <definedName name="_MT136">NA()</definedName>
    <definedName name="_MT137">NA()</definedName>
    <definedName name="_MT138">NA()</definedName>
    <definedName name="_MT139">NA()</definedName>
    <definedName name="_MT14">NA()</definedName>
    <definedName name="_MT140">NA()</definedName>
    <definedName name="_MT141">NA()</definedName>
    <definedName name="_MT142">NA()</definedName>
    <definedName name="_MT143">NA()</definedName>
    <definedName name="_MT144">NA()</definedName>
    <definedName name="_MT145">NA()</definedName>
    <definedName name="_MT146">NA()</definedName>
    <definedName name="_MT147">NA()</definedName>
    <definedName name="_MT148">NA()</definedName>
    <definedName name="_MT149">NA()</definedName>
    <definedName name="_MT15">NA()</definedName>
    <definedName name="_MT150">NA()</definedName>
    <definedName name="_MT16">NA()</definedName>
    <definedName name="_MT17">NA()</definedName>
    <definedName name="_MT18">NA()</definedName>
    <definedName name="_MT19">NA()</definedName>
    <definedName name="_MT2">NA()</definedName>
    <definedName name="_MT20">NA()</definedName>
    <definedName name="_MT21">NA()</definedName>
    <definedName name="_MT22">NA()</definedName>
    <definedName name="_MT23">NA()</definedName>
    <definedName name="_MT24">NA()</definedName>
    <definedName name="_MT25">NA()</definedName>
    <definedName name="_MT26">NA()</definedName>
    <definedName name="_MT27">NA()</definedName>
    <definedName name="_MT28">NA()</definedName>
    <definedName name="_MT29">NA()</definedName>
    <definedName name="_MT3">NA()</definedName>
    <definedName name="_MT30">NA()</definedName>
    <definedName name="_MT31">NA()</definedName>
    <definedName name="_MT32">NA()</definedName>
    <definedName name="_MT33">NA()</definedName>
    <definedName name="_MT34">NA()</definedName>
    <definedName name="_MT35">NA()</definedName>
    <definedName name="_MT36">NA()</definedName>
    <definedName name="_MT37">NA()</definedName>
    <definedName name="_MT38">NA()</definedName>
    <definedName name="_MT39">NA()</definedName>
    <definedName name="_MT4">NA()</definedName>
    <definedName name="_MT40">NA()</definedName>
    <definedName name="_MT41">NA()</definedName>
    <definedName name="_MT42">NA()</definedName>
    <definedName name="_MT43">NA()</definedName>
    <definedName name="_MT44">NA()</definedName>
    <definedName name="_MT45">NA()</definedName>
    <definedName name="_MT46">NA()</definedName>
    <definedName name="_MT47">NA()</definedName>
    <definedName name="_MT48">NA()</definedName>
    <definedName name="_MT49">NA()</definedName>
    <definedName name="_MT5">NA()</definedName>
    <definedName name="_MT50">NA()</definedName>
    <definedName name="_MT500">NA()</definedName>
    <definedName name="_MT51">NA()</definedName>
    <definedName name="_MT52">NA()</definedName>
    <definedName name="_MT53">NA()</definedName>
    <definedName name="_MT54">NA()</definedName>
    <definedName name="_MT55">NA()</definedName>
    <definedName name="_MT56">NA()</definedName>
    <definedName name="_MT57">NA()</definedName>
    <definedName name="_MT58">NA()</definedName>
    <definedName name="_MT59">NA()</definedName>
    <definedName name="_MT6">NA()</definedName>
    <definedName name="_MT60">NA()</definedName>
    <definedName name="_MT61">NA()</definedName>
    <definedName name="_MT62">NA()</definedName>
    <definedName name="_MT63">NA()</definedName>
    <definedName name="_MT64">NA()</definedName>
    <definedName name="_MT65">NA()</definedName>
    <definedName name="_MT66">NA()</definedName>
    <definedName name="_MT67">NA()</definedName>
    <definedName name="_MT68">NA()</definedName>
    <definedName name="_MT69">NA()</definedName>
    <definedName name="_MT7">NA()</definedName>
    <definedName name="_MT70">NA()</definedName>
    <definedName name="_MT71">NA()</definedName>
    <definedName name="_MT72">NA()</definedName>
    <definedName name="_MT73">NA()</definedName>
    <definedName name="_MT74">NA()</definedName>
    <definedName name="_MT75">NA()</definedName>
    <definedName name="_MT76">NA()</definedName>
    <definedName name="_MT77">NA()</definedName>
    <definedName name="_MT78">NA()</definedName>
    <definedName name="_MT79">NA()</definedName>
    <definedName name="_MT8">NA()</definedName>
    <definedName name="_MT80">NA()</definedName>
    <definedName name="_MT81">NA()</definedName>
    <definedName name="_MT82">NA()</definedName>
    <definedName name="_MT83">NA()</definedName>
    <definedName name="_MT84">NA()</definedName>
    <definedName name="_MT85">NA()</definedName>
    <definedName name="_MT86">NA()</definedName>
    <definedName name="_MT87">NA()</definedName>
    <definedName name="_MT88">NA()</definedName>
    <definedName name="_MT89">NA()</definedName>
    <definedName name="_MT9">NA()</definedName>
    <definedName name="_MT90">NA()</definedName>
    <definedName name="_MT91">NA()</definedName>
    <definedName name="_MT92">NA()</definedName>
    <definedName name="_MT93">NA()</definedName>
    <definedName name="_MT94">NA()</definedName>
    <definedName name="_MT95">NA()</definedName>
    <definedName name="_MT96">NA()</definedName>
    <definedName name="_MT97">NA()</definedName>
    <definedName name="_MT98">NA()</definedName>
    <definedName name="_MT99">NA()</definedName>
    <definedName name="_N">NA()</definedName>
    <definedName name="_n_10">NA()</definedName>
    <definedName name="_ne10" localSheetId="11">NA()</definedName>
    <definedName name="_ne10" localSheetId="12">NA()</definedName>
    <definedName name="_ne10">'[49]Lead statement'!#REF!</definedName>
    <definedName name="_New1" localSheetId="11">"[93]data!#ref!"</definedName>
    <definedName name="_New1" localSheetId="12">"[93]data!#ref!"</definedName>
    <definedName name="_New1" localSheetId="0">[50]data!#REF!</definedName>
    <definedName name="_New1">[50]data!#REF!</definedName>
    <definedName name="_NW">[51]Cover!$C$8</definedName>
    <definedName name="_o">NA()</definedName>
    <definedName name="_O10">NA()</definedName>
    <definedName name="_O100">NA()</definedName>
    <definedName name="_O12">NA()</definedName>
    <definedName name="_O150">NA()</definedName>
    <definedName name="_O20">NA()</definedName>
    <definedName name="_O300">NA()</definedName>
    <definedName name="_O45">NA()</definedName>
    <definedName name="_O450">NA()</definedName>
    <definedName name="_O55">NA()</definedName>
    <definedName name="_O65">NA()</definedName>
    <definedName name="_O75">NA()</definedName>
    <definedName name="_OCM01">"[98]office!$a$19"</definedName>
    <definedName name="_od1">NA()</definedName>
    <definedName name="_OH1">[34]MRATES!$T$26</definedName>
    <definedName name="_OQUA">NA()</definedName>
    <definedName name="_Order1" hidden="1">255</definedName>
    <definedName name="_p">NA()</definedName>
    <definedName name="_p_10">NA()</definedName>
    <definedName name="_p5">NA()</definedName>
    <definedName name="_pa1">'[26]C-data'!$F$12</definedName>
    <definedName name="_pa2">'[26]C-data'!$F$13</definedName>
    <definedName name="_PC1">NA()</definedName>
    <definedName name="_PC10">NA()</definedName>
    <definedName name="_PC11">NA()</definedName>
    <definedName name="_PC12">NA()</definedName>
    <definedName name="_PC13">NA()</definedName>
    <definedName name="_PC14">NA()</definedName>
    <definedName name="_PC15">NA()</definedName>
    <definedName name="_PC16">NA()</definedName>
    <definedName name="_PC17">NA()</definedName>
    <definedName name="_PC18">NA()</definedName>
    <definedName name="_PC19">NA()</definedName>
    <definedName name="_pc2" localSheetId="11">NA()</definedName>
    <definedName name="_pc2" localSheetId="12">NA()</definedName>
    <definedName name="_pc2" localSheetId="0">#REF!</definedName>
    <definedName name="_pc2">#REF!</definedName>
    <definedName name="_PC20">NA()</definedName>
    <definedName name="_PC21">NA()</definedName>
    <definedName name="_PC22">NA()</definedName>
    <definedName name="_PC23">NA()</definedName>
    <definedName name="_PC24">NA()</definedName>
    <definedName name="_PC3">NA()</definedName>
    <definedName name="_PC4">NA()</definedName>
    <definedName name="_PC5">NA()</definedName>
    <definedName name="_PC6">NA()</definedName>
    <definedName name="_pc600">NA()</definedName>
    <definedName name="_PC7">NA()</definedName>
    <definedName name="_PC8">NA()</definedName>
    <definedName name="_PC9">NA()</definedName>
    <definedName name="_pc900">NA()</definedName>
    <definedName name="_pcc1">NA()</definedName>
    <definedName name="_pcc2">NA()</definedName>
    <definedName name="_pcc3">NA()</definedName>
    <definedName name="_PCC4">NA()</definedName>
    <definedName name="_pipe_con_1100">"[99]mlead!#ref!"</definedName>
    <definedName name="_pipe_con_500" localSheetId="11">"[99]mlead!#ref!"</definedName>
    <definedName name="_pipe_con_500" localSheetId="12">"[99]mlead!#ref!"</definedName>
    <definedName name="_pipe_con_500" localSheetId="0">[52]mlead!#REF!</definedName>
    <definedName name="_pipe_con_500">[52]mlead!#REF!</definedName>
    <definedName name="_pipe_con_700" localSheetId="11">"[99]mlead!#ref!"</definedName>
    <definedName name="_pipe_con_700" localSheetId="12">"[99]mlead!#ref!"</definedName>
    <definedName name="_pipe_con_700" localSheetId="0">[52]mlead!#REF!</definedName>
    <definedName name="_pipe_con_700">[52]mlead!#REF!</definedName>
    <definedName name="_pipe_ic_1100" localSheetId="11">"[99]mlead!#ref!"</definedName>
    <definedName name="_pipe_ic_1100" localSheetId="12">"[99]mlead!#ref!"</definedName>
    <definedName name="_pipe_ic_1100" localSheetId="0">[52]mlead!#REF!</definedName>
    <definedName name="_pipe_ic_1100">[52]mlead!#REF!</definedName>
    <definedName name="_pipe_ic_500" localSheetId="11">"[99]mlead!#ref!"</definedName>
    <definedName name="_pipe_ic_500" localSheetId="12">"[99]mlead!#ref!"</definedName>
    <definedName name="_pipe_ic_500" localSheetId="0">[52]mlead!#REF!</definedName>
    <definedName name="_pipe_ic_500">[52]mlead!#REF!</definedName>
    <definedName name="_pipe_ic_700" localSheetId="11">"[99]mlead!#ref!"</definedName>
    <definedName name="_pipe_ic_700" localSheetId="12">"[99]mlead!#ref!"</definedName>
    <definedName name="_pipe_ic_700" localSheetId="0">[52]mlead!#REF!</definedName>
    <definedName name="_pipe_ic_700">[52]mlead!#REF!</definedName>
    <definedName name="_PL">NA()</definedName>
    <definedName name="_pla4">[12]DATA_PRG!$H$269</definedName>
    <definedName name="_plb1">NA()</definedName>
    <definedName name="_plb2">NA()</definedName>
    <definedName name="_plb3">NA()</definedName>
    <definedName name="_plb4">NA()</definedName>
    <definedName name="_PPA14">NA()</definedName>
    <definedName name="_PPB154">NA()</definedName>
    <definedName name="_PPB155">NA()</definedName>
    <definedName name="_PPB16">NA()</definedName>
    <definedName name="_PPB17">NA()</definedName>
    <definedName name="_PPB18">NA()</definedName>
    <definedName name="_PPB19">NA()</definedName>
    <definedName name="_PPB2">NA()</definedName>
    <definedName name="_PPB20">NA()</definedName>
    <definedName name="_PPB21">NA()</definedName>
    <definedName name="_PPB22">NA()</definedName>
    <definedName name="_PPB23">NA()</definedName>
    <definedName name="_PPB24">NA()</definedName>
    <definedName name="_PPB25">NA()</definedName>
    <definedName name="_PPB26">NA()</definedName>
    <definedName name="_PPB27">NA()</definedName>
    <definedName name="_PPB28">NA()</definedName>
    <definedName name="_PPB29">NA()</definedName>
    <definedName name="_PPB3">NA()</definedName>
    <definedName name="_PPB30">NA()</definedName>
    <definedName name="_PPB31">NA()</definedName>
    <definedName name="_PPB32">NA()</definedName>
    <definedName name="_PPB33">NA()</definedName>
    <definedName name="_PPB34">NA()</definedName>
    <definedName name="_PPB35">NA()</definedName>
    <definedName name="_PPB36">NA()</definedName>
    <definedName name="_PPB37">NA()</definedName>
    <definedName name="_PPB38">NA()</definedName>
    <definedName name="_PPB39">NA()</definedName>
    <definedName name="_PPB4">NA()</definedName>
    <definedName name="_PPB40">NA()</definedName>
    <definedName name="_PPB41">NA()</definedName>
    <definedName name="_PPB42">NA()</definedName>
    <definedName name="_PPB43">NA()</definedName>
    <definedName name="_PPB44">NA()</definedName>
    <definedName name="_PPB45">NA()</definedName>
    <definedName name="_PPB46">NA()</definedName>
    <definedName name="_PPB47">NA()</definedName>
    <definedName name="_PPB48">NA()</definedName>
    <definedName name="_PPB49">NA()</definedName>
    <definedName name="_PPB5">NA()</definedName>
    <definedName name="_PPB50">NA()</definedName>
    <definedName name="_PPB51">NA()</definedName>
    <definedName name="_PPB52">NA()</definedName>
    <definedName name="_PPB53">NA()</definedName>
    <definedName name="_PPB54">NA()</definedName>
    <definedName name="_PPB55">NA()</definedName>
    <definedName name="_PPB56">NA()</definedName>
    <definedName name="_PPB57">NA()</definedName>
    <definedName name="_PPB58">NA()</definedName>
    <definedName name="_PPB59">NA()</definedName>
    <definedName name="_PPB6">NA()</definedName>
    <definedName name="_PPB60">NA()</definedName>
    <definedName name="_PPB61">NA()</definedName>
    <definedName name="_PPB62">NA()</definedName>
    <definedName name="_PPB63">NA()</definedName>
    <definedName name="_PPB64">NA()</definedName>
    <definedName name="_PPB65">NA()</definedName>
    <definedName name="_PPB66">NA()</definedName>
    <definedName name="_PPB67">NA()</definedName>
    <definedName name="_PPB68">NA()</definedName>
    <definedName name="_PPB69">NA()</definedName>
    <definedName name="_PPB7">NA()</definedName>
    <definedName name="_PPB70">NA()</definedName>
    <definedName name="_PPB71">NA()</definedName>
    <definedName name="_PPB72">NA()</definedName>
    <definedName name="_PPB73">NA()</definedName>
    <definedName name="_PPB74">NA()</definedName>
    <definedName name="_PPB75">NA()</definedName>
    <definedName name="_PPB76">NA()</definedName>
    <definedName name="_PPB77">NA()</definedName>
    <definedName name="_PPB78">NA()</definedName>
    <definedName name="_PPB79">NA()</definedName>
    <definedName name="_PPB8">NA()</definedName>
    <definedName name="_PPB80">NA()</definedName>
    <definedName name="_PPB81">NA()</definedName>
    <definedName name="_PPB82">NA()</definedName>
    <definedName name="_PPB83">NA()</definedName>
    <definedName name="_PPB84">NA()</definedName>
    <definedName name="_PPB85">NA()</definedName>
    <definedName name="_PPB86">NA()</definedName>
    <definedName name="_PPB87">NA()</definedName>
    <definedName name="_PPB88">NA()</definedName>
    <definedName name="_PPB89">NA()</definedName>
    <definedName name="_PPB9">NA()</definedName>
    <definedName name="_PPB90">NA()</definedName>
    <definedName name="_PPB91">NA()</definedName>
    <definedName name="_PPB92">NA()</definedName>
    <definedName name="_PPB93">NA()</definedName>
    <definedName name="_PPB94">NA()</definedName>
    <definedName name="_PPB95">NA()</definedName>
    <definedName name="_PPB96">NA()</definedName>
    <definedName name="_PPB97">NA()</definedName>
    <definedName name="_PPB98">NA()</definedName>
    <definedName name="_PPB99">NA()</definedName>
    <definedName name="_PPC1">NA()</definedName>
    <definedName name="_PPC10">NA()</definedName>
    <definedName name="_PPC100">NA()</definedName>
    <definedName name="_PPC101">NA()</definedName>
    <definedName name="_PPC102">NA()</definedName>
    <definedName name="_PPC103">NA()</definedName>
    <definedName name="_PPC104">NA()</definedName>
    <definedName name="_PPC105">NA()</definedName>
    <definedName name="_PPC106">NA()</definedName>
    <definedName name="_PPC107">NA()</definedName>
    <definedName name="_PPC108">NA()</definedName>
    <definedName name="_PPC109">NA()</definedName>
    <definedName name="_PPC11">NA()</definedName>
    <definedName name="_PPC110">NA()</definedName>
    <definedName name="_PPC111">NA()</definedName>
    <definedName name="_PPC112">NA()</definedName>
    <definedName name="_PPC113">NA()</definedName>
    <definedName name="_PPC114">NA()</definedName>
    <definedName name="_PPC115">NA()</definedName>
    <definedName name="_PPC116">NA()</definedName>
    <definedName name="_PPC117">NA()</definedName>
    <definedName name="_PPC118">NA()</definedName>
    <definedName name="_PPC119">NA()</definedName>
    <definedName name="_PPC12">NA()</definedName>
    <definedName name="_PPC120">NA()</definedName>
    <definedName name="_PPC121">NA()</definedName>
    <definedName name="_PPC122">NA()</definedName>
    <definedName name="_PPC123">NA()</definedName>
    <definedName name="_PPC124">NA()</definedName>
    <definedName name="_PPC125">NA()</definedName>
    <definedName name="_PPC126">NA()</definedName>
    <definedName name="_PPC127">NA()</definedName>
    <definedName name="_PPC128">NA()</definedName>
    <definedName name="_PPC129">NA()</definedName>
    <definedName name="_PPC13">NA()</definedName>
    <definedName name="_PPC130">NA()</definedName>
    <definedName name="_PPC131">NA()</definedName>
    <definedName name="_PPC132">NA()</definedName>
    <definedName name="_PPC133">NA()</definedName>
    <definedName name="_PPC134">NA()</definedName>
    <definedName name="_PPC135">NA()</definedName>
    <definedName name="_PPC136">NA()</definedName>
    <definedName name="_PPC137">NA()</definedName>
    <definedName name="_PPC138">NA()</definedName>
    <definedName name="_PPC139">NA()</definedName>
    <definedName name="_PPC14">NA()</definedName>
    <definedName name="_PPC140">NA()</definedName>
    <definedName name="_PPC141">NA()</definedName>
    <definedName name="_PPC142">NA()</definedName>
    <definedName name="_PPC143">NA()</definedName>
    <definedName name="_PPC144">NA()</definedName>
    <definedName name="_PPC145">NA()</definedName>
    <definedName name="_PPC146">NA()</definedName>
    <definedName name="_PPC147">NA()</definedName>
    <definedName name="_PPC148">NA()</definedName>
    <definedName name="_PPC149">NA()</definedName>
    <definedName name="_PPC15">NA()</definedName>
    <definedName name="_PPC150">NA()</definedName>
    <definedName name="_PPC151">NA()</definedName>
    <definedName name="_PPC152">NA()</definedName>
    <definedName name="_PPC153">NA()</definedName>
    <definedName name="_PPC154">NA()</definedName>
    <definedName name="_PPC155">NA()</definedName>
    <definedName name="_PPC16">NA()</definedName>
    <definedName name="_PPC17">NA()</definedName>
    <definedName name="_PPC18">NA()</definedName>
    <definedName name="_PPC19">NA()</definedName>
    <definedName name="_PPC2">NA()</definedName>
    <definedName name="_PPC20">NA()</definedName>
    <definedName name="_PPC21">NA()</definedName>
    <definedName name="_PPC22">NA()</definedName>
    <definedName name="_PPC23">NA()</definedName>
    <definedName name="_PPC24">NA()</definedName>
    <definedName name="_PPC25">NA()</definedName>
    <definedName name="_PPC26">NA()</definedName>
    <definedName name="_PPC27">NA()</definedName>
    <definedName name="_PPC28">NA()</definedName>
    <definedName name="_PPC29">NA()</definedName>
    <definedName name="_PPC3">NA()</definedName>
    <definedName name="_PPC30">NA()</definedName>
    <definedName name="_PPC31">NA()</definedName>
    <definedName name="_PPC32">NA()</definedName>
    <definedName name="_PPC33">NA()</definedName>
    <definedName name="_PPC34">NA()</definedName>
    <definedName name="_PPC35">NA()</definedName>
    <definedName name="_PPC36">NA()</definedName>
    <definedName name="_PPC37">NA()</definedName>
    <definedName name="_PPC38">NA()</definedName>
    <definedName name="_PPC39">NA()</definedName>
    <definedName name="_PPC4">NA()</definedName>
    <definedName name="_PPC40">NA()</definedName>
    <definedName name="_PPC41">NA()</definedName>
    <definedName name="_PPC42">NA()</definedName>
    <definedName name="_PPC43">NA()</definedName>
    <definedName name="_PPC44">NA()</definedName>
    <definedName name="_PPC45">NA()</definedName>
    <definedName name="_PPC46">NA()</definedName>
    <definedName name="_PPC47">NA()</definedName>
    <definedName name="_PPC48">NA()</definedName>
    <definedName name="_PPC49">NA()</definedName>
    <definedName name="_PPC5">NA()</definedName>
    <definedName name="_PPC50">NA()</definedName>
    <definedName name="_PPC51">NA()</definedName>
    <definedName name="_PPC52">NA()</definedName>
    <definedName name="_PPC53">NA()</definedName>
    <definedName name="_PPC54">NA()</definedName>
    <definedName name="_PPC55">NA()</definedName>
    <definedName name="_PPC56">NA()</definedName>
    <definedName name="_PPC57">NA()</definedName>
    <definedName name="_PPC58">NA()</definedName>
    <definedName name="_PPC59">NA()</definedName>
    <definedName name="_PPC6">NA()</definedName>
    <definedName name="_PPC60">NA()</definedName>
    <definedName name="_PPC61">NA()</definedName>
    <definedName name="_PPC62">NA()</definedName>
    <definedName name="_PPC63">NA()</definedName>
    <definedName name="_PPC64">NA()</definedName>
    <definedName name="_PPC65">NA()</definedName>
    <definedName name="_PPC66">NA()</definedName>
    <definedName name="_PPC67">NA()</definedName>
    <definedName name="_PPC68">NA()</definedName>
    <definedName name="_PPC69">NA()</definedName>
    <definedName name="_PPC7">NA()</definedName>
    <definedName name="_PPC70">NA()</definedName>
    <definedName name="_PPC71">NA()</definedName>
    <definedName name="_PPC72">NA()</definedName>
    <definedName name="_PPC73">NA()</definedName>
    <definedName name="_PPC74">NA()</definedName>
    <definedName name="_PPC75">NA()</definedName>
    <definedName name="_PPC76">NA()</definedName>
    <definedName name="_PPC77">NA()</definedName>
    <definedName name="_PPC78">NA()</definedName>
    <definedName name="_PPC79">NA()</definedName>
    <definedName name="_PPC8">NA()</definedName>
    <definedName name="_PPC80">NA()</definedName>
    <definedName name="_PPC81">NA()</definedName>
    <definedName name="_PPC82">NA()</definedName>
    <definedName name="_PPC83">NA()</definedName>
    <definedName name="_PPC84">NA()</definedName>
    <definedName name="_PPC85">NA()</definedName>
    <definedName name="_PPC86">NA()</definedName>
    <definedName name="_PPC87">NA()</definedName>
    <definedName name="_PPC88">NA()</definedName>
    <definedName name="_PPC89">NA()</definedName>
    <definedName name="_PPC9">NA()</definedName>
    <definedName name="_PPC90">NA()</definedName>
    <definedName name="_PPC91">NA()</definedName>
    <definedName name="_PPC92">NA()</definedName>
    <definedName name="_PPC93">NA()</definedName>
    <definedName name="_PPC94">NA()</definedName>
    <definedName name="_PPC95">NA()</definedName>
    <definedName name="_PPD114">NA()</definedName>
    <definedName name="_PPD89">NA()</definedName>
    <definedName name="_PPRN3__AF242">NA()</definedName>
    <definedName name="_PPRN3__AF242_10">NA()</definedName>
    <definedName name="_PR1">NA()</definedName>
    <definedName name="_PR2">NA()</definedName>
    <definedName name="_PR3">NA()</definedName>
    <definedName name="_PR4">NA()</definedName>
    <definedName name="_PR5">NA()</definedName>
    <definedName name="_PR6">NA()</definedName>
    <definedName name="_PR7">NA()</definedName>
    <definedName name="_psc10006">NA()</definedName>
    <definedName name="_psc10008">NA()</definedName>
    <definedName name="_psc3506">NA()</definedName>
    <definedName name="_psc3508">NA()</definedName>
    <definedName name="_psc4006">NA()</definedName>
    <definedName name="_psc4008">NA()</definedName>
    <definedName name="_psc4506">NA()</definedName>
    <definedName name="_psc4508">NA()</definedName>
    <definedName name="_psc5006">NA()</definedName>
    <definedName name="_psc5008">NA()</definedName>
    <definedName name="_psc6006">NA()</definedName>
    <definedName name="_psc6008">NA()</definedName>
    <definedName name="_psc7006">NA()</definedName>
    <definedName name="_psc7008">NA()</definedName>
    <definedName name="_psc8006">NA()</definedName>
    <definedName name="_psc8008">NA()</definedName>
    <definedName name="_psc9006">NA()</definedName>
    <definedName name="_psc9008">NA()</definedName>
    <definedName name="_pv1">NA()</definedName>
    <definedName name="_pv2" localSheetId="11">NA()</definedName>
    <definedName name="_pv2" localSheetId="12">NA()</definedName>
    <definedName name="_pv2" localSheetId="0">#REF!</definedName>
    <definedName name="_pv2">#REF!</definedName>
    <definedName name="_Q">NA()</definedName>
    <definedName name="_QS25" localSheetId="11">"[56]mrates!$g$16"</definedName>
    <definedName name="_QS25" localSheetId="12">"[56]mrates!$g$16"</definedName>
    <definedName name="_QS25">[29]MRATES!$G$16</definedName>
    <definedName name="_QS40" localSheetId="11">"[56]mrates!$g$17"</definedName>
    <definedName name="_QS40" localSheetId="12">"[56]mrates!$g$17"</definedName>
    <definedName name="_QS40">[29]MRATES!$G$17</definedName>
    <definedName name="_QUA">NA()</definedName>
    <definedName name="_QUA_RABBISH">NA()</definedName>
    <definedName name="_r">NA()</definedName>
    <definedName name="_r_10">NA()</definedName>
    <definedName name="_rabbit">NA()</definedName>
    <definedName name="_RNN1">"[101]column!#ref!"</definedName>
    <definedName name="_rr3">[7]v!$A$2:$E$51</definedName>
    <definedName name="_rrr1">[7]r!$B$1:$I$145</definedName>
    <definedName name="_RS300">NA()</definedName>
    <definedName name="_RT5565" localSheetId="11">NA()</definedName>
    <definedName name="_RT5565" localSheetId="12">NA()</definedName>
    <definedName name="_RT5565" localSheetId="0">#REF!</definedName>
    <definedName name="_RT5565">#REF!</definedName>
    <definedName name="_RVAE306___DOWN">NA()</definedName>
    <definedName name="_RVAE306___DOWN_10">NA()</definedName>
    <definedName name="_RVAE358___DOWN">NA()</definedName>
    <definedName name="_RVAE358___DOWN_10">NA()</definedName>
    <definedName name="_RVAE395___DOWN">NA()</definedName>
    <definedName name="_RVAE395___DOWN_10">NA()</definedName>
    <definedName name="_RVY53__AE53__">NA()</definedName>
    <definedName name="_RVY53__AE53___10">NA()</definedName>
    <definedName name="_S" localSheetId="11">NA()</definedName>
    <definedName name="_S" localSheetId="12">NA()</definedName>
    <definedName name="_S" localSheetId="0">#REF!</definedName>
    <definedName name="_S">#REF!</definedName>
    <definedName name="_s_10">NA()</definedName>
    <definedName name="_S06">NA()</definedName>
    <definedName name="_s1">NA()</definedName>
    <definedName name="_S10">NA()</definedName>
    <definedName name="_S100">NA()</definedName>
    <definedName name="_S12">NA()</definedName>
    <definedName name="_S20">NA()</definedName>
    <definedName name="_S25">NA()</definedName>
    <definedName name="_S40">NA()</definedName>
    <definedName name="_S50">NA()</definedName>
    <definedName name="_S60">NA()</definedName>
    <definedName name="_S65">NA()</definedName>
    <definedName name="_S75">NA()</definedName>
    <definedName name="_SANF">NA()</definedName>
    <definedName name="_SANM">NA()</definedName>
    <definedName name="_SD10">NA()</definedName>
    <definedName name="_SD100">NA()</definedName>
    <definedName name="_SD101">NA()</definedName>
    <definedName name="_SD102">NA()</definedName>
    <definedName name="_SD103">NA()</definedName>
    <definedName name="_SD104">NA()</definedName>
    <definedName name="_SD105">NA()</definedName>
    <definedName name="_SD106">NA()</definedName>
    <definedName name="_SD107">NA()</definedName>
    <definedName name="_SD108">NA()</definedName>
    <definedName name="_SD109">NA()</definedName>
    <definedName name="_SD11">NA()</definedName>
    <definedName name="_SD110">NA()</definedName>
    <definedName name="_SD111">NA()</definedName>
    <definedName name="_SD112">NA()</definedName>
    <definedName name="_SD113">NA()</definedName>
    <definedName name="_SD114">NA()</definedName>
    <definedName name="_SD115">NA()</definedName>
    <definedName name="_SD116">NA()</definedName>
    <definedName name="_SD117">NA()</definedName>
    <definedName name="_SD118">NA()</definedName>
    <definedName name="_SD119">NA()</definedName>
    <definedName name="_SD12">NA()</definedName>
    <definedName name="_SD120">NA()</definedName>
    <definedName name="_SD121">NA()</definedName>
    <definedName name="_SD122">NA()</definedName>
    <definedName name="_SD123">NA()</definedName>
    <definedName name="_SD124">NA()</definedName>
    <definedName name="_SD125">NA()</definedName>
    <definedName name="_SD126">NA()</definedName>
    <definedName name="_SD127">NA()</definedName>
    <definedName name="_SD128">NA()</definedName>
    <definedName name="_SD129">NA()</definedName>
    <definedName name="_SD13">NA()</definedName>
    <definedName name="_SD130">NA()</definedName>
    <definedName name="_SD131">NA()</definedName>
    <definedName name="_SD132">NA()</definedName>
    <definedName name="_SD133">NA()</definedName>
    <definedName name="_SD134">NA()</definedName>
    <definedName name="_SD135">NA()</definedName>
    <definedName name="_SD136">NA()</definedName>
    <definedName name="_SD137">NA()</definedName>
    <definedName name="_SD138">NA()</definedName>
    <definedName name="_SD139">NA()</definedName>
    <definedName name="_SD14">NA()</definedName>
    <definedName name="_SD140">NA()</definedName>
    <definedName name="_SD141">NA()</definedName>
    <definedName name="_SD142">NA()</definedName>
    <definedName name="_SD143">NA()</definedName>
    <definedName name="_SD144">NA()</definedName>
    <definedName name="_SD145">NA()</definedName>
    <definedName name="_SD146">NA()</definedName>
    <definedName name="_SD147">NA()</definedName>
    <definedName name="_SD148">NA()</definedName>
    <definedName name="_SD149">NA()</definedName>
    <definedName name="_SD15">NA()</definedName>
    <definedName name="_SD150">NA()</definedName>
    <definedName name="_SD16">NA()</definedName>
    <definedName name="_SD17">NA()</definedName>
    <definedName name="_SD18">NA()</definedName>
    <definedName name="_SD19">NA()</definedName>
    <definedName name="_SD2">NA()</definedName>
    <definedName name="_SD20">NA()</definedName>
    <definedName name="_SD21">NA()</definedName>
    <definedName name="_SD22">NA()</definedName>
    <definedName name="_SD23">NA()</definedName>
    <definedName name="_SD24">NA()</definedName>
    <definedName name="_SD25">NA()</definedName>
    <definedName name="_SD250">NA()</definedName>
    <definedName name="_SD26">NA()</definedName>
    <definedName name="_SD27">NA()</definedName>
    <definedName name="_SD28">NA()</definedName>
    <definedName name="_SD29">NA()</definedName>
    <definedName name="_SD3">NA()</definedName>
    <definedName name="_SD30">NA()</definedName>
    <definedName name="_SD31">NA()</definedName>
    <definedName name="_SD32">NA()</definedName>
    <definedName name="_SD33">NA()</definedName>
    <definedName name="_SD34">NA()</definedName>
    <definedName name="_SD35">NA()</definedName>
    <definedName name="_SD36">NA()</definedName>
    <definedName name="_SD37">NA()</definedName>
    <definedName name="_SD38">NA()</definedName>
    <definedName name="_SD39">NA()</definedName>
    <definedName name="_SD4">NA()</definedName>
    <definedName name="_SD40">NA()</definedName>
    <definedName name="_SD41">NA()</definedName>
    <definedName name="_SD42">NA()</definedName>
    <definedName name="_SD43">NA()</definedName>
    <definedName name="_SD44">NA()</definedName>
    <definedName name="_SD45">NA()</definedName>
    <definedName name="_SD46">NA()</definedName>
    <definedName name="_SD47">NA()</definedName>
    <definedName name="_SD48">NA()</definedName>
    <definedName name="_SD49">NA()</definedName>
    <definedName name="_SD5">NA()</definedName>
    <definedName name="_SD50">NA()</definedName>
    <definedName name="_SD500">NA()</definedName>
    <definedName name="_SD51">NA()</definedName>
    <definedName name="_SD52">NA()</definedName>
    <definedName name="_SD53">NA()</definedName>
    <definedName name="_SD54">NA()</definedName>
    <definedName name="_SD55">NA()</definedName>
    <definedName name="_SD56">NA()</definedName>
    <definedName name="_SD57">NA()</definedName>
    <definedName name="_SD58">NA()</definedName>
    <definedName name="_SD59">NA()</definedName>
    <definedName name="_SD6">NA()</definedName>
    <definedName name="_SD60">NA()</definedName>
    <definedName name="_SD61">NA()</definedName>
    <definedName name="_SD62">NA()</definedName>
    <definedName name="_SD63">NA()</definedName>
    <definedName name="_SD64">NA()</definedName>
    <definedName name="_SD65">NA()</definedName>
    <definedName name="_SD66">NA()</definedName>
    <definedName name="_SD67">NA()</definedName>
    <definedName name="_SD68">NA()</definedName>
    <definedName name="_SD69">NA()</definedName>
    <definedName name="_SD7">NA()</definedName>
    <definedName name="_SD70">NA()</definedName>
    <definedName name="_SD71">NA()</definedName>
    <definedName name="_SD72">NA()</definedName>
    <definedName name="_SD73">NA()</definedName>
    <definedName name="_SD74">NA()</definedName>
    <definedName name="_SD75">NA()</definedName>
    <definedName name="_SD76">NA()</definedName>
    <definedName name="_SD77">NA()</definedName>
    <definedName name="_SD78">NA()</definedName>
    <definedName name="_SD79">NA()</definedName>
    <definedName name="_SD8">NA()</definedName>
    <definedName name="_SD80">NA()</definedName>
    <definedName name="_SD81">NA()</definedName>
    <definedName name="_SD82">NA()</definedName>
    <definedName name="_SD83">NA()</definedName>
    <definedName name="_SD84">NA()</definedName>
    <definedName name="_SD85">NA()</definedName>
    <definedName name="_SD86">NA()</definedName>
    <definedName name="_SD87">NA()</definedName>
    <definedName name="_SD88">NA()</definedName>
    <definedName name="_SD89">NA()</definedName>
    <definedName name="_SD9">NA()</definedName>
    <definedName name="_SD90">NA()</definedName>
    <definedName name="_SD91">NA()</definedName>
    <definedName name="_SD92">NA()</definedName>
    <definedName name="_SD93">NA()</definedName>
    <definedName name="_SD94">NA()</definedName>
    <definedName name="_SD95">NA()</definedName>
    <definedName name="_SD96">NA()</definedName>
    <definedName name="_SD97">NA()</definedName>
    <definedName name="_SD98">NA()</definedName>
    <definedName name="_SD99">NA()</definedName>
    <definedName name="_sec1">NA()</definedName>
    <definedName name="_Sec2">NA()</definedName>
    <definedName name="_sec3">NA()</definedName>
    <definedName name="_Sec4">NA()</definedName>
    <definedName name="_sec5">NA()</definedName>
    <definedName name="_sec6">NA()</definedName>
    <definedName name="_sec7">NA()</definedName>
    <definedName name="_sec71">NA()</definedName>
    <definedName name="_SEC77">NA()</definedName>
    <definedName name="_sec8">NA()</definedName>
    <definedName name="_sec81">NA()</definedName>
    <definedName name="_SEC88">NA()</definedName>
    <definedName name="_SEC9">NA()</definedName>
    <definedName name="_SEG1">"[98]lab!$h$1:$i$65535"</definedName>
    <definedName name="_sep1">'[26]C-data'!$F$45</definedName>
    <definedName name="_SH1">NA()</definedName>
    <definedName name="_SH2">NA()</definedName>
    <definedName name="_SH3">NA()</definedName>
    <definedName name="_SH4">NA()</definedName>
    <definedName name="_SH5">NA()</definedName>
    <definedName name="_shahbad">NA()</definedName>
    <definedName name="_skirting_grn">NA()</definedName>
    <definedName name="_skirting_vit">NA()</definedName>
    <definedName name="_SO016">NA()</definedName>
    <definedName name="_Sort">NA()</definedName>
    <definedName name="_SP001">NA()</definedName>
    <definedName name="_SP002">NA()</definedName>
    <definedName name="_SP003">NA()</definedName>
    <definedName name="_SP004">NA()</definedName>
    <definedName name="_SP005">NA()</definedName>
    <definedName name="_SP006">NA()</definedName>
    <definedName name="_SP007">NA()</definedName>
    <definedName name="_SP008">NA()</definedName>
    <definedName name="_SP009">NA()</definedName>
    <definedName name="_SP010">NA()</definedName>
    <definedName name="_SP011">NA()</definedName>
    <definedName name="_SP012">NA()</definedName>
    <definedName name="_SP013">NA()</definedName>
    <definedName name="_SP014">NA()</definedName>
    <definedName name="_SP015">NA()</definedName>
    <definedName name="_SP016">NA()</definedName>
    <definedName name="_SP017">NA()</definedName>
    <definedName name="_SP018">NA()</definedName>
    <definedName name="_SP019">NA()</definedName>
    <definedName name="_SP020">NA()</definedName>
    <definedName name="_SP021">NA()</definedName>
    <definedName name="_SP022">NA()</definedName>
    <definedName name="_SP023">NA()</definedName>
    <definedName name="_SP024">NA()</definedName>
    <definedName name="_SP025">NA()</definedName>
    <definedName name="_SP026">NA()</definedName>
    <definedName name="_SP027">NA()</definedName>
    <definedName name="_SP028">NA()</definedName>
    <definedName name="_SP029">NA()</definedName>
    <definedName name="_SP030">NA()</definedName>
    <definedName name="_SP031">NA()</definedName>
    <definedName name="_SP032">NA()</definedName>
    <definedName name="_SP033">NA()</definedName>
    <definedName name="_SP034">NA()</definedName>
    <definedName name="_SP035">NA()</definedName>
    <definedName name="_SP036">NA()</definedName>
    <definedName name="_SP037">NA()</definedName>
    <definedName name="_SP038">NA()</definedName>
    <definedName name="_SP039">NA()</definedName>
    <definedName name="_SP040">NA()</definedName>
    <definedName name="_SP041">NA()</definedName>
    <definedName name="_SP042">NA()</definedName>
    <definedName name="_SP043">NA()</definedName>
    <definedName name="_SP044">NA()</definedName>
    <definedName name="_SP045">NA()</definedName>
    <definedName name="_SP046">NA()</definedName>
    <definedName name="_SP047">NA()</definedName>
    <definedName name="_SP048">NA()</definedName>
    <definedName name="_SP049">NA()</definedName>
    <definedName name="_SP050">NA()</definedName>
    <definedName name="_SP051">NA()</definedName>
    <definedName name="_SP052">NA()</definedName>
    <definedName name="_SP053">NA()</definedName>
    <definedName name="_SP054">NA()</definedName>
    <definedName name="_SP055">NA()</definedName>
    <definedName name="_SP056">NA()</definedName>
    <definedName name="_SP057">NA()</definedName>
    <definedName name="_SP058">NA()</definedName>
    <definedName name="_SP059">NA()</definedName>
    <definedName name="_SP060">NA()</definedName>
    <definedName name="_SP061">NA()</definedName>
    <definedName name="_SP062">NA()</definedName>
    <definedName name="_SP063">NA()</definedName>
    <definedName name="_SP064">NA()</definedName>
    <definedName name="_SP065">NA()</definedName>
    <definedName name="_SP066">NA()</definedName>
    <definedName name="_SP067">NA()</definedName>
    <definedName name="_SP068">NA()</definedName>
    <definedName name="_SP069">NA()</definedName>
    <definedName name="_SP070">NA()</definedName>
    <definedName name="_sp071">NA()</definedName>
    <definedName name="_SP072">NA()</definedName>
    <definedName name="_SP073">NA()</definedName>
    <definedName name="_SP074">NA()</definedName>
    <definedName name="_SP075">NA()</definedName>
    <definedName name="_SP076">NA()</definedName>
    <definedName name="_SP077">NA()</definedName>
    <definedName name="_sp078">NA()</definedName>
    <definedName name="_SP10">[13]Sheet1!$C$18</definedName>
    <definedName name="_SP16">[13]Sheet1!$C$24</definedName>
    <definedName name="_SP7">[13]Sheet1!$C$15</definedName>
    <definedName name="_SPO79">NA()</definedName>
    <definedName name="_SS10" localSheetId="11">"[56]mrates!$j$7"</definedName>
    <definedName name="_SS10" localSheetId="12">"[56]mrates!$j$7"</definedName>
    <definedName name="_SS10">[29]MRATES!$J$7</definedName>
    <definedName name="_ss12">[8]rdamdata!$J$8</definedName>
    <definedName name="_SS150" localSheetId="11">"[56]mrates!$g$13"</definedName>
    <definedName name="_SS150" localSheetId="12">"[56]mrates!$g$13"</definedName>
    <definedName name="_SS150">[29]MRATES!$G$13</definedName>
    <definedName name="_ss20">[8]rdamdata!$J$7</definedName>
    <definedName name="_SS225" localSheetId="11">"[56]mrates!$g$14"</definedName>
    <definedName name="_SS225" localSheetId="12">"[56]mrates!$g$14"</definedName>
    <definedName name="_SS225">[29]MRATES!$G$14</definedName>
    <definedName name="_SS25" localSheetId="11">"[56]mrates!$j$10"</definedName>
    <definedName name="_SS25" localSheetId="12">"[56]mrates!$j$10"</definedName>
    <definedName name="_SS25">[29]MRATES!$J$10</definedName>
    <definedName name="_SS300" localSheetId="11">"[56]mrates!$g$15"</definedName>
    <definedName name="_SS300" localSheetId="12">"[56]mrates!$g$15"</definedName>
    <definedName name="_SS300">[29]MRATES!$G$15</definedName>
    <definedName name="_ss40">[8]rdamdata!$J$6</definedName>
    <definedName name="_SS6" localSheetId="11">"[56]mrates!$j$6"</definedName>
    <definedName name="_SS6" localSheetId="12">"[56]mrates!$j$6"</definedName>
    <definedName name="_SS6">[29]MRATES!$J$6</definedName>
    <definedName name="_SSS3">NA()</definedName>
    <definedName name="_ST">NA()</definedName>
    <definedName name="_sum010">NA()</definedName>
    <definedName name="_sum020">NA()</definedName>
    <definedName name="_sum120">NA()</definedName>
    <definedName name="_sum140">NA()</definedName>
    <definedName name="_SUM200">NA()</definedName>
    <definedName name="_SUM400">NA()</definedName>
    <definedName name="_SUM410">NA()</definedName>
    <definedName name="_SUM420">NA()</definedName>
    <definedName name="_SUM440">NA()</definedName>
    <definedName name="_SUM460">NA()</definedName>
    <definedName name="_SUM480">NA()</definedName>
    <definedName name="_SUM500">NA()</definedName>
    <definedName name="_SUM510">NA()</definedName>
    <definedName name="_SUM530">NA()</definedName>
    <definedName name="_SUM540">NA()</definedName>
    <definedName name="_SUM560">NA()</definedName>
    <definedName name="_SUM570">NA()</definedName>
    <definedName name="_SUM580">NA()</definedName>
    <definedName name="_SUM590">NA()</definedName>
    <definedName name="_SUM700">NA()</definedName>
    <definedName name="_SUM701">NA()</definedName>
    <definedName name="_SUM702">NA()</definedName>
    <definedName name="_SUM703">NA()</definedName>
    <definedName name="_SUM704">NA()</definedName>
    <definedName name="_sum770">NA()</definedName>
    <definedName name="_SUM800">NA()</definedName>
    <definedName name="_sum900">NA()</definedName>
    <definedName name="_SUM901">NA()</definedName>
    <definedName name="_SUM902">NA()</definedName>
    <definedName name="_SUM903">NA()</definedName>
    <definedName name="_SUM904">NA()</definedName>
    <definedName name="_sw1" localSheetId="11">NA()</definedName>
    <definedName name="_sw1" localSheetId="12">NA()</definedName>
    <definedName name="_sw1" localSheetId="0">#REF!</definedName>
    <definedName name="_sw1">#REF!</definedName>
    <definedName name="_t1">NA()</definedName>
    <definedName name="_t2">NA()</definedName>
    <definedName name="_tab1">NA()</definedName>
    <definedName name="_th_week_water_transp_habs" localSheetId="11">NA()</definedName>
    <definedName name="_th_week_water_transp_habs" localSheetId="12">NA()</definedName>
    <definedName name="_th_week_water_transp_habs" localSheetId="0">#REF!</definedName>
    <definedName name="_th_week_water_transp_habs">#REF!</definedName>
    <definedName name="_tk1">NA()</definedName>
    <definedName name="_tw2">NA()</definedName>
    <definedName name="_upa4">"[104]upa!$i$1:$m$65536"</definedName>
    <definedName name="_us1">NA()</definedName>
    <definedName name="_var1" localSheetId="11">NA()</definedName>
    <definedName name="_var1" localSheetId="12">NA()</definedName>
    <definedName name="_var1" localSheetId="0">#REF!</definedName>
    <definedName name="_var1">#REF!</definedName>
    <definedName name="_var4" localSheetId="11">NA()</definedName>
    <definedName name="_var4" localSheetId="12">NA()</definedName>
    <definedName name="_var4" localSheetId="0">#REF!</definedName>
    <definedName name="_var4">#REF!</definedName>
    <definedName name="_vat">NA()</definedName>
    <definedName name="_vat1">NA()</definedName>
    <definedName name="_vat2">NA()</definedName>
    <definedName name="_vzrzam">NA()</definedName>
    <definedName name="_WGZY_">NA()</definedName>
    <definedName name="_WGZY__10">NA()</definedName>
    <definedName name="_woodprimer">NA()</definedName>
    <definedName name="_wp">NA()</definedName>
    <definedName name="_x">NA()</definedName>
    <definedName name="_x_10">NA()</definedName>
    <definedName name="_xcc1153">NA()</definedName>
    <definedName name="_xcc124">NA()</definedName>
    <definedName name="_xcc136">NA()</definedName>
    <definedName name="_xcc148">NA()</definedName>
    <definedName name="_xcc1510">NA()</definedName>
    <definedName name="_xcm16">NA()</definedName>
    <definedName name="_xh11010">NA()</definedName>
    <definedName name="_xh1104">NA()</definedName>
    <definedName name="_xh1106">NA()</definedName>
    <definedName name="_xh1108">NA()</definedName>
    <definedName name="_xh12510">NA()</definedName>
    <definedName name="_xh1254">NA()</definedName>
    <definedName name="_xh1256">NA()</definedName>
    <definedName name="_xh1258">NA()</definedName>
    <definedName name="_xh14010">NA()</definedName>
    <definedName name="_xh1404">NA()</definedName>
    <definedName name="_xh1406">NA()</definedName>
    <definedName name="_xh1408">NA()</definedName>
    <definedName name="_xh16010">NA()</definedName>
    <definedName name="_xh1604">NA()</definedName>
    <definedName name="_xh1606">NA()</definedName>
    <definedName name="_xh1608">NA()</definedName>
    <definedName name="_xh18010">NA()</definedName>
    <definedName name="_xh1804">NA()</definedName>
    <definedName name="_xh1806">NA()</definedName>
    <definedName name="_xh1808">NA()</definedName>
    <definedName name="_xh20010">NA()</definedName>
    <definedName name="_xh2004">NA()</definedName>
    <definedName name="_xh2006">NA()</definedName>
    <definedName name="_xh2008">NA()</definedName>
    <definedName name="_xh22510">NA()</definedName>
    <definedName name="_xh2254">NA()</definedName>
    <definedName name="_xh2256">[20]HDPE!$L$30</definedName>
    <definedName name="_xh2258">NA()</definedName>
    <definedName name="_xh25010">NA()</definedName>
    <definedName name="_xh2504">NA()</definedName>
    <definedName name="_xh2506">[20]HDPE!$M$30</definedName>
    <definedName name="_xh2508">NA()</definedName>
    <definedName name="_xh28010">NA()</definedName>
    <definedName name="_xh2804">NA()</definedName>
    <definedName name="_xh2806">[20]HDPE!$N$30</definedName>
    <definedName name="_xh2808">NA()</definedName>
    <definedName name="_xh31510">NA()</definedName>
    <definedName name="_xh3154">NA()</definedName>
    <definedName name="_xh3156">[20]HDPE!$O$30</definedName>
    <definedName name="_xh3158">NA()</definedName>
    <definedName name="_xh3554">NA()</definedName>
    <definedName name="_xh3556">NA()</definedName>
    <definedName name="_xh6310">NA()</definedName>
    <definedName name="_xh634">[20]HDPE!$C$16</definedName>
    <definedName name="_xh636">NA()</definedName>
    <definedName name="_xh638">NA()</definedName>
    <definedName name="_xh7510">NA()</definedName>
    <definedName name="_xh754">NA()</definedName>
    <definedName name="_xh756">NA()</definedName>
    <definedName name="_xh758">NA()</definedName>
    <definedName name="_xh9010">NA()</definedName>
    <definedName name="_xh904">NA()</definedName>
    <definedName name="_xh906">NA()</definedName>
    <definedName name="_xh908">NA()</definedName>
    <definedName name="_xh9999">[36]HDPE!$L$30</definedName>
    <definedName name="_xk7100">[20]DI!$C$37</definedName>
    <definedName name="_xk7150">[20]DI!$D$37</definedName>
    <definedName name="_xk7200">NA()</definedName>
    <definedName name="_xk7250">[20]DI!$F$37</definedName>
    <definedName name="_xk7300">[20]DI!$G$37</definedName>
    <definedName name="_xk7350">NA()</definedName>
    <definedName name="_xk7400">NA()</definedName>
    <definedName name="_xk7450">NA()</definedName>
    <definedName name="_xk7500">NA()</definedName>
    <definedName name="_xk7600">NA()</definedName>
    <definedName name="_xk9100">NA()</definedName>
    <definedName name="_xk91000">NA()</definedName>
    <definedName name="_xk9150">NA()</definedName>
    <definedName name="_xk9200">NA()</definedName>
    <definedName name="_xk9250">NA()</definedName>
    <definedName name="_xk9300">NA()</definedName>
    <definedName name="_xk9350">NA()</definedName>
    <definedName name="_xk9400">NA()</definedName>
    <definedName name="_xk9450">NA()</definedName>
    <definedName name="_xk9500">NA()</definedName>
    <definedName name="_xk9600">NA()</definedName>
    <definedName name="_xk9700">NA()</definedName>
    <definedName name="_xk9750">NA()</definedName>
    <definedName name="_xk9800">NA()</definedName>
    <definedName name="_xk9900">NA()</definedName>
    <definedName name="_xp11010">[20]pvc!$F$61</definedName>
    <definedName name="_xp1104">[20]pvc!$F$31</definedName>
    <definedName name="_xp1106">[20]pvc!$F$46</definedName>
    <definedName name="_xp12510">NA()</definedName>
    <definedName name="_xp1254">[20]pvc!$G$31</definedName>
    <definedName name="_xp1256">[20]pvc!$G$46</definedName>
    <definedName name="_xp14010">[20]pvc!$H$61</definedName>
    <definedName name="_xp1404">[20]pvc!$H$31</definedName>
    <definedName name="_xp1406">[20]pvc!$H$46</definedName>
    <definedName name="_xp16010">NA()</definedName>
    <definedName name="_xp1604">[20]pvc!$I$31</definedName>
    <definedName name="_xp1606">[20]pvc!$I$46</definedName>
    <definedName name="_xp18010">NA()</definedName>
    <definedName name="_xp1804">[20]pvc!$J$31</definedName>
    <definedName name="_xp1806">[20]pvc!$J$46</definedName>
    <definedName name="_xp20010">NA()</definedName>
    <definedName name="_xp2004">NA()</definedName>
    <definedName name="_xp2006">[20]pvc!$K$46</definedName>
    <definedName name="_xp22510">NA()</definedName>
    <definedName name="_xp2254">NA()</definedName>
    <definedName name="_xp2256">NA()</definedName>
    <definedName name="_xp25010">NA()</definedName>
    <definedName name="_xp2504">NA()</definedName>
    <definedName name="_xp2506">NA()</definedName>
    <definedName name="_xp28010">NA()</definedName>
    <definedName name="_xp2804">NA()</definedName>
    <definedName name="_xp2806">NA()</definedName>
    <definedName name="_xp31510">NA()</definedName>
    <definedName name="_xp3154">NA()</definedName>
    <definedName name="_xp3156">NA()</definedName>
    <definedName name="_xp6310">[20]pvc!$C$61</definedName>
    <definedName name="_xp634">NA()</definedName>
    <definedName name="_xp636">[20]pvc!$C$46</definedName>
    <definedName name="_xp7510">[20]pvc!$D$61</definedName>
    <definedName name="_xp754">[20]pvc!$D$31</definedName>
    <definedName name="_xp756">[20]pvc!$D$46</definedName>
    <definedName name="_xp9010">[20]pvc!$E$61</definedName>
    <definedName name="_xp904">[20]pvc!$E$31</definedName>
    <definedName name="_xp906">[20]pvc!$E$46</definedName>
    <definedName name="_Y1">NA()</definedName>
    <definedName name="_Y2">NA()</definedName>
    <definedName name="_Y3">NA()</definedName>
    <definedName name="a" localSheetId="11">NA()</definedName>
    <definedName name="a" localSheetId="12">NA()</definedName>
    <definedName name="a" localSheetId="0">#REF!</definedName>
    <definedName name="a">#REF!</definedName>
    <definedName name="a_10">"[106]boq!#ref!"</definedName>
    <definedName name="a_11">"[108]boq!#ref!"</definedName>
    <definedName name="a_2">"[110]boq!#ref!"</definedName>
    <definedName name="a_4">"'file:///C:/Tender/Excel/Mahe/Sports%20Complex/Final%20offer%208-1-07/Revised%20offer%20on%208-1-07.xls'#$'Boq - Flats'.CX1"</definedName>
    <definedName name="a_5">"'file:///C:/Tender/Excel/Mahe/Sports%20Complex/Final%20offer%208-1-07/Revised%20offer%20on%208-1-07.xls'#$'Boq - Flats'.CX1"</definedName>
    <definedName name="a_6">"'smb://Tender2/d/Vinod/Excel/Tender/Garuda%20Resorts.xls'#$Boq.CX1"</definedName>
    <definedName name="a_8">"'smb://Tender2/d/Vinod/Excel/Tender/Garuda%20Resorts.xls'#$Boq.CX1"</definedName>
    <definedName name="a_9">"[112]boq!#ref!"</definedName>
    <definedName name="a_f">NA()</definedName>
    <definedName name="A1M170">NA()</definedName>
    <definedName name="aa" localSheetId="11">NA()</definedName>
    <definedName name="aa" localSheetId="12">NA()</definedName>
    <definedName name="aa" localSheetId="0" hidden="1">'[39]final abstract'!#REF!</definedName>
    <definedName name="aa" hidden="1">'[39]final abstract'!#REF!</definedName>
    <definedName name="AAA" localSheetId="11">"[113]data.f8.btr!#ref!"</definedName>
    <definedName name="AAA" localSheetId="12">"[113]data.f8.btr!#ref!"</definedName>
    <definedName name="AAA" localSheetId="0">'[53]Data.F8.BTR'!#REF!</definedName>
    <definedName name="AAA">'[53]Data.F8.BTR'!#REF!</definedName>
    <definedName name="aaaa">NA()</definedName>
    <definedName name="aaaa_8">NA()</definedName>
    <definedName name="aaaa5">NA()</definedName>
    <definedName name="aaaaa">"[93]data!#ref!"</definedName>
    <definedName name="aaaaa_8">NA()</definedName>
    <definedName name="AAAAAA">"[93]data!#ref!"</definedName>
    <definedName name="aaaaaaaaa">NA()</definedName>
    <definedName name="aadf" localSheetId="11">NA()</definedName>
    <definedName name="aadf" localSheetId="12">NA()</definedName>
    <definedName name="aadf" localSheetId="0">#REF!</definedName>
    <definedName name="aadf">#REF!</definedName>
    <definedName name="aastrb">NA()</definedName>
    <definedName name="aat">NA()</definedName>
    <definedName name="aawa" localSheetId="11">NA()</definedName>
    <definedName name="aawa" localSheetId="12">NA()</definedName>
    <definedName name="aawa" localSheetId="0">#REF!</definedName>
    <definedName name="aawa">#REF!</definedName>
    <definedName name="ab" localSheetId="11">NA()</definedName>
    <definedName name="ab" localSheetId="12">NA()</definedName>
    <definedName name="ab" localSheetId="0">#REF!</definedName>
    <definedName name="ab">#REF!</definedName>
    <definedName name="Abbbbb">NA()</definedName>
    <definedName name="ABC">NA()</definedName>
    <definedName name="abcdes">NA()</definedName>
    <definedName name="abf">NA()</definedName>
    <definedName name="ABM">NA()</definedName>
    <definedName name="abs" localSheetId="11">NA()</definedName>
    <definedName name="abs" localSheetId="12">NA()</definedName>
    <definedName name="abs" localSheetId="0">#REF!</definedName>
    <definedName name="abs">#REF!</definedName>
    <definedName name="ABSTRACT">NA()</definedName>
    <definedName name="ABSTRUCT">NA()</definedName>
    <definedName name="AC">NA()</definedName>
    <definedName name="AC_C">[54]wh_data_R!$D$264:$H$281</definedName>
    <definedName name="AC_CL">[54]wh_data_R!$D$263:$H$263</definedName>
    <definedName name="AC_CLL">[54]wh_data_R!$K$378:$M$381</definedName>
    <definedName name="AC_CLR">[54]wh_data!$L$35:$O$35</definedName>
    <definedName name="AC_CLS">[54]wh_data_R!$K$378:$K$381</definedName>
    <definedName name="AC_D_R">[54]CPHEEO!$BH$3:$BH$40</definedName>
    <definedName name="AC_DC">[54]wh_data_R!$A$36:$A$53</definedName>
    <definedName name="AC_DL_RANGE">[54]CPHEEO!$BE$3:$BE$16</definedName>
    <definedName name="AC_DR">[54]wh_data!$L$36:$L$53</definedName>
    <definedName name="AC_G">[54]wh_data_R!$AA$1440:$AA$1442</definedName>
    <definedName name="AC_P">[54]wh_data_R!$AB$1440:$AB$1442</definedName>
    <definedName name="AC_PIPES">'[55]PIPES BASIC RATES'!$A$223:$A$277</definedName>
    <definedName name="AC_RATES">[54]wh_data!$L$36:$O$53</definedName>
    <definedName name="ac_sheet">NA()</definedName>
    <definedName name="academic" localSheetId="11">NA()</definedName>
    <definedName name="academic" localSheetId="12">NA()</definedName>
    <definedName name="academic" hidden="1">'[39]final abstract'!#REF!</definedName>
    <definedName name="ACCIDI">NA()</definedName>
    <definedName name="acl">NA()</definedName>
    <definedName name="acs">NA()</definedName>
    <definedName name="acsheet">NA()</definedName>
    <definedName name="acsheet1">NA()</definedName>
    <definedName name="ACTEA">NA()</definedName>
    <definedName name="actual">NA()</definedName>
    <definedName name="ad">NA()</definedName>
    <definedName name="ADB">NA()</definedName>
    <definedName name="ADD">NA()</definedName>
    <definedName name="additional">NA()</definedName>
    <definedName name="Address" localSheetId="11">NA()</definedName>
    <definedName name="Address" localSheetId="12">NA()</definedName>
    <definedName name="Address" localSheetId="0">#REF!</definedName>
    <definedName name="Address">#REF!</definedName>
    <definedName name="adfa">NA()</definedName>
    <definedName name="adfas" localSheetId="11">"[118]lead!#ref!"</definedName>
    <definedName name="adfas" localSheetId="12">"[118]lead!#ref!"</definedName>
    <definedName name="adfas" localSheetId="0">[56]Lead!#REF!</definedName>
    <definedName name="adfas">[56]Lead!#REF!</definedName>
    <definedName name="adfd">NA()</definedName>
    <definedName name="ADFDSFSD1111" localSheetId="11">NA()</definedName>
    <definedName name="ADFDSFSD1111" localSheetId="12">NA()</definedName>
    <definedName name="ADFDSFSD1111" localSheetId="0">#REF!</definedName>
    <definedName name="ADFDSFSD1111">#REF!</definedName>
    <definedName name="Admin__Building">NA()</definedName>
    <definedName name="admn_off">NA()</definedName>
    <definedName name="admn_site">NA()</definedName>
    <definedName name="adsa">NA()</definedName>
    <definedName name="adsf">NA()</definedName>
    <definedName name="ae">'[57]Specification report'!$I$160</definedName>
    <definedName name="ae.">'[57]Specification report'!$I$161</definedName>
    <definedName name="ae_">NA()</definedName>
    <definedName name="aea">NA()</definedName>
    <definedName name="AEE">NA()</definedName>
    <definedName name="AEW">NA()</definedName>
    <definedName name="AEW_FOR" localSheetId="11">NA()</definedName>
    <definedName name="AEW_FOR" localSheetId="12">NA()</definedName>
    <definedName name="AEW_FOR">'[52]abs road'!#REF!</definedName>
    <definedName name="AEW_SIDE" localSheetId="11">NA()</definedName>
    <definedName name="AEW_SIDE" localSheetId="12">NA()</definedName>
    <definedName name="AEW_SIDE">'[52]abs road'!#REF!</definedName>
    <definedName name="af">NA()</definedName>
    <definedName name="afb">"[122]process!#ref!"</definedName>
    <definedName name="ag">[12]DATA_PRG!$H$86</definedName>
    <definedName name="Aggregate">NA()</definedName>
    <definedName name="agl">NA()</definedName>
    <definedName name="AGRA_SHOULDERS" localSheetId="11">NA()</definedName>
    <definedName name="AGRA_SHOULDERS" localSheetId="12">NA()</definedName>
    <definedName name="AGRA_SHOULDERS" localSheetId="0">#REF!</definedName>
    <definedName name="AGRA_SHOULDERS">#REF!</definedName>
    <definedName name="AGSB" localSheetId="11">NA()</definedName>
    <definedName name="AGSB" localSheetId="12">NA()</definedName>
    <definedName name="AGSB" localSheetId="0">'[52]abs road'!#REF!</definedName>
    <definedName name="AGSB">'[52]abs road'!#REF!</definedName>
    <definedName name="ahdfla">NA()</definedName>
    <definedName name="ai">NA()</definedName>
    <definedName name="aii">NA()</definedName>
    <definedName name="Air_Compressor">NA()</definedName>
    <definedName name="airvalve">NA()</definedName>
    <definedName name="AIRVALVES">NA()</definedName>
    <definedName name="AlampurABCDCivil" localSheetId="11">NA()</definedName>
    <definedName name="AlampurABCDCivil" localSheetId="12">NA()</definedName>
    <definedName name="AlampurABCDCivil" localSheetId="0" hidden="1">'[39]final abstract'!#REF!</definedName>
    <definedName name="AlampurABCDCivil" hidden="1">'[39]final abstract'!#REF!</definedName>
    <definedName name="ald">NA()</definedName>
    <definedName name="ALDROPS">'[55]BASIC DATA'!$B$669:$B$677</definedName>
    <definedName name="ALLPIPE_TYPES">[54]CPHEEO!$AY$2:$BF$2</definedName>
    <definedName name="alw">NA()</definedName>
    <definedName name="AMOUNT">NA()</definedName>
    <definedName name="analysis">NA()</definedName>
    <definedName name="ANALYSIS_DATA">'[58]Bitumen trunk'!$BO$2:$DA$196</definedName>
    <definedName name="Aname" localSheetId="11">NA()</definedName>
    <definedName name="Aname" localSheetId="12">NA()</definedName>
    <definedName name="Aname" localSheetId="0">#REF!</definedName>
    <definedName name="Aname">#REF!</definedName>
    <definedName name="Anganwad">NA()</definedName>
    <definedName name="ann">NA()</definedName>
    <definedName name="anne">NA()</definedName>
    <definedName name="annealing">NA()</definedName>
    <definedName name="annealing1">NA()</definedName>
    <definedName name="ANNUAL_ELECTRICAL1_CHARGES">[54]CPHEEO!$J$13</definedName>
    <definedName name="ANNUAL_ELECTRICAL2_CHARGES">[54]CPHEEO!$L$13</definedName>
    <definedName name="anscount" hidden="1">1</definedName>
    <definedName name="antitermite">NA()</definedName>
    <definedName name="anu">NA()</definedName>
    <definedName name="ap">NA()</definedName>
    <definedName name="apet">NA()</definedName>
    <definedName name="APHB">NA()</definedName>
    <definedName name="APLIF">NA()</definedName>
    <definedName name="AR" localSheetId="11">"[127]lead!#ref!"</definedName>
    <definedName name="AR" localSheetId="12">"[127]lead!#ref!"</definedName>
    <definedName name="AR" localSheetId="0">[59]Lead!#REF!</definedName>
    <definedName name="AR">[59]Lead!#REF!</definedName>
    <definedName name="Arb">NA()</definedName>
    <definedName name="Arches___1_5m">NA()</definedName>
    <definedName name="Arches__1_5m">NA()</definedName>
    <definedName name="AREAS_CA_CANOPY__WAREHOUSE">NA()</definedName>
    <definedName name="AREAS_CA_CANOPY__WAREHOUSE_8">NA()</definedName>
    <definedName name="AREAS_CB_Canteen_Building">NA()</definedName>
    <definedName name="AREAS_CB_Canteen_Building_8">NA()</definedName>
    <definedName name="AREAS_CIPT_Tanker_CIP_Shed">NA()</definedName>
    <definedName name="AREAS_CIPT_Tanker_CIP_Shed_8">NA()</definedName>
    <definedName name="AREAS_CLRR_Contract_Labour_Rest_Room">NA()</definedName>
    <definedName name="AREAS_CLRR_Contract_Labour_Rest_Room_8">NA()</definedName>
    <definedName name="AREAS_CS_Chemical_Store">NA()</definedName>
    <definedName name="AREAS_CS_Chemical_Store_8">NA()</definedName>
    <definedName name="AREAS_ETPC_ETP_Civil_Works">NA()</definedName>
    <definedName name="AREAS_ETPC_ETP_Civil_Works_8">NA()</definedName>
    <definedName name="AREAS_EX_EXTERNAL_WORKS">NA()</definedName>
    <definedName name="AREAS_EX_EXTERNAL_WORKS_8">NA()</definedName>
    <definedName name="AREAS_FC_Farmer_s_Conference">NA()</definedName>
    <definedName name="AREAS_FC_Farmer_s_Conference_8">NA()</definedName>
    <definedName name="AREAS_FU_Fumigation">NA()</definedName>
    <definedName name="AREAS_FU_Fumigation_8">NA()</definedName>
    <definedName name="AREAS_GA_General_Area___Overall">NA()</definedName>
    <definedName name="AREAS_GA_General_Area___Overall_8">NA()</definedName>
    <definedName name="AREAS_GP_Guard_Posts">NA()</definedName>
    <definedName name="AREAS_GP_Guard_Posts_8">NA()</definedName>
    <definedName name="AREAS_LS_LubeOil_Stores">NA()</definedName>
    <definedName name="AREAS_LS_LubeOil_Stores_8">NA()</definedName>
    <definedName name="AREAS_MR_TB_Milk_Reception_Tanker_s_Bay">NA()</definedName>
    <definedName name="AREAS_MR_TB_Milk_Reception_Tanker_s_Bay_8">NA()</definedName>
    <definedName name="AREAS_MTF_Milk_Tank_Foundations">NA()</definedName>
    <definedName name="AREAS_MTF_Milk_Tank_Foundations_8">NA()</definedName>
    <definedName name="AREAS_PB_PROCESS_BUILDING">NA()</definedName>
    <definedName name="AREAS_PB_PROCESS_BUILDING_8">NA()</definedName>
    <definedName name="AREAS_PR_Pipe_Racks">NA()</definedName>
    <definedName name="AREAS_PR_Pipe_Racks_8">NA()</definedName>
    <definedName name="AREAS_SR_2_Security_Room___2">NA()</definedName>
    <definedName name="AREAS_SR_2_Security_Room___2_8">NA()</definedName>
    <definedName name="AREAS_SR_3_Store_Room">NA()</definedName>
    <definedName name="AREAS_SR_3_Store_Room_8">NA()</definedName>
    <definedName name="AREAS_ST_Stacks_near_Utility_Buildings">NA()</definedName>
    <definedName name="AREAS_ST_Stacks_near_Utility_Buildings_8">NA()</definedName>
    <definedName name="AREAS_SY_Scrap_Yard">NA()</definedName>
    <definedName name="AREAS_SY_Scrap_Yard_8">NA()</definedName>
    <definedName name="AREAS_TWW_Truck_Wheel_Wash">NA()</definedName>
    <definedName name="AREAS_TWW_Truck_Wheel_Wash_8">NA()</definedName>
    <definedName name="AREAS_TY_Transformer_Yard">NA()</definedName>
    <definedName name="AREAS_TY_Transformer_Yard_8">NA()</definedName>
    <definedName name="AREAS_UB_UTILITY_BLOCK">NA()</definedName>
    <definedName name="AREAS_UB_UTILITY_BLOCK_8">NA()</definedName>
    <definedName name="AREAS_WH_Ware_House_Area">NA()</definedName>
    <definedName name="AREAS_WH_Ware_House_Area_8">NA()</definedName>
    <definedName name="as" localSheetId="11">"[128]v!#ref!"</definedName>
    <definedName name="as" localSheetId="12">"[128]v!#ref!"</definedName>
    <definedName name="as" localSheetId="0">[60]v!#REF!</definedName>
    <definedName name="as">[60]v!#REF!</definedName>
    <definedName name="AS_6">"'smb://M-h1/FORMATS/Documents%20and%20Settings/Administrator/Local%20Settings/Temporary%20Internet%20Files/Content.IE5/YRUJ6X63/Excel/K%20&amp;%20L/Part%20-%20A%20workings%20(revised%20on%2018-01-06).xls'#$'Boq (Main Building)'.CX1"</definedName>
    <definedName name="ASadws">"[71]material!#ref!"</definedName>
    <definedName name="asAS">"[71]material!#ref!"</definedName>
    <definedName name="asas_6">"'smb://Tender2/d/Vinod/Excel/Tender/Garuda%20Resorts.xls'#$Boq.CX1"</definedName>
    <definedName name="asc">NA()</definedName>
    <definedName name="ASCSD" localSheetId="11">NA()</definedName>
    <definedName name="ASCSD" localSheetId="12">NA()</definedName>
    <definedName name="ASCSD" localSheetId="0">#REF!</definedName>
    <definedName name="ASCSD">#REF!</definedName>
    <definedName name="asd" localSheetId="11">"[130]data!#ref!"</definedName>
    <definedName name="asd" localSheetId="12">"[130]data!#ref!"</definedName>
    <definedName name="asd" localSheetId="0">[61]Data!#REF!</definedName>
    <definedName name="asd">[61]Data!#REF!</definedName>
    <definedName name="ASDBC">NA()</definedName>
    <definedName name="ASDF" localSheetId="12">{"'ridftotal'!$A$4:$S$27"}</definedName>
    <definedName name="ASDF">{"'ridftotal'!$A$4:$S$27"}</definedName>
    <definedName name="asdfs">NA()</definedName>
    <definedName name="asds">NA()</definedName>
    <definedName name="asdsdfsf">NA()</definedName>
    <definedName name="asf" localSheetId="11">NA()</definedName>
    <definedName name="asf" localSheetId="12">NA()</definedName>
    <definedName name="asf" localSheetId="0">#REF!</definedName>
    <definedName name="asf">#REF!</definedName>
    <definedName name="ASFDA" localSheetId="12">{"'ridftotal'!$A$4:$S$27"}</definedName>
    <definedName name="ASFDA">{"'ridftotal'!$A$4:$S$27"}</definedName>
    <definedName name="ash">NA()</definedName>
    <definedName name="asmin">NA()</definedName>
    <definedName name="ASS">NA()</definedName>
    <definedName name="ass_6">"'smb://M-h1/FORMATS/Documents%20and%20Settings/Administrator/Local%20Settings/Temporary%20Internet%20Files/Content.IE5/YRUJ6X63/Excel/K%20&amp;%20L/Part%20-%20A%20workings%20(revised%20on%2018-01-06).xls'#$'Boq (Main Building)'.CX1"</definedName>
    <definedName name="Assam_TW_flanks">"[71]material!#ref!"</definedName>
    <definedName name="Assam_TW_frames">"[71]material!#ref!"</definedName>
    <definedName name="ASSS">NA()</definedName>
    <definedName name="ASSS_4">"'file:///C:/Sudha%20Documents/Sudha%20-%20Planning%20&amp;%20Monitoring/Site%20Info/MJES/Documents%20and%20Settings/Venkat/Local%20Settings/Temp/My%20Documents/zero.xls'#$'p&amp;m'.$H$264:$H$264"</definedName>
    <definedName name="ASSS_5">"'file:///C:/Sudha%20Documents/Sudha%20-%20Planning%20&amp;%20Monitoring/Site%20Info/MJES/Documents%20and%20Settings/Venkat/Local%20Settings/Temp/My%20Documents/zero.xls'#$'p&amp;m'.$H$264:$H$264"</definedName>
    <definedName name="ASSS_6">"'smb://Mh2/e/Documents%20and%20Settings/Venkat/Local%20Settings/Temp/My%20Documents/zero.xls'#$'p&amp;m'.$H$264:$H$264"</definedName>
    <definedName name="astas">NA()</definedName>
    <definedName name="astb">NA()</definedName>
    <definedName name="astdm">NA()</definedName>
    <definedName name="Asth">NA()</definedName>
    <definedName name="asti">NA()</definedName>
    <definedName name="astm">NA()</definedName>
    <definedName name="astmid">NA()</definedName>
    <definedName name="astmin">NA()</definedName>
    <definedName name="asto">NA()</definedName>
    <definedName name="astr">NA()</definedName>
    <definedName name="astsup">NA()</definedName>
    <definedName name="asttp">NA()</definedName>
    <definedName name="asttrb">NA()</definedName>
    <definedName name="aswdertyh">"[65]usage!#ref!"</definedName>
    <definedName name="aswsws">NA()</definedName>
    <definedName name="at">NA()</definedName>
    <definedName name="ATACK">NA()</definedName>
    <definedName name="atm">NA()</definedName>
    <definedName name="att">NA()</definedName>
    <definedName name="Auftragswert">NA()</definedName>
    <definedName name="AUX">NA()</definedName>
    <definedName name="AVCC">NA()</definedName>
    <definedName name="AVG_HRS_PUMP_ULTI">[54]CPHEEO!$L$10</definedName>
    <definedName name="AVRCC">NA()</definedName>
    <definedName name="AWBM">NA()</definedName>
    <definedName name="AWBM2" localSheetId="11">NA()</definedName>
    <definedName name="AWBM2" localSheetId="12">NA()</definedName>
    <definedName name="AWBM2" localSheetId="0">#REF!</definedName>
    <definedName name="AWBM2">#REF!</definedName>
    <definedName name="AWBM3" localSheetId="11">NA()</definedName>
    <definedName name="AWBM3" localSheetId="12">NA()</definedName>
    <definedName name="AWBM3" localSheetId="0">#REF!</definedName>
    <definedName name="AWBM3">#REF!</definedName>
    <definedName name="Axs">NA()</definedName>
    <definedName name="Axs_4">"'smb://rajkishor/f/FILES/2%20KC258%20PASADINA/My%20Documents/zero.xls'#$'p&amp;m'.$H$264:$H$264"</definedName>
    <definedName name="Axs_5">"'smb://rajkishor/f/FILES/2%20KC258%20PASADINA/My%20Documents/zero.xls'#$'p&amp;m'.$H$264:$H$264"</definedName>
    <definedName name="Axs_6">"'smb://rajkishor/f/FILES/2%20KC258%20PASADINA/My%20Documents/zero.xls'#$'p&amp;m'.$H$264:$H$264"</definedName>
    <definedName name="Axs_9">NA()</definedName>
    <definedName name="b">'[62]Bridge Data 2005-06'!$B$51</definedName>
    <definedName name="B_2">NA()</definedName>
    <definedName name="B_4">"'smb://Planning2/d/ECC%20bbsr/tech/FinalZCR.xls'#$''.$A$20:$AMJ$20"</definedName>
    <definedName name="B_5">"'smb://Planning2/d/ECC%20bbsr/tech/FinalZCR.xls'#$''.$A$20:$AMJ$20"</definedName>
    <definedName name="B_6">"'smb://Planning2/d/ECC%20bbsr/tech/FinalZCR.xls'#$''.$A$20:$AMJ$20"</definedName>
    <definedName name="b_9">"[139]boq!#ref!"</definedName>
    <definedName name="baggage">"'[141]10'!$a$1:$u$65536"</definedName>
    <definedName name="bala" localSheetId="11">NA()</definedName>
    <definedName name="bala" localSheetId="12">NA()</definedName>
    <definedName name="bala" localSheetId="0">#REF!</definedName>
    <definedName name="bala">#REF!</definedName>
    <definedName name="banilad" localSheetId="11">NA()</definedName>
    <definedName name="banilad" localSheetId="12">NA()</definedName>
    <definedName name="banilad">[63]banilad!$A$1:$Z$1159</definedName>
    <definedName name="bar_bender">NA()</definedName>
    <definedName name="basic">NA()</definedName>
    <definedName name="bb" localSheetId="11">NA()</definedName>
    <definedName name="bb" localSheetId="12">NA()</definedName>
    <definedName name="bb" hidden="1">'[39]final abstract'!#REF!</definedName>
    <definedName name="bbbbb">NA()</definedName>
    <definedName name="bbn">NA()</definedName>
    <definedName name="BE">NA()</definedName>
    <definedName name="beam">NA()</definedName>
    <definedName name="Beam_Length">NA()</definedName>
    <definedName name="BEAMS">NA()</definedName>
    <definedName name="Beg_Bal">NA()</definedName>
    <definedName name="Benching__chiselling__wedging_and_boring_in_rock_in_foundation_grade_levelling_">NA()</definedName>
    <definedName name="Bethamcherla_stone_25_4mm">NA()</definedName>
    <definedName name="Bethamcherla_stone_25_4mm_colour">NA()</definedName>
    <definedName name="bfh">NA()</definedName>
    <definedName name="BFR">NA()</definedName>
    <definedName name="BFVA">NA()</definedName>
    <definedName name="bgljkb">"[130]boq!#ref!"</definedName>
    <definedName name="bgljkb_6">"'smb://Tender2/d/Vinod/Excel/Tender/Garuda%20Resorts.xls'#$Boq.CX1"</definedName>
    <definedName name="bh">NA()</definedName>
    <definedName name="BINDING">NA()</definedName>
    <definedName name="bindingwire">NA()</definedName>
    <definedName name="Bitumen_Boilor">[37]Usage!$C$24</definedName>
    <definedName name="BITUMEN_TRUNK_ROAD_SECTIONS">'[58]Bitumen trunk'!$A$1:$L$198</definedName>
    <definedName name="bjlc">NA()</definedName>
    <definedName name="bkk">NA()</definedName>
    <definedName name="bl">NA()</definedName>
    <definedName name="BLA">NA()</definedName>
    <definedName name="BLAST">[29]MRATES!$J$16</definedName>
    <definedName name="blast1">[64]r!$F$29</definedName>
    <definedName name="blast2">[64]r!$F$29</definedName>
    <definedName name="BLAST3" localSheetId="11">"[56]mrates!$j$17"</definedName>
    <definedName name="BLAST3" localSheetId="12">"[56]mrates!$j$17"</definedName>
    <definedName name="BLAST3">[29]MRATES!$J$17</definedName>
    <definedName name="Blasting">NA()</definedName>
    <definedName name="blv_100">NA()</definedName>
    <definedName name="blv_150">NA()</definedName>
    <definedName name="blv_200">NA()</definedName>
    <definedName name="blv_25">NA()</definedName>
    <definedName name="blv_250">NA()</definedName>
    <definedName name="blv_300">NA()</definedName>
    <definedName name="blv_32">NA()</definedName>
    <definedName name="blv_40">NA()</definedName>
    <definedName name="blv_400">NA()</definedName>
    <definedName name="blv_50">NA()</definedName>
    <definedName name="blv_500">NA()</definedName>
    <definedName name="blv_65">NA()</definedName>
    <definedName name="blv_80">NA()</definedName>
    <definedName name="BM">NA()</definedName>
    <definedName name="bmas">NA()</definedName>
    <definedName name="bmcf">NA()</definedName>
    <definedName name="bmcfo">NA()</definedName>
    <definedName name="bmm">NA()</definedName>
    <definedName name="bmo">NA()</definedName>
    <definedName name="BMP">NA()</definedName>
    <definedName name="bmpcf">NA()</definedName>
    <definedName name="bmpcfo">NA()</definedName>
    <definedName name="bo">NA()</definedName>
    <definedName name="Bobby">NA()</definedName>
    <definedName name="bol">NA()</definedName>
    <definedName name="BoltsNuts">[65]maya!$B$376:$B$381</definedName>
    <definedName name="boml">NA()</definedName>
    <definedName name="boml1">NA()</definedName>
    <definedName name="BOND600" localSheetId="11">"[56]mrates!$g$12"</definedName>
    <definedName name="BOND600" localSheetId="12">"[56]mrates!$g$12"</definedName>
    <definedName name="BOND600">[29]MRATES!$G$12</definedName>
    <definedName name="boo">NA()</definedName>
    <definedName name="boq" localSheetId="11">NA()</definedName>
    <definedName name="boq" localSheetId="12">NA()</definedName>
    <definedName name="boq" localSheetId="0">#REF!</definedName>
    <definedName name="boq">#REF!</definedName>
    <definedName name="boq_8">NA()</definedName>
    <definedName name="boreWell">NA()</definedName>
    <definedName name="borewells">NA()</definedName>
    <definedName name="botl">NA()</definedName>
    <definedName name="botl1">NA()</definedName>
    <definedName name="botn">NA()</definedName>
    <definedName name="BOTTOMDOMEONETOSIX" localSheetId="11">NA()</definedName>
    <definedName name="BOTTOMDOMEONETOSIX" localSheetId="12">NA()</definedName>
    <definedName name="BOTTOMDOMEONETOSIX" localSheetId="0">#REF!</definedName>
    <definedName name="BOTTOMDOMEONETOSIX">#REF!</definedName>
    <definedName name="BOTTOMDOMESIXTOTHIRTEEN" localSheetId="11">NA()</definedName>
    <definedName name="BOTTOMDOMESIXTOTHIRTEEN" localSheetId="12">NA()</definedName>
    <definedName name="BOTTOMDOMESIXTOTHIRTEEN" localSheetId="0">#REF!</definedName>
    <definedName name="BOTTOMDOMESIXTOTHIRTEEN">#REF!</definedName>
    <definedName name="BOTTOMRINGGIRDERONETOSIX" localSheetId="11">NA()</definedName>
    <definedName name="BOTTOMRINGGIRDERONETOSIX" localSheetId="12">NA()</definedName>
    <definedName name="BOTTOMRINGGIRDERONETOSIX" localSheetId="0">#REF!</definedName>
    <definedName name="BOTTOMRINGGIRDERONETOSIX">#REF!</definedName>
    <definedName name="BOTTOMRINGGIRDERSEVENTOTHIRTEEN" localSheetId="11">NA()</definedName>
    <definedName name="BOTTOMRINGGIRDERSEVENTOTHIRTEEN" localSheetId="12">NA()</definedName>
    <definedName name="BOTTOMRINGGIRDERSEVENTOTHIRTEEN" localSheetId="0">#REF!</definedName>
    <definedName name="BOTTOMRINGGIRDERSEVENTOTHIRTEEN">#REF!</definedName>
    <definedName name="bp">NA()</definedName>
    <definedName name="bpr">NA()</definedName>
    <definedName name="br">'[33]Lead statement'!$P$20</definedName>
    <definedName name="br_230">NA()</definedName>
    <definedName name="Breaks">NA()</definedName>
    <definedName name="brick">NA()</definedName>
    <definedName name="brick_four">NA()</definedName>
    <definedName name="brick_II">NA()</definedName>
    <definedName name="brick_nine">NA()</definedName>
    <definedName name="brickjelly_basic">NA()</definedName>
    <definedName name="bricks">"[71]rmr!#ref!"</definedName>
    <definedName name="Bricks_23_11_7cm_2nd_class">NA()</definedName>
    <definedName name="Bricks_Tiles">"[71]general!#ref!"</definedName>
    <definedName name="Bridge">NA()</definedName>
    <definedName name="brk">NA()</definedName>
    <definedName name="brnm">'[26]C-data'!$F$63</definedName>
    <definedName name="bs" localSheetId="11">NA()</definedName>
    <definedName name="bs" localSheetId="12">NA()</definedName>
    <definedName name="bs" localSheetId="0">#REF!</definedName>
    <definedName name="bs">#REF!</definedName>
    <definedName name="BSB5_Reinigung_in_BiopurC">"[148]balan1!#ref!"</definedName>
    <definedName name="BSB5_Reinigung_in_BiopurN">"[148]balan1!#ref!"</definedName>
    <definedName name="BSB5vorklmg" localSheetId="11">NA()</definedName>
    <definedName name="BSB5vorklmg" localSheetId="12">NA()</definedName>
    <definedName name="BSB5vorklmg">[66]BALAN1!$F$16</definedName>
    <definedName name="bsec1">NA()</definedName>
    <definedName name="bsec2">NA()</definedName>
    <definedName name="bsec3">NA()</definedName>
    <definedName name="bsec4">NA()</definedName>
    <definedName name="bsec5">NA()</definedName>
    <definedName name="bsec6">NA()</definedName>
    <definedName name="BSG">NA()</definedName>
    <definedName name="bsth">NA()</definedName>
    <definedName name="bsthi">NA()</definedName>
    <definedName name="bt">NA()</definedName>
    <definedName name="BT_60_70">NA()</definedName>
    <definedName name="BT_80_100">NA()</definedName>
    <definedName name="bt_boil">NA()</definedName>
    <definedName name="BT_E">NA()</definedName>
    <definedName name="bt_lead">NA()</definedName>
    <definedName name="BT_MIX_SEAL">NA()</definedName>
    <definedName name="bt_rate">NA()</definedName>
    <definedName name="BT_SEAL_COAT">NA()</definedName>
    <definedName name="BT_SEAL_ON_BTSD">NA()</definedName>
    <definedName name="BT_SINGLE_30_45">NA()</definedName>
    <definedName name="BT_WEARING_COAT">NA()</definedName>
    <definedName name="BTC">NA()</definedName>
    <definedName name="BTEMULTIONSS1">NA()</definedName>
    <definedName name="BTSD_23">NA()</definedName>
    <definedName name="BTSD_DRY">NA()</definedName>
    <definedName name="BTSD_SEAL">NA()</definedName>
    <definedName name="bua">NA()</definedName>
    <definedName name="buildings">NA()</definedName>
    <definedName name="BuiltIn_Print_Area">NA()</definedName>
    <definedName name="BuiltIn_Print_Area___0">NA()</definedName>
    <definedName name="BuiltIn_Print_Titles">NA()</definedName>
    <definedName name="bul">NA()</definedName>
    <definedName name="Bulk">[37]General!$K$3</definedName>
    <definedName name="BUT_HINGES">'[55]BASIC DATA'!$B$650:$B$661</definedName>
    <definedName name="bw">NA()</definedName>
    <definedName name="BWF1B">NA()</definedName>
    <definedName name="bwfb">"[122]process!#ref!"</definedName>
    <definedName name="BWIRE" localSheetId="11">"[56]mrates!$p$52"</definedName>
    <definedName name="BWIRE" localSheetId="12">"[56]mrates!$p$52"</definedName>
    <definedName name="BWIRE">[29]MRATES!$P$52</definedName>
    <definedName name="bwl">"[122]process!#ref!"</definedName>
    <definedName name="bwld">NA()</definedName>
    <definedName name="BWSC_PIPES">'[55]PIPES BASIC RATES'!$A$440:$A$578</definedName>
    <definedName name="BWSP_C">[54]wh_data_R!$D$351:$N$365</definedName>
    <definedName name="BWSP_CL">[54]wh_data_R!$D$350:$N$350</definedName>
    <definedName name="BWSP_CL_RATES">[54]wh_data!$M$139:$W$139</definedName>
    <definedName name="BWSP_CLL">[54]wh_data_R!$AA$378:$AC$387</definedName>
    <definedName name="BWSP_CLR">[54]wh_data!$L$139:$P$139</definedName>
    <definedName name="BWSP_CLS">[54]wh_data_R!$AA$378:$AA$387</definedName>
    <definedName name="BWSP_D_R">[54]CPHEEO!$BE$3:$BE$17</definedName>
    <definedName name="BWSP_D_RATES">[54]wh_data!$L$140:$L$150</definedName>
    <definedName name="BWSP_DC">[54]wh_data_R!$A$141:$A$155</definedName>
    <definedName name="BWSP_DL_RANGE">[54]CPHEEO!$BF$3:$BF$14</definedName>
    <definedName name="BWSP_DR">[54]wh_data!$L$140:$L$148</definedName>
    <definedName name="BWSP_FR_12KG">[67]BWSCPlt!$C$19:$M$19</definedName>
    <definedName name="BWSP_FR_14KG">[67]BWSCPlt!$C$34:$M$34</definedName>
    <definedName name="BWSP_FR_16KG">[67]BWSCPlt!$C$49:$M$49</definedName>
    <definedName name="BWSP_FR_18KG">[67]BWSCPlt!$C$64:$M$64</definedName>
    <definedName name="BWSP_FR_20KG">[67]BWSCPlt!$C$79:$M$79</definedName>
    <definedName name="BWSP_FR_22KG">[67]BWSCPlt!$C$94:$M$94</definedName>
    <definedName name="BWSP_FR_24KG">[67]BWSCPlt!$C$109:$M$109</definedName>
    <definedName name="BWSP_FR_26KG">[67]BWSCPlt!$C$124:$M$124</definedName>
    <definedName name="BWSP_FR_28KG">[67]BWSCPlt!$C$139:$M$139</definedName>
    <definedName name="BWSP_FR_30KG">[67]BWSCPlt!$C$154:$M$154</definedName>
    <definedName name="BWSP_G">[54]wh_data_R!$F$1440:$F$1449</definedName>
    <definedName name="BWSP_P">[54]wh_data_R!$G$1440:$G$1449</definedName>
    <definedName name="BWSP_RATES">[54]wh_data!$L$140:$P$148</definedName>
    <definedName name="BWSP_T">[54]wh_data!$A$140:$L$176</definedName>
    <definedName name="bwssb">NA()</definedName>
    <definedName name="bww">"[122]process!#ref!"</definedName>
    <definedName name="bx">NA()</definedName>
    <definedName name="c.c136">[68]Sheet1!$A$19:$A$22</definedName>
    <definedName name="C_">NA()</definedName>
    <definedName name="C_L_WALL">NA()</definedName>
    <definedName name="C_S_WALL">NA()</definedName>
    <definedName name="CA">NA()</definedName>
    <definedName name="can">NA()</definedName>
    <definedName name="cant">NA()</definedName>
    <definedName name="CANTILEVERONETOSIX">NA()</definedName>
    <definedName name="CANTILEVERSEVENTOTHIRTEEN" localSheetId="11">NA()</definedName>
    <definedName name="CANTILEVERSEVENTOTHIRTEEN" localSheetId="12">NA()</definedName>
    <definedName name="CANTILEVERSEVENTOTHIRTEEN" localSheetId="0">#REF!</definedName>
    <definedName name="CANTILEVERSEVENTOTHIRTEEN">#REF!</definedName>
    <definedName name="capital">NA()</definedName>
    <definedName name="cash_bank">NA()</definedName>
    <definedName name="CASH_OUT">NA()</definedName>
    <definedName name="cb">NA()</definedName>
    <definedName name="cbeams">NA()</definedName>
    <definedName name="cbgl1">NA()</definedName>
    <definedName name="cbgl2">NA()</definedName>
    <definedName name="cbgl3">NA()</definedName>
    <definedName name="cbgl4">NA()</definedName>
    <definedName name="cbr">NA()</definedName>
    <definedName name="CC">[69]DATA!$H$59</definedName>
    <definedName name="CC_1">[9]DATA!$I$59</definedName>
    <definedName name="CC_1_6_10__using_40MM_OTG_Meteal_including_cost_and_conveyance_of_all_materials_and_labour_charge._etc.__Complete">#REF!</definedName>
    <definedName name="CC_1_6_10__using_40MM_OTG_Meteal_including_cost_and_conveyance_of_all_materials_and_labour_charge__etc___Complete">NA()</definedName>
    <definedName name="cc_mix">'[70]data existing_do not delete'!$D$2:$D$7</definedName>
    <definedName name="CC1_2_4">NA()</definedName>
    <definedName name="cc1_5_10">NA()</definedName>
    <definedName name="CC11A">"'[141]11'!$a$1:$w$65536"</definedName>
    <definedName name="CC11B">"'[141]11'!$a$1:$u$65536"</definedName>
    <definedName name="CC12A" localSheetId="11">NA()</definedName>
    <definedName name="CC12A" localSheetId="12">NA()</definedName>
    <definedName name="CC12A">'[71]12'!$A$1:$U$65536</definedName>
    <definedName name="CC12B" localSheetId="11">NA()</definedName>
    <definedName name="CC12B" localSheetId="12">NA()</definedName>
    <definedName name="CC12B">'[71]12'!$A$1:$U$65536</definedName>
    <definedName name="CC2A" localSheetId="11">NA()</definedName>
    <definedName name="CC2A" localSheetId="12">NA()</definedName>
    <definedName name="CC2A">'[71]2A'!$A$1:$V$65536</definedName>
    <definedName name="CC2B" localSheetId="11">NA()</definedName>
    <definedName name="CC2B" localSheetId="12">NA()</definedName>
    <definedName name="CC2B">'[71]2B'!$A$1:$V$65536</definedName>
    <definedName name="CC2C" localSheetId="11">NA()</definedName>
    <definedName name="CC2C" localSheetId="12">NA()</definedName>
    <definedName name="CC2C">'[71]2C'!$A$1:$V$65536</definedName>
    <definedName name="CC2D" localSheetId="11">NA()</definedName>
    <definedName name="CC2D" localSheetId="12">NA()</definedName>
    <definedName name="CC2D">'[71]2D'!$A$1:$V$65536</definedName>
    <definedName name="CC2E" localSheetId="11">NA()</definedName>
    <definedName name="CC2E" localSheetId="12">NA()</definedName>
    <definedName name="CC2E">'[71]2E'!$A$1:$V$65536</definedName>
    <definedName name="CC2F" localSheetId="11">NA()</definedName>
    <definedName name="CC2F" localSheetId="12">NA()</definedName>
    <definedName name="CC2F">'[71]2F'!$A$1:$V$65536</definedName>
    <definedName name="CC2G" localSheetId="11">NA()</definedName>
    <definedName name="CC2G" localSheetId="12">NA()</definedName>
    <definedName name="CC2G">'[71]2G'!$A$1:$V$65536</definedName>
    <definedName name="CC2H" localSheetId="11">NA()</definedName>
    <definedName name="CC2H" localSheetId="12">NA()</definedName>
    <definedName name="CC2H">'[71]2H'!$A$1:$V$65536</definedName>
    <definedName name="CC3A" localSheetId="11">NA()</definedName>
    <definedName name="CC3A" localSheetId="12">NA()</definedName>
    <definedName name="CC3A">'[71]3A'!$A$1:$V$65536</definedName>
    <definedName name="CC3B" localSheetId="11">NA()</definedName>
    <definedName name="CC3B" localSheetId="12">NA()</definedName>
    <definedName name="CC3B">'[71]3B'!$A$1:$V$65536</definedName>
    <definedName name="CC4a" localSheetId="11">NA()</definedName>
    <definedName name="CC4a" localSheetId="12">NA()</definedName>
    <definedName name="CC4a">'[71]4'!$A$1:$U$65536</definedName>
    <definedName name="CC5a">NA()</definedName>
    <definedName name="CC5a1">NA()</definedName>
    <definedName name="CC6A">"'[141]6a'!$a$1:$v$65536"</definedName>
    <definedName name="CC6B">"'[141]6b'!$a$1:$v$65536"</definedName>
    <definedName name="CC7A" localSheetId="11">NA()</definedName>
    <definedName name="CC7A" localSheetId="12">NA()</definedName>
    <definedName name="CC7A">'[71]7A'!$A$1:$U$65536</definedName>
    <definedName name="CC7B" localSheetId="11">NA()</definedName>
    <definedName name="CC7B" localSheetId="12">NA()</definedName>
    <definedName name="CC7B">'[71]7B'!$A$1:$U$65536</definedName>
    <definedName name="CC8A" localSheetId="11">NA()</definedName>
    <definedName name="CC8A" localSheetId="12">NA()</definedName>
    <definedName name="CC8A">'[71]8A'!$A$1:$U$65536</definedName>
    <definedName name="CC8B" localSheetId="11">NA()</definedName>
    <definedName name="CC8B" localSheetId="12">NA()</definedName>
    <definedName name="CC8B">'[71]8B'!$A$1:$U$65536</definedName>
    <definedName name="CC9A" localSheetId="11">NA()</definedName>
    <definedName name="CC9A" localSheetId="12">NA()</definedName>
    <definedName name="CC9A">'[71]9A'!$A$1:$U$65536</definedName>
    <definedName name="CC9B" localSheetId="11">NA()</definedName>
    <definedName name="CC9B" localSheetId="12">NA()</definedName>
    <definedName name="CC9B">'[71]9B'!$A$1:$U$65536</definedName>
    <definedName name="CC9C" localSheetId="11">NA()</definedName>
    <definedName name="CC9C" localSheetId="12">NA()</definedName>
    <definedName name="CC9C">'[71]9C'!$A$1:$U$65536</definedName>
    <definedName name="CC9D" localSheetId="11">NA()</definedName>
    <definedName name="CC9D" localSheetId="12">NA()</definedName>
    <definedName name="CC9D">'[71]9D'!$A$1:$U$65536</definedName>
    <definedName name="CC9E" localSheetId="11">NA()</definedName>
    <definedName name="CC9E" localSheetId="12">NA()</definedName>
    <definedName name="CC9E">'[71]9E'!$A$1:$U$65536</definedName>
    <definedName name="CC9F" localSheetId="11">NA()</definedName>
    <definedName name="CC9F" localSheetId="12">NA()</definedName>
    <definedName name="CC9F">'[71]9F'!$A$1:$U$65536</definedName>
    <definedName name="CC9G" localSheetId="11">NA()</definedName>
    <definedName name="CC9G" localSheetId="12">NA()</definedName>
    <definedName name="CC9G">'[71]9G'!$A$1:$U$65536</definedName>
    <definedName name="CC9H" localSheetId="11">NA()</definedName>
    <definedName name="CC9H" localSheetId="12">NA()</definedName>
    <definedName name="CC9H">'[71]9H'!$A$1:$U$65536</definedName>
    <definedName name="CC9I" localSheetId="11">NA()</definedName>
    <definedName name="CC9I" localSheetId="12">NA()</definedName>
    <definedName name="CC9I">'[71]9I'!$A$1:$U$65536</definedName>
    <definedName name="CC9J" localSheetId="11">NA()</definedName>
    <definedName name="CC9J" localSheetId="12">NA()</definedName>
    <definedName name="CC9J">'[71]9J'!$A$1:$U$65536</definedName>
    <definedName name="CC9K" localSheetId="11">NA()</definedName>
    <definedName name="CC9K" localSheetId="12">NA()</definedName>
    <definedName name="CC9K">'[71]9K'!$A$1:$U$65536</definedName>
    <definedName name="cca">NA()</definedName>
    <definedName name="CCAAMP">NA()</definedName>
    <definedName name="cccc">NA()</definedName>
    <definedName name="cci">NA()</definedName>
    <definedName name="ccir" localSheetId="11">NA()</definedName>
    <definedName name="ccir" localSheetId="12">NA()</definedName>
    <definedName name="ccir" localSheetId="0">#REF!</definedName>
    <definedName name="ccir">#REF!</definedName>
    <definedName name="ccolagl">NA()</definedName>
    <definedName name="ccp">NA()</definedName>
    <definedName name="ccwc1">NA()</definedName>
    <definedName name="ccwc2">NA()</definedName>
    <definedName name="cd" localSheetId="11">NA()</definedName>
    <definedName name="cd" localSheetId="12">NA()</definedName>
    <definedName name="cd" localSheetId="0">#REF!</definedName>
    <definedName name="cd">#REF!</definedName>
    <definedName name="cd10mm">NA()</definedName>
    <definedName name="cd12mm">NA()</definedName>
    <definedName name="cd20mm">NA()</definedName>
    <definedName name="cd25mm">NA()</definedName>
    <definedName name="cd2m">NA()</definedName>
    <definedName name="cd40mm">NA()</definedName>
    <definedName name="cd40mm08">NA()</definedName>
    <definedName name="cd6mm">NA()</definedName>
    <definedName name="cddata">NA()</definedName>
    <definedName name="CDECV">NA()</definedName>
    <definedName name="CDNO" localSheetId="11">NA()</definedName>
    <definedName name="CDNO" localSheetId="12">NA()</definedName>
    <definedName name="CDNO" localSheetId="0">#REF!</definedName>
    <definedName name="CDNO">#REF!</definedName>
    <definedName name="cdno_600" localSheetId="11">NA()</definedName>
    <definedName name="cdno_600" localSheetId="12">NA()</definedName>
    <definedName name="cdno_600" localSheetId="0">#REF!</definedName>
    <definedName name="cdno_600">#REF!</definedName>
    <definedName name="ce">'[72]Lead statement'!$P$19</definedName>
    <definedName name="CED">NA()</definedName>
    <definedName name="cem">'[26]C-data'!$F$55</definedName>
    <definedName name="cem_w">NA()</definedName>
    <definedName name="cement" localSheetId="11">NA()</definedName>
    <definedName name="cement" localSheetId="12">NA()</definedName>
    <definedName name="CEMENT">[29]MRATES!$P$48</definedName>
    <definedName name="CEMENT_CONCRETE">'[55]BACK BONE'!$GV$1:$GV$13</definedName>
    <definedName name="CEMENT_CONCRETE_BASIC_COST">'[55]BACK BONE'!$HC$3:$HC$40</definedName>
    <definedName name="Cement_excluding_cost_of_empty_cement_bags">NA()</definedName>
    <definedName name="cementpaint">NA()</definedName>
    <definedName name="cenchrcol">NA()</definedName>
    <definedName name="cenchrfoot">NA()</definedName>
    <definedName name="cenchrpb">NA()</definedName>
    <definedName name="cenchrped">NA()</definedName>
    <definedName name="Centering_charges_for_bed_blocks_and_culvert_slabs_and_other_structures_of_less_than_3_mts__span_">NA()</definedName>
    <definedName name="Centering_charges_for_culvert_slabs_and_other_structures_of__3_mts__span_and_above">NA()</definedName>
    <definedName name="CENTERING_SCAFFOLDING_COLUMNS">'[55]BACK BONE'!$EE$2:$EE$10</definedName>
    <definedName name="ceramic">NA()</definedName>
    <definedName name="Cess">NA()</definedName>
    <definedName name="CEW">NA()</definedName>
    <definedName name="cfb">NA()</definedName>
    <definedName name="cfbeams">NA()</definedName>
    <definedName name="cfsalb">NA()</definedName>
    <definedName name="cfslab">NA()</definedName>
    <definedName name="cg">NA()</definedName>
    <definedName name="chdyrrr">"[118]lead!#ref!"</definedName>
    <definedName name="check">NA()</definedName>
    <definedName name="checked">NA()</definedName>
    <definedName name="chemicalcalculationperungudi">NA()</definedName>
    <definedName name="chemsludgecal">NA()</definedName>
    <definedName name="chenchu">NA()</definedName>
    <definedName name="chips_10">NA()</definedName>
    <definedName name="chips_12">NA()</definedName>
    <definedName name="chips_5">NA()</definedName>
    <definedName name="CI">NA()</definedName>
    <definedName name="CI_CL">[54]wh_data_R!$D$284:$G$284</definedName>
    <definedName name="CI_CL_RATES">[54]wh_data!$M$60:$O$60</definedName>
    <definedName name="CI_CLL">[54]wh_data_R!$O$378:$Q$380</definedName>
    <definedName name="CI_CLR">[54]wh_data!$L$60:$O$60</definedName>
    <definedName name="CI_CLS">[54]wh_data_R!$O$378:$O$380</definedName>
    <definedName name="CI_D_R">[54]CPHEEO!$BA$3:$BA$39</definedName>
    <definedName name="CI_D_RATES">[67]CI!$C$9:$S$9</definedName>
    <definedName name="CI_DC">[54]wh_data_R!$A$61:$A$78</definedName>
    <definedName name="CI_DL_RANGE">[54]CPHEEO!$BA$3:$BA$15</definedName>
    <definedName name="CI_DR">[54]wh_data!$L$61:$L$77</definedName>
    <definedName name="CI_FR_A">[67]CI!$C$34:$S$34</definedName>
    <definedName name="CI_FR_B">[67]CI!$C$49:$S$49</definedName>
    <definedName name="CI_FR_LA">[67]CI!$C$19:$S$19</definedName>
    <definedName name="CI_G">[54]wh_data_R!$W$1440:$W$1442</definedName>
    <definedName name="CI_P">[54]wh_data_R!$X$1440:$X$1442</definedName>
    <definedName name="CI_PIPES">'[55]PIPES BASIC RATES'!$A$333:$A$349</definedName>
    <definedName name="CI_RATES">[54]wh_data!$L$61:$O$77</definedName>
    <definedName name="CI_T">[54]wh_data!$A$61:$D$85</definedName>
    <definedName name="CIcheckValve">NA()</definedName>
    <definedName name="cidjoint" localSheetId="11">NA()</definedName>
    <definedName name="cidjoint" localSheetId="12">NA()</definedName>
    <definedName name="cidjoint" localSheetId="0">#REF!</definedName>
    <definedName name="cidjoint">#REF!</definedName>
    <definedName name="CIDjoints">[65]maya!$B$370:$B$375</definedName>
    <definedName name="CIdummy">NA()</definedName>
    <definedName name="CIfootValve">NA()</definedName>
    <definedName name="cii">NA()</definedName>
    <definedName name="ciii">NA()</definedName>
    <definedName name="cikkk">NA()</definedName>
    <definedName name="CILA_PIPES">'[55]PIPES BASIC RATES'!$A$279:$A$331</definedName>
    <definedName name="cila100">NA()</definedName>
    <definedName name="cila1000">NA()</definedName>
    <definedName name="cila125">NA()</definedName>
    <definedName name="cila150">NA()</definedName>
    <definedName name="cila200">NA()</definedName>
    <definedName name="cila250">NA()</definedName>
    <definedName name="cila300">NA()</definedName>
    <definedName name="cila350">NA()</definedName>
    <definedName name="cila400">NA()</definedName>
    <definedName name="cila450">NA()</definedName>
    <definedName name="cila500">NA()</definedName>
    <definedName name="cila600">NA()</definedName>
    <definedName name="cila700">NA()</definedName>
    <definedName name="cila750">NA()</definedName>
    <definedName name="cila80">NA()</definedName>
    <definedName name="cila800">NA()</definedName>
    <definedName name="cila900">NA()</definedName>
    <definedName name="Cinder">"[71]material!#ref!"</definedName>
    <definedName name="City" localSheetId="11">NA()</definedName>
    <definedName name="City" localSheetId="12">NA()</definedName>
    <definedName name="City" localSheetId="0">#REF!</definedName>
    <definedName name="City">#REF!</definedName>
    <definedName name="cjv">NA()</definedName>
    <definedName name="ckeck1">NA()</definedName>
    <definedName name="CLASSS">NA()</definedName>
    <definedName name="Clayey_Soil_in_wet_and_slushy_condition_________SS_20_B">NA()</definedName>
    <definedName name="CLEAR_PAGE_BREA">NA()</definedName>
    <definedName name="Clearing_alchi__tilla">NA()</definedName>
    <definedName name="Clearing_heavy_Jungle">NA()</definedName>
    <definedName name="Clearing_Juliflora__Prosafis__jungle_including_up_rooting_and_removing_of_Juliflora_stumps_">NA()</definedName>
    <definedName name="Clearing_light_Jungle">NA()</definedName>
    <definedName name="Clearing_Scrub_Jungle">NA()</definedName>
    <definedName name="clintels">NA()</definedName>
    <definedName name="clp">NA()</definedName>
    <definedName name="cm">NA()</definedName>
    <definedName name="CM_1_10">"[71]data!#ref!"</definedName>
    <definedName name="CM_1_2">"[71]data!#ref!"</definedName>
    <definedName name="CM_1_3">"[71]data!#ref!"</definedName>
    <definedName name="CM_1_4">"[71]data!#ref!"</definedName>
    <definedName name="CM_1_5">"[71]data!#ref!"</definedName>
    <definedName name="CM_1_6">"[71]data!#ref!"</definedName>
    <definedName name="CM_1_8">"[71]data!#ref!"</definedName>
    <definedName name="cmes">NA()</definedName>
    <definedName name="CO">NA()</definedName>
    <definedName name="code">'[73]segments-details'!$B$5:$B$371</definedName>
    <definedName name="coimbatore">NA()</definedName>
    <definedName name="col">[74]DATA_PRG!$H$173</definedName>
    <definedName name="Colbgl">NA()</definedName>
    <definedName name="colbgl2">NA()</definedName>
    <definedName name="Columns">NA()</definedName>
    <definedName name="COMM_MLD">[54]input!$K$8</definedName>
    <definedName name="COMM_POP">[54]input!$F$8</definedName>
    <definedName name="COMM_YEAR">[54]input!$C$8</definedName>
    <definedName name="COMM_YR_LPM">[54]input!$H$8</definedName>
    <definedName name="Comp.Stat">[75]Data!#REF!</definedName>
    <definedName name="Comp_Stat">"[168]data!#ref!"</definedName>
    <definedName name="comp0001">"[170]work_sheet!#ref!"</definedName>
    <definedName name="Company" localSheetId="11">NA()</definedName>
    <definedName name="Company" localSheetId="12">NA()</definedName>
    <definedName name="Company" localSheetId="0">#REF!</definedName>
    <definedName name="Company">#REF!</definedName>
    <definedName name="Compressor_Charges___10_5_cum_per_minit_capacity">NA()</definedName>
    <definedName name="Compressor_Charges___6_cum_per_minit_capacity">NA()</definedName>
    <definedName name="con_mixer">NA()</definedName>
    <definedName name="con_pro">NA()</definedName>
    <definedName name="concludied5550">NA()</definedName>
    <definedName name="Concrete_Mixture">NA()</definedName>
    <definedName name="Concrete_Pump">NA()</definedName>
    <definedName name="conmixer">'[33]SSR 2014-15 Rates'!$E$62</definedName>
    <definedName name="conns_">NA()</definedName>
    <definedName name="constrn">NA()</definedName>
    <definedName name="Construction">'[58]Bitumen trunk'!$W$1:$AN$196</definedName>
    <definedName name="CONVEYANCE">NA()</definedName>
    <definedName name="copy">NA()</definedName>
    <definedName name="cost" localSheetId="11">NA()</definedName>
    <definedName name="cost" localSheetId="12">NA()</definedName>
    <definedName name="cost" localSheetId="0">#REF!</definedName>
    <definedName name="cost">#REF!</definedName>
    <definedName name="Cost10">NA()</definedName>
    <definedName name="Cost5">"'[141]5'!$a$1:$v$65536"</definedName>
    <definedName name="costcentre13">"'[141]13'!$a$1:$u$65536"</definedName>
    <definedName name="COTTAGE" localSheetId="11">NA()</definedName>
    <definedName name="COTTAGE" localSheetId="12">NA()</definedName>
    <definedName name="COTTAGE" localSheetId="0" hidden="1">'[39]final abstract'!#REF!</definedName>
    <definedName name="COTTAGE" hidden="1">'[39]final abstract'!#REF!</definedName>
    <definedName name="Country" localSheetId="11">NA()</definedName>
    <definedName name="Country" localSheetId="12">NA()</definedName>
    <definedName name="Country" localSheetId="0">#REF!</definedName>
    <definedName name="Country">#REF!</definedName>
    <definedName name="cover2">NA()</definedName>
    <definedName name="CP">[76]MRATES!$H$54</definedName>
    <definedName name="cpcl">NA()</definedName>
    <definedName name="cpcl26_4">NA()</definedName>
    <definedName name="cpcl26_4mldnew">NA()</definedName>
    <definedName name="cr">[9]DATA!$H$17</definedName>
    <definedName name="cr_mpl_divn_corenet_cn_mpl">NA()</definedName>
    <definedName name="CR_stone">'[77]Common '!$D$21:$D$22</definedName>
    <definedName name="CR_stone_HBG">'[77]Common '!$D$21</definedName>
    <definedName name="Crane__Rate_of_sinking_0_8_mts__per_day">NA()</definedName>
    <definedName name="crccslab">NA()</definedName>
    <definedName name="crccslab150">NA()</definedName>
    <definedName name="crs">'[33]Lead statement'!$P$16</definedName>
    <definedName name="crsg">NA()</definedName>
    <definedName name="crsrate">'[8]lead-st'!$L$12</definedName>
    <definedName name="crss">[8]rdamdata!$J$10</definedName>
    <definedName name="crush">[64]r!$F$30</definedName>
    <definedName name="Crushing">NA()</definedName>
    <definedName name="crust" localSheetId="11">"[113]data.f8.btr!#ref!"</definedName>
    <definedName name="crust" localSheetId="12">"[113]data.f8.btr!#ref!"</definedName>
    <definedName name="crust" localSheetId="0">'[53]Data.F8.BTR'!#REF!</definedName>
    <definedName name="crust">'[53]Data.F8.BTR'!#REF!</definedName>
    <definedName name="CSAND" localSheetId="11">"[56]mrates!$g$8"</definedName>
    <definedName name="CSAND" localSheetId="12">"[56]mrates!$g$8"</definedName>
    <definedName name="CSAND">[29]MRATES!$G$8</definedName>
    <definedName name="cshewcen">NA()</definedName>
    <definedName name="cshewcenchrfoot">NA()</definedName>
    <definedName name="cshewcenchrpb">NA()</definedName>
    <definedName name="cshewcenchrped">NA()</definedName>
    <definedName name="csshade">NA()</definedName>
    <definedName name="cst">NA()</definedName>
    <definedName name="ct_basic">NA()</definedName>
    <definedName name="ctrhabstat">NA()</definedName>
    <definedName name="cu">NA()</definedName>
    <definedName name="Cuddapah_Shahabad_slabs_40mm">"[71]material!#ref!"</definedName>
    <definedName name="Cuddapah_Shahabad_slabs_50_mm">"[71]material!#ref!"</definedName>
    <definedName name="curr_liab_prov">NA()</definedName>
    <definedName name="CustomDuty">NA()</definedName>
    <definedName name="cut_holes_bw">NA()</definedName>
    <definedName name="cut_holes_rcc">NA()</definedName>
    <definedName name="Cutting_and_removing_other_kindof_trees_including_stacking_of_girth_30_to_100_cm">NA()</definedName>
    <definedName name="Cutting_and_removing_Palmyrah_trees_including_stacking_of_girth_30_to_100_cm_">NA()</definedName>
    <definedName name="cv_100">NA()</definedName>
    <definedName name="cv_150">NA()</definedName>
    <definedName name="cv_200">NA()</definedName>
    <definedName name="cv_25">NA()</definedName>
    <definedName name="cv_250">NA()</definedName>
    <definedName name="cv_300">NA()</definedName>
    <definedName name="cv_32">NA()</definedName>
    <definedName name="cv_40">NA()</definedName>
    <definedName name="cv_400">NA()</definedName>
    <definedName name="cv_50">NA()</definedName>
    <definedName name="cv_500">NA()</definedName>
    <definedName name="cv_65">NA()</definedName>
    <definedName name="cv_80">NA()</definedName>
    <definedName name="cvbt" localSheetId="11">NA()</definedName>
    <definedName name="cvbt" localSheetId="12">NA()</definedName>
    <definedName name="cvbt" localSheetId="0">#REF!</definedName>
    <definedName name="cvbt">#REF!</definedName>
    <definedName name="CWSUMP">'[78]DATA-BASE'!$I$6:$T$22</definedName>
    <definedName name="cx">NA()</definedName>
    <definedName name="d" localSheetId="11">"[127]lead!#ref!"</definedName>
    <definedName name="d" localSheetId="12">"[127]lead!#ref!"</definedName>
    <definedName name="d" localSheetId="0">[59]Lead!#REF!</definedName>
    <definedName name="d">[59]Lead!#REF!</definedName>
    <definedName name="D.t" localSheetId="11">[50]data!#REF!</definedName>
    <definedName name="D.t" localSheetId="12">[50]data!#REF!</definedName>
    <definedName name="D.t" localSheetId="0">[50]data!#REF!</definedName>
    <definedName name="D.t">[50]data!#REF!</definedName>
    <definedName name="D_t">NA()</definedName>
    <definedName name="d_ts">"[93]data!#ref!"</definedName>
    <definedName name="D206xE206">NA()</definedName>
    <definedName name="D206xE206_1">"'smb://Venkat/1%20KC222%20-%20TEXAS/My%20Documents/zero.xls'#$'p&amp;m'.$H$264:$H$264"</definedName>
    <definedName name="D206xE206_10">NA()</definedName>
    <definedName name="D206xE206_11">"'smb://rajkishor/f/FILES/2%20KC258%20PASADINA/My%20Documents/zero.xls'#$'p&amp;m'.$H$264:$H$264"</definedName>
    <definedName name="D206xE206_12">"'smb://rajkishor/f/FILES/2%20KC258%20PASADINA/My%20Documents/zero.xls'#$'p&amp;m'.$H$264:$H$264"</definedName>
    <definedName name="D206xE206_2">"'smb://rajkishor/f/FILES/2%20KC258%20PASADINA/My%20Documents/zero.xls'#$'p&amp;m'.$H$264:$H$264"</definedName>
    <definedName name="D206xE206_3">"'smb://rajkishor/f/FILES/2%20KC258%20PASADINA/My%20Documents/zero.xls'#$'p&amp;m'.$H$264:$H$264"</definedName>
    <definedName name="D206xE206_4">"'smb://Venkat/VENKAT''S%20(D)/FILES/2%20KC258%20PASADINA/My%20Documents/zero.xls'#$'p&amp;m'.$H$264:$H$264"</definedName>
    <definedName name="D206xE206_5">"'smb://Venkat/VENKAT''S%20(D)/FILES/2%20KC258%20PASADINA/My%20Documents/zero.xls'#$'p&amp;m'.$H$264:$H$264"</definedName>
    <definedName name="D206xE206_6">"'smb://Balaguru/Documents/My%20Documents/zero.xls'#$'p&amp;m'.$H$264:$H$264"</definedName>
    <definedName name="D206xE206_7">"'smb://rajkishor/f/My%20Documents/zero.xls'#$'p&amp;m'.$H$264:$H$264"</definedName>
    <definedName name="D206xE206_8">"'smb://rajkishor/f/FILES/2%20KC258%20PASADINA/My%20Documents/zero.xls'#$'p&amp;m'.$H$264:$H$264"</definedName>
    <definedName name="D206xE206_9">"'smb://rajkishor/f/FILES/2%20KC258%20PASADINA/My%20Documents/zero.xls'#$'p&amp;m'.$H$264:$H$264"</definedName>
    <definedName name="Da" localSheetId="11">NA()</definedName>
    <definedName name="Da" localSheetId="12">NA()</definedName>
    <definedName name="Da" localSheetId="0">#REF!</definedName>
    <definedName name="Da">#REF!</definedName>
    <definedName name="dadoing">NA()</definedName>
    <definedName name="Damerchela">"[184]v!#ref!"</definedName>
    <definedName name="data" localSheetId="11">"[130]data!#ref!"</definedName>
    <definedName name="data" localSheetId="12">"[130]data!#ref!"</definedName>
    <definedName name="data" localSheetId="0">[61]Data!#REF!</definedName>
    <definedName name="data">[61]Data!#REF!</definedName>
    <definedName name="data_">"[185]data!#ref!"</definedName>
    <definedName name="data_1">"'smb://192.168.4.17/workings%20(e)/Files/BZ001%20-%20RO/Seminar/SEMINAR.xls'#$'labour coeff'.$A$3:$S$74"</definedName>
    <definedName name="data_11">"'smb://192.168.4.17/workings%20(e)/Files/BZ001%20-%20RO/Seminar/SEMINAR.xls'#$'labour coeff'.$A$3:$S$74"</definedName>
    <definedName name="data_12">"'smb://192.168.4.17/workings%20(e)/Files/BZ001%20-%20RO/Seminar/SEMINAR.xls'#$'labour coeff'.$A$3:$S$74"</definedName>
    <definedName name="data_2">"'smb://192.168.4.17/workings%20(e)/Files/BZ001%20-%20RO/Seminar/SEMINAR.xls'#$'labour coeff'.$A$3:$S$74"</definedName>
    <definedName name="data_3">"'smb://192.168.4.17/workings%20(e)/Files/BZ001%20-%20RO/Seminar/SEMINAR.xls'#$'labour coeff'.$A$3:$S$74"</definedName>
    <definedName name="data_4">"'smb://192.168.4.17/workings%20(e)/Files/BZ001%20-%20RO/Seminar/SEMINAR.xls'#$'labour coeff'.$A$3:$S$74"</definedName>
    <definedName name="data_5">"'smb://192.168.4.17/workings%20(e)/Files/BZ001%20-%20RO/Seminar/SEMINAR.xls'#$'labour coeff'.$A$3:$S$74"</definedName>
    <definedName name="data_6">"'smb://192.168.4.17/workings%20(e)/Files/BZ001%20-%20RO/Seminar/SEMINAR.xls'#$'labour coeff'.$A$3:$S$74"</definedName>
    <definedName name="data_7">"'smb://192.168.4.17/workings%20(e)/Files/BZ001%20-%20RO/Seminar/SEMINAR.xls'#$'labour coeff'.$A$3:$S$74"</definedName>
    <definedName name="data_8">"'smb://192.168.4.17/workings%20(e)/Files/BZ001%20-%20RO/Seminar/SEMINAR.xls'#$'labour coeff'.$A$3:$S$74"</definedName>
    <definedName name="data_9">"'smb://192.168.4.17/workings%20(e)/Files/BZ001%20-%20RO/Seminar/SEMINAR.xls'#$'labour coeff'.$A$3:$S$74"</definedName>
    <definedName name="data1" localSheetId="11">NA()</definedName>
    <definedName name="data1" localSheetId="12">NA()</definedName>
    <definedName name="data1" localSheetId="0" hidden="1">#REF!</definedName>
    <definedName name="data1" hidden="1">#REF!</definedName>
    <definedName name="DATA10">NA()</definedName>
    <definedName name="DATA100">NA()</definedName>
    <definedName name="DATA1011">NA()</definedName>
    <definedName name="DATA1012">NA()</definedName>
    <definedName name="DATA1013">NA()</definedName>
    <definedName name="DATA1014">NA()</definedName>
    <definedName name="DATA1015">NA()</definedName>
    <definedName name="DATA102">NA()</definedName>
    <definedName name="DATA103">NA()</definedName>
    <definedName name="DATA104">NA()</definedName>
    <definedName name="DATA105">NA()</definedName>
    <definedName name="DATA106">NA()</definedName>
    <definedName name="DATA107A">NA()</definedName>
    <definedName name="DATA107B">NA()</definedName>
    <definedName name="DATA107C">NA()</definedName>
    <definedName name="DATA107D">NA()</definedName>
    <definedName name="DATA107E">NA()</definedName>
    <definedName name="DATA107F">NA()</definedName>
    <definedName name="DATA107G">NA()</definedName>
    <definedName name="DATA108A">NA()</definedName>
    <definedName name="DATA108B">NA()</definedName>
    <definedName name="DATA108C">NA()</definedName>
    <definedName name="DATA108D">NA()</definedName>
    <definedName name="DATA108E">NA()</definedName>
    <definedName name="DATA108F">NA()</definedName>
    <definedName name="DATA108G">NA()</definedName>
    <definedName name="DATA108H">NA()</definedName>
    <definedName name="DATA108I">NA()</definedName>
    <definedName name="DATA108J">NA()</definedName>
    <definedName name="DATA108K">NA()</definedName>
    <definedName name="DATA108L">NA()</definedName>
    <definedName name="DATA108M">NA()</definedName>
    <definedName name="DATA108N">NA()</definedName>
    <definedName name="DATA108O">NA()</definedName>
    <definedName name="DATA108P">NA()</definedName>
    <definedName name="DATA109A">NA()</definedName>
    <definedName name="DATA109B">NA()</definedName>
    <definedName name="DATA109C">NA()</definedName>
    <definedName name="DATA109D">NA()</definedName>
    <definedName name="DATA109E">NA()</definedName>
    <definedName name="DATA109F">NA()</definedName>
    <definedName name="DATA109G">NA()</definedName>
    <definedName name="DATA109H">NA()</definedName>
    <definedName name="DATA109I">NA()</definedName>
    <definedName name="DATA109J">NA()</definedName>
    <definedName name="DATA109K">NA()</definedName>
    <definedName name="DATA109L">NA()</definedName>
    <definedName name="DATA109M">NA()</definedName>
    <definedName name="DATA109N">NA()</definedName>
    <definedName name="DATA109O">NA()</definedName>
    <definedName name="DATA109P">NA()</definedName>
    <definedName name="DATA11">NA()</definedName>
    <definedName name="DATA110A">NA()</definedName>
    <definedName name="DATA110B">NA()</definedName>
    <definedName name="DATA110C">NA()</definedName>
    <definedName name="DATA110D">NA()</definedName>
    <definedName name="DATA110E">NA()</definedName>
    <definedName name="DATA110F">NA()</definedName>
    <definedName name="DATA110G">NA()</definedName>
    <definedName name="DATA110H">NA()</definedName>
    <definedName name="DATA110I">NA()</definedName>
    <definedName name="DATA110J">NA()</definedName>
    <definedName name="DATA110K">NA()</definedName>
    <definedName name="DATA110L">NA()</definedName>
    <definedName name="DATA110M">NA()</definedName>
    <definedName name="DATA110N">NA()</definedName>
    <definedName name="DATA110O">NA()</definedName>
    <definedName name="DATA110P">NA()</definedName>
    <definedName name="DATA111A">NA()</definedName>
    <definedName name="DATA111B">NA()</definedName>
    <definedName name="DATA111C">NA()</definedName>
    <definedName name="DATA111D">NA()</definedName>
    <definedName name="DATA111E">NA()</definedName>
    <definedName name="DATA111F">NA()</definedName>
    <definedName name="DATA111G">NA()</definedName>
    <definedName name="DATA111H">NA()</definedName>
    <definedName name="DATA111I">NA()</definedName>
    <definedName name="DATA111J">NA()</definedName>
    <definedName name="DATA111K">NA()</definedName>
    <definedName name="DATA111L">NA()</definedName>
    <definedName name="DATA111M">NA()</definedName>
    <definedName name="DATA111N">NA()</definedName>
    <definedName name="DATA111O">NA()</definedName>
    <definedName name="DATA111P">NA()</definedName>
    <definedName name="DATA112A">NA()</definedName>
    <definedName name="DATA112B">NA()</definedName>
    <definedName name="DATA112C">NA()</definedName>
    <definedName name="DATA112D">NA()</definedName>
    <definedName name="DATA112E">NA()</definedName>
    <definedName name="DATA112F">NA()</definedName>
    <definedName name="DATA112G">NA()</definedName>
    <definedName name="DATA112H">NA()</definedName>
    <definedName name="DATA112I">NA()</definedName>
    <definedName name="DATA112J">NA()</definedName>
    <definedName name="DATA112K">NA()</definedName>
    <definedName name="DATA112L">NA()</definedName>
    <definedName name="DATA112M">NA()</definedName>
    <definedName name="DATA112N">NA()</definedName>
    <definedName name="DATA112O">NA()</definedName>
    <definedName name="DATA112P">NA()</definedName>
    <definedName name="DATA113A">NA()</definedName>
    <definedName name="DATA113B">NA()</definedName>
    <definedName name="DATA113C">NA()</definedName>
    <definedName name="DATA113D">NA()</definedName>
    <definedName name="DATA113E">NA()</definedName>
    <definedName name="DATA113F">NA()</definedName>
    <definedName name="DATA113G">NA()</definedName>
    <definedName name="DATA113H">NA()</definedName>
    <definedName name="DATA113I">NA()</definedName>
    <definedName name="DATA113J">NA()</definedName>
    <definedName name="DATA113K">NA()</definedName>
    <definedName name="DATA114">NA()</definedName>
    <definedName name="DATA114A">NA()</definedName>
    <definedName name="DATA115">NA()</definedName>
    <definedName name="DATA116">NA()</definedName>
    <definedName name="DATA117">NA()</definedName>
    <definedName name="DATA118">NA()</definedName>
    <definedName name="DATA119">NA()</definedName>
    <definedName name="DATA12">NA()</definedName>
    <definedName name="DATA120">NA()</definedName>
    <definedName name="DATA121">NA()</definedName>
    <definedName name="DATA122">NA()</definedName>
    <definedName name="DATA123">NA()</definedName>
    <definedName name="DATA124">NA()</definedName>
    <definedName name="DATA125">NA()</definedName>
    <definedName name="DATA126">NA()</definedName>
    <definedName name="DATA127A">NA()</definedName>
    <definedName name="DATA127B">NA()</definedName>
    <definedName name="DATA127C">NA()</definedName>
    <definedName name="DATA127D">NA()</definedName>
    <definedName name="DATA127E">NA()</definedName>
    <definedName name="DATA127F">NA()</definedName>
    <definedName name="DATA127G">NA()</definedName>
    <definedName name="DATA127H">NA()</definedName>
    <definedName name="DATA127I">NA()</definedName>
    <definedName name="DATA127J">NA()</definedName>
    <definedName name="DATA128A">NA()</definedName>
    <definedName name="DATA128B">NA()</definedName>
    <definedName name="DATA128C">NA()</definedName>
    <definedName name="DATA128D">NA()</definedName>
    <definedName name="DATA128E">NA()</definedName>
    <definedName name="DATA128F">NA()</definedName>
    <definedName name="DATA128G">NA()</definedName>
    <definedName name="DATA129A">NA()</definedName>
    <definedName name="DATA129B">NA()</definedName>
    <definedName name="DATA129C">NA()</definedName>
    <definedName name="DATA129D">NA()</definedName>
    <definedName name="DATA13">NA()</definedName>
    <definedName name="DATA130A">NA()</definedName>
    <definedName name="DATA130B">NA()</definedName>
    <definedName name="DATA131">NA()</definedName>
    <definedName name="DATA132">NA()</definedName>
    <definedName name="DATA133">NA()</definedName>
    <definedName name="DATA134110">NA()</definedName>
    <definedName name="DATA134125">NA()</definedName>
    <definedName name="DATA134140">NA()</definedName>
    <definedName name="DATA134160">NA()</definedName>
    <definedName name="DATA134180">NA()</definedName>
    <definedName name="DATA134200">NA()</definedName>
    <definedName name="DATA134225">NA()</definedName>
    <definedName name="DATA134250">NA()</definedName>
    <definedName name="DATA134280">NA()</definedName>
    <definedName name="DATA134315">NA()</definedName>
    <definedName name="DATA134355">NA()</definedName>
    <definedName name="DATA134400">NA()</definedName>
    <definedName name="DATA13450">NA()</definedName>
    <definedName name="DATA13463">NA()</definedName>
    <definedName name="DATA13475">NA()</definedName>
    <definedName name="DATA13490">NA()</definedName>
    <definedName name="DATA135110">NA()</definedName>
    <definedName name="DATA135125">NA()</definedName>
    <definedName name="DATA135140">NA()</definedName>
    <definedName name="DATA135160">NA()</definedName>
    <definedName name="DATA135180">NA()</definedName>
    <definedName name="DATA135200">NA()</definedName>
    <definedName name="DATA135225">NA()</definedName>
    <definedName name="DATA135250">NA()</definedName>
    <definedName name="DATA135280">NA()</definedName>
    <definedName name="DATA135315">NA()</definedName>
    <definedName name="DATA135355">NA()</definedName>
    <definedName name="DATA135400">NA()</definedName>
    <definedName name="DATA13550">NA()</definedName>
    <definedName name="DATA13563">NA()</definedName>
    <definedName name="DATA13575">NA()</definedName>
    <definedName name="DATA13590">NA()</definedName>
    <definedName name="DATA136A">NA()</definedName>
    <definedName name="DATA136B">NA()</definedName>
    <definedName name="DATA136C">NA()</definedName>
    <definedName name="DATA136D">NA()</definedName>
    <definedName name="DATA136E">NA()</definedName>
    <definedName name="DATA136F">NA()</definedName>
    <definedName name="DATA136G">NA()</definedName>
    <definedName name="DATA136H">NA()</definedName>
    <definedName name="DATA136I">NA()</definedName>
    <definedName name="DATA136J">NA()</definedName>
    <definedName name="DATA136K">NA()</definedName>
    <definedName name="DATA136L">NA()</definedName>
    <definedName name="DATA136M">NA()</definedName>
    <definedName name="DATA136N">NA()</definedName>
    <definedName name="DATA136O">NA()</definedName>
    <definedName name="DATA136P">NA()</definedName>
    <definedName name="DATA137I">NA()</definedName>
    <definedName name="DATA137II">NA()</definedName>
    <definedName name="DATA137III">NA()</definedName>
    <definedName name="DATA137IV">NA()</definedName>
    <definedName name="DATA137V">NA()</definedName>
    <definedName name="DATA138I">NA()</definedName>
    <definedName name="DATA138II">NA()</definedName>
    <definedName name="DATA138III">NA()</definedName>
    <definedName name="DATA138IV">NA()</definedName>
    <definedName name="DATA138V">NA()</definedName>
    <definedName name="DATA138VI">NA()</definedName>
    <definedName name="DATA139IX">NA()</definedName>
    <definedName name="DATA139V">NA()</definedName>
    <definedName name="DATA139VI">NA()</definedName>
    <definedName name="DATA139VII">NA()</definedName>
    <definedName name="DATA139VIII">NA()</definedName>
    <definedName name="DATA14">NA()</definedName>
    <definedName name="DATA140I">NA()</definedName>
    <definedName name="DATA140II">NA()</definedName>
    <definedName name="DATA140III">NA()</definedName>
    <definedName name="DATA140IV">NA()</definedName>
    <definedName name="DATA140V">NA()</definedName>
    <definedName name="DATA141I">NA()</definedName>
    <definedName name="DATA141II">NA()</definedName>
    <definedName name="DATA141III">NA()</definedName>
    <definedName name="DATA141IV">NA()</definedName>
    <definedName name="DATA141V">NA()</definedName>
    <definedName name="DATA142I">NA()</definedName>
    <definedName name="DATA142II">NA()</definedName>
    <definedName name="DATA142III">NA()</definedName>
    <definedName name="DATA142IV">NA()</definedName>
    <definedName name="DATA142V">NA()</definedName>
    <definedName name="DATA143">NA()</definedName>
    <definedName name="DATA144">NA()</definedName>
    <definedName name="DATA145">NA()</definedName>
    <definedName name="DATA146">NA()</definedName>
    <definedName name="DATA147">NA()</definedName>
    <definedName name="DATA148">NA()</definedName>
    <definedName name="DATA149">NA()</definedName>
    <definedName name="DATA15">NA()</definedName>
    <definedName name="DATA150">NA()</definedName>
    <definedName name="DATA151A">NA()</definedName>
    <definedName name="DATA151B">NA()</definedName>
    <definedName name="DATA151C">NA()</definedName>
    <definedName name="DATA151D">NA()</definedName>
    <definedName name="DATA152">NA()</definedName>
    <definedName name="DATA153">NA()</definedName>
    <definedName name="DATA154">NA()</definedName>
    <definedName name="DATA155">NA()</definedName>
    <definedName name="DATA156">NA()</definedName>
    <definedName name="DATA157">NA()</definedName>
    <definedName name="DATA158">NA()</definedName>
    <definedName name="DATA159A">NA()</definedName>
    <definedName name="DATA159B">NA()</definedName>
    <definedName name="DATA159C">NA()</definedName>
    <definedName name="DATA159D">NA()</definedName>
    <definedName name="DATA16">NA()</definedName>
    <definedName name="DATA160">NA()</definedName>
    <definedName name="DATA161">NA()</definedName>
    <definedName name="DATA162">NA()</definedName>
    <definedName name="DATA163">NA()</definedName>
    <definedName name="DATA17">NA()</definedName>
    <definedName name="DATA18">NA()</definedName>
    <definedName name="DATA19">NA()</definedName>
    <definedName name="data2" localSheetId="11">NA()</definedName>
    <definedName name="data2" localSheetId="12">NA()</definedName>
    <definedName name="data2" localSheetId="0" hidden="1">#REF!</definedName>
    <definedName name="data2" hidden="1">#REF!</definedName>
    <definedName name="DATA20">NA()</definedName>
    <definedName name="DATA21">NA()</definedName>
    <definedName name="DATA22">NA()</definedName>
    <definedName name="DATA23">NA()</definedName>
    <definedName name="DATA24">NA()</definedName>
    <definedName name="DATA25">NA()</definedName>
    <definedName name="data25555555">NA()</definedName>
    <definedName name="DATA26">NA()</definedName>
    <definedName name="DATA27">NA()</definedName>
    <definedName name="DATA28">NA()</definedName>
    <definedName name="DATA29">NA()</definedName>
    <definedName name="data3" localSheetId="11">NA()</definedName>
    <definedName name="data3" localSheetId="12">NA()</definedName>
    <definedName name="data3" localSheetId="0" hidden="1">#REF!</definedName>
    <definedName name="data3" hidden="1">#REF!</definedName>
    <definedName name="DATA30">NA()</definedName>
    <definedName name="DATA31">NA()</definedName>
    <definedName name="DATA32">NA()</definedName>
    <definedName name="DATA33">NA()</definedName>
    <definedName name="DATA34">NA()</definedName>
    <definedName name="DATA35">NA()</definedName>
    <definedName name="DATA36">NA()</definedName>
    <definedName name="DATA37">NA()</definedName>
    <definedName name="DATA38">NA()</definedName>
    <definedName name="DATA39">NA()</definedName>
    <definedName name="DATA4">NA()</definedName>
    <definedName name="DATA40">NA()</definedName>
    <definedName name="DATA41">NA()</definedName>
    <definedName name="DATA42">NA()</definedName>
    <definedName name="DATA43">NA()</definedName>
    <definedName name="DATA44">NA()</definedName>
    <definedName name="DATA45">NA()</definedName>
    <definedName name="DATA46">NA()</definedName>
    <definedName name="DATA47">NA()</definedName>
    <definedName name="DATA48">NA()</definedName>
    <definedName name="DATA49">NA()</definedName>
    <definedName name="DATA5">NA()</definedName>
    <definedName name="DATA50">NA()</definedName>
    <definedName name="DATA51">NA()</definedName>
    <definedName name="DATA52">NA()</definedName>
    <definedName name="DATA53">NA()</definedName>
    <definedName name="DATA54">NA()</definedName>
    <definedName name="DATA55">NA()</definedName>
    <definedName name="DATA56">NA()</definedName>
    <definedName name="DATA57">NA()</definedName>
    <definedName name="DATA58">NA()</definedName>
    <definedName name="DATA59">NA()</definedName>
    <definedName name="DATA6" localSheetId="11">NA()</definedName>
    <definedName name="DATA6" localSheetId="12">NA()</definedName>
    <definedName name="DATA6" localSheetId="0">#REF!</definedName>
    <definedName name="DATA6">#REF!</definedName>
    <definedName name="DATA60">NA()</definedName>
    <definedName name="DATA61">NA()</definedName>
    <definedName name="DATA62">NA()</definedName>
    <definedName name="DATA63">NA()</definedName>
    <definedName name="DATA64">NA()</definedName>
    <definedName name="DATA65">NA()</definedName>
    <definedName name="DATA66">NA()</definedName>
    <definedName name="DATA67">NA()</definedName>
    <definedName name="DATA68">NA()</definedName>
    <definedName name="DATA69">NA()</definedName>
    <definedName name="DATA7">NA()</definedName>
    <definedName name="DATA70">NA()</definedName>
    <definedName name="DATA71">NA()</definedName>
    <definedName name="DATA72">NA()</definedName>
    <definedName name="DATA73">NA()</definedName>
    <definedName name="DATA74">NA()</definedName>
    <definedName name="DATA75">NA()</definedName>
    <definedName name="DATA76">NA()</definedName>
    <definedName name="DATA77A">NA()</definedName>
    <definedName name="DATA77B">NA()</definedName>
    <definedName name="DATA78">NA()</definedName>
    <definedName name="DATA79A">NA()</definedName>
    <definedName name="DATA79B">NA()</definedName>
    <definedName name="DATA79C">NA()</definedName>
    <definedName name="DATA8">NA()</definedName>
    <definedName name="DATA80A">NA()</definedName>
    <definedName name="DATA80B">NA()</definedName>
    <definedName name="DATA80C">NA()</definedName>
    <definedName name="DATA81">NA()</definedName>
    <definedName name="DATA82">NA()</definedName>
    <definedName name="DATA83">NA()</definedName>
    <definedName name="DATA84">NA()</definedName>
    <definedName name="DATA85">NA()</definedName>
    <definedName name="DATA86">NA()</definedName>
    <definedName name="DATA87">NA()</definedName>
    <definedName name="DATA88">NA()</definedName>
    <definedName name="DATA89">NA()</definedName>
    <definedName name="DATA9">NA()</definedName>
    <definedName name="DATA90">NA()</definedName>
    <definedName name="DATA91">NA()</definedName>
    <definedName name="DATA92">NA()</definedName>
    <definedName name="DATA93">NA()</definedName>
    <definedName name="DATA94">NA()</definedName>
    <definedName name="DATA95">NA()</definedName>
    <definedName name="DATA96">NA()</definedName>
    <definedName name="DATA97">NA()</definedName>
    <definedName name="DATA98">NA()</definedName>
    <definedName name="DATA99">NA()</definedName>
    <definedName name="_xlnm.Database" localSheetId="11">#REF!</definedName>
    <definedName name="_xlnm.Database" localSheetId="12">#REF!</definedName>
    <definedName name="_xlnm.Database" localSheetId="0">#REF!</definedName>
    <definedName name="_xlnm.Database">#REF!</definedName>
    <definedName name="Database_MI">NA()</definedName>
    <definedName name="database1">NA()</definedName>
    <definedName name="datafsdf">'[79]labour coeff'!$A$3:$S$74</definedName>
    <definedName name="datanew" localSheetId="11">NA()</definedName>
    <definedName name="datanew" localSheetId="12">NA()</definedName>
    <definedName name="datanew" localSheetId="0">#REF!</definedName>
    <definedName name="datanew">#REF!</definedName>
    <definedName name="date">"[192]data!#ref!"</definedName>
    <definedName name="Daywork">NA()</definedName>
    <definedName name="db">[74]DATA_PRG!$F$366</definedName>
    <definedName name="dbas">NA()</definedName>
    <definedName name="dbbs">NA()</definedName>
    <definedName name="dbbsb">NA()</definedName>
    <definedName name="dbc">NA()</definedName>
    <definedName name="dbd">NA()</definedName>
    <definedName name="dbh">NA()</definedName>
    <definedName name="dbi">NA()</definedName>
    <definedName name="DBM">NA()</definedName>
    <definedName name="dbo">NA()</definedName>
    <definedName name="dbrb">NA()</definedName>
    <definedName name="dbs">NA()</definedName>
    <definedName name="dbsi">NA()</definedName>
    <definedName name="dbst">NA()</definedName>
    <definedName name="dbt">NA()</definedName>
    <definedName name="dc">NA()</definedName>
    <definedName name="dcd">NA()</definedName>
    <definedName name="DD" localSheetId="11">NA()</definedName>
    <definedName name="DD" localSheetId="12">NA()</definedName>
    <definedName name="DD" localSheetId="0">#REF!</definedName>
    <definedName name="DD">#REF!</definedName>
    <definedName name="ddd" localSheetId="11">NA()</definedName>
    <definedName name="ddd" localSheetId="12">NA()</definedName>
    <definedName name="ddd" localSheetId="0" hidden="1">'[39]final abstract'!#REF!</definedName>
    <definedName name="ddd" hidden="1">'[39]final abstract'!#REF!</definedName>
    <definedName name="dddd">NA()</definedName>
    <definedName name="ddddd">"[71]material!#ref!"</definedName>
    <definedName name="dddddddd">"[71]material!#ref!"</definedName>
    <definedName name="ddddddddddddd">"[71]material!#ref!"</definedName>
    <definedName name="DDSS">NA()</definedName>
    <definedName name="de">'[57]Specification report'!$E$160</definedName>
    <definedName name="de.">'[80]GF SB Ok '!$F$1611</definedName>
    <definedName name="deaf">NA()</definedName>
    <definedName name="dee" localSheetId="11">NA()</definedName>
    <definedName name="dee" localSheetId="12">NA()</definedName>
    <definedName name="dee" localSheetId="0">#REF!</definedName>
    <definedName name="dee">#REF!</definedName>
    <definedName name="dee.">'[57]Specification report'!$E$161</definedName>
    <definedName name="dee_">NA()</definedName>
    <definedName name="deff">NA()</definedName>
    <definedName name="delifting_depths">'[70]data existing_do not delete'!$A$27:$A$40</definedName>
    <definedName name="dem">NA()</definedName>
    <definedName name="Depn">NA()</definedName>
    <definedName name="depr">NA()</definedName>
    <definedName name="derse">"[199]lead!#ref!"</definedName>
    <definedName name="DES">NA()</definedName>
    <definedName name="DES_10">NA()</definedName>
    <definedName name="DESC1">NA()</definedName>
    <definedName name="DESC10">NA()</definedName>
    <definedName name="DESC100">NA()</definedName>
    <definedName name="DESC101">NA()</definedName>
    <definedName name="DESC1011">NA()</definedName>
    <definedName name="DESC1012">NA()</definedName>
    <definedName name="DESC1013">NA()</definedName>
    <definedName name="DESC1014">NA()</definedName>
    <definedName name="DESC1015">NA()</definedName>
    <definedName name="DESC102">NA()</definedName>
    <definedName name="DESC103">NA()</definedName>
    <definedName name="DESC104">NA()</definedName>
    <definedName name="DESC105">NA()</definedName>
    <definedName name="DESC106">NA()</definedName>
    <definedName name="DESC107">NA()</definedName>
    <definedName name="DESC107A">NA()</definedName>
    <definedName name="DESC107B">NA()</definedName>
    <definedName name="DESC107C">NA()</definedName>
    <definedName name="DESC107D">NA()</definedName>
    <definedName name="DESC107E">NA()</definedName>
    <definedName name="DESC107F">NA()</definedName>
    <definedName name="DESC107G">NA()</definedName>
    <definedName name="DESC108">NA()</definedName>
    <definedName name="DESC108A">NA()</definedName>
    <definedName name="DESC108B">NA()</definedName>
    <definedName name="DESC108C">NA()</definedName>
    <definedName name="DESC108D">NA()</definedName>
    <definedName name="DESC108E">NA()</definedName>
    <definedName name="DESC108F">NA()</definedName>
    <definedName name="DESC108G">NA()</definedName>
    <definedName name="DESC108H">NA()</definedName>
    <definedName name="DESC108I">NA()</definedName>
    <definedName name="DESC108J">NA()</definedName>
    <definedName name="DESC108K">NA()</definedName>
    <definedName name="DESC108L">NA()</definedName>
    <definedName name="DESC108M">NA()</definedName>
    <definedName name="DESC108N">NA()</definedName>
    <definedName name="DESC108O">NA()</definedName>
    <definedName name="DESC108P">NA()</definedName>
    <definedName name="DESC109">NA()</definedName>
    <definedName name="DESC109A">NA()</definedName>
    <definedName name="DESC109B">NA()</definedName>
    <definedName name="DESC109C">NA()</definedName>
    <definedName name="DESC109D">NA()</definedName>
    <definedName name="DESC109E">NA()</definedName>
    <definedName name="DESC109F">NA()</definedName>
    <definedName name="DESC109G">NA()</definedName>
    <definedName name="DESC109H">NA()</definedName>
    <definedName name="DESC109I">NA()</definedName>
    <definedName name="DESC109J">NA()</definedName>
    <definedName name="DESC109K">NA()</definedName>
    <definedName name="DESC109L">NA()</definedName>
    <definedName name="DESC109M">NA()</definedName>
    <definedName name="DESC109N">NA()</definedName>
    <definedName name="DESC109O">NA()</definedName>
    <definedName name="DESC109P">NA()</definedName>
    <definedName name="DESC11">NA()</definedName>
    <definedName name="DESC110">NA()</definedName>
    <definedName name="DESC110A">NA()</definedName>
    <definedName name="DESC110B">NA()</definedName>
    <definedName name="DESC110C">NA()</definedName>
    <definedName name="DESC110D">NA()</definedName>
    <definedName name="DESC110E">NA()</definedName>
    <definedName name="DESC110F">NA()</definedName>
    <definedName name="DESC110G">NA()</definedName>
    <definedName name="DESC110H">NA()</definedName>
    <definedName name="DESC110I">NA()</definedName>
    <definedName name="DESC110J">NA()</definedName>
    <definedName name="DESC110K">NA()</definedName>
    <definedName name="DESC110L">NA()</definedName>
    <definedName name="DESC110M">NA()</definedName>
    <definedName name="DESC110N">NA()</definedName>
    <definedName name="DESC110O">NA()</definedName>
    <definedName name="DESC110P">NA()</definedName>
    <definedName name="DESC111">NA()</definedName>
    <definedName name="DESC111A">NA()</definedName>
    <definedName name="DESC111B">NA()</definedName>
    <definedName name="DESC111C">NA()</definedName>
    <definedName name="DESC111D">NA()</definedName>
    <definedName name="DESC111E">NA()</definedName>
    <definedName name="DESC111F">NA()</definedName>
    <definedName name="DESC111G">NA()</definedName>
    <definedName name="DESC111H">NA()</definedName>
    <definedName name="DESC111I">NA()</definedName>
    <definedName name="DESC111J">NA()</definedName>
    <definedName name="DESC111K">NA()</definedName>
    <definedName name="DESC111L">NA()</definedName>
    <definedName name="DESC111M">NA()</definedName>
    <definedName name="DESC111N">NA()</definedName>
    <definedName name="DESC111O">NA()</definedName>
    <definedName name="DESC111P">NA()</definedName>
    <definedName name="DESC112">NA()</definedName>
    <definedName name="DESC112A">NA()</definedName>
    <definedName name="DESC112B">NA()</definedName>
    <definedName name="DESC112C">NA()</definedName>
    <definedName name="DESC112D">NA()</definedName>
    <definedName name="DESC112E">NA()</definedName>
    <definedName name="DESC112F">NA()</definedName>
    <definedName name="DESC112G">NA()</definedName>
    <definedName name="DESC112H">NA()</definedName>
    <definedName name="DESC112I">NA()</definedName>
    <definedName name="DESC112J">NA()</definedName>
    <definedName name="DESC112K">NA()</definedName>
    <definedName name="DESC112L">NA()</definedName>
    <definedName name="DESC112M">NA()</definedName>
    <definedName name="DESC112N">NA()</definedName>
    <definedName name="DESC112O">NA()</definedName>
    <definedName name="DESC112P">NA()</definedName>
    <definedName name="DESC113">NA()</definedName>
    <definedName name="DESC113A">NA()</definedName>
    <definedName name="DESC113B">NA()</definedName>
    <definedName name="DESC113C">NA()</definedName>
    <definedName name="DESC113D">NA()</definedName>
    <definedName name="DESC113E">NA()</definedName>
    <definedName name="DESC113F">NA()</definedName>
    <definedName name="DESC113G">NA()</definedName>
    <definedName name="DESC113H">NA()</definedName>
    <definedName name="DESC113I">NA()</definedName>
    <definedName name="DESC113J">NA()</definedName>
    <definedName name="DESC113K">NA()</definedName>
    <definedName name="DESC114">NA()</definedName>
    <definedName name="DESC115">NA()</definedName>
    <definedName name="DESC116">NA()</definedName>
    <definedName name="DESC117">NA()</definedName>
    <definedName name="DESC118">NA()</definedName>
    <definedName name="DESC119">NA()</definedName>
    <definedName name="DESC12">NA()</definedName>
    <definedName name="DESC120">NA()</definedName>
    <definedName name="DESC121">NA()</definedName>
    <definedName name="DESC122">NA()</definedName>
    <definedName name="DESC123">NA()</definedName>
    <definedName name="DESC124">NA()</definedName>
    <definedName name="DESC125">NA()</definedName>
    <definedName name="DESC126">NA()</definedName>
    <definedName name="DESC127">NA()</definedName>
    <definedName name="DESC127A">NA()</definedName>
    <definedName name="DESC127B">NA()</definedName>
    <definedName name="DESC127C">NA()</definedName>
    <definedName name="DESC127D">NA()</definedName>
    <definedName name="DESC127E">NA()</definedName>
    <definedName name="DESC127F">NA()</definedName>
    <definedName name="DESC127G">NA()</definedName>
    <definedName name="DESC127H">NA()</definedName>
    <definedName name="DESC127I">NA()</definedName>
    <definedName name="DESC127J">NA()</definedName>
    <definedName name="DESC128">NA()</definedName>
    <definedName name="DESC128A">NA()</definedName>
    <definedName name="DESC128B">NA()</definedName>
    <definedName name="DESC128C">NA()</definedName>
    <definedName name="DESC128D">NA()</definedName>
    <definedName name="DESC128E">NA()</definedName>
    <definedName name="DESC128F">NA()</definedName>
    <definedName name="DESC128G">NA()</definedName>
    <definedName name="DESC129">NA()</definedName>
    <definedName name="DESC129A">NA()</definedName>
    <definedName name="DESC129B">NA()</definedName>
    <definedName name="DESC129C">NA()</definedName>
    <definedName name="DESC129D">NA()</definedName>
    <definedName name="DESC13">NA()</definedName>
    <definedName name="DESC130">NA()</definedName>
    <definedName name="DESC130A">NA()</definedName>
    <definedName name="DESC130B">NA()</definedName>
    <definedName name="DESC131">NA()</definedName>
    <definedName name="DESC132">NA()</definedName>
    <definedName name="DESC133">NA()</definedName>
    <definedName name="DESC14">NA()</definedName>
    <definedName name="DESC143">NA()</definedName>
    <definedName name="DESC144">NA()</definedName>
    <definedName name="DESC145">NA()</definedName>
    <definedName name="DESC146">NA()</definedName>
    <definedName name="DESC147">NA()</definedName>
    <definedName name="DESC148">NA()</definedName>
    <definedName name="DESC149">NA()</definedName>
    <definedName name="DESC15">NA()</definedName>
    <definedName name="DESC150">NA()</definedName>
    <definedName name="DESC151">NA()</definedName>
    <definedName name="DESC151A">NA()</definedName>
    <definedName name="DESC151B">NA()</definedName>
    <definedName name="DESC151C">NA()</definedName>
    <definedName name="DESC151D">NA()</definedName>
    <definedName name="DESC152">NA()</definedName>
    <definedName name="DESC153">NA()</definedName>
    <definedName name="DESC154">NA()</definedName>
    <definedName name="DESC155">NA()</definedName>
    <definedName name="DESC156">NA()</definedName>
    <definedName name="DESC157">NA()</definedName>
    <definedName name="DESC158">NA()</definedName>
    <definedName name="DESC16">NA()</definedName>
    <definedName name="DESC17">NA()</definedName>
    <definedName name="DESC18">NA()</definedName>
    <definedName name="DESC19">NA()</definedName>
    <definedName name="DESC2">NA()</definedName>
    <definedName name="DESC20">NA()</definedName>
    <definedName name="DESC21">NA()</definedName>
    <definedName name="DESC22">NA()</definedName>
    <definedName name="DESC23">NA()</definedName>
    <definedName name="DESC24">NA()</definedName>
    <definedName name="DESC25">NA()</definedName>
    <definedName name="DESC26">NA()</definedName>
    <definedName name="DESC27">NA()</definedName>
    <definedName name="DESC28">NA()</definedName>
    <definedName name="DESC29">NA()</definedName>
    <definedName name="DESC3">NA()</definedName>
    <definedName name="DESC30">NA()</definedName>
    <definedName name="DESC31">NA()</definedName>
    <definedName name="DESC32">NA()</definedName>
    <definedName name="DESC33">NA()</definedName>
    <definedName name="DESC34">NA()</definedName>
    <definedName name="DESC35">NA()</definedName>
    <definedName name="DESC36">NA()</definedName>
    <definedName name="DESC37">NA()</definedName>
    <definedName name="DESC38">NA()</definedName>
    <definedName name="DESC39">NA()</definedName>
    <definedName name="DESC4">NA()</definedName>
    <definedName name="DESC40">NA()</definedName>
    <definedName name="DESC41">NA()</definedName>
    <definedName name="DESC42">NA()</definedName>
    <definedName name="DESC43">NA()</definedName>
    <definedName name="DESC44">NA()</definedName>
    <definedName name="DESC45">NA()</definedName>
    <definedName name="DESC46">NA()</definedName>
    <definedName name="DESC47">NA()</definedName>
    <definedName name="DESC48">NA()</definedName>
    <definedName name="DESC49">NA()</definedName>
    <definedName name="DESC5">NA()</definedName>
    <definedName name="DESC50">NA()</definedName>
    <definedName name="DESC51">NA()</definedName>
    <definedName name="DESC52">NA()</definedName>
    <definedName name="DESC53">NA()</definedName>
    <definedName name="DESC54">NA()</definedName>
    <definedName name="DESC55">NA()</definedName>
    <definedName name="DESC56">NA()</definedName>
    <definedName name="DESC57">NA()</definedName>
    <definedName name="DESC58">NA()</definedName>
    <definedName name="DESC59">NA()</definedName>
    <definedName name="DESC6">NA()</definedName>
    <definedName name="DESC60">NA()</definedName>
    <definedName name="DESC61">NA()</definedName>
    <definedName name="DESC62">NA()</definedName>
    <definedName name="DESC63">NA()</definedName>
    <definedName name="DESC64">NA()</definedName>
    <definedName name="DESC65">NA()</definedName>
    <definedName name="DESC66">NA()</definedName>
    <definedName name="DESC67">NA()</definedName>
    <definedName name="DESC68">NA()</definedName>
    <definedName name="DESC69">NA()</definedName>
    <definedName name="DESC7">NA()</definedName>
    <definedName name="DESC70">NA()</definedName>
    <definedName name="DESC71">NA()</definedName>
    <definedName name="DESC72">NA()</definedName>
    <definedName name="DESC73">NA()</definedName>
    <definedName name="DESC74">NA()</definedName>
    <definedName name="DESC75">NA()</definedName>
    <definedName name="DESC76">NA()</definedName>
    <definedName name="DESC77">NA()</definedName>
    <definedName name="DESC78">NA()</definedName>
    <definedName name="DESC79">NA()</definedName>
    <definedName name="DESC79A">NA()</definedName>
    <definedName name="DESC79B">NA()</definedName>
    <definedName name="DESC79C">NA()</definedName>
    <definedName name="DESC8">NA()</definedName>
    <definedName name="DESC80">NA()</definedName>
    <definedName name="DESC80A">NA()</definedName>
    <definedName name="DESC80B">NA()</definedName>
    <definedName name="DESC80C">NA()</definedName>
    <definedName name="DESC81">NA()</definedName>
    <definedName name="DESC82">NA()</definedName>
    <definedName name="DESC83">NA()</definedName>
    <definedName name="DESC84">NA()</definedName>
    <definedName name="DESC85">NA()</definedName>
    <definedName name="DESC86">NA()</definedName>
    <definedName name="DESC87">NA()</definedName>
    <definedName name="DESC88">NA()</definedName>
    <definedName name="DESC89">NA()</definedName>
    <definedName name="DESC9">NA()</definedName>
    <definedName name="DESC90">NA()</definedName>
    <definedName name="DESC91">NA()</definedName>
    <definedName name="DESC92">NA()</definedName>
    <definedName name="DESC93">NA()</definedName>
    <definedName name="DESC94">NA()</definedName>
    <definedName name="DESC95">NA()</definedName>
    <definedName name="DESC96">NA()</definedName>
    <definedName name="DESC97">NA()</definedName>
    <definedName name="DESC98">NA()</definedName>
    <definedName name="DESC99">NA()</definedName>
    <definedName name="description">[81]maya!$A$71:$A$98</definedName>
    <definedName name="DESIGN_PERIOD">[54]CPHEEO!$C$17</definedName>
    <definedName name="designed">NA()</definedName>
    <definedName name="DetEst">NA()</definedName>
    <definedName name="df" localSheetId="11">"[93]data!#ref!"</definedName>
    <definedName name="df" localSheetId="12">"[93]data!#ref!"</definedName>
    <definedName name="df" localSheetId="0">[50]data!#REF!</definedName>
    <definedName name="df">[50]data!#REF!</definedName>
    <definedName name="dfas" localSheetId="11">NA()</definedName>
    <definedName name="dfas" localSheetId="12">NA()</definedName>
    <definedName name="dfas" localSheetId="0" hidden="1">'[39]final abstract'!#REF!</definedName>
    <definedName name="dfas" hidden="1">'[39]final abstract'!#REF!</definedName>
    <definedName name="dfdd">NA()</definedName>
    <definedName name="dfdddd">NA()</definedName>
    <definedName name="dfdf">NA()</definedName>
    <definedName name="dfdfd">NA()</definedName>
    <definedName name="dfds">NA()</definedName>
    <definedName name="dfdsfd">'[82]Plant &amp;  Machinery'!$G$13</definedName>
    <definedName name="dfef" localSheetId="11">"[206]lead!#ref!"</definedName>
    <definedName name="dfef" localSheetId="12">"[206]lead!#ref!"</definedName>
    <definedName name="dfef" localSheetId="0">[83]Lead!#REF!</definedName>
    <definedName name="dfef">[84]Lead!#REF!</definedName>
    <definedName name="dffg">NA()</definedName>
    <definedName name="dffggff">NA()</definedName>
    <definedName name="dfgdg" localSheetId="11">NA()</definedName>
    <definedName name="dfgdg" localSheetId="12">NA()</definedName>
    <definedName name="dfgdg" localSheetId="0">#REF!</definedName>
    <definedName name="dfgdg">#REF!</definedName>
    <definedName name="dfgh">NA()</definedName>
    <definedName name="dfghtjitujyi5ryhfrth" localSheetId="11">NA()</definedName>
    <definedName name="dfghtjitujyi5ryhfrth" localSheetId="12">NA()</definedName>
    <definedName name="dfghtjitujyi5ryhfrth" localSheetId="0">#REF!</definedName>
    <definedName name="dfghtjitujyi5ryhfrth">#REF!</definedName>
    <definedName name="dfgyhf" localSheetId="11">NA()</definedName>
    <definedName name="dfgyhf" localSheetId="12">NA()</definedName>
    <definedName name="dfgyhf" localSheetId="0">#REF!</definedName>
    <definedName name="dfgyhf">#REF!</definedName>
    <definedName name="dfhdf" localSheetId="11">NA()</definedName>
    <definedName name="dfhdf" localSheetId="12">NA()</definedName>
    <definedName name="dfhdf" localSheetId="0">#REF!</definedName>
    <definedName name="dfhdf">#REF!</definedName>
    <definedName name="DFSDGFG">NA()</definedName>
    <definedName name="dfsf">NA()</definedName>
    <definedName name="dg">NA()</definedName>
    <definedName name="DGFD">NA()</definedName>
    <definedName name="dghh">NA()</definedName>
    <definedName name="dgl">NA()</definedName>
    <definedName name="dhshdjkdhj">"[71]material!#ref!"</definedName>
    <definedName name="DI">NA()</definedName>
    <definedName name="DI_CL">[54]wh_data_R!$D$305:$H$305</definedName>
    <definedName name="DI_CL_RATES">[54]wh_data!$M$87:$N$87</definedName>
    <definedName name="DI_CLL">[54]wh_data_R!$S$378:$U$381</definedName>
    <definedName name="DI_CLR">[54]wh_data!$L$87:$N$87</definedName>
    <definedName name="DI_CLS">[54]wh_data_R!$S$378:$S$381</definedName>
    <definedName name="DI_D_R">[54]CPHEEO!$BB$3:$BB$39</definedName>
    <definedName name="DI_D_RATES">[67]DI!$C$25:$Q$25</definedName>
    <definedName name="DI_DC">[54]wh_data_R!$A$89:$A$110</definedName>
    <definedName name="DI_DL_RANGE">[54]CPHEEO!$BB$3:$BB$14</definedName>
    <definedName name="DI_DR">[54]wh_data!$L$88:$L$103</definedName>
    <definedName name="DI_FR_K7">[67]DI!$C$35:$Q$35</definedName>
    <definedName name="DI_FR_K9">[67]DI!$C$19:$Q$19</definedName>
    <definedName name="DI_G">[54]wh_data_R!$S$1440:$S$1441</definedName>
    <definedName name="DI_P">[54]wh_data_R!$T$1440:$T$1441</definedName>
    <definedName name="DI_PIPES">'[55]PIPES BASIC RATES'!$A$350:$A$438</definedName>
    <definedName name="DI_RATES">[54]wh_data!$L$88:$N$103</definedName>
    <definedName name="DI_T">[54]wh_data!$A$88:$C$112</definedName>
    <definedName name="dia">[85]Sheet2!$A$1:$B$9</definedName>
    <definedName name="DIA_SSF">NA()</definedName>
    <definedName name="DIAA">NA()</definedName>
    <definedName name="diff_20ab">NA()</definedName>
    <definedName name="dipu">NA()</definedName>
    <definedName name="dis">0.5</definedName>
    <definedName name="Discount" localSheetId="11">NA()</definedName>
    <definedName name="Discount" localSheetId="12">NA()</definedName>
    <definedName name="Discount" localSheetId="0" hidden="1">#REF!</definedName>
    <definedName name="Discount" hidden="1">#REF!</definedName>
    <definedName name="display_area_2" localSheetId="11">NA()</definedName>
    <definedName name="display_area_2" localSheetId="12">NA()</definedName>
    <definedName name="display_area_2" localSheetId="0" hidden="1">#REF!</definedName>
    <definedName name="display_area_2" hidden="1">#REF!</definedName>
    <definedName name="dist">NA()</definedName>
    <definedName name="Dist_Abstract" localSheetId="11">NA()</definedName>
    <definedName name="Dist_Abstract" localSheetId="12">NA()</definedName>
    <definedName name="Dist_Abstract" localSheetId="0">#REF!</definedName>
    <definedName name="Dist_Abstract">#REF!</definedName>
    <definedName name="div">[9]DATA!$H$250</definedName>
    <definedName name="djb">NA()</definedName>
    <definedName name="DJD">NA()</definedName>
    <definedName name="DJE">NA()</definedName>
    <definedName name="DKDK">[86]Labour!$D$5</definedName>
    <definedName name="DM">NA()</definedName>
    <definedName name="Dname" localSheetId="11">NA()</definedName>
    <definedName name="Dname" localSheetId="12">NA()</definedName>
    <definedName name="Dname" localSheetId="0">#REF!</definedName>
    <definedName name="Dname">#REF!</definedName>
    <definedName name="dndfh" localSheetId="11">NA()</definedName>
    <definedName name="dndfh" localSheetId="12">NA()</definedName>
    <definedName name="dndfh" localSheetId="0">#REF!</definedName>
    <definedName name="dndfh">#REF!</definedName>
    <definedName name="do___________________________________________________________20_B">'[37]Common '!$D$182</definedName>
    <definedName name="docu">NA()</definedName>
    <definedName name="door_one_m">NA()</definedName>
    <definedName name="door_toilet">NA()</definedName>
    <definedName name="doordata3">NA()</definedName>
    <definedName name="DOW_CORNING_789_SILICONE_SEALANT">NA()</definedName>
    <definedName name="DOW_CORNING_789_SILICONE_SEALANT_8">NA()</definedName>
    <definedName name="DPCV">NA()</definedName>
    <definedName name="DPP">NA()</definedName>
    <definedName name="dq">NA()</definedName>
    <definedName name="drain">NA()</definedName>
    <definedName name="DRAWINGS">NA()</definedName>
    <definedName name="DRAWINGS_I">NA()</definedName>
    <definedName name="dreq">NA()</definedName>
    <definedName name="drgfuj">NA()</definedName>
    <definedName name="Drilling_holes_in_hard_rock__sheet_rock_with_pnuematic_compressor_including_grouting_the_holes_with_neat_cement_slurry__excluding_cost_of_steel_and_its_fabrication_charges">NA()</definedName>
    <definedName name="DRINKING" localSheetId="11">"[113]data.f8.btr!#ref!"</definedName>
    <definedName name="DRINKING" localSheetId="12">"[113]data.f8.btr!#ref!"</definedName>
    <definedName name="DRINKING" localSheetId="0">'[53]Data.F8.BTR'!#REF!</definedName>
    <definedName name="DRINKING">'[53]Data.F8.BTR'!#REF!</definedName>
    <definedName name="drr_hire">NA()</definedName>
    <definedName name="Drum_Mix_Plant_40___60_TPH">[37]Usage!$C$5</definedName>
    <definedName name="DRY_ROLLING">NA()</definedName>
    <definedName name="Dry_rough_stone_revetment_for__aprons_and_stacking_within_40_metres">NA()</definedName>
    <definedName name="dryrolling">NA()</definedName>
    <definedName name="ds">NA()</definedName>
    <definedName name="DSA">NA()</definedName>
    <definedName name="dsd">NA()</definedName>
    <definedName name="dse">"[213]v!#ref!"</definedName>
    <definedName name="dsfd">NA()</definedName>
    <definedName name="dss" localSheetId="11">NA()</definedName>
    <definedName name="dss" localSheetId="12">NA()</definedName>
    <definedName name="dss" localSheetId="0" hidden="1">'[39]final abstract'!#REF!</definedName>
    <definedName name="dss" hidden="1">'[39]final abstract'!#REF!</definedName>
    <definedName name="dt" localSheetId="11">NA()</definedName>
    <definedName name="dt" localSheetId="12">NA()</definedName>
    <definedName name="dt" localSheetId="0">#REF!</definedName>
    <definedName name="dt">#REF!</definedName>
    <definedName name="dt_">"[214]data!#ref!"</definedName>
    <definedName name="dtn">"[215]data!#ref!"</definedName>
    <definedName name="dtrb">NA()</definedName>
    <definedName name="DTS_APTS">NA()</definedName>
    <definedName name="DTS_BT6">NA()</definedName>
    <definedName name="DTS_BT8">NA()</definedName>
    <definedName name="DTS_BTE">NA()</definedName>
    <definedName name="DTS_C1">NA()</definedName>
    <definedName name="DTS_CC">NA()</definedName>
    <definedName name="DTS_CEM">NA()</definedName>
    <definedName name="DTS_ECV">NA()</definedName>
    <definedName name="DTS_EMD">NA()</definedName>
    <definedName name="DTS_EW">NA()</definedName>
    <definedName name="DTS_GSB">NA()</definedName>
    <definedName name="DTS_HYSD">NA()</definedName>
    <definedName name="DTS_LIQ">NA()</definedName>
    <definedName name="DTS_MSS">NA()</definedName>
    <definedName name="DTS_PER">NA()</definedName>
    <definedName name="DTS_REG">NA()</definedName>
    <definedName name="DTS_SIM">NA()</definedName>
    <definedName name="DTS_VRCC">NA()</definedName>
    <definedName name="DTS_WBM">NA()</definedName>
    <definedName name="dtt" localSheetId="11">NA()</definedName>
    <definedName name="dtt" localSheetId="12">NA()</definedName>
    <definedName name="dtt" localSheetId="0">#REF!</definedName>
    <definedName name="dtt">#REF!</definedName>
    <definedName name="DUST">[29]MRATES!$M$17</definedName>
    <definedName name="dw">NA()</definedName>
    <definedName name="DWL">NA()</definedName>
    <definedName name="dwpefb">"[122]process!#ref!"</definedName>
    <definedName name="dwpeld">"[122]process!#ref!"</definedName>
    <definedName name="dwpelw">"[122]process!#ref!"</definedName>
    <definedName name="dx">NA()</definedName>
    <definedName name="E">[54]wh_data_R!$P$195:$S$203</definedName>
    <definedName name="E_0_50">NA()</definedName>
    <definedName name="E_01">NA()</definedName>
    <definedName name="E_02">NA()</definedName>
    <definedName name="E_03">NA()</definedName>
    <definedName name="E_04">NA()</definedName>
    <definedName name="E_05">NA()</definedName>
    <definedName name="E_06">NA()</definedName>
    <definedName name="E_07">NA()</definedName>
    <definedName name="E_08">NA()</definedName>
    <definedName name="E_09">NA()</definedName>
    <definedName name="E_10">NA()</definedName>
    <definedName name="E_100">NA()</definedName>
    <definedName name="E_101">NA()</definedName>
    <definedName name="E_102">NA()</definedName>
    <definedName name="E_103">NA()</definedName>
    <definedName name="E_104">NA()</definedName>
    <definedName name="E_105">NA()</definedName>
    <definedName name="E_106">NA()</definedName>
    <definedName name="E_107">NA()</definedName>
    <definedName name="E_108">NA()</definedName>
    <definedName name="E_109">NA()</definedName>
    <definedName name="E_11">NA()</definedName>
    <definedName name="E_110">NA()</definedName>
    <definedName name="E_111">NA()</definedName>
    <definedName name="E_112">NA()</definedName>
    <definedName name="E_113">NA()</definedName>
    <definedName name="E_114">NA()</definedName>
    <definedName name="E_115">NA()</definedName>
    <definedName name="E_116">NA()</definedName>
    <definedName name="E_117">NA()</definedName>
    <definedName name="E_118">NA()</definedName>
    <definedName name="E_119">NA()</definedName>
    <definedName name="E_12">NA()</definedName>
    <definedName name="E_120">NA()</definedName>
    <definedName name="E_121">NA()</definedName>
    <definedName name="E_122">NA()</definedName>
    <definedName name="E_123">NA()</definedName>
    <definedName name="E_124">NA()</definedName>
    <definedName name="E_125">NA()</definedName>
    <definedName name="E_126">NA()</definedName>
    <definedName name="E_127">NA()</definedName>
    <definedName name="E_128">NA()</definedName>
    <definedName name="E_129">NA()</definedName>
    <definedName name="E_13">NA()</definedName>
    <definedName name="E_130">NA()</definedName>
    <definedName name="E_131">NA()</definedName>
    <definedName name="E_132">NA()</definedName>
    <definedName name="E_133">NA()</definedName>
    <definedName name="E_134">NA()</definedName>
    <definedName name="E_135">NA()</definedName>
    <definedName name="E_136">NA()</definedName>
    <definedName name="E_137">NA()</definedName>
    <definedName name="E_138">NA()</definedName>
    <definedName name="E_139">NA()</definedName>
    <definedName name="E_14">NA()</definedName>
    <definedName name="E_140">NA()</definedName>
    <definedName name="E_141">NA()</definedName>
    <definedName name="E_142">NA()</definedName>
    <definedName name="E_143">NA()</definedName>
    <definedName name="E_144">NA()</definedName>
    <definedName name="E_145">NA()</definedName>
    <definedName name="E_146">NA()</definedName>
    <definedName name="E_147">NA()</definedName>
    <definedName name="E_148">NA()</definedName>
    <definedName name="E_149">NA()</definedName>
    <definedName name="E_15">NA()</definedName>
    <definedName name="E_150">NA()</definedName>
    <definedName name="E_16">NA()</definedName>
    <definedName name="E_17">NA()</definedName>
    <definedName name="E_18">NA()</definedName>
    <definedName name="E_19">NA()</definedName>
    <definedName name="E_20">NA()</definedName>
    <definedName name="E_21">NA()</definedName>
    <definedName name="E_22">NA()</definedName>
    <definedName name="E_23">NA()</definedName>
    <definedName name="E_24">NA()</definedName>
    <definedName name="E_25">NA()</definedName>
    <definedName name="E_26">NA()</definedName>
    <definedName name="E_27">NA()</definedName>
    <definedName name="E_28">NA()</definedName>
    <definedName name="E_29">NA()</definedName>
    <definedName name="E_30">NA()</definedName>
    <definedName name="E_31">NA()</definedName>
    <definedName name="E_32">NA()</definedName>
    <definedName name="E_33">NA()</definedName>
    <definedName name="E_34">NA()</definedName>
    <definedName name="E_35">NA()</definedName>
    <definedName name="E_36">NA()</definedName>
    <definedName name="E_37">NA()</definedName>
    <definedName name="E_38">NA()</definedName>
    <definedName name="E_39">NA()</definedName>
    <definedName name="E_40">NA()</definedName>
    <definedName name="E_41">NA()</definedName>
    <definedName name="E_42">NA()</definedName>
    <definedName name="E_43">NA()</definedName>
    <definedName name="E_44">NA()</definedName>
    <definedName name="E_45">NA()</definedName>
    <definedName name="E_46">NA()</definedName>
    <definedName name="E_47">NA()</definedName>
    <definedName name="E_48">NA()</definedName>
    <definedName name="E_49">NA()</definedName>
    <definedName name="E_50">NA()</definedName>
    <definedName name="E_51">NA()</definedName>
    <definedName name="E_52">NA()</definedName>
    <definedName name="E_53">NA()</definedName>
    <definedName name="E_54">NA()</definedName>
    <definedName name="E_55">NA()</definedName>
    <definedName name="E_56">NA()</definedName>
    <definedName name="E_57">NA()</definedName>
    <definedName name="E_58">NA()</definedName>
    <definedName name="E_59">NA()</definedName>
    <definedName name="E_60">NA()</definedName>
    <definedName name="E_61">NA()</definedName>
    <definedName name="E_62">NA()</definedName>
    <definedName name="E_63">NA()</definedName>
    <definedName name="E_64">NA()</definedName>
    <definedName name="E_65">NA()</definedName>
    <definedName name="E_66">NA()</definedName>
    <definedName name="E_67">NA()</definedName>
    <definedName name="E_68">NA()</definedName>
    <definedName name="E_69">NA()</definedName>
    <definedName name="E_70">NA()</definedName>
    <definedName name="E_71">NA()</definedName>
    <definedName name="E_72">NA()</definedName>
    <definedName name="E_73">NA()</definedName>
    <definedName name="E_74">NA()</definedName>
    <definedName name="E_75">NA()</definedName>
    <definedName name="E_76">NA()</definedName>
    <definedName name="E_77">NA()</definedName>
    <definedName name="E_78">NA()</definedName>
    <definedName name="E_79">NA()</definedName>
    <definedName name="E_80">NA()</definedName>
    <definedName name="E_81">NA()</definedName>
    <definedName name="E_82">NA()</definedName>
    <definedName name="E_83">NA()</definedName>
    <definedName name="E_84">NA()</definedName>
    <definedName name="E_85">NA()</definedName>
    <definedName name="E_86">NA()</definedName>
    <definedName name="E_87">NA()</definedName>
    <definedName name="E_88">NA()</definedName>
    <definedName name="E_89">NA()</definedName>
    <definedName name="E_90">NA()</definedName>
    <definedName name="E_91">NA()</definedName>
    <definedName name="E_92">NA()</definedName>
    <definedName name="E_93">NA()</definedName>
    <definedName name="E_94">NA()</definedName>
    <definedName name="E_95">NA()</definedName>
    <definedName name="E_96">NA()</definedName>
    <definedName name="E_97">NA()</definedName>
    <definedName name="E_98">NA()</definedName>
    <definedName name="E_99">NA()</definedName>
    <definedName name="E_W_CARTED_FMC">NA()</definedName>
    <definedName name="E_W_SIDE" localSheetId="11">NA()</definedName>
    <definedName name="E_W_SIDE" localSheetId="12">NA()</definedName>
    <definedName name="E_W_SIDE">#N/A</definedName>
    <definedName name="E_W_SIDE_FMC_NO">NA()</definedName>
    <definedName name="E_W_SIDE_FMC_PR">NA()</definedName>
    <definedName name="E_W_SIDE_OMC">NA()</definedName>
    <definedName name="Earth_and_gravel">NA()</definedName>
    <definedName name="EARTH_D">[29]MRATES!$K$33</definedName>
    <definedName name="earth_lead">NA()</definedName>
    <definedName name="earth_omc">NA()</definedName>
    <definedName name="earth_rate">NA()</definedName>
    <definedName name="earthld">"[222]leads!#ref!"</definedName>
    <definedName name="EB">NA()</definedName>
    <definedName name="ec">[87]m!$M$3</definedName>
    <definedName name="ECV">NA()</definedName>
    <definedName name="ed">NA()</definedName>
    <definedName name="edswi">NA()</definedName>
    <definedName name="Edulapalli">NA()</definedName>
    <definedName name="ee">'[57]Specification report'!$B$160</definedName>
    <definedName name="ee.">'[57]Specification report'!$B$161</definedName>
    <definedName name="ee_">NA()</definedName>
    <definedName name="eee" localSheetId="11">NA()</definedName>
    <definedName name="eee" localSheetId="12">NA()</definedName>
    <definedName name="eee">#REF!</definedName>
    <definedName name="eeee">"[224]boq!#ref!"</definedName>
    <definedName name="eeeee">"[71]works!#ref!"</definedName>
    <definedName name="eeeeeeeeeee">"[71]material!#ref!"</definedName>
    <definedName name="eeeeeeeeeeeeeee">"[71]works!#ref!"</definedName>
    <definedName name="eeerfre">"[71]general!#ref!"</definedName>
    <definedName name="eewr">NA()</definedName>
    <definedName name="eewrer">"[71]rmr!#ref!"</definedName>
    <definedName name="EFF">[54]CPHEEO!$C$10</definedName>
    <definedName name="egar">[88]Material!$D$117</definedName>
    <definedName name="ele">"scheduled_payment"+"extra_payment"</definedName>
    <definedName name="Ele_est">NA()</definedName>
    <definedName name="elec">NA()</definedName>
    <definedName name="ELED">NA()</definedName>
    <definedName name="Email" localSheetId="11">NA()</definedName>
    <definedName name="Email" localSheetId="12">NA()</definedName>
    <definedName name="Email" localSheetId="0">#REF!</definedName>
    <definedName name="Email">#REF!</definedName>
    <definedName name="EMD">"[56]boq!#ref!"</definedName>
    <definedName name="EMD_8">"[225]boq!#ref!"</definedName>
    <definedName name="EMMS">"[226]mrates!#ref!"</definedName>
    <definedName name="enamel_door_paint">NA()</definedName>
    <definedName name="enamel_grill_paint">NA()</definedName>
    <definedName name="End_Bal">NA()</definedName>
    <definedName name="enter">NA()</definedName>
    <definedName name="er" localSheetId="11">NA()</definedName>
    <definedName name="er" localSheetId="12">NA()</definedName>
    <definedName name="er" localSheetId="0">#REF!</definedName>
    <definedName name="er">#REF!</definedName>
    <definedName name="ers" localSheetId="11">NA()</definedName>
    <definedName name="ers" localSheetId="12">NA()</definedName>
    <definedName name="ers" localSheetId="0">#REF!</definedName>
    <definedName name="ers">#REF!</definedName>
    <definedName name="ertgdrghfghdsr" localSheetId="11">NA()</definedName>
    <definedName name="ertgdrghfghdsr" localSheetId="12">NA()</definedName>
    <definedName name="ertgdrghfghdsr" localSheetId="0">#REF!</definedName>
    <definedName name="ertgdrghfghdsr">#REF!</definedName>
    <definedName name="ESSR1">NA()</definedName>
    <definedName name="ESSR10">NA()</definedName>
    <definedName name="ESSR11">NA()</definedName>
    <definedName name="ESSR12">NA()</definedName>
    <definedName name="ESSR13">NA()</definedName>
    <definedName name="ESSR2">NA()</definedName>
    <definedName name="ESSR3">NA()</definedName>
    <definedName name="ESSR4">NA()</definedName>
    <definedName name="ESSR5">NA()</definedName>
    <definedName name="ESSR6">NA()</definedName>
    <definedName name="ESSR7">NA()</definedName>
    <definedName name="ESSR8">NA()</definedName>
    <definedName name="ESSR9">NA()</definedName>
    <definedName name="ESTIMATE">'[89]0000000000000'!$D$3</definedName>
    <definedName name="ESTIMATE1">NA()</definedName>
    <definedName name="estParvathapr">"[130]data!#ref!"</definedName>
    <definedName name="Estskklan">NA()</definedName>
    <definedName name="ESTT">"[229]sheet9!#ref!"</definedName>
    <definedName name="EW">NA()</definedName>
    <definedName name="EW_A">[9]DATA!$H$32</definedName>
    <definedName name="EW_B">[9]DATA!$H$37</definedName>
    <definedName name="EW_by_Machine">NA()</definedName>
    <definedName name="EW_SP" localSheetId="11">NA()</definedName>
    <definedName name="EW_SP" localSheetId="12">NA()</definedName>
    <definedName name="EW_SP" localSheetId="0">#REF!</definedName>
    <definedName name="EW_SP">#REF!</definedName>
    <definedName name="EWCONVEYANCE">NA()</definedName>
    <definedName name="ewe" localSheetId="11">NA()</definedName>
    <definedName name="ewe" localSheetId="12">NA()</definedName>
    <definedName name="ewe" localSheetId="0">#REF!</definedName>
    <definedName name="ewe">#REF!</definedName>
    <definedName name="EWRERE" localSheetId="11">NA()</definedName>
    <definedName name="EWRERE" localSheetId="12">NA()</definedName>
    <definedName name="EWRERE" localSheetId="0">#REF!</definedName>
    <definedName name="EWRERE">#REF!</definedName>
    <definedName name="EWW">[90]m1!$D$9</definedName>
    <definedName name="excavation">NA()</definedName>
    <definedName name="Excavation_for_foundations__substructures__trenches__sumps__tunnels__pits_etc__in_all_types_of_ordinary_and_hard_soils_including_hard_murum__including_necessary_shoring__strutting__stacking_selected_material_for_backfilling_or_disposing_excess_excavated_m">"[235]gbw!#ref!"</definedName>
    <definedName name="Excel_BuiltIn__FilterDatabase_1">NA()</definedName>
    <definedName name="Excel_BuiltIn__FilterDatabase_10">NA()</definedName>
    <definedName name="Excel_BuiltIn__FilterDatabase_2">NA()</definedName>
    <definedName name="Excel_BuiltIn__FilterDatabase_2_1">NA()</definedName>
    <definedName name="Excel_BuiltIn__FilterDatabase_3">"[238]oh!#ref!"</definedName>
    <definedName name="Excel_BuiltIn__FilterDatabase_4">NA()</definedName>
    <definedName name="Excel_BuiltIn__FilterDatabase_5">NA()</definedName>
    <definedName name="Excel_BuiltIn__FilterDatabase_6">NA()</definedName>
    <definedName name="Excel_BuiltIn__FilterDatabase_6_1">NA()</definedName>
    <definedName name="Excel_BuiltIn__FilterDatabase_6_1_1">NA()</definedName>
    <definedName name="Excel_BuiltIn__FilterDatabase_6_1_3">"[239]notes!#ref!"</definedName>
    <definedName name="Excel_BuiltIn_Database">NA()</definedName>
    <definedName name="Excel_BuiltIn_Database_1">"'smb://192.168.4.19/texas/BOQ_TEXAS.xls'#$''.$A$3:$S$74"</definedName>
    <definedName name="Excel_BuiltIn_Database_10">NA()</definedName>
    <definedName name="Excel_BuiltIn_Database_11">"'smb://192.168.4.19/texas/BOQ_TEXAS.xls'#$''.$A$3:$S$74"</definedName>
    <definedName name="Excel_BuiltIn_Database_12">"'smb://192.168.4.19/texas/BOQ_TEXAS.xls'#$''.$A$3:$S$74"</definedName>
    <definedName name="Excel_BuiltIn_Database_2">"'smb://192.168.4.19/texas/BOQ_TEXAS.xls'#$''.$A$3:$S$74"</definedName>
    <definedName name="Excel_BuiltIn_Database_3">"'smb://192.168.4.19/texas/BOQ_TEXAS.xls'#$''.$A$3:$S$74"</definedName>
    <definedName name="Excel_BuiltIn_Database_4">"'smb://192.168.4.19/texas/BOQ_TEXAS.xls'#$''.$A$3:$S$74"</definedName>
    <definedName name="Excel_BuiltIn_Database_5">"'smb://192.168.4.19/texas/BOQ_TEXAS.xls'#$''.$A$3:$S$74"</definedName>
    <definedName name="Excel_BuiltIn_Database_6">"'smb://192.168.4.19/texas/BOQ_TEXAS.xls'#$''.$A$3:$S$74"</definedName>
    <definedName name="Excel_BuiltIn_Database_7">"'smb://192.168.4.19/texas/BOQ_TEXAS.xls'#$''.$A$3:$S$74"</definedName>
    <definedName name="Excel_BuiltIn_Database_8">"'smb://192.168.4.19/texas/BOQ_TEXAS.xls'#$''.$A$3:$S$74"</definedName>
    <definedName name="Excel_BuiltIn_Database_9">"'smb://192.168.4.19/texas/BOQ_TEXAS.xls'#$''.$A$3:$S$74"</definedName>
    <definedName name="Excel_BuiltIn_Extract">NA()</definedName>
    <definedName name="Excel_BuiltIn_Print_Area" localSheetId="11">'C-data (2)'!$A$1:$I$5015</definedName>
    <definedName name="Excel_BuiltIn_Print_Area" localSheetId="12">Joinery!$A$1:$M$1268</definedName>
    <definedName name="Excel_BuiltIn_Print_Area_1">NA()</definedName>
    <definedName name="Excel_BuiltIn_Print_Area_1_1">NA()</definedName>
    <definedName name="Excel_BuiltIn_Print_Area_11_1">NA()</definedName>
    <definedName name="Excel_BuiltIn_Print_Area_2">NA()</definedName>
    <definedName name="Excel_BuiltIn_Print_Area_2_1_1_1">"[243]qty!#ref!"</definedName>
    <definedName name="Excel_BuiltIn_Print_Area_22">NA()</definedName>
    <definedName name="Excel_BuiltIn_Print_Area_23">NA()</definedName>
    <definedName name="Excel_BuiltIn_Print_Area_28">NA()</definedName>
    <definedName name="Excel_BuiltIn_Print_Area_29">NA()</definedName>
    <definedName name="Excel_BuiltIn_Print_Area_3">NA()</definedName>
    <definedName name="Excel_BuiltIn_Print_Area_31">NA()</definedName>
    <definedName name="Excel_BuiltIn_Print_Area_4_1">NA()</definedName>
    <definedName name="Excel_BuiltIn_Print_Area_8">NA()</definedName>
    <definedName name="Excel_BuiltIn_Print_Titles" localSheetId="11">'C-data (2)'!$24:$24</definedName>
    <definedName name="Excel_BuiltIn_Print_Titles">NA()</definedName>
    <definedName name="Excel_BuiltIn_Print_Titles_1">NA()</definedName>
    <definedName name="Excel_BuiltIn_Print_Titles_1_1">NA()</definedName>
    <definedName name="Excel_BuiltIn_Print_Titles_11">NA()</definedName>
    <definedName name="Excel_BuiltIn_Print_Titles_11_1">NA()</definedName>
    <definedName name="Excel_BuiltIn_Print_Titles_14">NA()</definedName>
    <definedName name="Excel_BuiltIn_Print_Titles_2">NA()</definedName>
    <definedName name="Excel_BuiltIn_Print_Titles_22">NA()</definedName>
    <definedName name="Excel_BuiltIn_Print_Titles_23">NA()</definedName>
    <definedName name="Excel_BuiltIn_Print_Titles_29">NA()</definedName>
    <definedName name="Excel_BuiltIn_Print_Titles_3">NA()</definedName>
    <definedName name="Excel_BuiltIn_Print_Titles_3_1">NA()</definedName>
    <definedName name="Excel_BuiltIn_Print_Titles_4">NA()</definedName>
    <definedName name="Excel_BuiltIn_Print_Titles_5">NA()</definedName>
    <definedName name="Excel_BuiltIn_Print_Titles_6">NA()</definedName>
    <definedName name="Excel_BuiltIn_Print_Titles_8">NA()</definedName>
    <definedName name="Excel_BuiltIn_Recorder">NA()</definedName>
    <definedName name="excf">NA()</definedName>
    <definedName name="ExciseDuty">NA()</definedName>
    <definedName name="EXIT">NA()</definedName>
    <definedName name="Extra_Pay">NA()</definedName>
    <definedName name="f" localSheetId="11">NA()</definedName>
    <definedName name="f" localSheetId="12">NA()</definedName>
    <definedName name="f" localSheetId="0">#REF!</definedName>
    <definedName name="f">#REF!</definedName>
    <definedName name="F_s">NA()</definedName>
    <definedName name="F_s_1">NA()</definedName>
    <definedName name="F2095_3">NA()</definedName>
    <definedName name="faaaaaaaaa" localSheetId="11">NA()</definedName>
    <definedName name="faaaaaaaaa" localSheetId="12">NA()</definedName>
    <definedName name="faaaaaaaaa" localSheetId="0">#REF!</definedName>
    <definedName name="faaaaaaaaa">#REF!</definedName>
    <definedName name="FAB">[9]DATA!$H$199</definedName>
    <definedName name="fabchr">NA()</definedName>
    <definedName name="fabrication">NA()</definedName>
    <definedName name="faofeq">'[91]TBAL9697 -group wise  sdpl'!$A$34</definedName>
    <definedName name="faplm">'[91]TBAL9697 -group wise  sdpl'!$A$34</definedName>
    <definedName name="fapms">'[91]TBAL9697 -group wise  sdpl'!$A$34</definedName>
    <definedName name="faveh">'[91]TBAL9697 -group wise  sdpl'!$A$34</definedName>
    <definedName name="Fax" localSheetId="11">NA()</definedName>
    <definedName name="Fax" localSheetId="12">NA()</definedName>
    <definedName name="Fax" localSheetId="0">#REF!</definedName>
    <definedName name="Fax">#REF!</definedName>
    <definedName name="fb">NA()</definedName>
    <definedName name="fbeam">NA()</definedName>
    <definedName name="FBEAM1">NA()</definedName>
    <definedName name="fbl">NA()</definedName>
    <definedName name="FCode" localSheetId="11">NA()</definedName>
    <definedName name="FCode" localSheetId="12">NA()</definedName>
    <definedName name="FCode" localSheetId="0" hidden="1">#REF!</definedName>
    <definedName name="FCode" hidden="1">#REF!</definedName>
    <definedName name="fd">NA()</definedName>
    <definedName name="fdfd">"scheduled_payment"+"extra_payment"</definedName>
    <definedName name="FDGF">NA()</definedName>
    <definedName name="fdghgg">NA()</definedName>
    <definedName name="FDJDSJFDJFLDJF">[86]Labour!$D$19</definedName>
    <definedName name="FDR">NA()</definedName>
    <definedName name="fdrop">NA()</definedName>
    <definedName name="fdrop1">NA()</definedName>
    <definedName name="FDROP11">NA()</definedName>
    <definedName name="FDROP2">NA()</definedName>
    <definedName name="fdsg" localSheetId="11">NA()</definedName>
    <definedName name="fdsg" localSheetId="12">NA()</definedName>
    <definedName name="fdsg" localSheetId="0">#REF!</definedName>
    <definedName name="fdsg">#REF!</definedName>
    <definedName name="fe">NA()</definedName>
    <definedName name="Feeder_Road_Sections">[58]Feeder!$A$1:$L$386</definedName>
    <definedName name="ferwgergtg">"[71]data!#ref!"</definedName>
    <definedName name="fewfgregr">"[71]data!#ref!"</definedName>
    <definedName name="FF">"[246]data.f8.btr!#ref!"</definedName>
    <definedName name="ffd">"scheduled_payment"+"extra_payment"</definedName>
    <definedName name="ffdasggfdhj">NA()</definedName>
    <definedName name="fff">NA()</definedName>
    <definedName name="ffff">NA()</definedName>
    <definedName name="fffff">NA()</definedName>
    <definedName name="fffffff">"[71]works!#ref!"</definedName>
    <definedName name="ffffffff">NA()</definedName>
    <definedName name="fffffffffff">"[71]material!#ref!"</definedName>
    <definedName name="ffffffffffff">"[71]material!#ref!"</definedName>
    <definedName name="ffffffffffffffffffffff">NA()</definedName>
    <definedName name="FFGB5">NA()</definedName>
    <definedName name="fgafgsfgfytssstr" localSheetId="11">NA()</definedName>
    <definedName name="fgafgsfgfytssstr" localSheetId="12">NA()</definedName>
    <definedName name="fgafgsfgfytssstr" localSheetId="0">#REF!</definedName>
    <definedName name="fgafgsfgfytssstr">#REF!</definedName>
    <definedName name="FGD" localSheetId="12">{"'ridftotal'!$A$4:$S$27"}</definedName>
    <definedName name="FGD">{"'ridftotal'!$A$4:$S$27"}</definedName>
    <definedName name="fgdfgsdg">NA()</definedName>
    <definedName name="fgf" localSheetId="11">NA()</definedName>
    <definedName name="fgf" localSheetId="12">NA()</definedName>
    <definedName name="fgf" localSheetId="0">#REF!</definedName>
    <definedName name="fgf">#REF!</definedName>
    <definedName name="fgfg">"[71]material!#ref!"</definedName>
    <definedName name="fgfgfgfgg">"[71]data!#ref!"</definedName>
    <definedName name="fgfgh">NA()</definedName>
    <definedName name="fgfnfgfh" localSheetId="11">NA()</definedName>
    <definedName name="fgfnfgfh" localSheetId="12">NA()</definedName>
    <definedName name="fgfnfgfh" localSheetId="0">#REF!</definedName>
    <definedName name="fgfnfgfh">#REF!</definedName>
    <definedName name="fgh">NA()</definedName>
    <definedName name="fghdjfhgjf">NA()</definedName>
    <definedName name="fghfjh">NA()</definedName>
    <definedName name="fghh" localSheetId="11">NA()</definedName>
    <definedName name="fghh" localSheetId="12">NA()</definedName>
    <definedName name="fghh" localSheetId="0">#REF!</definedName>
    <definedName name="fghh">#REF!</definedName>
    <definedName name="fhg">NA()</definedName>
    <definedName name="fid">NA()</definedName>
    <definedName name="fifb">NA()</definedName>
    <definedName name="fil">NA()</definedName>
    <definedName name="filling_earth">NA()</definedName>
    <definedName name="filling_gravel">NA()</definedName>
    <definedName name="fillingsand">NA()</definedName>
    <definedName name="film">NA()</definedName>
    <definedName name="final" localSheetId="11">NA()</definedName>
    <definedName name="final" localSheetId="12">NA()</definedName>
    <definedName name="final" localSheetId="0">#REF!</definedName>
    <definedName name="final">#REF!</definedName>
    <definedName name="fineaggregate">NA()</definedName>
    <definedName name="finished" localSheetId="11">NA()</definedName>
    <definedName name="finished" localSheetId="12">NA()</definedName>
    <definedName name="finished" localSheetId="0">#REF!</definedName>
    <definedName name="finished">#REF!</definedName>
    <definedName name="First" localSheetId="11">NA()</definedName>
    <definedName name="First" localSheetId="12">NA()</definedName>
    <definedName name="First" localSheetId="0" hidden="1">'[39]final abstract'!#REF!</definedName>
    <definedName name="First" hidden="1">'[39]final abstract'!#REF!</definedName>
    <definedName name="Fissured_and_fractured_rock_and_boulders_upto_3_cum_in_size_requiring_blasting_including_stacking">NA()</definedName>
    <definedName name="five">NA()</definedName>
    <definedName name="fiw">NA()</definedName>
    <definedName name="fixed_asset">NA()</definedName>
    <definedName name="fj_100">NA()</definedName>
    <definedName name="fj_150">NA()</definedName>
    <definedName name="fj_200">NA()</definedName>
    <definedName name="fj_25">NA()</definedName>
    <definedName name="fj_250">NA()</definedName>
    <definedName name="fj_300">NA()</definedName>
    <definedName name="fj_32">NA()</definedName>
    <definedName name="fj_40">NA()</definedName>
    <definedName name="fj_400">NA()</definedName>
    <definedName name="fj_50">NA()</definedName>
    <definedName name="fj_500">NA()</definedName>
    <definedName name="fj_65">NA()</definedName>
    <definedName name="fj_80">NA()</definedName>
    <definedName name="FJDK">[74]DATA_PRG!$H$173</definedName>
    <definedName name="fl">NA()</definedName>
    <definedName name="flag1">NA()</definedName>
    <definedName name="fld">NA()</definedName>
    <definedName name="flg">NA()</definedName>
    <definedName name="floor">[74]DATA_PRG!$H$317</definedName>
    <definedName name="floor_cc">[12]DATA_PRG!$F$373</definedName>
    <definedName name="floor_ceramic">NA()</definedName>
    <definedName name="floor_chequered">NA()</definedName>
    <definedName name="floor_kadapa">NA()</definedName>
    <definedName name="floor_shahbad">NA()</definedName>
    <definedName name="flushpointing">NA()</definedName>
    <definedName name="fm">NA()</definedName>
    <definedName name="fma">NA()</definedName>
    <definedName name="fmld">"[122]process!#ref!"</definedName>
    <definedName name="Footings">NA()</definedName>
    <definedName name="Footings__bed_blocks">"[71]works!#ref!"</definedName>
    <definedName name="For_CC_pavements__wearing_coats__approach__slabs__guide_stone__J__M__stone_etc_">NA()</definedName>
    <definedName name="For_cement_concrete_for_foundation_below_low_water_level">NA()</definedName>
    <definedName name="For_earth_work_excavation_for_foundations_below_low_water_level">NA()</definedName>
    <definedName name="For_mass_concrete_piers__abutments_and_steining_well_curbes__well_caps_etc_">NA()</definedName>
    <definedName name="For_RCC_beams">NA()</definedName>
    <definedName name="For_RCC_deck_slabs">NA()</definedName>
    <definedName name="For_RCC_hand_rails">NA()</definedName>
    <definedName name="For_RCC_piers__abutments__wing_wall___steining__well_curbs__well_caps_etc_">NA()</definedName>
    <definedName name="For_SS_Revetment_work_225__mm">NA()</definedName>
    <definedName name="For_SS_Revetment_work_300__mm">NA()</definedName>
    <definedName name="For_SS_Revetment_work450__mm">NA()</definedName>
    <definedName name="fp">NA()</definedName>
    <definedName name="fpaint">NA()</definedName>
    <definedName name="FREE">NA()</definedName>
    <definedName name="frncis">NA()</definedName>
    <definedName name="frncis_2">NA()</definedName>
    <definedName name="frncis_4">"'smb://Planning2/d/ECC%20bbsr/tech/FinalZCR.xls'#$''.$A$20:$AMJ$20"</definedName>
    <definedName name="frncis_5">"'smb://Planning2/d/ECC%20bbsr/tech/FinalZCR.xls'#$''.$A$20:$AMJ$20"</definedName>
    <definedName name="frncis_6">"'smb://Planning2/d/ECC%20bbsr/tech/FinalZCR.xls'#$''.$A$20:$AMJ$20"</definedName>
    <definedName name="front">NA()</definedName>
    <definedName name="Front_End_Roller">NA()</definedName>
    <definedName name="front1">NA()</definedName>
    <definedName name="FRONT11">NA()</definedName>
    <definedName name="frucis">NA()</definedName>
    <definedName name="FSAND" localSheetId="11">"[56]mrates!$g$9"</definedName>
    <definedName name="FSAND" localSheetId="12">"[56]mrates!$g$9"</definedName>
    <definedName name="FSAND">[29]MRATES!$G$9</definedName>
    <definedName name="fsc">NA()</definedName>
    <definedName name="fsg">NA()</definedName>
    <definedName name="fslab">NA()</definedName>
    <definedName name="FSLAB1">NA()</definedName>
    <definedName name="Full_Print">NA()</definedName>
    <definedName name="furn">NA()</definedName>
    <definedName name="furniture">NA()</definedName>
    <definedName name="FW">NA()</definedName>
    <definedName name="fwfb">"[122]process!#ref!"</definedName>
    <definedName name="fwl">NA()</definedName>
    <definedName name="fwld">NA()</definedName>
    <definedName name="fwrfb">"[122]process!#ref!"</definedName>
    <definedName name="fwrl">"[122]process!#ref!"</definedName>
    <definedName name="fwrld">"[122]process!#ref!"</definedName>
    <definedName name="fwrw">"[122]process!#ref!"</definedName>
    <definedName name="fwsfb">"[122]process!#ref!"</definedName>
    <definedName name="fwsl">"[122]process!#ref!"</definedName>
    <definedName name="fwsld">"[122]process!#ref!"</definedName>
    <definedName name="fwsw">"[122]process!#ref!"</definedName>
    <definedName name="fww">NA()</definedName>
    <definedName name="fy" localSheetId="11">"[130]data!#ref!"</definedName>
    <definedName name="fy" localSheetId="12">"[130]data!#ref!"</definedName>
    <definedName name="fy" localSheetId="0">[61]Data!#REF!</definedName>
    <definedName name="fy">[61]Data!#REF!</definedName>
    <definedName name="g" localSheetId="11">NA()</definedName>
    <definedName name="g" localSheetId="12">NA()</definedName>
    <definedName name="g" localSheetId="0">#REF!</definedName>
    <definedName name="g">#REF!</definedName>
    <definedName name="G_A">NA()</definedName>
    <definedName name="g_lead">NA()</definedName>
    <definedName name="GA">NA()</definedName>
    <definedName name="gab">NA()</definedName>
    <definedName name="gagan">[88]Material!$D$113</definedName>
    <definedName name="ganeral">"[93]data!#ref!"</definedName>
    <definedName name="gdgdhdhdfhdhdhdh">NA()</definedName>
    <definedName name="gen_name">NA()</definedName>
    <definedName name="general">"[128]lead!#ref!"</definedName>
    <definedName name="Generating_get_125_KVA">NA()</definedName>
    <definedName name="Geschäftsbereich">NA()</definedName>
    <definedName name="gfbeams">NA()</definedName>
    <definedName name="gfd">NA()</definedName>
    <definedName name="gfegg">"[71]data!#ref!"</definedName>
    <definedName name="gfg">NA()</definedName>
    <definedName name="GG">[74]DATA_PRG!$H$109</definedName>
    <definedName name="gggg">NA()</definedName>
    <definedName name="gggggggg">"[71]works!#ref!"</definedName>
    <definedName name="ggggggggggg">"[71]works!#ref!"</definedName>
    <definedName name="ggggggggggggg">"[71]works!#ref!"</definedName>
    <definedName name="ggggggggggggggg">"[71]material!#ref!"</definedName>
    <definedName name="ggjh">NA()</definedName>
    <definedName name="GH" localSheetId="11">NA()</definedName>
    <definedName name="GH" localSheetId="12">NA()</definedName>
    <definedName name="GH" localSheetId="0">#REF!</definedName>
    <definedName name="GH">#REF!</definedName>
    <definedName name="ghdfghdf">NA()</definedName>
    <definedName name="GHGH">"'[112]tbal9697 -group wise  sdpl'!$a$34"</definedName>
    <definedName name="ghjgjh">NA()</definedName>
    <definedName name="GHJK" localSheetId="12">{"'ridftotal'!$A$4:$S$27"}</definedName>
    <definedName name="GHJK">{"'ridftotal'!$A$4:$S$27"}</definedName>
    <definedName name="GHJKJK" localSheetId="12">{"'ridftotal'!$A$4:$S$27"}</definedName>
    <definedName name="GHJKJK">{"'ridftotal'!$A$4:$S$27"}</definedName>
    <definedName name="GI">NA()</definedName>
    <definedName name="gi_100">NA()</definedName>
    <definedName name="gi_150">NA()</definedName>
    <definedName name="gi_200">NA()</definedName>
    <definedName name="gi_25">NA()</definedName>
    <definedName name="gi_250">NA()</definedName>
    <definedName name="gi_300">NA()</definedName>
    <definedName name="gi_32">NA()</definedName>
    <definedName name="gi_40">NA()</definedName>
    <definedName name="gi_400">NA()</definedName>
    <definedName name="gi_50">NA()</definedName>
    <definedName name="gi_500">NA()</definedName>
    <definedName name="gi_600">NA()</definedName>
    <definedName name="gi_65">NA()</definedName>
    <definedName name="gi_80">NA()</definedName>
    <definedName name="GI_CL" localSheetId="11">"[70]wh_data_r!#ref!"</definedName>
    <definedName name="GI_CL" localSheetId="12">"[70]wh_data_r!#ref!"</definedName>
    <definedName name="GI_CL" localSheetId="0">[54]wh_data_R!#REF!</definedName>
    <definedName name="GI_CL">[54]wh_data_R!#REF!</definedName>
    <definedName name="GI_CLL">[54]wh_data_R!$AP$1440:$AR$1442</definedName>
    <definedName name="GI_D_R">[54]CPHEEO!$BF$3:$BF$7</definedName>
    <definedName name="GI_pipe_15_mm" localSheetId="11">NA()</definedName>
    <definedName name="GI_pipe_15_mm" localSheetId="12">NA()</definedName>
    <definedName name="GI_pipe_15_mm" localSheetId="0">#REF!</definedName>
    <definedName name="GI_pipe_15_mm">#REF!</definedName>
    <definedName name="GI_PIPES">'[55]BASIC DATA'!$B$494:$B$523</definedName>
    <definedName name="GI_sheet_1mm_corrugated">"[71]material!#ref!"</definedName>
    <definedName name="GI_sheet_1mm_plain">"[71]material!#ref!"</definedName>
    <definedName name="gib">NA()</definedName>
    <definedName name="GIbend">NA()</definedName>
    <definedName name="GIcoupling">NA()</definedName>
    <definedName name="GIelbow">NA()</definedName>
    <definedName name="GInipple">NA()</definedName>
    <definedName name="GIreducedTee">NA()</definedName>
    <definedName name="GIreducer">NA()</definedName>
    <definedName name="GIS">NA()</definedName>
    <definedName name="GIS_ii">NA()</definedName>
    <definedName name="GIspecial">NA()</definedName>
    <definedName name="GIunion">NA()</definedName>
    <definedName name="gj">NA()</definedName>
    <definedName name="gjhg">NA()</definedName>
    <definedName name="gksn">NA()</definedName>
    <definedName name="GL">NA()</definedName>
    <definedName name="GLASS_TYPE">'[55]BASIC DATA'!$B$607:$B$627</definedName>
    <definedName name="Glazed_coloured_tiles_for_Dadooing">NA()</definedName>
    <definedName name="glb_100">NA()</definedName>
    <definedName name="glb_150">NA()</definedName>
    <definedName name="glb_200">NA()</definedName>
    <definedName name="glb_25">NA()</definedName>
    <definedName name="glb_250">NA()</definedName>
    <definedName name="glb_300">NA()</definedName>
    <definedName name="glb_32">NA()</definedName>
    <definedName name="glb_40">NA()</definedName>
    <definedName name="glb_50">NA()</definedName>
    <definedName name="glb_65">NA()</definedName>
    <definedName name="glb_80">NA()</definedName>
    <definedName name="GLOADING">NA()</definedName>
    <definedName name="gls">'[92]Nspt-smp-final-ORIGINAL'!$U$8:$U$56</definedName>
    <definedName name="GM">NA()</definedName>
    <definedName name="GMgateValve">NA()</definedName>
    <definedName name="GMM">NA()</definedName>
    <definedName name="gn">[12]DATA_PRG!$H$187</definedName>
    <definedName name="goo">NA()</definedName>
    <definedName name="gound" localSheetId="11">NA()</definedName>
    <definedName name="gound" localSheetId="12">NA()</definedName>
    <definedName name="gound" localSheetId="0">#REF!</definedName>
    <definedName name="gound">#REF!</definedName>
    <definedName name="GPC" localSheetId="11">NA()</definedName>
    <definedName name="GPC" localSheetId="12">NA()</definedName>
    <definedName name="GPC" localSheetId="0">#REF!</definedName>
    <definedName name="GPC">#REF!</definedName>
    <definedName name="GPF">NA()</definedName>
    <definedName name="GPname" localSheetId="11">NA()</definedName>
    <definedName name="GPname" localSheetId="12">NA()</definedName>
    <definedName name="GPname" localSheetId="0">#REF!</definedName>
    <definedName name="GPname">#REF!</definedName>
    <definedName name="gr">'[33]Lead statement'!$P$9</definedName>
    <definedName name="gra">[12]DATA_PRG!$B$5</definedName>
    <definedName name="Grab_dredging_crane___1_cum___normally_runs_for_4_hours_a_day">"[65]usage!#ref!"</definedName>
    <definedName name="grade1">NA()</definedName>
    <definedName name="grade2">NA()</definedName>
    <definedName name="grade3">NA()</definedName>
    <definedName name="Granite__dolamite_and_trap">NA()</definedName>
    <definedName name="Granite_for_SS_revetment_225_mm">NA()</definedName>
    <definedName name="Granite_for_SS_revetment_300_mm">NA()</definedName>
    <definedName name="Granite_stone_slabs_for_culverts__lintels_and_copings__3_faces_dressed_coarsed_rubble_masonary">NA()</definedName>
    <definedName name="granolithic_floor">NA()</definedName>
    <definedName name="gravel" localSheetId="11">NA()</definedName>
    <definedName name="gravel" localSheetId="12">NA()</definedName>
    <definedName name="GRAVEL">[29]MRATES!$G$6</definedName>
    <definedName name="GRAVEL_D" localSheetId="11">"[56]mrates!$k$34"</definedName>
    <definedName name="GRAVEL_D" localSheetId="12">"[56]mrates!$k$34"</definedName>
    <definedName name="GRAVEL_D">[29]MRATES!$K$34</definedName>
    <definedName name="gravel_dust_sand">NA()</definedName>
    <definedName name="gravel_hc100">NA()</definedName>
    <definedName name="gravel_hc150">NA()</definedName>
    <definedName name="Gravel_including_stacking">NA()</definedName>
    <definedName name="gravel_pick">NA()</definedName>
    <definedName name="gravel_spr100">NA()</definedName>
    <definedName name="gravel_spr150">NA()</definedName>
    <definedName name="gravel_stack">NA()</definedName>
    <definedName name="Group1">NA()</definedName>
    <definedName name="Group1_8">NA()</definedName>
    <definedName name="Group2">NA()</definedName>
    <definedName name="Group2_8">NA()</definedName>
    <definedName name="Group3">NA()</definedName>
    <definedName name="Group4">NA()</definedName>
    <definedName name="GRP_C">[54]wh_data_R!$E$368:$I$369</definedName>
    <definedName name="GRP_CL">[54]wh_data_R!$D$368:$I$368</definedName>
    <definedName name="GRP_CL_RATES">[54]wh_data!$M$159:$Q$159</definedName>
    <definedName name="GRP_CLL">[54]wh_data_R!$AE$378:$AG$382</definedName>
    <definedName name="GRP_CLR">[54]wh_data!$L$159:$O$159</definedName>
    <definedName name="GRP_CLS">[54]wh_data_R!$J$1440:$J$1444</definedName>
    <definedName name="GRP_D_R">[54]CPHEEO!$BD$3:$BD$11</definedName>
    <definedName name="GRP_D_RATES">'[67]G.R.P'!$C$24:$K$24</definedName>
    <definedName name="GRP_DL_RANGE">[54]CPHEEO!$BD$3:$BD$12</definedName>
    <definedName name="GRP_DR">[54]wh_data!$L$160:$L$168</definedName>
    <definedName name="GRP_FR_12BAR">'[67]G.R.P'!$C$60:$K$60</definedName>
    <definedName name="GRP_FR_15BAR">'[67]G.R.P'!$C$74:$K$74</definedName>
    <definedName name="GRP_FR_3BAR">'[67]G.R.P'!$C$32:$K$32</definedName>
    <definedName name="GRP_FR_6BAR">'[67]G.R.P'!$C$32:$K$32</definedName>
    <definedName name="GRP_FR_9BAR">'[67]G.R.P'!$C$46:$K$46</definedName>
    <definedName name="GRP_G">[54]wh_data_R!$K$1440:$K$1444</definedName>
    <definedName name="GRP_P">[54]wh_data_R!$L$1440:$L$1444</definedName>
    <definedName name="GRP_PIPES">'[55]PIPES BASIC RATES'!$A$580:$A$633</definedName>
    <definedName name="GRP_RATES">[54]wh_data!$L$160:$Q$168</definedName>
    <definedName name="Grstone">NA()</definedName>
    <definedName name="GRT">[74]DATA_PRG!$H$86</definedName>
    <definedName name="gs">NA()</definedName>
    <definedName name="GS_barbed_wire">"[71]material!#ref!"</definedName>
    <definedName name="gsb">NA()</definedName>
    <definedName name="GSP">[9]DATA!$H$233</definedName>
    <definedName name="gtrothpfinal" localSheetId="11">NA()</definedName>
    <definedName name="gtrothpfinal" localSheetId="12">NA()</definedName>
    <definedName name="gtrothpfinal" localSheetId="0">#REF!</definedName>
    <definedName name="gtrothpfinal">#REF!</definedName>
    <definedName name="guiol" localSheetId="11">NA()</definedName>
    <definedName name="guiol" localSheetId="12">NA()</definedName>
    <definedName name="guiol" localSheetId="0">#REF!</definedName>
    <definedName name="guiol">#REF!</definedName>
    <definedName name="GULOADING">NA()</definedName>
    <definedName name="Gunduvarigudem">NA()</definedName>
    <definedName name="GUS" localSheetId="11">NA()</definedName>
    <definedName name="GUS" localSheetId="12">NA()</definedName>
    <definedName name="GUS" localSheetId="0">#REF!</definedName>
    <definedName name="GUS">#REF!</definedName>
    <definedName name="GUSAUX">'[93]Global factors'!$B$3</definedName>
    <definedName name="GUSSW">'[93]Global factors'!$B$2</definedName>
    <definedName name="GUSUSD" localSheetId="11">NA()</definedName>
    <definedName name="GUSUSD" localSheetId="12">NA()</definedName>
    <definedName name="GUSUSD" localSheetId="0">#REF!</definedName>
    <definedName name="GUSUSD">#REF!</definedName>
    <definedName name="gv_100">NA()</definedName>
    <definedName name="gv_150">NA()</definedName>
    <definedName name="gv_200">NA()</definedName>
    <definedName name="gv_25">NA()</definedName>
    <definedName name="gv_250">NA()</definedName>
    <definedName name="gv_300">NA()</definedName>
    <definedName name="gv_32">NA()</definedName>
    <definedName name="gv_40">NA()</definedName>
    <definedName name="gv_400">NA()</definedName>
    <definedName name="gv_50">NA()</definedName>
    <definedName name="gv_500">NA()</definedName>
    <definedName name="gv_65">NA()</definedName>
    <definedName name="gv_80">NA()</definedName>
    <definedName name="gyfc">NA()</definedName>
    <definedName name="H">NA()</definedName>
    <definedName name="h_">NA()</definedName>
    <definedName name="habs">'[94]habs-list'!$C$5:$J$102</definedName>
    <definedName name="hai">NA()</definedName>
    <definedName name="Hard_disintegrated_rock_or_soft_rock_or_conglomerate_rock_and_Hard_lime_kankar_requiring_partial_blasting_">NA()</definedName>
    <definedName name="Hard_disintegrated_rock_or_soft_rock_or_conglomerate_rock_etc___removable_by_pick_axes_and_crow_bars">NA()</definedName>
    <definedName name="Hard_Gravelly_Soils__________SS_20_A">NA()</definedName>
    <definedName name="Hard_rock_and_boulders_more_than_3_cum_in_size_requiring_blasting_including_stacking">NA()</definedName>
    <definedName name="HBG_metal_IRC">NA()</definedName>
    <definedName name="HBG_metal_SS_5">NA()</definedName>
    <definedName name="hbgl">NA()</definedName>
    <definedName name="HC">NA()</definedName>
    <definedName name="hd">NA()</definedName>
    <definedName name="HDFGF">NA()</definedName>
    <definedName name="HDM_III_INPUT_DATA">'[58]Bitumen trunk'!$BO$1:$DI$196</definedName>
    <definedName name="HDPE">[95]detls!$A$3:$O$18</definedName>
    <definedName name="HDPE_C">[54]wh_data_R!$D$247:$H$261</definedName>
    <definedName name="HDPE_CL">[54]wh_data_R!$D$246:$H$246</definedName>
    <definedName name="HDPE_CL_RATES">[54]wh_data!$M$2:$P$2</definedName>
    <definedName name="HDPE_CLL">[54]wh_data_R!$G$378:$I$381</definedName>
    <definedName name="HDPE_CLR">[54]wh_data!$L$2:$O$2</definedName>
    <definedName name="HDPE_CLS">[54]wh_data_R!$G$378:$G$381</definedName>
    <definedName name="HDPE_D">[54]wh_data!$E$3:$H$17</definedName>
    <definedName name="HDPE_D_R">[54]CPHEEO!$AZ$3:$AZ$17</definedName>
    <definedName name="HDPE_D_RATES">[67]HDPE!$C$9:$O$9</definedName>
    <definedName name="HDPE_DC">[54]wh_data_R!$A$3:$A$17</definedName>
    <definedName name="HDPE_DL_RANGE">[54]CPHEEO!$AZ$3:$AZ$18</definedName>
    <definedName name="HDPE_DR">[54]wh_data!$L$3:$L$15</definedName>
    <definedName name="HDPE_FR_10KG">[67]HDPE!$C$64:$O$64</definedName>
    <definedName name="HDPE_FR_4KG">[67]HDPE!$C$28:$O$28</definedName>
    <definedName name="HDPE_FR_6KG">[67]HDPE!$C$40:$O$40</definedName>
    <definedName name="HDPE_FR_8KG">[67]HDPE!$C$52:$O$52</definedName>
    <definedName name="HDPE_G">[54]wh_data_R!$AE$1440:$AE$1442</definedName>
    <definedName name="HDPE_ID">[54]wh_data_R!$L$3:$L$17</definedName>
    <definedName name="HDPE_ID_CL">[54]wh_data_R!$L$2:$P$2</definedName>
    <definedName name="HDPE_IDS">[54]wh_data_R!$L$3:$P$17</definedName>
    <definedName name="HDPE_P">[54]wh_data_R!$AF$1440:$AF$1442</definedName>
    <definedName name="HDPE_PIPES">'[55]PIPES BASIC RATES'!$A$62:$A$221</definedName>
    <definedName name="HDPE_RATES">[54]wh_data!$L$3:$O$15</definedName>
    <definedName name="HDPE_T">[54]wh_data!$A$3:$D$17</definedName>
    <definedName name="hdpe1">[95]detls!$A$3:$O$18</definedName>
    <definedName name="hdpepvrate">'[96]hdpe-rates'!$C$7:$I$59</definedName>
    <definedName name="hdperates">'[97]HDPE-pipe-rates'!$I$33:$Z$38</definedName>
    <definedName name="hdpewts">'[96]hdpe weights'!$B$1:$F$53</definedName>
    <definedName name="Header_Row" localSheetId="11">NA()</definedName>
    <definedName name="Header_Row" localSheetId="12">NA()</definedName>
    <definedName name="Header_Row">ROW(#REF!)</definedName>
    <definedName name="hf">NA()</definedName>
    <definedName name="hfuhg">NA()</definedName>
    <definedName name="hgle">NA()</definedName>
    <definedName name="hgle1">NA()</definedName>
    <definedName name="hh" localSheetId="11">NA()</definedName>
    <definedName name="hh" localSheetId="12">NA()</definedName>
    <definedName name="hh" localSheetId="0">#REF!</definedName>
    <definedName name="hh">#REF!</definedName>
    <definedName name="hhh">NA()</definedName>
    <definedName name="hhhhhh">NA()</definedName>
    <definedName name="HI">NA()</definedName>
    <definedName name="HiddenRows" localSheetId="11">NA()</definedName>
    <definedName name="HiddenRows" localSheetId="12">NA()</definedName>
    <definedName name="HiddenRows" localSheetId="0" hidden="1">#REF!</definedName>
    <definedName name="HiddenRows" hidden="1">#REF!</definedName>
    <definedName name="HIFINI">NA()</definedName>
    <definedName name="High_Yeild_Strengh_Deformed_Bars">NA()</definedName>
    <definedName name="HIRE_CHARGES_PLASTERING_CEILING">'[55]BACK BONE'!$DZ$2:$DZ$10</definedName>
    <definedName name="HIRE_CHARGES_PLASTERING_WALLS">'[55]BACK BONE'!$DU$2:$DU$10</definedName>
    <definedName name="Hirebreak">"[130]boq!#ref!"</definedName>
    <definedName name="his">NA()</definedName>
    <definedName name="HJ" localSheetId="12">{"'ridftotal'!$A$4:$S$27"}</definedName>
    <definedName name="HJ">{"'ridftotal'!$A$4:$S$27"}</definedName>
    <definedName name="hjk">NA()</definedName>
    <definedName name="hjklhkj">NA()</definedName>
    <definedName name="HJVHFDKJH">NA()</definedName>
    <definedName name="hkjhk">NA()</definedName>
    <definedName name="hlkj">NA()</definedName>
    <definedName name="hlkjasa">NA()</definedName>
    <definedName name="hmc">NA()</definedName>
    <definedName name="Hname">NA()</definedName>
    <definedName name="hot_maz">NA()</definedName>
    <definedName name="Hot_Mix_Plant_30_45__TPH">[37]Usage!$C$6</definedName>
    <definedName name="Hot_Mix_Plant_30_45_TPH_6_10_TPH">[37]Usage!$C$8</definedName>
    <definedName name="HP_RATE">[54]input!$E$17</definedName>
    <definedName name="HPM" localSheetId="11">"[272]discount!$b$4"</definedName>
    <definedName name="HPM" localSheetId="12">"[272]discount!$b$4"</definedName>
    <definedName name="HPM">[98]DISCOUNT!$B$4</definedName>
    <definedName name="HPMAUX">'[93]Global factors'!$B$8</definedName>
    <definedName name="HPMIO">'[93]Global factors'!$B$7</definedName>
    <definedName name="Hs">NA()</definedName>
    <definedName name="hso">NA()</definedName>
    <definedName name="hsp">NA()</definedName>
    <definedName name="Ht">NA()</definedName>
    <definedName name="HTML_CodePage">1252</definedName>
    <definedName name="HTML_Control" localSheetId="12">{"'ridftotal'!$A$4:$S$27"}</definedName>
    <definedName name="HTML_Control">{"'ridftotal'!$A$4:$S$27"}</definedName>
    <definedName name="HTML_Description">""</definedName>
    <definedName name="HTML_Email">""</definedName>
    <definedName name="HTML_Header">"ridftotal"</definedName>
    <definedName name="HTML_LastUpdate">"3/31/00"</definedName>
    <definedName name="HTML_LineAfter">FALSE</definedName>
    <definedName name="HTML_LineBefore">FALSE</definedName>
    <definedName name="HTML_Name">"PVKUTUMBA RAO"</definedName>
    <definedName name="HTML_OBDlg2">TRUE</definedName>
    <definedName name="HTML_OBDlg4">TRUE</definedName>
    <definedName name="HTML_OS">0</definedName>
    <definedName name="HTML_PathFile">"C:\MNMGEN\ridf5\MyHTML.htm"</definedName>
    <definedName name="HTML_Title">"absjanfeb2k"</definedName>
    <definedName name="hvacrates">NA()</definedName>
    <definedName name="HYD_EXCAVATOR">NA()</definedName>
    <definedName name="HYSD" localSheetId="11">NA()</definedName>
    <definedName name="HYSD" localSheetId="12">NA()</definedName>
    <definedName name="HYSD">[29]MRATES!$P$49</definedName>
    <definedName name="hyuu">NA()</definedName>
    <definedName name="i" localSheetId="11">NA()</definedName>
    <definedName name="i" localSheetId="12">NA()</definedName>
    <definedName name="i" localSheetId="0">#REF!</definedName>
    <definedName name="i">#REF!</definedName>
    <definedName name="I_2">"[99]rmr!#ref!"</definedName>
    <definedName name="IA">'[99]Sheet1 (2)'!$II$1</definedName>
    <definedName name="id">NA()</definedName>
    <definedName name="id10.0">'[73]int-Dia-hdpe'!$H$3:$H$27</definedName>
    <definedName name="id10_0">NA()</definedName>
    <definedName name="id2.5">#REF!</definedName>
    <definedName name="id2_5">NA()</definedName>
    <definedName name="id4.0">'[73]int-Dia-hdpe'!$E$3:$E$27</definedName>
    <definedName name="id4_0">NA()</definedName>
    <definedName name="id6.0">'[73]int-Dia-hdpe'!$F$3:$F$27</definedName>
    <definedName name="id6_0">NA()</definedName>
    <definedName name="id8.0">'[73]int-Dia-hdpe'!$G$3:$G$27</definedName>
    <definedName name="id8_0">NA()</definedName>
    <definedName name="if">[100]Sheet3!$C$15</definedName>
    <definedName name="IIELS">NA()</definedName>
    <definedName name="iiii">[82]Labour!$D$5</definedName>
    <definedName name="IK" localSheetId="12">{"'ridftotal'!$A$4:$S$27"}</definedName>
    <definedName name="IK">{"'ridftotal'!$A$4:$S$27"}</definedName>
    <definedName name="imp">"[282]sheet5!#ref!"</definedName>
    <definedName name="impervious_coat">NA()</definedName>
    <definedName name="in_100">NA()</definedName>
    <definedName name="in_150">NA()</definedName>
    <definedName name="in_200">NA()</definedName>
    <definedName name="in_25">NA()</definedName>
    <definedName name="in_250">NA()</definedName>
    <definedName name="in_300">NA()</definedName>
    <definedName name="in_32">NA()</definedName>
    <definedName name="in_40">NA()</definedName>
    <definedName name="in_400">NA()</definedName>
    <definedName name="in_50">NA()</definedName>
    <definedName name="in_500">NA()</definedName>
    <definedName name="in_600">NA()</definedName>
    <definedName name="in_65">NA()</definedName>
    <definedName name="in_80">NA()</definedName>
    <definedName name="income">NA()</definedName>
    <definedName name="ind">NA()</definedName>
    <definedName name="Index" localSheetId="12">{"'ridftotal'!$A$4:$S$27"}</definedName>
    <definedName name="Index">{"'ridftotal'!$A$4:$S$27"}</definedName>
    <definedName name="indu">"[282]indices!#ref!"</definedName>
    <definedName name="inspbg">NA()</definedName>
    <definedName name="inspbgcharges">NA()</definedName>
    <definedName name="Installed_Spare">"[284]iocount!#ref!"</definedName>
    <definedName name="Int">NA()</definedName>
    <definedName name="Interest_Rate">NA()</definedName>
    <definedName name="interlocking">NA()</definedName>
    <definedName name="INV_SCH">NA()</definedName>
    <definedName name="investment">NA()</definedName>
    <definedName name="inwords">"[286]wordsdata!#ref!"</definedName>
    <definedName name="IOA_12_gauge">"[71]material!#ref!"</definedName>
    <definedName name="IOA_14_gauge">"[71]material!#ref!"</definedName>
    <definedName name="iocl">NA()</definedName>
    <definedName name="IRC2.36">[29]MRATES!$M$6</definedName>
    <definedName name="IRC2_36">"[56]mrates!$m$6"</definedName>
    <definedName name="ISEC77">NA()</definedName>
    <definedName name="ISMC_WEIGHTS" localSheetId="11">NA()</definedName>
    <definedName name="ISMC_WEIGHTS" localSheetId="12">NA()</definedName>
    <definedName name="ISMC_WEIGHTS" localSheetId="0">#REF!</definedName>
    <definedName name="ISMC_WEIGHTS">#REF!</definedName>
    <definedName name="isolatedworks">NA()</definedName>
    <definedName name="IT">NA()</definedName>
    <definedName name="IT_10">NA()</definedName>
    <definedName name="items">"'[98]material&amp;equipment'!$a:$iv"</definedName>
    <definedName name="ITI">NA()</definedName>
    <definedName name="iv">NA()</definedName>
    <definedName name="J_I">NA()</definedName>
    <definedName name="JAD">NA()</definedName>
    <definedName name="jaji">NA()</definedName>
    <definedName name="JBcode_14dig" localSheetId="11">NA()</definedName>
    <definedName name="JBcode_14dig" localSheetId="12">NA()</definedName>
    <definedName name="JBcode_14dig" localSheetId="0">#REF!</definedName>
    <definedName name="JBcode_14dig">#REF!</definedName>
    <definedName name="JCB_Excavator">NA()</definedName>
    <definedName name="jd" localSheetId="11">NA()</definedName>
    <definedName name="jd" localSheetId="12">NA()</definedName>
    <definedName name="jd" localSheetId="0">#REF!</definedName>
    <definedName name="jd">#REF!</definedName>
    <definedName name="jdfknmnbdnb">"[119]lead!#ref!"</definedName>
    <definedName name="Jeddy_Stone_above_450_mm_to_600_mm">NA()</definedName>
    <definedName name="Jessu">NA()</definedName>
    <definedName name="jhkjahdkjhasdjhfkjasdhfkj" localSheetId="11">"[118]lead!#ref!"</definedName>
    <definedName name="jhkjahdkjhasdjhfkjasdhfkj" localSheetId="12">"[118]lead!#ref!"</definedName>
    <definedName name="jhkjahdkjhasdjhfkjasdhfkj" localSheetId="0">[56]Lead!#REF!</definedName>
    <definedName name="jhkjahdkjhasdjhfkjasdhfkj">[56]Lead!#REF!</definedName>
    <definedName name="jjfgkf" localSheetId="11">NA()</definedName>
    <definedName name="jjfgkf" localSheetId="12">NA()</definedName>
    <definedName name="jjfgkf" localSheetId="0">#REF!</definedName>
    <definedName name="jjfgkf">#REF!</definedName>
    <definedName name="JJJ">NA()</definedName>
    <definedName name="jjjjjj">"[71]material!#ref!"</definedName>
    <definedName name="jk" localSheetId="12">{"'ridftotal'!$A$4:$S$27"}</definedName>
    <definedName name="jk">{"'ridftotal'!$A$4:$S$27"}</definedName>
    <definedName name="JKDL123" localSheetId="11">NA()</definedName>
    <definedName name="JKDL123" localSheetId="12">NA()</definedName>
    <definedName name="JKDL123" localSheetId="0" hidden="1">#REF!</definedName>
    <definedName name="JKDL123" hidden="1">#REF!</definedName>
    <definedName name="jkjkknmjkljm">NA()</definedName>
    <definedName name="jksfiohifnklkldf" localSheetId="11">"scheduled_payment"+"extra_payment"</definedName>
    <definedName name="jksfiohifnklkldf" localSheetId="12">"scheduled_payment"+"extra_payment"</definedName>
    <definedName name="jksfiohifnklkldf" localSheetId="0">Scheduled_Payment+Extra_Payment</definedName>
    <definedName name="jksfiohifnklkldf" localSheetId="7">Scheduled_Payment+Extra_Payment</definedName>
    <definedName name="jksfiohifnklkldf">Scheduled_Payment+Extra_Payment</definedName>
    <definedName name="jlk">NA()</definedName>
    <definedName name="jnjlk">NA()</definedName>
    <definedName name="JobID">NA()</definedName>
    <definedName name="Jobtypes">"[291]form7!$r$3:$s$7"</definedName>
    <definedName name="Juliflora">NA()</definedName>
    <definedName name="JUNGLE">NA()</definedName>
    <definedName name="k1_table">NA()</definedName>
    <definedName name="k1x">"[294]design!#ref!"</definedName>
    <definedName name="k1y">"[294]design!#ref!"</definedName>
    <definedName name="k2x">"[294]design!#ref!"</definedName>
    <definedName name="k2y">"[294]design!#ref!"</definedName>
    <definedName name="ka">NA()</definedName>
    <definedName name="KADA" localSheetId="12">{"'ridftotal'!$A$4:$S$27"}</definedName>
    <definedName name="KADA">{"'ridftotal'!$A$4:$S$27"}</definedName>
    <definedName name="kADAPA" localSheetId="12">{"'ridftotal'!$A$4:$S$27"}</definedName>
    <definedName name="kADAPA">{"'ridftotal'!$A$4:$S$27"}</definedName>
    <definedName name="Kalyandurg">NA()</definedName>
    <definedName name="kankar__hard_broken_kankar__40_to_75_mm___ring">NA()</definedName>
    <definedName name="Kapurala">NA()</definedName>
    <definedName name="KC139_4">"'smb://Kumaresan/sathya/Documents%20and%20Settings/RQM/Desktop/Cost%20code.xls'#$''.$A$1"</definedName>
    <definedName name="KC139_5">"'smb://Kumaresan/sathya/Documents%20and%20Settings/RQM/Desktop/Cost%20code.xls'#$''.$A$1"</definedName>
    <definedName name="KC139_6">"'smb://Rajkishor/f/muthu%20vasanthan/Food%20court/S5.xls'#$''.$A$1"</definedName>
    <definedName name="KC139_7">"$#REF!.$A$1"</definedName>
    <definedName name="KFJ">[74]DATA_PRG!$H$180</definedName>
    <definedName name="kfvjlkjlkdl">NA()</definedName>
    <definedName name="kiran" localSheetId="11">NA()</definedName>
    <definedName name="kiran" localSheetId="12">NA()</definedName>
    <definedName name="kiran" localSheetId="0">#REF!</definedName>
    <definedName name="kiran">#REF!</definedName>
    <definedName name="Kishore">NA()</definedName>
    <definedName name="KJGLG">NA()</definedName>
    <definedName name="KJKHL">NA()</definedName>
    <definedName name="KK">[74]DATA_PRG!$H$211</definedName>
    <definedName name="kkkkkkkkkk">"[71]material!#ref!"</definedName>
    <definedName name="KKLEL">NA()</definedName>
    <definedName name="kljjl">NA()</definedName>
    <definedName name="km">NA()</definedName>
    <definedName name="km10th">NA()</definedName>
    <definedName name="km11th">NA()</definedName>
    <definedName name="km12th">NA()</definedName>
    <definedName name="km13th">NA()</definedName>
    <definedName name="km14th">NA()</definedName>
    <definedName name="km16th">NA()</definedName>
    <definedName name="km17th">NA()</definedName>
    <definedName name="km18th">NA()</definedName>
    <definedName name="km19th">NA()</definedName>
    <definedName name="km20th">NA()</definedName>
    <definedName name="km2nd">NA()</definedName>
    <definedName name="km3rd">NA()</definedName>
    <definedName name="km4th">NA()</definedName>
    <definedName name="km5th">NA()</definedName>
    <definedName name="km6th">NA()</definedName>
    <definedName name="km7th">NA()</definedName>
    <definedName name="km8th">NA()</definedName>
    <definedName name="km9th">NA()</definedName>
    <definedName name="kn">NA()</definedName>
    <definedName name="Knr" localSheetId="11">NA()</definedName>
    <definedName name="Knr" localSheetId="12">NA()</definedName>
    <definedName name="Knr" localSheetId="0">#REF!</definedName>
    <definedName name="Knr">#REF!</definedName>
    <definedName name="ko">NA()</definedName>
    <definedName name="Kolim">NA()</definedName>
    <definedName name="Konsortialanteil">NA()</definedName>
    <definedName name="krishna">NA()</definedName>
    <definedName name="ksksk">NA()</definedName>
    <definedName name="KVC">NA()</definedName>
    <definedName name="KW_RATE">[54]input!$C$17</definedName>
    <definedName name="l">[101]Labour!$D$8</definedName>
    <definedName name="L_Bhisti">[102]Labour!$D$3</definedName>
    <definedName name="L_BISTI">NA()</definedName>
    <definedName name="L_BitumenSprayer">[101]Labour!$D$4</definedName>
    <definedName name="L_Blacksmith">[102]Labour!$D$5</definedName>
    <definedName name="L_Blaster">[103]Labour!$D$6</definedName>
    <definedName name="L_BSMIT">NA()</definedName>
    <definedName name="L_ChipsSpreader">[101]Labour!$D$8</definedName>
    <definedName name="L_CPENTER">NA()</definedName>
    <definedName name="L_Driller">[103]Labour!$D$11</definedName>
    <definedName name="L_ELECRICIAN">NA()</definedName>
    <definedName name="L_Mason_1stClass">[102]Labour!$D$14</definedName>
    <definedName name="L_Mason_2ndClass">[102]Labour!$D$15</definedName>
    <definedName name="L_MASON1">NA()</definedName>
    <definedName name="L_MASON2">NA()</definedName>
    <definedName name="L_Mate">[102]Labour!$D$16</definedName>
    <definedName name="L_MAZDOOES">NA()</definedName>
    <definedName name="L_Mazdoor">[102]Labour!$D$17</definedName>
    <definedName name="L_Mazdoor_Semi">[102]Labour!$D$18</definedName>
    <definedName name="L_Mazdoor_Skilled">[102]Labour!$D$19</definedName>
    <definedName name="L_MAZDOORSK">NA()</definedName>
    <definedName name="L_MAZDOORUS">NA()</definedName>
    <definedName name="L_SURVEYER">NA()</definedName>
    <definedName name="L_Surveyor">[102]Labour!$D$22</definedName>
    <definedName name="la">"[307]data_bit_i!#ref!"</definedName>
    <definedName name="LABBBB">NA()</definedName>
    <definedName name="labor">NA()</definedName>
    <definedName name="labour">NA()</definedName>
    <definedName name="Labour_charges_for_laying_filter_with_sand_">NA()</definedName>
    <definedName name="Labour_charges_for_laying_filters_with_coarse_aggregate_">NA()</definedName>
    <definedName name="Labour_for_mixing_cement_mortar">NA()</definedName>
    <definedName name="lac">NA()</definedName>
    <definedName name="lali">NA()</definedName>
    <definedName name="Land_adv">NA()</definedName>
    <definedName name="Last_Row" localSheetId="11">NA()</definedName>
    <definedName name="Last_Row" localSheetId="12">NA()</definedName>
    <definedName name="Last_Row">#N/A</definedName>
    <definedName name="Laterite_40_to_75_mm___ring">NA()</definedName>
    <definedName name="Laterite_for_masonry">NA()</definedName>
    <definedName name="Laterite_for_revetment__225_mm">NA()</definedName>
    <definedName name="Laterite_for_revetment__300_mm">NA()</definedName>
    <definedName name="LBM">NA()</definedName>
    <definedName name="lbrick">NA()</definedName>
    <definedName name="LC">NA()</definedName>
    <definedName name="LCE">NA()</definedName>
    <definedName name="LCN">NA()</definedName>
    <definedName name="LCNAUX">'[93]Global factors'!$B$5</definedName>
    <definedName name="LCS" localSheetId="11">NA()</definedName>
    <definedName name="LCS" localSheetId="12">NA()</definedName>
    <definedName name="LCS" localSheetId="0">#REF!</definedName>
    <definedName name="LCS">#REF!</definedName>
    <definedName name="le">NA()</definedName>
    <definedName name="lead" localSheetId="11">NA()</definedName>
    <definedName name="lead" localSheetId="12">NA()</definedName>
    <definedName name="lead" localSheetId="0">#REF!</definedName>
    <definedName name="lead">#REF!</definedName>
    <definedName name="LEAD_1">NA()</definedName>
    <definedName name="LEAD_2">NA()</definedName>
    <definedName name="LEAD_3">NA()</definedName>
    <definedName name="lead_list">NA()</definedName>
    <definedName name="lead_MIDDLE">NA()</definedName>
    <definedName name="lead_prin" localSheetId="11">NA()</definedName>
    <definedName name="lead_prin" localSheetId="12">NA()</definedName>
    <definedName name="lead_prin" localSheetId="0">#REF!</definedName>
    <definedName name="lead_prin">#REF!</definedName>
    <definedName name="LEAD_RANGE">'[55]BACK BONE'!$DF$4:$DF$26</definedName>
    <definedName name="LEAD_Y1">NA()</definedName>
    <definedName name="LEAD_Y2">NA()</definedName>
    <definedName name="lead3" localSheetId="11">NA()</definedName>
    <definedName name="lead3" localSheetId="12">NA()</definedName>
    <definedName name="lead3" localSheetId="0">#REF!</definedName>
    <definedName name="lead3">#REF!</definedName>
    <definedName name="leada">NA()</definedName>
    <definedName name="leadprin" localSheetId="11">NA()</definedName>
    <definedName name="leadprin" localSheetId="12">NA()</definedName>
    <definedName name="leadprin" localSheetId="0">#REF!</definedName>
    <definedName name="leadprin">#REF!</definedName>
    <definedName name="Leads">NA()</definedName>
    <definedName name="leads1">[104]leads!$A$3:$F$53</definedName>
    <definedName name="leads11">[1]leads!$A$3:$E$107</definedName>
    <definedName name="leela">NA()</definedName>
    <definedName name="lef">NA()</definedName>
    <definedName name="legend">NA()</definedName>
    <definedName name="lel">NA()</definedName>
    <definedName name="LEN">NA()</definedName>
    <definedName name="lfb">"[122]process!#ref!"</definedName>
    <definedName name="lfo">[100]Sheet3!$C$16</definedName>
    <definedName name="lgravel">NA()</definedName>
    <definedName name="lgt">'[26]C-data'!$F$25</definedName>
    <definedName name="LI_LI">"[65]general!#ref!"</definedName>
    <definedName name="library">NA()</definedName>
    <definedName name="Lift_Delift_Ranges">'[55]BACK BONE'!$A$24:$A1037651</definedName>
    <definedName name="LIFT_RANGE">'[55]BACK BONE'!$DO$4:$DO$26</definedName>
    <definedName name="lifting_heights">'[70]data existing_do not delete'!$A$43:$A$54</definedName>
    <definedName name="LIII">"[317]estimate!#ref!"</definedName>
    <definedName name="lilili">"[65]general!#ref!"</definedName>
    <definedName name="lin">[74]DATA_PRG!$H$159</definedName>
    <definedName name="LineDetails">[105]Lookup!$A$3:$AH$284</definedName>
    <definedName name="LIT">NA()</definedName>
    <definedName name="ljhj">NA()</definedName>
    <definedName name="lkajdhrlkuae">NA()</definedName>
    <definedName name="lkhfesryhelu">NA()</definedName>
    <definedName name="lkjgushr">NA()</definedName>
    <definedName name="lksslska">"[71]material!#ref!"</definedName>
    <definedName name="lkuj" localSheetId="11">#REF!</definedName>
    <definedName name="lkuj" localSheetId="12">#REF!</definedName>
    <definedName name="lkuj" localSheetId="0">#REF!</definedName>
    <definedName name="lkuj">#REF!</definedName>
    <definedName name="lld">"[122]process!#ref!"</definedName>
    <definedName name="LLL">NA()</definedName>
    <definedName name="llllllllllll">"[71]material!#ref!"</definedName>
    <definedName name="llllllllllllllll">NA()</definedName>
    <definedName name="lllllllllllllllll">"[71]material!#ref!"</definedName>
    <definedName name="llw">"[122]process!#ref!"</definedName>
    <definedName name="LMAUX">'[93]Global factors'!$B$10</definedName>
    <definedName name="lmc">NA()</definedName>
    <definedName name="LOAD_UNLOAD">'[55]BACK BONE'!$DS$1:$DS$3</definedName>
    <definedName name="Loader_of_1_Cu_M_">NA()</definedName>
    <definedName name="loading">NA()</definedName>
    <definedName name="Loamy_and_Clayey_soils_like_black_cotton_soils__red_earth_and_ordinary_gravel_SS_20_A_">NA()</definedName>
    <definedName name="Loan_Amount">NA()</definedName>
    <definedName name="Loan_Start">NA()</definedName>
    <definedName name="Loan_Years">NA()</definedName>
    <definedName name="loans_adv">NA()</definedName>
    <definedName name="lobour">"[84]rates!#ref!"</definedName>
    <definedName name="lok">NA()</definedName>
    <definedName name="LONG">NA()</definedName>
    <definedName name="LOOP">NA()</definedName>
    <definedName name="lrstone">NA()</definedName>
    <definedName name="LS_ROAD">NA()</definedName>
    <definedName name="lsand">NA()</definedName>
    <definedName name="lsec">NA()</definedName>
    <definedName name="Lsec1">NA()</definedName>
    <definedName name="Lsec2">NA()</definedName>
    <definedName name="Lsec3">NA()</definedName>
    <definedName name="Lsec4">NA()</definedName>
    <definedName name="Lsec5">NA()</definedName>
    <definedName name="Lsec6">NA()</definedName>
    <definedName name="lsec7">NA()</definedName>
    <definedName name="LSNO1">[106]Lead!$N$7</definedName>
    <definedName name="LSNO12">"[321]lead!#ref!"</definedName>
    <definedName name="LSNO13">[10]Lead!$N$10</definedName>
    <definedName name="LSNO14">[10]Lead!$N$11</definedName>
    <definedName name="LSNO15">"[321]lead!#ref!"</definedName>
    <definedName name="LSNO17">"[321]lead!#ref!"</definedName>
    <definedName name="LSNO18">"[14]lead!#ref!"</definedName>
    <definedName name="LSNO19">[107]Lead!$O$20</definedName>
    <definedName name="LSNO2">[10]Lead!$N$7</definedName>
    <definedName name="LSNO20" localSheetId="11">"[14]lead!#ref!"</definedName>
    <definedName name="LSNO20" localSheetId="12">"[14]lead!#ref!"</definedName>
    <definedName name="LSNO20" localSheetId="0">[10]Lead!#REF!</definedName>
    <definedName name="LSNO20">[10]Lead!#REF!</definedName>
    <definedName name="LSNO21">"[321]lead!#ref!"</definedName>
    <definedName name="LSNO23">"[14]lead!#ref!"</definedName>
    <definedName name="LSNO24">[106]Lead!$N$26</definedName>
    <definedName name="LSNO26">[106]Lead!$N$28</definedName>
    <definedName name="LSNO27">"[321]lead!#ref!"</definedName>
    <definedName name="LSNO28">"[321]lead!#ref!"</definedName>
    <definedName name="LSNO29">"[321]lead!#ref!"</definedName>
    <definedName name="LSNO3">[106]Lead!$N$9</definedName>
    <definedName name="LSNO30">"[321]lead!#ref!"</definedName>
    <definedName name="LSNO31">"[321]lead!#ref!"</definedName>
    <definedName name="LSNO32">"[321]lead!#ref!"</definedName>
    <definedName name="LSNO33">"[321]lead!#ref!"</definedName>
    <definedName name="LSNO35">"[321]lead!#ref!"</definedName>
    <definedName name="LSNO36">"[321]lead!#ref!"</definedName>
    <definedName name="LSNO4">[10]Lead!$N$9</definedName>
    <definedName name="LSNO7">"[321]lead!#ref!"</definedName>
    <definedName name="LSNO9">"[321]lead!#ref!"</definedName>
    <definedName name="lss">NA()</definedName>
    <definedName name="lstone">NA()</definedName>
    <definedName name="lujm" localSheetId="11">#REF!</definedName>
    <definedName name="lujm" localSheetId="12">#REF!</definedName>
    <definedName name="lujm" localSheetId="0">#REF!</definedName>
    <definedName name="lujm">#REF!</definedName>
    <definedName name="lw">NA()</definedName>
    <definedName name="lxg">NA()</definedName>
    <definedName name="m">NA()</definedName>
    <definedName name="M_0_50">NA()</definedName>
    <definedName name="M_01">NA()</definedName>
    <definedName name="M_02">NA()</definedName>
    <definedName name="M_03">NA()</definedName>
    <definedName name="M_04">NA()</definedName>
    <definedName name="M_05">NA()</definedName>
    <definedName name="M_06">NA()</definedName>
    <definedName name="M_07">NA()</definedName>
    <definedName name="M_08">NA()</definedName>
    <definedName name="M_09">NA()</definedName>
    <definedName name="M_10">NA()</definedName>
    <definedName name="M_100">NA()</definedName>
    <definedName name="M_101">NA()</definedName>
    <definedName name="M_102">NA()</definedName>
    <definedName name="M_103">NA()</definedName>
    <definedName name="M_104">NA()</definedName>
    <definedName name="M_105">NA()</definedName>
    <definedName name="M_106">NA()</definedName>
    <definedName name="M_107">NA()</definedName>
    <definedName name="M_108">NA()</definedName>
    <definedName name="M_109">NA()</definedName>
    <definedName name="M_11">NA()</definedName>
    <definedName name="M_110">NA()</definedName>
    <definedName name="M_111">NA()</definedName>
    <definedName name="M_112">NA()</definedName>
    <definedName name="M_113">NA()</definedName>
    <definedName name="M_114">NA()</definedName>
    <definedName name="M_115">NA()</definedName>
    <definedName name="M_116">NA()</definedName>
    <definedName name="M_117">NA()</definedName>
    <definedName name="M_118">NA()</definedName>
    <definedName name="M_119">NA()</definedName>
    <definedName name="M_12">NA()</definedName>
    <definedName name="M_120">NA()</definedName>
    <definedName name="M_121">NA()</definedName>
    <definedName name="M_122">NA()</definedName>
    <definedName name="M_123">NA()</definedName>
    <definedName name="M_124">NA()</definedName>
    <definedName name="M_125">NA()</definedName>
    <definedName name="M_126">NA()</definedName>
    <definedName name="M_127">NA()</definedName>
    <definedName name="M_128">NA()</definedName>
    <definedName name="M_129">NA()</definedName>
    <definedName name="M_13">NA()</definedName>
    <definedName name="M_130">NA()</definedName>
    <definedName name="M_131">NA()</definedName>
    <definedName name="M_132">NA()</definedName>
    <definedName name="M_133">NA()</definedName>
    <definedName name="M_134">NA()</definedName>
    <definedName name="M_135">NA()</definedName>
    <definedName name="M_136">NA()</definedName>
    <definedName name="M_137">NA()</definedName>
    <definedName name="M_138">NA()</definedName>
    <definedName name="M_139">NA()</definedName>
    <definedName name="M_14">NA()</definedName>
    <definedName name="M_140">NA()</definedName>
    <definedName name="M_141">NA()</definedName>
    <definedName name="M_142">NA()</definedName>
    <definedName name="M_143">NA()</definedName>
    <definedName name="M_144">NA()</definedName>
    <definedName name="M_145">NA()</definedName>
    <definedName name="M_146">NA()</definedName>
    <definedName name="M_147">NA()</definedName>
    <definedName name="M_148">NA()</definedName>
    <definedName name="M_149">NA()</definedName>
    <definedName name="M_15">NA()</definedName>
    <definedName name="M_150">NA()</definedName>
    <definedName name="M_16">NA()</definedName>
    <definedName name="M_17">NA()</definedName>
    <definedName name="M_18">NA()</definedName>
    <definedName name="M_19">NA()</definedName>
    <definedName name="M_20">NA()</definedName>
    <definedName name="M_21">NA()</definedName>
    <definedName name="M_22">NA()</definedName>
    <definedName name="M_23">NA()</definedName>
    <definedName name="M_24">NA()</definedName>
    <definedName name="M_25">NA()</definedName>
    <definedName name="M_26">NA()</definedName>
    <definedName name="M_27">NA()</definedName>
    <definedName name="M_28">NA()</definedName>
    <definedName name="M_29">NA()</definedName>
    <definedName name="M_30">NA()</definedName>
    <definedName name="M_31">NA()</definedName>
    <definedName name="M_32">NA()</definedName>
    <definedName name="M_33">NA()</definedName>
    <definedName name="M_34">NA()</definedName>
    <definedName name="M_35">NA()</definedName>
    <definedName name="M_36">NA()</definedName>
    <definedName name="M_37">NA()</definedName>
    <definedName name="M_38">NA()</definedName>
    <definedName name="M_39">NA()</definedName>
    <definedName name="M_40">NA()</definedName>
    <definedName name="M_41">NA()</definedName>
    <definedName name="M_42">NA()</definedName>
    <definedName name="M_43">NA()</definedName>
    <definedName name="M_44">NA()</definedName>
    <definedName name="M_45">NA()</definedName>
    <definedName name="M_46">NA()</definedName>
    <definedName name="M_47">NA()</definedName>
    <definedName name="M_48">NA()</definedName>
    <definedName name="M_49">NA()</definedName>
    <definedName name="M_50">NA()</definedName>
    <definedName name="M_51">NA()</definedName>
    <definedName name="M_52">NA()</definedName>
    <definedName name="M_53">NA()</definedName>
    <definedName name="M_54">NA()</definedName>
    <definedName name="M_55">NA()</definedName>
    <definedName name="M_56">NA()</definedName>
    <definedName name="M_57">NA()</definedName>
    <definedName name="M_58">NA()</definedName>
    <definedName name="M_59">NA()</definedName>
    <definedName name="M_60">NA()</definedName>
    <definedName name="M_61">NA()</definedName>
    <definedName name="M_62">NA()</definedName>
    <definedName name="M_63">NA()</definedName>
    <definedName name="M_64">NA()</definedName>
    <definedName name="M_65">NA()</definedName>
    <definedName name="M_66">NA()</definedName>
    <definedName name="M_67">NA()</definedName>
    <definedName name="M_68">NA()</definedName>
    <definedName name="M_69">NA()</definedName>
    <definedName name="M_70">NA()</definedName>
    <definedName name="M_71">NA()</definedName>
    <definedName name="M_72">NA()</definedName>
    <definedName name="M_73">NA()</definedName>
    <definedName name="M_74">NA()</definedName>
    <definedName name="M_75">NA()</definedName>
    <definedName name="M_76">NA()</definedName>
    <definedName name="M_77">NA()</definedName>
    <definedName name="M_78">NA()</definedName>
    <definedName name="M_79">NA()</definedName>
    <definedName name="M_80">NA()</definedName>
    <definedName name="M_81">NA()</definedName>
    <definedName name="M_82">NA()</definedName>
    <definedName name="M_83">NA()</definedName>
    <definedName name="M_84">NA()</definedName>
    <definedName name="M_85">NA()</definedName>
    <definedName name="M_86">NA()</definedName>
    <definedName name="M_87">NA()</definedName>
    <definedName name="M_88">NA()</definedName>
    <definedName name="M_89">NA()</definedName>
    <definedName name="M_90">NA()</definedName>
    <definedName name="M_91">NA()</definedName>
    <definedName name="M_92">NA()</definedName>
    <definedName name="M_93">NA()</definedName>
    <definedName name="M_94">NA()</definedName>
    <definedName name="M_95">NA()</definedName>
    <definedName name="M_96">NA()</definedName>
    <definedName name="M_97">NA()</definedName>
    <definedName name="M_98">NA()</definedName>
    <definedName name="M_99">NA()</definedName>
    <definedName name="M_ACPipe_100">[103]Material!$D$3</definedName>
    <definedName name="M_Aggregate_10">[102]Material!$D$17</definedName>
    <definedName name="M_Aggregate_20">[102]Material!$D$18</definedName>
    <definedName name="M_Aggregate_375mmMaximum_224_56mm">[102]Material!$D$4</definedName>
    <definedName name="M_Aggregate_40">[102]Material!$D$19</definedName>
    <definedName name="M_Aggregate_Crushable_GradeII">[108]Material!$D$21</definedName>
    <definedName name="M_Aggregate_Crushable_GradeIII">[108]Material!$D$22</definedName>
    <definedName name="M_Aggregate_GradeII_19mmNominal_10_5mm">[109]Material!$D$14</definedName>
    <definedName name="M_Aggregate_GradeII_19mmNominal_25_10mm">[109]Material!$D$15</definedName>
    <definedName name="M_Aggregate_GradeII_19mmNominal_5mm_below">[109]Material!$D$16</definedName>
    <definedName name="M_Aggregate_GradeII_63_45mm">[108]Material!$D$24</definedName>
    <definedName name="M_Aggregate_GradeIII_53_224mm">[108]Material!$D$25</definedName>
    <definedName name="M_AIRCOMP170">NA()</definedName>
    <definedName name="M_AIRCOMP210">NA()</definedName>
    <definedName name="M_BindingWire">[103]Material!$D$38</definedName>
    <definedName name="M_Bitumen_CRM">[109]Material!$D$39</definedName>
    <definedName name="M_Bitumen_NRM">[109]Material!$D$40</definedName>
    <definedName name="M_Bitumen_PM">[109]Material!$D$41</definedName>
    <definedName name="M_Bitumen_S65">[101]Material!$D$42</definedName>
    <definedName name="M_Bitumen_S90">[101]Material!$D$43</definedName>
    <definedName name="M_BitumenEmulsion_RS1">[109]Material!$D$44</definedName>
    <definedName name="M_BitumenEmulsion_SS1">[102]Material!$D$45</definedName>
    <definedName name="M_BitumenSealant">[102]Material!$D$46</definedName>
    <definedName name="M_Blasted_Rubble">[103]Material!$D$47</definedName>
    <definedName name="M_BlastingMaterial">[103]Material!$D$48</definedName>
    <definedName name="M_BondStone_400_150_150mm">[103]Material!$D$49</definedName>
    <definedName name="M_Brick_1stClass">[103]Material!$D$50</definedName>
    <definedName name="M_BROOMER">NA()</definedName>
    <definedName name="M_CC_CUTTER">NA()</definedName>
    <definedName name="M_CCMIXER">NA()</definedName>
    <definedName name="M_Cement">[102]Material!$D$51</definedName>
    <definedName name="M_CHIPSPREDER">NA()</definedName>
    <definedName name="M_CompensationForEarthTakenFromPrivateLand">[101]Material!$D$54</definedName>
    <definedName name="M_CRANE8T">NA()</definedName>
    <definedName name="M_CrushedSand_OR_Grit">[109]Material!$D$61</definedName>
    <definedName name="M_CrushedStoneChipping_132">[109]Material!$D$64</definedName>
    <definedName name="M_CrushedStoneChipping_67mm_100Passing_112mm">[109]Material!$D$65</definedName>
    <definedName name="M_CrushedStoneChipping_67mm_100Passing_95mm">[109]Material!$D$66</definedName>
    <definedName name="M_CrushedStoneChipping_95">[109]Material!$D$67</definedName>
    <definedName name="M_CrushedStoneCoarseAggregatePassing_53mm">[101]Material!$D$68</definedName>
    <definedName name="M_CuringCompound">[102]Material!$D$69</definedName>
    <definedName name="M_DebondingStrips">[102]Material!$D$70</definedName>
    <definedName name="M_DOZERD50">NA()</definedName>
    <definedName name="M_ElastomericBearingAssembly">[103]Material!$D$73</definedName>
    <definedName name="M_ElectricDetonator">[103]Material!$D$74</definedName>
    <definedName name="M_ELEGEN">NA()</definedName>
    <definedName name="M_EXCAVATOR9">NA()</definedName>
    <definedName name="M_FilterMedia">[103]Material!$D$79</definedName>
    <definedName name="M_filterMediam">[86]Material!$D$79</definedName>
    <definedName name="M_FRONTLOADER">NA()</definedName>
    <definedName name="M_GranularMaterial">[103]Material!$D$88</definedName>
    <definedName name="M_HandBrokenMetal_40mm">[109]Material!$D$89</definedName>
    <definedName name="M_HMP40">NA()</definedName>
    <definedName name="M_ICRUSHER">NA()</definedName>
    <definedName name="M_InterlockingBlocks_60mm">[109]Material!$D$91</definedName>
    <definedName name="M_InterlockingBlocks_80mm">[109]Material!$D$92</definedName>
    <definedName name="M_JointFillerBoard">[102]Material!$D$93</definedName>
    <definedName name="M_JuteRope_12mm">[102]Material!$D$95</definedName>
    <definedName name="M_KeyAggregatesPassing_224mm">[101]Material!$D$96</definedName>
    <definedName name="m_lead">NA()</definedName>
    <definedName name="M_Lime">[103]Material!$D$97</definedName>
    <definedName name="M_MOTORGRADER200">NA()</definedName>
    <definedName name="M_MOTORGRADER50">NA()</definedName>
    <definedName name="M_MSClamps">[103]Material!$D$102</definedName>
    <definedName name="M_PAVER100">NA()</definedName>
    <definedName name="M_PAVER75">NA()</definedName>
    <definedName name="M_PD_BT">NA()</definedName>
    <definedName name="M_PD_BTEM">NA()</definedName>
    <definedName name="M_Plasticizer">[102]Material!$D$109</definedName>
    <definedName name="M_PolytheneSheet_125">[102]Material!$D$110</definedName>
    <definedName name="M_PolytheneSheething">[102]Material!$D$111</definedName>
    <definedName name="M_RCCPipeNP3_1000mm">[102]Material!$D$114</definedName>
    <definedName name="M_RCCPipeNP3_1200mm">[102]Material!$D$113</definedName>
    <definedName name="M_RCCPipeNP3_500mm">[102]Material!$D$117</definedName>
    <definedName name="M_RCCPipeNP3_750mm">[102]Material!$D$115</definedName>
    <definedName name="M_RCCPipeNP4_1000mm">[102]Material!$D$119</definedName>
    <definedName name="M_RCCPipeNP4_1200mm">[102]Material!$D$118</definedName>
    <definedName name="M_RCCPipeNP4_500mm">[102]Material!$D$122</definedName>
    <definedName name="M_RCCPipeNP4_750mm">[102]Material!$D$120</definedName>
    <definedName name="M_ROLLER">NA()</definedName>
    <definedName name="M_Sand_Coarse">[102]Material!$D$125</definedName>
    <definedName name="M_Sand_Fine">[102]Material!$D$126</definedName>
    <definedName name="M_SteelReinforcement_HYSDBars">[103]Material!$D$129</definedName>
    <definedName name="M_SteelReinforcement_MSRoundBars">[102]Material!$D$130</definedName>
    <definedName name="M_SteelReinforcement_TMTBars">[103]Material!$D$131</definedName>
    <definedName name="M_StoneBoulder_150mm_below">[101]Material!$D$132</definedName>
    <definedName name="M_StoneChips_12mm">[109]Material!$D$133</definedName>
    <definedName name="M_StoneCrushedAggregate_112_009mm">[109]Material!$D$135</definedName>
    <definedName name="M_StoneForCoarseRubbleMasonry_1stSort">[103]Material!$D$136</definedName>
    <definedName name="M_StoneForCoarseRubbleMasonry_2ndSort">[103]Material!$D$137</definedName>
    <definedName name="M_StoneForRandomRubbleMasonry">[103]Material!$D$138</definedName>
    <definedName name="M_StoneSpalls">[101]Material!$D$144</definedName>
    <definedName name="M_TANKER6K">NA()</definedName>
    <definedName name="M_TIPPER">NA()</definedName>
    <definedName name="M_TRACTORRIPPER">NA()</definedName>
    <definedName name="M_TRACTORROTAVATOR">NA()</definedName>
    <definedName name="M_VIBRATOR_N">NA()</definedName>
    <definedName name="M_VIBRATOR_P">NA()</definedName>
    <definedName name="M_VIBRATOR_S">NA()</definedName>
    <definedName name="M_W_Mazdoor">NA()</definedName>
    <definedName name="M_Water">[102]Material!$D$146</definedName>
    <definedName name="M103xN103">NA()</definedName>
    <definedName name="M1x">"[294]design!#ref!"</definedName>
    <definedName name="M1y">"[294]design!#ref!"</definedName>
    <definedName name="m2_2009">NA()</definedName>
    <definedName name="M2x">"[294]design!#ref!"</definedName>
    <definedName name="M2y">"[294]design!#ref!"</definedName>
    <definedName name="m3_2009">NA()</definedName>
    <definedName name="m8_2008">NA()</definedName>
    <definedName name="m9_2008">NA()</definedName>
    <definedName name="MA">[110]Input!$D$36</definedName>
    <definedName name="maa">"[307]data_bit_i!#ref!"</definedName>
    <definedName name="mab">"[307]data_bit_i!#ref!"</definedName>
    <definedName name="machine_mixing_of_concrete_">NA()</definedName>
    <definedName name="Macro4">NA()</definedName>
    <definedName name="Macro5">NA()</definedName>
    <definedName name="MAD" localSheetId="11">NA()</definedName>
    <definedName name="MAD" localSheetId="12">NA()</definedName>
    <definedName name="MAD" localSheetId="0">#REF!</definedName>
    <definedName name="MAD">#REF!</definedName>
    <definedName name="Maddy" localSheetId="11">NA()</definedName>
    <definedName name="Maddy" localSheetId="12">NA()</definedName>
    <definedName name="Maddy" localSheetId="0">#REF!</definedName>
    <definedName name="Maddy">#REF!</definedName>
    <definedName name="madhu" localSheetId="11">NA()</definedName>
    <definedName name="madhu" localSheetId="12">NA()</definedName>
    <definedName name="madhu" localSheetId="0">#REF!</definedName>
    <definedName name="madhu">#REF!</definedName>
    <definedName name="Main">NA()</definedName>
    <definedName name="maintenance">NA()</definedName>
    <definedName name="makh">NA()</definedName>
    <definedName name="mal">[111]DATA!$H$67</definedName>
    <definedName name="Male" localSheetId="11">"[93]data!#ref!"</definedName>
    <definedName name="Male" localSheetId="12">"[93]data!#ref!"</definedName>
    <definedName name="Male" localSheetId="0">[50]data!#REF!</definedName>
    <definedName name="Male">[50]data!#REF!</definedName>
    <definedName name="male_sp">NA()</definedName>
    <definedName name="MAN">[87]m!$B$149</definedName>
    <definedName name="Man_Mazdoor">NA()</definedName>
    <definedName name="mangalore">NA()</definedName>
    <definedName name="Mani">[112]Leads!$B$13:$D$113</definedName>
    <definedName name="manm">NA()</definedName>
    <definedName name="manmazdoor">NA()</definedName>
    <definedName name="mano">NA()</definedName>
    <definedName name="map">'[26]C-data'!$F$115</definedName>
    <definedName name="MARBLE_STONES">'[55]BUILDING ITEMS'!$C$23:$C$27</definedName>
    <definedName name="mas">NA()</definedName>
    <definedName name="mas_hab">[113]mas_hab!$A$1:$L$2239</definedName>
    <definedName name="mason">'[114]Rates SSR 2008-09'!$I$63</definedName>
    <definedName name="Mason_1st_class">NA()</definedName>
    <definedName name="Mason_2nd_class">NA()</definedName>
    <definedName name="mason1">'[33]SSR 2014-15 Rates'!$E$41</definedName>
    <definedName name="mason2">'[33]SSR 2014-15 Rates'!$E$42</definedName>
    <definedName name="mass">NA()</definedName>
    <definedName name="master">NA()</definedName>
    <definedName name="Mastic_Cooker">NA()</definedName>
    <definedName name="MASTICK">NA()</definedName>
    <definedName name="mat">NA()</definedName>
    <definedName name="MATE">[76]MRATES!$F$36</definedName>
    <definedName name="material">NA()</definedName>
    <definedName name="MATERIAL_CLASS">'[55]PIPES BASIC RATES'!$A$5:$A$1000</definedName>
    <definedName name="maz">NA()</definedName>
    <definedName name="Mazdoor">'[33]SSR 2014-15 Rates'!$E$43</definedName>
    <definedName name="mazski">NA()</definedName>
    <definedName name="mbb">"[307]data_bit_i!#ref!"</definedName>
    <definedName name="mbm">NA()</definedName>
    <definedName name="mbmi">NA()</definedName>
    <definedName name="mbpt">NA()</definedName>
    <definedName name="MC">NA()</definedName>
    <definedName name="MCH">NA()</definedName>
    <definedName name="mcode">NA()</definedName>
    <definedName name="mcpl">NA()</definedName>
    <definedName name="mcvm">NA()</definedName>
    <definedName name="me">NA()</definedName>
    <definedName name="Medical" localSheetId="11">"[93]data!#ref!"</definedName>
    <definedName name="Medical" localSheetId="12">"[93]data!#ref!"</definedName>
    <definedName name="Medical" localSheetId="0">[50]data!#REF!</definedName>
    <definedName name="Medical">[50]data!#REF!</definedName>
    <definedName name="Melamine">NA()</definedName>
    <definedName name="Met14Crush">NA()</definedName>
    <definedName name="Met22crush">NA()</definedName>
    <definedName name="Met22HBG">NA()</definedName>
    <definedName name="Met22MC">NA()</definedName>
    <definedName name="Met236_5">NA()</definedName>
    <definedName name="Met236below">NA()</definedName>
    <definedName name="Met27crush">NA()</definedName>
    <definedName name="Met5_7">NA()</definedName>
    <definedName name="Met9_511_2">NA()</definedName>
    <definedName name="metal" localSheetId="11">NA()</definedName>
    <definedName name="metal" localSheetId="12">NA()</definedName>
    <definedName name="metal" localSheetId="0">#REF!</definedName>
    <definedName name="metal">#REF!</definedName>
    <definedName name="Metal__stone">NA()</definedName>
    <definedName name="metal_40">NA()</definedName>
    <definedName name="metal_65">NA()</definedName>
    <definedName name="metal_75">NA()</definedName>
    <definedName name="metal_blast">NA()</definedName>
    <definedName name="METAL_D" localSheetId="11">"[56]mrates!$k$30"</definedName>
    <definedName name="METAL_D" localSheetId="12">"[56]mrates!$k$30"</definedName>
    <definedName name="METAL_D">[29]MRATES!$K$30</definedName>
    <definedName name="metal_hc75">NA()</definedName>
    <definedName name="metal_pick">NA()</definedName>
    <definedName name="metal_spr75">NA()</definedName>
    <definedName name="metal_stack">NA()</definedName>
    <definedName name="metal1" localSheetId="11">NA()</definedName>
    <definedName name="metal1" localSheetId="12">NA()</definedName>
    <definedName name="metal1" localSheetId="0">#REF!</definedName>
    <definedName name="metal1">#REF!</definedName>
    <definedName name="metal10">NA()</definedName>
    <definedName name="metal11" localSheetId="11">NA()</definedName>
    <definedName name="metal11" localSheetId="12">NA()</definedName>
    <definedName name="metal11" localSheetId="0">#REF!</definedName>
    <definedName name="metal11">#REF!</definedName>
    <definedName name="metal12">NA()</definedName>
    <definedName name="metal12ss">NA()</definedName>
    <definedName name="metal20">NA()</definedName>
    <definedName name="metal20ss">NA()</definedName>
    <definedName name="metal3" localSheetId="11">NA()</definedName>
    <definedName name="metal3" localSheetId="12">NA()</definedName>
    <definedName name="metal3" localSheetId="0">#REF!</definedName>
    <definedName name="metal3">#REF!</definedName>
    <definedName name="metal40">NA()</definedName>
    <definedName name="metal40ss">NA()</definedName>
    <definedName name="metal45">NA()</definedName>
    <definedName name="metal6">NA()</definedName>
    <definedName name="metal65">NA()</definedName>
    <definedName name="metal75">NA()</definedName>
    <definedName name="mhc">NA()</definedName>
    <definedName name="MHElect_">NA()</definedName>
    <definedName name="MHW_SUPPLY">NA()</definedName>
    <definedName name="MI_06">NA()</definedName>
    <definedName name="MI_10">NA()</definedName>
    <definedName name="MI_12">NA()</definedName>
    <definedName name="MI_20">NA()</definedName>
    <definedName name="MI_236">NA()</definedName>
    <definedName name="MI_25">NA()</definedName>
    <definedName name="MI_40">NA()</definedName>
    <definedName name="MILD">NA()</definedName>
    <definedName name="MILD_6">[115]RMR!$F$30</definedName>
    <definedName name="Mild_Steel__Structural_Steel__I_e___Angles__Channels_and_I_sections_">NA()</definedName>
    <definedName name="Mild_steel_flats">NA()</definedName>
    <definedName name="Mild_steel_rods_6mm_dia_">NA()</definedName>
    <definedName name="mini_hmp">NA()</definedName>
    <definedName name="minpc">NA()</definedName>
    <definedName name="mix">[116]r!$I$46</definedName>
    <definedName name="MIX_SEAL_WBM">NA()</definedName>
    <definedName name="Mixing_of_cement_mortar_by_machine">NA()</definedName>
    <definedName name="Mixture_of_gravel_and_soft_disintegrated_rock_like_shales_ordinary_gravel__stoney_earth_and_earth_mixed_with_fair_sized_boulders________________SS_20_A">NA()</definedName>
    <definedName name="MK" localSheetId="12">{"'ridftotal'!$A$4:$S$27"}</definedName>
    <definedName name="MK">{"'ridftotal'!$A$4:$S$27"}</definedName>
    <definedName name="ml">NA()</definedName>
    <definedName name="MLOAD" localSheetId="11">"[56]mrates!$x$10"</definedName>
    <definedName name="MLOAD" localSheetId="12">"[56]mrates!$x$10"</definedName>
    <definedName name="MLOAD">[29]MRATES!$X$10</definedName>
    <definedName name="MLOADING">NA()</definedName>
    <definedName name="mm">[64]r!$F$4</definedName>
    <definedName name="mmc">NA()</definedName>
    <definedName name="mmcc">NA()</definedName>
    <definedName name="mmixing">NA()</definedName>
    <definedName name="MMMMM">NA()</definedName>
    <definedName name="MMP">NA()</definedName>
    <definedName name="mn" localSheetId="11">NA()</definedName>
    <definedName name="mn" localSheetId="12">NA()</definedName>
    <definedName name="mn">'[117]Lead statement'!#REF!</definedName>
    <definedName name="Mname">NA()</definedName>
    <definedName name="MNJ" localSheetId="11">NA()</definedName>
    <definedName name="MNJ" localSheetId="12">NA()</definedName>
    <definedName name="MNJ" localSheetId="0">#REF!</definedName>
    <definedName name="MNJ">#REF!</definedName>
    <definedName name="mnr">NA()</definedName>
    <definedName name="moj">NA()</definedName>
    <definedName name="mone">[64]r!$F$2</definedName>
    <definedName name="mone1">[2]r!$F$2</definedName>
    <definedName name="mortar_by_machine">NA()</definedName>
    <definedName name="Mortar_Grader_BEML">NA()</definedName>
    <definedName name="mpbm">NA()</definedName>
    <definedName name="mpbmi">NA()</definedName>
    <definedName name="MPLOT_PGR_CHP">NA()</definedName>
    <definedName name="mq">NA()</definedName>
    <definedName name="mr">NA()</definedName>
    <definedName name="MR_13MM">NA()</definedName>
    <definedName name="MR_55MM">NA()</definedName>
    <definedName name="MR_63MM">NA()</definedName>
    <definedName name="MR_GRADE2">NA()</definedName>
    <definedName name="MR_GRADE3">NA()</definedName>
    <definedName name="MR_GRAVEL">NA()</definedName>
    <definedName name="MR_SAND">NA()</definedName>
    <definedName name="MR_SANDF">NA()</definedName>
    <definedName name="MR_STONEDUST">NA()</definedName>
    <definedName name="mrt">NA()</definedName>
    <definedName name="mrti">NA()</definedName>
    <definedName name="MS" localSheetId="11">"[56]mrates!$p$51"</definedName>
    <definedName name="MS" localSheetId="12">"[56]mrates!$p$51"</definedName>
    <definedName name="MS">[29]MRATES!$P$51</definedName>
    <definedName name="ms_channels">NA()</definedName>
    <definedName name="ms_flat_25mm">NA()</definedName>
    <definedName name="ms_pipes">NA()</definedName>
    <definedName name="ms_plates">NA()</definedName>
    <definedName name="MS_square_bar_10mm">NA()</definedName>
    <definedName name="ms_truss">NA()</definedName>
    <definedName name="MS_tubes">NA()</definedName>
    <definedName name="MSAND" localSheetId="11">"[56]mrates!$g$7"</definedName>
    <definedName name="MSAND" localSheetId="12">"[56]mrates!$g$7"</definedName>
    <definedName name="MSAND">[29]MRATES!$G$7</definedName>
    <definedName name="msgrill">NA()</definedName>
    <definedName name="MSTACK" localSheetId="11">"[56]mrates!$x$12"</definedName>
    <definedName name="MSTACK" localSheetId="12">"[56]mrates!$x$12"</definedName>
    <definedName name="MSTACK">[29]MRATES!$X$12</definedName>
    <definedName name="mt">NA()</definedName>
    <definedName name="mtor">NA()</definedName>
    <definedName name="mtwo">[64]r!$F$3</definedName>
    <definedName name="mtwo1">[2]r!$F$3</definedName>
    <definedName name="MULOADING">NA()</definedName>
    <definedName name="mun">NA()</definedName>
    <definedName name="MUNLOAD" localSheetId="11">"[56]mrates!$x$11"</definedName>
    <definedName name="MUNLOAD" localSheetId="12">"[56]mrates!$x$11"</definedName>
    <definedName name="MUNLOAD">[29]MRATES!$X$11</definedName>
    <definedName name="mura">NA()</definedName>
    <definedName name="murali">NA()</definedName>
    <definedName name="murty">NA()</definedName>
    <definedName name="MUTHU">NA()</definedName>
    <definedName name="mw">NA()</definedName>
    <definedName name="MWL">[54]input!$C$11</definedName>
    <definedName name="mwls">'[92]Nspt-smp-final-ORIGINAL'!$X$8:$X$56</definedName>
    <definedName name="mymax">[118]Levels!$P$5</definedName>
    <definedName name="mymin">[118]Levels!$O$5</definedName>
    <definedName name="mz">NA()</definedName>
    <definedName name="n" localSheetId="11">NA()</definedName>
    <definedName name="n" localSheetId="12">NA()</definedName>
    <definedName name="n" localSheetId="0">#REF!</definedName>
    <definedName name="n">#REF!</definedName>
    <definedName name="N_S_P">NA()</definedName>
    <definedName name="nagara">[119]m!$M$3</definedName>
    <definedName name="nagaraj">[119]m!$M$3</definedName>
    <definedName name="NAIDUPALEM">NA()</definedName>
    <definedName name="Name" localSheetId="11">NA()</definedName>
    <definedName name="Name" localSheetId="12">NA()</definedName>
    <definedName name="Name" localSheetId="0">#REF!</definedName>
    <definedName name="Name">#REF!</definedName>
    <definedName name="naresh">NA()</definedName>
    <definedName name="NAVA">NA()</definedName>
    <definedName name="nb">NA()</definedName>
    <definedName name="nbc">NA()</definedName>
    <definedName name="nbm">NA()</definedName>
    <definedName name="Needle_Vibrator">NA()</definedName>
    <definedName name="New" localSheetId="11">"[93]data!#ref!"</definedName>
    <definedName name="New" localSheetId="12">"[93]data!#ref!"</definedName>
    <definedName name="New" localSheetId="0">[50]data!#REF!</definedName>
    <definedName name="New">[50]data!#REF!</definedName>
    <definedName name="new_111" localSheetId="0">Scheduled_Payment+Extra_Payment</definedName>
    <definedName name="new_111" localSheetId="7">Scheduled_Payment+Extra_Payment</definedName>
    <definedName name="new_111">Scheduled_Payment+Extra_Payment</definedName>
    <definedName name="newdata" localSheetId="11">NA()</definedName>
    <definedName name="newdata" localSheetId="12">NA()</definedName>
    <definedName name="newdata" localSheetId="0">#REF!</definedName>
    <definedName name="newdata">#REF!</definedName>
    <definedName name="nh">NA()</definedName>
    <definedName name="NH4vorklmg" localSheetId="11">NA()</definedName>
    <definedName name="NH4vorklmg" localSheetId="12">NA()</definedName>
    <definedName name="NH4vorklmg">[66]BALAN1!$F$20</definedName>
    <definedName name="nl" localSheetId="11">NA()</definedName>
    <definedName name="nl" localSheetId="12">NA()</definedName>
    <definedName name="nl">[120]DATA!$B$22</definedName>
    <definedName name="NM" localSheetId="12">{"'ridftotal'!$A$4:$S$27"}</definedName>
    <definedName name="NM">{"'ridftotal'!$A$4:$S$27"}</definedName>
    <definedName name="nn" localSheetId="11">NA()</definedName>
    <definedName name="nn" localSheetId="12">NA()</definedName>
    <definedName name="nn">[121]Publicbuilding!$R$46</definedName>
    <definedName name="NNN">NA()</definedName>
    <definedName name="NNNN">NA()</definedName>
    <definedName name="NNNNN">NA()</definedName>
    <definedName name="no">'[73]habs-list'!$B$5:$B$285</definedName>
    <definedName name="No_">NA()</definedName>
    <definedName name="No_1">NA()</definedName>
    <definedName name="NO_1000" localSheetId="11">NA()</definedName>
    <definedName name="NO_1000" localSheetId="12">NA()</definedName>
    <definedName name="NO_1000" localSheetId="0">#REF!</definedName>
    <definedName name="NO_1000">#REF!</definedName>
    <definedName name="NO_800" localSheetId="11">NA()</definedName>
    <definedName name="NO_800" localSheetId="12">NA()</definedName>
    <definedName name="NO_800" localSheetId="0">#REF!</definedName>
    <definedName name="NO_800">#REF!</definedName>
    <definedName name="nodes">[94]nodes!$C$5:$C$115</definedName>
    <definedName name="NOK">NA()</definedName>
    <definedName name="nonreturnvalve">NA()</definedName>
    <definedName name="NONRETURNVALVES">NA()</definedName>
    <definedName name="nOS">NA()</definedName>
    <definedName name="notok">NA()</definedName>
    <definedName name="NOTUSED">'[58]R99 etc'!$A$1:$L$142</definedName>
    <definedName name="nr">[9]DATA!$B$3</definedName>
    <definedName name="NR_136_Found">'[122]Road data'!$K$417</definedName>
    <definedName name="NR_Approachslab">'[122]Road data'!$K$697</definedName>
    <definedName name="NR_backfill">'[122]Road data'!$K$741</definedName>
    <definedName name="NR_Filter">'[122]Road data'!$K$544</definedName>
    <definedName name="NR_HYSD_found">'[122]Road data'!$K$789</definedName>
    <definedName name="NR_HYSD_sub">'[122]Road data'!$K$773</definedName>
    <definedName name="NR_HYSD_super">'[122]Road data'!$K$757</definedName>
    <definedName name="NR_M15_Footing">'[122]Road data'!$K$570</definedName>
    <definedName name="NR_M15_levellingcoarse">'[122]Road data'!$K$721</definedName>
    <definedName name="NR_M15_sub">'[122]Road data'!$K$596</definedName>
    <definedName name="NR_M20_bed">'[122]Road data'!$K$621</definedName>
    <definedName name="NR_M20_slab">'[122]Road data'!$K$646</definedName>
    <definedName name="NR_M30_WC">'[122]Road data'!$K$671</definedName>
    <definedName name="NR_R_300">'[122]Road data'!$K$527</definedName>
    <definedName name="NR_weepholes">'[122]Road data'!$K$849</definedName>
    <definedName name="NSPCCC">NA()</definedName>
    <definedName name="NSSR1">NA()</definedName>
    <definedName name="NSSR10">NA()</definedName>
    <definedName name="NSSR100">NA()</definedName>
    <definedName name="NSSR101">NA()</definedName>
    <definedName name="NSSR102">NA()</definedName>
    <definedName name="NSSR103">NA()</definedName>
    <definedName name="NSSR104">NA()</definedName>
    <definedName name="NSSR105">NA()</definedName>
    <definedName name="NSSR106">NA()</definedName>
    <definedName name="NSSR107">NA()</definedName>
    <definedName name="NSSR108">NA()</definedName>
    <definedName name="NSSR109">NA()</definedName>
    <definedName name="NSSR11">NA()</definedName>
    <definedName name="NSSR110">NA()</definedName>
    <definedName name="NSSR111">NA()</definedName>
    <definedName name="NSSR112">NA()</definedName>
    <definedName name="NSSR113">NA()</definedName>
    <definedName name="NSSR114">NA()</definedName>
    <definedName name="NSSR115">NA()</definedName>
    <definedName name="NSSR116">NA()</definedName>
    <definedName name="NSSR117">NA()</definedName>
    <definedName name="NSSR118">NA()</definedName>
    <definedName name="NSSR119">NA()</definedName>
    <definedName name="NSSR12">NA()</definedName>
    <definedName name="NSSR120">NA()</definedName>
    <definedName name="NSSR121">NA()</definedName>
    <definedName name="NSSR122">NA()</definedName>
    <definedName name="NSSR123">NA()</definedName>
    <definedName name="NSSR124">NA()</definedName>
    <definedName name="NSSR125">NA()</definedName>
    <definedName name="NSSR126">NA()</definedName>
    <definedName name="NSSR127">NA()</definedName>
    <definedName name="NSSR128">NA()</definedName>
    <definedName name="NSSR129">NA()</definedName>
    <definedName name="NSSR13">NA()</definedName>
    <definedName name="NSSR130">NA()</definedName>
    <definedName name="NSSR131">NA()</definedName>
    <definedName name="NSSR132">NA()</definedName>
    <definedName name="NSSR133">NA()</definedName>
    <definedName name="NSSR134">NA()</definedName>
    <definedName name="NSSR135">NA()</definedName>
    <definedName name="NSSR136">NA()</definedName>
    <definedName name="NSSR137">NA()</definedName>
    <definedName name="NSSR138">NA()</definedName>
    <definedName name="NSSR139">NA()</definedName>
    <definedName name="NSSR14">NA()</definedName>
    <definedName name="NSSR140">NA()</definedName>
    <definedName name="NSSR141">NA()</definedName>
    <definedName name="NSSR142">NA()</definedName>
    <definedName name="NSSR143">NA()</definedName>
    <definedName name="NSSR144">NA()</definedName>
    <definedName name="NSSR145">NA()</definedName>
    <definedName name="NSSR146">NA()</definedName>
    <definedName name="NSSR147">NA()</definedName>
    <definedName name="NSSR148">NA()</definedName>
    <definedName name="NSSR149">NA()</definedName>
    <definedName name="NSSR15">NA()</definedName>
    <definedName name="NSSR150">NA()</definedName>
    <definedName name="NSSR151">NA()</definedName>
    <definedName name="NSSR152">NA()</definedName>
    <definedName name="NSSR153">NA()</definedName>
    <definedName name="NSSR154">NA()</definedName>
    <definedName name="NSSR155">NA()</definedName>
    <definedName name="NSSR156">NA()</definedName>
    <definedName name="NSSR157">NA()</definedName>
    <definedName name="NSSR158">NA()</definedName>
    <definedName name="NSSR159">NA()</definedName>
    <definedName name="NSSR16">NA()</definedName>
    <definedName name="NSSR160">NA()</definedName>
    <definedName name="NSSR161">NA()</definedName>
    <definedName name="NSSR162">NA()</definedName>
    <definedName name="NSSR163">NA()</definedName>
    <definedName name="NSSR164">NA()</definedName>
    <definedName name="NSSR165">NA()</definedName>
    <definedName name="NSSR166">NA()</definedName>
    <definedName name="NSSR167">NA()</definedName>
    <definedName name="NSSR168">NA()</definedName>
    <definedName name="NSSR169">NA()</definedName>
    <definedName name="NSSR17">NA()</definedName>
    <definedName name="NSSR170">NA()</definedName>
    <definedName name="NSSR171">NA()</definedName>
    <definedName name="NSSR172">NA()</definedName>
    <definedName name="NSSR173">NA()</definedName>
    <definedName name="NSSR174">NA()</definedName>
    <definedName name="NSSR18">NA()</definedName>
    <definedName name="NSSR19">NA()</definedName>
    <definedName name="NSSR2">NA()</definedName>
    <definedName name="NSSR20">NA()</definedName>
    <definedName name="NSSR21">NA()</definedName>
    <definedName name="NSSR22">NA()</definedName>
    <definedName name="NSSR23">NA()</definedName>
    <definedName name="NSSR24">NA()</definedName>
    <definedName name="NSSR25">NA()</definedName>
    <definedName name="NSSR26">NA()</definedName>
    <definedName name="NSSR27">NA()</definedName>
    <definedName name="NSSR28">NA()</definedName>
    <definedName name="NSSR29">NA()</definedName>
    <definedName name="NSSR3">NA()</definedName>
    <definedName name="NSSR30">NA()</definedName>
    <definedName name="NSSR31">NA()</definedName>
    <definedName name="NSSR32">NA()</definedName>
    <definedName name="NSSR33">NA()</definedName>
    <definedName name="NSSR34">NA()</definedName>
    <definedName name="NSSR35">NA()</definedName>
    <definedName name="NSSR36">NA()</definedName>
    <definedName name="NSSR37">NA()</definedName>
    <definedName name="NSSR38">NA()</definedName>
    <definedName name="NSSR39">NA()</definedName>
    <definedName name="NSSR4">NA()</definedName>
    <definedName name="NSSR40">NA()</definedName>
    <definedName name="NSSR41">NA()</definedName>
    <definedName name="NSSR42">NA()</definedName>
    <definedName name="NSSR43">NA()</definedName>
    <definedName name="NSSR44">NA()</definedName>
    <definedName name="NSSR45">NA()</definedName>
    <definedName name="NSSR46">NA()</definedName>
    <definedName name="NSSR47">NA()</definedName>
    <definedName name="NSSR48">NA()</definedName>
    <definedName name="NSSR49">NA()</definedName>
    <definedName name="NSSR5">NA()</definedName>
    <definedName name="NSSR50">NA()</definedName>
    <definedName name="NSSR51">NA()</definedName>
    <definedName name="NSSR52">NA()</definedName>
    <definedName name="NSSR53">NA()</definedName>
    <definedName name="NSSR54">NA()</definedName>
    <definedName name="NSSR55">NA()</definedName>
    <definedName name="NSSR56">NA()</definedName>
    <definedName name="NSSR57">NA()</definedName>
    <definedName name="NSSR58">NA()</definedName>
    <definedName name="NSSR59">NA()</definedName>
    <definedName name="NSSR6">NA()</definedName>
    <definedName name="NSSR60">NA()</definedName>
    <definedName name="NSSR61">NA()</definedName>
    <definedName name="NSSR62">NA()</definedName>
    <definedName name="NSSR63">NA()</definedName>
    <definedName name="NSSR64">NA()</definedName>
    <definedName name="NSSR65">NA()</definedName>
    <definedName name="NSSR66">NA()</definedName>
    <definedName name="NSSR67">NA()</definedName>
    <definedName name="NSSR68">NA()</definedName>
    <definedName name="NSSR69">NA()</definedName>
    <definedName name="NSSR7">NA()</definedName>
    <definedName name="NSSR70">NA()</definedName>
    <definedName name="NSSR71">NA()</definedName>
    <definedName name="NSSR72">NA()</definedName>
    <definedName name="NSSR73">NA()</definedName>
    <definedName name="NSSR74">NA()</definedName>
    <definedName name="NSSR75">NA()</definedName>
    <definedName name="NSSR76">NA()</definedName>
    <definedName name="NSSR77">NA()</definedName>
    <definedName name="NSSR78">NA()</definedName>
    <definedName name="NSSR79">NA()</definedName>
    <definedName name="NSSR8">NA()</definedName>
    <definedName name="NSSR80">NA()</definedName>
    <definedName name="NSSR81">NA()</definedName>
    <definedName name="NSSR82">NA()</definedName>
    <definedName name="NSSR83">NA()</definedName>
    <definedName name="NSSR84">NA()</definedName>
    <definedName name="NSSR85">NA()</definedName>
    <definedName name="NSSR86">NA()</definedName>
    <definedName name="NSSR87">NA()</definedName>
    <definedName name="NSSR88">NA()</definedName>
    <definedName name="NSSR89">NA()</definedName>
    <definedName name="NSSR9">NA()</definedName>
    <definedName name="NSSR90">NA()</definedName>
    <definedName name="NSSR91">NA()</definedName>
    <definedName name="NSSR92">NA()</definedName>
    <definedName name="NSSR93">NA()</definedName>
    <definedName name="NSSR94">NA()</definedName>
    <definedName name="NSSR95">NA()</definedName>
    <definedName name="NSSR96">NA()</definedName>
    <definedName name="NSSR97">NA()</definedName>
    <definedName name="NSSR98">NA()</definedName>
    <definedName name="NSSR99">NA()</definedName>
    <definedName name="NUM_MMM" localSheetId="11">NA()</definedName>
    <definedName name="NUM_MMM" localSheetId="12">NA()</definedName>
    <definedName name="NUM_MMM" localSheetId="0">#REF!</definedName>
    <definedName name="NUM_MMM">#REF!</definedName>
    <definedName name="Num_Pmt_Per_Year">NA()</definedName>
    <definedName name="Number_of_Payments" localSheetId="11">NA()</definedName>
    <definedName name="Number_of_Payments" localSheetId="12">NA()</definedName>
    <definedName name="Number_of_Payments">#N/A</definedName>
    <definedName name="Nurses" localSheetId="11">"[113]data.f8.btr!#ref!"</definedName>
    <definedName name="Nurses" localSheetId="12">"[113]data.f8.btr!#ref!"</definedName>
    <definedName name="Nurses" localSheetId="0">'[53]Data.F8.BTR'!#REF!</definedName>
    <definedName name="Nurses">'[53]Data.F8.BTR'!#REF!</definedName>
    <definedName name="nurses1">"[113]data.f8.btr!#ref!"</definedName>
    <definedName name="NVCP">NA()</definedName>
    <definedName name="nw" localSheetId="11">NA()</definedName>
    <definedName name="nw" localSheetId="12">NA()</definedName>
    <definedName name="nw" localSheetId="0">#REF!</definedName>
    <definedName name="nw">#REF!</definedName>
    <definedName name="obd_paint">NA()</definedName>
    <definedName name="obpl">NA()</definedName>
    <definedName name="OCM">"[98]office!$b$20"</definedName>
    <definedName name="oct">NA()</definedName>
    <definedName name="od">'[73]int-Dia-hdpe'!$C$3:$C$27</definedName>
    <definedName name="oe">NA()</definedName>
    <definedName name="OG_metal">NA()</definedName>
    <definedName name="OH">[76]MRATES!$H$52</definedName>
    <definedName name="OHBRBRACEONETOSIX">NA()</definedName>
    <definedName name="OHBRBRACESEVENTOTHIRTEEN" localSheetId="11">NA()</definedName>
    <definedName name="OHBRBRACESEVENTOTHIRTEEN" localSheetId="12">NA()</definedName>
    <definedName name="OHBRBRACESEVENTOTHIRTEEN" localSheetId="0">#REF!</definedName>
    <definedName name="OHBRBRACESEVENTOTHIRTEEN">#REF!</definedName>
    <definedName name="OHBRCOLUMNONETOSIX" localSheetId="11">NA()</definedName>
    <definedName name="OHBRCOLUMNONETOSIX" localSheetId="12">NA()</definedName>
    <definedName name="OHBRCOLUMNONETOSIX" localSheetId="0">#REF!</definedName>
    <definedName name="OHBRCOLUMNONETOSIX">#REF!</definedName>
    <definedName name="OHBRCOLUMNSEVENTOTHIRTEEN" localSheetId="11">NA()</definedName>
    <definedName name="OHBRCOLUMNSEVENTOTHIRTEEN" localSheetId="12">NA()</definedName>
    <definedName name="OHBRCOLUMNSEVENTOTHIRTEEN" localSheetId="0">#REF!</definedName>
    <definedName name="OHBRCOLUMNSEVENTOTHIRTEEN">#REF!</definedName>
    <definedName name="OHR" localSheetId="11">'[123]Leads Entry'!$I$30</definedName>
    <definedName name="OHR" localSheetId="12">'[123]Leads Entry'!$I$30</definedName>
    <definedName name="OHR" localSheetId="0">'[123]Leads Entry'!$I$30</definedName>
    <definedName name="OHR">'[124]Leads Entry'!$I$30</definedName>
    <definedName name="ohs">NA()</definedName>
    <definedName name="OHSR">NA()</definedName>
    <definedName name="OHSR2">NA()</definedName>
    <definedName name="ohsrcap" localSheetId="11">NA()</definedName>
    <definedName name="ohsrcap" localSheetId="12">NA()</definedName>
    <definedName name="ohsrcap" localSheetId="0">#REF!</definedName>
    <definedName name="ohsrcap">#REF!</definedName>
    <definedName name="ohsrlls">[94]nodes!$D$5:$D$115</definedName>
    <definedName name="oi">NA()</definedName>
    <definedName name="oii">NA()</definedName>
    <definedName name="OIU">[74]DATA_PRG!$H$328</definedName>
    <definedName name="ojjlkj">[82]Material!$D$130</definedName>
    <definedName name="ojsdgn">NA()</definedName>
    <definedName name="ok">NA()</definedName>
    <definedName name="one">NA()</definedName>
    <definedName name="ONETOSEVEN">NA()</definedName>
    <definedName name="oo">NA()</definedName>
    <definedName name="ooo">NA()</definedName>
    <definedName name="OOOEOOOE" localSheetId="11">NA()</definedName>
    <definedName name="OOOEOOOE" localSheetId="12">NA()</definedName>
    <definedName name="OOOEOOOE" localSheetId="0">#REF!</definedName>
    <definedName name="OOOEOOOE">#REF!</definedName>
    <definedName name="oooo">NA()</definedName>
    <definedName name="optrq">NA()</definedName>
    <definedName name="OrderTable" localSheetId="11">NA()</definedName>
    <definedName name="OrderTable" localSheetId="12">NA()</definedName>
    <definedName name="OrderTable" localSheetId="0" hidden="1">#REF!</definedName>
    <definedName name="OrderTable" hidden="1">#REF!</definedName>
    <definedName name="others">NA()</definedName>
    <definedName name="OW">NA()</definedName>
    <definedName name="owefwf">NA()</definedName>
    <definedName name="p">NA()</definedName>
    <definedName name="p_11">NA()</definedName>
    <definedName name="P_6">"'smb://Tender3/d/Vinod/Excel/Tender/Boundary%20Wall%20for%20American%20International%20School%20%20-%20Taramani.xls'#$Boq.CX1"</definedName>
    <definedName name="p_8">NA()</definedName>
    <definedName name="P_reinigung_in_BiopurN">"[148]balan1!#ref!"</definedName>
    <definedName name="P_reinigung_in_Filter">"[148]balan1!#ref!"</definedName>
    <definedName name="p_sch1">NA()</definedName>
    <definedName name="Pa">NA()</definedName>
    <definedName name="Packed">[37]General!$K$4</definedName>
    <definedName name="paddy">NA()</definedName>
    <definedName name="paint">[74]DATA_PRG!$H$345</definedName>
    <definedName name="painter">'[33]SSR 2014-15 Rates'!$E$44</definedName>
    <definedName name="painting">NA()</definedName>
    <definedName name="Painting_to_Single_Coat_Plastic_Emulsion_paint_of_superior_quality_of_approved_brand__in_all_to_give_an_even_shade_after_thoroughly_brushing_the_surface_to_remove_all_loose_powdered_materials__including_cost_and_conveyance_of_all_materials__including_cost">"[372]sch!#ref!"</definedName>
    <definedName name="Part">"[373]data!#ref!"</definedName>
    <definedName name="Pasu">NA()</definedName>
    <definedName name="Paver_finisher_Hydraulic_with_sensor">NA()</definedName>
    <definedName name="Paver_finisher_mechanical_sold">NA()</definedName>
    <definedName name="Pay_Date">NA()</definedName>
    <definedName name="Pay_Num">NA()</definedName>
    <definedName name="PAYJJJJJD">NA()</definedName>
    <definedName name="Payment_Date" localSheetId="11">NA()</definedName>
    <definedName name="Payment_Date" localSheetId="12">NA()</definedName>
    <definedName name="Payment_Date">#N/A</definedName>
    <definedName name="pbg">NA()</definedName>
    <definedName name="pbm">NA()</definedName>
    <definedName name="pbpt">NA()</definedName>
    <definedName name="Pbx">"[294]design!#ref!"</definedName>
    <definedName name="Pby">"[294]design!#ref!"</definedName>
    <definedName name="pc" localSheetId="11">NA()</definedName>
    <definedName name="pc" localSheetId="12">NA()</definedName>
    <definedName name="pc" localSheetId="0">#REF!</definedName>
    <definedName name="pc">#REF!</definedName>
    <definedName name="pcc">NA()</definedName>
    <definedName name="pcc_bedblock">NA()</definedName>
    <definedName name="pccut">NA()</definedName>
    <definedName name="pcrao">NA()</definedName>
    <definedName name="PDS">NA()</definedName>
    <definedName name="Pedastals__columns">"[71]works!#ref!"</definedName>
    <definedName name="Perf_Garantee">NA()</definedName>
    <definedName name="peru">NA()</definedName>
    <definedName name="perugudi">NA()</definedName>
    <definedName name="perungudi">NA()</definedName>
    <definedName name="pftw">"[122]process!#ref!"</definedName>
    <definedName name="pg">NA()</definedName>
    <definedName name="PGS">NA()</definedName>
    <definedName name="phase">NA()</definedName>
    <definedName name="phi">NA()</definedName>
    <definedName name="Phone" localSheetId="11">NA()</definedName>
    <definedName name="Phone" localSheetId="12">NA()</definedName>
    <definedName name="Phone" localSheetId="0">#REF!</definedName>
    <definedName name="Phone">#REF!</definedName>
    <definedName name="pi">3.1415</definedName>
    <definedName name="Picking___spreading_metal_for_WBM_for_75_mm">NA()</definedName>
    <definedName name="Picking_5_to_100_mm_old_metalled_surface_and_sectioning">'[37]Common '!$D$280</definedName>
    <definedName name="Picking_metal___sectiong">NA()</definedName>
    <definedName name="pIIII">NA()</definedName>
    <definedName name="PIPE">NA()</definedName>
    <definedName name="PIPE_CL1">[54]CPHEEO!$AO$3:$AV$3</definedName>
    <definedName name="PIPE_ID">[54]CPHEEO!$BK$2:$BK$3</definedName>
    <definedName name="PIPE_ID_CD">[54]CPHEEO!$BL$2:$BL$3</definedName>
    <definedName name="PIPE_TYPE">[54]wh_data_R!$B$377:$B$384</definedName>
    <definedName name="PIPE_TYPE_R">[54]wh_data!$R$2:$R$9</definedName>
    <definedName name="PIPE_TYPES">[54]wh_data!$J$2:$J$9</definedName>
    <definedName name="piperates">'[96]ssr-rates'!$B$2:$J$839</definedName>
    <definedName name="PIPES">[54]CPHEEO!$AY$2:$BH$2</definedName>
    <definedName name="PIPES_CR">[54]CPHEEO!$Z$3:$Z$12</definedName>
    <definedName name="PIPES_E">[54]wh_data_R!$P$195:$P$203</definedName>
    <definedName name="PK">NA()</definedName>
    <definedName name="pkgno">NA()</definedName>
    <definedName name="PKK">NA()</definedName>
    <definedName name="pla">[12]DATA_PRG!$H$252</definedName>
    <definedName name="plasp">[74]DATA_PRG!$H$296</definedName>
    <definedName name="plaster_ornamental">NA()</definedName>
    <definedName name="plaster_thick">'[70]data existing_do not delete'!$D$14:$D$16</definedName>
    <definedName name="plaster_twelve">NA()</definedName>
    <definedName name="plaster_twenty">NA()</definedName>
    <definedName name="PLASTERING_WALLS_CEILING">'[55]BACK BONE'!$HL$2:$HL$52</definedName>
    <definedName name="plastering12">NA()</definedName>
    <definedName name="plasticemulsion_paint">NA()</definedName>
    <definedName name="plbeams">NA()</definedName>
    <definedName name="Plinth_beams__lintels">"[71]works!#ref!"</definedName>
    <definedName name="PM">NA()</definedName>
    <definedName name="PM_AirCompressor_210cfm">'[102]Plant &amp;  Machinery'!$G$4</definedName>
    <definedName name="PM_BatchMixHMP_46_60THP">'[109]Plant &amp;  Machinery'!$G$5</definedName>
    <definedName name="PM_BatchTypeHMP_30_40">'[101]Plant &amp;  Machinery'!$G$6</definedName>
    <definedName name="PM_BitumenBoilerOilFired_1000">'[101]Plant &amp;  Machinery'!$G$9</definedName>
    <definedName name="PM_BitumenBoilerOilFired_200">'[109]Plant &amp;  Machinery'!$G$8</definedName>
    <definedName name="PM_BitumenEmulsionPressureDistributor">'[109]Plant &amp;  Machinery'!$G$10</definedName>
    <definedName name="PM_ConcreteMixer">'[102]Plant &amp;  Machinery'!$G$11</definedName>
    <definedName name="PM_Dozer_D50">'[102]Plant &amp;  Machinery'!$G$13</definedName>
    <definedName name="PM_ElectricGeneratorSet_125">'[101]Plant &amp;  Machinery'!$G$15</definedName>
    <definedName name="PM_FrontEndLoader_1cum">'[101]Plant &amp;  Machinery'!$G$17</definedName>
    <definedName name="PM_HydraulicBroom">'[109]Plant &amp;  Machinery'!$G$19</definedName>
    <definedName name="PM_HydraulicExcavator_09cum">'[101]Plant &amp;  Machinery'!$G$20</definedName>
    <definedName name="PM_HydraulicSelfPropelledChipSpreader">'[109]Plant &amp;  Machinery'!$G$21</definedName>
    <definedName name="PM_JointCuttingMachine">'[102]Plant &amp;  Machinery'!$G$23</definedName>
    <definedName name="PM_Mixall_6_10t">'[109]Plant &amp;  Machinery'!$G$24</definedName>
    <definedName name="PM_MotorGrader">'[101]Plant &amp;  Machinery'!$G$25</definedName>
    <definedName name="PM_NeedleVibrator">'[102]Plant &amp;  Machinery'!$G$27</definedName>
    <definedName name="PM_PaverFinisher">'[101]Plant &amp;  Machinery'!$G$28</definedName>
    <definedName name="PM_PlateVibrator">'[102]Plant &amp;  Machinery'!$G$30</definedName>
    <definedName name="PM_ScreedVibrator">'[102]Plant &amp;  Machinery'!$G$31</definedName>
    <definedName name="PM_ThreeWheeled_80_100kN_StaticRoller">'[101]Plant &amp;  Machinery'!$G$34</definedName>
    <definedName name="PM_Tipper_55">'[101]Plant &amp;  Machinery'!$G$45</definedName>
    <definedName name="PM_Tractor_Rotavator">'[108]Plant &amp;  Machinery'!$G$49</definedName>
    <definedName name="PM_Tractor_Trolley">'[102]Plant &amp;  Machinery'!$G$48</definedName>
    <definedName name="PM_Truck">'[125]Plant &amp;  Machinery'!$G$50</definedName>
    <definedName name="PM_VibratoryRoller_80_100kN">'[109]Plant &amp;  Machinery'!$G$51</definedName>
    <definedName name="PM_WaterTanker_6kl">'[102]Plant &amp;  Machinery'!$G$53</definedName>
    <definedName name="PMS">[90]m1!$D$30</definedName>
    <definedName name="Pneumatic_tyre_Roller">NA()</definedName>
    <definedName name="POIN">[9]DATA!$H$182</definedName>
    <definedName name="Polished_black_Cuddapah_slabs_25_4mm">NA()</definedName>
    <definedName name="Polished_Shahabad_slabs_of_Tandur_25_4mm_blue">NA()</definedName>
    <definedName name="Polished_Shahabad_slabs_of_Tandur_25_4mm_white">NA()</definedName>
    <definedName name="pop">NA()</definedName>
    <definedName name="portico__bottom__steps">NA()</definedName>
    <definedName name="portion">"[128]lead!#ref!"</definedName>
    <definedName name="poutr">NA()</definedName>
    <definedName name="powo">NA()</definedName>
    <definedName name="pp">'[126]pvc-pipe-rates'!$B$8:$B$27</definedName>
    <definedName name="ppp" localSheetId="11">NA()</definedName>
    <definedName name="ppp" localSheetId="12">NA()</definedName>
    <definedName name="ppp" localSheetId="0" hidden="1">{#N/A,#N/A,FALSE,"no"}</definedName>
    <definedName name="ppp" hidden="1">{#N/A,#N/A,FALSE,"no"}</definedName>
    <definedName name="PPPPP" localSheetId="11">NA()</definedName>
    <definedName name="PPPPP" localSheetId="12">NA()</definedName>
    <definedName name="PPPPP" localSheetId="0">#REF!</definedName>
    <definedName name="PPPPP">#REF!</definedName>
    <definedName name="pppppppppp">"[71]material!#ref!"</definedName>
    <definedName name="pppppppppppp">"[71]works!#ref!"</definedName>
    <definedName name="pppppppppppppp">"[71]works!#ref!"</definedName>
    <definedName name="pqodjhf">NA()</definedName>
    <definedName name="pr">[127]id!$A$3:$E$449</definedName>
    <definedName name="PR_Habcode_16_Dig" localSheetId="11">NA()</definedName>
    <definedName name="PR_Habcode_16_Dig" localSheetId="12">NA()</definedName>
    <definedName name="PR_Habcode_16_Dig" localSheetId="0">#REF!</definedName>
    <definedName name="PR_Habcode_16_Dig">#REF!</definedName>
    <definedName name="Prasad" localSheetId="11">NA()</definedName>
    <definedName name="Prasad" localSheetId="12">NA()</definedName>
    <definedName name="Prasad" localSheetId="0">#REF!</definedName>
    <definedName name="Prasad">#REF!</definedName>
    <definedName name="praveen">[128]sand!$A$1:$N$206</definedName>
    <definedName name="prb">NA()</definedName>
    <definedName name="PRC" localSheetId="11">NA()</definedName>
    <definedName name="PRC" localSheetId="12">NA()</definedName>
    <definedName name="PRC" localSheetId="0">#REF!</definedName>
    <definedName name="PRC">#REF!</definedName>
    <definedName name="prelim">"'[141]1'!$a$1:$u$65536"</definedName>
    <definedName name="Prelm_Exp">NA()</definedName>
    <definedName name="Princ">NA()</definedName>
    <definedName name="prince">NA()</definedName>
    <definedName name="prince1">NA()</definedName>
    <definedName name="_xlnm.Print_Area" localSheetId="5">ABSTRACT!$B$2:$I$36</definedName>
    <definedName name="_xlnm.Print_Area" localSheetId="11">'C-data (2)'!$A$1:$I$5036</definedName>
    <definedName name="_xlnm.Print_Area" localSheetId="12">Joinery!$A$1:$I$1309</definedName>
    <definedName name="_xlnm.Print_Area" localSheetId="1">RE!$B$2:$N$655</definedName>
    <definedName name="_xlnm.Print_Area" localSheetId="4">'Revised Estimate'!$A$2:$O$764</definedName>
    <definedName name="_xlnm.Print_Area" localSheetId="0">seignorage!$B$1:$T$17</definedName>
    <definedName name="_xlnm.Print_Area" localSheetId="2">'suppl items'!$B$3:$F$92</definedName>
    <definedName name="_xlnm.Print_Area" localSheetId="6">'Supplemantary Rates'!$B$2:$H$91</definedName>
    <definedName name="_xlnm.Print_Area" localSheetId="3">'Supplementary Items'!$B$1:$H$90</definedName>
    <definedName name="_xlnm.Print_Area" localSheetId="7">'Supplementary Revised Rates'!$B$1:$H$90</definedName>
    <definedName name="_xlnm.Print_Area">#REF!</definedName>
    <definedName name="Print_Area_MI" localSheetId="11">NA()</definedName>
    <definedName name="Print_Area_MI" localSheetId="12">NA()</definedName>
    <definedName name="Print_Area_MI" localSheetId="0">#REF!</definedName>
    <definedName name="Print_Area_MI">#REF!</definedName>
    <definedName name="Print_Area_MI_10">NA()</definedName>
    <definedName name="Print_Area_MI_12" localSheetId="11">NA()</definedName>
    <definedName name="Print_Area_MI_12" localSheetId="12">NA()</definedName>
    <definedName name="Print_Area_MI_12" localSheetId="0">#REF!</definedName>
    <definedName name="Print_Area_MI_12">#REF!</definedName>
    <definedName name="Print_Area_MI_3" localSheetId="11">NA()</definedName>
    <definedName name="Print_Area_MI_3" localSheetId="12">NA()</definedName>
    <definedName name="Print_Area_MI_3" localSheetId="0">#REF!</definedName>
    <definedName name="Print_Area_MI_3">#REF!</definedName>
    <definedName name="Print_Area_MI_6" localSheetId="11">NA()</definedName>
    <definedName name="Print_Area_MI_6" localSheetId="12">NA()</definedName>
    <definedName name="Print_Area_MI_6" localSheetId="0">#REF!</definedName>
    <definedName name="Print_Area_MI_6">#REF!</definedName>
    <definedName name="Print_Area_MI_7">NA()</definedName>
    <definedName name="Print_Area_MI_9" localSheetId="11">NA()</definedName>
    <definedName name="Print_Area_MI_9" localSheetId="12">NA()</definedName>
    <definedName name="Print_Area_MI_9" localSheetId="0">#REF!</definedName>
    <definedName name="Print_Area_MI_9">#REF!</definedName>
    <definedName name="Print_Area_Reset" localSheetId="11">NA()</definedName>
    <definedName name="Print_Area_Reset" localSheetId="12">NA()</definedName>
    <definedName name="Print_Area_Reset">#N/A</definedName>
    <definedName name="_xlnm.Print_Titles" localSheetId="11">'C-data (2)'!$24:$24</definedName>
    <definedName name="_xlnm.Print_Titles" localSheetId="4">'Revised Estimate'!$3:$5</definedName>
    <definedName name="_xlnm.Print_Titles" localSheetId="0">seignorage!$1:$3</definedName>
    <definedName name="Prl">NA()</definedName>
    <definedName name="proBS">NA()</definedName>
    <definedName name="ProdForm" localSheetId="11">NA()</definedName>
    <definedName name="ProdForm" localSheetId="12">NA()</definedName>
    <definedName name="ProdForm" localSheetId="0" hidden="1">#REF!</definedName>
    <definedName name="ProdForm" hidden="1">#REF!</definedName>
    <definedName name="Product" localSheetId="11">NA()</definedName>
    <definedName name="Product" localSheetId="12">NA()</definedName>
    <definedName name="Product" localSheetId="0" hidden="1">#REF!</definedName>
    <definedName name="Product" hidden="1">#REF!</definedName>
    <definedName name="PROFIT">"[98]office!$b$22"</definedName>
    <definedName name="PROFIT1">"[98]office!$b$21"</definedName>
    <definedName name="PROFORMA_IV__2_">NA()</definedName>
    <definedName name="project">NA()</definedName>
    <definedName name="projection">"[130]boq!#ref!"</definedName>
    <definedName name="PROS_LPM">[54]input!$H$9</definedName>
    <definedName name="PROS_MLD">[54]input!$K$9</definedName>
    <definedName name="PROS_PERIOD">[54]input!$C$5</definedName>
    <definedName name="PROS_POP">[54]input!$F$9</definedName>
    <definedName name="PROS_YEAR">[54]input!$C$9</definedName>
    <definedName name="prsrhds">[129]t_prsr!$A$3:$H$60</definedName>
    <definedName name="ps">NA()</definedName>
    <definedName name="PSC_C">[54]wh_data_R!$D$335:$J$346</definedName>
    <definedName name="PSC_CL">[54]wh_data_R!$D$334:$J$334</definedName>
    <definedName name="PSC_CL_RATES">[54]wh_data!$M$119:$T$119</definedName>
    <definedName name="PSC_CLL">[54]wh_data_R!$W$378:$Y$383</definedName>
    <definedName name="PSC_CLR">[54]wh_data!$L$119:$O$119</definedName>
    <definedName name="PSC_CLS">[54]wh_data_R!$N$1440:$N$1445</definedName>
    <definedName name="PSC_D_R">[54]CPHEEO!$BC$3:$BC$14</definedName>
    <definedName name="PSC_D_RATES">'[67]PSC REVISED'!$C$9:$K$9</definedName>
    <definedName name="PSC_DC">[54]wh_data_R!$A$121:$A$132</definedName>
    <definedName name="PSC_DR">[54]wh_data!$L$120:$L$126</definedName>
    <definedName name="PSC_FR_10KG">'[67]PSC REVISED'!$C$46:$K$46</definedName>
    <definedName name="PSC_FR_12KG">'[67]PSC REVISED'!$C$62:$K$62</definedName>
    <definedName name="PSC_FR_14KG">'[67]PSC REVISED'!$C$77:$K$77</definedName>
    <definedName name="PSC_FR_16KG">'[67]PSC REVISED'!$C$92:$K$92</definedName>
    <definedName name="PSC_FR_6KG">'[67]PSC REVISED'!$C$18:$K$18</definedName>
    <definedName name="PSC_FR_8KG">'[67]PSC REVISED'!$C$32:$K$32</definedName>
    <definedName name="PSC_G">[54]wh_data_R!$O$1440:$O$1445</definedName>
    <definedName name="PSC_P">[54]wh_data_R!$P$1440:$P$1445</definedName>
    <definedName name="PSC_RATES">[54]wh_data!$L$120:$O$126</definedName>
    <definedName name="PSC_T">[54]wh_data!$A$120:$G$129</definedName>
    <definedName name="pss">NA()</definedName>
    <definedName name="psw">NA()</definedName>
    <definedName name="PT">NA()</definedName>
    <definedName name="pui">NA()</definedName>
    <definedName name="pump">NA()</definedName>
    <definedName name="Pump___23_KW">NA()</definedName>
    <definedName name="pumpset">NA()</definedName>
    <definedName name="PUMPSET_COST">[54]CPHEEO!$C$11</definedName>
    <definedName name="PUMPSET_LIFE">[54]CPHEEO!$C$13</definedName>
    <definedName name="PUR">NA()</definedName>
    <definedName name="Puz">"[294]design!#ref!"</definedName>
    <definedName name="PV">[129]PVC_dia!$A$26:$L$38</definedName>
    <definedName name="pvc">[130]detls!$A$26:$O$38</definedName>
    <definedName name="pvc_100">NA()</definedName>
    <definedName name="pvc_15">NA()</definedName>
    <definedName name="pvc_150">NA()</definedName>
    <definedName name="pvc_20">NA()</definedName>
    <definedName name="pvc_200">NA()</definedName>
    <definedName name="pvc_25">NA()</definedName>
    <definedName name="pvc_250">NA()</definedName>
    <definedName name="pvc_300">NA()</definedName>
    <definedName name="pvc_32">NA()</definedName>
    <definedName name="pvc_40">NA()</definedName>
    <definedName name="pvc_400">NA()</definedName>
    <definedName name="pvc_50">NA()</definedName>
    <definedName name="pvc_600">NA()</definedName>
    <definedName name="pvc_65">NA()</definedName>
    <definedName name="pvc_80">NA()</definedName>
    <definedName name="pvc_bends">NA()</definedName>
    <definedName name="PVC_CL">[54]wh_data_R!$D$231:$G$231</definedName>
    <definedName name="PVC_CL_RATES">[54]wh_data!$M$20:$O$20</definedName>
    <definedName name="pvc_clamps">NA()</definedName>
    <definedName name="PVC_CLR">[54]wh_data!$L$20:$O$20</definedName>
    <definedName name="PVC_CLS">[54]wh_data_R!$AH$1440:$AH$1442</definedName>
    <definedName name="pvc_collar">NA()</definedName>
    <definedName name="PVC_D_R">[54]CPHEEO!$AY$3:$AY$15</definedName>
    <definedName name="PVC_D_RATES">[67]pvc!$C$23:$O$23</definedName>
    <definedName name="PVC_DC">[54]wh_data_R!$A$21:$A$33</definedName>
    <definedName name="PVC_DL_RANGE">[54]CPHEEO!$AY$3:$AY$16</definedName>
    <definedName name="PVC_DR">[54]wh_data!$L$21:$L$33</definedName>
    <definedName name="PVC_FR_10KG">[67]pvc!$C$60:$O$60</definedName>
    <definedName name="PVC_FR_4KG">[67]pvc!$C$31:$O$31</definedName>
    <definedName name="PVC_FR_6KG">[67]pvc!$C$45:$O$45</definedName>
    <definedName name="PVC_G">[54]wh_data_R!$AI$1440:$AI$1442</definedName>
    <definedName name="PVC_ID">[54]wh_data_R!$L$21:$L$33</definedName>
    <definedName name="PVC_ID_CL">[54]wh_data_R!$L$20:$O$20</definedName>
    <definedName name="PVC_IDS">[54]wh_data_R!$L$21:$O$33</definedName>
    <definedName name="PVC_PIPES">'[55]PIPES BASIC RATES'!$A$5:$A$60</definedName>
    <definedName name="pvc_pipes_110">NA()</definedName>
    <definedName name="pvc_specials" localSheetId="11">NA()</definedName>
    <definedName name="pvc_specials" localSheetId="12">NA()</definedName>
    <definedName name="pvc_specials" localSheetId="0">#REF!</definedName>
    <definedName name="pvc_specials">#REF!</definedName>
    <definedName name="PVC_T">[54]wh_data!$A$21:$D$33</definedName>
    <definedName name="pvcALL">NA()</definedName>
    <definedName name="pvcBend">NA()</definedName>
    <definedName name="pvcCoupling">NA()</definedName>
    <definedName name="pvcDummy">NA()</definedName>
    <definedName name="pvcElbow">NA()</definedName>
    <definedName name="pvcFTA">NA()</definedName>
    <definedName name="PVCid10.0">'[73]int-Dia-pvc'!$H$3:$H$27</definedName>
    <definedName name="PVCid10_0">NA()</definedName>
    <definedName name="PVCid4.0">'[73]int-Dia-pvc'!$E$3:$E$27</definedName>
    <definedName name="PVCid4_0">NA()</definedName>
    <definedName name="PVCid6.0">'[73]int-Dia-pvc'!$F$3:$F$27</definedName>
    <definedName name="PVCid6_0">NA()</definedName>
    <definedName name="PVCid8.0">'[73]int-Dia-pvc'!$G$3:$G$27</definedName>
    <definedName name="PVCid8_0">NA()</definedName>
    <definedName name="pvcMTA">NA()</definedName>
    <definedName name="PVCod">'[73]int-Dia-pvc'!$C$3:$C$27</definedName>
    <definedName name="pvcpvrate">'[96]pvc-rates'!$C$7:$I$46</definedName>
    <definedName name="pvcrates">'[97]pvc-pipe-rates'!$I$30:$Z$35</definedName>
    <definedName name="PVCreducedTee">NA()</definedName>
    <definedName name="pvcsaddle">[68]Sheet1!$B$98:$B$102</definedName>
    <definedName name="pvcSpecials">NA()</definedName>
    <definedName name="pvcTee">NA()</definedName>
    <definedName name="pvcwts">'[96]PVC weights'!$B$1:$F$40</definedName>
    <definedName name="pw">'[26]C-data'!$F$86</definedName>
    <definedName name="PWF">NA()</definedName>
    <definedName name="q" localSheetId="11">NA()</definedName>
    <definedName name="q" localSheetId="12">NA()</definedName>
    <definedName name="q" localSheetId="0">#REF!</definedName>
    <definedName name="q">#REF!</definedName>
    <definedName name="Q_">NA()</definedName>
    <definedName name="Q_136_BCCP">NA()</definedName>
    <definedName name="Q_136_BODY">NA()</definedName>
    <definedName name="Q_136_FLY_BCCP">NA()</definedName>
    <definedName name="Q_136_FOUND">NA()</definedName>
    <definedName name="Q_148_BCCP">NA()</definedName>
    <definedName name="q_8">NA()</definedName>
    <definedName name="Q_BACKFILL">NA()</definedName>
    <definedName name="Q_BC">NA()</definedName>
    <definedName name="Q_BED_HP">NA()</definedName>
    <definedName name="Q_BM_100">NA()</definedName>
    <definedName name="Q_BM_50">NA()</definedName>
    <definedName name="Q_BT_PATCH">NA()</definedName>
    <definedName name="Q_BT_PATCH_40">NA()</definedName>
    <definedName name="Q_CD_EW" localSheetId="11">NA()</definedName>
    <definedName name="Q_CD_EW" localSheetId="12">NA()</definedName>
    <definedName name="Q_CD_EW" localSheetId="0">#REF!</definedName>
    <definedName name="Q_CD_EW">#REF!</definedName>
    <definedName name="Q_CD_M10_BODY" localSheetId="11">NA()</definedName>
    <definedName name="Q_CD_M10_BODY" localSheetId="12">NA()</definedName>
    <definedName name="Q_CD_M10_BODY" localSheetId="0">#REF!</definedName>
    <definedName name="Q_CD_M10_BODY">#REF!</definedName>
    <definedName name="Q_CD_M10_FOUN" localSheetId="11">NA()</definedName>
    <definedName name="Q_CD_M10_FOUN" localSheetId="12">NA()</definedName>
    <definedName name="Q_CD_M10_FOUN" localSheetId="0">#REF!</definedName>
    <definedName name="Q_CD_M10_FOUN">#REF!</definedName>
    <definedName name="Q_EW_C">NA()</definedName>
    <definedName name="Q_EW_F" localSheetId="11">"[382]r_det!#ref!"</definedName>
    <definedName name="Q_EW_F" localSheetId="12">"[382]r_det!#ref!"</definedName>
    <definedName name="Q_EW_F" localSheetId="0">[131]R_Det!#REF!</definedName>
    <definedName name="Q_EW_F">[131]R_Det!#REF!</definedName>
    <definedName name="Q_EW_FOUND">NA()</definedName>
    <definedName name="Q_EW_S" localSheetId="11">"[382]r_det!#ref!"</definedName>
    <definedName name="Q_EW_S" localSheetId="12">"[382]r_det!#ref!"</definedName>
    <definedName name="Q_EW_S" localSheetId="0">[131]R_Det!#REF!</definedName>
    <definedName name="Q_EW_S">[131]R_Det!#REF!</definedName>
    <definedName name="Q_EW_T">NA()</definedName>
    <definedName name="Q_EW_USS">NA()</definedName>
    <definedName name="Q_FILL_INB_BODY">NA()</definedName>
    <definedName name="Q_FILTER_ABUT">NA()</definedName>
    <definedName name="Q_FILTER_BPITCH">NA()</definedName>
    <definedName name="Q_G2_22B_aS_PR">NA()</definedName>
    <definedName name="Q_G2_22B_AS_VR">NA()</definedName>
    <definedName name="Q_G2_45B_AS_PR">NA()</definedName>
    <definedName name="Q_G2_45B_AS_VR">NA()</definedName>
    <definedName name="Q_G3_22B_BS_PR">NA()</definedName>
    <definedName name="Q_G3_22B_BS_VR">NA()</definedName>
    <definedName name="Q_G3_45B_BS_PR">NA()</definedName>
    <definedName name="Q_G3_45B_BS_VR">NA()</definedName>
    <definedName name="Q_GRAVEL_SHOLDERS" localSheetId="11">"[382]r_det!#ref!"</definedName>
    <definedName name="Q_GRAVEL_SHOLDERS" localSheetId="12">"[382]r_det!#ref!"</definedName>
    <definedName name="Q_GRAVEL_SHOLDERS" localSheetId="0">[131]R_Det!#REF!</definedName>
    <definedName name="Q_GRAVEL_SHOLDERS">[131]R_Det!#REF!</definedName>
    <definedName name="Q_GROUT_REV">NA()</definedName>
    <definedName name="Q_GS">NA()</definedName>
    <definedName name="Q_GSB" localSheetId="11">"[382]r_det!#ref!"</definedName>
    <definedName name="Q_GSB" localSheetId="12">"[382]r_det!#ref!"</definedName>
    <definedName name="Q_GSB" localSheetId="0">[131]R_Det!#REF!</definedName>
    <definedName name="Q_GSB">[131]R_Det!#REF!</definedName>
    <definedName name="Q_HP">NA()</definedName>
    <definedName name="Q_HP_1000">NA()</definedName>
    <definedName name="Q_HP_600">NA()</definedName>
    <definedName name="Q_HP_800">NA()</definedName>
    <definedName name="Q_HYSD_FOUND">NA()</definedName>
    <definedName name="Q_HYSD_SUB">NA()</definedName>
    <definedName name="Q_HYSD_SUPER">NA()</definedName>
    <definedName name="Q_M15_DIVIDERS">NA()</definedName>
    <definedName name="Q_M15_FOUND">NA()</definedName>
    <definedName name="Q_M15_LEVEL">NA()</definedName>
    <definedName name="Q_M15_SUB">NA()</definedName>
    <definedName name="Q_M20R_BEDBLOCKS">NA()</definedName>
    <definedName name="Q_M20R_COVER_SLAB">NA()</definedName>
    <definedName name="Q_M20R_DECK">NA()</definedName>
    <definedName name="Q_M20R_RAIL">NA()</definedName>
    <definedName name="Q_M25R_APP">NA()</definedName>
    <definedName name="Q_M30R_WC">NA()</definedName>
    <definedName name="Q_M35_CCP">NA()</definedName>
    <definedName name="Q_M35_FLY_CCP">NA()</definedName>
    <definedName name="Q_MILD">NA()</definedName>
    <definedName name="Q_MSS">[45]R_Det!$I$48</definedName>
    <definedName name="Q_PAINT">NA()</definedName>
    <definedName name="q_pick" localSheetId="11">"[382]r_det!#ref!"</definedName>
    <definedName name="q_pick" localSheetId="12">"[382]r_det!#ref!"</definedName>
    <definedName name="q_pick" localSheetId="0">[131]R_Det!#REF!</definedName>
    <definedName name="q_pick">[131]R_Det!#REF!</definedName>
    <definedName name="Q_PLAST">NA()</definedName>
    <definedName name="Q_REV300">NA()</definedName>
    <definedName name="Q_SANDFILL">NA()</definedName>
    <definedName name="Q_SCAR_BT">NA()</definedName>
    <definedName name="Q_SCAR_GRA">NA()</definedName>
    <definedName name="Q_SCSD" localSheetId="11">"[382]r_det!#ref!"</definedName>
    <definedName name="Q_SCSD" localSheetId="12">"[382]r_det!#ref!"</definedName>
    <definedName name="Q_SCSD" localSheetId="0">[131]R_Det!#REF!</definedName>
    <definedName name="Q_SCSD">[131]R_Det!#REF!</definedName>
    <definedName name="Q_SCSD_6070">NA()</definedName>
    <definedName name="Q_SCSD_80100">NA()</definedName>
    <definedName name="Q_SDBC" localSheetId="11">"[382]r_det!#ref!"</definedName>
    <definedName name="Q_SDBC" localSheetId="12">"[382]r_det!#ref!"</definedName>
    <definedName name="Q_SDBC" localSheetId="0">[131]R_Det!#REF!</definedName>
    <definedName name="Q_SDBC">[131]R_Det!#REF!</definedName>
    <definedName name="Q_TACK" localSheetId="11">"[382]r_det!#ref!"</definedName>
    <definedName name="Q_TACK" localSheetId="12">"[382]r_det!#ref!"</definedName>
    <definedName name="Q_TACK" localSheetId="0">[131]R_Det!#REF!</definedName>
    <definedName name="Q_TACK">[131]R_Det!#REF!</definedName>
    <definedName name="Q_WBM2" localSheetId="11">"[382]r_det!#ref!"</definedName>
    <definedName name="Q_WBM2" localSheetId="12">"[382]r_det!#ref!"</definedName>
    <definedName name="Q_WBM2" localSheetId="0">[131]R_Det!#REF!</definedName>
    <definedName name="Q_WBM2">[131]R_Det!#REF!</definedName>
    <definedName name="Q_WBM3" localSheetId="11">"[382]r_det!#ref!"</definedName>
    <definedName name="Q_WBM3" localSheetId="12">"[382]r_det!#ref!"</definedName>
    <definedName name="Q_WBM3" localSheetId="0">[131]R_Det!#REF!</definedName>
    <definedName name="Q_WBM3">[131]R_Det!#REF!</definedName>
    <definedName name="Q_WMM">NA()</definedName>
    <definedName name="QQ">[90]m1!$D$9</definedName>
    <definedName name="qqq" localSheetId="11">NA()</definedName>
    <definedName name="qqq" localSheetId="12">NA()</definedName>
    <definedName name="qqq" localSheetId="0">#REF!</definedName>
    <definedName name="qqq">#REF!</definedName>
    <definedName name="qqqq">NA()</definedName>
    <definedName name="QQQQQQ">"[383]lead!#ref!"</definedName>
    <definedName name="qqqqqqq">NA()</definedName>
    <definedName name="qqqqqqqqq">"[93]data!#ref!"</definedName>
    <definedName name="qqqqqqqqqqqqq">NA()</definedName>
    <definedName name="qqww" localSheetId="11">NA()</definedName>
    <definedName name="qqww" localSheetId="12">NA()</definedName>
    <definedName name="qqww" localSheetId="0">#REF!</definedName>
    <definedName name="qqww">#REF!</definedName>
    <definedName name="qr">'[33]Lead statement'!$P$10</definedName>
    <definedName name="QRückläufe" localSheetId="11">NA()</definedName>
    <definedName name="QRückläufe" localSheetId="12">NA()</definedName>
    <definedName name="QRückläufe">[66]BALAN1!$E$10</definedName>
    <definedName name="QSchlamwasser_Dauer" localSheetId="11">NA()</definedName>
    <definedName name="QSchlamwasser_Dauer" localSheetId="12">NA()</definedName>
    <definedName name="QSchlamwasser_Dauer">[66]BALAN1!$E$54</definedName>
    <definedName name="Qu">NA()</definedName>
    <definedName name="quarry">"[71]material!#ref!"</definedName>
    <definedName name="Quarry_rubbish">"[71]material!#ref!"</definedName>
    <definedName name="Quaspall">NA()</definedName>
    <definedName name="que">NA()</definedName>
    <definedName name="quer10">NA()</definedName>
    <definedName name="QUERY2" localSheetId="11">"[385]data!#ref!"</definedName>
    <definedName name="QUERY2" localSheetId="12">"[385]data!#ref!"</definedName>
    <definedName name="QUERY2" localSheetId="0">[132]data!#REF!</definedName>
    <definedName name="QUERY2">[133]data!#REF!</definedName>
    <definedName name="qwe">NA()</definedName>
    <definedName name="qwew">NA()</definedName>
    <definedName name="qwwetrty">NA()</definedName>
    <definedName name="qwww">NA()</definedName>
    <definedName name="R_12_M">NA()</definedName>
    <definedName name="R_136_BCCP">NA()</definedName>
    <definedName name="R_136_BODY">NA()</definedName>
    <definedName name="R_136_Bodywalls">'[134]Road data'!$K$399</definedName>
    <definedName name="R_136_FLY_BCCP">NA()</definedName>
    <definedName name="R_136_Found">'[134]Road data'!$K$374</definedName>
    <definedName name="R_148_BCCP">NA()</definedName>
    <definedName name="R_148_belowcc">'[134]Road data'!$K$285</definedName>
    <definedName name="R_25_M">NA()</definedName>
    <definedName name="R_6_M">NA()</definedName>
    <definedName name="r_ac_pipe_100_cl">NA()</definedName>
    <definedName name="r_ac_pipe_125_cl">NA()</definedName>
    <definedName name="r_ac_pipe_150_cl">NA()</definedName>
    <definedName name="r_ac_pipe_200_cl">NA()</definedName>
    <definedName name="r_ac_pipe_80_cl">NA()</definedName>
    <definedName name="R_BackFill">'[134]Road data'!$K$699</definedName>
    <definedName name="R_BED_HP">NA()</definedName>
    <definedName name="R_BetweenBodywalls">'[134]Road data'!$K$466</definedName>
    <definedName name="r_block_20">NA()</definedName>
    <definedName name="r_block_50">NA()</definedName>
    <definedName name="R_BM" localSheetId="11">NA()</definedName>
    <definedName name="R_BM" localSheetId="12">NA()</definedName>
    <definedName name="R_BM">'[52]Road data'!#REF!</definedName>
    <definedName name="R_BM_50">NA()</definedName>
    <definedName name="R_BT_PATCH">NA()</definedName>
    <definedName name="R_BT_PATCH_40">NA()</definedName>
    <definedName name="r_det">[52]R_Det!$I$31</definedName>
    <definedName name="R_Diversion_Road" localSheetId="11">NA()</definedName>
    <definedName name="R_Diversion_Road" localSheetId="12">NA()</definedName>
    <definedName name="R_Diversion_Road">'[135]Road data'!#REF!</definedName>
    <definedName name="R_EW_C">NA()</definedName>
    <definedName name="R_EW_Car" localSheetId="11">NA()</definedName>
    <definedName name="R_EW_Car" localSheetId="12">NA()</definedName>
    <definedName name="R_EW_Car">'[52]Road data'!#REF!</definedName>
    <definedName name="r_ew_emb">NA()</definedName>
    <definedName name="R_EW_FMC_Car">'[135]Road data'!$K$49</definedName>
    <definedName name="R_EW_FMC_Side">'[52]Road data'!$K$30</definedName>
    <definedName name="R_EW_Form_OMC">'[134]Road data'!$K$58</definedName>
    <definedName name="R_EW_FOUND">NA()</definedName>
    <definedName name="R_EW_Man" localSheetId="11">NA()</definedName>
    <definedName name="R_EW_Man" localSheetId="12">NA()</definedName>
    <definedName name="R_EW_Man">'[135]Road data'!#REF!</definedName>
    <definedName name="R_EW_OMC_Car" localSheetId="11">NA()</definedName>
    <definedName name="R_EW_OMC_Car" localSheetId="12">NA()</definedName>
    <definedName name="R_EW_OMC_Car">'[52]Road data'!#REF!</definedName>
    <definedName name="R_EW_OMC_Side" localSheetId="11">NA()</definedName>
    <definedName name="R_EW_OMC_Side" localSheetId="12">NA()</definedName>
    <definedName name="R_EW_OMC_Side">'[52]Road data'!#REF!</definedName>
    <definedName name="r_ew_rf_cons">NA()</definedName>
    <definedName name="R_EW_S">NA()</definedName>
    <definedName name="R_EW_Side_OMC">'[134]Road data'!$K$30</definedName>
    <definedName name="R_EW_T">NA()</definedName>
    <definedName name="R_EW_Trench">'[136]Road data'!$K$13</definedName>
    <definedName name="R_EW_USS">NA()</definedName>
    <definedName name="R_FILL_INB_BODY">NA()</definedName>
    <definedName name="R_Filter">'[134]Road data'!$K$502</definedName>
    <definedName name="R_FILTER_ABUT">NA()</definedName>
    <definedName name="R_FILTER_BPITCH">NA()</definedName>
    <definedName name="r_floor_pl">NA()</definedName>
    <definedName name="R_G2_22B_AS_PR">NA()</definedName>
    <definedName name="R_G2_22B_AS_VR">NA()</definedName>
    <definedName name="R_G2_45B_AS_PR">NA()</definedName>
    <definedName name="R_G2_45B_AS_VR">NA()</definedName>
    <definedName name="R_G3_22B_BS_PR">NA()</definedName>
    <definedName name="R_G3_22B_BS_VR">NA()</definedName>
    <definedName name="R_G3_45B_BS_PR">NA()</definedName>
    <definedName name="R_G3_45B_BS_VR">NA()</definedName>
    <definedName name="R_Gravel">NA()</definedName>
    <definedName name="R_Gravel_Bedding">'[45]Road data'!$K$354</definedName>
    <definedName name="R_Gravel_between">'[136]Road data'!$K$356</definedName>
    <definedName name="R_Gravel_Pipebedding">'[136]Road data'!$K$299</definedName>
    <definedName name="R_Gravel_Quardrent" localSheetId="11">NA()</definedName>
    <definedName name="R_Gravel_Quardrent" localSheetId="12">NA()</definedName>
    <definedName name="R_Gravel_Quardrent">'[135]Road data'!#REF!</definedName>
    <definedName name="R_GravelBedding">'[134]Road data'!$K$351</definedName>
    <definedName name="R_GravelShoulders">'[52]Road data'!$K$251</definedName>
    <definedName name="R_GROUT_REV">NA()</definedName>
    <definedName name="R_GS">NA()</definedName>
    <definedName name="R_GSB">'[135]Road data'!$K$77</definedName>
    <definedName name="R_HP_1000">'[137]Road data'!$K$446</definedName>
    <definedName name="R_HP_600" localSheetId="11">NA()</definedName>
    <definedName name="R_HP_600" localSheetId="12">NA()</definedName>
    <definedName name="R_HP_600">'[52]Road data'!#REF!</definedName>
    <definedName name="R_HP_800">'[137]Road data'!$K$432</definedName>
    <definedName name="R_HPL_600" localSheetId="11">NA()</definedName>
    <definedName name="R_HPL_600" localSheetId="12">NA()</definedName>
    <definedName name="R_HPL_600">'[52]Road data'!#REF!</definedName>
    <definedName name="R_HPL_800">'[136]Road data'!$K$322</definedName>
    <definedName name="R_HYSD_Found">'[134]Road data'!$K$747</definedName>
    <definedName name="R_HYSD_sub">'[134]Road data'!$K$731</definedName>
    <definedName name="R_HYSD_Super" localSheetId="11">NA()</definedName>
    <definedName name="R_HYSD_Super" localSheetId="12">NA()</definedName>
    <definedName name="R_HYSD_Super">'[52]Road data'!#REF!</definedName>
    <definedName name="R_M10_base" localSheetId="11">NA()</definedName>
    <definedName name="R_M10_base" localSheetId="12">NA()</definedName>
    <definedName name="R_M10_base">'[135]Road data'!#REF!</definedName>
    <definedName name="R_M10_bCC" localSheetId="11">NA()</definedName>
    <definedName name="R_M10_bCC" localSheetId="12">NA()</definedName>
    <definedName name="R_M10_bCC">'[52]Road data'!#REF!</definedName>
    <definedName name="R_M10_bodywalls">'[136]Road data'!$K$286</definedName>
    <definedName name="R_M10_drains" localSheetId="11">NA()</definedName>
    <definedName name="R_M10_drains" localSheetId="12">NA()</definedName>
    <definedName name="R_M10_drains">'[135]Road data'!#REF!</definedName>
    <definedName name="R_M10_found">'[136]Road data'!$K$275</definedName>
    <definedName name="R_M15_dividers" localSheetId="11">NA()</definedName>
    <definedName name="R_M15_dividers" localSheetId="12">NA()</definedName>
    <definedName name="R_M15_dividers">'[135]Road data'!#REF!</definedName>
    <definedName name="R_M15_Foot">'[134]Road data'!$K$528</definedName>
    <definedName name="R_M15_footing" localSheetId="11">NA()</definedName>
    <definedName name="R_M15_footing" localSheetId="12">NA()</definedName>
    <definedName name="R_M15_footing">'[52]Road data'!#REF!</definedName>
    <definedName name="R_M15_FOUND">NA()</definedName>
    <definedName name="R_M15_LEVEL">NA()</definedName>
    <definedName name="R_M15_LevellingCoarse">'[134]Road data'!$K$679</definedName>
    <definedName name="R_M15_SUB" localSheetId="11">NA()</definedName>
    <definedName name="R_M15_SUB" localSheetId="12">NA()</definedName>
    <definedName name="R_M15_SUB">'[52]Road data'!#REF!</definedName>
    <definedName name="R_M20_Bed">'[134]Road data'!$K$579</definedName>
    <definedName name="R_M20_BedBack" localSheetId="11">NA()</definedName>
    <definedName name="R_M20_BedBack" localSheetId="12">NA()</definedName>
    <definedName name="R_M20_BedBack">'[52]Road data'!#REF!</definedName>
    <definedName name="R_M20_COVER" localSheetId="11">NA()</definedName>
    <definedName name="R_M20_COVER" localSheetId="12">NA()</definedName>
    <definedName name="R_M20_COVER">'[52]Road data'!#REF!</definedName>
    <definedName name="R_M20_DECKSLAB" localSheetId="11">NA()</definedName>
    <definedName name="R_M20_DECKSLAB" localSheetId="12">NA()</definedName>
    <definedName name="R_M20_DECKSLAB">'[52]Road data'!#REF!</definedName>
    <definedName name="R_M20_slab">'[134]Road data'!$K$604</definedName>
    <definedName name="R_M20R_BEDBLOCKS">NA()</definedName>
    <definedName name="R_M20R_COVER_SLAB">NA()</definedName>
    <definedName name="R_M20R_DECK">NA()</definedName>
    <definedName name="R_M20R_RAIL">NA()</definedName>
    <definedName name="R_M25_ApproachSlab" localSheetId="11">NA()</definedName>
    <definedName name="R_M25_ApproachSlab" localSheetId="12">NA()</definedName>
    <definedName name="R_M25_ApproachSlab">'[52]Road data'!#REF!</definedName>
    <definedName name="R_M25R_APP">NA()</definedName>
    <definedName name="R_M30_WC" localSheetId="11">NA()</definedName>
    <definedName name="R_M30_WC" localSheetId="12">NA()</definedName>
    <definedName name="R_M30_WC">'[52]Road data'!#REF!</definedName>
    <definedName name="R_M30R_WC">NA()</definedName>
    <definedName name="R_M35_C2">NA()</definedName>
    <definedName name="R_M35_CC" localSheetId="11">NA()</definedName>
    <definedName name="R_M35_CC" localSheetId="12">NA()</definedName>
    <definedName name="R_M35_CC">'[135]Road data'!#REF!</definedName>
    <definedName name="R_M35_CCP">NA()</definedName>
    <definedName name="R_M35_FLY_CCP">NA()</definedName>
    <definedName name="R_M35_FlyAsh" localSheetId="11">NA()</definedName>
    <definedName name="R_M35_FlyAsh" localSheetId="12">NA()</definedName>
    <definedName name="R_M35_FlyAsh">'[52]Road data'!#REF!</definedName>
    <definedName name="r_media_m_20">NA()</definedName>
    <definedName name="r_media_m_6">NA()</definedName>
    <definedName name="r_media_sd_c">NA()</definedName>
    <definedName name="r_media_sd_f">NA()</definedName>
    <definedName name="R_Mild" localSheetId="11">NA()</definedName>
    <definedName name="R_Mild" localSheetId="12">NA()</definedName>
    <definedName name="R_Mild">'[52]Road data'!#REF!</definedName>
    <definedName name="R_MSS">'[134]Road data'!$K$244</definedName>
    <definedName name="R_Napa">NA()</definedName>
    <definedName name="r_ohsr_40_12_7">NA()</definedName>
    <definedName name="r_ohsr_40_9_55">NA()</definedName>
    <definedName name="r_ohsr_60_12_9">NA()</definedName>
    <definedName name="r_ohsr_60_9_75">NA()</definedName>
    <definedName name="R_PAINT">NA()</definedName>
    <definedName name="R_Painting" localSheetId="11">NA()</definedName>
    <definedName name="R_Painting" localSheetId="12">NA()</definedName>
    <definedName name="R_Painting">'[52]Road data'!#REF!</definedName>
    <definedName name="r_pcc_124_12">NA()</definedName>
    <definedName name="R_Pick">'[52]Road data'!$K$89</definedName>
    <definedName name="r_pl_rf">NA()</definedName>
    <definedName name="R_PLAST">NA()</definedName>
    <definedName name="R_PLAST_CUM">NA()</definedName>
    <definedName name="R_PLAST_SQM">NA()</definedName>
    <definedName name="R_Plastering" localSheetId="11">NA()</definedName>
    <definedName name="R_Plastering" localSheetId="12">NA()</definedName>
    <definedName name="R_Plastering">'[52]Road data'!#REF!</definedName>
    <definedName name="R_R300">'[134]Road data'!$K$484</definedName>
    <definedName name="R_Rev_A300" localSheetId="11">NA()</definedName>
    <definedName name="R_Rev_A300" localSheetId="12">NA()</definedName>
    <definedName name="R_Rev_A300">'[135]Road data'!#REF!</definedName>
    <definedName name="R_Rev_Q300" localSheetId="11">NA()</definedName>
    <definedName name="R_Rev_Q300" localSheetId="12">NA()</definedName>
    <definedName name="R_Rev_Q300">'[135]Road data'!#REF!</definedName>
    <definedName name="R_REV300">NA()</definedName>
    <definedName name="R_Rs_Mason">NA()</definedName>
    <definedName name="R_Rs_Riv_300">NA()</definedName>
    <definedName name="R_SANDFILL">NA()</definedName>
    <definedName name="R_SandFILLING" localSheetId="11">NA()</definedName>
    <definedName name="R_SandFILLING" localSheetId="12">NA()</definedName>
    <definedName name="R_SandFILLING">'[52]Road data'!#REF!</definedName>
    <definedName name="R_Scar_BT" localSheetId="11">NA()</definedName>
    <definedName name="R_Scar_BT" localSheetId="12">NA()</definedName>
    <definedName name="R_Scar_BT">'[52]Road data'!#REF!</definedName>
    <definedName name="R_SCAR_GRA">NA()</definedName>
    <definedName name="R_Scar_GSB" localSheetId="11">NA()</definedName>
    <definedName name="R_Scar_GSB" localSheetId="12">NA()</definedName>
    <definedName name="R_Scar_GSB">'[52]Road data'!#REF!</definedName>
    <definedName name="R_Scarf">'[134]Road data'!$K$97</definedName>
    <definedName name="R_SCSD">'[134]Road data'!$K$198</definedName>
    <definedName name="R_SCSD_6070">'[52]Road data'!$K$173</definedName>
    <definedName name="R_SCSD_80100" localSheetId="11">NA()</definedName>
    <definedName name="R_SCSD_80100" localSheetId="12">NA()</definedName>
    <definedName name="R_SCSD_80100">'[52]Road data'!#REF!</definedName>
    <definedName name="r_sd_media">NA()</definedName>
    <definedName name="R_SDBC">'[52]Road data'!$K$234</definedName>
    <definedName name="R_shoulders">'[134]Road data'!$K$263</definedName>
    <definedName name="R_Tack">'[52]Road data'!$K$197</definedName>
    <definedName name="R_Teak">NA()</definedName>
    <definedName name="r_vrcc_cur_wall_20">NA()</definedName>
    <definedName name="R_WBM_G2">'[134]Road data'!$K$121</definedName>
    <definedName name="R_WBM_G3">'[134]Road data'!$K$144</definedName>
    <definedName name="R_WBM2" localSheetId="11">NA()</definedName>
    <definedName name="R_WBM2" localSheetId="12">NA()</definedName>
    <definedName name="R_WBM2">'[52]Road data'!#REF!</definedName>
    <definedName name="R_WBM2_HS">'[52]Road data'!$K$116</definedName>
    <definedName name="R_WBM2_HVR" localSheetId="11">NA()</definedName>
    <definedName name="R_WBM2_HVR" localSheetId="12">NA()</definedName>
    <definedName name="R_WBM2_HVR">'[52]Road data'!#REF!</definedName>
    <definedName name="R_WBM2_MCS" localSheetId="11">NA()</definedName>
    <definedName name="R_WBM2_MCS" localSheetId="12">NA()</definedName>
    <definedName name="R_WBM2_MCS">'[52]Road data'!#REF!</definedName>
    <definedName name="R_WBM3" localSheetId="11">NA()</definedName>
    <definedName name="R_WBM3" localSheetId="12">NA()</definedName>
    <definedName name="R_WBM3">'[52]Road data'!#REF!</definedName>
    <definedName name="R_WBM3_HS">'[52]Road data'!$K$142</definedName>
    <definedName name="R_WBM3_HVR" localSheetId="11">NA()</definedName>
    <definedName name="R_WBM3_HVR" localSheetId="12">NA()</definedName>
    <definedName name="R_WBM3_HVR">'[52]Road data'!#REF!</definedName>
    <definedName name="R_WBM3_MCS" localSheetId="11">NA()</definedName>
    <definedName name="R_WBM3_MCS" localSheetId="12">NA()</definedName>
    <definedName name="R_WBM3_MCS">'[52]Road data'!#REF!</definedName>
    <definedName name="R_Weepholes" localSheetId="11">NA()</definedName>
    <definedName name="R_Weepholes" localSheetId="12">NA()</definedName>
    <definedName name="R_Weepholes">'[52]Road data'!#REF!</definedName>
    <definedName name="R_WMM" localSheetId="11">NA()</definedName>
    <definedName name="R_WMM" localSheetId="12">NA()</definedName>
    <definedName name="R_WMM">'[52]Road data'!#REF!</definedName>
    <definedName name="raams">NA()</definedName>
    <definedName name="Rabbit">NA()</definedName>
    <definedName name="raf">[86]Material!$D$130</definedName>
    <definedName name="raffs">'[86]Plant &amp;  Machinery'!$G$13</definedName>
    <definedName name="rafi">'[86]Plant &amp;  Machinery'!$G$4</definedName>
    <definedName name="raghava">NA()</definedName>
    <definedName name="raised_pointing">NA()</definedName>
    <definedName name="raj">NA()</definedName>
    <definedName name="raju">[86]Material!$D$126</definedName>
    <definedName name="ram">[86]Material!$D$129</definedName>
    <definedName name="raMA">"[391]data!#ref!"</definedName>
    <definedName name="raod" localSheetId="11">"[118]lead!#ref!"</definedName>
    <definedName name="raod" localSheetId="12">"[118]lead!#ref!"</definedName>
    <definedName name="raod" localSheetId="0">[56]Lead!#REF!</definedName>
    <definedName name="raod">[56]Lead!#REF!</definedName>
    <definedName name="ras">NA()</definedName>
    <definedName name="rat">[86]Material!$D$51</definedName>
    <definedName name="RatAna">NA()</definedName>
    <definedName name="rate12">'[8]lead-st'!$L$9</definedName>
    <definedName name="rate20">'[8]lead-st'!$L$8</definedName>
    <definedName name="rate40">'[8]lead-st'!$L$7</definedName>
    <definedName name="ratecrs">'[8]lead-st'!$L$12</definedName>
    <definedName name="raterough">'[8]lead-st'!$L$13</definedName>
    <definedName name="raterr">'[8]lead-st'!$L$11</definedName>
    <definedName name="rates" localSheetId="11">NA()</definedName>
    <definedName name="rates" localSheetId="12">NA()</definedName>
    <definedName name="rates" localSheetId="0">#REF!</definedName>
    <definedName name="rates">#REF!</definedName>
    <definedName name="rates1" localSheetId="11">NA()</definedName>
    <definedName name="rates1" localSheetId="12">NA()</definedName>
    <definedName name="rates1" localSheetId="0">#REF!</definedName>
    <definedName name="rates1">#REF!</definedName>
    <definedName name="rates11" localSheetId="11">NA()</definedName>
    <definedName name="rates11" localSheetId="12">NA()</definedName>
    <definedName name="rates11" localSheetId="0">#REF!</definedName>
    <definedName name="rates11">#REF!</definedName>
    <definedName name="rates4" localSheetId="11">NA()</definedName>
    <definedName name="rates4" localSheetId="12">NA()</definedName>
    <definedName name="rates4" localSheetId="0">#REF!</definedName>
    <definedName name="rates4">#REF!</definedName>
    <definedName name="ratesand">'[8]lead-st'!$L$10</definedName>
    <definedName name="Ravu" localSheetId="11">NA()</definedName>
    <definedName name="Ravu" localSheetId="12">NA()</definedName>
    <definedName name="Ravu" localSheetId="0">#REF!</definedName>
    <definedName name="Ravu">#REF!</definedName>
    <definedName name="rax">[86]Material!$D$47</definedName>
    <definedName name="rb">'[26]C-data'!$F$112</definedName>
    <definedName name="rbsw">NA()</definedName>
    <definedName name="rbw">NA()</definedName>
    <definedName name="RCArea" localSheetId="11">NA()</definedName>
    <definedName name="RCArea" localSheetId="12">NA()</definedName>
    <definedName name="RCArea" localSheetId="0" hidden="1">#REF!</definedName>
    <definedName name="RCArea" hidden="1">#REF!</definedName>
    <definedName name="RCC_CL">"[70]wh_data_r!#ref!"</definedName>
    <definedName name="RCC_CLL">[54]wh_data_R!$AL$1440:$AN$1441</definedName>
    <definedName name="RCC_D_R">[54]CPHEEO!$BG$3:$BG$13</definedName>
    <definedName name="rcc_mix">'[70]data existing_do not delete'!$F$14:$F$15</definedName>
    <definedName name="RCC_NP_CLASS_PIPES">'[55]RCC S.S PIPES NP CLASS'!$A$23:$A$83</definedName>
    <definedName name="RCC_PR_CLASS_PIPES">'[55]RCC S.S PR CLASS'!$A$24:$A$77</definedName>
    <definedName name="rcc_vrcc_mix">'[70]data existing_do not delete'!$G$14:$G$17</definedName>
    <definedName name="RCM__facia__railing">"[71]works!#ref!"</definedName>
    <definedName name="rcm_facia">NA()</definedName>
    <definedName name="rcml">NA()</definedName>
    <definedName name="rcwbgl">NA()</definedName>
    <definedName name="rcwbgl2">NA()</definedName>
    <definedName name="rd">NA()</definedName>
    <definedName name="rdm">NA()</definedName>
    <definedName name="re" localSheetId="11">NA()</definedName>
    <definedName name="re" localSheetId="12">NA()</definedName>
    <definedName name="RE" localSheetId="0">#REF!</definedName>
    <definedName name="RE">#REF!</definedName>
    <definedName name="Rear">"[394]column!#ref!"</definedName>
    <definedName name="rear1">"[394]column!#ref!"</definedName>
    <definedName name="REARS">"[394]column!#ref!"</definedName>
    <definedName name="rect_4_415">NA()</definedName>
    <definedName name="Rectangular_L_beam">"[71]works!#ref!"</definedName>
    <definedName name="RECV">NA()</definedName>
    <definedName name="red">NA()</definedName>
    <definedName name="ree">NA()</definedName>
    <definedName name="REFIL">[9]DATA!$H$189</definedName>
    <definedName name="refilling">NA()</definedName>
    <definedName name="refrt">"[71]material!#ref!"</definedName>
    <definedName name="reil1">NA()</definedName>
    <definedName name="rel">NA()</definedName>
    <definedName name="Removal_of_imponea__cornea">NA()</definedName>
    <definedName name="Removal_of_Jammu">NA()</definedName>
    <definedName name="Removal_of_natchu__goobi__thooti_etc___for_every_extra_lead_or_lift_over_the_initial_lead_or_lift_">NA()</definedName>
    <definedName name="Removal_of_water_hyacinth_upto_30_cm_thick_">NA()</definedName>
    <definedName name="Removing_of_natchu__goobi__thooti_etc___from_drains__channels_including_clearance_if_not_more_than_1_metre_depth_of_water_with_an_initial_lead_of_10_metresand_lift_of_2_metres_">NA()</definedName>
    <definedName name="Repalle_Sub">[138]quarry!$A$5:$AA$337</definedName>
    <definedName name="repo">NA()</definedName>
    <definedName name="rerfdsfsdfd">'[86]Plant &amp;  Machinery'!$G$4</definedName>
    <definedName name="Rev">NA()</definedName>
    <definedName name="revet">NA()</definedName>
    <definedName name="REVETMENT">NA()</definedName>
    <definedName name="Revision">NA()</definedName>
    <definedName name="revision1">NA()</definedName>
    <definedName name="Revt_300">NA()</definedName>
    <definedName name="rfgergreg">"[71]data!#ref!"</definedName>
    <definedName name="rfgsdg" localSheetId="11">NA()</definedName>
    <definedName name="rfgsdg" localSheetId="12">NA()</definedName>
    <definedName name="rfgsdg" localSheetId="0">#REF!</definedName>
    <definedName name="rfgsdg">#REF!</definedName>
    <definedName name="rfrefrfrf">"[71]data!#ref!"</definedName>
    <definedName name="rfregreg">"[71]data!#ref!"</definedName>
    <definedName name="rggdg" localSheetId="11">NA()</definedName>
    <definedName name="rggdg" localSheetId="12">NA()</definedName>
    <definedName name="rggdg" localSheetId="0">#REF!</definedName>
    <definedName name="rggdg">#REF!</definedName>
    <definedName name="RH">NA()</definedName>
    <definedName name="RHS">NA()</definedName>
    <definedName name="ri">NA()</definedName>
    <definedName name="Ridf4_Prop__2_">NA()</definedName>
    <definedName name="rig">NA()</definedName>
    <definedName name="rii">NA()</definedName>
    <definedName name="riii">NA()</definedName>
    <definedName name="RIIO">NA()</definedName>
    <definedName name="riser_shahbad">NA()</definedName>
    <definedName name="rja">"[397]data!#ref!"</definedName>
    <definedName name="rk">NA()</definedName>
    <definedName name="RNN">"[101]column!#ref!"</definedName>
    <definedName name="road" localSheetId="11">"[118]lead!#ref!"</definedName>
    <definedName name="road" localSheetId="12">"[118]lead!#ref!"</definedName>
    <definedName name="road" localSheetId="0">[56]Lead!#REF!</definedName>
    <definedName name="road">[56]Lead!#REF!</definedName>
    <definedName name="Road_Roller">NA()</definedName>
    <definedName name="Road_Sections_list">'[58]Trunk unpaved'!$A$2:$L$233</definedName>
    <definedName name="roar1" localSheetId="11">"[118]lead!#ref!"</definedName>
    <definedName name="roar1" localSheetId="12">"[118]lead!#ref!"</definedName>
    <definedName name="roar1" localSheetId="0">[56]Lead!#REF!</definedName>
    <definedName name="roar1">[56]Lead!#REF!</definedName>
    <definedName name="robot">NA()</definedName>
    <definedName name="ROJU">NA()</definedName>
    <definedName name="Roof_slab___150mm">"[71]works!#ref!"</definedName>
    <definedName name="Roof_slab_150_300mm">"[71]works!#ref!"</definedName>
    <definedName name="room">NA()</definedName>
    <definedName name="Roplant">NA()</definedName>
    <definedName name="rosid">NA()</definedName>
    <definedName name="ROUGH" localSheetId="11">"[56]mrates!$g$11"</definedName>
    <definedName name="ROUGH" localSheetId="12">"[56]mrates!$g$11"</definedName>
    <definedName name="ROUGH">[29]MRATES!$G$11</definedName>
    <definedName name="rr">NA()</definedName>
    <definedName name="rr_blast">NA()</definedName>
    <definedName name="rr_stone">NA()</definedName>
    <definedName name="RR_stone_300">NA()</definedName>
    <definedName name="RR_stone_G">NA()</definedName>
    <definedName name="RR_stone_HBG">NA()</definedName>
    <definedName name="RR_stone_O">NA()</definedName>
    <definedName name="RR_stone_OG">NA()</definedName>
    <definedName name="RR_stone_R300">NA()</definedName>
    <definedName name="RR_stone_reG">NA()</definedName>
    <definedName name="rrg">[139]r!$F$7</definedName>
    <definedName name="rrotg">'[140]Lead statement'!$P$16</definedName>
    <definedName name="rrr">'[82]Plant &amp;  Machinery'!$G$4</definedName>
    <definedName name="rrrate">'[8]lead-st'!$L$11</definedName>
    <definedName name="RRRR" localSheetId="11">NA()</definedName>
    <definedName name="RRRR" localSheetId="12">NA()</definedName>
    <definedName name="RRRR" localSheetId="0">#REF!</definedName>
    <definedName name="RRRR">#REF!</definedName>
    <definedName name="rrrrrrrrr">"[71]material!#ref!"</definedName>
    <definedName name="rrs">[8]rdamdata!$J$9</definedName>
    <definedName name="rs">NA()</definedName>
    <definedName name="RSDP">[9]DATA!$H$215</definedName>
    <definedName name="rstone">[8]rdamdata!$J$11</definedName>
    <definedName name="rt" localSheetId="11">"[118]lead!#ref!"</definedName>
    <definedName name="rt" localSheetId="12">"[118]lead!#ref!"</definedName>
    <definedName name="rt" localSheetId="0">[56]Lead!#REF!</definedName>
    <definedName name="rt">[56]Lead!#REF!</definedName>
    <definedName name="rtcf">NA()</definedName>
    <definedName name="rtcfo">NA()</definedName>
    <definedName name="rtethbcvv">"[71]works!#ref!"</definedName>
    <definedName name="rtretretrett">"[401]data.f8.btr!#ref!"</definedName>
    <definedName name="rtytyt">NA()</definedName>
    <definedName name="RubberRings">[65]maya!$B$382:$B$386</definedName>
    <definedName name="rwgregtr">"[71]material!#ref!"</definedName>
    <definedName name="rwm">NA()</definedName>
    <definedName name="rwsrate">'[141]ssr-rates'!$B$1:$J$1644</definedName>
    <definedName name="s" localSheetId="11">NA()</definedName>
    <definedName name="s" localSheetId="12">NA()</definedName>
    <definedName name="s" localSheetId="0">#REF!</definedName>
    <definedName name="s">#REF!</definedName>
    <definedName name="S.F" hidden="1">'[39]final abstract'!#REF!</definedName>
    <definedName name="S_8">NA()</definedName>
    <definedName name="S_Backfill">'[122]Road data'!$C$723</definedName>
    <definedName name="S_F">NA()</definedName>
    <definedName name="S_Filter">'[122]Road data'!$C$529</definedName>
    <definedName name="S_HYSD_found">'[122]Road data'!$C$775</definedName>
    <definedName name="S_HYSD_sub">'[122]Road data'!$C$759</definedName>
    <definedName name="S_HYSD_super">'[122]Road data'!$C$743</definedName>
    <definedName name="S_L_WALL">NA()</definedName>
    <definedName name="S_M15_footing">'[122]Road data'!$C$546</definedName>
    <definedName name="S_M15_levellingcoarse">'[122]Road data'!$C$699</definedName>
    <definedName name="S_M15_sub">'[122]Road data'!$C$572</definedName>
    <definedName name="S_m20_bed">'[122]Road data'!$C$598</definedName>
    <definedName name="S_M20_slab">'[122]Road data'!$C$623</definedName>
    <definedName name="S_M25_Approachslab">'[122]Road data'!$C$673</definedName>
    <definedName name="S_M30_WC">'[122]Road data'!$C$648</definedName>
    <definedName name="S_No_">NA()</definedName>
    <definedName name="S_R_300">'[122]Road data'!$C$511</definedName>
    <definedName name="S_S_WALL">NA()</definedName>
    <definedName name="S_weepholes">'[122]Road data'!$C$821</definedName>
    <definedName name="S0">NA()</definedName>
    <definedName name="S0_10">NA()</definedName>
    <definedName name="S12_6">"'smb://Venkat/VENKAT''S%20(D)/FILES/2%20KC258%20PASADINA/My%20Documents/zero.xls'#$'p&amp;m'.$H$264:$H$264"</definedName>
    <definedName name="sa" localSheetId="11">"[307]data_bit_i!#ref!"</definedName>
    <definedName name="sa" localSheetId="12">"[307]data_bit_i!#ref!"</definedName>
    <definedName name="sa" localSheetId="0">[142]Lead!#REF!</definedName>
    <definedName name="sa">[142]Lead!#REF!</definedName>
    <definedName name="saa">"[307]data_bit_i!#ref!"</definedName>
    <definedName name="Saas">"[71]works!#ref!"</definedName>
    <definedName name="sad" localSheetId="11">"[113]data.f8.btr!#ref!"</definedName>
    <definedName name="sad" localSheetId="12">"[113]data.f8.btr!#ref!"</definedName>
    <definedName name="sad" localSheetId="0">'[53]Data.F8.BTR'!#REF!</definedName>
    <definedName name="sad">'[53]Data.F8.BTR'!#REF!</definedName>
    <definedName name="sadfas" localSheetId="11">NA()</definedName>
    <definedName name="sadfas" localSheetId="12">NA()</definedName>
    <definedName name="sadfas" localSheetId="0">#REF!</definedName>
    <definedName name="sadfas">#REF!</definedName>
    <definedName name="Sahabad_stones">"[71]material!#ref!"</definedName>
    <definedName name="sai">NA()</definedName>
    <definedName name="Sal_wood_planks">"[71]material!#ref!"</definedName>
    <definedName name="Sal_wood_scantlins">"[71]material!#ref!"</definedName>
    <definedName name="SALARY">NA()</definedName>
    <definedName name="SALARY_10">NA()</definedName>
    <definedName name="sales2">NA()</definedName>
    <definedName name="sand">[8]rdamdata!$J$12</definedName>
    <definedName name="SAND_D" localSheetId="11">"[56]mrates!$k$32"</definedName>
    <definedName name="SAND_D" localSheetId="12">"[56]mrates!$k$32"</definedName>
    <definedName name="SAND_D">[29]MRATES!$K$32</definedName>
    <definedName name="Sand_for_filling_and_blindage">NA()</definedName>
    <definedName name="Sand_for_mortar__ceiling_coat_including_washing_screening_etc_">NA()</definedName>
    <definedName name="Sand_Gravel">NA()</definedName>
    <definedName name="Sand_or_loose_soils_wet_sand_not_under_water__silt_in_canals_channels_and_drains_SS_20_A_">NA()</definedName>
    <definedName name="Sand_screened">NA()</definedName>
    <definedName name="SandF">[65]maya!$A$30:$A$31</definedName>
    <definedName name="sandfilling">NA()</definedName>
    <definedName name="sandmortar">NA()</definedName>
    <definedName name="sandscreen">NA()</definedName>
    <definedName name="SANITARY">NA()</definedName>
    <definedName name="sanjay">NA()</definedName>
    <definedName name="sanjaythute">NA()</definedName>
    <definedName name="saS">"[71]material!#ref!"</definedName>
    <definedName name="SASA" localSheetId="11">NA()</definedName>
    <definedName name="SASA" localSheetId="12">NA()</definedName>
    <definedName name="SASA" localSheetId="0">#REF!</definedName>
    <definedName name="SASA">#REF!</definedName>
    <definedName name="sassssssssssssss">"[71]material!#ref!"</definedName>
    <definedName name="satz1">NA()</definedName>
    <definedName name="satz2">NA()</definedName>
    <definedName name="sb">NA()</definedName>
    <definedName name="sbc">NA()</definedName>
    <definedName name="sbl">NA()</definedName>
    <definedName name="sbw">NA()</definedName>
    <definedName name="sc">'[33]Lead statement'!$P$7</definedName>
    <definedName name="SC2MV">NA()</definedName>
    <definedName name="Scaff">"[410]boq!#ref!"</definedName>
    <definedName name="scafhire">NA()</definedName>
    <definedName name="scafhirechr">NA()</definedName>
    <definedName name="scafhirechr1_24">NA()</definedName>
    <definedName name="scafhirechr115">NA()</definedName>
    <definedName name="scale">NA()</definedName>
    <definedName name="scfb">NA()</definedName>
    <definedName name="Sched_Pay">NA()</definedName>
    <definedName name="Scheduled_Extra_Payments">NA()</definedName>
    <definedName name="Scheduled_Interest_Rate">NA()</definedName>
    <definedName name="Scheduled_Monthly_Payment">NA()</definedName>
    <definedName name="schools">NA()</definedName>
    <definedName name="scl">NA()</definedName>
    <definedName name="scld">NA()</definedName>
    <definedName name="Scroll">NA()</definedName>
    <definedName name="scw">NA()</definedName>
    <definedName name="SD">[87]m!$D$149</definedName>
    <definedName name="sdas">"[71]material!#ref!"</definedName>
    <definedName name="Sdate">NA()</definedName>
    <definedName name="sdf" localSheetId="11">NA()</definedName>
    <definedName name="sdf" localSheetId="12">NA()</definedName>
    <definedName name="sdf" localSheetId="0">#REF!</definedName>
    <definedName name="sdf">#REF!</definedName>
    <definedName name="sdfe">NA()</definedName>
    <definedName name="sdfgdsgdfg">NA()</definedName>
    <definedName name="sdfsdsdfdf">[86]Material!$D$70</definedName>
    <definedName name="sdfyaehaehae">NA()</definedName>
    <definedName name="sdgfd">NA()</definedName>
    <definedName name="sdpl">NA()</definedName>
    <definedName name="SDPLBS">NA()</definedName>
    <definedName name="SDPLFA">NA()</definedName>
    <definedName name="SDPLPL">NA()</definedName>
    <definedName name="sdsD">NA()</definedName>
    <definedName name="sdsf">"[130]boq!#ref!"</definedName>
    <definedName name="sdsf_6">"'smb://Tender2/d/Vinod/Excel/Tender/Garuda%20Resorts.xls'#$Boq.CX1"</definedName>
    <definedName name="sea" localSheetId="11">NA()</definedName>
    <definedName name="sea" localSheetId="12">NA()</definedName>
    <definedName name="sea" localSheetId="0">#REF!</definedName>
    <definedName name="sea">#REF!</definedName>
    <definedName name="searth">NA()</definedName>
    <definedName name="sec">NA()</definedName>
    <definedName name="sec_deposit">NA()</definedName>
    <definedName name="SEComp" localSheetId="11">"[244]data.f8.btr!#ref!"</definedName>
    <definedName name="SEComp" localSheetId="12">"[244]data.f8.btr!#ref!"</definedName>
    <definedName name="SEComp" localSheetId="0">'[143]Data.F8.BTR'!#REF!</definedName>
    <definedName name="SEComp">'[143]Data.F8.BTR'!#REF!</definedName>
    <definedName name="Second_class_Bricks">NA()</definedName>
    <definedName name="SECTION">NA()</definedName>
    <definedName name="sectorwise">NA()</definedName>
    <definedName name="secured">NA()</definedName>
    <definedName name="see">NA()</definedName>
    <definedName name="sefrdrtg">NA()</definedName>
    <definedName name="SegCharge">NA()</definedName>
    <definedName name="segments">'[73]segments-details'!$A$5:$D$439</definedName>
    <definedName name="seig_earth">NA()</definedName>
    <definedName name="seig_gravel">NA()</definedName>
    <definedName name="seig_metal">NA()</definedName>
    <definedName name="seig_sand">NA()</definedName>
    <definedName name="sein" localSheetId="11">NA()</definedName>
    <definedName name="sein" localSheetId="12">NA()</definedName>
    <definedName name="sein" localSheetId="0">#REF!</definedName>
    <definedName name="sein">#REF!</definedName>
    <definedName name="sein1" localSheetId="11">NA()</definedName>
    <definedName name="sein1" localSheetId="12">NA()</definedName>
    <definedName name="sein1" localSheetId="0">#REF!</definedName>
    <definedName name="sein1">#REF!</definedName>
    <definedName name="sein4" localSheetId="11">NA()</definedName>
    <definedName name="sein4" localSheetId="12">NA()</definedName>
    <definedName name="sein4" localSheetId="0">#REF!</definedName>
    <definedName name="sein4">#REF!</definedName>
    <definedName name="SEK">NA()</definedName>
    <definedName name="sekar">"[93]data!#ref!"</definedName>
    <definedName name="SEM">NA()</definedName>
    <definedName name="SerialOrder">NA()</definedName>
    <definedName name="SeriesOrder">NA()</definedName>
    <definedName name="SES">NA()</definedName>
    <definedName name="sese" localSheetId="11">"[399]data!#ref!"</definedName>
    <definedName name="sese" localSheetId="12">"[399]data!#ref!"</definedName>
    <definedName name="sese" localSheetId="0">[144]Data!#REF!</definedName>
    <definedName name="sese">[145]Data!#REF!</definedName>
    <definedName name="Setflag">NA()</definedName>
    <definedName name="SEVENTOTHIRTEEN">NA()</definedName>
    <definedName name="sf">'[33]Lead statement'!$P$8</definedName>
    <definedName name="SGEARTH">NA()</definedName>
    <definedName name="SGGRAVEL" localSheetId="11">"[56]mrates!$h$34"</definedName>
    <definedName name="SGGRAVEL" localSheetId="12">"[56]mrates!$h$34"</definedName>
    <definedName name="SGGRAVEL">[29]MRATES!$H$34</definedName>
    <definedName name="sgh">NA()</definedName>
    <definedName name="SGMETAL" localSheetId="11">"[56]mrates!$h$30"</definedName>
    <definedName name="SGMETAL" localSheetId="12">"[56]mrates!$h$30"</definedName>
    <definedName name="SGMETAL">[29]MRATES!$H$30</definedName>
    <definedName name="SGSAND" localSheetId="11">"[56]mrates!$h$32"</definedName>
    <definedName name="SGSAND" localSheetId="12">"[56]mrates!$h$32"</definedName>
    <definedName name="SGSAND">[29]MRATES!$H$32</definedName>
    <definedName name="sgsdgsdg">NA()</definedName>
    <definedName name="SGSTONE">NA()</definedName>
    <definedName name="sh0_5">NA()</definedName>
    <definedName name="sh0_6">NA()</definedName>
    <definedName name="sh0_8">NA()</definedName>
    <definedName name="sh1_0">NA()</definedName>
    <definedName name="sh1_2">NA()</definedName>
    <definedName name="Shahabad_slabs_of_Tandur_25_4mm_blue">NA()</definedName>
    <definedName name="Shahabad_slabs_of_Tandur_25_4mm_white">NA()</definedName>
    <definedName name="Shahabad_slabs_of_Tandur_50_8_mm_blue">NA()</definedName>
    <definedName name="Shahabad_slabs_of_Tandur_50_8mm_white">NA()</definedName>
    <definedName name="shape">NA()</definedName>
    <definedName name="SHARED_FORMULA_1_11_1_11_26" localSheetId="11">NA()</definedName>
    <definedName name="SHARED_FORMULA_1_11_1_11_26" localSheetId="12">NA()</definedName>
    <definedName name="SHARED_FORMULA_1_11_1_11_26">#REF!</definedName>
    <definedName name="SHARED_FORMULA_1_11_1_11_30" localSheetId="11">NA()</definedName>
    <definedName name="SHARED_FORMULA_1_11_1_11_30" localSheetId="12">NA()</definedName>
    <definedName name="SHARED_FORMULA_1_11_1_11_30" localSheetId="0">#REF!</definedName>
    <definedName name="SHARED_FORMULA_1_11_1_11_30">#REF!</definedName>
    <definedName name="SHARED_FORMULA_1_153_1_153_26">NA()</definedName>
    <definedName name="SHARED_FORMULA_1_156_1_156_26" localSheetId="11">NA()</definedName>
    <definedName name="SHARED_FORMULA_1_156_1_156_26" localSheetId="12">NA()</definedName>
    <definedName name="SHARED_FORMULA_1_156_1_156_26" localSheetId="0">CONCATENATE(#REF!,"-",#REF!,"m x ",#REF!,"m")</definedName>
    <definedName name="SHARED_FORMULA_1_156_1_156_26">CONCATENATE(#REF!,"-",#REF!,"m x ",#REF!,"m")</definedName>
    <definedName name="SHARED_FORMULA_1_161_1_161_26">NA()</definedName>
    <definedName name="SHARED_FORMULA_1_164_1_164_26" localSheetId="11">NA()</definedName>
    <definedName name="SHARED_FORMULA_1_164_1_164_26" localSheetId="12">NA()</definedName>
    <definedName name="SHARED_FORMULA_1_164_1_164_26">+#REF!</definedName>
    <definedName name="SHARED_FORMULA_1_204_1_204_37">NA()</definedName>
    <definedName name="SHARED_FORMULA_1_21_1_21_22" localSheetId="11">NA()</definedName>
    <definedName name="SHARED_FORMULA_1_21_1_21_22" localSheetId="12">NA()</definedName>
    <definedName name="SHARED_FORMULA_1_21_1_21_22">+#REF!</definedName>
    <definedName name="SHARED_FORMULA_1_21_1_21_33" localSheetId="11">NA()</definedName>
    <definedName name="SHARED_FORMULA_1_21_1_21_33" localSheetId="12">NA()</definedName>
    <definedName name="SHARED_FORMULA_1_21_1_21_33" localSheetId="0">+#REF!</definedName>
    <definedName name="SHARED_FORMULA_1_21_1_21_33">+#REF!</definedName>
    <definedName name="SHARED_FORMULA_1_24_1_24_37" localSheetId="11">NA()</definedName>
    <definedName name="SHARED_FORMULA_1_24_1_24_37" localSheetId="12">NA()</definedName>
    <definedName name="SHARED_FORMULA_1_24_1_24_37" localSheetId="0">+#REF!</definedName>
    <definedName name="SHARED_FORMULA_1_24_1_24_37">+#REF!</definedName>
    <definedName name="SHARED_FORMULA_1_28_1_28_33" localSheetId="11">NA()</definedName>
    <definedName name="SHARED_FORMULA_1_28_1_28_33" localSheetId="12">NA()</definedName>
    <definedName name="SHARED_FORMULA_1_28_1_28_33" localSheetId="0">+#REF!</definedName>
    <definedName name="SHARED_FORMULA_1_28_1_28_33">+#REF!</definedName>
    <definedName name="SHARED_FORMULA_1_31_1_31_22" localSheetId="11">NA()</definedName>
    <definedName name="SHARED_FORMULA_1_31_1_31_22" localSheetId="12">NA()</definedName>
    <definedName name="SHARED_FORMULA_1_31_1_31_22" localSheetId="0">+#REF!</definedName>
    <definedName name="SHARED_FORMULA_1_31_1_31_22">+#REF!</definedName>
    <definedName name="SHARED_FORMULA_1_31_1_31_37" localSheetId="11">NA()</definedName>
    <definedName name="SHARED_FORMULA_1_31_1_31_37" localSheetId="12">NA()</definedName>
    <definedName name="SHARED_FORMULA_1_31_1_31_37" localSheetId="0">+#REF!</definedName>
    <definedName name="SHARED_FORMULA_1_31_1_31_37">+#REF!</definedName>
    <definedName name="SHARED_FORMULA_1_335_1_335_37">NA()</definedName>
    <definedName name="SHARED_FORMULA_1_34_1_34_22">NA()</definedName>
    <definedName name="SHARED_FORMULA_1_34_1_34_26" localSheetId="11">NA()</definedName>
    <definedName name="SHARED_FORMULA_1_34_1_34_26" localSheetId="12">NA()</definedName>
    <definedName name="SHARED_FORMULA_1_34_1_34_26">+#REF!</definedName>
    <definedName name="SHARED_FORMULA_1_344_1_344_37">NA()</definedName>
    <definedName name="SHARED_FORMULA_1_37_1_37_26">NA()</definedName>
    <definedName name="SHARED_FORMULA_1_38_1_38_30" localSheetId="11">NA()</definedName>
    <definedName name="SHARED_FORMULA_1_38_1_38_30" localSheetId="12">NA()</definedName>
    <definedName name="SHARED_FORMULA_1_38_1_38_30">+#REF!</definedName>
    <definedName name="SHARED_FORMULA_1_4_1_4_26" localSheetId="11">NA()</definedName>
    <definedName name="SHARED_FORMULA_1_4_1_4_26" localSheetId="12">NA()</definedName>
    <definedName name="SHARED_FORMULA_1_4_1_4_26" localSheetId="0">+#REF!</definedName>
    <definedName name="SHARED_FORMULA_1_4_1_4_26">+#REF!</definedName>
    <definedName name="SHARED_FORMULA_1_409_1_409_30">NA()</definedName>
    <definedName name="SHARED_FORMULA_1_41_1_41_30">NA()</definedName>
    <definedName name="SHARED_FORMULA_1_46_1_46_22" localSheetId="11">NA()</definedName>
    <definedName name="SHARED_FORMULA_1_46_1_46_22" localSheetId="12">NA()</definedName>
    <definedName name="SHARED_FORMULA_1_46_1_46_22" localSheetId="0">+#REF!</definedName>
    <definedName name="SHARED_FORMULA_1_46_1_46_22">+#REF!</definedName>
    <definedName name="SHARED_FORMULA_1_49_1_49_22">NA()</definedName>
    <definedName name="SHARED_FORMULA_1_5_1_5_22" localSheetId="11">NA()</definedName>
    <definedName name="SHARED_FORMULA_1_5_1_5_22" localSheetId="12">NA()</definedName>
    <definedName name="SHARED_FORMULA_1_5_1_5_22">+#REF!</definedName>
    <definedName name="SHARED_FORMULA_1_57_1_57_30" localSheetId="11">NA()</definedName>
    <definedName name="SHARED_FORMULA_1_57_1_57_30" localSheetId="12">NA()</definedName>
    <definedName name="SHARED_FORMULA_1_57_1_57_30" localSheetId="0">+#REF!</definedName>
    <definedName name="SHARED_FORMULA_1_57_1_57_30">+#REF!</definedName>
    <definedName name="SHARED_FORMULA_1_60_1_60_30">NA()</definedName>
    <definedName name="SHARED_FORMULA_1_63_1_63_26" localSheetId="11">NA()</definedName>
    <definedName name="SHARED_FORMULA_1_63_1_63_26" localSheetId="12">NA()</definedName>
    <definedName name="SHARED_FORMULA_1_63_1_63_26" localSheetId="0">+#REF!</definedName>
    <definedName name="SHARED_FORMULA_1_63_1_63_26">+#REF!</definedName>
    <definedName name="SHARED_FORMULA_1_66_1_66_26">NA()</definedName>
    <definedName name="SHARED_FORMULA_1_7_1_7_33" localSheetId="11">NA()</definedName>
    <definedName name="SHARED_FORMULA_1_7_1_7_33" localSheetId="12">NA()</definedName>
    <definedName name="SHARED_FORMULA_1_7_1_7_33">+#REF!</definedName>
    <definedName name="SHARED_FORMULA_1_801_1_801_22">NA()</definedName>
    <definedName name="SHARED_FORMULA_1_860_1_860_22">NA()</definedName>
    <definedName name="SHARED_FORMULA_1_9_1_9_37" localSheetId="11">NA()</definedName>
    <definedName name="SHARED_FORMULA_1_9_1_9_37" localSheetId="12">NA()</definedName>
    <definedName name="SHARED_FORMULA_1_9_1_9_37">+#REF!</definedName>
    <definedName name="SHARED_FORMULA_10_114_10_114_26" localSheetId="11">NA()</definedName>
    <definedName name="SHARED_FORMULA_10_114_10_114_26" localSheetId="12">NA()</definedName>
    <definedName name="SHARED_FORMULA_10_114_10_114_26" localSheetId="0">+#REF!*#REF!</definedName>
    <definedName name="SHARED_FORMULA_10_114_10_114_26">+#REF!*#REF!</definedName>
    <definedName name="SHARED_FORMULA_10_117_10_117_26">NA()</definedName>
    <definedName name="SHARED_FORMULA_10_3_10_3_25">NA()</definedName>
    <definedName name="SHARED_FORMULA_10_388_10_388_22">0.425</definedName>
    <definedName name="SHARED_FORMULA_10_401_10_401_22">0.425</definedName>
    <definedName name="SHARED_FORMULA_10_405_10_405_22">0.425</definedName>
    <definedName name="SHARED_FORMULA_10_420_10_420_22">0.425</definedName>
    <definedName name="SHARED_FORMULA_10_425_10_425_22">0.425</definedName>
    <definedName name="SHARED_FORMULA_10_449_10_449_22">0.425</definedName>
    <definedName name="SHARED_FORMULA_10_465_10_465_22">0.425</definedName>
    <definedName name="SHARED_FORMULA_10_476_10_476_22">0.425</definedName>
    <definedName name="SHARED_FORMULA_10_479_10_479_22">0.425</definedName>
    <definedName name="SHARED_FORMULA_10_484_10_484_22">0.425</definedName>
    <definedName name="SHARED_FORMULA_10_508_10_508_22">0.425</definedName>
    <definedName name="SHARED_FORMULA_10_524_10_524_22">0.425</definedName>
    <definedName name="SHARED_FORMULA_10_538_10_538_22">0.425</definedName>
    <definedName name="SHARED_FORMULA_10_542_10_542_22">0.425</definedName>
    <definedName name="SHARED_FORMULA_10_566_10_566_22">0.425</definedName>
    <definedName name="SHARED_FORMULA_10_582_10_582_22">0.425</definedName>
    <definedName name="SHARED_FORMULA_10_596_10_596_22">0.425</definedName>
    <definedName name="SHARED_FORMULA_10_600_10_600_22">0.425</definedName>
    <definedName name="SHARED_FORMULA_11_101_11_101_21" localSheetId="11">NA()</definedName>
    <definedName name="SHARED_FORMULA_11_101_11_101_21" localSheetId="12">NA()</definedName>
    <definedName name="SHARED_FORMULA_11_101_11_101_21" localSheetId="0">+#REF!/10^5</definedName>
    <definedName name="SHARED_FORMULA_11_101_11_101_21">+#REF!/10^5</definedName>
    <definedName name="SHARED_FORMULA_11_110_11_110_29">NA()</definedName>
    <definedName name="SHARED_FORMULA_11_112_11_112_25">NA()</definedName>
    <definedName name="SHARED_FORMULA_11_113_11_113_29" localSheetId="11">NA()</definedName>
    <definedName name="SHARED_FORMULA_11_113_11_113_29" localSheetId="12">NA()</definedName>
    <definedName name="SHARED_FORMULA_11_113_11_113_29" localSheetId="0">+#REF!/10^5</definedName>
    <definedName name="SHARED_FORMULA_11_113_11_113_29">+#REF!/10^5</definedName>
    <definedName name="SHARED_FORMULA_11_116_11_116_21">NA()</definedName>
    <definedName name="SHARED_FORMULA_11_125_11_125_21" localSheetId="11">NA()</definedName>
    <definedName name="SHARED_FORMULA_11_125_11_125_21" localSheetId="12">NA()</definedName>
    <definedName name="SHARED_FORMULA_11_125_11_125_21">+#REF!/10^5</definedName>
    <definedName name="SHARED_FORMULA_11_132_11_132_21" localSheetId="11">NA()</definedName>
    <definedName name="SHARED_FORMULA_11_132_11_132_21" localSheetId="12">NA()</definedName>
    <definedName name="SHARED_FORMULA_11_132_11_132_21" localSheetId="0">+#REF!/10^5</definedName>
    <definedName name="SHARED_FORMULA_11_132_11_132_21">+#REF!/10^5</definedName>
    <definedName name="SHARED_FORMULA_11_136_11_136_29">NA()</definedName>
    <definedName name="SHARED_FORMULA_11_144_11_144_25">NA()</definedName>
    <definedName name="SHARED_FORMULA_11_157_11_157_21">NA()</definedName>
    <definedName name="SHARED_FORMULA_11_167_11_167_21" localSheetId="11">NA()</definedName>
    <definedName name="SHARED_FORMULA_11_167_11_167_21" localSheetId="12">NA()</definedName>
    <definedName name="SHARED_FORMULA_11_167_11_167_21" localSheetId="0">+#REF!/10^5</definedName>
    <definedName name="SHARED_FORMULA_11_167_11_167_21">+#REF!/10^5</definedName>
    <definedName name="SHARED_FORMULA_11_182_11_182_25">NA()</definedName>
    <definedName name="SHARED_FORMULA_11_185_11_185_21" localSheetId="11">NA()</definedName>
    <definedName name="SHARED_FORMULA_11_185_11_185_21" localSheetId="12">NA()</definedName>
    <definedName name="SHARED_FORMULA_11_185_11_185_21">+#REF!/10^5</definedName>
    <definedName name="SHARED_FORMULA_11_189_11_189_21">NA()</definedName>
    <definedName name="SHARED_FORMULA_11_28_11_28_21" localSheetId="11">NA()</definedName>
    <definedName name="SHARED_FORMULA_11_28_11_28_21" localSheetId="12">NA()</definedName>
    <definedName name="SHARED_FORMULA_11_28_11_28_21">+#REF!/10^5</definedName>
    <definedName name="SHARED_FORMULA_11_3_11_3_21" localSheetId="11">NA()</definedName>
    <definedName name="SHARED_FORMULA_11_3_11_3_21" localSheetId="12">NA()</definedName>
    <definedName name="SHARED_FORMULA_11_3_11_3_21" localSheetId="0">+#REF!/10^5</definedName>
    <definedName name="SHARED_FORMULA_11_3_11_3_21">+#REF!/10^5</definedName>
    <definedName name="SHARED_FORMULA_11_3_11_3_25">NA()</definedName>
    <definedName name="SHARED_FORMULA_11_3_11_3_29" localSheetId="11">NA()</definedName>
    <definedName name="SHARED_FORMULA_11_3_11_3_29" localSheetId="12">NA()</definedName>
    <definedName name="SHARED_FORMULA_11_3_11_3_29" localSheetId="0">+#REF!/10^5</definedName>
    <definedName name="SHARED_FORMULA_11_3_11_3_29">+#REF!/10^5</definedName>
    <definedName name="SHARED_FORMULA_11_35_11_35_21">NA()</definedName>
    <definedName name="SHARED_FORMULA_11_35_11_35_25">NA()</definedName>
    <definedName name="SHARED_FORMULA_11_44_11_44_29" localSheetId="11">NA()</definedName>
    <definedName name="SHARED_FORMULA_11_44_11_44_29" localSheetId="12">NA()</definedName>
    <definedName name="SHARED_FORMULA_11_44_11_44_29">+#REF!/10^5</definedName>
    <definedName name="SHARED_FORMULA_11_46_11_46_29">NA()</definedName>
    <definedName name="SHARED_FORMULA_11_60_11_60_21" localSheetId="11">NA()</definedName>
    <definedName name="SHARED_FORMULA_11_60_11_60_21" localSheetId="12">NA()</definedName>
    <definedName name="SHARED_FORMULA_11_60_11_60_21">+#REF!/10^5</definedName>
    <definedName name="SHARED_FORMULA_11_67_11_67_21">NA()</definedName>
    <definedName name="SHARED_FORMULA_11_78_11_78_29">NA()</definedName>
    <definedName name="SHARED_FORMULA_11_80_11_80_25">NA()</definedName>
    <definedName name="SHARED_FORMULA_11_81_11_81_29" localSheetId="11">NA()</definedName>
    <definedName name="SHARED_FORMULA_11_81_11_81_29" localSheetId="12">NA()</definedName>
    <definedName name="SHARED_FORMULA_11_81_11_81_29">+#REF!/10^5</definedName>
    <definedName name="SHARED_FORMULA_11_84_11_84_21">NA()</definedName>
    <definedName name="SHARED_FORMULA_11_88_11_88_21" localSheetId="11">NA()</definedName>
    <definedName name="SHARED_FORMULA_11_88_11_88_21" localSheetId="12">NA()</definedName>
    <definedName name="SHARED_FORMULA_11_88_11_88_21">+#REF!/10^5</definedName>
    <definedName name="SHARED_FORMULA_12_123_12_123_11">NA()</definedName>
    <definedName name="SHARED_FORMULA_14_10_14_10_18" localSheetId="11">NA()</definedName>
    <definedName name="SHARED_FORMULA_14_10_14_10_18" localSheetId="12">NA()</definedName>
    <definedName name="SHARED_FORMULA_14_10_14_10_18">+#REF!*#REF!</definedName>
    <definedName name="SHARED_FORMULA_14_50_14_50_18" localSheetId="11">NA()</definedName>
    <definedName name="SHARED_FORMULA_14_50_14_50_18" localSheetId="12">NA()</definedName>
    <definedName name="SHARED_FORMULA_14_50_14_50_18" localSheetId="0">+#REF!*#REF!</definedName>
    <definedName name="SHARED_FORMULA_14_50_14_50_18">+#REF!*#REF!</definedName>
    <definedName name="SHARED_FORMULA_14_52_14_52_18">NA()</definedName>
    <definedName name="SHARED_FORMULA_15_13_15_13_17" localSheetId="11">NA()</definedName>
    <definedName name="SHARED_FORMULA_15_13_15_13_17" localSheetId="12">NA()</definedName>
    <definedName name="SHARED_FORMULA_15_13_15_13_17" localSheetId="0">SUM(#REF!)</definedName>
    <definedName name="SHARED_FORMULA_15_13_15_13_17">SUM(#REF!)</definedName>
    <definedName name="SHARED_FORMULA_18_13_18_13_17" localSheetId="11">NA()</definedName>
    <definedName name="SHARED_FORMULA_18_13_18_13_17" localSheetId="12">NA()</definedName>
    <definedName name="SHARED_FORMULA_18_13_18_13_17" localSheetId="0">IF(#REF!=10,"Ten",IF(#REF!=1,"ONE",""))</definedName>
    <definedName name="SHARED_FORMULA_18_13_18_13_17">IF(#REF!=10,"Ten",IF(#REF!=1,"ONE",""))</definedName>
    <definedName name="SHARED_FORMULA_19_13_19_13_17" localSheetId="11">NA()</definedName>
    <definedName name="SHARED_FORMULA_19_13_19_13_17" localSheetId="12">NA()</definedName>
    <definedName name="SHARED_FORMULA_19_13_19_13_17" localSheetId="0">#REF!</definedName>
    <definedName name="SHARED_FORMULA_19_13_19_13_17">#REF!</definedName>
    <definedName name="SHARED_FORMULA_2_2043_2_2043_22">5</definedName>
    <definedName name="SHARED_FORMULA_2_2058_2_2058_22">24</definedName>
    <definedName name="SHARED_FORMULA_2_2064_2_2064_22">2</definedName>
    <definedName name="SHARED_FORMULA_2_6_2_6_30" localSheetId="11">NA()</definedName>
    <definedName name="SHARED_FORMULA_2_6_2_6_30" localSheetId="12">NA()</definedName>
    <definedName name="SHARED_FORMULA_2_6_2_6_30" localSheetId="0">+#REF!</definedName>
    <definedName name="SHARED_FORMULA_2_6_2_6_30">+#REF!</definedName>
    <definedName name="SHARED_FORMULA_21_13_21_13_17" localSheetId="11">NA()</definedName>
    <definedName name="SHARED_FORMULA_21_13_21_13_17" localSheetId="12">NA()</definedName>
    <definedName name="SHARED_FORMULA_21_13_21_13_17" localSheetId="0">#REF!*#REF!/#REF!</definedName>
    <definedName name="SHARED_FORMULA_21_13_21_13_17">#REF!*#REF!/#REF!</definedName>
    <definedName name="SHARED_FORMULA_21_273_21_273_17">NA()</definedName>
    <definedName name="SHARED_FORMULA_21_289_21_289_17" localSheetId="11">NA()</definedName>
    <definedName name="SHARED_FORMULA_21_289_21_289_17" localSheetId="12">NA()</definedName>
    <definedName name="SHARED_FORMULA_21_289_21_289_17">SUM(#REF!)</definedName>
    <definedName name="SHARED_FORMULA_21_291_21_291_17" localSheetId="11">NA()</definedName>
    <definedName name="SHARED_FORMULA_21_291_21_291_17" localSheetId="12">NA()</definedName>
    <definedName name="SHARED_FORMULA_21_291_21_291_17" localSheetId="0">+#REF!-#REF!</definedName>
    <definedName name="SHARED_FORMULA_21_291_21_291_17">+#REF!-#REF!</definedName>
    <definedName name="SHARED_FORMULA_22_101_22_101_17">NA()</definedName>
    <definedName name="SHARED_FORMULA_22_103_22_103_17" localSheetId="11">NA()</definedName>
    <definedName name="SHARED_FORMULA_22_103_22_103_17" localSheetId="12">NA()</definedName>
    <definedName name="SHARED_FORMULA_22_103_22_103_17">+#REF!*#REF!</definedName>
    <definedName name="SHARED_FORMULA_22_105_22_105_17">NA()</definedName>
    <definedName name="SHARED_FORMULA_22_108_22_108_17" localSheetId="11">NA()</definedName>
    <definedName name="SHARED_FORMULA_22_108_22_108_17" localSheetId="12">NA()</definedName>
    <definedName name="SHARED_FORMULA_22_108_22_108_17">+#REF!*#REF!</definedName>
    <definedName name="SHARED_FORMULA_22_110_22_110_17">NA()</definedName>
    <definedName name="SHARED_FORMULA_22_114_22_114_17" localSheetId="11">NA()</definedName>
    <definedName name="SHARED_FORMULA_22_114_22_114_17" localSheetId="12">NA()</definedName>
    <definedName name="SHARED_FORMULA_22_114_22_114_17">+#REF!*#REF!</definedName>
    <definedName name="SHARED_FORMULA_22_118_22_118_17" localSheetId="11">NA()</definedName>
    <definedName name="SHARED_FORMULA_22_118_22_118_17" localSheetId="12">NA()</definedName>
    <definedName name="SHARED_FORMULA_22_118_22_118_17" localSheetId="0">+#REF!*#REF!</definedName>
    <definedName name="SHARED_FORMULA_22_118_22_118_17">+#REF!*#REF!</definedName>
    <definedName name="SHARED_FORMULA_22_122_22_122_17" localSheetId="11">NA()</definedName>
    <definedName name="SHARED_FORMULA_22_122_22_122_17" localSheetId="12">NA()</definedName>
    <definedName name="SHARED_FORMULA_22_122_22_122_17" localSheetId="0">+#REF!*#REF!</definedName>
    <definedName name="SHARED_FORMULA_22_122_22_122_17">+#REF!*#REF!</definedName>
    <definedName name="SHARED_FORMULA_22_123_22_123_17">NA()</definedName>
    <definedName name="SHARED_FORMULA_22_128_22_128_17" localSheetId="11">NA()</definedName>
    <definedName name="SHARED_FORMULA_22_128_22_128_17" localSheetId="12">NA()</definedName>
    <definedName name="SHARED_FORMULA_22_128_22_128_17">+#REF!*#REF!</definedName>
    <definedName name="SHARED_FORMULA_22_13_22_13_17" localSheetId="11">NA()</definedName>
    <definedName name="SHARED_FORMULA_22_13_22_13_17" localSheetId="12">NA()</definedName>
    <definedName name="SHARED_FORMULA_22_13_22_13_17" localSheetId="0">+#REF!*#REF!</definedName>
    <definedName name="SHARED_FORMULA_22_13_22_13_17">+#REF!*#REF!</definedName>
    <definedName name="SHARED_FORMULA_22_133_22_133_17" localSheetId="11">NA()</definedName>
    <definedName name="SHARED_FORMULA_22_133_22_133_17" localSheetId="12">NA()</definedName>
    <definedName name="SHARED_FORMULA_22_133_22_133_17" localSheetId="0">+#REF!*#REF!</definedName>
    <definedName name="SHARED_FORMULA_22_133_22_133_17">+#REF!*#REF!</definedName>
    <definedName name="SHARED_FORMULA_22_138_22_138_17">NA()</definedName>
    <definedName name="SHARED_FORMULA_22_139_22_139_17" localSheetId="11">NA()</definedName>
    <definedName name="SHARED_FORMULA_22_139_22_139_17" localSheetId="12">NA()</definedName>
    <definedName name="SHARED_FORMULA_22_139_22_139_17">+#REF!*#REF!</definedName>
    <definedName name="SHARED_FORMULA_22_144_22_144_17">NA()</definedName>
    <definedName name="SHARED_FORMULA_22_145_22_145_17" localSheetId="11">NA()</definedName>
    <definedName name="SHARED_FORMULA_22_145_22_145_17" localSheetId="12">NA()</definedName>
    <definedName name="SHARED_FORMULA_22_145_22_145_17">+#REF!*#REF!</definedName>
    <definedName name="SHARED_FORMULA_22_146_22_146_17">NA()</definedName>
    <definedName name="SHARED_FORMULA_22_148_22_148_17">NA()</definedName>
    <definedName name="SHARED_FORMULA_22_150_22_150_17" localSheetId="11">NA()</definedName>
    <definedName name="SHARED_FORMULA_22_150_22_150_17" localSheetId="12">NA()</definedName>
    <definedName name="SHARED_FORMULA_22_150_22_150_17">+#REF!*#REF!</definedName>
    <definedName name="SHARED_FORMULA_22_153_22_153_17">NA()</definedName>
    <definedName name="SHARED_FORMULA_22_157_22_157_17" localSheetId="11">NA()</definedName>
    <definedName name="SHARED_FORMULA_22_157_22_157_17" localSheetId="12">NA()</definedName>
    <definedName name="SHARED_FORMULA_22_157_22_157_17">+#REF!*#REF!</definedName>
    <definedName name="SHARED_FORMULA_22_158_22_158_17">NA()</definedName>
    <definedName name="SHARED_FORMULA_22_159_22_159_17" localSheetId="11">NA()</definedName>
    <definedName name="SHARED_FORMULA_22_159_22_159_17" localSheetId="12">NA()</definedName>
    <definedName name="SHARED_FORMULA_22_159_22_159_17">+#REF!*#REF!</definedName>
    <definedName name="SHARED_FORMULA_22_161_22_161_17" localSheetId="11">NA()</definedName>
    <definedName name="SHARED_FORMULA_22_161_22_161_17" localSheetId="12">NA()</definedName>
    <definedName name="SHARED_FORMULA_22_161_22_161_17" localSheetId="0">+#REF!*#REF!</definedName>
    <definedName name="SHARED_FORMULA_22_161_22_161_17">+#REF!*#REF!</definedName>
    <definedName name="SHARED_FORMULA_22_162_22_162_17">NA()</definedName>
    <definedName name="SHARED_FORMULA_22_166_22_166_17" localSheetId="11">NA()</definedName>
    <definedName name="SHARED_FORMULA_22_166_22_166_17" localSheetId="12">NA()</definedName>
    <definedName name="SHARED_FORMULA_22_166_22_166_17" localSheetId="0">+#REF!*#REF!</definedName>
    <definedName name="SHARED_FORMULA_22_166_22_166_17">+#REF!*#REF!</definedName>
    <definedName name="SHARED_FORMULA_22_171_22_171_17" localSheetId="11">NA()</definedName>
    <definedName name="SHARED_FORMULA_22_171_22_171_17" localSheetId="12">NA()</definedName>
    <definedName name="SHARED_FORMULA_22_171_22_171_17" localSheetId="0">+#REF!*#REF!</definedName>
    <definedName name="SHARED_FORMULA_22_171_22_171_17">+#REF!*#REF!</definedName>
    <definedName name="SHARED_FORMULA_22_173_22_173_17">NA()</definedName>
    <definedName name="SHARED_FORMULA_22_175_22_175_17" localSheetId="11">NA()</definedName>
    <definedName name="SHARED_FORMULA_22_175_22_175_17" localSheetId="12">NA()</definedName>
    <definedName name="SHARED_FORMULA_22_175_22_175_17" localSheetId="0">+#REF!*#REF!</definedName>
    <definedName name="SHARED_FORMULA_22_175_22_175_17">+#REF!*#REF!</definedName>
    <definedName name="SHARED_FORMULA_22_177_22_177_17">NA()</definedName>
    <definedName name="SHARED_FORMULA_22_179_22_179_17" localSheetId="11">NA()</definedName>
    <definedName name="SHARED_FORMULA_22_179_22_179_17" localSheetId="12">NA()</definedName>
    <definedName name="SHARED_FORMULA_22_179_22_179_17">+#REF!*#REF!</definedName>
    <definedName name="SHARED_FORMULA_22_183_22_183_17">NA()</definedName>
    <definedName name="SHARED_FORMULA_22_184_22_184_17" localSheetId="11">NA()</definedName>
    <definedName name="SHARED_FORMULA_22_184_22_184_17" localSheetId="12">NA()</definedName>
    <definedName name="SHARED_FORMULA_22_184_22_184_17">+#REF!*#REF!</definedName>
    <definedName name="SHARED_FORMULA_22_186_22_186_17" localSheetId="11">NA()</definedName>
    <definedName name="SHARED_FORMULA_22_186_22_186_17" localSheetId="12">NA()</definedName>
    <definedName name="SHARED_FORMULA_22_186_22_186_17" localSheetId="0">+#REF!*#REF!</definedName>
    <definedName name="SHARED_FORMULA_22_186_22_186_17">+#REF!*#REF!</definedName>
    <definedName name="SHARED_FORMULA_22_187_22_187_17">NA()</definedName>
    <definedName name="SHARED_FORMULA_22_190_22_190_17" localSheetId="11">NA()</definedName>
    <definedName name="SHARED_FORMULA_22_190_22_190_17" localSheetId="12">NA()</definedName>
    <definedName name="SHARED_FORMULA_22_190_22_190_17" localSheetId="0">+#REF!*#REF!</definedName>
    <definedName name="SHARED_FORMULA_22_190_22_190_17">+#REF!*#REF!</definedName>
    <definedName name="SHARED_FORMULA_22_191_22_191_17">NA()</definedName>
    <definedName name="SHARED_FORMULA_22_196_22_196_17" localSheetId="11">NA()</definedName>
    <definedName name="SHARED_FORMULA_22_196_22_196_17" localSheetId="12">NA()</definedName>
    <definedName name="SHARED_FORMULA_22_196_22_196_17">+#REF!*#REF!</definedName>
    <definedName name="SHARED_FORMULA_22_199_22_199_17">NA()</definedName>
    <definedName name="SHARED_FORMULA_22_20_22_20_17" localSheetId="11">NA()</definedName>
    <definedName name="SHARED_FORMULA_22_20_22_20_17" localSheetId="12">NA()</definedName>
    <definedName name="SHARED_FORMULA_22_20_22_20_17">+#REF!*#REF!</definedName>
    <definedName name="SHARED_FORMULA_22_201_22_201_17" localSheetId="11">NA()</definedName>
    <definedName name="SHARED_FORMULA_22_201_22_201_17" localSheetId="12">NA()</definedName>
    <definedName name="SHARED_FORMULA_22_201_22_201_17" localSheetId="0">+#REF!*#REF!</definedName>
    <definedName name="SHARED_FORMULA_22_201_22_201_17">+#REF!*#REF!</definedName>
    <definedName name="SHARED_FORMULA_22_203_22_203_17">NA()</definedName>
    <definedName name="SHARED_FORMULA_22_205_22_205_17">NA()</definedName>
    <definedName name="SHARED_FORMULA_22_206_22_206_17" localSheetId="11">NA()</definedName>
    <definedName name="SHARED_FORMULA_22_206_22_206_17" localSheetId="12">NA()</definedName>
    <definedName name="SHARED_FORMULA_22_206_22_206_17" localSheetId="0">+#REF!*#REF!</definedName>
    <definedName name="SHARED_FORMULA_22_206_22_206_17">+#REF!*#REF!</definedName>
    <definedName name="SHARED_FORMULA_22_207_22_207_17">NA()</definedName>
    <definedName name="SHARED_FORMULA_22_209_22_209_17">NA()</definedName>
    <definedName name="SHARED_FORMULA_22_21_22_21_17">NA()</definedName>
    <definedName name="SHARED_FORMULA_22_211_22_211_17" localSheetId="11">NA()</definedName>
    <definedName name="SHARED_FORMULA_22_211_22_211_17" localSheetId="12">NA()</definedName>
    <definedName name="SHARED_FORMULA_22_211_22_211_17">+#REF!*#REF!</definedName>
    <definedName name="SHARED_FORMULA_22_212_22_212_17">NA()</definedName>
    <definedName name="SHARED_FORMULA_22_214_22_214_17" localSheetId="11">NA()</definedName>
    <definedName name="SHARED_FORMULA_22_214_22_214_17" localSheetId="12">NA()</definedName>
    <definedName name="SHARED_FORMULA_22_214_22_214_17">+#REF!*#REF!</definedName>
    <definedName name="SHARED_FORMULA_22_215_22_215_17">NA()</definedName>
    <definedName name="SHARED_FORMULA_22_216_22_216_17" localSheetId="11">NA()</definedName>
    <definedName name="SHARED_FORMULA_22_216_22_216_17" localSheetId="12">NA()</definedName>
    <definedName name="SHARED_FORMULA_22_216_22_216_17">+#REF!*#REF!</definedName>
    <definedName name="SHARED_FORMULA_22_218_22_218_17" localSheetId="11">NA()</definedName>
    <definedName name="SHARED_FORMULA_22_218_22_218_17" localSheetId="12">NA()</definedName>
    <definedName name="SHARED_FORMULA_22_218_22_218_17" localSheetId="0">+#REF!*#REF!</definedName>
    <definedName name="SHARED_FORMULA_22_218_22_218_17">+#REF!*#REF!</definedName>
    <definedName name="SHARED_FORMULA_22_220_22_220_17" localSheetId="11">NA()</definedName>
    <definedName name="SHARED_FORMULA_22_220_22_220_17" localSheetId="12">NA()</definedName>
    <definedName name="SHARED_FORMULA_22_220_22_220_17" localSheetId="0">+#REF!*#REF!</definedName>
    <definedName name="SHARED_FORMULA_22_220_22_220_17">+#REF!*#REF!</definedName>
    <definedName name="SHARED_FORMULA_22_222_22_222_17" localSheetId="11">NA()</definedName>
    <definedName name="SHARED_FORMULA_22_222_22_222_17" localSheetId="12">NA()</definedName>
    <definedName name="SHARED_FORMULA_22_222_22_222_17" localSheetId="0">+#REF!*#REF!</definedName>
    <definedName name="SHARED_FORMULA_22_222_22_222_17">+#REF!*#REF!</definedName>
    <definedName name="SHARED_FORMULA_22_224_22_224_17" localSheetId="11">NA()</definedName>
    <definedName name="SHARED_FORMULA_22_224_22_224_17" localSheetId="12">NA()</definedName>
    <definedName name="SHARED_FORMULA_22_224_22_224_17" localSheetId="0">+#REF!*#REF!</definedName>
    <definedName name="SHARED_FORMULA_22_224_22_224_17">+#REF!*#REF!</definedName>
    <definedName name="SHARED_FORMULA_22_226_22_226_17" localSheetId="11">NA()</definedName>
    <definedName name="SHARED_FORMULA_22_226_22_226_17" localSheetId="12">NA()</definedName>
    <definedName name="SHARED_FORMULA_22_226_22_226_17" localSheetId="0">+#REF!*#REF!</definedName>
    <definedName name="SHARED_FORMULA_22_226_22_226_17">+#REF!*#REF!</definedName>
    <definedName name="SHARED_FORMULA_22_229_22_229_17" localSheetId="11">NA()</definedName>
    <definedName name="SHARED_FORMULA_22_229_22_229_17" localSheetId="12">NA()</definedName>
    <definedName name="SHARED_FORMULA_22_229_22_229_17" localSheetId="0">+#REF!*#REF!</definedName>
    <definedName name="SHARED_FORMULA_22_229_22_229_17">+#REF!*#REF!</definedName>
    <definedName name="SHARED_FORMULA_22_232_22_232_17" localSheetId="11">NA()</definedName>
    <definedName name="SHARED_FORMULA_22_232_22_232_17" localSheetId="12">NA()</definedName>
    <definedName name="SHARED_FORMULA_22_232_22_232_17" localSheetId="0">+#REF!*#REF!</definedName>
    <definedName name="SHARED_FORMULA_22_232_22_232_17">+#REF!*#REF!</definedName>
    <definedName name="SHARED_FORMULA_22_235_22_235_17" localSheetId="11">NA()</definedName>
    <definedName name="SHARED_FORMULA_22_235_22_235_17" localSheetId="12">NA()</definedName>
    <definedName name="SHARED_FORMULA_22_235_22_235_17" localSheetId="0">+#REF!*#REF!</definedName>
    <definedName name="SHARED_FORMULA_22_235_22_235_17">+#REF!*#REF!</definedName>
    <definedName name="SHARED_FORMULA_22_236_22_236_17">NA()</definedName>
    <definedName name="SHARED_FORMULA_22_237_22_237_17" localSheetId="11">NA()</definedName>
    <definedName name="SHARED_FORMULA_22_237_22_237_17" localSheetId="12">NA()</definedName>
    <definedName name="SHARED_FORMULA_22_237_22_237_17">+#REF!*#REF!</definedName>
    <definedName name="SHARED_FORMULA_22_238_22_238_17">NA()</definedName>
    <definedName name="SHARED_FORMULA_22_239_22_239_17" localSheetId="11">NA()</definedName>
    <definedName name="SHARED_FORMULA_22_239_22_239_17" localSheetId="12">NA()</definedName>
    <definedName name="SHARED_FORMULA_22_239_22_239_17">+#REF!*#REF!</definedName>
    <definedName name="SHARED_FORMULA_22_240_22_240_17">NA()</definedName>
    <definedName name="SHARED_FORMULA_22_241_22_241_17" localSheetId="11">NA()</definedName>
    <definedName name="SHARED_FORMULA_22_241_22_241_17" localSheetId="12">NA()</definedName>
    <definedName name="SHARED_FORMULA_22_241_22_241_17">+#REF!*#REF!</definedName>
    <definedName name="SHARED_FORMULA_22_243_22_243_17" localSheetId="11">NA()</definedName>
    <definedName name="SHARED_FORMULA_22_243_22_243_17" localSheetId="12">NA()</definedName>
    <definedName name="SHARED_FORMULA_22_243_22_243_17" localSheetId="0">+#REF!*#REF!</definedName>
    <definedName name="SHARED_FORMULA_22_243_22_243_17">+#REF!*#REF!</definedName>
    <definedName name="SHARED_FORMULA_22_245_22_245_17">NA()</definedName>
    <definedName name="SHARED_FORMULA_22_246_22_246_17" localSheetId="11">NA()</definedName>
    <definedName name="SHARED_FORMULA_22_246_22_246_17" localSheetId="12">NA()</definedName>
    <definedName name="SHARED_FORMULA_22_246_22_246_17" localSheetId="0">+#REF!*#REF!</definedName>
    <definedName name="SHARED_FORMULA_22_246_22_246_17">+#REF!*#REF!</definedName>
    <definedName name="SHARED_FORMULA_22_248_22_248_17">NA()</definedName>
    <definedName name="SHARED_FORMULA_22_249_22_249_17" localSheetId="11">NA()</definedName>
    <definedName name="SHARED_FORMULA_22_249_22_249_17" localSheetId="12">NA()</definedName>
    <definedName name="SHARED_FORMULA_22_249_22_249_17">+#REF!*#REF!</definedName>
    <definedName name="SHARED_FORMULA_22_25_22_25_17" localSheetId="11">NA()</definedName>
    <definedName name="SHARED_FORMULA_22_25_22_25_17" localSheetId="12">NA()</definedName>
    <definedName name="SHARED_FORMULA_22_25_22_25_17" localSheetId="0">+#REF!*#REF!</definedName>
    <definedName name="SHARED_FORMULA_22_25_22_25_17">+#REF!*#REF!</definedName>
    <definedName name="SHARED_FORMULA_22_250_22_250_17">NA()</definedName>
    <definedName name="SHARED_FORMULA_22_252_22_252_17">NA()</definedName>
    <definedName name="SHARED_FORMULA_22_253_22_253_17" localSheetId="11">NA()</definedName>
    <definedName name="SHARED_FORMULA_22_253_22_253_17" localSheetId="12">NA()</definedName>
    <definedName name="SHARED_FORMULA_22_253_22_253_17" localSheetId="0">+#REF!*#REF!</definedName>
    <definedName name="SHARED_FORMULA_22_253_22_253_17">+#REF!*#REF!</definedName>
    <definedName name="SHARED_FORMULA_22_254_22_254_17">NA()</definedName>
    <definedName name="SHARED_FORMULA_22_255_22_255_17" localSheetId="11">NA()</definedName>
    <definedName name="SHARED_FORMULA_22_255_22_255_17" localSheetId="12">NA()</definedName>
    <definedName name="SHARED_FORMULA_22_255_22_255_17">+#REF!*#REF!</definedName>
    <definedName name="SHARED_FORMULA_22_257_22_257_17" localSheetId="11">NA()</definedName>
    <definedName name="SHARED_FORMULA_22_257_22_257_17" localSheetId="12">NA()</definedName>
    <definedName name="SHARED_FORMULA_22_257_22_257_17" localSheetId="0">+#REF!*#REF!</definedName>
    <definedName name="SHARED_FORMULA_22_257_22_257_17">+#REF!*#REF!</definedName>
    <definedName name="SHARED_FORMULA_22_26_22_26_17">NA()</definedName>
    <definedName name="SHARED_FORMULA_22_260_22_260_17">NA()</definedName>
    <definedName name="SHARED_FORMULA_22_262_22_262_17" localSheetId="11">NA()</definedName>
    <definedName name="SHARED_FORMULA_22_262_22_262_17" localSheetId="12">NA()</definedName>
    <definedName name="SHARED_FORMULA_22_262_22_262_17" localSheetId="0">+#REF!*#REF!</definedName>
    <definedName name="SHARED_FORMULA_22_262_22_262_17">+#REF!*#REF!</definedName>
    <definedName name="SHARED_FORMULA_22_263_22_263_17">NA()</definedName>
    <definedName name="SHARED_FORMULA_22_265_22_265_17">NA()</definedName>
    <definedName name="SHARED_FORMULA_22_267_22_267_17" localSheetId="11">NA()</definedName>
    <definedName name="SHARED_FORMULA_22_267_22_267_17" localSheetId="12">NA()</definedName>
    <definedName name="SHARED_FORMULA_22_267_22_267_17">+#REF!*#REF!</definedName>
    <definedName name="SHARED_FORMULA_22_269_22_269_17">NA()</definedName>
    <definedName name="SHARED_FORMULA_22_270_22_270_17" localSheetId="11">NA()</definedName>
    <definedName name="SHARED_FORMULA_22_270_22_270_17" localSheetId="12">NA()</definedName>
    <definedName name="SHARED_FORMULA_22_270_22_270_17">+#REF!*#REF!</definedName>
    <definedName name="SHARED_FORMULA_22_271_22_271_17">NA()</definedName>
    <definedName name="SHARED_FORMULA_22_273_22_273_17" localSheetId="11">NA()</definedName>
    <definedName name="SHARED_FORMULA_22_273_22_273_17" localSheetId="12">NA()</definedName>
    <definedName name="SHARED_FORMULA_22_273_22_273_17">+#REF!*#REF!</definedName>
    <definedName name="SHARED_FORMULA_22_275_22_275_17">NA()</definedName>
    <definedName name="SHARED_FORMULA_22_276_22_276_17" localSheetId="11">NA()</definedName>
    <definedName name="SHARED_FORMULA_22_276_22_276_17" localSheetId="12">NA()</definedName>
    <definedName name="SHARED_FORMULA_22_276_22_276_17">+#REF!*#REF!</definedName>
    <definedName name="SHARED_FORMULA_22_278_22_278_17" localSheetId="11">NA()</definedName>
    <definedName name="SHARED_FORMULA_22_278_22_278_17" localSheetId="12">NA()</definedName>
    <definedName name="SHARED_FORMULA_22_278_22_278_17" localSheetId="0">+#REF!*#REF!</definedName>
    <definedName name="SHARED_FORMULA_22_278_22_278_17">+#REF!*#REF!</definedName>
    <definedName name="SHARED_FORMULA_22_280_22_280_17" localSheetId="11">NA()</definedName>
    <definedName name="SHARED_FORMULA_22_280_22_280_17" localSheetId="12">NA()</definedName>
    <definedName name="SHARED_FORMULA_22_280_22_280_17" localSheetId="0">+#REF!*#REF!</definedName>
    <definedName name="SHARED_FORMULA_22_280_22_280_17">+#REF!*#REF!</definedName>
    <definedName name="SHARED_FORMULA_22_282_22_282_17" localSheetId="11">NA()</definedName>
    <definedName name="SHARED_FORMULA_22_282_22_282_17" localSheetId="12">NA()</definedName>
    <definedName name="SHARED_FORMULA_22_282_22_282_17" localSheetId="0">+#REF!*#REF!</definedName>
    <definedName name="SHARED_FORMULA_22_282_22_282_17">+#REF!*#REF!</definedName>
    <definedName name="SHARED_FORMULA_22_284_22_284_17" localSheetId="11">NA()</definedName>
    <definedName name="SHARED_FORMULA_22_284_22_284_17" localSheetId="12">NA()</definedName>
    <definedName name="SHARED_FORMULA_22_284_22_284_17" localSheetId="0">+#REF!*#REF!</definedName>
    <definedName name="SHARED_FORMULA_22_284_22_284_17">+#REF!*#REF!</definedName>
    <definedName name="SHARED_FORMULA_22_286_22_286_17" localSheetId="11">NA()</definedName>
    <definedName name="SHARED_FORMULA_22_286_22_286_17" localSheetId="12">NA()</definedName>
    <definedName name="SHARED_FORMULA_22_286_22_286_17" localSheetId="0">+#REF!*#REF!</definedName>
    <definedName name="SHARED_FORMULA_22_286_22_286_17">+#REF!*#REF!</definedName>
    <definedName name="SHARED_FORMULA_22_31_22_31_17" localSheetId="11">NA()</definedName>
    <definedName name="SHARED_FORMULA_22_31_22_31_17" localSheetId="12">NA()</definedName>
    <definedName name="SHARED_FORMULA_22_31_22_31_17" localSheetId="0">+#REF!*#REF!</definedName>
    <definedName name="SHARED_FORMULA_22_31_22_31_17">+#REF!*#REF!</definedName>
    <definedName name="SHARED_FORMULA_22_33_22_33_17" localSheetId="11">NA()</definedName>
    <definedName name="SHARED_FORMULA_22_33_22_33_17" localSheetId="12">NA()</definedName>
    <definedName name="SHARED_FORMULA_22_33_22_33_17" localSheetId="0">+#REF!*#REF!</definedName>
    <definedName name="SHARED_FORMULA_22_33_22_33_17">+#REF!*#REF!</definedName>
    <definedName name="SHARED_FORMULA_22_35_22_35_17">NA()</definedName>
    <definedName name="SHARED_FORMULA_22_36_22_36_17" localSheetId="11">NA()</definedName>
    <definedName name="SHARED_FORMULA_22_36_22_36_17" localSheetId="12">NA()</definedName>
    <definedName name="SHARED_FORMULA_22_36_22_36_17">+#REF!*#REF!</definedName>
    <definedName name="SHARED_FORMULA_22_37_22_37_17">NA()</definedName>
    <definedName name="SHARED_FORMULA_22_40_22_40_17">NA()</definedName>
    <definedName name="SHARED_FORMULA_22_41_22_41_17" localSheetId="11">NA()</definedName>
    <definedName name="SHARED_FORMULA_22_41_22_41_17" localSheetId="12">NA()</definedName>
    <definedName name="SHARED_FORMULA_22_41_22_41_17">+#REF!*#REF!</definedName>
    <definedName name="SHARED_FORMULA_22_44_22_44_17" localSheetId="11">NA()</definedName>
    <definedName name="SHARED_FORMULA_22_44_22_44_17" localSheetId="12">NA()</definedName>
    <definedName name="SHARED_FORMULA_22_44_22_44_17" localSheetId="0">+#REF!*#REF!</definedName>
    <definedName name="SHARED_FORMULA_22_44_22_44_17">+#REF!*#REF!</definedName>
    <definedName name="SHARED_FORMULA_22_45_22_45_17">NA()</definedName>
    <definedName name="SHARED_FORMULA_22_48_22_48_17">NA()</definedName>
    <definedName name="SHARED_FORMULA_22_49_22_49_17" localSheetId="11">NA()</definedName>
    <definedName name="SHARED_FORMULA_22_49_22_49_17" localSheetId="12">NA()</definedName>
    <definedName name="SHARED_FORMULA_22_49_22_49_17" localSheetId="0">+#REF!*#REF!</definedName>
    <definedName name="SHARED_FORMULA_22_49_22_49_17">+#REF!*#REF!</definedName>
    <definedName name="SHARED_FORMULA_22_52_22_52_17">NA()</definedName>
    <definedName name="SHARED_FORMULA_22_55_22_55_17" localSheetId="11">NA()</definedName>
    <definedName name="SHARED_FORMULA_22_55_22_55_17" localSheetId="12">NA()</definedName>
    <definedName name="SHARED_FORMULA_22_55_22_55_17">+#REF!*#REF!</definedName>
    <definedName name="SHARED_FORMULA_22_57_22_57_17" localSheetId="11">NA()</definedName>
    <definedName name="SHARED_FORMULA_22_57_22_57_17" localSheetId="12">NA()</definedName>
    <definedName name="SHARED_FORMULA_22_57_22_57_17" localSheetId="0">+#REF!*#REF!</definedName>
    <definedName name="SHARED_FORMULA_22_57_22_57_17">+#REF!*#REF!</definedName>
    <definedName name="SHARED_FORMULA_22_59_22_59_17">NA()</definedName>
    <definedName name="SHARED_FORMULA_22_61_22_61_17" localSheetId="11">NA()</definedName>
    <definedName name="SHARED_FORMULA_22_61_22_61_17" localSheetId="12">NA()</definedName>
    <definedName name="SHARED_FORMULA_22_61_22_61_17" localSheetId="0">+#REF!*#REF!</definedName>
    <definedName name="SHARED_FORMULA_22_61_22_61_17">+#REF!*#REF!</definedName>
    <definedName name="SHARED_FORMULA_22_62_22_62_17">NA()</definedName>
    <definedName name="SHARED_FORMULA_22_67_22_67_17" localSheetId="11">NA()</definedName>
    <definedName name="SHARED_FORMULA_22_67_22_67_17" localSheetId="12">NA()</definedName>
    <definedName name="SHARED_FORMULA_22_67_22_67_17">+#REF!*#REF!</definedName>
    <definedName name="SHARED_FORMULA_22_72_22_72_17">NA()</definedName>
    <definedName name="SHARED_FORMULA_22_73_22_73_17" localSheetId="11">NA()</definedName>
    <definedName name="SHARED_FORMULA_22_73_22_73_17" localSheetId="12">NA()</definedName>
    <definedName name="SHARED_FORMULA_22_73_22_73_17">+#REF!*#REF!</definedName>
    <definedName name="SHARED_FORMULA_22_78_22_78_17">NA()</definedName>
    <definedName name="SHARED_FORMULA_22_80_22_80_17" localSheetId="11">NA()</definedName>
    <definedName name="SHARED_FORMULA_22_80_22_80_17" localSheetId="12">NA()</definedName>
    <definedName name="SHARED_FORMULA_22_80_22_80_17">+#REF!*#REF!</definedName>
    <definedName name="SHARED_FORMULA_22_83_22_83_17">NA()</definedName>
    <definedName name="SHARED_FORMULA_22_85_22_85_17" localSheetId="11">NA()</definedName>
    <definedName name="SHARED_FORMULA_22_85_22_85_17" localSheetId="12">NA()</definedName>
    <definedName name="SHARED_FORMULA_22_85_22_85_17">+#REF!*#REF!</definedName>
    <definedName name="SHARED_FORMULA_22_87_22_87_17" localSheetId="11">NA()</definedName>
    <definedName name="SHARED_FORMULA_22_87_22_87_17" localSheetId="12">NA()</definedName>
    <definedName name="SHARED_FORMULA_22_87_22_87_17" localSheetId="0">+#REF!*#REF!</definedName>
    <definedName name="SHARED_FORMULA_22_87_22_87_17">+#REF!*#REF!</definedName>
    <definedName name="SHARED_FORMULA_22_90_22_90_17">NA()</definedName>
    <definedName name="SHARED_FORMULA_22_92_22_92_17" localSheetId="11">NA()</definedName>
    <definedName name="SHARED_FORMULA_22_92_22_92_17" localSheetId="12">NA()</definedName>
    <definedName name="SHARED_FORMULA_22_92_22_92_17" localSheetId="0">+#REF!*#REF!</definedName>
    <definedName name="SHARED_FORMULA_22_92_22_92_17">+#REF!*#REF!</definedName>
    <definedName name="SHARED_FORMULA_22_96_22_96_17">NA()</definedName>
    <definedName name="SHARED_FORMULA_22_98_22_98_17" localSheetId="11">NA()</definedName>
    <definedName name="SHARED_FORMULA_22_98_22_98_17" localSheetId="12">NA()</definedName>
    <definedName name="SHARED_FORMULA_22_98_22_98_17">+#REF!*#REF!</definedName>
    <definedName name="SHARED_FORMULA_23_181_23_181_17">NA()</definedName>
    <definedName name="SHARED_FORMULA_23_197_23_197_17">NA()</definedName>
    <definedName name="SHARED_FORMULA_23_210_23_210_17">NA()</definedName>
    <definedName name="SHARED_FORMULA_23_213_23_213_17">NA()</definedName>
    <definedName name="SHARED_FORMULA_23_216_23_216_17">NA()</definedName>
    <definedName name="SHARED_FORMULA_23_230_23_230_17">NA()</definedName>
    <definedName name="SHARED_FORMULA_23_24_23_24_17">NA()</definedName>
    <definedName name="SHARED_FORMULA_23_258_23_258_17">NA()</definedName>
    <definedName name="SHARED_FORMULA_23_261_23_261_17">NA()</definedName>
    <definedName name="SHARED_FORMULA_23_38_23_38_17">NA()</definedName>
    <definedName name="SHARED_FORMULA_23_65_23_65_17">NA()</definedName>
    <definedName name="SHARED_FORMULA_23_76_23_76_17">NA()</definedName>
    <definedName name="SHARED_FORMULA_24_194_24_194_17" localSheetId="11">NA()</definedName>
    <definedName name="SHARED_FORMULA_24_194_24_194_17" localSheetId="12">NA()</definedName>
    <definedName name="SHARED_FORMULA_24_194_24_194_17">+#REF!/10^5</definedName>
    <definedName name="SHARED_FORMULA_24_212_24_212_17" localSheetId="11">NA()</definedName>
    <definedName name="SHARED_FORMULA_24_212_24_212_17" localSheetId="12">NA()</definedName>
    <definedName name="SHARED_FORMULA_24_212_24_212_17" localSheetId="0">+#REF!/10^5</definedName>
    <definedName name="SHARED_FORMULA_24_212_24_212_17">+#REF!/10^5</definedName>
    <definedName name="SHARED_FORMULA_24_227_24_227_17" localSheetId="11">NA()</definedName>
    <definedName name="SHARED_FORMULA_24_227_24_227_17" localSheetId="12">NA()</definedName>
    <definedName name="SHARED_FORMULA_24_227_24_227_17" localSheetId="0">+#REF!/10^5</definedName>
    <definedName name="SHARED_FORMULA_24_227_24_227_17">+#REF!/10^5</definedName>
    <definedName name="SHARED_FORMULA_24_23_24_23_17" localSheetId="11">NA()</definedName>
    <definedName name="SHARED_FORMULA_24_23_24_23_17" localSheetId="12">NA()</definedName>
    <definedName name="SHARED_FORMULA_24_23_24_23_17" localSheetId="0">+#REF!/10^5</definedName>
    <definedName name="SHARED_FORMULA_24_23_24_23_17">+#REF!/10^5</definedName>
    <definedName name="SHARED_FORMULA_24_230_24_230_17" localSheetId="11">NA()</definedName>
    <definedName name="SHARED_FORMULA_24_230_24_230_17" localSheetId="12">NA()</definedName>
    <definedName name="SHARED_FORMULA_24_230_24_230_17" localSheetId="0">+#REF!/10^5</definedName>
    <definedName name="SHARED_FORMULA_24_230_24_230_17">+#REF!/10^5</definedName>
    <definedName name="SHARED_FORMULA_24_233_24_233_17" localSheetId="11">NA()</definedName>
    <definedName name="SHARED_FORMULA_24_233_24_233_17" localSheetId="12">NA()</definedName>
    <definedName name="SHARED_FORMULA_24_233_24_233_17" localSheetId="0">+#REF!/10^5</definedName>
    <definedName name="SHARED_FORMULA_24_233_24_233_17">+#REF!/10^5</definedName>
    <definedName name="SHARED_FORMULA_24_247_24_247_17" localSheetId="11">NA()</definedName>
    <definedName name="SHARED_FORMULA_24_247_24_247_17" localSheetId="12">NA()</definedName>
    <definedName name="SHARED_FORMULA_24_247_24_247_17" localSheetId="0">+#REF!/10^5</definedName>
    <definedName name="SHARED_FORMULA_24_247_24_247_17">+#REF!/10^5</definedName>
    <definedName name="SHARED_FORMULA_24_251_24_251_17" localSheetId="11">NA()</definedName>
    <definedName name="SHARED_FORMULA_24_251_24_251_17" localSheetId="12">NA()</definedName>
    <definedName name="SHARED_FORMULA_24_251_24_251_17" localSheetId="0">+#REF!/10^5</definedName>
    <definedName name="SHARED_FORMULA_24_251_24_251_17">+#REF!/10^5</definedName>
    <definedName name="SHARED_FORMULA_24_271_24_271_17" localSheetId="11">NA()</definedName>
    <definedName name="SHARED_FORMULA_24_271_24_271_17" localSheetId="12">NA()</definedName>
    <definedName name="SHARED_FORMULA_24_271_24_271_17" localSheetId="0">+#REF!/10^5</definedName>
    <definedName name="SHARED_FORMULA_24_271_24_271_17">+#REF!/10^5</definedName>
    <definedName name="SHARED_FORMULA_24_274_24_274_17" localSheetId="11">NA()</definedName>
    <definedName name="SHARED_FORMULA_24_274_24_274_17" localSheetId="12">NA()</definedName>
    <definedName name="SHARED_FORMULA_24_274_24_274_17" localSheetId="0">+#REF!/10^5</definedName>
    <definedName name="SHARED_FORMULA_24_274_24_274_17">+#REF!/10^5</definedName>
    <definedName name="SHARED_FORMULA_24_34_24_34_17" localSheetId="11">NA()</definedName>
    <definedName name="SHARED_FORMULA_24_34_24_34_17" localSheetId="12">NA()</definedName>
    <definedName name="SHARED_FORMULA_24_34_24_34_17" localSheetId="0">+#REF!/10^5</definedName>
    <definedName name="SHARED_FORMULA_24_34_24_34_17">+#REF!/10^5</definedName>
    <definedName name="SHARED_FORMULA_24_65_24_65_17" localSheetId="11">NA()</definedName>
    <definedName name="SHARED_FORMULA_24_65_24_65_17" localSheetId="12">NA()</definedName>
    <definedName name="SHARED_FORMULA_24_65_24_65_17" localSheetId="0">+#REF!/10^5</definedName>
    <definedName name="SHARED_FORMULA_24_65_24_65_17">+#REF!/10^5</definedName>
    <definedName name="SHARED_FORMULA_24_78_24_78_17" localSheetId="11">NA()</definedName>
    <definedName name="SHARED_FORMULA_24_78_24_78_17" localSheetId="12">NA()</definedName>
    <definedName name="SHARED_FORMULA_24_78_24_78_17" localSheetId="0">+#REF!/10^5</definedName>
    <definedName name="SHARED_FORMULA_24_78_24_78_17">+#REF!/10^5</definedName>
    <definedName name="SHARED_FORMULA_3_1045_3_1045_0">NA()</definedName>
    <definedName name="SHARED_FORMULA_3_1067_3_1067_0">NA()</definedName>
    <definedName name="SHARED_FORMULA_3_1088_3_1088_0">NA()</definedName>
    <definedName name="SHARED_FORMULA_3_11_3_11_26" localSheetId="11">NA()</definedName>
    <definedName name="SHARED_FORMULA_3_11_3_11_26" localSheetId="12">NA()</definedName>
    <definedName name="SHARED_FORMULA_3_11_3_11_26" localSheetId="0">#REF!</definedName>
    <definedName name="SHARED_FORMULA_3_11_3_11_26">#REF!</definedName>
    <definedName name="SHARED_FORMULA_3_11_3_11_30" localSheetId="11">NA()</definedName>
    <definedName name="SHARED_FORMULA_3_11_3_11_30" localSheetId="12">NA()</definedName>
    <definedName name="SHARED_FORMULA_3_11_3_11_30" localSheetId="0">#REF!</definedName>
    <definedName name="SHARED_FORMULA_3_11_3_11_30">#REF!</definedName>
    <definedName name="SHARED_FORMULA_3_1115_3_1115_0">NA()</definedName>
    <definedName name="SHARED_FORMULA_3_1141_3_1141_0">NA()</definedName>
    <definedName name="SHARED_FORMULA_3_1167_3_1167_0">NA()</definedName>
    <definedName name="SHARED_FORMULA_3_119_3_119_8">NA()</definedName>
    <definedName name="SHARED_FORMULA_3_1195_3_1195_0">NA()</definedName>
    <definedName name="SHARED_FORMULA_3_1199_3_1199_13">2+2</definedName>
    <definedName name="SHARED_FORMULA_3_1206_3_1206_0">NA()</definedName>
    <definedName name="SHARED_FORMULA_3_122_3_122_7" localSheetId="11">NA()</definedName>
    <definedName name="SHARED_FORMULA_3_122_3_122_7" localSheetId="12">NA()</definedName>
    <definedName name="SHARED_FORMULA_3_122_3_122_7" localSheetId="0">#REF!</definedName>
    <definedName name="SHARED_FORMULA_3_122_3_122_7">#REF!</definedName>
    <definedName name="SHARED_FORMULA_3_1234_3_1234_0">NA()</definedName>
    <definedName name="SHARED_FORMULA_3_1245_3_1245_0">NA()</definedName>
    <definedName name="SHARED_FORMULA_3_1275_3_1275_0">NA()</definedName>
    <definedName name="SHARED_FORMULA_3_1297_3_1297_0">NA()</definedName>
    <definedName name="SHARED_FORMULA_3_1321_3_1321_0">NA()</definedName>
    <definedName name="SHARED_FORMULA_3_1342_3_1342_0">NA()</definedName>
    <definedName name="SHARED_FORMULA_3_1368_3_1368_0">NA()</definedName>
    <definedName name="SHARED_FORMULA_3_139_3_139_13">0.23</definedName>
    <definedName name="SHARED_FORMULA_3_140_3_140_18">1</definedName>
    <definedName name="SHARED_FORMULA_3_1402_3_1402_7">1+1</definedName>
    <definedName name="SHARED_FORMULA_3_143_3_143_11">0.23</definedName>
    <definedName name="SHARED_FORMULA_3_144_3_144_22">1</definedName>
    <definedName name="SHARED_FORMULA_3_145_3_145_8">NA()</definedName>
    <definedName name="SHARED_FORMULA_3_148_3_148_7">NA()</definedName>
    <definedName name="SHARED_FORMULA_3_1488_3_1488_0">220*3.33</definedName>
    <definedName name="SHARED_FORMULA_3_155_3_155_13">0.23</definedName>
    <definedName name="SHARED_FORMULA_3_16_3_16_33" localSheetId="11">NA()</definedName>
    <definedName name="SHARED_FORMULA_3_16_3_16_33" localSheetId="12">NA()</definedName>
    <definedName name="SHARED_FORMULA_3_16_3_16_33" localSheetId="0">+#REF!</definedName>
    <definedName name="SHARED_FORMULA_3_16_3_16_33">+#REF!</definedName>
    <definedName name="SHARED_FORMULA_3_161_3_161_11">0.23</definedName>
    <definedName name="SHARED_FORMULA_3_161_3_161_26">NA()</definedName>
    <definedName name="SHARED_FORMULA_3_164_3_164_26" localSheetId="11">NA()</definedName>
    <definedName name="SHARED_FORMULA_3_164_3_164_26" localSheetId="12">NA()</definedName>
    <definedName name="SHARED_FORMULA_3_164_3_164_26" localSheetId="0">+#REF!</definedName>
    <definedName name="SHARED_FORMULA_3_164_3_164_26">+#REF!</definedName>
    <definedName name="SHARED_FORMULA_3_17_3_17_22" localSheetId="11">NA()</definedName>
    <definedName name="SHARED_FORMULA_3_17_3_17_22" localSheetId="12">NA()</definedName>
    <definedName name="SHARED_FORMULA_3_17_3_17_22" localSheetId="0">+#REF!</definedName>
    <definedName name="SHARED_FORMULA_3_17_3_17_22">+#REF!</definedName>
    <definedName name="SHARED_FORMULA_3_172_3_172_30">NA()</definedName>
    <definedName name="SHARED_FORMULA_3_174_3_174_11">1+1+0.23</definedName>
    <definedName name="SHARED_FORMULA_3_177_3_177_30" localSheetId="11">NA()</definedName>
    <definedName name="SHARED_FORMULA_3_177_3_177_30" localSheetId="12">NA()</definedName>
    <definedName name="SHARED_FORMULA_3_177_3_177_30" localSheetId="0">+#REF!</definedName>
    <definedName name="SHARED_FORMULA_3_177_3_177_30">+#REF!</definedName>
    <definedName name="SHARED_FORMULA_3_1788_3_1788_6">NA()</definedName>
    <definedName name="SHARED_FORMULA_3_1791_3_1791_6">NA()</definedName>
    <definedName name="SHARED_FORMULA_3_1792_3_1792_6">NA()</definedName>
    <definedName name="SHARED_FORMULA_3_1793_3_1793_6">NA()</definedName>
    <definedName name="SHARED_FORMULA_3_1794_3_1794_6">NA()</definedName>
    <definedName name="SHARED_FORMULA_3_1795_3_1795_6">NA()</definedName>
    <definedName name="SHARED_FORMULA_3_1816_3_1816_6">NA()</definedName>
    <definedName name="SHARED_FORMULA_3_1819_3_1819_6">NA()</definedName>
    <definedName name="SHARED_FORMULA_3_1820_3_1820_6">NA()</definedName>
    <definedName name="SHARED_FORMULA_3_1821_3_1821_6">NA()</definedName>
    <definedName name="SHARED_FORMULA_3_1822_3_1822_6">NA()</definedName>
    <definedName name="SHARED_FORMULA_3_1823_3_1823_6">NA()</definedName>
    <definedName name="SHARED_FORMULA_3_1843_3_1843_6">NA()</definedName>
    <definedName name="SHARED_FORMULA_3_1846_3_1846_6">NA()</definedName>
    <definedName name="SHARED_FORMULA_3_1847_3_1847_6">NA()</definedName>
    <definedName name="SHARED_FORMULA_3_1848_3_1848_6">NA()</definedName>
    <definedName name="SHARED_FORMULA_3_1849_3_1849_6">NA()</definedName>
    <definedName name="SHARED_FORMULA_3_1850_3_1850_6">NA()</definedName>
    <definedName name="SHARED_FORMULA_3_187_3_187_18">1</definedName>
    <definedName name="SHARED_FORMULA_3_203_3_203_9">1</definedName>
    <definedName name="SHARED_FORMULA_3_209_3_209_22" localSheetId="11">NA()</definedName>
    <definedName name="SHARED_FORMULA_3_209_3_209_22" localSheetId="12">NA()</definedName>
    <definedName name="SHARED_FORMULA_3_209_3_209_22" localSheetId="0">+#REF!</definedName>
    <definedName name="SHARED_FORMULA_3_209_3_209_22">+#REF!</definedName>
    <definedName name="SHARED_FORMULA_3_21_3_21_33" localSheetId="11">NA()</definedName>
    <definedName name="SHARED_FORMULA_3_21_3_21_33" localSheetId="12">NA()</definedName>
    <definedName name="SHARED_FORMULA_3_21_3_21_33" localSheetId="0">+#REF!</definedName>
    <definedName name="SHARED_FORMULA_3_21_3_21_33">+#REF!</definedName>
    <definedName name="SHARED_FORMULA_3_213_3_213_22">NA()</definedName>
    <definedName name="SHARED_FORMULA_3_216_3_216_22" localSheetId="11">NA()</definedName>
    <definedName name="SHARED_FORMULA_3_216_3_216_22" localSheetId="12">NA()</definedName>
    <definedName name="SHARED_FORMULA_3_216_3_216_22" localSheetId="0">+#REF!</definedName>
    <definedName name="SHARED_FORMULA_3_216_3_216_22">+#REF!</definedName>
    <definedName name="SHARED_FORMULA_3_218_3_218_9">1</definedName>
    <definedName name="SHARED_FORMULA_3_220_3_220_22">NA()</definedName>
    <definedName name="SHARED_FORMULA_3_220_3_220_26">NA()</definedName>
    <definedName name="SHARED_FORMULA_3_221_3_221_37">NA()</definedName>
    <definedName name="SHARED_FORMULA_3_223_3_223_26" localSheetId="11">NA()</definedName>
    <definedName name="SHARED_FORMULA_3_223_3_223_26" localSheetId="12">NA()</definedName>
    <definedName name="SHARED_FORMULA_3_223_3_223_26">+#REF!</definedName>
    <definedName name="SHARED_FORMULA_3_224_3_224_9">1</definedName>
    <definedName name="SHARED_FORMULA_3_232_3_232_9">1</definedName>
    <definedName name="SHARED_FORMULA_3_236_3_236_26">NA()</definedName>
    <definedName name="SHARED_FORMULA_3_239_3_239_26" localSheetId="11">NA()</definedName>
    <definedName name="SHARED_FORMULA_3_239_3_239_26" localSheetId="12">NA()</definedName>
    <definedName name="SHARED_FORMULA_3_239_3_239_26">+#REF!</definedName>
    <definedName name="SHARED_FORMULA_3_24_3_24_37" localSheetId="11">NA()</definedName>
    <definedName name="SHARED_FORMULA_3_24_3_24_37" localSheetId="12">NA()</definedName>
    <definedName name="SHARED_FORMULA_3_24_3_24_37" localSheetId="0">+#REF!</definedName>
    <definedName name="SHARED_FORMULA_3_24_3_24_37">+#REF!</definedName>
    <definedName name="SHARED_FORMULA_3_246_3_246_9">1</definedName>
    <definedName name="SHARED_FORMULA_3_251_3_251_9">1</definedName>
    <definedName name="SHARED_FORMULA_3_261_3_261_22">+ROUNDUP(3.3/0.15,0)</definedName>
    <definedName name="SHARED_FORMULA_3_261_3_261_9">1</definedName>
    <definedName name="SHARED_FORMULA_3_2613_3_2613_7">1+1</definedName>
    <definedName name="SHARED_FORMULA_3_264_3_264_0">NA()</definedName>
    <definedName name="SHARED_FORMULA_3_265_3_265_22">+ROUNDUP(3.3/0.15,0)</definedName>
    <definedName name="SHARED_FORMULA_3_267_3_267_9">1</definedName>
    <definedName name="SHARED_FORMULA_3_268_3_268_22">+ROUNDUP(3.3/0.15,0)</definedName>
    <definedName name="SHARED_FORMULA_3_268_3_268_33">NA()</definedName>
    <definedName name="SHARED_FORMULA_3_2696_3_2696_7">1+1</definedName>
    <definedName name="SHARED_FORMULA_3_271_3_271_22">+ROUNDUP(3.3/0.15,0)</definedName>
    <definedName name="SHARED_FORMULA_3_274_3_274_33" localSheetId="11">NA()</definedName>
    <definedName name="SHARED_FORMULA_3_274_3_274_33" localSheetId="12">NA()</definedName>
    <definedName name="SHARED_FORMULA_3_274_3_274_33" localSheetId="0">+#REF!</definedName>
    <definedName name="SHARED_FORMULA_3_274_3_274_33">+#REF!</definedName>
    <definedName name="SHARED_FORMULA_3_275_3_275_9">1</definedName>
    <definedName name="SHARED_FORMULA_3_28_3_28_33" localSheetId="11">NA()</definedName>
    <definedName name="SHARED_FORMULA_3_28_3_28_33" localSheetId="12">NA()</definedName>
    <definedName name="SHARED_FORMULA_3_28_3_28_33" localSheetId="0">+#REF!</definedName>
    <definedName name="SHARED_FORMULA_3_28_3_28_33">+#REF!</definedName>
    <definedName name="SHARED_FORMULA_3_2870_3_2870_7">1+1</definedName>
    <definedName name="SHARED_FORMULA_3_289_3_289_9">1</definedName>
    <definedName name="SHARED_FORMULA_3_293_3_293_9">1</definedName>
    <definedName name="SHARED_FORMULA_3_297_3_297_9">1</definedName>
    <definedName name="SHARED_FORMULA_3_306_3_306_9">1</definedName>
    <definedName name="SHARED_FORMULA_3_31_3_31_22" localSheetId="11">NA()</definedName>
    <definedName name="SHARED_FORMULA_3_31_3_31_22" localSheetId="12">NA()</definedName>
    <definedName name="SHARED_FORMULA_3_31_3_31_22" localSheetId="0">+#REF!</definedName>
    <definedName name="SHARED_FORMULA_3_31_3_31_22">+#REF!</definedName>
    <definedName name="SHARED_FORMULA_3_31_3_31_30" localSheetId="11">NA()</definedName>
    <definedName name="SHARED_FORMULA_3_31_3_31_30" localSheetId="12">NA()</definedName>
    <definedName name="SHARED_FORMULA_3_31_3_31_30" localSheetId="0">+#REF!</definedName>
    <definedName name="SHARED_FORMULA_3_31_3_31_30">+#REF!</definedName>
    <definedName name="SHARED_FORMULA_3_312_3_312_9">1</definedName>
    <definedName name="SHARED_FORMULA_3_319_3_319_0">NA()</definedName>
    <definedName name="SHARED_FORMULA_3_32_3_32_37" localSheetId="11">NA()</definedName>
    <definedName name="SHARED_FORMULA_3_32_3_32_37" localSheetId="12">NA()</definedName>
    <definedName name="SHARED_FORMULA_3_32_3_32_37" localSheetId="0">+#REF!</definedName>
    <definedName name="SHARED_FORMULA_3_32_3_32_37">+#REF!</definedName>
    <definedName name="SHARED_FORMULA_3_320_3_320_9">1</definedName>
    <definedName name="SHARED_FORMULA_3_337_3_337_22">1</definedName>
    <definedName name="SHARED_FORMULA_3_34_3_34_22">NA()</definedName>
    <definedName name="SHARED_FORMULA_3_34_3_34_30">NA()</definedName>
    <definedName name="SHARED_FORMULA_3_353_3_353_22">1</definedName>
    <definedName name="SHARED_FORMULA_3_368_3_368_22">1</definedName>
    <definedName name="SHARED_FORMULA_3_38_3_38_30" localSheetId="11">NA()</definedName>
    <definedName name="SHARED_FORMULA_3_38_3_38_30" localSheetId="12">NA()</definedName>
    <definedName name="SHARED_FORMULA_3_38_3_38_30">#REF!</definedName>
    <definedName name="SHARED_FORMULA_3_388_3_388_22">1</definedName>
    <definedName name="SHARED_FORMULA_3_39_3_39_37" localSheetId="11">NA()</definedName>
    <definedName name="SHARED_FORMULA_3_39_3_39_37" localSheetId="12">NA()</definedName>
    <definedName name="SHARED_FORMULA_3_39_3_39_37" localSheetId="0">+#REF!</definedName>
    <definedName name="SHARED_FORMULA_3_39_3_39_37">+#REF!</definedName>
    <definedName name="SHARED_FORMULA_3_39_3_39_8">NA()</definedName>
    <definedName name="SHARED_FORMULA_3_401_3_401_22">1</definedName>
    <definedName name="SHARED_FORMULA_3_403_3_403_0">NA()</definedName>
    <definedName name="SHARED_FORMULA_3_405_3_405_22">1</definedName>
    <definedName name="SHARED_FORMULA_3_41_3_41_30">NA()</definedName>
    <definedName name="SHARED_FORMULA_3_415_3_415_0">NA()</definedName>
    <definedName name="SHARED_FORMULA_3_425_3_425_22">1</definedName>
    <definedName name="SHARED_FORMULA_3_444_3_444_7">1</definedName>
    <definedName name="SHARED_FORMULA_3_449_3_449_22">1</definedName>
    <definedName name="SHARED_FORMULA_3_452_3_452_0">NA()</definedName>
    <definedName name="SHARED_FORMULA_3_46_3_46_22" localSheetId="11">NA()</definedName>
    <definedName name="SHARED_FORMULA_3_46_3_46_22" localSheetId="12">NA()</definedName>
    <definedName name="SHARED_FORMULA_3_46_3_46_22" localSheetId="0">+#REF!</definedName>
    <definedName name="SHARED_FORMULA_3_46_3_46_22">+#REF!</definedName>
    <definedName name="SHARED_FORMULA_3_460_3_460_7">1</definedName>
    <definedName name="SHARED_FORMULA_3_462_3_462_37">NA()</definedName>
    <definedName name="SHARED_FORMULA_3_464_3_464_0">NA()</definedName>
    <definedName name="SHARED_FORMULA_3_465_3_465_22">1</definedName>
    <definedName name="SHARED_FORMULA_3_473_3_473_22">1</definedName>
    <definedName name="SHARED_FORMULA_3_480_3_480_7">1</definedName>
    <definedName name="SHARED_FORMULA_3_484_3_484_22">1</definedName>
    <definedName name="SHARED_FORMULA_3_489_3_489_26">NA()</definedName>
    <definedName name="SHARED_FORMULA_3_49_3_49_22">NA()</definedName>
    <definedName name="SHARED_FORMULA_3_493_3_493_26">NA()</definedName>
    <definedName name="SHARED_FORMULA_3_5_3_5_22" localSheetId="11">NA()</definedName>
    <definedName name="SHARED_FORMULA_3_5_3_5_22" localSheetId="12">NA()</definedName>
    <definedName name="SHARED_FORMULA_3_5_3_5_22">+#REF!</definedName>
    <definedName name="SHARED_FORMULA_3_500_3_500_0">NA()</definedName>
    <definedName name="SHARED_FORMULA_3_503_3_503_37" localSheetId="11">NA()</definedName>
    <definedName name="SHARED_FORMULA_3_503_3_503_37" localSheetId="12">NA()</definedName>
    <definedName name="SHARED_FORMULA_3_503_3_503_37" localSheetId="0">+#REF!</definedName>
    <definedName name="SHARED_FORMULA_3_503_3_503_37">+#REF!</definedName>
    <definedName name="SHARED_FORMULA_3_508_3_508_22">1</definedName>
    <definedName name="SHARED_FORMULA_3_514_3_514_0">NA()</definedName>
    <definedName name="SHARED_FORMULA_3_515_3_515_7">1</definedName>
    <definedName name="SHARED_FORMULA_3_517_3_517_26" localSheetId="11">NA()</definedName>
    <definedName name="SHARED_FORMULA_3_517_3_517_26" localSheetId="12">NA()</definedName>
    <definedName name="SHARED_FORMULA_3_517_3_517_26" localSheetId="0">+#REF!</definedName>
    <definedName name="SHARED_FORMULA_3_517_3_517_26">+#REF!</definedName>
    <definedName name="SHARED_FORMULA_3_521_3_521_26" localSheetId="11">NA()</definedName>
    <definedName name="SHARED_FORMULA_3_521_3_521_26" localSheetId="12">NA()</definedName>
    <definedName name="SHARED_FORMULA_3_521_3_521_26" localSheetId="0">+#REF!</definedName>
    <definedName name="SHARED_FORMULA_3_521_3_521_26">+#REF!</definedName>
    <definedName name="SHARED_FORMULA_3_524_3_524_22">1</definedName>
    <definedName name="SHARED_FORMULA_3_527_3_527_0">NA()</definedName>
    <definedName name="SHARED_FORMULA_3_531_3_531_7">1</definedName>
    <definedName name="SHARED_FORMULA_3_532_3_532_22">1</definedName>
    <definedName name="SHARED_FORMULA_3_533_3_533_20">1</definedName>
    <definedName name="SHARED_FORMULA_3_538_3_538_20">1</definedName>
    <definedName name="SHARED_FORMULA_3_540_3_540_0">NA()</definedName>
    <definedName name="SHARED_FORMULA_3_542_3_542_22">1</definedName>
    <definedName name="SHARED_FORMULA_3_545_3_545_7">1</definedName>
    <definedName name="SHARED_FORMULA_3_558_3_558_7">1</definedName>
    <definedName name="SHARED_FORMULA_3_566_3_566_22">1</definedName>
    <definedName name="SHARED_FORMULA_3_569_3_569_0">NA()</definedName>
    <definedName name="SHARED_FORMULA_3_57_3_57_30" localSheetId="11">NA()</definedName>
    <definedName name="SHARED_FORMULA_3_57_3_57_30" localSheetId="12">NA()</definedName>
    <definedName name="SHARED_FORMULA_3_57_3_57_30" localSheetId="0">+#REF!</definedName>
    <definedName name="SHARED_FORMULA_3_57_3_57_30">+#REF!</definedName>
    <definedName name="SHARED_FORMULA_3_582_3_582_22">1</definedName>
    <definedName name="SHARED_FORMULA_3_583_3_583_0">NA()</definedName>
    <definedName name="SHARED_FORMULA_3_590_3_590_22">1</definedName>
    <definedName name="SHARED_FORMULA_3_596_3_596_0">NA()</definedName>
    <definedName name="SHARED_FORMULA_3_60_3_60_18">1</definedName>
    <definedName name="SHARED_FORMULA_3_60_3_60_30">NA()</definedName>
    <definedName name="SHARED_FORMULA_3_600_3_600_22">1</definedName>
    <definedName name="SHARED_FORMULA_3_607_3_607_7">1</definedName>
    <definedName name="SHARED_FORMULA_3_609_3_609_0">NA()</definedName>
    <definedName name="SHARED_FORMULA_3_624_3_624_0">NA()</definedName>
    <definedName name="SHARED_FORMULA_3_63_3_63_26" localSheetId="11">NA()</definedName>
    <definedName name="SHARED_FORMULA_3_63_3_63_26" localSheetId="12">NA()</definedName>
    <definedName name="SHARED_FORMULA_3_63_3_63_26">+#REF!</definedName>
    <definedName name="SHARED_FORMULA_3_636_3_636_0">NA()</definedName>
    <definedName name="SHARED_FORMULA_3_647_3_647_0">NA()</definedName>
    <definedName name="SHARED_FORMULA_3_65_3_65_8">NA()</definedName>
    <definedName name="SHARED_FORMULA_3_658_3_658_0">NA()</definedName>
    <definedName name="SHARED_FORMULA_3_66_3_66_26">NA()</definedName>
    <definedName name="SHARED_FORMULA_3_673_3_673_0">NA()</definedName>
    <definedName name="SHARED_FORMULA_3_685_3_685_0">NA()</definedName>
    <definedName name="SHARED_FORMULA_3_69_3_69_7">NA()</definedName>
    <definedName name="SHARED_FORMULA_3_696_3_696_0">NA()</definedName>
    <definedName name="SHARED_FORMULA_3_7_3_7_33" localSheetId="11">NA()</definedName>
    <definedName name="SHARED_FORMULA_3_7_3_7_33" localSheetId="12">NA()</definedName>
    <definedName name="SHARED_FORMULA_3_7_3_7_33">+#REF!</definedName>
    <definedName name="SHARED_FORMULA_3_707_3_707_0">NA()</definedName>
    <definedName name="SHARED_FORMULA_3_740_3_740_0">NA()</definedName>
    <definedName name="SHARED_FORMULA_3_76_3_76_18">1</definedName>
    <definedName name="SHARED_FORMULA_3_767_3_767_0">NA()</definedName>
    <definedName name="SHARED_FORMULA_3_779_3_779_0">NA()</definedName>
    <definedName name="SHARED_FORMULA_3_780_3_780_26">NA()</definedName>
    <definedName name="SHARED_FORMULA_3_810_3_810_0">NA()</definedName>
    <definedName name="SHARED_FORMULA_3_822_3_822_0">NA()</definedName>
    <definedName name="SHARED_FORMULA_3_88_3_88_18">1</definedName>
    <definedName name="SHARED_FORMULA_3_9_3_9_37" localSheetId="11">NA()</definedName>
    <definedName name="SHARED_FORMULA_3_9_3_9_37" localSheetId="12">NA()</definedName>
    <definedName name="SHARED_FORMULA_3_9_3_9_37">+#REF!</definedName>
    <definedName name="SHARED_FORMULA_3_903_3_903_0">NA()</definedName>
    <definedName name="SHARED_FORMULA_3_91_3_91_8">NA()</definedName>
    <definedName name="SHARED_FORMULA_3_95_3_95_7" localSheetId="11">NA()</definedName>
    <definedName name="SHARED_FORMULA_3_95_3_95_7" localSheetId="12">NA()</definedName>
    <definedName name="SHARED_FORMULA_3_95_3_95_7">#REF!</definedName>
    <definedName name="SHARED_FORMULA_3_953_3_953_0">NA()</definedName>
    <definedName name="SHARED_FORMULA_3_96_3_96_7">NA()</definedName>
    <definedName name="SHARED_FORMULA_3_977_3_977_0">NA()</definedName>
    <definedName name="SHARED_FORMULA_3_999_3_999_0">NA()</definedName>
    <definedName name="SHARED_FORMULA_4_102_4_102_13">6.275+2.795+1.82+4.63+4.13+0.115*2</definedName>
    <definedName name="SHARED_FORMULA_4_117_4_117_33">NA()</definedName>
    <definedName name="SHARED_FORMULA_4_120_4_120_8">NA()</definedName>
    <definedName name="SHARED_FORMULA_4_129_4_129_20">3.73+3.23*2+0.23</definedName>
    <definedName name="SHARED_FORMULA_4_130_4_130_30">NA()</definedName>
    <definedName name="SHARED_FORMULA_4_1313_4_1313_22">0.23</definedName>
    <definedName name="SHARED_FORMULA_4_132_4_132_20">3.23*2+0.23</definedName>
    <definedName name="SHARED_FORMULA_4_1324_4_1324_22">0.23</definedName>
    <definedName name="SHARED_FORMULA_4_133_4_133_18">0.23+0.075*2</definedName>
    <definedName name="SHARED_FORMULA_4_1333_4_1333_22">0.23</definedName>
    <definedName name="SHARED_FORMULA_4_134_4_134_20">3.47+4.26-0.23</definedName>
    <definedName name="SHARED_FORMULA_4_135_4_135_18">0.3+0.075*2</definedName>
    <definedName name="SHARED_FORMULA_4_135_4_135_30" localSheetId="11">NA()</definedName>
    <definedName name="SHARED_FORMULA_4_135_4_135_30" localSheetId="12">NA()</definedName>
    <definedName name="SHARED_FORMULA_4_135_4_135_30" localSheetId="0">+#REF!</definedName>
    <definedName name="SHARED_FORMULA_4_135_4_135_30">+#REF!</definedName>
    <definedName name="SHARED_FORMULA_4_139_4_139_13">6.275+2.795+1.82+4.63+0.115*2</definedName>
    <definedName name="SHARED_FORMULA_4_1395_4_1395_22">3.53*2-0.23</definedName>
    <definedName name="SHARED_FORMULA_4_146_4_146_18">7.04+3.04+4.69-0.23*3</definedName>
    <definedName name="SHARED_FORMULA_4_146_4_146_8">NA()</definedName>
    <definedName name="SHARED_FORMULA_4_154_4_154_22">3.53*4-0.23</definedName>
    <definedName name="SHARED_FORMULA_4_155_4_155_13">6.275+2.795+1.82+4.63+0.115*2</definedName>
    <definedName name="SHARED_FORMULA_4_1586_4_1586_9">+SQRT(3.3^2+1.8^2+0.1*2)</definedName>
    <definedName name="SHARED_FORMULA_4_161_4_161_26">NA()</definedName>
    <definedName name="SHARED_FORMULA_4_164_4_164_26" localSheetId="11">NA()</definedName>
    <definedName name="SHARED_FORMULA_4_164_4_164_26" localSheetId="12">NA()</definedName>
    <definedName name="SHARED_FORMULA_4_164_4_164_26" localSheetId="0">+#REF!+0.075*2</definedName>
    <definedName name="SHARED_FORMULA_4_164_4_164_26">+#REF!+0.075*2</definedName>
    <definedName name="SHARED_FORMULA_4_165_4_165_30">NA()</definedName>
    <definedName name="SHARED_FORMULA_4_166_4_166_11">4.23+2.23+2.23+2</definedName>
    <definedName name="SHARED_FORMULA_4_170_4_170_30" localSheetId="11">NA()</definedName>
    <definedName name="SHARED_FORMULA_4_170_4_170_30" localSheetId="12">NA()</definedName>
    <definedName name="SHARED_FORMULA_4_170_4_170_30" localSheetId="0">+#REF!</definedName>
    <definedName name="SHARED_FORMULA_4_170_4_170_30">+#REF!</definedName>
    <definedName name="SHARED_FORMULA_4_174_4_174_22" localSheetId="11">NA()</definedName>
    <definedName name="SHARED_FORMULA_4_174_4_174_22" localSheetId="12">NA()</definedName>
    <definedName name="SHARED_FORMULA_4_174_4_174_22" localSheetId="0">+#REF!</definedName>
    <definedName name="SHARED_FORMULA_4_174_4_174_22">+#REF!</definedName>
    <definedName name="SHARED_FORMULA_4_178_4_178_22">NA()</definedName>
    <definedName name="SHARED_FORMULA_4_178_4_178_9">1.65+5.5+5</definedName>
    <definedName name="SHARED_FORMULA_4_18_4_18_37" localSheetId="11">NA()</definedName>
    <definedName name="SHARED_FORMULA_4_18_4_18_37" localSheetId="12">NA()</definedName>
    <definedName name="SHARED_FORMULA_4_18_4_18_37" localSheetId="0">+#REF!+0.15*2</definedName>
    <definedName name="SHARED_FORMULA_4_18_4_18_37">+#REF!+0.15*2</definedName>
    <definedName name="SHARED_FORMULA_4_183_4_183_20">3.73+3.23*2</definedName>
    <definedName name="SHARED_FORMULA_4_184_4_184_9">5.73+3.03+5.73</definedName>
    <definedName name="SHARED_FORMULA_4_189_4_189_22" localSheetId="11">NA()</definedName>
    <definedName name="SHARED_FORMULA_4_189_4_189_22" localSheetId="12">NA()</definedName>
    <definedName name="SHARED_FORMULA_4_189_4_189_22" localSheetId="0">+#REF!</definedName>
    <definedName name="SHARED_FORMULA_4_189_4_189_22">+#REF!</definedName>
    <definedName name="SHARED_FORMULA_4_191_4_191_18">4.545+3.015+4.15+5.52+4.54+0.23</definedName>
    <definedName name="SHARED_FORMULA_4_193_4_193_22">NA()</definedName>
    <definedName name="SHARED_FORMULA_4_194_4_194_22" localSheetId="11">NA()</definedName>
    <definedName name="SHARED_FORMULA_4_194_4_194_22" localSheetId="12">NA()</definedName>
    <definedName name="SHARED_FORMULA_4_194_4_194_22" localSheetId="0">+#REF!</definedName>
    <definedName name="SHARED_FORMULA_4_194_4_194_22">+#REF!</definedName>
    <definedName name="SHARED_FORMULA_4_196_4_196_18">7.04+3.04+4.69-5*0.23</definedName>
    <definedName name="SHARED_FORMULA_4_197_4_197_20">3.23*2</definedName>
    <definedName name="SHARED_FORMULA_4_198_4_198_22">NA()</definedName>
    <definedName name="SHARED_FORMULA_4_199_4_199_30">NA()</definedName>
    <definedName name="SHARED_FORMULA_4_204_4_204_30" localSheetId="11">NA()</definedName>
    <definedName name="SHARED_FORMULA_4_204_4_204_30" localSheetId="12">NA()</definedName>
    <definedName name="SHARED_FORMULA_4_204_4_204_30" localSheetId="0">+#REF!</definedName>
    <definedName name="SHARED_FORMULA_4_204_4_204_30">+#REF!</definedName>
    <definedName name="SHARED_FORMULA_4_204_4_204_37">NA()</definedName>
    <definedName name="SHARED_FORMULA_4_204_4_204_9">3.63+3.015+0.625+1.905+1.905+2.235+4.76+5.73*2+5.58+5.465</definedName>
    <definedName name="SHARED_FORMULA_4_205_4_205_22" localSheetId="11">NA()</definedName>
    <definedName name="SHARED_FORMULA_4_205_4_205_22" localSheetId="12">NA()</definedName>
    <definedName name="SHARED_FORMULA_4_205_4_205_22" localSheetId="0">+#REF!</definedName>
    <definedName name="SHARED_FORMULA_4_205_4_205_22">+#REF!</definedName>
    <definedName name="SHARED_FORMULA_4_209_4_209_22">NA()</definedName>
    <definedName name="SHARED_FORMULA_4_209_4_209_30" localSheetId="11">NA()</definedName>
    <definedName name="SHARED_FORMULA_4_209_4_209_30" localSheetId="12">NA()</definedName>
    <definedName name="SHARED_FORMULA_4_209_4_209_30" localSheetId="0">+#REF!</definedName>
    <definedName name="SHARED_FORMULA_4_209_4_209_30">+#REF!</definedName>
    <definedName name="SHARED_FORMULA_4_210_4_210_26">NA()</definedName>
    <definedName name="SHARED_FORMULA_4_213_4_213_26" localSheetId="11">NA()</definedName>
    <definedName name="SHARED_FORMULA_4_213_4_213_26" localSheetId="12">NA()</definedName>
    <definedName name="SHARED_FORMULA_4_213_4_213_26">+#REF!</definedName>
    <definedName name="SHARED_FORMULA_4_216_4_216_26" localSheetId="11">NA()</definedName>
    <definedName name="SHARED_FORMULA_4_216_4_216_26" localSheetId="12">NA()</definedName>
    <definedName name="SHARED_FORMULA_4_216_4_216_26" localSheetId="0">+#REF!</definedName>
    <definedName name="SHARED_FORMULA_4_216_4_216_26">+#REF!</definedName>
    <definedName name="SHARED_FORMULA_4_222_4_222_9">1.65+5.5+5</definedName>
    <definedName name="SHARED_FORMULA_4_228_4_228_26">NA()</definedName>
    <definedName name="SHARED_FORMULA_4_231_4_231_26" localSheetId="11">NA()</definedName>
    <definedName name="SHARED_FORMULA_4_231_4_231_26" localSheetId="12">NA()</definedName>
    <definedName name="SHARED_FORMULA_4_231_4_231_26" localSheetId="0">+#REF!</definedName>
    <definedName name="SHARED_FORMULA_4_231_4_231_26">+#REF!</definedName>
    <definedName name="SHARED_FORMULA_4_240_4_240_20">2.8-0.15*2</definedName>
    <definedName name="SHARED_FORMULA_4_2440_4_2440_22">+SQRT(3.2^2+1.65^2)+0.225</definedName>
    <definedName name="SHARED_FORMULA_4_246_4_246_26">NA()</definedName>
    <definedName name="SHARED_FORMULA_4_265_4_265_9">1.65+5.5+5</definedName>
    <definedName name="SHARED_FORMULA_4_278_4_278_37">NA()</definedName>
    <definedName name="SHARED_FORMULA_4_291_4_291_17" localSheetId="11">NA()</definedName>
    <definedName name="SHARED_FORMULA_4_291_4_291_17" localSheetId="12">NA()</definedName>
    <definedName name="SHARED_FORMULA_4_291_4_291_17" localSheetId="0">SUM(#REF!)</definedName>
    <definedName name="SHARED_FORMULA_4_291_4_291_17">SUM(#REF!)</definedName>
    <definedName name="SHARED_FORMULA_4_297_4_297_37" localSheetId="11">NA()</definedName>
    <definedName name="SHARED_FORMULA_4_297_4_297_37" localSheetId="12">NA()</definedName>
    <definedName name="SHARED_FORMULA_4_297_4_297_37" localSheetId="0">+#REF!+0.23*2</definedName>
    <definedName name="SHARED_FORMULA_4_297_4_297_37">+#REF!+0.23*2</definedName>
    <definedName name="SHARED_FORMULA_4_310_4_310_9">1.65+5.5+5</definedName>
    <definedName name="SHARED_FORMULA_4_34_4_34_26" localSheetId="11">NA()</definedName>
    <definedName name="SHARED_FORMULA_4_34_4_34_26" localSheetId="12">NA()</definedName>
    <definedName name="SHARED_FORMULA_4_34_4_34_26" localSheetId="0">+#REF!+0.1*2</definedName>
    <definedName name="SHARED_FORMULA_4_34_4_34_26">+#REF!+0.1*2</definedName>
    <definedName name="SHARED_FORMULA_4_360_4_360_20">0.23</definedName>
    <definedName name="SHARED_FORMULA_4_37_4_37_26">NA()</definedName>
    <definedName name="SHARED_FORMULA_4_392_4_392_22">14.12+1.355</definedName>
    <definedName name="SHARED_FORMULA_4_396_4_396_37" localSheetId="11">NA()</definedName>
    <definedName name="SHARED_FORMULA_4_396_4_396_37" localSheetId="12">NA()</definedName>
    <definedName name="SHARED_FORMULA_4_396_4_396_37" localSheetId="0">+#REF!</definedName>
    <definedName name="SHARED_FORMULA_4_396_4_396_37">+#REF!</definedName>
    <definedName name="SHARED_FORMULA_4_398_4_398_22">NA()</definedName>
    <definedName name="SHARED_FORMULA_4_4_4_4_26" localSheetId="11">NA()</definedName>
    <definedName name="SHARED_FORMULA_4_4_4_4_26" localSheetId="12">NA()</definedName>
    <definedName name="SHARED_FORMULA_4_4_4_4_26" localSheetId="0">+#REF!+0.15*2</definedName>
    <definedName name="SHARED_FORMULA_4_4_4_4_26">+#REF!+0.15*2</definedName>
    <definedName name="SHARED_FORMULA_4_40_4_40_16">3.45-2.83</definedName>
    <definedName name="SHARED_FORMULA_4_40_4_40_17">3.45-2.83</definedName>
    <definedName name="SHARED_FORMULA_4_410_4_410_22">12.51+3.23+1.355+3.23+1.355</definedName>
    <definedName name="SHARED_FORMULA_4_412_4_412_22">NA()</definedName>
    <definedName name="SHARED_FORMULA_4_429_4_429_22">12.31+1.81+1.355</definedName>
    <definedName name="SHARED_FORMULA_4_435_4_435_37">NA()</definedName>
    <definedName name="SHARED_FORMULA_4_453_4_453_22">14.12+1.355</definedName>
    <definedName name="SHARED_FORMULA_4_458_4_458_22">10.59+3.53</definedName>
    <definedName name="SHARED_FORMULA_4_469_4_469_22">12.51+3.23*2+1.355*2</definedName>
    <definedName name="SHARED_FORMULA_4_472_4_472_37" localSheetId="11">NA()</definedName>
    <definedName name="SHARED_FORMULA_4_472_4_472_37" localSheetId="12">NA()</definedName>
    <definedName name="SHARED_FORMULA_4_472_4_472_37" localSheetId="0">+#REF!</definedName>
    <definedName name="SHARED_FORMULA_4_472_4_472_37">+#REF!</definedName>
    <definedName name="SHARED_FORMULA_4_488_4_488_22">12.31+1.81+1.355</definedName>
    <definedName name="SHARED_FORMULA_4_5_4_5_22" localSheetId="11">NA()</definedName>
    <definedName name="SHARED_FORMULA_4_5_4_5_22" localSheetId="12">NA()</definedName>
    <definedName name="SHARED_FORMULA_4_5_4_5_22" localSheetId="0">+#REF!+0.15*2</definedName>
    <definedName name="SHARED_FORMULA_4_5_4_5_22">+#REF!+0.15*2</definedName>
    <definedName name="SHARED_FORMULA_4_5_4_5_37" localSheetId="11">NA()</definedName>
    <definedName name="SHARED_FORMULA_4_5_4_5_37" localSheetId="12">NA()</definedName>
    <definedName name="SHARED_FORMULA_4_5_4_5_37" localSheetId="0">+#REF!+0.15*2</definedName>
    <definedName name="SHARED_FORMULA_4_5_4_5_37">+#REF!+0.15*2</definedName>
    <definedName name="SHARED_FORMULA_4_512_4_512_22">12.31+1.81+1.355</definedName>
    <definedName name="SHARED_FORMULA_4_517_4_517_22">3.53*4</definedName>
    <definedName name="SHARED_FORMULA_4_53_4_53_22">3.53+1.61+1.92</definedName>
    <definedName name="SHARED_FORMULA_4_538_4_538_22">NA()</definedName>
    <definedName name="SHARED_FORMULA_4_570_4_570_22">12.31+1.81+1.355</definedName>
    <definedName name="SHARED_FORMULA_4_575_4_575_22">3.53*4</definedName>
    <definedName name="SHARED_FORMULA_4_6_4_6_30" localSheetId="11">NA()</definedName>
    <definedName name="SHARED_FORMULA_4_6_4_6_30" localSheetId="12">NA()</definedName>
    <definedName name="SHARED_FORMULA_4_6_4_6_30" localSheetId="0">+#REF!+0.15*2</definedName>
    <definedName name="SHARED_FORMULA_4_6_4_6_30">+#REF!+0.15*2</definedName>
    <definedName name="SHARED_FORMULA_4_611_4_611_22">NA()</definedName>
    <definedName name="SHARED_FORMULA_4_625_4_625_7">1.935+3.37+2.46+0.46+1.39+1.53+2.155</definedName>
    <definedName name="SHARED_FORMULA_4_649_4_649_11">+SQRT(2.9^2+1.8^2+0.1*2)</definedName>
    <definedName name="SHARED_FORMULA_4_66_4_66_18">7.04+3.04+4.69-0.23*3</definedName>
    <definedName name="SHARED_FORMULA_4_66_4_66_33">NA()</definedName>
    <definedName name="SHARED_FORMULA_4_68_4_68_8">NA()</definedName>
    <definedName name="SHARED_FORMULA_4_689_4_689_22">NA()</definedName>
    <definedName name="SHARED_FORMULA_4_70_4_70_33" localSheetId="11">NA()</definedName>
    <definedName name="SHARED_FORMULA_4_70_4_70_33" localSheetId="12">NA()</definedName>
    <definedName name="SHARED_FORMULA_4_70_4_70_33" localSheetId="0">+#REF!+0.075*2</definedName>
    <definedName name="SHARED_FORMULA_4_70_4_70_33">+#REF!+0.075*2</definedName>
    <definedName name="SHARED_FORMULA_4_732_4_732_22" localSheetId="11">NA()</definedName>
    <definedName name="SHARED_FORMULA_4_732_4_732_22" localSheetId="12">NA()</definedName>
    <definedName name="SHARED_FORMULA_4_732_4_732_22" localSheetId="0">+#REF!</definedName>
    <definedName name="SHARED_FORMULA_4_732_4_732_22">+#REF!</definedName>
    <definedName name="SHARED_FORMULA_4_77_4_77_18">7.04+3.04+4.69-0.23</definedName>
    <definedName name="SHARED_FORMULA_4_781_4_781_26">NA()</definedName>
    <definedName name="SHARED_FORMULA_4_792_4_792_26">NA()</definedName>
    <definedName name="SHARED_FORMULA_4_801_4_801_22">NA()</definedName>
    <definedName name="SHARED_FORMULA_4_803_4_803_26">NA()</definedName>
    <definedName name="SHARED_FORMULA_4_81_4_81_22">3.53+1.61+1.92</definedName>
    <definedName name="SHARED_FORMULA_4_814_4_814_26">NA()</definedName>
    <definedName name="SHARED_FORMULA_4_816_4_816_26" localSheetId="11">NA()</definedName>
    <definedName name="SHARED_FORMULA_4_816_4_816_26" localSheetId="12">NA()</definedName>
    <definedName name="SHARED_FORMULA_4_816_4_816_26" localSheetId="0">+#REF!</definedName>
    <definedName name="SHARED_FORMULA_4_816_4_816_26">+#REF!</definedName>
    <definedName name="SHARED_FORMULA_4_82_4_82_33">NA()</definedName>
    <definedName name="SHARED_FORMULA_4_827_4_827_26" localSheetId="11">NA()</definedName>
    <definedName name="SHARED_FORMULA_4_827_4_827_26" localSheetId="12">NA()</definedName>
    <definedName name="SHARED_FORMULA_4_827_4_827_26" localSheetId="0">+#REF!</definedName>
    <definedName name="SHARED_FORMULA_4_827_4_827_26">+#REF!</definedName>
    <definedName name="SHARED_FORMULA_4_837_4_837_26" localSheetId="11">NA()</definedName>
    <definedName name="SHARED_FORMULA_4_837_4_837_26" localSheetId="12">NA()</definedName>
    <definedName name="SHARED_FORMULA_4_837_4_837_26" localSheetId="0">+#REF!</definedName>
    <definedName name="SHARED_FORMULA_4_837_4_837_26">+#REF!</definedName>
    <definedName name="SHARED_FORMULA_4_847_4_847_26" localSheetId="11">NA()</definedName>
    <definedName name="SHARED_FORMULA_4_847_4_847_26" localSheetId="12">NA()</definedName>
    <definedName name="SHARED_FORMULA_4_847_4_847_26" localSheetId="0">+#REF!</definedName>
    <definedName name="SHARED_FORMULA_4_847_4_847_26">+#REF!</definedName>
    <definedName name="SHARED_FORMULA_4_86_4_86_33" localSheetId="11">NA()</definedName>
    <definedName name="SHARED_FORMULA_4_86_4_86_33" localSheetId="12">NA()</definedName>
    <definedName name="SHARED_FORMULA_4_86_4_86_33" localSheetId="0">+#REF!</definedName>
    <definedName name="SHARED_FORMULA_4_86_4_86_33">+#REF!</definedName>
    <definedName name="SHARED_FORMULA_4_860_4_860_22">NA()</definedName>
    <definedName name="SHARED_FORMULA_4_89_4_89_18">7.04+3.04+4.69-0.23</definedName>
    <definedName name="SHARED_FORMULA_4_90_4_90_33">NA()</definedName>
    <definedName name="SHARED_FORMULA_4_93_4_93_8">NA()</definedName>
    <definedName name="SHARED_FORMULA_4_94_4_94_33" localSheetId="11">NA()</definedName>
    <definedName name="SHARED_FORMULA_4_94_4_94_33" localSheetId="12">NA()</definedName>
    <definedName name="SHARED_FORMULA_4_94_4_94_33" localSheetId="0">+#REF!</definedName>
    <definedName name="SHARED_FORMULA_4_94_4_94_33">+#REF!</definedName>
    <definedName name="SHARED_FORMULA_4_98_4_98_13">6.275+2.795+1.82+4.63+0.23</definedName>
    <definedName name="SHARED_FORMULA_5_11_5_11_26" localSheetId="11">NA()</definedName>
    <definedName name="SHARED_FORMULA_5_11_5_11_26" localSheetId="12">NA()</definedName>
    <definedName name="SHARED_FORMULA_5_11_5_11_26" localSheetId="0">#REF!+0.1*2</definedName>
    <definedName name="SHARED_FORMULA_5_11_5_11_26">#REF!+0.1*2</definedName>
    <definedName name="SHARED_FORMULA_5_1137_5_1137_22">0.23</definedName>
    <definedName name="SHARED_FORMULA_5_116_5_116_26" localSheetId="11">NA()</definedName>
    <definedName name="SHARED_FORMULA_5_116_5_116_26" localSheetId="12">NA()</definedName>
    <definedName name="SHARED_FORMULA_5_116_5_116_26" localSheetId="0">+#REF!</definedName>
    <definedName name="SHARED_FORMULA_5_116_5_116_26">+#REF!</definedName>
    <definedName name="SHARED_FORMULA_5_1201_5_1201_22">0.23</definedName>
    <definedName name="SHARED_FORMULA_5_124_5_124_13">1+1+0.23</definedName>
    <definedName name="SHARED_FORMULA_5_130_5_130_22" localSheetId="11">NA()</definedName>
    <definedName name="SHARED_FORMULA_5_130_5_130_22" localSheetId="12">NA()</definedName>
    <definedName name="SHARED_FORMULA_5_130_5_130_22" localSheetId="0">+#REF!</definedName>
    <definedName name="SHARED_FORMULA_5_130_5_130_22">+#REF!</definedName>
    <definedName name="SHARED_FORMULA_5_1313_5_1313_22">0.23</definedName>
    <definedName name="SHARED_FORMULA_5_1324_5_1324_22">0.23</definedName>
    <definedName name="SHARED_FORMULA_5_133_5_133_18">0.45+0.075*2</definedName>
    <definedName name="SHARED_FORMULA_5_1333_5_1333_22">0.23</definedName>
    <definedName name="SHARED_FORMULA_5_134_5_134_22">NA()</definedName>
    <definedName name="SHARED_FORMULA_5_137_5_137_18">0.6+0.075*2</definedName>
    <definedName name="SHARED_FORMULA_5_137_5_137_30">NA()</definedName>
    <definedName name="SHARED_FORMULA_5_139_5_139_13">1+1+0.23</definedName>
    <definedName name="SHARED_FORMULA_5_1391_5_1391_22">2*(0.425-0.125)</definedName>
    <definedName name="SHARED_FORMULA_5_1395_5_1395_22">2*(0.575-0.125)</definedName>
    <definedName name="SHARED_FORMULA_5_140_5_140_18">0.23</definedName>
    <definedName name="SHARED_FORMULA_5_142_5_142_30" localSheetId="11">NA()</definedName>
    <definedName name="SHARED_FORMULA_5_142_5_142_30" localSheetId="12">NA()</definedName>
    <definedName name="SHARED_FORMULA_5_142_5_142_30" localSheetId="0">+#REF!</definedName>
    <definedName name="SHARED_FORMULA_5_142_5_142_30">+#REF!</definedName>
    <definedName name="SHARED_FORMULA_5_1444_5_1444_22">2*0.3</definedName>
    <definedName name="SHARED_FORMULA_5_1448_5_1448_22">2*0.3</definedName>
    <definedName name="SHARED_FORMULA_5_1480_5_1480_22">2*0.3</definedName>
    <definedName name="SHARED_FORMULA_5_1507_5_1507_22">2*0.3</definedName>
    <definedName name="SHARED_FORMULA_5_153_5_153_26">NA()</definedName>
    <definedName name="SHARED_FORMULA_5_155_5_155_13">1+1+0.23</definedName>
    <definedName name="SHARED_FORMULA_5_156_5_156_26" localSheetId="11">NA()</definedName>
    <definedName name="SHARED_FORMULA_5_156_5_156_26" localSheetId="12">NA()</definedName>
    <definedName name="SHARED_FORMULA_5_156_5_156_26" localSheetId="0">+#REF!</definedName>
    <definedName name="SHARED_FORMULA_5_156_5_156_26">+#REF!</definedName>
    <definedName name="SHARED_FORMULA_5_17_5_17_22">0.15+0.1*2</definedName>
    <definedName name="SHARED_FORMULA_5_179_5_179_30">NA()</definedName>
    <definedName name="SHARED_FORMULA_5_184_5_184_30" localSheetId="11">NA()</definedName>
    <definedName name="SHARED_FORMULA_5_184_5_184_30" localSheetId="12">NA()</definedName>
    <definedName name="SHARED_FORMULA_5_184_5_184_30">+#REF!</definedName>
    <definedName name="SHARED_FORMULA_5_187_5_187_18">0.23</definedName>
    <definedName name="SHARED_FORMULA_5_196_5_196_18">0.3</definedName>
    <definedName name="SHARED_FORMULA_5_199_5_199_16">+(0.355-0.125)*2</definedName>
    <definedName name="SHARED_FORMULA_5_200_5_200_18">0.23</definedName>
    <definedName name="SHARED_FORMULA_5_233_5_233_22" localSheetId="11">NA()</definedName>
    <definedName name="SHARED_FORMULA_5_233_5_233_22" localSheetId="12">NA()</definedName>
    <definedName name="SHARED_FORMULA_5_233_5_233_22" localSheetId="0">+#REF!</definedName>
    <definedName name="SHARED_FORMULA_5_233_5_233_22">+#REF!</definedName>
    <definedName name="SHARED_FORMULA_5_24_5_24_37">0.15+0.1*2</definedName>
    <definedName name="SHARED_FORMULA_5_246_5_246_26">NA()</definedName>
    <definedName name="SHARED_FORMULA_5_259_5_259_26" localSheetId="11">NA()</definedName>
    <definedName name="SHARED_FORMULA_5_259_5_259_26" localSheetId="12">NA()</definedName>
    <definedName name="SHARED_FORMULA_5_259_5_259_26">+#REF!</definedName>
    <definedName name="SHARED_FORMULA_5_261_5_261_26">NA()</definedName>
    <definedName name="SHARED_FORMULA_5_273_5_273_30">NA()</definedName>
    <definedName name="SHARED_FORMULA_5_275_5_275_26">NA()</definedName>
    <definedName name="SHARED_FORMULA_5_278_5_278_26" localSheetId="11">NA()</definedName>
    <definedName name="SHARED_FORMULA_5_278_5_278_26" localSheetId="12">NA()</definedName>
    <definedName name="SHARED_FORMULA_5_278_5_278_26">+#REF!</definedName>
    <definedName name="SHARED_FORMULA_5_287_5_287_30" localSheetId="11">NA()</definedName>
    <definedName name="SHARED_FORMULA_5_287_5_287_30" localSheetId="12">NA()</definedName>
    <definedName name="SHARED_FORMULA_5_287_5_287_30" localSheetId="0">+#REF!</definedName>
    <definedName name="SHARED_FORMULA_5_287_5_287_30">+#REF!</definedName>
    <definedName name="SHARED_FORMULA_5_289_5_289_26">NA()</definedName>
    <definedName name="SHARED_FORMULA_5_293_5_293_26" localSheetId="11">NA()</definedName>
    <definedName name="SHARED_FORMULA_5_293_5_293_26" localSheetId="12">NA()</definedName>
    <definedName name="SHARED_FORMULA_5_293_5_293_26" localSheetId="0">+#REF!</definedName>
    <definedName name="SHARED_FORMULA_5_293_5_293_26">+#REF!</definedName>
    <definedName name="SHARED_FORMULA_5_308_5_308_26" localSheetId="11">NA()</definedName>
    <definedName name="SHARED_FORMULA_5_308_5_308_26" localSheetId="12">NA()</definedName>
    <definedName name="SHARED_FORMULA_5_308_5_308_26" localSheetId="0">+#REF!</definedName>
    <definedName name="SHARED_FORMULA_5_308_5_308_26">+#REF!</definedName>
    <definedName name="SHARED_FORMULA_5_32_5_32_37" localSheetId="11">NA()</definedName>
    <definedName name="SHARED_FORMULA_5_32_5_32_37" localSheetId="12">NA()</definedName>
    <definedName name="SHARED_FORMULA_5_32_5_32_37" localSheetId="0">+#REF!+0.1*2</definedName>
    <definedName name="SHARED_FORMULA_5_32_5_32_37">+#REF!+0.1*2</definedName>
    <definedName name="SHARED_FORMULA_5_35_5_35_14">0.45+0.1*2</definedName>
    <definedName name="SHARED_FORMULA_5_352_5_352_18">2*(0.425-0.125)</definedName>
    <definedName name="SHARED_FORMULA_5_360_5_360_20">0.23</definedName>
    <definedName name="SHARED_FORMULA_5_37_5_37_11">0.45+0.1*2</definedName>
    <definedName name="SHARED_FORMULA_5_38_5_38_30">0.15+0.1*2</definedName>
    <definedName name="SHARED_FORMULA_5_386_5_386_20">0.6*2+0.065</definedName>
    <definedName name="SHARED_FORMULA_5_388_5_388_22">0.23</definedName>
    <definedName name="SHARED_FORMULA_5_39_5_39_37" localSheetId="11">NA()</definedName>
    <definedName name="SHARED_FORMULA_5_39_5_39_37" localSheetId="12">NA()</definedName>
    <definedName name="SHARED_FORMULA_5_39_5_39_37" localSheetId="0">+#REF!+0.1*2</definedName>
    <definedName name="SHARED_FORMULA_5_39_5_39_37">+#REF!+0.1*2</definedName>
    <definedName name="SHARED_FORMULA_5_397_5_397_30">1.2*2+0.15</definedName>
    <definedName name="SHARED_FORMULA_5_40_5_40_16">0.23+0.1*2</definedName>
    <definedName name="SHARED_FORMULA_5_405_5_405_22">0.23</definedName>
    <definedName name="SHARED_FORMULA_5_41_5_41_30">0.15+0.1*2</definedName>
    <definedName name="SHARED_FORMULA_5_418_5_418_30">1.2*2+0.15</definedName>
    <definedName name="SHARED_FORMULA_5_425_5_425_22">0.23</definedName>
    <definedName name="SHARED_FORMULA_5_432_5_432_22" localSheetId="11">NA()</definedName>
    <definedName name="SHARED_FORMULA_5_432_5_432_22" localSheetId="12">NA()</definedName>
    <definedName name="SHARED_FORMULA_5_432_5_432_22" localSheetId="0">+#REF!</definedName>
    <definedName name="SHARED_FORMULA_5_432_5_432_22">+#REF!</definedName>
    <definedName name="SHARED_FORMULA_5_444_5_444_7">0.23</definedName>
    <definedName name="SHARED_FORMULA_5_449_5_449_22">0.23</definedName>
    <definedName name="SHARED_FORMULA_5_45_5_45_11">0.45</definedName>
    <definedName name="SHARED_FORMULA_5_46_5_46_22">0.15+0.1*2</definedName>
    <definedName name="SHARED_FORMULA_5_460_5_460_7">0.23</definedName>
    <definedName name="SHARED_FORMULA_5_465_5_465_22">0.23</definedName>
    <definedName name="SHARED_FORMULA_5_473_5_473_7">0.23</definedName>
    <definedName name="SHARED_FORMULA_5_484_5_484_22">0.23</definedName>
    <definedName name="SHARED_FORMULA_5_49_5_49_22">0.15+0.1*2</definedName>
    <definedName name="SHARED_FORMULA_5_492_5_492_7">0.23</definedName>
    <definedName name="SHARED_FORMULA_5_508_5_508_13">0.6*2+0.3</definedName>
    <definedName name="SHARED_FORMULA_5_508_5_508_22">0.23</definedName>
    <definedName name="SHARED_FORMULA_5_51_5_51_22">0.23+0.1*2</definedName>
    <definedName name="SHARED_FORMULA_5_515_5_515_7">0.23</definedName>
    <definedName name="SHARED_FORMULA_5_520_5_520_26">NA()</definedName>
    <definedName name="SHARED_FORMULA_5_524_5_524_22">0.23</definedName>
    <definedName name="SHARED_FORMULA_5_530_5_530_26">NA()</definedName>
    <definedName name="SHARED_FORMULA_5_531_5_531_7">0.23</definedName>
    <definedName name="SHARED_FORMULA_5_540_5_540_26">NA()</definedName>
    <definedName name="SHARED_FORMULA_5_542_5_542_13">0.6*2+0.3</definedName>
    <definedName name="SHARED_FORMULA_5_542_5_542_22">0.23</definedName>
    <definedName name="SHARED_FORMULA_5_545_5_545_7">0.23</definedName>
    <definedName name="SHARED_FORMULA_5_551_5_551_26" localSheetId="11">NA()</definedName>
    <definedName name="SHARED_FORMULA_5_551_5_551_26" localSheetId="12">NA()</definedName>
    <definedName name="SHARED_FORMULA_5_551_5_551_26" localSheetId="0">+#REF!</definedName>
    <definedName name="SHARED_FORMULA_5_551_5_551_26">+#REF!</definedName>
    <definedName name="SHARED_FORMULA_5_558_5_558_7">0.23</definedName>
    <definedName name="SHARED_FORMULA_5_562_5_562_26" localSheetId="11">NA()</definedName>
    <definedName name="SHARED_FORMULA_5_562_5_562_26" localSheetId="12">NA()</definedName>
    <definedName name="SHARED_FORMULA_5_562_5_562_26" localSheetId="0">+#REF!</definedName>
    <definedName name="SHARED_FORMULA_5_562_5_562_26">+#REF!</definedName>
    <definedName name="SHARED_FORMULA_5_566_5_566_13">0.6*2+0.3</definedName>
    <definedName name="SHARED_FORMULA_5_566_5_566_22">0.23</definedName>
    <definedName name="SHARED_FORMULA_5_566_5_566_7">0.23</definedName>
    <definedName name="SHARED_FORMULA_5_57_5_57_30" localSheetId="11">NA()</definedName>
    <definedName name="SHARED_FORMULA_5_57_5_57_30" localSheetId="12">NA()</definedName>
    <definedName name="SHARED_FORMULA_5_57_5_57_30" localSheetId="0">+#REF!+0.1*2</definedName>
    <definedName name="SHARED_FORMULA_5_57_5_57_30">+#REF!+0.1*2</definedName>
    <definedName name="SHARED_FORMULA_5_572_5_572_26" localSheetId="11">NA()</definedName>
    <definedName name="SHARED_FORMULA_5_572_5_572_26" localSheetId="12">NA()</definedName>
    <definedName name="SHARED_FORMULA_5_572_5_572_26" localSheetId="0">+#REF!</definedName>
    <definedName name="SHARED_FORMULA_5_572_5_572_26">+#REF!</definedName>
    <definedName name="SHARED_FORMULA_5_575_5_575_7">0.23</definedName>
    <definedName name="SHARED_FORMULA_5_582_5_582_22">0.23</definedName>
    <definedName name="SHARED_FORMULA_5_599_5_599_26">NA()</definedName>
    <definedName name="SHARED_FORMULA_5_60_5_60_18">0.23+0.1*2</definedName>
    <definedName name="SHARED_FORMULA_5_60_5_60_30">NA()</definedName>
    <definedName name="SHARED_FORMULA_5_600_5_600_22">0.23</definedName>
    <definedName name="SHARED_FORMULA_5_607_5_607_7">0.23</definedName>
    <definedName name="SHARED_FORMULA_5_610_5_610_26" localSheetId="11">NA()</definedName>
    <definedName name="SHARED_FORMULA_5_610_5_610_26" localSheetId="12">NA()</definedName>
    <definedName name="SHARED_FORMULA_5_610_5_610_26" localSheetId="0">+#REF!</definedName>
    <definedName name="SHARED_FORMULA_5_610_5_610_26">+#REF!</definedName>
    <definedName name="SHARED_FORMULA_5_612_5_612_26">NA()</definedName>
    <definedName name="SHARED_FORMULA_5_637_5_637_26" localSheetId="11">NA()</definedName>
    <definedName name="SHARED_FORMULA_5_637_5_637_26" localSheetId="12">NA()</definedName>
    <definedName name="SHARED_FORMULA_5_637_5_637_26" localSheetId="0">+#REF!</definedName>
    <definedName name="SHARED_FORMULA_5_637_5_637_26">+#REF!</definedName>
    <definedName name="SHARED_FORMULA_5_639_5_639_26">NA()</definedName>
    <definedName name="SHARED_FORMULA_5_650_5_650_26" localSheetId="11">NA()</definedName>
    <definedName name="SHARED_FORMULA_5_650_5_650_26" localSheetId="12">NA()</definedName>
    <definedName name="SHARED_FORMULA_5_650_5_650_26">+#REF!</definedName>
    <definedName name="SHARED_FORMULA_5_666_5_666_26">NA()</definedName>
    <definedName name="SHARED_FORMULA_5_675_5_675_26" localSheetId="11">NA()</definedName>
    <definedName name="SHARED_FORMULA_5_675_5_675_26" localSheetId="12">NA()</definedName>
    <definedName name="SHARED_FORMULA_5_675_5_675_26">+#REF!</definedName>
    <definedName name="SHARED_FORMULA_5_7_5_7_33" localSheetId="11">NA()</definedName>
    <definedName name="SHARED_FORMULA_5_7_5_7_33" localSheetId="12">NA()</definedName>
    <definedName name="SHARED_FORMULA_5_7_5_7_33" localSheetId="0">+#REF!+0.1*2</definedName>
    <definedName name="SHARED_FORMULA_5_7_5_7_33">+#REF!+0.1*2</definedName>
    <definedName name="SHARED_FORMULA_5_700_5_700_26" localSheetId="11">NA()</definedName>
    <definedName name="SHARED_FORMULA_5_700_5_700_26" localSheetId="12">NA()</definedName>
    <definedName name="SHARED_FORMULA_5_700_5_700_26" localSheetId="0">+#REF!</definedName>
    <definedName name="SHARED_FORMULA_5_700_5_700_26">+#REF!</definedName>
    <definedName name="SHARED_FORMULA_5_75_5_75_18">0.45</definedName>
    <definedName name="SHARED_FORMULA_5_792_5_792_26">NA()</definedName>
    <definedName name="SHARED_FORMULA_5_795_5_795_17">0.6*2+0.3</definedName>
    <definedName name="SHARED_FORMULA_5_80_5_80_18">0.45</definedName>
    <definedName name="SHARED_FORMULA_5_803_5_803_26">NA()</definedName>
    <definedName name="SHARED_FORMULA_5_814_5_814_26">NA()</definedName>
    <definedName name="SHARED_FORMULA_5_827_5_827_26" localSheetId="11">NA()</definedName>
    <definedName name="SHARED_FORMULA_5_827_5_827_26" localSheetId="12">NA()</definedName>
    <definedName name="SHARED_FORMULA_5_827_5_827_26" localSheetId="0">+#REF!</definedName>
    <definedName name="SHARED_FORMULA_5_827_5_827_26">+#REF!</definedName>
    <definedName name="SHARED_FORMULA_5_833_5_833_17">0.6*2+0.3</definedName>
    <definedName name="SHARED_FORMULA_5_837_5_837_26" localSheetId="11">NA()</definedName>
    <definedName name="SHARED_FORMULA_5_837_5_837_26" localSheetId="12">NA()</definedName>
    <definedName name="SHARED_FORMULA_5_837_5_837_26" localSheetId="0">+#REF!</definedName>
    <definedName name="SHARED_FORMULA_5_837_5_837_26">+#REF!</definedName>
    <definedName name="SHARED_FORMULA_5_84_5_84_26">0.23+0.1*2</definedName>
    <definedName name="SHARED_FORMULA_5_847_5_847_26" localSheetId="11">NA()</definedName>
    <definedName name="SHARED_FORMULA_5_847_5_847_26" localSheetId="12">NA()</definedName>
    <definedName name="SHARED_FORMULA_5_847_5_847_26" localSheetId="0">+#REF!</definedName>
    <definedName name="SHARED_FORMULA_5_847_5_847_26">+#REF!</definedName>
    <definedName name="SHARED_FORMULA_5_85_5_85_30" localSheetId="11">NA()</definedName>
    <definedName name="SHARED_FORMULA_5_85_5_85_30" localSheetId="12">NA()</definedName>
    <definedName name="SHARED_FORMULA_5_85_5_85_30" localSheetId="0">+#REF!</definedName>
    <definedName name="SHARED_FORMULA_5_85_5_85_30">+#REF!</definedName>
    <definedName name="SHARED_FORMULA_5_87_5_87_26">0.23+0.1*2</definedName>
    <definedName name="SHARED_FORMULA_5_9_5_9_37" localSheetId="11">NA()</definedName>
    <definedName name="SHARED_FORMULA_5_9_5_9_37" localSheetId="12">NA()</definedName>
    <definedName name="SHARED_FORMULA_5_9_5_9_37" localSheetId="0">+#REF!+0.15</definedName>
    <definedName name="SHARED_FORMULA_5_9_5_9_37">+#REF!+0.15</definedName>
    <definedName name="SHARED_FORMULA_5_92_5_92_17">0.23</definedName>
    <definedName name="SHARED_FORMULA_5_99_5_99_17">0.23</definedName>
    <definedName name="SHARED_FORMULA_6_1029_6_1029_26">NA()</definedName>
    <definedName name="SHARED_FORMULA_6_1032_6_1032_22">NA()</definedName>
    <definedName name="SHARED_FORMULA_6_1034_6_1034_26" localSheetId="11">NA()</definedName>
    <definedName name="SHARED_FORMULA_6_1034_6_1034_26" localSheetId="12">NA()</definedName>
    <definedName name="SHARED_FORMULA_6_1034_6_1034_26" localSheetId="0">+#REF!-#REF!</definedName>
    <definedName name="SHARED_FORMULA_6_1034_6_1034_26">+#REF!-#REF!</definedName>
    <definedName name="SHARED_FORMULA_6_1038_6_1038_22" localSheetId="11">NA()</definedName>
    <definedName name="SHARED_FORMULA_6_1038_6_1038_22" localSheetId="12">NA()</definedName>
    <definedName name="SHARED_FORMULA_6_1038_6_1038_22" localSheetId="0">+#REF!</definedName>
    <definedName name="SHARED_FORMULA_6_1038_6_1038_22">+#REF!</definedName>
    <definedName name="SHARED_FORMULA_6_1039_6_1039_26">NA()</definedName>
    <definedName name="SHARED_FORMULA_6_1044_6_1044_26" localSheetId="11">NA()</definedName>
    <definedName name="SHARED_FORMULA_6_1044_6_1044_26" localSheetId="12">NA()</definedName>
    <definedName name="SHARED_FORMULA_6_1044_6_1044_26" localSheetId="0">+#REF!-#REF!</definedName>
    <definedName name="SHARED_FORMULA_6_1044_6_1044_26">+#REF!-#REF!</definedName>
    <definedName name="SHARED_FORMULA_6_1052_6_1052_26" localSheetId="11">NA()</definedName>
    <definedName name="SHARED_FORMULA_6_1052_6_1052_26" localSheetId="12">NA()</definedName>
    <definedName name="SHARED_FORMULA_6_1052_6_1052_26" localSheetId="0">+#REF!-#REF!</definedName>
    <definedName name="SHARED_FORMULA_6_1052_6_1052_26">+#REF!-#REF!</definedName>
    <definedName name="SHARED_FORMULA_6_1056_6_1056_22" localSheetId="11">NA()</definedName>
    <definedName name="SHARED_FORMULA_6_1056_6_1056_22" localSheetId="12">NA()</definedName>
    <definedName name="SHARED_FORMULA_6_1056_6_1056_22" localSheetId="0">+#REF!</definedName>
    <definedName name="SHARED_FORMULA_6_1056_6_1056_22">+#REF!</definedName>
    <definedName name="SHARED_FORMULA_6_1059_6_1059_9">1+1+0.115</definedName>
    <definedName name="SHARED_FORMULA_6_106_6_106_22" localSheetId="11">NA()</definedName>
    <definedName name="SHARED_FORMULA_6_106_6_106_22" localSheetId="12">NA()</definedName>
    <definedName name="SHARED_FORMULA_6_106_6_106_22" localSheetId="0">+#REF!</definedName>
    <definedName name="SHARED_FORMULA_6_106_6_106_22">+#REF!</definedName>
    <definedName name="SHARED_FORMULA_6_1066_6_1066_22">NA()</definedName>
    <definedName name="SHARED_FORMULA_6_1071_6_1071_26" localSheetId="11">NA()</definedName>
    <definedName name="SHARED_FORMULA_6_1071_6_1071_26" localSheetId="12">NA()</definedName>
    <definedName name="SHARED_FORMULA_6_1071_6_1071_26" localSheetId="0">+#REF!-#REF!</definedName>
    <definedName name="SHARED_FORMULA_6_1071_6_1071_26">+#REF!-#REF!</definedName>
    <definedName name="SHARED_FORMULA_6_1075_6_1075_22">NA()</definedName>
    <definedName name="SHARED_FORMULA_6_1081_6_1081_26" localSheetId="11">NA()</definedName>
    <definedName name="SHARED_FORMULA_6_1081_6_1081_26" localSheetId="12">NA()</definedName>
    <definedName name="SHARED_FORMULA_6_1081_6_1081_26" localSheetId="0">+#REF!-#REF!</definedName>
    <definedName name="SHARED_FORMULA_6_1081_6_1081_26">+#REF!-#REF!</definedName>
    <definedName name="SHARED_FORMULA_6_1082_6_1082_26">NA()</definedName>
    <definedName name="SHARED_FORMULA_6_1092_6_1092_26">NA()</definedName>
    <definedName name="SHARED_FORMULA_6_11_6_11_26" localSheetId="11">NA()</definedName>
    <definedName name="SHARED_FORMULA_6_11_6_11_26" localSheetId="12">NA()</definedName>
    <definedName name="SHARED_FORMULA_6_11_6_11_26" localSheetId="0">+#REF!+#REF!</definedName>
    <definedName name="SHARED_FORMULA_6_11_6_11_26">+#REF!+#REF!</definedName>
    <definedName name="SHARED_FORMULA_6_11_6_11_30" localSheetId="11">NA()</definedName>
    <definedName name="SHARED_FORMULA_6_11_6_11_30" localSheetId="12">NA()</definedName>
    <definedName name="SHARED_FORMULA_6_11_6_11_30" localSheetId="0">+#REF!+#REF!</definedName>
    <definedName name="SHARED_FORMULA_6_11_6_11_30">+#REF!+#REF!</definedName>
    <definedName name="SHARED_FORMULA_6_110_6_110_22">NA()</definedName>
    <definedName name="SHARED_FORMULA_6_1106_6_1106_26" localSheetId="11">NA()</definedName>
    <definedName name="SHARED_FORMULA_6_1106_6_1106_26" localSheetId="12">NA()</definedName>
    <definedName name="SHARED_FORMULA_6_1106_6_1106_26" localSheetId="0">#REF!+0.6</definedName>
    <definedName name="SHARED_FORMULA_6_1106_6_1106_26">#REF!+0.6</definedName>
    <definedName name="SHARED_FORMULA_6_1118_6_1118_22" localSheetId="11">NA()</definedName>
    <definedName name="SHARED_FORMULA_6_1118_6_1118_22" localSheetId="12">NA()</definedName>
    <definedName name="SHARED_FORMULA_6_1118_6_1118_22" localSheetId="0">+#REF!</definedName>
    <definedName name="SHARED_FORMULA_6_1118_6_1118_22">+#REF!</definedName>
    <definedName name="SHARED_FORMULA_6_1135_6_1135_26">NA()</definedName>
    <definedName name="SHARED_FORMULA_6_114_6_114_26" localSheetId="11">NA()</definedName>
    <definedName name="SHARED_FORMULA_6_114_6_114_26" localSheetId="12">NA()</definedName>
    <definedName name="SHARED_FORMULA_6_114_6_114_26" localSheetId="0">#REF!+#REF!-#REF!</definedName>
    <definedName name="SHARED_FORMULA_6_114_6_114_26">#REF!+#REF!-#REF!</definedName>
    <definedName name="SHARED_FORMULA_6_1152_6_1152_22" localSheetId="11">NA()</definedName>
    <definedName name="SHARED_FORMULA_6_1152_6_1152_22" localSheetId="12">NA()</definedName>
    <definedName name="SHARED_FORMULA_6_1152_6_1152_22" localSheetId="0">+#REF!</definedName>
    <definedName name="SHARED_FORMULA_6_1152_6_1152_22">+#REF!</definedName>
    <definedName name="SHARED_FORMULA_6_1161_6_1161_22" localSheetId="11">NA()</definedName>
    <definedName name="SHARED_FORMULA_6_1161_6_1161_22" localSheetId="12">NA()</definedName>
    <definedName name="SHARED_FORMULA_6_1161_6_1161_22" localSheetId="0">+#REF!</definedName>
    <definedName name="SHARED_FORMULA_6_1161_6_1161_22">+#REF!</definedName>
    <definedName name="SHARED_FORMULA_6_117_6_117_26">NA()</definedName>
    <definedName name="SHARED_FORMULA_6_117_6_117_37">NA()</definedName>
    <definedName name="SHARED_FORMULA_6_1183_6_1183_10">NA()</definedName>
    <definedName name="SHARED_FORMULA_6_123_6_123_37" localSheetId="11">NA()</definedName>
    <definedName name="SHARED_FORMULA_6_123_6_123_37" localSheetId="12">NA()</definedName>
    <definedName name="SHARED_FORMULA_6_123_6_123_37">+#REF!+0.6-0.3</definedName>
    <definedName name="SHARED_FORMULA_6_1258_6_1258_10">NA()</definedName>
    <definedName name="SHARED_FORMULA_6_126_6_126_37">NA()</definedName>
    <definedName name="SHARED_FORMULA_6_127_6_127_30">NA()</definedName>
    <definedName name="SHARED_FORMULA_6_1290_6_1290_10">NA()</definedName>
    <definedName name="SHARED_FORMULA_6_13_6_13_7" localSheetId="11">NA()</definedName>
    <definedName name="SHARED_FORMULA_6_13_6_13_7" localSheetId="12">NA()</definedName>
    <definedName name="SHARED_FORMULA_6_13_6_13_7">ROUND(#REF!*#REF!/#REF!,2)</definedName>
    <definedName name="SHARED_FORMULA_6_1313_6_1313_22">0.2</definedName>
    <definedName name="SHARED_FORMULA_6_132_6_132_30" localSheetId="11">NA()</definedName>
    <definedName name="SHARED_FORMULA_6_132_6_132_30" localSheetId="12">NA()</definedName>
    <definedName name="SHARED_FORMULA_6_132_6_132_30" localSheetId="0">+#REF!</definedName>
    <definedName name="SHARED_FORMULA_6_132_6_132_30">+#REF!</definedName>
    <definedName name="SHARED_FORMULA_6_132_6_132_37" localSheetId="11">NA()</definedName>
    <definedName name="SHARED_FORMULA_6_132_6_132_37" localSheetId="12">NA()</definedName>
    <definedName name="SHARED_FORMULA_6_132_6_132_37" localSheetId="0">+#REF!-#REF!</definedName>
    <definedName name="SHARED_FORMULA_6_132_6_132_37">+#REF!-#REF!</definedName>
    <definedName name="SHARED_FORMULA_6_1324_6_1324_22">0.2</definedName>
    <definedName name="SHARED_FORMULA_6_133_6_133_18">1</definedName>
    <definedName name="SHARED_FORMULA_6_1333_6_1333_22">0.2</definedName>
    <definedName name="SHARED_FORMULA_6_135_6_135_37">NA()</definedName>
    <definedName name="SHARED_FORMULA_6_1355_6_1355_26">NA()</definedName>
    <definedName name="SHARED_FORMULA_6_1371_6_1371_26" localSheetId="11">NA()</definedName>
    <definedName name="SHARED_FORMULA_6_1371_6_1371_26" localSheetId="12">NA()</definedName>
    <definedName name="SHARED_FORMULA_6_1371_6_1371_26" localSheetId="0">+#REF!</definedName>
    <definedName name="SHARED_FORMULA_6_1371_6_1371_26">+#REF!</definedName>
    <definedName name="SHARED_FORMULA_6_1382_6_1382_26">NA()</definedName>
    <definedName name="SHARED_FORMULA_6_1398_6_1398_26" localSheetId="11">NA()</definedName>
    <definedName name="SHARED_FORMULA_6_1398_6_1398_26" localSheetId="12">NA()</definedName>
    <definedName name="SHARED_FORMULA_6_1398_6_1398_26" localSheetId="0">+#REF!</definedName>
    <definedName name="SHARED_FORMULA_6_1398_6_1398_26">+#REF!</definedName>
    <definedName name="SHARED_FORMULA_6_1402_6_1402_26">NA()</definedName>
    <definedName name="SHARED_FORMULA_6_141_6_141_37" localSheetId="11">NA()</definedName>
    <definedName name="SHARED_FORMULA_6_141_6_141_37" localSheetId="12">NA()</definedName>
    <definedName name="SHARED_FORMULA_6_141_6_141_37">+#REF!-#REF!</definedName>
    <definedName name="SHARED_FORMULA_6_1418_6_1418_26" localSheetId="11">NA()</definedName>
    <definedName name="SHARED_FORMULA_6_1418_6_1418_26" localSheetId="12">NA()</definedName>
    <definedName name="SHARED_FORMULA_6_1418_6_1418_26" localSheetId="0">+#REF!</definedName>
    <definedName name="SHARED_FORMULA_6_1418_6_1418_26">+#REF!</definedName>
    <definedName name="SHARED_FORMULA_6_1422_6_1422_26">NA()</definedName>
    <definedName name="SHARED_FORMULA_6_1438_6_1438_10">NA()</definedName>
    <definedName name="SHARED_FORMULA_6_1438_6_1438_26" localSheetId="11">NA()</definedName>
    <definedName name="SHARED_FORMULA_6_1438_6_1438_26" localSheetId="12">NA()</definedName>
    <definedName name="SHARED_FORMULA_6_1438_6_1438_26" localSheetId="0">+#REF!</definedName>
    <definedName name="SHARED_FORMULA_6_1438_6_1438_26">+#REF!</definedName>
    <definedName name="SHARED_FORMULA_6_144_6_144_37">NA()</definedName>
    <definedName name="SHARED_FORMULA_6_1476_6_1476_26">NA()</definedName>
    <definedName name="SHARED_FORMULA_6_148_6_148_33">NA()</definedName>
    <definedName name="SHARED_FORMULA_6_1485_6_1485_26">NA()</definedName>
    <definedName name="SHARED_FORMULA_6_1492_6_1492_26" localSheetId="11">NA()</definedName>
    <definedName name="SHARED_FORMULA_6_1492_6_1492_26" localSheetId="12">NA()</definedName>
    <definedName name="SHARED_FORMULA_6_1492_6_1492_26">+#REF!</definedName>
    <definedName name="SHARED_FORMULA_6_1493_6_1493_26">NA()</definedName>
    <definedName name="SHARED_FORMULA_6_150_6_150_37" localSheetId="11">NA()</definedName>
    <definedName name="SHARED_FORMULA_6_150_6_150_37" localSheetId="12">NA()</definedName>
    <definedName name="SHARED_FORMULA_6_150_6_150_37">+#REF!-#REF!</definedName>
    <definedName name="SHARED_FORMULA_6_1501_6_1501_26" localSheetId="11">NA()</definedName>
    <definedName name="SHARED_FORMULA_6_1501_6_1501_26" localSheetId="12">NA()</definedName>
    <definedName name="SHARED_FORMULA_6_1501_6_1501_26" localSheetId="0">+#REF!</definedName>
    <definedName name="SHARED_FORMULA_6_1501_6_1501_26">+#REF!</definedName>
    <definedName name="SHARED_FORMULA_6_1507_6_1507_26">NA()</definedName>
    <definedName name="SHARED_FORMULA_6_1509_6_1509_26" localSheetId="11">NA()</definedName>
    <definedName name="SHARED_FORMULA_6_1509_6_1509_26" localSheetId="12">NA()</definedName>
    <definedName name="SHARED_FORMULA_6_1509_6_1509_26" localSheetId="0">+#REF!</definedName>
    <definedName name="SHARED_FORMULA_6_1509_6_1509_26">+#REF!</definedName>
    <definedName name="SHARED_FORMULA_6_151_6_151_7">NA()</definedName>
    <definedName name="SHARED_FORMULA_6_1516_6_1516_26">NA()</definedName>
    <definedName name="SHARED_FORMULA_6_1523_6_1523_26" localSheetId="11">NA()</definedName>
    <definedName name="SHARED_FORMULA_6_1523_6_1523_26" localSheetId="12">NA()</definedName>
    <definedName name="SHARED_FORMULA_6_1523_6_1523_26">+#REF!</definedName>
    <definedName name="SHARED_FORMULA_6_1532_6_1532_26" localSheetId="11">NA()</definedName>
    <definedName name="SHARED_FORMULA_6_1532_6_1532_26" localSheetId="12">NA()</definedName>
    <definedName name="SHARED_FORMULA_6_1532_6_1532_26" localSheetId="0">+#REF!</definedName>
    <definedName name="SHARED_FORMULA_6_1532_6_1532_26">+#REF!</definedName>
    <definedName name="SHARED_FORMULA_6_154_6_154_33" localSheetId="11">NA()</definedName>
    <definedName name="SHARED_FORMULA_6_154_6_154_33" localSheetId="12">NA()</definedName>
    <definedName name="SHARED_FORMULA_6_154_6_154_33" localSheetId="0">+#REF!-#REF!</definedName>
    <definedName name="SHARED_FORMULA_6_154_6_154_33">+#REF!-#REF!</definedName>
    <definedName name="SHARED_FORMULA_6_1541_6_1541_26">NA()</definedName>
    <definedName name="SHARED_FORMULA_6_1548_6_1548_26" localSheetId="11">NA()</definedName>
    <definedName name="SHARED_FORMULA_6_1548_6_1548_26" localSheetId="12">NA()</definedName>
    <definedName name="SHARED_FORMULA_6_1548_6_1548_26">+#REF!</definedName>
    <definedName name="SHARED_FORMULA_6_1557_6_1557_26" localSheetId="11">NA()</definedName>
    <definedName name="SHARED_FORMULA_6_1557_6_1557_26" localSheetId="12">NA()</definedName>
    <definedName name="SHARED_FORMULA_6_1557_6_1557_26" localSheetId="0">+#REF!</definedName>
    <definedName name="SHARED_FORMULA_6_1557_6_1557_26">+#REF!</definedName>
    <definedName name="SHARED_FORMULA_6_1566_6_1566_26">NA()</definedName>
    <definedName name="SHARED_FORMULA_6_1573_6_1573_26" localSheetId="11">NA()</definedName>
    <definedName name="SHARED_FORMULA_6_1573_6_1573_26" localSheetId="12">NA()</definedName>
    <definedName name="SHARED_FORMULA_6_1573_6_1573_26" localSheetId="0">+#REF!</definedName>
    <definedName name="SHARED_FORMULA_6_1573_6_1573_26">+#REF!</definedName>
    <definedName name="SHARED_FORMULA_6_1582_6_1582_26" localSheetId="11">NA()</definedName>
    <definedName name="SHARED_FORMULA_6_1582_6_1582_26" localSheetId="12">NA()</definedName>
    <definedName name="SHARED_FORMULA_6_1582_6_1582_26" localSheetId="0">+#REF!</definedName>
    <definedName name="SHARED_FORMULA_6_1582_6_1582_26">+#REF!</definedName>
    <definedName name="SHARED_FORMULA_6_168_6_168_33">NA()</definedName>
    <definedName name="SHARED_FORMULA_6_174_6_174_33" localSheetId="11">NA()</definedName>
    <definedName name="SHARED_FORMULA_6_174_6_174_33" localSheetId="12">NA()</definedName>
    <definedName name="SHARED_FORMULA_6_174_6_174_33" localSheetId="0">+#REF!-0.125</definedName>
    <definedName name="SHARED_FORMULA_6_174_6_174_33">+#REF!-0.125</definedName>
    <definedName name="SHARED_FORMULA_6_178_6_178_30">NA()</definedName>
    <definedName name="SHARED_FORMULA_6_178_6_178_7">NA()</definedName>
    <definedName name="SHARED_FORMULA_6_18_6_18_22" localSheetId="11">NA()</definedName>
    <definedName name="SHARED_FORMULA_6_18_6_18_22" localSheetId="12">NA()</definedName>
    <definedName name="SHARED_FORMULA_6_18_6_18_22">+#REF!</definedName>
    <definedName name="SHARED_FORMULA_6_183_6_183_30" localSheetId="11">NA()</definedName>
    <definedName name="SHARED_FORMULA_6_183_6_183_30" localSheetId="12">NA()</definedName>
    <definedName name="SHARED_FORMULA_6_183_6_183_30" localSheetId="0">#REF!-#REF!</definedName>
    <definedName name="SHARED_FORMULA_6_183_6_183_30">#REF!-#REF!</definedName>
    <definedName name="SHARED_FORMULA_6_218_6_218_7">NA()</definedName>
    <definedName name="SHARED_FORMULA_6_220_6_220_26">NA()</definedName>
    <definedName name="SHARED_FORMULA_6_223_6_223_26" localSheetId="11">NA()</definedName>
    <definedName name="SHARED_FORMULA_6_223_6_223_26" localSheetId="12">NA()</definedName>
    <definedName name="SHARED_FORMULA_6_223_6_223_26" localSheetId="0">+#REF!-#REF!/1000</definedName>
    <definedName name="SHARED_FORMULA_6_223_6_223_26">+#REF!-#REF!/1000</definedName>
    <definedName name="SHARED_FORMULA_6_229_6_229_33">NA()</definedName>
    <definedName name="SHARED_FORMULA_6_235_6_235_33" localSheetId="11">NA()</definedName>
    <definedName name="SHARED_FORMULA_6_235_6_235_33" localSheetId="12">NA()</definedName>
    <definedName name="SHARED_FORMULA_6_235_6_235_33">+#REF!-0.125</definedName>
    <definedName name="SHARED_FORMULA_6_241_6_241_22">NA()</definedName>
    <definedName name="SHARED_FORMULA_6_242_6_242_16">0.3*2+0.115</definedName>
    <definedName name="SHARED_FORMULA_6_245_6_245_22" localSheetId="11">NA()</definedName>
    <definedName name="SHARED_FORMULA_6_245_6_245_22" localSheetId="12">NA()</definedName>
    <definedName name="SHARED_FORMULA_6_245_6_245_22" localSheetId="0">+#REF!-0.15</definedName>
    <definedName name="SHARED_FORMULA_6_245_6_245_22">+#REF!-0.15</definedName>
    <definedName name="SHARED_FORMULA_6_245_6_245_7">NA()</definedName>
    <definedName name="SHARED_FORMULA_6_246_6_246_26">NA()</definedName>
    <definedName name="SHARED_FORMULA_6_253_6_253_26" localSheetId="11">NA()</definedName>
    <definedName name="SHARED_FORMULA_6_253_6_253_26" localSheetId="12">NA()</definedName>
    <definedName name="SHARED_FORMULA_6_253_6_253_26" localSheetId="0">+#REF!</definedName>
    <definedName name="SHARED_FORMULA_6_253_6_253_26">+#REF!</definedName>
    <definedName name="SHARED_FORMULA_6_256_6_256_22">NA()</definedName>
    <definedName name="SHARED_FORMULA_6_260_6_260_22" localSheetId="11">NA()</definedName>
    <definedName name="SHARED_FORMULA_6_260_6_260_22" localSheetId="12">NA()</definedName>
    <definedName name="SHARED_FORMULA_6_260_6_260_22">+#REF!-0.15</definedName>
    <definedName name="SHARED_FORMULA_6_261_6_261_26">NA()</definedName>
    <definedName name="SHARED_FORMULA_6_271_6_271_30">NA()</definedName>
    <definedName name="SHARED_FORMULA_6_272_6_272_22">NA()</definedName>
    <definedName name="SHARED_FORMULA_6_272_6_272_26" localSheetId="11">NA()</definedName>
    <definedName name="SHARED_FORMULA_6_272_6_272_26" localSheetId="12">NA()</definedName>
    <definedName name="SHARED_FORMULA_6_272_6_272_26">+#REF!</definedName>
    <definedName name="SHARED_FORMULA_6_273_6_273_7">NA()</definedName>
    <definedName name="SHARED_FORMULA_6_275_6_275_26">NA()</definedName>
    <definedName name="SHARED_FORMULA_6_276_6_276_22" localSheetId="11">NA()</definedName>
    <definedName name="SHARED_FORMULA_6_276_6_276_22" localSheetId="12">NA()</definedName>
    <definedName name="SHARED_FORMULA_6_276_6_276_22">+#REF!-0.15</definedName>
    <definedName name="SHARED_FORMULA_6_285_6_285_30" localSheetId="11">NA()</definedName>
    <definedName name="SHARED_FORMULA_6_285_6_285_30" localSheetId="12">NA()</definedName>
    <definedName name="SHARED_FORMULA_6_285_6_285_30" localSheetId="0">+#REF!-#REF!</definedName>
    <definedName name="SHARED_FORMULA_6_285_6_285_30">+#REF!-#REF!</definedName>
    <definedName name="SHARED_FORMULA_6_287_6_287_26" localSheetId="11">NA()</definedName>
    <definedName name="SHARED_FORMULA_6_287_6_287_26" localSheetId="12">NA()</definedName>
    <definedName name="SHARED_FORMULA_6_287_6_287_26" localSheetId="0">+#REF!</definedName>
    <definedName name="SHARED_FORMULA_6_287_6_287_26">+#REF!</definedName>
    <definedName name="SHARED_FORMULA_6_289_6_289_26">NA()</definedName>
    <definedName name="SHARED_FORMULA_6_29_6_29_10">NA()</definedName>
    <definedName name="SHARED_FORMULA_6_291_6_291_22">NA()</definedName>
    <definedName name="SHARED_FORMULA_6_294_6_294_37">NA()</definedName>
    <definedName name="SHARED_FORMULA_6_295_6_295_22" localSheetId="11">NA()</definedName>
    <definedName name="SHARED_FORMULA_6_295_6_295_22" localSheetId="12">NA()</definedName>
    <definedName name="SHARED_FORMULA_6_295_6_295_22">+#REF!-0.15</definedName>
    <definedName name="SHARED_FORMULA_6_302_6_302_26" localSheetId="11">NA()</definedName>
    <definedName name="SHARED_FORMULA_6_302_6_302_26" localSheetId="12">NA()</definedName>
    <definedName name="SHARED_FORMULA_6_302_6_302_26" localSheetId="0">+#REF!</definedName>
    <definedName name="SHARED_FORMULA_6_302_6_302_26">+#REF!</definedName>
    <definedName name="SHARED_FORMULA_6_306_6_306_22">NA()</definedName>
    <definedName name="SHARED_FORMULA_6_310_6_310_22" localSheetId="11">NA()</definedName>
    <definedName name="SHARED_FORMULA_6_310_6_310_22" localSheetId="12">NA()</definedName>
    <definedName name="SHARED_FORMULA_6_310_6_310_22" localSheetId="0">+#REF!-0.15</definedName>
    <definedName name="SHARED_FORMULA_6_310_6_310_22">+#REF!-0.15</definedName>
    <definedName name="SHARED_FORMULA_6_32_6_32_22" localSheetId="11">NA()</definedName>
    <definedName name="SHARED_FORMULA_6_32_6_32_22" localSheetId="12">NA()</definedName>
    <definedName name="SHARED_FORMULA_6_32_6_32_22" localSheetId="0">+#REF!</definedName>
    <definedName name="SHARED_FORMULA_6_32_6_32_22">+#REF!</definedName>
    <definedName name="SHARED_FORMULA_6_321_6_321_37" localSheetId="11">NA()</definedName>
    <definedName name="SHARED_FORMULA_6_321_6_321_37" localSheetId="12">NA()</definedName>
    <definedName name="SHARED_FORMULA_6_321_6_321_37" localSheetId="0">+#REF!-0.125</definedName>
    <definedName name="SHARED_FORMULA_6_321_6_321_37">+#REF!-0.125</definedName>
    <definedName name="SHARED_FORMULA_6_325_6_325_22">NA()</definedName>
    <definedName name="SHARED_FORMULA_6_329_6_329_22" localSheetId="11">NA()</definedName>
    <definedName name="SHARED_FORMULA_6_329_6_329_22" localSheetId="12">NA()</definedName>
    <definedName name="SHARED_FORMULA_6_329_6_329_22">+#REF!-0.15</definedName>
    <definedName name="SHARED_FORMULA_6_329_6_329_26">NA()</definedName>
    <definedName name="SHARED_FORMULA_6_334_6_334_30">NA()</definedName>
    <definedName name="SHARED_FORMULA_6_337_6_337_26">NA()</definedName>
    <definedName name="SHARED_FORMULA_6_343_6_343_22">NA()</definedName>
    <definedName name="SHARED_FORMULA_6_347_6_347_22" localSheetId="11">NA()</definedName>
    <definedName name="SHARED_FORMULA_6_347_6_347_22" localSheetId="12">NA()</definedName>
    <definedName name="SHARED_FORMULA_6_347_6_347_22">+#REF!-0.15</definedName>
    <definedName name="SHARED_FORMULA_6_348_6_348_26">NA()</definedName>
    <definedName name="SHARED_FORMULA_6_348_6_348_30" localSheetId="11">NA()</definedName>
    <definedName name="SHARED_FORMULA_6_348_6_348_30" localSheetId="12">NA()</definedName>
    <definedName name="SHARED_FORMULA_6_348_6_348_30">#REF!</definedName>
    <definedName name="SHARED_FORMULA_6_349_6_349_26" localSheetId="11">NA()</definedName>
    <definedName name="SHARED_FORMULA_6_349_6_349_26" localSheetId="12">NA()</definedName>
    <definedName name="SHARED_FORMULA_6_349_6_349_26" localSheetId="0">+#REF!-#REF!</definedName>
    <definedName name="SHARED_FORMULA_6_349_6_349_26">+#REF!-#REF!</definedName>
    <definedName name="SHARED_FORMULA_6_35_6_35_22">NA()</definedName>
    <definedName name="SHARED_FORMULA_6_356_6_356_26">NA()</definedName>
    <definedName name="SHARED_FORMULA_6_357_6_357_26" localSheetId="11">NA()</definedName>
    <definedName name="SHARED_FORMULA_6_357_6_357_26" localSheetId="12">NA()</definedName>
    <definedName name="SHARED_FORMULA_6_357_6_357_26" localSheetId="0">+#REF!-#REF!</definedName>
    <definedName name="SHARED_FORMULA_6_357_6_357_26">+#REF!-#REF!</definedName>
    <definedName name="SHARED_FORMULA_6_358_6_358_22">NA()</definedName>
    <definedName name="SHARED_FORMULA_6_360_6_360_20">0.2</definedName>
    <definedName name="SHARED_FORMULA_6_362_6_362_22" localSheetId="11">NA()</definedName>
    <definedName name="SHARED_FORMULA_6_362_6_362_22" localSheetId="12">NA()</definedName>
    <definedName name="SHARED_FORMULA_6_362_6_362_22" localSheetId="0">+#REF!-0.15</definedName>
    <definedName name="SHARED_FORMULA_6_362_6_362_22">+#REF!-0.15</definedName>
    <definedName name="SHARED_FORMULA_6_368_6_368_26" localSheetId="11">NA()</definedName>
    <definedName name="SHARED_FORMULA_6_368_6_368_26" localSheetId="12">NA()</definedName>
    <definedName name="SHARED_FORMULA_6_368_6_368_26" localSheetId="0">+#REF!-#REF!</definedName>
    <definedName name="SHARED_FORMULA_6_368_6_368_26">+#REF!-#REF!</definedName>
    <definedName name="SHARED_FORMULA_6_376_6_376_26" localSheetId="11">NA()</definedName>
    <definedName name="SHARED_FORMULA_6_376_6_376_26" localSheetId="12">NA()</definedName>
    <definedName name="SHARED_FORMULA_6_376_6_376_26" localSheetId="0">+#REF!-#REF!</definedName>
    <definedName name="SHARED_FORMULA_6_376_6_376_26">+#REF!-#REF!</definedName>
    <definedName name="SHARED_FORMULA_6_379_6_379_30" localSheetId="11">NA()</definedName>
    <definedName name="SHARED_FORMULA_6_379_6_379_30" localSheetId="12">NA()</definedName>
    <definedName name="SHARED_FORMULA_6_379_6_379_30" localSheetId="0">+#REF!-#REF!</definedName>
    <definedName name="SHARED_FORMULA_6_379_6_379_30">+#REF!-#REF!</definedName>
    <definedName name="SHARED_FORMULA_6_388_6_388_26" localSheetId="11">NA()</definedName>
    <definedName name="SHARED_FORMULA_6_388_6_388_26" localSheetId="12">NA()</definedName>
    <definedName name="SHARED_FORMULA_6_388_6_388_26" localSheetId="0">+#REF!-#REF!</definedName>
    <definedName name="SHARED_FORMULA_6_388_6_388_26">+#REF!-#REF!</definedName>
    <definedName name="SHARED_FORMULA_6_39_6_39_30" localSheetId="11">NA()</definedName>
    <definedName name="SHARED_FORMULA_6_39_6_39_30" localSheetId="12">NA()</definedName>
    <definedName name="SHARED_FORMULA_6_39_6_39_30" localSheetId="0">+#REF!</definedName>
    <definedName name="SHARED_FORMULA_6_39_6_39_30">+#REF!</definedName>
    <definedName name="SHARED_FORMULA_6_39_6_39_37" localSheetId="11">NA()</definedName>
    <definedName name="SHARED_FORMULA_6_39_6_39_37" localSheetId="12">NA()</definedName>
    <definedName name="SHARED_FORMULA_6_39_6_39_37" localSheetId="0">+#REF!</definedName>
    <definedName name="SHARED_FORMULA_6_39_6_39_37">+#REF!</definedName>
    <definedName name="SHARED_FORMULA_6_396_6_396_26" localSheetId="11">NA()</definedName>
    <definedName name="SHARED_FORMULA_6_396_6_396_26" localSheetId="12">NA()</definedName>
    <definedName name="SHARED_FORMULA_6_396_6_396_26" localSheetId="0">+#REF!-#REF!</definedName>
    <definedName name="SHARED_FORMULA_6_396_6_396_26">+#REF!-#REF!</definedName>
    <definedName name="SHARED_FORMULA_6_399_6_399_22">NA()</definedName>
    <definedName name="SHARED_FORMULA_6_408_6_408_26" localSheetId="11">NA()</definedName>
    <definedName name="SHARED_FORMULA_6_408_6_408_26" localSheetId="12">NA()</definedName>
    <definedName name="SHARED_FORMULA_6_408_6_408_26">+#REF!-#REF!</definedName>
    <definedName name="SHARED_FORMULA_6_412_6_412_22">NA()</definedName>
    <definedName name="SHARED_FORMULA_6_413_6_413_22" localSheetId="11">NA()</definedName>
    <definedName name="SHARED_FORMULA_6_413_6_413_22" localSheetId="12">NA()</definedName>
    <definedName name="SHARED_FORMULA_6_413_6_413_22">+#REF!</definedName>
    <definedName name="SHARED_FORMULA_6_414_6_414_37">NA()</definedName>
    <definedName name="SHARED_FORMULA_6_416_6_416_26" localSheetId="11">NA()</definedName>
    <definedName name="SHARED_FORMULA_6_416_6_416_26" localSheetId="12">NA()</definedName>
    <definedName name="SHARED_FORMULA_6_416_6_416_26">+#REF!-#REF!</definedName>
    <definedName name="SHARED_FORMULA_6_42_6_42_30">NA()</definedName>
    <definedName name="SHARED_FORMULA_6_43_6_43_26" localSheetId="11">NA()</definedName>
    <definedName name="SHARED_FORMULA_6_43_6_43_26" localSheetId="12">NA()</definedName>
    <definedName name="SHARED_FORMULA_6_43_6_43_26">+#REF!</definedName>
    <definedName name="SHARED_FORMULA_6_432_6_432_22" localSheetId="11">NA()</definedName>
    <definedName name="SHARED_FORMULA_6_432_6_432_22" localSheetId="12">NA()</definedName>
    <definedName name="SHARED_FORMULA_6_432_6_432_22" localSheetId="0">+#REF!</definedName>
    <definedName name="SHARED_FORMULA_6_432_6_432_22">+#REF!</definedName>
    <definedName name="SHARED_FORMULA_6_435_6_435_37">NA()</definedName>
    <definedName name="SHARED_FORMULA_6_451_6_451_37" localSheetId="11">NA()</definedName>
    <definedName name="SHARED_FORMULA_6_451_6_451_37" localSheetId="12">NA()</definedName>
    <definedName name="SHARED_FORMULA_6_451_6_451_37" localSheetId="0">+#REF!-0.125</definedName>
    <definedName name="SHARED_FORMULA_6_451_6_451_37">+#REF!-0.125</definedName>
    <definedName name="SHARED_FORMULA_6_453_6_453_37">NA()</definedName>
    <definedName name="SHARED_FORMULA_6_455_6_455_30">NA()</definedName>
    <definedName name="SHARED_FORMULA_6_46_6_46_26">NA()</definedName>
    <definedName name="SHARED_FORMULA_6_472_6_472_37" localSheetId="11">NA()</definedName>
    <definedName name="SHARED_FORMULA_6_472_6_472_37" localSheetId="12">NA()</definedName>
    <definedName name="SHARED_FORMULA_6_472_6_472_37">+#REF!</definedName>
    <definedName name="SHARED_FORMULA_6_473_6_473_22">NA()</definedName>
    <definedName name="SHARED_FORMULA_6_481_6_481_30" localSheetId="11">NA()</definedName>
    <definedName name="SHARED_FORMULA_6_481_6_481_30" localSheetId="12">NA()</definedName>
    <definedName name="SHARED_FORMULA_6_481_6_481_30">+#REF!</definedName>
    <definedName name="SHARED_FORMULA_6_484_6_484_20">3</definedName>
    <definedName name="SHARED_FORMULA_6_494_6_494_22">NA()</definedName>
    <definedName name="SHARED_FORMULA_6_494_6_494_37" localSheetId="11">NA()</definedName>
    <definedName name="SHARED_FORMULA_6_494_6_494_37" localSheetId="12">NA()</definedName>
    <definedName name="SHARED_FORMULA_6_494_6_494_37">+#REF!+0.45</definedName>
    <definedName name="SHARED_FORMULA_6_5_6_5_22" localSheetId="11">NA()</definedName>
    <definedName name="SHARED_FORMULA_6_5_6_5_22" localSheetId="12">NA()</definedName>
    <definedName name="SHARED_FORMULA_6_5_6_5_22" localSheetId="0">+#REF!</definedName>
    <definedName name="SHARED_FORMULA_6_5_6_5_22">+#REF!</definedName>
    <definedName name="SHARED_FORMULA_6_500_6_500_22" localSheetId="11">NA()</definedName>
    <definedName name="SHARED_FORMULA_6_500_6_500_22" localSheetId="12">NA()</definedName>
    <definedName name="SHARED_FORMULA_6_500_6_500_22" localSheetId="0">+#REF!-#REF!</definedName>
    <definedName name="SHARED_FORMULA_6_500_6_500_22">+#REF!-#REF!</definedName>
    <definedName name="SHARED_FORMULA_6_503_6_503_22">NA()</definedName>
    <definedName name="SHARED_FORMULA_6_511_6_511_20">0.75+0.15</definedName>
    <definedName name="SHARED_FORMULA_6_521_6_521_22" localSheetId="11">NA()</definedName>
    <definedName name="SHARED_FORMULA_6_521_6_521_22" localSheetId="12">NA()</definedName>
    <definedName name="SHARED_FORMULA_6_521_6_521_22" localSheetId="0">+#REF!-#REF!</definedName>
    <definedName name="SHARED_FORMULA_6_521_6_521_22">+#REF!-#REF!</definedName>
    <definedName name="SHARED_FORMULA_6_522_6_522_22">NA()</definedName>
    <definedName name="SHARED_FORMULA_6_530_6_530_22" localSheetId="11">NA()</definedName>
    <definedName name="SHARED_FORMULA_6_530_6_530_22" localSheetId="12">NA()</definedName>
    <definedName name="SHARED_FORMULA_6_530_6_530_22" localSheetId="0">+#REF!-#REF!</definedName>
    <definedName name="SHARED_FORMULA_6_530_6_530_22">+#REF!-#REF!</definedName>
    <definedName name="SHARED_FORMULA_6_549_6_549_22" localSheetId="11">NA()</definedName>
    <definedName name="SHARED_FORMULA_6_549_6_549_22" localSheetId="12">NA()</definedName>
    <definedName name="SHARED_FORMULA_6_549_6_549_22" localSheetId="0">+#REF!-#REF!</definedName>
    <definedName name="SHARED_FORMULA_6_549_6_549_22">+#REF!-#REF!</definedName>
    <definedName name="SHARED_FORMULA_6_569_6_569_22">NA()</definedName>
    <definedName name="SHARED_FORMULA_6_571_6_571_26">NA()</definedName>
    <definedName name="SHARED_FORMULA_6_577_6_577_22" localSheetId="11">NA()</definedName>
    <definedName name="SHARED_FORMULA_6_577_6_577_22" localSheetId="12">NA()</definedName>
    <definedName name="SHARED_FORMULA_6_577_6_577_22" localSheetId="0">+#REF!-#REF!</definedName>
    <definedName name="SHARED_FORMULA_6_577_6_577_22">+#REF!-#REF!</definedName>
    <definedName name="SHARED_FORMULA_6_578_6_578_22">NA()</definedName>
    <definedName name="SHARED_FORMULA_6_58_6_58_22" localSheetId="11">NA()</definedName>
    <definedName name="SHARED_FORMULA_6_58_6_58_22" localSheetId="12">NA()</definedName>
    <definedName name="SHARED_FORMULA_6_58_6_58_22">+#REF!</definedName>
    <definedName name="SHARED_FORMULA_6_58_6_58_30" localSheetId="11">NA()</definedName>
    <definedName name="SHARED_FORMULA_6_58_6_58_30" localSheetId="12">NA()</definedName>
    <definedName name="SHARED_FORMULA_6_58_6_58_30" localSheetId="0">+#REF!</definedName>
    <definedName name="SHARED_FORMULA_6_58_6_58_30">+#REF!</definedName>
    <definedName name="SHARED_FORMULA_6_586_6_586_20">0.125</definedName>
    <definedName name="SHARED_FORMULA_6_596_6_596_22">NA()</definedName>
    <definedName name="SHARED_FORMULA_6_597_6_597_22" localSheetId="11">NA()</definedName>
    <definedName name="SHARED_FORMULA_6_597_6_597_22" localSheetId="12">NA()</definedName>
    <definedName name="SHARED_FORMULA_6_597_6_597_22" localSheetId="0">+#REF!-#REF!</definedName>
    <definedName name="SHARED_FORMULA_6_597_6_597_22">+#REF!-#REF!</definedName>
    <definedName name="SHARED_FORMULA_6_60_6_60_18">0.1</definedName>
    <definedName name="SHARED_FORMULA_6_606_6_606_22" localSheetId="11">NA()</definedName>
    <definedName name="SHARED_FORMULA_6_606_6_606_22" localSheetId="12">NA()</definedName>
    <definedName name="SHARED_FORMULA_6_606_6_606_22" localSheetId="0">+#REF!-#REF!</definedName>
    <definedName name="SHARED_FORMULA_6_606_6_606_22">+#REF!-#REF!</definedName>
    <definedName name="SHARED_FORMULA_6_609_6_609_26" localSheetId="11">NA()</definedName>
    <definedName name="SHARED_FORMULA_6_609_6_609_26" localSheetId="12">NA()</definedName>
    <definedName name="SHARED_FORMULA_6_609_6_609_26" localSheetId="0">+#REF!-#REF!</definedName>
    <definedName name="SHARED_FORMULA_6_609_6_609_26">+#REF!-#REF!</definedName>
    <definedName name="SHARED_FORMULA_6_61_6_61_22">NA()</definedName>
    <definedName name="SHARED_FORMULA_6_61_6_61_30">NA()</definedName>
    <definedName name="SHARED_FORMULA_6_611_6_611_26">NA()</definedName>
    <definedName name="SHARED_FORMULA_6_624_6_624_22" localSheetId="11">NA()</definedName>
    <definedName name="SHARED_FORMULA_6_624_6_624_22" localSheetId="12">NA()</definedName>
    <definedName name="SHARED_FORMULA_6_624_6_624_22">+#REF!-#REF!</definedName>
    <definedName name="SHARED_FORMULA_6_638_6_638_26">NA()</definedName>
    <definedName name="SHARED_FORMULA_6_64_6_64_26" localSheetId="11">NA()</definedName>
    <definedName name="SHARED_FORMULA_6_64_6_64_26" localSheetId="12">NA()</definedName>
    <definedName name="SHARED_FORMULA_6_64_6_64_26">+#REF!</definedName>
    <definedName name="SHARED_FORMULA_6_648_6_648_22" localSheetId="11">NA()</definedName>
    <definedName name="SHARED_FORMULA_6_648_6_648_22" localSheetId="12">NA()</definedName>
    <definedName name="SHARED_FORMULA_6_648_6_648_22" localSheetId="0">+#REF!-#REF!</definedName>
    <definedName name="SHARED_FORMULA_6_648_6_648_22">+#REF!-#REF!</definedName>
    <definedName name="SHARED_FORMULA_6_649_6_649_26" localSheetId="11">NA()</definedName>
    <definedName name="SHARED_FORMULA_6_649_6_649_26" localSheetId="12">NA()</definedName>
    <definedName name="SHARED_FORMULA_6_649_6_649_26" localSheetId="0">+#REF!-#REF!</definedName>
    <definedName name="SHARED_FORMULA_6_649_6_649_26">+#REF!-#REF!</definedName>
    <definedName name="SHARED_FORMULA_6_655_6_655_10">NA()</definedName>
    <definedName name="SHARED_FORMULA_6_66_6_66_7">NA()</definedName>
    <definedName name="SHARED_FORMULA_6_665_6_665_26">NA()</definedName>
    <definedName name="SHARED_FORMULA_6_67_6_67_26">NA()</definedName>
    <definedName name="SHARED_FORMULA_6_674_6_674_26" localSheetId="11">NA()</definedName>
    <definedName name="SHARED_FORMULA_6_674_6_674_26" localSheetId="12">NA()</definedName>
    <definedName name="SHARED_FORMULA_6_674_6_674_26">+#REF!-#REF!</definedName>
    <definedName name="SHARED_FORMULA_6_68_6_68_30" localSheetId="11">NA()</definedName>
    <definedName name="SHARED_FORMULA_6_68_6_68_30" localSheetId="12">NA()</definedName>
    <definedName name="SHARED_FORMULA_6_68_6_68_30" localSheetId="0">+#REF!</definedName>
    <definedName name="SHARED_FORMULA_6_68_6_68_30">+#REF!</definedName>
    <definedName name="SHARED_FORMULA_6_680_6_680_10">NA()</definedName>
    <definedName name="SHARED_FORMULA_6_697_6_697_26">NA()</definedName>
    <definedName name="SHARED_FORMULA_6_699_6_699_26" localSheetId="11">NA()</definedName>
    <definedName name="SHARED_FORMULA_6_699_6_699_26" localSheetId="12">NA()</definedName>
    <definedName name="SHARED_FORMULA_6_699_6_699_26" localSheetId="0">+#REF!-#REF!</definedName>
    <definedName name="SHARED_FORMULA_6_699_6_699_26">+#REF!-#REF!</definedName>
    <definedName name="SHARED_FORMULA_6_7_6_7_33">0.45+0.1</definedName>
    <definedName name="SHARED_FORMULA_6_71_6_71_30">NA()</definedName>
    <definedName name="SHARED_FORMULA_6_722_6_722_26">NA()</definedName>
    <definedName name="SHARED_FORMULA_6_732_6_732_26" localSheetId="11">NA()</definedName>
    <definedName name="SHARED_FORMULA_6_732_6_732_26" localSheetId="12">NA()</definedName>
    <definedName name="SHARED_FORMULA_6_732_6_732_26">+#REF!-#REF!</definedName>
    <definedName name="SHARED_FORMULA_6_741_6_741_26">NA()</definedName>
    <definedName name="SHARED_FORMULA_6_752_6_752_22">NA()</definedName>
    <definedName name="SHARED_FORMULA_6_757_6_757_26" localSheetId="11">NA()</definedName>
    <definedName name="SHARED_FORMULA_6_757_6_757_26" localSheetId="12">NA()</definedName>
    <definedName name="SHARED_FORMULA_6_757_6_757_26">+#REF!-#REF!</definedName>
    <definedName name="SHARED_FORMULA_6_760_6_760_26">NA()</definedName>
    <definedName name="SHARED_FORMULA_6_765_6_765_22">NA()</definedName>
    <definedName name="SHARED_FORMULA_6_776_6_776_26" localSheetId="11">NA()</definedName>
    <definedName name="SHARED_FORMULA_6_776_6_776_26" localSheetId="12">NA()</definedName>
    <definedName name="SHARED_FORMULA_6_776_6_776_26">+#REF!-#REF!</definedName>
    <definedName name="SHARED_FORMULA_6_781_6_781_26">NA()</definedName>
    <definedName name="SHARED_FORMULA_6_792_6_792_26">NA()</definedName>
    <definedName name="SHARED_FORMULA_6_795_6_795_26" localSheetId="11">NA()</definedName>
    <definedName name="SHARED_FORMULA_6_795_6_795_26" localSheetId="12">NA()</definedName>
    <definedName name="SHARED_FORMULA_6_795_6_795_26">+#REF!-#REF!</definedName>
    <definedName name="SHARED_FORMULA_6_801_6_801_22">NA()</definedName>
    <definedName name="SHARED_FORMULA_6_803_6_803_26">NA()</definedName>
    <definedName name="SHARED_FORMULA_6_805_6_805_22" localSheetId="11">NA()</definedName>
    <definedName name="SHARED_FORMULA_6_805_6_805_22" localSheetId="12">NA()</definedName>
    <definedName name="SHARED_FORMULA_6_805_6_805_22">+#REF!-0.125</definedName>
    <definedName name="SHARED_FORMULA_6_813_6_813_22">NA()</definedName>
    <definedName name="SHARED_FORMULA_6_814_6_814_26">NA()</definedName>
    <definedName name="SHARED_FORMULA_6_816_6_816_26" localSheetId="11">NA()</definedName>
    <definedName name="SHARED_FORMULA_6_816_6_816_26" localSheetId="12">NA()</definedName>
    <definedName name="SHARED_FORMULA_6_816_6_816_26">+#REF!</definedName>
    <definedName name="SHARED_FORMULA_6_824_6_824_22">NA()</definedName>
    <definedName name="SHARED_FORMULA_6_827_6_827_26" localSheetId="11">NA()</definedName>
    <definedName name="SHARED_FORMULA_6_827_6_827_26" localSheetId="12">NA()</definedName>
    <definedName name="SHARED_FORMULA_6_827_6_827_26">+#REF!</definedName>
    <definedName name="SHARED_FORMULA_6_83_6_83_30" localSheetId="11">NA()</definedName>
    <definedName name="SHARED_FORMULA_6_83_6_83_30" localSheetId="12">NA()</definedName>
    <definedName name="SHARED_FORMULA_6_83_6_83_30" localSheetId="0">+#REF!+#REF!-0.3-0.05</definedName>
    <definedName name="SHARED_FORMULA_6_83_6_83_30">+#REF!+#REF!-0.3-0.05</definedName>
    <definedName name="SHARED_FORMULA_6_837_6_837_26" localSheetId="11">NA()</definedName>
    <definedName name="SHARED_FORMULA_6_837_6_837_26" localSheetId="12">NA()</definedName>
    <definedName name="SHARED_FORMULA_6_837_6_837_26" localSheetId="0">+#REF!</definedName>
    <definedName name="SHARED_FORMULA_6_837_6_837_26">+#REF!</definedName>
    <definedName name="SHARED_FORMULA_6_847_6_847_26" localSheetId="11">NA()</definedName>
    <definedName name="SHARED_FORMULA_6_847_6_847_26" localSheetId="12">NA()</definedName>
    <definedName name="SHARED_FORMULA_6_847_6_847_26" localSheetId="0">+#REF!</definedName>
    <definedName name="SHARED_FORMULA_6_847_6_847_26">+#REF!</definedName>
    <definedName name="SHARED_FORMULA_6_85_6_85_26" localSheetId="11">NA()</definedName>
    <definedName name="SHARED_FORMULA_6_85_6_85_26" localSheetId="12">NA()</definedName>
    <definedName name="SHARED_FORMULA_6_85_6_85_26" localSheetId="0">+#REF!</definedName>
    <definedName name="SHARED_FORMULA_6_85_6_85_26">+#REF!</definedName>
    <definedName name="SHARED_FORMULA_6_853_6_853_22" localSheetId="11">NA()</definedName>
    <definedName name="SHARED_FORMULA_6_853_6_853_22" localSheetId="12">NA()</definedName>
    <definedName name="SHARED_FORMULA_6_853_6_853_22" localSheetId="0">+#REF!-0.125</definedName>
    <definedName name="SHARED_FORMULA_6_853_6_853_22">+#REF!-0.125</definedName>
    <definedName name="SHARED_FORMULA_6_86_6_86_30">NA()</definedName>
    <definedName name="SHARED_FORMULA_6_860_6_860_22">NA()</definedName>
    <definedName name="SHARED_FORMULA_6_870_6_870_22">NA()</definedName>
    <definedName name="SHARED_FORMULA_6_88_6_88_26">NA()</definedName>
    <definedName name="SHARED_FORMULA_6_900_6_900_22">NA()</definedName>
    <definedName name="SHARED_FORMULA_6_900_6_900_26">NA()</definedName>
    <definedName name="SHARED_FORMULA_6_910_6_910_26">NA()</definedName>
    <definedName name="SHARED_FORMULA_6_911_6_911_22" localSheetId="11">NA()</definedName>
    <definedName name="SHARED_FORMULA_6_911_6_911_22" localSheetId="12">NA()</definedName>
    <definedName name="SHARED_FORMULA_6_911_6_911_22">+#REF!-0.125</definedName>
    <definedName name="SHARED_FORMULA_6_93_6_93_30" localSheetId="11">NA()</definedName>
    <definedName name="SHARED_FORMULA_6_93_6_93_30" localSheetId="12">NA()</definedName>
    <definedName name="SHARED_FORMULA_6_93_6_93_30" localSheetId="0">+#REF!+#REF!-0.05</definedName>
    <definedName name="SHARED_FORMULA_6_93_6_93_30">+#REF!+#REF!-0.05</definedName>
    <definedName name="SHARED_FORMULA_6_93_6_93_7">NA()</definedName>
    <definedName name="SHARED_FORMULA_6_931_6_931_22" localSheetId="11">NA()</definedName>
    <definedName name="SHARED_FORMULA_6_931_6_931_22" localSheetId="12">NA()</definedName>
    <definedName name="SHARED_FORMULA_6_931_6_931_22" localSheetId="0">+#REF!-0.125</definedName>
    <definedName name="SHARED_FORMULA_6_931_6_931_22">+#REF!-0.125</definedName>
    <definedName name="SHARED_FORMULA_6_934_6_934_26">NA()</definedName>
    <definedName name="SHARED_FORMULA_6_947_6_947_22" localSheetId="11">NA()</definedName>
    <definedName name="SHARED_FORMULA_6_947_6_947_22" localSheetId="12">NA()</definedName>
    <definedName name="SHARED_FORMULA_6_947_6_947_22">+#REF!+0.6</definedName>
    <definedName name="SHARED_FORMULA_6_952_6_952_22">NA()</definedName>
    <definedName name="SHARED_FORMULA_6_958_6_958_26" localSheetId="11">NA()</definedName>
    <definedName name="SHARED_FORMULA_6_958_6_958_26" localSheetId="12">NA()</definedName>
    <definedName name="SHARED_FORMULA_6_958_6_958_26">+#REF!-#REF!</definedName>
    <definedName name="SHARED_FORMULA_6_96_6_96_30">NA()</definedName>
    <definedName name="SHARED_FORMULA_6_970_6_970_22">NA()</definedName>
    <definedName name="SHARED_FORMULA_6_976_6_976_26">NA()</definedName>
    <definedName name="SHARED_FORMULA_6_977_6_977_22" localSheetId="11">NA()</definedName>
    <definedName name="SHARED_FORMULA_6_977_6_977_22" localSheetId="12">NA()</definedName>
    <definedName name="SHARED_FORMULA_6_977_6_977_22">+#REF!</definedName>
    <definedName name="SHARED_FORMULA_6_986_6_986_26">NA()</definedName>
    <definedName name="SHARED_FORMULA_7_100_7_100_33" localSheetId="11">NA()</definedName>
    <definedName name="SHARED_FORMULA_7_100_7_100_33" localSheetId="12">NA()</definedName>
    <definedName name="SHARED_FORMULA_7_100_7_100_33">+#REF!*#REF!*#REF!*#REF!</definedName>
    <definedName name="SHARED_FORMULA_7_1008_7_1008_22">NA()</definedName>
    <definedName name="SHARED_FORMULA_7_1016_7_1016_26">NA()</definedName>
    <definedName name="SHARED_FORMULA_7_1018_7_1018_22" localSheetId="11">NA()</definedName>
    <definedName name="SHARED_FORMULA_7_1018_7_1018_22" localSheetId="12">NA()</definedName>
    <definedName name="SHARED_FORMULA_7_1018_7_1018_22">#REF!*#REF!*#REF!</definedName>
    <definedName name="SHARED_FORMULA_7_1027_7_1027_22" localSheetId="11">NA()</definedName>
    <definedName name="SHARED_FORMULA_7_1027_7_1027_22" localSheetId="12">NA()</definedName>
    <definedName name="SHARED_FORMULA_7_1027_7_1027_22" localSheetId="0">#REF!*#REF!*#REF!</definedName>
    <definedName name="SHARED_FORMULA_7_1027_7_1027_22">#REF!*#REF!*#REF!</definedName>
    <definedName name="SHARED_FORMULA_7_1029_7_1029_26">NA()</definedName>
    <definedName name="SHARED_FORMULA_7_1031_7_1031_22">NA()</definedName>
    <definedName name="SHARED_FORMULA_7_1034_7_1034_26" localSheetId="11">NA()</definedName>
    <definedName name="SHARED_FORMULA_7_1034_7_1034_26" localSheetId="12">NA()</definedName>
    <definedName name="SHARED_FORMULA_7_1034_7_1034_26" localSheetId="0">#REF!*#REF!*#REF!*#REF!</definedName>
    <definedName name="SHARED_FORMULA_7_1034_7_1034_26">#REF!*#REF!*#REF!*#REF!</definedName>
    <definedName name="SHARED_FORMULA_7_1037_7_1037_22" localSheetId="11">NA()</definedName>
    <definedName name="SHARED_FORMULA_7_1037_7_1037_22" localSheetId="12">NA()</definedName>
    <definedName name="SHARED_FORMULA_7_1037_7_1037_22" localSheetId="0">#REF!*#REF!*#REF!*#REF!</definedName>
    <definedName name="SHARED_FORMULA_7_1037_7_1037_22">#REF!*#REF!*#REF!*#REF!</definedName>
    <definedName name="SHARED_FORMULA_7_105_7_105_22" localSheetId="11">NA()</definedName>
    <definedName name="SHARED_FORMULA_7_105_7_105_22" localSheetId="12">NA()</definedName>
    <definedName name="SHARED_FORMULA_7_105_7_105_22" localSheetId="0">+#REF!*#REF!*#REF!*#REF!</definedName>
    <definedName name="SHARED_FORMULA_7_105_7_105_22">+#REF!*#REF!*#REF!*#REF!</definedName>
    <definedName name="SHARED_FORMULA_7_1055_7_1055_22" localSheetId="11">NA()</definedName>
    <definedName name="SHARED_FORMULA_7_1055_7_1055_22" localSheetId="12">NA()</definedName>
    <definedName name="SHARED_FORMULA_7_1055_7_1055_22" localSheetId="0">#REF!*#REF!*#REF!*#REF!</definedName>
    <definedName name="SHARED_FORMULA_7_1055_7_1055_22">#REF!*#REF!*#REF!*#REF!</definedName>
    <definedName name="SHARED_FORMULA_7_1060_7_1060_26" localSheetId="11">NA()</definedName>
    <definedName name="SHARED_FORMULA_7_1060_7_1060_26" localSheetId="12">NA()</definedName>
    <definedName name="SHARED_FORMULA_7_1060_7_1060_26" localSheetId="0">#REF!*#REF!*#REF!*#REF!</definedName>
    <definedName name="SHARED_FORMULA_7_1060_7_1060_26">#REF!*#REF!*#REF!*#REF!</definedName>
    <definedName name="SHARED_FORMULA_7_1066_7_1066_22">NA()</definedName>
    <definedName name="SHARED_FORMULA_7_1069_7_1069_26">NA()</definedName>
    <definedName name="SHARED_FORMULA_7_1071_7_1071_26" localSheetId="11">NA()</definedName>
    <definedName name="SHARED_FORMULA_7_1071_7_1071_26" localSheetId="12">NA()</definedName>
    <definedName name="SHARED_FORMULA_7_1071_7_1071_26">#REF!*#REF!*#REF!*#REF!</definedName>
    <definedName name="SHARED_FORMULA_7_1074_7_1074_22" localSheetId="11">NA()</definedName>
    <definedName name="SHARED_FORMULA_7_1074_7_1074_22" localSheetId="12">NA()</definedName>
    <definedName name="SHARED_FORMULA_7_1074_7_1074_22" localSheetId="0">#REF!*#REF!*#REF!</definedName>
    <definedName name="SHARED_FORMULA_7_1074_7_1074_22">#REF!*#REF!*#REF!</definedName>
    <definedName name="SHARED_FORMULA_7_1082_7_1082_26">NA()</definedName>
    <definedName name="SHARED_FORMULA_7_1094_7_1094_22" localSheetId="11">NA()</definedName>
    <definedName name="SHARED_FORMULA_7_1094_7_1094_22" localSheetId="12">NA()</definedName>
    <definedName name="SHARED_FORMULA_7_1094_7_1094_22" localSheetId="0">#REF!*#REF!*#REF!</definedName>
    <definedName name="SHARED_FORMULA_7_1094_7_1094_22">#REF!*#REF!*#REF!</definedName>
    <definedName name="SHARED_FORMULA_7_11_7_11_26" localSheetId="11">NA()</definedName>
    <definedName name="SHARED_FORMULA_7_11_7_11_26" localSheetId="12">NA()</definedName>
    <definedName name="SHARED_FORMULA_7_11_7_11_26" localSheetId="0">+#REF!*#REF!*#REF!*#REF!</definedName>
    <definedName name="SHARED_FORMULA_7_11_7_11_26">+#REF!*#REF!*#REF!*#REF!</definedName>
    <definedName name="SHARED_FORMULA_7_11_7_11_30" localSheetId="11">NA()</definedName>
    <definedName name="SHARED_FORMULA_7_11_7_11_30" localSheetId="12">NA()</definedName>
    <definedName name="SHARED_FORMULA_7_11_7_11_30" localSheetId="0">+#REF!*#REF!*#REF!*#REF!</definedName>
    <definedName name="SHARED_FORMULA_7_11_7_11_30">+#REF!*#REF!*#REF!*#REF!</definedName>
    <definedName name="SHARED_FORMULA_7_110_7_110_22">NA()</definedName>
    <definedName name="SHARED_FORMULA_7_1106_7_1106_26" localSheetId="11">NA()</definedName>
    <definedName name="SHARED_FORMULA_7_1106_7_1106_26" localSheetId="12">NA()</definedName>
    <definedName name="SHARED_FORMULA_7_1106_7_1106_26">#REF!*#REF!*#REF!*#REF!</definedName>
    <definedName name="SHARED_FORMULA_7_1117_7_1117_22" localSheetId="11">NA()</definedName>
    <definedName name="SHARED_FORMULA_7_1117_7_1117_22" localSheetId="12">NA()</definedName>
    <definedName name="SHARED_FORMULA_7_1117_7_1117_22" localSheetId="0">+#REF!*#REF!*#REF!*#REF!</definedName>
    <definedName name="SHARED_FORMULA_7_1117_7_1117_22">+#REF!*#REF!*#REF!*#REF!</definedName>
    <definedName name="SHARED_FORMULA_7_1122_7_1122_26">NA()</definedName>
    <definedName name="SHARED_FORMULA_7_1135_7_1135_26">NA()</definedName>
    <definedName name="SHARED_FORMULA_7_1137_7_1137_26" localSheetId="11">NA()</definedName>
    <definedName name="SHARED_FORMULA_7_1137_7_1137_26" localSheetId="12">NA()</definedName>
    <definedName name="SHARED_FORMULA_7_1137_7_1137_26" localSheetId="0">#REF!*#REF!*#REF!*#REF!</definedName>
    <definedName name="SHARED_FORMULA_7_1137_7_1137_26">#REF!*#REF!*#REF!*#REF!</definedName>
    <definedName name="SHARED_FORMULA_7_115_7_115_26" localSheetId="11">NA()</definedName>
    <definedName name="SHARED_FORMULA_7_115_7_115_26" localSheetId="12">NA()</definedName>
    <definedName name="SHARED_FORMULA_7_115_7_115_26" localSheetId="0">+#REF!*#REF!*#REF!*#REF!</definedName>
    <definedName name="SHARED_FORMULA_7_115_7_115_26">+#REF!*#REF!*#REF!*#REF!</definedName>
    <definedName name="SHARED_FORMULA_7_1152_7_1152_22" localSheetId="11">NA()</definedName>
    <definedName name="SHARED_FORMULA_7_1152_7_1152_22" localSheetId="12">NA()</definedName>
    <definedName name="SHARED_FORMULA_7_1152_7_1152_22" localSheetId="0">+#REF!*#REF!*#REF!*#REF!</definedName>
    <definedName name="SHARED_FORMULA_7_1152_7_1152_22">+#REF!*#REF!*#REF!*#REF!</definedName>
    <definedName name="SHARED_FORMULA_7_1160_7_1160_22" localSheetId="11">NA()</definedName>
    <definedName name="SHARED_FORMULA_7_1160_7_1160_22" localSheetId="12">NA()</definedName>
    <definedName name="SHARED_FORMULA_7_1160_7_1160_22" localSheetId="0">+#REF!*#REF!*#REF!*#REF!</definedName>
    <definedName name="SHARED_FORMULA_7_1160_7_1160_22">+#REF!*#REF!*#REF!*#REF!</definedName>
    <definedName name="SHARED_FORMULA_7_1161_7_1161_6">NA()</definedName>
    <definedName name="SHARED_FORMULA_7_1163_7_1163_26" localSheetId="11">NA()</definedName>
    <definedName name="SHARED_FORMULA_7_1163_7_1163_26" localSheetId="12">NA()</definedName>
    <definedName name="SHARED_FORMULA_7_1163_7_1163_26">#REF!*#REF!*#REF!*#REF!</definedName>
    <definedName name="SHARED_FORMULA_7_1166_7_1166_26">NA()</definedName>
    <definedName name="SHARED_FORMULA_7_117_7_117_26">NA()</definedName>
    <definedName name="SHARED_FORMULA_7_117_7_117_33">NA()</definedName>
    <definedName name="SHARED_FORMULA_7_117_7_117_37">NA()</definedName>
    <definedName name="SHARED_FORMULA_7_1189_7_1189_26" localSheetId="11">NA()</definedName>
    <definedName name="SHARED_FORMULA_7_1189_7_1189_26" localSheetId="12">NA()</definedName>
    <definedName name="SHARED_FORMULA_7_1189_7_1189_26">#REF!*#REF!*#REF!*#REF!</definedName>
    <definedName name="SHARED_FORMULA_7_1192_7_1192_26">NA()</definedName>
    <definedName name="SHARED_FORMULA_7_12_7_12_8">NA()</definedName>
    <definedName name="SHARED_FORMULA_7_121_7_121_33" localSheetId="11">NA()</definedName>
    <definedName name="SHARED_FORMULA_7_121_7_121_33" localSheetId="12">NA()</definedName>
    <definedName name="SHARED_FORMULA_7_121_7_121_33">#REF!*#REF!*#REF!*#REF!</definedName>
    <definedName name="SHARED_FORMULA_7_121_7_121_8">NA()</definedName>
    <definedName name="SHARED_FORMULA_7_1218_7_1218_26">NA()</definedName>
    <definedName name="SHARED_FORMULA_7_123_7_123_37" localSheetId="11">NA()</definedName>
    <definedName name="SHARED_FORMULA_7_123_7_123_37" localSheetId="12">NA()</definedName>
    <definedName name="SHARED_FORMULA_7_123_7_123_37">+#REF!*#REF!*#REF!*#REF!</definedName>
    <definedName name="SHARED_FORMULA_7_126_7_126_30">NA()</definedName>
    <definedName name="SHARED_FORMULA_7_126_7_126_37">NA()</definedName>
    <definedName name="SHARED_FORMULA_7_130_7_130_22" localSheetId="11">NA()</definedName>
    <definedName name="SHARED_FORMULA_7_130_7_130_22" localSheetId="12">NA()</definedName>
    <definedName name="SHARED_FORMULA_7_130_7_130_22">#REF!*#REF!*#REF!*#REF!</definedName>
    <definedName name="SHARED_FORMULA_7_1308_7_1308_5">NA()</definedName>
    <definedName name="SHARED_FORMULA_7_131_7_131_30" localSheetId="11">NA()</definedName>
    <definedName name="SHARED_FORMULA_7_131_7_131_30" localSheetId="12">NA()</definedName>
    <definedName name="SHARED_FORMULA_7_131_7_131_30">+#REF!*#REF!*#REF!*#REF!</definedName>
    <definedName name="SHARED_FORMULA_7_1310_7_1310_26">NA()</definedName>
    <definedName name="SHARED_FORMULA_7_132_7_132_37" localSheetId="11">NA()</definedName>
    <definedName name="SHARED_FORMULA_7_132_7_132_37" localSheetId="12">NA()</definedName>
    <definedName name="SHARED_FORMULA_7_132_7_132_37">#REF!*#REF!*#REF!*#REF!</definedName>
    <definedName name="SHARED_FORMULA_7_1325_7_1325_26">NA()</definedName>
    <definedName name="SHARED_FORMULA_7_1326_7_1326_26" localSheetId="11">NA()</definedName>
    <definedName name="SHARED_FORMULA_7_1326_7_1326_26" localSheetId="12">NA()</definedName>
    <definedName name="SHARED_FORMULA_7_1326_7_1326_26">+#REF!*#REF!*#REF!</definedName>
    <definedName name="SHARED_FORMULA_7_1334_7_1334_26">NA()</definedName>
    <definedName name="SHARED_FORMULA_7_134_7_134_22">NA()</definedName>
    <definedName name="SHARED_FORMULA_7_1341_7_1341_26" localSheetId="11">NA()</definedName>
    <definedName name="SHARED_FORMULA_7_1341_7_1341_26" localSheetId="12">NA()</definedName>
    <definedName name="SHARED_FORMULA_7_1341_7_1341_26">+#REF!*#REF!*#REF!</definedName>
    <definedName name="SHARED_FORMULA_7_1343_7_1343_26">NA()</definedName>
    <definedName name="SHARED_FORMULA_7_135_7_135_37">NA()</definedName>
    <definedName name="SHARED_FORMULA_7_1350_7_1350_26" localSheetId="11">NA()</definedName>
    <definedName name="SHARED_FORMULA_7_1350_7_1350_26" localSheetId="12">NA()</definedName>
    <definedName name="SHARED_FORMULA_7_1350_7_1350_26">+#REF!*#REF!*#REF!</definedName>
    <definedName name="SHARED_FORMULA_7_1354_7_1354_26">NA()</definedName>
    <definedName name="SHARED_FORMULA_7_1359_7_1359_26" localSheetId="11">NA()</definedName>
    <definedName name="SHARED_FORMULA_7_1359_7_1359_26" localSheetId="12">NA()</definedName>
    <definedName name="SHARED_FORMULA_7_1359_7_1359_26">+#REF!*#REF!*#REF!</definedName>
    <definedName name="SHARED_FORMULA_7_136_7_136_30">NA()</definedName>
    <definedName name="SHARED_FORMULA_7_1370_7_1370_26" localSheetId="11">NA()</definedName>
    <definedName name="SHARED_FORMULA_7_1370_7_1370_26" localSheetId="12">NA()</definedName>
    <definedName name="SHARED_FORMULA_7_1370_7_1370_26">+#REF!*#REF!*#REF!*#REF!</definedName>
    <definedName name="SHARED_FORMULA_7_1382_7_1382_26">NA()</definedName>
    <definedName name="SHARED_FORMULA_7_1398_7_1398_26" localSheetId="11">NA()</definedName>
    <definedName name="SHARED_FORMULA_7_1398_7_1398_26" localSheetId="12">NA()</definedName>
    <definedName name="SHARED_FORMULA_7_1398_7_1398_26">+#REF!*#REF!*#REF!*#REF!</definedName>
    <definedName name="SHARED_FORMULA_7_1402_7_1402_26">NA()</definedName>
    <definedName name="SHARED_FORMULA_7_141_7_141_30" localSheetId="11">NA()</definedName>
    <definedName name="SHARED_FORMULA_7_141_7_141_30" localSheetId="12">NA()</definedName>
    <definedName name="SHARED_FORMULA_7_141_7_141_30">#REF!*#REF!*#REF!*#REF!</definedName>
    <definedName name="SHARED_FORMULA_7_141_7_141_37" localSheetId="11">NA()</definedName>
    <definedName name="SHARED_FORMULA_7_141_7_141_37" localSheetId="12">NA()</definedName>
    <definedName name="SHARED_FORMULA_7_141_7_141_37" localSheetId="0">#REF!*#REF!*#REF!*#REF!</definedName>
    <definedName name="SHARED_FORMULA_7_141_7_141_37">#REF!*#REF!*#REF!*#REF!</definedName>
    <definedName name="SHARED_FORMULA_7_1418_7_1418_26" localSheetId="11">NA()</definedName>
    <definedName name="SHARED_FORMULA_7_1418_7_1418_26" localSheetId="12">NA()</definedName>
    <definedName name="SHARED_FORMULA_7_1418_7_1418_26" localSheetId="0">+#REF!*#REF!*#REF!*#REF!</definedName>
    <definedName name="SHARED_FORMULA_7_1418_7_1418_26">+#REF!*#REF!*#REF!*#REF!</definedName>
    <definedName name="SHARED_FORMULA_7_1422_7_1422_26">NA()</definedName>
    <definedName name="SHARED_FORMULA_7_1438_7_1438_26" localSheetId="11">NA()</definedName>
    <definedName name="SHARED_FORMULA_7_1438_7_1438_26" localSheetId="12">NA()</definedName>
    <definedName name="SHARED_FORMULA_7_1438_7_1438_26">+#REF!*#REF!*#REF!*#REF!</definedName>
    <definedName name="SHARED_FORMULA_7_144_7_144_37">NA()</definedName>
    <definedName name="SHARED_FORMULA_7_1443_7_1443_26">NA()</definedName>
    <definedName name="SHARED_FORMULA_7_145_7_145_30">NA()</definedName>
    <definedName name="SHARED_FORMULA_7_1459_7_1459_26" localSheetId="11">NA()</definedName>
    <definedName name="SHARED_FORMULA_7_1459_7_1459_26" localSheetId="12">NA()</definedName>
    <definedName name="SHARED_FORMULA_7_1459_7_1459_26">+#REF!*#REF!*#REF!</definedName>
    <definedName name="SHARED_FORMULA_7_147_7_147_8">NA()</definedName>
    <definedName name="SHARED_FORMULA_7_1475_7_1475_26">NA()</definedName>
    <definedName name="SHARED_FORMULA_7_148_7_148_33">NA()</definedName>
    <definedName name="SHARED_FORMULA_7_1491_7_1491_26" localSheetId="11">NA()</definedName>
    <definedName name="SHARED_FORMULA_7_1491_7_1491_26" localSheetId="12">NA()</definedName>
    <definedName name="SHARED_FORMULA_7_1491_7_1491_26">#REF!*#REF!*#REF!*#REF!</definedName>
    <definedName name="SHARED_FORMULA_7_150_7_150_30" localSheetId="11">NA()</definedName>
    <definedName name="SHARED_FORMULA_7_150_7_150_30" localSheetId="12">NA()</definedName>
    <definedName name="SHARED_FORMULA_7_150_7_150_30" localSheetId="0">#REF!*#REF!*#REF!*#REF!</definedName>
    <definedName name="SHARED_FORMULA_7_150_7_150_30">#REF!*#REF!*#REF!*#REF!</definedName>
    <definedName name="SHARED_FORMULA_7_150_7_150_37" localSheetId="11">NA()</definedName>
    <definedName name="SHARED_FORMULA_7_150_7_150_37" localSheetId="12">NA()</definedName>
    <definedName name="SHARED_FORMULA_7_150_7_150_37" localSheetId="0">#REF!*#REF!*#REF!*#REF!</definedName>
    <definedName name="SHARED_FORMULA_7_150_7_150_37">#REF!*#REF!*#REF!*#REF!</definedName>
    <definedName name="SHARED_FORMULA_7_1506_7_1506_26">NA()</definedName>
    <definedName name="SHARED_FORMULA_7_1522_7_1522_26" localSheetId="11">NA()</definedName>
    <definedName name="SHARED_FORMULA_7_1522_7_1522_26" localSheetId="12">NA()</definedName>
    <definedName name="SHARED_FORMULA_7_1522_7_1522_26">#REF!*#REF!*#REF!*#REF!</definedName>
    <definedName name="SHARED_FORMULA_7_153_7_153_22" localSheetId="11">NA()</definedName>
    <definedName name="SHARED_FORMULA_7_153_7_153_22" localSheetId="12">NA()</definedName>
    <definedName name="SHARED_FORMULA_7_153_7_153_22" localSheetId="0">#REF!*#REF!*#REF!*#REF!</definedName>
    <definedName name="SHARED_FORMULA_7_153_7_153_22">#REF!*#REF!*#REF!*#REF!</definedName>
    <definedName name="SHARED_FORMULA_7_153_7_153_26">NA()</definedName>
    <definedName name="SHARED_FORMULA_7_1531_7_1531_26">NA()</definedName>
    <definedName name="SHARED_FORMULA_7_154_7_154_33" localSheetId="11">NA()</definedName>
    <definedName name="SHARED_FORMULA_7_154_7_154_33" localSheetId="12">NA()</definedName>
    <definedName name="SHARED_FORMULA_7_154_7_154_33" localSheetId="0">#REF!*#REF!*#REF!*#REF!</definedName>
    <definedName name="SHARED_FORMULA_7_154_7_154_33">#REF!*#REF!*#REF!*#REF!</definedName>
    <definedName name="SHARED_FORMULA_7_1547_7_1547_26" localSheetId="11">NA()</definedName>
    <definedName name="SHARED_FORMULA_7_1547_7_1547_26" localSheetId="12">NA()</definedName>
    <definedName name="SHARED_FORMULA_7_1547_7_1547_26" localSheetId="0">#REF!*#REF!*#REF!*#REF!</definedName>
    <definedName name="SHARED_FORMULA_7_1547_7_1547_26">#REF!*#REF!*#REF!*#REF!</definedName>
    <definedName name="SHARED_FORMULA_7_1556_7_1556_26">NA()</definedName>
    <definedName name="SHARED_FORMULA_7_156_7_156_26" localSheetId="11">NA()</definedName>
    <definedName name="SHARED_FORMULA_7_156_7_156_26" localSheetId="12">NA()</definedName>
    <definedName name="SHARED_FORMULA_7_156_7_156_26" localSheetId="0">#REF!*#REF!*#REF!*#REF!</definedName>
    <definedName name="SHARED_FORMULA_7_156_7_156_26">#REF!*#REF!*#REF!*#REF!</definedName>
    <definedName name="SHARED_FORMULA_7_157_7_157_22">NA()</definedName>
    <definedName name="SHARED_FORMULA_7_1572_7_1572_26" localSheetId="11">NA()</definedName>
    <definedName name="SHARED_FORMULA_7_1572_7_1572_26" localSheetId="12">NA()</definedName>
    <definedName name="SHARED_FORMULA_7_1572_7_1572_26">#REF!*#REF!*#REF!*#REF!</definedName>
    <definedName name="SHARED_FORMULA_7_159_7_159_37">NA()</definedName>
    <definedName name="SHARED_FORMULA_7_161_7_161_26">NA()</definedName>
    <definedName name="SHARED_FORMULA_7_161_7_161_30">NA()</definedName>
    <definedName name="SHARED_FORMULA_7_164_7_164_26" localSheetId="11">NA()</definedName>
    <definedName name="SHARED_FORMULA_7_164_7_164_26" localSheetId="12">NA()</definedName>
    <definedName name="SHARED_FORMULA_7_164_7_164_26">+#REF!*#REF!*#REF!*#REF!</definedName>
    <definedName name="SHARED_FORMULA_7_165_7_165_37" localSheetId="11">NA()</definedName>
    <definedName name="SHARED_FORMULA_7_165_7_165_37" localSheetId="12">NA()</definedName>
    <definedName name="SHARED_FORMULA_7_165_7_165_37" localSheetId="0">#REF!*#REF!*#REF!</definedName>
    <definedName name="SHARED_FORMULA_7_165_7_165_37">#REF!*#REF!*#REF!</definedName>
    <definedName name="SHARED_FORMULA_7_166_7_166_30" localSheetId="11">NA()</definedName>
    <definedName name="SHARED_FORMULA_7_166_7_166_30" localSheetId="12">NA()</definedName>
    <definedName name="SHARED_FORMULA_7_166_7_166_30" localSheetId="0">+#REF!*#REF!*#REF!*#REF!</definedName>
    <definedName name="SHARED_FORMULA_7_166_7_166_30">+#REF!*#REF!*#REF!*#REF!</definedName>
    <definedName name="SHARED_FORMULA_7_168_7_168_33">NA()</definedName>
    <definedName name="SHARED_FORMULA_7_169_7_169_26">NA()</definedName>
    <definedName name="SHARED_FORMULA_7_17_7_17_22" localSheetId="11">NA()</definedName>
    <definedName name="SHARED_FORMULA_7_17_7_17_22" localSheetId="12">NA()</definedName>
    <definedName name="SHARED_FORMULA_7_17_7_17_22">#REF!*#REF!*#REF!*#REF!</definedName>
    <definedName name="SHARED_FORMULA_7_172_7_172_22" localSheetId="11">NA()</definedName>
    <definedName name="SHARED_FORMULA_7_172_7_172_22" localSheetId="12">NA()</definedName>
    <definedName name="SHARED_FORMULA_7_172_7_172_22" localSheetId="0">#REF!*#REF!*#REF!*#REF!</definedName>
    <definedName name="SHARED_FORMULA_7_172_7_172_22">#REF!*#REF!*#REF!*#REF!</definedName>
    <definedName name="SHARED_FORMULA_7_172_7_172_26" localSheetId="11">NA()</definedName>
    <definedName name="SHARED_FORMULA_7_172_7_172_26" localSheetId="12">NA()</definedName>
    <definedName name="SHARED_FORMULA_7_172_7_172_26" localSheetId="0">#REF!*#REF!*#REF!*#REF!</definedName>
    <definedName name="SHARED_FORMULA_7_172_7_172_26">#REF!*#REF!*#REF!*#REF!</definedName>
    <definedName name="SHARED_FORMULA_7_172_7_172_37">NA()</definedName>
    <definedName name="SHARED_FORMULA_7_174_7_174_33" localSheetId="11">NA()</definedName>
    <definedName name="SHARED_FORMULA_7_174_7_174_33" localSheetId="12">NA()</definedName>
    <definedName name="SHARED_FORMULA_7_174_7_174_33">#REF!*#REF!*#REF!</definedName>
    <definedName name="SHARED_FORMULA_7_175_7_175_1">NA()</definedName>
    <definedName name="SHARED_FORMULA_7_176_7_176_22">NA()</definedName>
    <definedName name="SHARED_FORMULA_7_178_7_178_30">NA()</definedName>
    <definedName name="SHARED_FORMULA_7_178_7_178_37" localSheetId="11">NA()</definedName>
    <definedName name="SHARED_FORMULA_7_178_7_178_37" localSheetId="12">NA()</definedName>
    <definedName name="SHARED_FORMULA_7_178_7_178_37">#REF!*#REF!*#REF!</definedName>
    <definedName name="SHARED_FORMULA_7_181_7_181_26">NA()</definedName>
    <definedName name="SHARED_FORMULA_7_183_7_183_30" localSheetId="11">NA()</definedName>
    <definedName name="SHARED_FORMULA_7_183_7_183_30" localSheetId="12">NA()</definedName>
    <definedName name="SHARED_FORMULA_7_183_7_183_30">#REF!*#REF!*#REF!*#REF!</definedName>
    <definedName name="SHARED_FORMULA_7_184_7_184_26" localSheetId="11">NA()</definedName>
    <definedName name="SHARED_FORMULA_7_184_7_184_26" localSheetId="12">NA()</definedName>
    <definedName name="SHARED_FORMULA_7_184_7_184_26" localSheetId="0">#REF!*#REF!*#REF!*#REF!</definedName>
    <definedName name="SHARED_FORMULA_7_184_7_184_26">#REF!*#REF!*#REF!*#REF!</definedName>
    <definedName name="SHARED_FORMULA_7_185_7_185_37">NA()</definedName>
    <definedName name="SHARED_FORMULA_7_190_7_190_33">NA()</definedName>
    <definedName name="SHARED_FORMULA_7_191_7_191_37" localSheetId="11">NA()</definedName>
    <definedName name="SHARED_FORMULA_7_191_7_191_37" localSheetId="12">NA()</definedName>
    <definedName name="SHARED_FORMULA_7_191_7_191_37" localSheetId="0">#REF!*#REF!*#REF!</definedName>
    <definedName name="SHARED_FORMULA_7_191_7_191_37">#REF!*#REF!*#REF!</definedName>
    <definedName name="SHARED_FORMULA_7_193_7_193_30">NA()</definedName>
    <definedName name="SHARED_FORMULA_7_196_7_196_33" localSheetId="11">NA()</definedName>
    <definedName name="SHARED_FORMULA_7_196_7_196_33" localSheetId="12">NA()</definedName>
    <definedName name="SHARED_FORMULA_7_196_7_196_33" localSheetId="0">#REF!*#REF!*#REF!*#REF!*#REF!</definedName>
    <definedName name="SHARED_FORMULA_7_196_7_196_33">#REF!*#REF!*#REF!*#REF!*#REF!</definedName>
    <definedName name="SHARED_FORMULA_7_198_7_198_30" localSheetId="11">NA()</definedName>
    <definedName name="SHARED_FORMULA_7_198_7_198_30" localSheetId="12">NA()</definedName>
    <definedName name="SHARED_FORMULA_7_198_7_198_30" localSheetId="0">#REF!*#REF!*#REF!*#REF!*#REF!</definedName>
    <definedName name="SHARED_FORMULA_7_198_7_198_30">#REF!*#REF!*#REF!*#REF!*#REF!</definedName>
    <definedName name="SHARED_FORMULA_7_198_7_198_33">NA()</definedName>
    <definedName name="SHARED_FORMULA_7_200_7_200_26">NA()</definedName>
    <definedName name="SHARED_FORMULA_7_203_7_203_26" localSheetId="11">NA()</definedName>
    <definedName name="SHARED_FORMULA_7_203_7_203_26" localSheetId="12">NA()</definedName>
    <definedName name="SHARED_FORMULA_7_203_7_203_26" localSheetId="0">#REF!*#REF!*#REF!*#REF!</definedName>
    <definedName name="SHARED_FORMULA_7_203_7_203_26">#REF!*#REF!*#REF!*#REF!</definedName>
    <definedName name="SHARED_FORMULA_7_204_7_204_33" localSheetId="11">NA()</definedName>
    <definedName name="SHARED_FORMULA_7_204_7_204_33" localSheetId="12">NA()</definedName>
    <definedName name="SHARED_FORMULA_7_204_7_204_33" localSheetId="0">#REF!*#REF!*#REF!*#REF!*#REF!</definedName>
    <definedName name="SHARED_FORMULA_7_204_7_204_33">#REF!*#REF!*#REF!*#REF!*#REF!</definedName>
    <definedName name="SHARED_FORMULA_7_204_7_204_37">NA()</definedName>
    <definedName name="SHARED_FORMULA_7_207_7_207_26">NA()</definedName>
    <definedName name="SHARED_FORMULA_7_21_7_21_33" localSheetId="11">NA()</definedName>
    <definedName name="SHARED_FORMULA_7_21_7_21_33" localSheetId="12">NA()</definedName>
    <definedName name="SHARED_FORMULA_7_21_7_21_33" localSheetId="0">#REF!*#REF!*#REF!*#REF!</definedName>
    <definedName name="SHARED_FORMULA_7_21_7_21_33">#REF!*#REF!*#REF!*#REF!</definedName>
    <definedName name="SHARED_FORMULA_7_210_7_210_26" localSheetId="11">NA()</definedName>
    <definedName name="SHARED_FORMULA_7_210_7_210_26" localSheetId="12">NA()</definedName>
    <definedName name="SHARED_FORMULA_7_210_7_210_26" localSheetId="0">#REF!*#REF!*#REF!*#REF!</definedName>
    <definedName name="SHARED_FORMULA_7_210_7_210_26">#REF!*#REF!*#REF!*#REF!</definedName>
    <definedName name="SHARED_FORMULA_7_217_7_217_37" localSheetId="11">NA()</definedName>
    <definedName name="SHARED_FORMULA_7_217_7_217_37" localSheetId="12">NA()</definedName>
    <definedName name="SHARED_FORMULA_7_217_7_217_37" localSheetId="0">#REF!*#REF!*#REF!*#REF!</definedName>
    <definedName name="SHARED_FORMULA_7_217_7_217_37">#REF!*#REF!*#REF!*#REF!</definedName>
    <definedName name="SHARED_FORMULA_7_220_7_220_26">NA()</definedName>
    <definedName name="SHARED_FORMULA_7_2209_7_2209_9">12*2</definedName>
    <definedName name="SHARED_FORMULA_7_223_7_223_26" localSheetId="11">NA()</definedName>
    <definedName name="SHARED_FORMULA_7_223_7_223_26" localSheetId="12">NA()</definedName>
    <definedName name="SHARED_FORMULA_7_223_7_223_26" localSheetId="0">+#REF!*#REF!*#REF!*#REF!</definedName>
    <definedName name="SHARED_FORMULA_7_223_7_223_26">+#REF!*#REF!*#REF!*#REF!</definedName>
    <definedName name="SHARED_FORMULA_7_225_7_225_30" localSheetId="11">NA()</definedName>
    <definedName name="SHARED_FORMULA_7_225_7_225_30" localSheetId="12">NA()</definedName>
    <definedName name="SHARED_FORMULA_7_225_7_225_30" localSheetId="0">+#REF!*#REF!*#REF!*#REF!</definedName>
    <definedName name="SHARED_FORMULA_7_225_7_225_30">+#REF!*#REF!*#REF!*#REF!</definedName>
    <definedName name="SHARED_FORMULA_7_227_7_227_22">NA()</definedName>
    <definedName name="SHARED_FORMULA_7_228_7_228_26">NA()</definedName>
    <definedName name="SHARED_FORMULA_7_229_7_229_33">NA()</definedName>
    <definedName name="SHARED_FORMULA_7_230_7_230_30">NA()</definedName>
    <definedName name="SHARED_FORMULA_7_231_7_231_26" localSheetId="11">NA()</definedName>
    <definedName name="SHARED_FORMULA_7_231_7_231_26" localSheetId="12">NA()</definedName>
    <definedName name="SHARED_FORMULA_7_231_7_231_26" localSheetId="0">+#REF!*#REF!*#REF!*#REF!</definedName>
    <definedName name="SHARED_FORMULA_7_231_7_231_26">+#REF!*#REF!*#REF!*#REF!</definedName>
    <definedName name="SHARED_FORMULA_7_232_7_232_22" localSheetId="11">NA()</definedName>
    <definedName name="SHARED_FORMULA_7_232_7_232_22" localSheetId="12">NA()</definedName>
    <definedName name="SHARED_FORMULA_7_232_7_232_22" localSheetId="0">#REF!*#REF!*#REF!*#REF!</definedName>
    <definedName name="SHARED_FORMULA_7_232_7_232_22">#REF!*#REF!*#REF!*#REF!</definedName>
    <definedName name="SHARED_FORMULA_7_235_7_235_33" localSheetId="11">NA()</definedName>
    <definedName name="SHARED_FORMULA_7_235_7_235_33" localSheetId="12">NA()</definedName>
    <definedName name="SHARED_FORMULA_7_235_7_235_33" localSheetId="0">#REF!*#REF!*#REF!</definedName>
    <definedName name="SHARED_FORMULA_7_235_7_235_33">#REF!*#REF!*#REF!</definedName>
    <definedName name="SHARED_FORMULA_7_236_7_236_26">NA()</definedName>
    <definedName name="SHARED_FORMULA_7_239_7_239_26" localSheetId="11">NA()</definedName>
    <definedName name="SHARED_FORMULA_7_239_7_239_26" localSheetId="12">NA()</definedName>
    <definedName name="SHARED_FORMULA_7_239_7_239_26">+#REF!*#REF!*#REF!*#REF!</definedName>
    <definedName name="SHARED_FORMULA_7_24_7_24_37" localSheetId="11">NA()</definedName>
    <definedName name="SHARED_FORMULA_7_24_7_24_37" localSheetId="12">NA()</definedName>
    <definedName name="SHARED_FORMULA_7_24_7_24_37" localSheetId="0">#REF!*#REF!*#REF!*#REF!</definedName>
    <definedName name="SHARED_FORMULA_7_24_7_24_37">#REF!*#REF!*#REF!*#REF!</definedName>
    <definedName name="SHARED_FORMULA_7_241_7_241_22">NA()</definedName>
    <definedName name="SHARED_FORMULA_7_245_7_245_22" localSheetId="11">NA()</definedName>
    <definedName name="SHARED_FORMULA_7_245_7_245_22" localSheetId="12">NA()</definedName>
    <definedName name="SHARED_FORMULA_7_245_7_245_22" localSheetId="0">#REF!*#REF!*#REF!*#REF!</definedName>
    <definedName name="SHARED_FORMULA_7_245_7_245_22">#REF!*#REF!*#REF!*#REF!</definedName>
    <definedName name="SHARED_FORMULA_7_245_7_245_26">NA()</definedName>
    <definedName name="SHARED_FORMULA_7_245_7_245_30" localSheetId="11">NA()</definedName>
    <definedName name="SHARED_FORMULA_7_245_7_245_30" localSheetId="12">NA()</definedName>
    <definedName name="SHARED_FORMULA_7_245_7_245_30">+#REF!*#REF!*#REF!</definedName>
    <definedName name="SHARED_FORMULA_7_252_7_252_26" localSheetId="11">NA()</definedName>
    <definedName name="SHARED_FORMULA_7_252_7_252_26" localSheetId="12">NA()</definedName>
    <definedName name="SHARED_FORMULA_7_252_7_252_26" localSheetId="0">#REF!*#REF!*#REF!*#REF!</definedName>
    <definedName name="SHARED_FORMULA_7_252_7_252_26">#REF!*#REF!*#REF!*#REF!</definedName>
    <definedName name="SHARED_FORMULA_7_256_7_256_22">NA()</definedName>
    <definedName name="SHARED_FORMULA_7_260_7_260_22" localSheetId="11">NA()</definedName>
    <definedName name="SHARED_FORMULA_7_260_7_260_22" localSheetId="12">NA()</definedName>
    <definedName name="SHARED_FORMULA_7_260_7_260_22" localSheetId="0">#REF!*#REF!*#REF!*#REF!*#REF!</definedName>
    <definedName name="SHARED_FORMULA_7_260_7_260_22">#REF!*#REF!*#REF!*#REF!*#REF!</definedName>
    <definedName name="SHARED_FORMULA_7_261_7_261_26">NA()</definedName>
    <definedName name="SHARED_FORMULA_7_265_7_265_33">NA()</definedName>
    <definedName name="SHARED_FORMULA_7_271_7_271_33" localSheetId="11">NA()</definedName>
    <definedName name="SHARED_FORMULA_7_271_7_271_33" localSheetId="12">NA()</definedName>
    <definedName name="SHARED_FORMULA_7_271_7_271_33">#REF!*#REF!*#REF!*#REF!</definedName>
    <definedName name="SHARED_FORMULA_7_271_7_271_37">NA()</definedName>
    <definedName name="SHARED_FORMULA_7_272_7_272_22">NA()</definedName>
    <definedName name="SHARED_FORMULA_7_272_7_272_26" localSheetId="11">NA()</definedName>
    <definedName name="SHARED_FORMULA_7_272_7_272_26" localSheetId="12">NA()</definedName>
    <definedName name="SHARED_FORMULA_7_272_7_272_26">#REF!*#REF!*#REF!*#REF!</definedName>
    <definedName name="SHARED_FORMULA_7_273_7_273_33">NA()</definedName>
    <definedName name="SHARED_FORMULA_7_275_7_275_26">NA()</definedName>
    <definedName name="SHARED_FORMULA_7_276_7_276_22" localSheetId="11">NA()</definedName>
    <definedName name="SHARED_FORMULA_7_276_7_276_22" localSheetId="12">NA()</definedName>
    <definedName name="SHARED_FORMULA_7_276_7_276_22">#REF!*#REF!*#REF!*#REF!</definedName>
    <definedName name="SHARED_FORMULA_7_278_7_278_37">NA()</definedName>
    <definedName name="SHARED_FORMULA_7_279_7_279_33" localSheetId="11">NA()</definedName>
    <definedName name="SHARED_FORMULA_7_279_7_279_33" localSheetId="12">NA()</definedName>
    <definedName name="SHARED_FORMULA_7_279_7_279_33">#REF!*#REF!*#REF!*#REF!</definedName>
    <definedName name="SHARED_FORMULA_7_285_7_285_30" localSheetId="11">NA()</definedName>
    <definedName name="SHARED_FORMULA_7_285_7_285_30" localSheetId="12">NA()</definedName>
    <definedName name="SHARED_FORMULA_7_285_7_285_30" localSheetId="0">#REF!*#REF!*#REF!*#REF!</definedName>
    <definedName name="SHARED_FORMULA_7_285_7_285_30">#REF!*#REF!*#REF!*#REF!</definedName>
    <definedName name="SHARED_FORMULA_7_287_7_287_26" localSheetId="11">NA()</definedName>
    <definedName name="SHARED_FORMULA_7_287_7_287_26" localSheetId="12">NA()</definedName>
    <definedName name="SHARED_FORMULA_7_287_7_287_26" localSheetId="0">#REF!*#REF!*#REF!*#REF!</definedName>
    <definedName name="SHARED_FORMULA_7_287_7_287_26">#REF!*#REF!*#REF!*#REF!</definedName>
    <definedName name="SHARED_FORMULA_7_289_7_289_26">NA()</definedName>
    <definedName name="SHARED_FORMULA_7_290_7_290_37" localSheetId="11">NA()</definedName>
    <definedName name="SHARED_FORMULA_7_290_7_290_37" localSheetId="12">NA()</definedName>
    <definedName name="SHARED_FORMULA_7_290_7_290_37">#REF!*#REF!*#REF!*#REF!</definedName>
    <definedName name="SHARED_FORMULA_7_291_7_291_22">NA()</definedName>
    <definedName name="SHARED_FORMULA_7_292_7_292_30">NA()</definedName>
    <definedName name="SHARED_FORMULA_7_294_7_294_37">NA()</definedName>
    <definedName name="SHARED_FORMULA_7_295_7_295_22" localSheetId="11">NA()</definedName>
    <definedName name="SHARED_FORMULA_7_295_7_295_22" localSheetId="12">NA()</definedName>
    <definedName name="SHARED_FORMULA_7_295_7_295_22">#REF!*#REF!*#REF!*#REF!</definedName>
    <definedName name="SHARED_FORMULA_7_297_7_297_37" localSheetId="11">NA()</definedName>
    <definedName name="SHARED_FORMULA_7_297_7_297_37" localSheetId="12">NA()</definedName>
    <definedName name="SHARED_FORMULA_7_297_7_297_37" localSheetId="0">#REF!*#REF!*#REF!*#REF!</definedName>
    <definedName name="SHARED_FORMULA_7_297_7_297_37">#REF!*#REF!*#REF!*#REF!</definedName>
    <definedName name="SHARED_FORMULA_7_3_7_3_25">NA()</definedName>
    <definedName name="SHARED_FORMULA_7_302_7_302_26" localSheetId="11">NA()</definedName>
    <definedName name="SHARED_FORMULA_7_302_7_302_26" localSheetId="12">NA()</definedName>
    <definedName name="SHARED_FORMULA_7_302_7_302_26" localSheetId="0">#REF!*#REF!*#REF!*#REF!</definedName>
    <definedName name="SHARED_FORMULA_7_302_7_302_26">#REF!*#REF!*#REF!*#REF!</definedName>
    <definedName name="SHARED_FORMULA_7_302_7_302_33">NA()</definedName>
    <definedName name="SHARED_FORMULA_7_306_7_306_22">NA()</definedName>
    <definedName name="SHARED_FORMULA_7_306_7_306_30" localSheetId="11">NA()</definedName>
    <definedName name="SHARED_FORMULA_7_306_7_306_30" localSheetId="12">NA()</definedName>
    <definedName name="SHARED_FORMULA_7_306_7_306_30">#REF!*#REF!*#REF!*#REF!</definedName>
    <definedName name="SHARED_FORMULA_7_308_7_308_33" localSheetId="11">NA()</definedName>
    <definedName name="SHARED_FORMULA_7_308_7_308_33" localSheetId="12">NA()</definedName>
    <definedName name="SHARED_FORMULA_7_308_7_308_33" localSheetId="0">#REF!*#REF!*#REF!</definedName>
    <definedName name="SHARED_FORMULA_7_308_7_308_33">#REF!*#REF!*#REF!</definedName>
    <definedName name="SHARED_FORMULA_7_31_7_31_22" localSheetId="11">NA()</definedName>
    <definedName name="SHARED_FORMULA_7_31_7_31_22" localSheetId="12">NA()</definedName>
    <definedName name="SHARED_FORMULA_7_31_7_31_22" localSheetId="0">#REF!*#REF!*#REF!*#REF!</definedName>
    <definedName name="SHARED_FORMULA_7_31_7_31_22">#REF!*#REF!*#REF!*#REF!</definedName>
    <definedName name="SHARED_FORMULA_7_310_7_310_22" localSheetId="11">NA()</definedName>
    <definedName name="SHARED_FORMULA_7_310_7_310_22" localSheetId="12">NA()</definedName>
    <definedName name="SHARED_FORMULA_7_310_7_310_22" localSheetId="0">#REF!*#REF!*#REF!*#REF!*#REF!</definedName>
    <definedName name="SHARED_FORMULA_7_310_7_310_22">#REF!*#REF!*#REF!*#REF!*#REF!</definedName>
    <definedName name="SHARED_FORMULA_7_312_7_312_37" localSheetId="11">NA()</definedName>
    <definedName name="SHARED_FORMULA_7_312_7_312_37" localSheetId="12">NA()</definedName>
    <definedName name="SHARED_FORMULA_7_312_7_312_37" localSheetId="0">+#REF!*#REF!*#REF!*#REF!</definedName>
    <definedName name="SHARED_FORMULA_7_312_7_312_37">+#REF!*#REF!*#REF!*#REF!</definedName>
    <definedName name="SHARED_FORMULA_7_316_7_316_30">NA()</definedName>
    <definedName name="SHARED_FORMULA_7_32_7_32_37" localSheetId="11">NA()</definedName>
    <definedName name="SHARED_FORMULA_7_32_7_32_37" localSheetId="12">NA()</definedName>
    <definedName name="SHARED_FORMULA_7_32_7_32_37">#REF!*#REF!*#REF!*#REF!</definedName>
    <definedName name="SHARED_FORMULA_7_320_7_320_33">NA()</definedName>
    <definedName name="SHARED_FORMULA_7_321_7_321_37" localSheetId="11">NA()</definedName>
    <definedName name="SHARED_FORMULA_7_321_7_321_37" localSheetId="12">NA()</definedName>
    <definedName name="SHARED_FORMULA_7_321_7_321_37">#REF!*#REF!*#REF!</definedName>
    <definedName name="SHARED_FORMULA_7_322_7_322_30" localSheetId="11">NA()</definedName>
    <definedName name="SHARED_FORMULA_7_322_7_322_30" localSheetId="12">NA()</definedName>
    <definedName name="SHARED_FORMULA_7_322_7_322_30" localSheetId="0">+#REF!*#REF!*#REF!*#REF!*#REF!</definedName>
    <definedName name="SHARED_FORMULA_7_322_7_322_30">+#REF!*#REF!*#REF!*#REF!*#REF!</definedName>
    <definedName name="SHARED_FORMULA_7_325_7_325_22">NA()</definedName>
    <definedName name="SHARED_FORMULA_7_326_7_326_33" localSheetId="11">NA()</definedName>
    <definedName name="SHARED_FORMULA_7_326_7_326_33" localSheetId="12">NA()</definedName>
    <definedName name="SHARED_FORMULA_7_326_7_326_33" localSheetId="0">#REF!*#REF!</definedName>
    <definedName name="SHARED_FORMULA_7_326_7_326_33">#REF!*#REF!</definedName>
    <definedName name="SHARED_FORMULA_7_329_7_329_22" localSheetId="11">NA()</definedName>
    <definedName name="SHARED_FORMULA_7_329_7_329_22" localSheetId="12">NA()</definedName>
    <definedName name="SHARED_FORMULA_7_329_7_329_22" localSheetId="0">#REF!*#REF!*#REF!*#REF!</definedName>
    <definedName name="SHARED_FORMULA_7_329_7_329_22">#REF!*#REF!*#REF!*#REF!</definedName>
    <definedName name="SHARED_FORMULA_7_329_7_329_26">NA()</definedName>
    <definedName name="SHARED_FORMULA_7_330_7_330_30" localSheetId="11">NA()</definedName>
    <definedName name="SHARED_FORMULA_7_330_7_330_30" localSheetId="12">NA()</definedName>
    <definedName name="SHARED_FORMULA_7_330_7_330_30" localSheetId="0">+#REF!*#REF!*#REF!</definedName>
    <definedName name="SHARED_FORMULA_7_330_7_330_30">+#REF!*#REF!*#REF!</definedName>
    <definedName name="SHARED_FORMULA_7_333_7_333_30">NA()</definedName>
    <definedName name="SHARED_FORMULA_7_335_7_335_37">NA()</definedName>
    <definedName name="SHARED_FORMULA_7_337_7_337_26">NA()</definedName>
    <definedName name="SHARED_FORMULA_7_34_7_34_22">NA()</definedName>
    <definedName name="SHARED_FORMULA_7_34_7_34_26" localSheetId="11">NA()</definedName>
    <definedName name="SHARED_FORMULA_7_34_7_34_26" localSheetId="12">NA()</definedName>
    <definedName name="SHARED_FORMULA_7_34_7_34_26">+#REF!*#REF!*#REF!*#REF!</definedName>
    <definedName name="SHARED_FORMULA_7_343_7_343_22">NA()</definedName>
    <definedName name="SHARED_FORMULA_7_344_7_344_37">NA()</definedName>
    <definedName name="SHARED_FORMULA_7_347_7_347_22" localSheetId="11">NA()</definedName>
    <definedName name="SHARED_FORMULA_7_347_7_347_22" localSheetId="12">NA()</definedName>
    <definedName name="SHARED_FORMULA_7_347_7_347_22">#REF!*#REF!*#REF!*#REF!</definedName>
    <definedName name="SHARED_FORMULA_7_347_7_347_30" localSheetId="11">NA()</definedName>
    <definedName name="SHARED_FORMULA_7_347_7_347_30" localSheetId="12">NA()</definedName>
    <definedName name="SHARED_FORMULA_7_347_7_347_30" localSheetId="0">#REF!*#REF!*#REF!</definedName>
    <definedName name="SHARED_FORMULA_7_347_7_347_30">#REF!*#REF!*#REF!</definedName>
    <definedName name="SHARED_FORMULA_7_348_7_348_26">NA()</definedName>
    <definedName name="SHARED_FORMULA_7_349_7_349_26" localSheetId="11">NA()</definedName>
    <definedName name="SHARED_FORMULA_7_349_7_349_26" localSheetId="12">NA()</definedName>
    <definedName name="SHARED_FORMULA_7_349_7_349_26" localSheetId="0">+#REF!*#REF!*#REF!*#REF!</definedName>
    <definedName name="SHARED_FORMULA_7_349_7_349_26">+#REF!*#REF!*#REF!*#REF!</definedName>
    <definedName name="SHARED_FORMULA_7_352_7_352_33">NA()</definedName>
    <definedName name="SHARED_FORMULA_7_356_7_356_26">NA()</definedName>
    <definedName name="SHARED_FORMULA_7_357_7_357_26" localSheetId="11">NA()</definedName>
    <definedName name="SHARED_FORMULA_7_357_7_357_26" localSheetId="12">NA()</definedName>
    <definedName name="SHARED_FORMULA_7_357_7_357_26">+#REF!*#REF!*#REF!*#REF!</definedName>
    <definedName name="SHARED_FORMULA_7_358_7_358_22">NA()</definedName>
    <definedName name="SHARED_FORMULA_7_358_7_358_33" localSheetId="11">NA()</definedName>
    <definedName name="SHARED_FORMULA_7_358_7_358_33" localSheetId="12">NA()</definedName>
    <definedName name="SHARED_FORMULA_7_358_7_358_33">#REF!*#REF!*#REF!</definedName>
    <definedName name="SHARED_FORMULA_7_362_7_362_22" localSheetId="11">NA()</definedName>
    <definedName name="SHARED_FORMULA_7_362_7_362_22" localSheetId="12">NA()</definedName>
    <definedName name="SHARED_FORMULA_7_362_7_362_22" localSheetId="0">#REF!*#REF!*#REF!*#REF!*#REF!</definedName>
    <definedName name="SHARED_FORMULA_7_362_7_362_22">#REF!*#REF!*#REF!*#REF!*#REF!</definedName>
    <definedName name="SHARED_FORMULA_7_362_7_362_37" localSheetId="11">NA()</definedName>
    <definedName name="SHARED_FORMULA_7_362_7_362_37" localSheetId="12">NA()</definedName>
    <definedName name="SHARED_FORMULA_7_362_7_362_37" localSheetId="0">#REF!*#REF!*#REF!*#REF!*#REF!</definedName>
    <definedName name="SHARED_FORMULA_7_362_7_362_37">#REF!*#REF!*#REF!*#REF!*#REF!</definedName>
    <definedName name="SHARED_FORMULA_7_366_7_366_30">NA()</definedName>
    <definedName name="SHARED_FORMULA_7_368_7_368_26" localSheetId="11">NA()</definedName>
    <definedName name="SHARED_FORMULA_7_368_7_368_26" localSheetId="12">NA()</definedName>
    <definedName name="SHARED_FORMULA_7_368_7_368_26">+#REF!*#REF!*#REF!*#REF!</definedName>
    <definedName name="SHARED_FORMULA_7_37_7_37_26">NA()</definedName>
    <definedName name="SHARED_FORMULA_7_370_7_370_30" localSheetId="11">NA()</definedName>
    <definedName name="SHARED_FORMULA_7_370_7_370_30" localSheetId="12">NA()</definedName>
    <definedName name="SHARED_FORMULA_7_370_7_370_30">#REF!*#REF!*#REF!*#REF!</definedName>
    <definedName name="SHARED_FORMULA_7_376_7_376_26" localSheetId="11">NA()</definedName>
    <definedName name="SHARED_FORMULA_7_376_7_376_26" localSheetId="12">NA()</definedName>
    <definedName name="SHARED_FORMULA_7_376_7_376_26" localSheetId="0">+#REF!*#REF!*#REF!*#REF!</definedName>
    <definedName name="SHARED_FORMULA_7_376_7_376_26">+#REF!*#REF!*#REF!*#REF!</definedName>
    <definedName name="SHARED_FORMULA_7_378_7_378_30">NA()</definedName>
    <definedName name="SHARED_FORMULA_7_379_7_379_30" localSheetId="11">NA()</definedName>
    <definedName name="SHARED_FORMULA_7_379_7_379_30" localSheetId="12">NA()</definedName>
    <definedName name="SHARED_FORMULA_7_379_7_379_30" localSheetId="0">#REF!*#REF!*#REF!</definedName>
    <definedName name="SHARED_FORMULA_7_379_7_379_30">#REF!*#REF!*#REF!</definedName>
    <definedName name="SHARED_FORMULA_7_38_7_38_30" localSheetId="11">NA()</definedName>
    <definedName name="SHARED_FORMULA_7_38_7_38_30" localSheetId="12">NA()</definedName>
    <definedName name="SHARED_FORMULA_7_38_7_38_30" localSheetId="0">+#REF!*#REF!*#REF!*#REF!</definedName>
    <definedName name="SHARED_FORMULA_7_38_7_38_30">+#REF!*#REF!*#REF!*#REF!</definedName>
    <definedName name="SHARED_FORMULA_7_388_7_388_26" localSheetId="11">NA()</definedName>
    <definedName name="SHARED_FORMULA_7_388_7_388_26" localSheetId="12">NA()</definedName>
    <definedName name="SHARED_FORMULA_7_388_7_388_26" localSheetId="0">+#REF!*#REF!*#REF!*#REF!</definedName>
    <definedName name="SHARED_FORMULA_7_388_7_388_26">+#REF!*#REF!*#REF!*#REF!</definedName>
    <definedName name="SHARED_FORMULA_7_39_7_39_37" localSheetId="11">NA()</definedName>
    <definedName name="SHARED_FORMULA_7_39_7_39_37" localSheetId="12">NA()</definedName>
    <definedName name="SHARED_FORMULA_7_39_7_39_37" localSheetId="0">#REF!*#REF!*#REF!*#REF!</definedName>
    <definedName name="SHARED_FORMULA_7_39_7_39_37">#REF!*#REF!*#REF!*#REF!</definedName>
    <definedName name="SHARED_FORMULA_7_39_7_39_8">NA()</definedName>
    <definedName name="SHARED_FORMULA_7_396_7_396_26" localSheetId="11">NA()</definedName>
    <definedName name="SHARED_FORMULA_7_396_7_396_26" localSheetId="12">NA()</definedName>
    <definedName name="SHARED_FORMULA_7_396_7_396_26">+#REF!*#REF!*#REF!*#REF!</definedName>
    <definedName name="SHARED_FORMULA_7_397_7_397_30">NA()</definedName>
    <definedName name="SHARED_FORMULA_7_398_7_398_22">NA()</definedName>
    <definedName name="SHARED_FORMULA_7_399_7_399_30" localSheetId="11">NA()</definedName>
    <definedName name="SHARED_FORMULA_7_399_7_399_30" localSheetId="12">NA()</definedName>
    <definedName name="SHARED_FORMULA_7_399_7_399_30">#REF!*#REF!*#REF!</definedName>
    <definedName name="SHARED_FORMULA_7_4_7_4_26" localSheetId="11">NA()</definedName>
    <definedName name="SHARED_FORMULA_7_4_7_4_26" localSheetId="12">NA()</definedName>
    <definedName name="SHARED_FORMULA_7_4_7_4_26" localSheetId="0">+#REF!*#REF!*#REF!*#REF!</definedName>
    <definedName name="SHARED_FORMULA_7_4_7_4_26">+#REF!*#REF!*#REF!*#REF!</definedName>
    <definedName name="SHARED_FORMULA_7_408_7_408_26" localSheetId="11">NA()</definedName>
    <definedName name="SHARED_FORMULA_7_408_7_408_26" localSheetId="12">NA()</definedName>
    <definedName name="SHARED_FORMULA_7_408_7_408_26" localSheetId="0">+#REF!*#REF!*#REF!*#REF!</definedName>
    <definedName name="SHARED_FORMULA_7_408_7_408_26">+#REF!*#REF!*#REF!*#REF!</definedName>
    <definedName name="SHARED_FORMULA_7_41_7_41_30">NA()</definedName>
    <definedName name="SHARED_FORMULA_7_411_7_411_22">NA()</definedName>
    <definedName name="SHARED_FORMULA_7_412_7_412_22" localSheetId="11">NA()</definedName>
    <definedName name="SHARED_FORMULA_7_412_7_412_22" localSheetId="12">NA()</definedName>
    <definedName name="SHARED_FORMULA_7_412_7_412_22">#REF!*#REF!*#REF!*#REF!</definedName>
    <definedName name="SHARED_FORMULA_7_414_7_414_37">NA()</definedName>
    <definedName name="SHARED_FORMULA_7_416_7_416_26" localSheetId="11">NA()</definedName>
    <definedName name="SHARED_FORMULA_7_416_7_416_26" localSheetId="12">NA()</definedName>
    <definedName name="SHARED_FORMULA_7_416_7_416_26">+#REF!*#REF!*#REF!*#REF!</definedName>
    <definedName name="SHARED_FORMULA_7_418_7_418_30" localSheetId="11">NA()</definedName>
    <definedName name="SHARED_FORMULA_7_418_7_418_30" localSheetId="12">NA()</definedName>
    <definedName name="SHARED_FORMULA_7_418_7_418_30" localSheetId="0">+#REF!*#REF!*#REF!</definedName>
    <definedName name="SHARED_FORMULA_7_418_7_418_30">+#REF!*#REF!*#REF!</definedName>
    <definedName name="SHARED_FORMULA_7_42_7_42_26" localSheetId="11">NA()</definedName>
    <definedName name="SHARED_FORMULA_7_42_7_42_26" localSheetId="12">NA()</definedName>
    <definedName name="SHARED_FORMULA_7_42_7_42_26" localSheetId="0">+#REF!*#REF!*#REF!*#REF!</definedName>
    <definedName name="SHARED_FORMULA_7_42_7_42_26">+#REF!*#REF!*#REF!*#REF!</definedName>
    <definedName name="SHARED_FORMULA_7_431_7_431_22" localSheetId="11">NA()</definedName>
    <definedName name="SHARED_FORMULA_7_431_7_431_22" localSheetId="12">NA()</definedName>
    <definedName name="SHARED_FORMULA_7_431_7_431_22" localSheetId="0">#REF!*#REF!*#REF!*#REF!</definedName>
    <definedName name="SHARED_FORMULA_7_431_7_431_22">#REF!*#REF!*#REF!*#REF!</definedName>
    <definedName name="SHARED_FORMULA_7_431_7_431_30">NA()</definedName>
    <definedName name="SHARED_FORMULA_7_435_7_435_37">NA()</definedName>
    <definedName name="SHARED_FORMULA_7_45_7_45_26">NA()</definedName>
    <definedName name="SHARED_FORMULA_7_451_7_451_37" localSheetId="11">NA()</definedName>
    <definedName name="SHARED_FORMULA_7_451_7_451_37" localSheetId="12">NA()</definedName>
    <definedName name="SHARED_FORMULA_7_451_7_451_37">+#REF!*#REF!*#REF!*#REF!</definedName>
    <definedName name="SHARED_FORMULA_7_453_7_453_30">NA()</definedName>
    <definedName name="SHARED_FORMULA_7_453_7_453_37">NA()</definedName>
    <definedName name="SHARED_FORMULA_7_457_7_457_30" localSheetId="11">NA()</definedName>
    <definedName name="SHARED_FORMULA_7_457_7_457_30" localSheetId="12">NA()</definedName>
    <definedName name="SHARED_FORMULA_7_457_7_457_30">+#REF!*#REF!*#REF!</definedName>
    <definedName name="SHARED_FORMULA_7_46_7_46_22" localSheetId="11">NA()</definedName>
    <definedName name="SHARED_FORMULA_7_46_7_46_22" localSheetId="12">NA()</definedName>
    <definedName name="SHARED_FORMULA_7_46_7_46_22" localSheetId="0">#REF!*#REF!*#REF!*#REF!</definedName>
    <definedName name="SHARED_FORMULA_7_46_7_46_22">#REF!*#REF!*#REF!*#REF!</definedName>
    <definedName name="SHARED_FORMULA_7_472_7_472_37" localSheetId="11">NA()</definedName>
    <definedName name="SHARED_FORMULA_7_472_7_472_37" localSheetId="12">NA()</definedName>
    <definedName name="SHARED_FORMULA_7_472_7_472_37" localSheetId="0">+#REF!*#REF!*#REF!*#REF!</definedName>
    <definedName name="SHARED_FORMULA_7_472_7_472_37">+#REF!*#REF!*#REF!*#REF!</definedName>
    <definedName name="SHARED_FORMULA_7_473_7_473_22">NA()</definedName>
    <definedName name="SHARED_FORMULA_7_479_7_479_30" localSheetId="11">NA()</definedName>
    <definedName name="SHARED_FORMULA_7_479_7_479_30" localSheetId="12">NA()</definedName>
    <definedName name="SHARED_FORMULA_7_479_7_479_30">+#REF!*#REF!*#REF!</definedName>
    <definedName name="SHARED_FORMULA_7_49_7_49_22">NA()</definedName>
    <definedName name="SHARED_FORMULA_7_494_7_494_37" localSheetId="11">NA()</definedName>
    <definedName name="SHARED_FORMULA_7_494_7_494_37" localSheetId="12">NA()</definedName>
    <definedName name="SHARED_FORMULA_7_494_7_494_37">+#REF!*#REF!*#REF!*#REF!</definedName>
    <definedName name="SHARED_FORMULA_7_5_7_5_22" localSheetId="11">NA()</definedName>
    <definedName name="SHARED_FORMULA_7_5_7_5_22" localSheetId="12">NA()</definedName>
    <definedName name="SHARED_FORMULA_7_5_7_5_22" localSheetId="0">#REF!*#REF!*#REF!*#REF!</definedName>
    <definedName name="SHARED_FORMULA_7_5_7_5_22">#REF!*#REF!*#REF!*#REF!</definedName>
    <definedName name="SHARED_FORMULA_7_500_7_500_22" localSheetId="11">NA()</definedName>
    <definedName name="SHARED_FORMULA_7_500_7_500_22" localSheetId="12">NA()</definedName>
    <definedName name="SHARED_FORMULA_7_500_7_500_22" localSheetId="0">#REF!*#REF!*#REF!*#REF!</definedName>
    <definedName name="SHARED_FORMULA_7_500_7_500_22">#REF!*#REF!*#REF!*#REF!</definedName>
    <definedName name="SHARED_FORMULA_7_505_7_505_22">NA()</definedName>
    <definedName name="SHARED_FORMULA_7_509_7_509_26">NA()</definedName>
    <definedName name="SHARED_FORMULA_7_520_7_520_37">NA()</definedName>
    <definedName name="SHARED_FORMULA_7_532_7_532_22" localSheetId="11">NA()</definedName>
    <definedName name="SHARED_FORMULA_7_532_7_532_22" localSheetId="12">NA()</definedName>
    <definedName name="SHARED_FORMULA_7_532_7_532_22">#REF!*#REF!*#REF!*#REF!</definedName>
    <definedName name="SHARED_FORMULA_7_538_7_538_22">NA()</definedName>
    <definedName name="SHARED_FORMULA_7_539_7_539_37" localSheetId="11">NA()</definedName>
    <definedName name="SHARED_FORMULA_7_539_7_539_37" localSheetId="12">NA()</definedName>
    <definedName name="SHARED_FORMULA_7_539_7_539_37">#REF!*#REF!*#REF!</definedName>
    <definedName name="SHARED_FORMULA_7_541_7_541_26" localSheetId="11">NA()</definedName>
    <definedName name="SHARED_FORMULA_7_541_7_541_26" localSheetId="12">NA()</definedName>
    <definedName name="SHARED_FORMULA_7_541_7_541_26" localSheetId="0">#REF!*#REF!</definedName>
    <definedName name="SHARED_FORMULA_7_541_7_541_26">#REF!*#REF!</definedName>
    <definedName name="SHARED_FORMULA_7_544_7_544_37">NA()</definedName>
    <definedName name="SHARED_FORMULA_7_549_7_549_22">NA()</definedName>
    <definedName name="SHARED_FORMULA_7_565_7_565_22" localSheetId="11">NA()</definedName>
    <definedName name="SHARED_FORMULA_7_565_7_565_22" localSheetId="12">NA()</definedName>
    <definedName name="SHARED_FORMULA_7_565_7_565_22" localSheetId="0">#REF!*#REF!*#REF!*#REF!</definedName>
    <definedName name="SHARED_FORMULA_7_565_7_565_22">#REF!*#REF!*#REF!*#REF!</definedName>
    <definedName name="SHARED_FORMULA_7_565_7_565_37" localSheetId="11">NA()</definedName>
    <definedName name="SHARED_FORMULA_7_565_7_565_37" localSheetId="12">NA()</definedName>
    <definedName name="SHARED_FORMULA_7_565_7_565_37" localSheetId="0">+#REF!*#REF!*#REF!</definedName>
    <definedName name="SHARED_FORMULA_7_565_7_565_37">+#REF!*#REF!*#REF!</definedName>
    <definedName name="SHARED_FORMULA_7_57_7_57_22" localSheetId="11">NA()</definedName>
    <definedName name="SHARED_FORMULA_7_57_7_57_22" localSheetId="12">NA()</definedName>
    <definedName name="SHARED_FORMULA_7_57_7_57_22" localSheetId="0">#REF!*#REF!*#REF!*#REF!</definedName>
    <definedName name="SHARED_FORMULA_7_57_7_57_22">#REF!*#REF!*#REF!*#REF!</definedName>
    <definedName name="SHARED_FORMULA_7_57_7_57_30" localSheetId="11">NA()</definedName>
    <definedName name="SHARED_FORMULA_7_57_7_57_30" localSheetId="12">NA()</definedName>
    <definedName name="SHARED_FORMULA_7_57_7_57_30" localSheetId="0">#REF!*#REF!*#REF!*#REF!</definedName>
    <definedName name="SHARED_FORMULA_7_57_7_57_30">#REF!*#REF!*#REF!*#REF!</definedName>
    <definedName name="SHARED_FORMULA_7_571_7_571_26">NA()</definedName>
    <definedName name="SHARED_FORMULA_7_577_7_577_22" localSheetId="11">NA()</definedName>
    <definedName name="SHARED_FORMULA_7_577_7_577_22" localSheetId="12">NA()</definedName>
    <definedName name="SHARED_FORMULA_7_577_7_577_22">#REF!*#REF!*#REF!*#REF!</definedName>
    <definedName name="SHARED_FORMULA_7_581_7_581_22">NA()</definedName>
    <definedName name="SHARED_FORMULA_7_589_7_589_37" localSheetId="11">NA()</definedName>
    <definedName name="SHARED_FORMULA_7_589_7_589_37" localSheetId="12">NA()</definedName>
    <definedName name="SHARED_FORMULA_7_589_7_589_37">+#REF!*#REF!*#REF!*#REF!</definedName>
    <definedName name="SHARED_FORMULA_7_599_7_599_26">NA()</definedName>
    <definedName name="SHARED_FORMULA_7_60_7_60_22">NA()</definedName>
    <definedName name="SHARED_FORMULA_7_60_7_60_30">NA()</definedName>
    <definedName name="SHARED_FORMULA_7_609_7_609_22" localSheetId="11">NA()</definedName>
    <definedName name="SHARED_FORMULA_7_609_7_609_22" localSheetId="12">NA()</definedName>
    <definedName name="SHARED_FORMULA_7_609_7_609_22">#REF!*#REF!*#REF!*#REF!</definedName>
    <definedName name="SHARED_FORMULA_7_609_7_609_26" localSheetId="11">NA()</definedName>
    <definedName name="SHARED_FORMULA_7_609_7_609_26" localSheetId="12">NA()</definedName>
    <definedName name="SHARED_FORMULA_7_609_7_609_26" localSheetId="0">#REF!*#REF!*#REF!*#REF!*#REF!</definedName>
    <definedName name="SHARED_FORMULA_7_609_7_609_26">#REF!*#REF!*#REF!*#REF!*#REF!</definedName>
    <definedName name="SHARED_FORMULA_7_610_7_610_22">NA()</definedName>
    <definedName name="SHARED_FORMULA_7_611_7_611_26">NA()</definedName>
    <definedName name="SHARED_FORMULA_7_620_7_620_22">NA()</definedName>
    <definedName name="SHARED_FORMULA_7_628_7_628_26">NA()</definedName>
    <definedName name="SHARED_FORMULA_7_63_7_63_26" localSheetId="11">NA()</definedName>
    <definedName name="SHARED_FORMULA_7_63_7_63_26" localSheetId="12">NA()</definedName>
    <definedName name="SHARED_FORMULA_7_63_7_63_26" localSheetId="0">+#REF!*#REF!*#REF!*#REF!</definedName>
    <definedName name="SHARED_FORMULA_7_63_7_63_26">+#REF!*#REF!*#REF!*#REF!</definedName>
    <definedName name="SHARED_FORMULA_7_637_7_637_26" localSheetId="11">NA()</definedName>
    <definedName name="SHARED_FORMULA_7_637_7_637_26" localSheetId="12">NA()</definedName>
    <definedName name="SHARED_FORMULA_7_637_7_637_26" localSheetId="0">#REF!*#REF!*#REF!*#REF!</definedName>
    <definedName name="SHARED_FORMULA_7_637_7_637_26">#REF!*#REF!*#REF!*#REF!</definedName>
    <definedName name="SHARED_FORMULA_7_638_7_638_22" localSheetId="11">NA()</definedName>
    <definedName name="SHARED_FORMULA_7_638_7_638_22" localSheetId="12">NA()</definedName>
    <definedName name="SHARED_FORMULA_7_638_7_638_22" localSheetId="0">#REF!*#REF!*#REF!*#REF!</definedName>
    <definedName name="SHARED_FORMULA_7_638_7_638_22">#REF!*#REF!*#REF!*#REF!</definedName>
    <definedName name="SHARED_FORMULA_7_638_7_638_26">NA()</definedName>
    <definedName name="SHARED_FORMULA_7_640_7_640_22">NA()</definedName>
    <definedName name="SHARED_FORMULA_7_648_7_648_22" localSheetId="11">NA()</definedName>
    <definedName name="SHARED_FORMULA_7_648_7_648_22" localSheetId="12">NA()</definedName>
    <definedName name="SHARED_FORMULA_7_648_7_648_22">#REF!*#REF!*#REF!*#REF!</definedName>
    <definedName name="SHARED_FORMULA_7_649_7_649_26" localSheetId="11">NA()</definedName>
    <definedName name="SHARED_FORMULA_7_649_7_649_26" localSheetId="12">NA()</definedName>
    <definedName name="SHARED_FORMULA_7_649_7_649_26" localSheetId="0">#REF!*#REF!*#REF!*#REF!*#REF!</definedName>
    <definedName name="SHARED_FORMULA_7_649_7_649_26">#REF!*#REF!*#REF!*#REF!*#REF!</definedName>
    <definedName name="SHARED_FORMULA_7_65_7_65_8">NA()</definedName>
    <definedName name="SHARED_FORMULA_7_655_7_655_26">NA()</definedName>
    <definedName name="SHARED_FORMULA_7_66_7_66_26">NA()</definedName>
    <definedName name="SHARED_FORMULA_7_660_7_660_22" localSheetId="11">NA()</definedName>
    <definedName name="SHARED_FORMULA_7_660_7_660_22" localSheetId="12">NA()</definedName>
    <definedName name="SHARED_FORMULA_7_660_7_660_22" localSheetId="0">#REF!*#REF!*#REF!</definedName>
    <definedName name="SHARED_FORMULA_7_660_7_660_22">#REF!*#REF!*#REF!</definedName>
    <definedName name="SHARED_FORMULA_7_664_7_664_22">NA()</definedName>
    <definedName name="SHARED_FORMULA_7_665_7_665_26">NA()</definedName>
    <definedName name="SHARED_FORMULA_7_666_7_666_26" localSheetId="11">NA()</definedName>
    <definedName name="SHARED_FORMULA_7_666_7_666_26" localSheetId="12">NA()</definedName>
    <definedName name="SHARED_FORMULA_7_666_7_666_26">+#REF!*#REF!*#REF!*#REF!</definedName>
    <definedName name="SHARED_FORMULA_7_67_7_67_30" localSheetId="11">NA()</definedName>
    <definedName name="SHARED_FORMULA_7_67_7_67_30" localSheetId="12">NA()</definedName>
    <definedName name="SHARED_FORMULA_7_67_7_67_30" localSheetId="0">+#REF!*#REF!*#REF!*#REF!</definedName>
    <definedName name="SHARED_FORMULA_7_67_7_67_30">+#REF!*#REF!*#REF!*#REF!</definedName>
    <definedName name="SHARED_FORMULA_7_674_7_674_26" localSheetId="11">NA()</definedName>
    <definedName name="SHARED_FORMULA_7_674_7_674_26" localSheetId="12">NA()</definedName>
    <definedName name="SHARED_FORMULA_7_674_7_674_26" localSheetId="0">#REF!*#REF!*#REF!*#REF!*#REF!</definedName>
    <definedName name="SHARED_FORMULA_7_674_7_674_26">#REF!*#REF!*#REF!*#REF!*#REF!</definedName>
    <definedName name="SHARED_FORMULA_7_677_7_677_22">NA()</definedName>
    <definedName name="SHARED_FORMULA_7_680_7_680_22" localSheetId="11">NA()</definedName>
    <definedName name="SHARED_FORMULA_7_680_7_680_22" localSheetId="12">NA()</definedName>
    <definedName name="SHARED_FORMULA_7_680_7_680_22">#REF!*#REF!*#REF!</definedName>
    <definedName name="SHARED_FORMULA_7_682_7_682_26">NA()</definedName>
    <definedName name="SHARED_FORMULA_7_691_7_691_26" localSheetId="11">NA()</definedName>
    <definedName name="SHARED_FORMULA_7_691_7_691_26" localSheetId="12">NA()</definedName>
    <definedName name="SHARED_FORMULA_7_691_7_691_26">+#REF!*#REF!*#REF!*#REF!</definedName>
    <definedName name="SHARED_FORMULA_7_697_7_697_26">NA()</definedName>
    <definedName name="SHARED_FORMULA_7_699_7_699_26" localSheetId="11">NA()</definedName>
    <definedName name="SHARED_FORMULA_7_699_7_699_26" localSheetId="12">NA()</definedName>
    <definedName name="SHARED_FORMULA_7_699_7_699_26">#REF!*#REF!*#REF!*#REF!*#REF!</definedName>
    <definedName name="SHARED_FORMULA_7_7_7_7_33" localSheetId="11">NA()</definedName>
    <definedName name="SHARED_FORMULA_7_7_7_7_33" localSheetId="12">NA()</definedName>
    <definedName name="SHARED_FORMULA_7_7_7_7_33" localSheetId="0">#REF!*#REF!*#REF!*#REF!</definedName>
    <definedName name="SHARED_FORMULA_7_7_7_7_33">#REF!*#REF!*#REF!*#REF!</definedName>
    <definedName name="SHARED_FORMULA_7_70_7_70_30">NA()</definedName>
    <definedName name="SHARED_FORMULA_7_707_7_707_22" localSheetId="11">NA()</definedName>
    <definedName name="SHARED_FORMULA_7_707_7_707_22" localSheetId="12">NA()</definedName>
    <definedName name="SHARED_FORMULA_7_707_7_707_22" localSheetId="0">#REF!*#REF!*#REF!*#REF!*#REF!</definedName>
    <definedName name="SHARED_FORMULA_7_707_7_707_22">#REF!*#REF!*#REF!*#REF!*#REF!</definedName>
    <definedName name="SHARED_FORMULA_7_716_7_716_26" localSheetId="11">NA()</definedName>
    <definedName name="SHARED_FORMULA_7_716_7_716_26" localSheetId="12">NA()</definedName>
    <definedName name="SHARED_FORMULA_7_716_7_716_26" localSheetId="0">#REF!*#REF!*#REF!*#REF!</definedName>
    <definedName name="SHARED_FORMULA_7_716_7_716_26">#REF!*#REF!*#REF!*#REF!</definedName>
    <definedName name="SHARED_FORMULA_7_72_7_72_22" localSheetId="11">NA()</definedName>
    <definedName name="SHARED_FORMULA_7_72_7_72_22" localSheetId="12">NA()</definedName>
    <definedName name="SHARED_FORMULA_7_72_7_72_22" localSheetId="0">#REF!*#REF!*#REF!*#REF!</definedName>
    <definedName name="SHARED_FORMULA_7_72_7_72_22">#REF!*#REF!*#REF!*#REF!</definedName>
    <definedName name="SHARED_FORMULA_7_720_7_720_22" localSheetId="11">NA()</definedName>
    <definedName name="SHARED_FORMULA_7_720_7_720_22" localSheetId="12">NA()</definedName>
    <definedName name="SHARED_FORMULA_7_720_7_720_22" localSheetId="0">#REF!*#REF!*#REF!*#REF!*#REF!</definedName>
    <definedName name="SHARED_FORMULA_7_720_7_720_22">#REF!*#REF!*#REF!*#REF!*#REF!</definedName>
    <definedName name="SHARED_FORMULA_7_722_7_722_26">NA()</definedName>
    <definedName name="SHARED_FORMULA_7_732_7_732_26" localSheetId="11">NA()</definedName>
    <definedName name="SHARED_FORMULA_7_732_7_732_26" localSheetId="12">NA()</definedName>
    <definedName name="SHARED_FORMULA_7_732_7_732_26">#REF!*#REF!*#REF!*#REF!</definedName>
    <definedName name="SHARED_FORMULA_7_741_7_741_26">NA()</definedName>
    <definedName name="SHARED_FORMULA_7_75_7_75_22">NA()</definedName>
    <definedName name="SHARED_FORMULA_7_752_7_752_22">NA()</definedName>
    <definedName name="SHARED_FORMULA_7_757_7_757_26" localSheetId="11">NA()</definedName>
    <definedName name="SHARED_FORMULA_7_757_7_757_26" localSheetId="12">NA()</definedName>
    <definedName name="SHARED_FORMULA_7_757_7_757_26">#REF!*#REF!*#REF!*#REF!</definedName>
    <definedName name="SHARED_FORMULA_7_760_7_760_26">NA()</definedName>
    <definedName name="SHARED_FORMULA_7_769_7_769_22">NA()</definedName>
    <definedName name="SHARED_FORMULA_7_776_7_776_26" localSheetId="11">NA()</definedName>
    <definedName name="SHARED_FORMULA_7_776_7_776_26" localSheetId="12">NA()</definedName>
    <definedName name="SHARED_FORMULA_7_776_7_776_26">#REF!*#REF!*#REF!*#REF!</definedName>
    <definedName name="SHARED_FORMULA_7_780_7_780_26">NA()</definedName>
    <definedName name="SHARED_FORMULA_7_792_7_792_26">NA()</definedName>
    <definedName name="SHARED_FORMULA_7_795_7_795_26" localSheetId="11">NA()</definedName>
    <definedName name="SHARED_FORMULA_7_795_7_795_26" localSheetId="12">NA()</definedName>
    <definedName name="SHARED_FORMULA_7_795_7_795_26">#REF!*#REF!*#REF!*#REF!</definedName>
    <definedName name="SHARED_FORMULA_7_801_7_801_22">NA()</definedName>
    <definedName name="SHARED_FORMULA_7_803_7_803_26">NA()</definedName>
    <definedName name="SHARED_FORMULA_7_805_7_805_22" localSheetId="11">NA()</definedName>
    <definedName name="SHARED_FORMULA_7_805_7_805_22" localSheetId="12">NA()</definedName>
    <definedName name="SHARED_FORMULA_7_805_7_805_22">#REF!*#REF!*#REF!*#REF!</definedName>
    <definedName name="SHARED_FORMULA_7_813_7_813_22">NA()</definedName>
    <definedName name="SHARED_FORMULA_7_814_7_814_26">NA()</definedName>
    <definedName name="SHARED_FORMULA_7_815_7_815_26" localSheetId="11">NA()</definedName>
    <definedName name="SHARED_FORMULA_7_815_7_815_26" localSheetId="12">NA()</definedName>
    <definedName name="SHARED_FORMULA_7_815_7_815_26">+#REF!*#REF!*#REF!*#REF!*#REF!</definedName>
    <definedName name="SHARED_FORMULA_7_826_7_826_26">NA()</definedName>
    <definedName name="SHARED_FORMULA_7_827_7_827_26" localSheetId="11">NA()</definedName>
    <definedName name="SHARED_FORMULA_7_827_7_827_26" localSheetId="12">NA()</definedName>
    <definedName name="SHARED_FORMULA_7_827_7_827_26">+#REF!*#REF!*#REF!*#REF!*#REF!</definedName>
    <definedName name="SHARED_FORMULA_7_828_7_828_22">NA()</definedName>
    <definedName name="SHARED_FORMULA_7_837_7_837_26" localSheetId="11">NA()</definedName>
    <definedName name="SHARED_FORMULA_7_837_7_837_26" localSheetId="12">NA()</definedName>
    <definedName name="SHARED_FORMULA_7_837_7_837_26">+#REF!*#REF!*#REF!*#REF!*#REF!</definedName>
    <definedName name="SHARED_FORMULA_7_84_7_84_26" localSheetId="11">NA()</definedName>
    <definedName name="SHARED_FORMULA_7_84_7_84_26" localSheetId="12">NA()</definedName>
    <definedName name="SHARED_FORMULA_7_84_7_84_26" localSheetId="0">#REF!*#REF!*#REF!*#REF!</definedName>
    <definedName name="SHARED_FORMULA_7_84_7_84_26">#REF!*#REF!*#REF!*#REF!</definedName>
    <definedName name="SHARED_FORMULA_7_84_7_84_30" localSheetId="11">NA()</definedName>
    <definedName name="SHARED_FORMULA_7_84_7_84_30" localSheetId="12">NA()</definedName>
    <definedName name="SHARED_FORMULA_7_84_7_84_30" localSheetId="0">+#REF!*#REF!*#REF!*#REF!</definedName>
    <definedName name="SHARED_FORMULA_7_84_7_84_30">+#REF!*#REF!*#REF!*#REF!</definedName>
    <definedName name="SHARED_FORMULA_7_84_7_84_37">NA()</definedName>
    <definedName name="SHARED_FORMULA_7_843_7_843_22" localSheetId="11">NA()</definedName>
    <definedName name="SHARED_FORMULA_7_843_7_843_22" localSheetId="12">NA()</definedName>
    <definedName name="SHARED_FORMULA_7_843_7_843_22">#REF!*#REF!*#REF!*#REF!</definedName>
    <definedName name="SHARED_FORMULA_7_847_7_847_26" localSheetId="11">NA()</definedName>
    <definedName name="SHARED_FORMULA_7_847_7_847_26" localSheetId="12">NA()</definedName>
    <definedName name="SHARED_FORMULA_7_847_7_847_26" localSheetId="0">+#REF!*#REF!*#REF!*#REF!*#REF!</definedName>
    <definedName name="SHARED_FORMULA_7_847_7_847_26">+#REF!*#REF!*#REF!*#REF!*#REF!</definedName>
    <definedName name="SHARED_FORMULA_7_850_7_850_26">NA()</definedName>
    <definedName name="SHARED_FORMULA_7_853_7_853_22" localSheetId="11">NA()</definedName>
    <definedName name="SHARED_FORMULA_7_853_7_853_22" localSheetId="12">NA()</definedName>
    <definedName name="SHARED_FORMULA_7_853_7_853_22" localSheetId="0">#REF!*#REF!*#REF!*#REF!</definedName>
    <definedName name="SHARED_FORMULA_7_853_7_853_22">#REF!*#REF!*#REF!*#REF!</definedName>
    <definedName name="SHARED_FORMULA_7_859_7_859_22">NA()</definedName>
    <definedName name="SHARED_FORMULA_7_86_7_86_30">NA()</definedName>
    <definedName name="SHARED_FORMULA_7_866_7_866_26">NA()</definedName>
    <definedName name="SHARED_FORMULA_7_869_7_869_26" localSheetId="11">NA()</definedName>
    <definedName name="SHARED_FORMULA_7_869_7_869_26" localSheetId="12">NA()</definedName>
    <definedName name="SHARED_FORMULA_7_869_7_869_26">+#REF!*#REF!*#REF!</definedName>
    <definedName name="SHARED_FORMULA_7_87_7_87_26">NA()</definedName>
    <definedName name="SHARED_FORMULA_7_87_7_87_37" localSheetId="11">NA()</definedName>
    <definedName name="SHARED_FORMULA_7_87_7_87_37" localSheetId="12">NA()</definedName>
    <definedName name="SHARED_FORMULA_7_87_7_87_37">#REF!*#REF!*#REF!*#REF!</definedName>
    <definedName name="SHARED_FORMULA_7_870_7_870_22">NA()</definedName>
    <definedName name="SHARED_FORMULA_7_882_7_882_26">NA()</definedName>
    <definedName name="SHARED_FORMULA_7_893_7_893_26" localSheetId="11">NA()</definedName>
    <definedName name="SHARED_FORMULA_7_893_7_893_26" localSheetId="12">NA()</definedName>
    <definedName name="SHARED_FORMULA_7_893_7_893_26">+#REF!*#REF!*#REF!</definedName>
    <definedName name="SHARED_FORMULA_7_895_7_895_22" localSheetId="11">NA()</definedName>
    <definedName name="SHARED_FORMULA_7_895_7_895_22" localSheetId="12">NA()</definedName>
    <definedName name="SHARED_FORMULA_7_895_7_895_22" localSheetId="0">#REF!*#REF!*#REF!*#REF!</definedName>
    <definedName name="SHARED_FORMULA_7_895_7_895_22">#REF!*#REF!*#REF!*#REF!</definedName>
    <definedName name="SHARED_FORMULA_7_9_7_9_37" localSheetId="11">NA()</definedName>
    <definedName name="SHARED_FORMULA_7_9_7_9_37" localSheetId="12">NA()</definedName>
    <definedName name="SHARED_FORMULA_7_9_7_9_37" localSheetId="0">#REF!*#REF!*#REF!*#REF!</definedName>
    <definedName name="SHARED_FORMULA_7_9_7_9_37">#REF!*#REF!*#REF!*#REF!</definedName>
    <definedName name="SHARED_FORMULA_7_900_7_900_22">NA()</definedName>
    <definedName name="SHARED_FORMULA_7_900_7_900_26">NA()</definedName>
    <definedName name="SHARED_FORMULA_7_906_7_906_22" localSheetId="11">NA()</definedName>
    <definedName name="SHARED_FORMULA_7_906_7_906_22" localSheetId="12">NA()</definedName>
    <definedName name="SHARED_FORMULA_7_906_7_906_22">#REF!*#REF!*#REF!*#REF!</definedName>
    <definedName name="SHARED_FORMULA_7_909_7_909_26" localSheetId="11">NA()</definedName>
    <definedName name="SHARED_FORMULA_7_909_7_909_26" localSheetId="12">NA()</definedName>
    <definedName name="SHARED_FORMULA_7_909_7_909_26" localSheetId="0">+#REF!*#REF!*#REF!</definedName>
    <definedName name="SHARED_FORMULA_7_909_7_909_26">+#REF!*#REF!*#REF!</definedName>
    <definedName name="SHARED_FORMULA_7_91_7_91_37">NA()</definedName>
    <definedName name="SHARED_FORMULA_7_925_7_925_26" localSheetId="11">NA()</definedName>
    <definedName name="SHARED_FORMULA_7_925_7_925_26" localSheetId="12">NA()</definedName>
    <definedName name="SHARED_FORMULA_7_925_7_925_26" localSheetId="0">+#REF!*#REF!*#REF!</definedName>
    <definedName name="SHARED_FORMULA_7_925_7_925_26">+#REF!*#REF!*#REF!</definedName>
    <definedName name="SHARED_FORMULA_7_926_7_926_22" localSheetId="11">NA()</definedName>
    <definedName name="SHARED_FORMULA_7_926_7_926_22" localSheetId="12">NA()</definedName>
    <definedName name="SHARED_FORMULA_7_926_7_926_22" localSheetId="0">#REF!*#REF!*#REF!*#REF!</definedName>
    <definedName name="SHARED_FORMULA_7_926_7_926_22">#REF!*#REF!*#REF!*#REF!</definedName>
    <definedName name="SHARED_FORMULA_7_932_7_932_22">NA()</definedName>
    <definedName name="SHARED_FORMULA_7_932_7_932_26">NA()</definedName>
    <definedName name="SHARED_FORMULA_7_94_7_94_37" localSheetId="11">NA()</definedName>
    <definedName name="SHARED_FORMULA_7_94_7_94_37" localSheetId="12">NA()</definedName>
    <definedName name="SHARED_FORMULA_7_94_7_94_37" localSheetId="0">#REF!*#REF!*#REF!*#REF!</definedName>
    <definedName name="SHARED_FORMULA_7_94_7_94_37">#REF!*#REF!*#REF!*#REF!</definedName>
    <definedName name="SHARED_FORMULA_7_941_7_941_22">NA()</definedName>
    <definedName name="SHARED_FORMULA_7_945_7_945_26" localSheetId="11">NA()</definedName>
    <definedName name="SHARED_FORMULA_7_945_7_945_26" localSheetId="12">NA()</definedName>
    <definedName name="SHARED_FORMULA_7_945_7_945_26">#REF!*#REF!*#REF!*#REF!</definedName>
    <definedName name="SHARED_FORMULA_7_947_7_947_22" localSheetId="11">NA()</definedName>
    <definedName name="SHARED_FORMULA_7_947_7_947_22" localSheetId="12">NA()</definedName>
    <definedName name="SHARED_FORMULA_7_947_7_947_22" localSheetId="0">#REF!*#REF!*#REF!*#REF!</definedName>
    <definedName name="SHARED_FORMULA_7_947_7_947_22">#REF!*#REF!*#REF!*#REF!</definedName>
    <definedName name="SHARED_FORMULA_7_951_7_951_22">NA()</definedName>
    <definedName name="SHARED_FORMULA_7_96_7_96_33">NA()</definedName>
    <definedName name="SHARED_FORMULA_7_962_7_962_26">NA()</definedName>
    <definedName name="SHARED_FORMULA_7_969_7_969_22">NA()</definedName>
    <definedName name="SHARED_FORMULA_7_976_7_976_26">NA()</definedName>
    <definedName name="SHARED_FORMULA_7_977_7_977_22" localSheetId="11">NA()</definedName>
    <definedName name="SHARED_FORMULA_7_977_7_977_22" localSheetId="12">NA()</definedName>
    <definedName name="SHARED_FORMULA_7_977_7_977_22" localSheetId="0">#REF!*#REF!*#REF!*#REF!</definedName>
    <definedName name="SHARED_FORMULA_7_977_7_977_22">#REF!*#REF!*#REF!*#REF!</definedName>
    <definedName name="SHARED_FORMULA_7_982_7_982_26" localSheetId="11">NA()</definedName>
    <definedName name="SHARED_FORMULA_7_982_7_982_26" localSheetId="12">NA()</definedName>
    <definedName name="SHARED_FORMULA_7_982_7_982_26" localSheetId="0">#REF!*#REF!*#REF!*#REF!</definedName>
    <definedName name="SHARED_FORMULA_7_982_7_982_26">#REF!*#REF!*#REF!*#REF!</definedName>
    <definedName name="SHARED_FORMULA_7_988_7_988_22">NA()</definedName>
    <definedName name="SHARED_FORMULA_7_992_7_992_26" localSheetId="11">NA()</definedName>
    <definedName name="SHARED_FORMULA_7_992_7_992_26" localSheetId="12">NA()</definedName>
    <definedName name="SHARED_FORMULA_7_992_7_992_26" localSheetId="0">#REF!*#REF!*#REF!*#REF!</definedName>
    <definedName name="SHARED_FORMULA_7_992_7_992_26">#REF!*#REF!*#REF!*#REF!</definedName>
    <definedName name="SHARED_FORMULA_8_1161_8_1161_6">NA()</definedName>
    <definedName name="SHARED_FORMULA_8_1242_8_1242_6">NA()</definedName>
    <definedName name="SHARED_FORMULA_8_1255_8_1255_6">NA()</definedName>
    <definedName name="SHARED_FORMULA_8_1272_8_1272_6">NA()</definedName>
    <definedName name="SHARED_FORMULA_8_1308_8_1308_5">NA()</definedName>
    <definedName name="SHARED_FORMULA_8_1418_8_1418_6">NA()</definedName>
    <definedName name="SHARED_FORMULA_8_1426_8_1426_6">NA()</definedName>
    <definedName name="SHARED_FORMULA_8_1434_8_1434_6">NA()</definedName>
    <definedName name="SHARED_FORMULA_8_1709_8_1709_6">NA()</definedName>
    <definedName name="SHARED_FORMULA_8_1754_8_1754_6">NA()</definedName>
    <definedName name="SHARED_FORMULA_8_1777_8_1777_6">NA()</definedName>
    <definedName name="SHARED_FORMULA_8_1801_8_1801_6">NA()</definedName>
    <definedName name="SHARED_FORMULA_8_3_8_3_25">NA()</definedName>
    <definedName name="SHARED_FORMULA_8_46_8_46_5">NA()</definedName>
    <definedName name="SHARED_FORMULA_8_51_8_51_5">NA()</definedName>
    <definedName name="SHARED_FORMULA_8_54_8_54_5">NA()</definedName>
    <definedName name="SHARED_FORMULA_9_617_9_617_9">NA()</definedName>
    <definedName name="SHASHI">NA()</definedName>
    <definedName name="sheet1">NA()</definedName>
    <definedName name="Sheet2">"[93]data!#ref!"</definedName>
    <definedName name="shi">NA()</definedName>
    <definedName name="shiva">NA()</definedName>
    <definedName name="SHOULDERS">NA()</definedName>
    <definedName name="shru">"[412]footings!#ref!"</definedName>
    <definedName name="Shyam">NA()</definedName>
    <definedName name="si">NA()</definedName>
    <definedName name="SIDEWALL">NA()</definedName>
    <definedName name="SIDEWALLSONETOSIX">NA()</definedName>
    <definedName name="SIDEWALLSSEVENTOTHIRTEEN" localSheetId="11">NA()</definedName>
    <definedName name="SIDEWALLSSEVENTOTHIRTEEN" localSheetId="12">NA()</definedName>
    <definedName name="SIDEWALLSSEVENTOTHIRTEEN" localSheetId="0">#REF!</definedName>
    <definedName name="SIDEWALLSSEVENTOTHIRTEEN">#REF!</definedName>
    <definedName name="signage">"'[141]14'!$a$1:$u$65536"</definedName>
    <definedName name="single">NA()</definedName>
    <definedName name="sir">NA()</definedName>
    <definedName name="Siri" localSheetId="11">"scheduled_payment"+"extra_payment"</definedName>
    <definedName name="Siri" localSheetId="12">"scheduled_payment"+"extra_payment"</definedName>
    <definedName name="Siri" localSheetId="0">Scheduled_Payment+Extra_Payment</definedName>
    <definedName name="Siri" localSheetId="7">Scheduled_Payment+Extra_Payment</definedName>
    <definedName name="Siri">Scheduled_Payment+Extra_Payment</definedName>
    <definedName name="SITE" localSheetId="11">NA()</definedName>
    <definedName name="SITE" localSheetId="12">NA()</definedName>
    <definedName name="SITE" localSheetId="0">#REF!</definedName>
    <definedName name="SITE">#REF!</definedName>
    <definedName name="SIXTOTHIRTEEN" localSheetId="11">NA()</definedName>
    <definedName name="SIXTOTHIRTEEN" localSheetId="12">NA()</definedName>
    <definedName name="SIXTOTHIRTEEN" localSheetId="0">#REF!</definedName>
    <definedName name="SIXTOTHIRTEEN">#REF!</definedName>
    <definedName name="size">NA()</definedName>
    <definedName name="SKDIRD" localSheetId="12">{"'ridftotal'!$A$4:$S$27"}</definedName>
    <definedName name="SKDIRD">{"'ridftotal'!$A$4:$S$27"}</definedName>
    <definedName name="skirting_shahbad">NA()</definedName>
    <definedName name="sla">NA()</definedName>
    <definedName name="SLAB">[9]DATA!$H$113</definedName>
    <definedName name="slab_8">NA()</definedName>
    <definedName name="SLAB1">NA()</definedName>
    <definedName name="SLOAD" localSheetId="11">"[56]mrates!$ad$10"</definedName>
    <definedName name="SLOAD" localSheetId="12">"[56]mrates!$ad$10"</definedName>
    <definedName name="SLOAD">[29]MRATES!$AD$10</definedName>
    <definedName name="sluicevalve">NA()</definedName>
    <definedName name="SLUICEVALVES">NA()</definedName>
    <definedName name="Slushy_soil_and_silt_clearance_upto_0_60_metres_depth_SS_20_B">NA()</definedName>
    <definedName name="sm">'[33]Lead statement'!$P$6</definedName>
    <definedName name="sma">NA()</definedName>
    <definedName name="SMAZDOOR" localSheetId="11">[146]MRATES!$F$38</definedName>
    <definedName name="SMAZDOOR" localSheetId="12">[146]MRATES!$F$38</definedName>
    <definedName name="SMAZDOOR" localSheetId="0">[146]MRATES!$F$38</definedName>
    <definedName name="SMAZDOOR">[147]MRATES!$F$38</definedName>
    <definedName name="smc">'[148]Lead statement'!$P$7</definedName>
    <definedName name="smetal">NA()</definedName>
    <definedName name="sn">'[72]Lead statement'!$P$6</definedName>
    <definedName name="sngsd">[116]l!$J$9</definedName>
    <definedName name="sngst">[116]l!$J$8</definedName>
    <definedName name="so_desgn">[149]Data_Base!$E$2:$F$11</definedName>
    <definedName name="Soft_disentigrated_rock___removable_by_pick_axes_and_crow_bars">NA()</definedName>
    <definedName name="soil_types">'[150]data existing_do not delete'!$I$2:$I$9</definedName>
    <definedName name="Soling">NA()</definedName>
    <definedName name="Soling_stone_of_150_mm_size_of_granite__trap_and_Dolamite_varieties_">NA()</definedName>
    <definedName name="SortOrder">NA()</definedName>
    <definedName name="sp">NA()</definedName>
    <definedName name="SP_136_BCCP">NA()</definedName>
    <definedName name="SP_136_BODY">NA()</definedName>
    <definedName name="SP_136_FLY_BCCP">NA()</definedName>
    <definedName name="Sp_136_Found">'[45]Road data'!$C$356</definedName>
    <definedName name="SP_148_BCCP">NA()</definedName>
    <definedName name="SP_BACKFILL">NA()</definedName>
    <definedName name="SP_BED_HP">NA()</definedName>
    <definedName name="Sp_BetweenBodywalls">'[45]Road data'!$C$451</definedName>
    <definedName name="SP_BM" localSheetId="11">NA()</definedName>
    <definedName name="SP_BM" localSheetId="12">NA()</definedName>
    <definedName name="SP_BM">'[52]Road data'!#REF!</definedName>
    <definedName name="SP_BM_50">NA()</definedName>
    <definedName name="SP_BT_PATCH_40">NA()</definedName>
    <definedName name="SP_Diversion_Road" localSheetId="11">NA()</definedName>
    <definedName name="SP_Diversion_Road" localSheetId="12">NA()</definedName>
    <definedName name="SP_Diversion_Road">'[135]Road data'!#REF!</definedName>
    <definedName name="sp_eew">'[45]Road data'!$C$316</definedName>
    <definedName name="SP_EW_C">NA()</definedName>
    <definedName name="SP_EW_Car" localSheetId="11">NA()</definedName>
    <definedName name="SP_EW_Car" localSheetId="12">NA()</definedName>
    <definedName name="SP_EW_Car">'[52]Road data'!#REF!</definedName>
    <definedName name="SP_EW_FMC_Side">'[135]Road data'!$C$15</definedName>
    <definedName name="SP_EW_Form_OMC">'[45]Road data'!$C$32</definedName>
    <definedName name="SP_EW_FOUND">NA()</definedName>
    <definedName name="SP_EW_Man" localSheetId="11">NA()</definedName>
    <definedName name="SP_EW_Man" localSheetId="12">NA()</definedName>
    <definedName name="SP_EW_Man">'[135]Road data'!#REF!</definedName>
    <definedName name="SP_EW_OMC_Car" localSheetId="11">NA()</definedName>
    <definedName name="SP_EW_OMC_Car" localSheetId="12">NA()</definedName>
    <definedName name="SP_EW_OMC_Car">'[52]Road data'!#REF!</definedName>
    <definedName name="SP_EW_OMC_Side" localSheetId="11">NA()</definedName>
    <definedName name="SP_EW_OMC_Side" localSheetId="12">NA()</definedName>
    <definedName name="SP_EW_OMC_Side">'[52]Road data'!#REF!</definedName>
    <definedName name="SP_EW_S">NA()</definedName>
    <definedName name="SP_EW_SIDE">NA()</definedName>
    <definedName name="sp_EW_side_OMC">'[45]Road data'!$C$7</definedName>
    <definedName name="SP_EW_T">NA()</definedName>
    <definedName name="SP_EW_USS">NA()</definedName>
    <definedName name="SP_FILL_INB_BODY">NA()</definedName>
    <definedName name="SP_FILTER_ABUT">NA()</definedName>
    <definedName name="SP_FILTER_BPITCH">NA()</definedName>
    <definedName name="SP_G2_22B_AS_PR">NA()</definedName>
    <definedName name="SP_G2_22B_AS_VR">NA()</definedName>
    <definedName name="SP_G2_45B_AS_PR">NA()</definedName>
    <definedName name="SP_G2_45B_AS_VR">NA()</definedName>
    <definedName name="SP_G3_22B_BS_PR">NA()</definedName>
    <definedName name="SP_G3_22B_BS_VR">NA()</definedName>
    <definedName name="SP_G3_45B_BS_PR">NA()</definedName>
    <definedName name="SP_G3_45B_BS_VR">NA()</definedName>
    <definedName name="SP_Gravel_Bedding">'[45]Road data'!$C$336</definedName>
    <definedName name="SP_Gravel_Quardrent" localSheetId="11">NA()</definedName>
    <definedName name="SP_Gravel_Quardrent" localSheetId="12">NA()</definedName>
    <definedName name="SP_Gravel_Quardrent">'[135]Road data'!#REF!</definedName>
    <definedName name="SP_GROUT_REV">NA()</definedName>
    <definedName name="SP_GS">NA()</definedName>
    <definedName name="Sp_GSB">'[45]Road data'!$C$60</definedName>
    <definedName name="SP_HP_600" localSheetId="11">NA()</definedName>
    <definedName name="SP_HP_600" localSheetId="12">NA()</definedName>
    <definedName name="SP_HP_600">'[52]Road data'!#REF!</definedName>
    <definedName name="Sp_HPC">'[45]Road data'!$C$404</definedName>
    <definedName name="SP_HPL_600" localSheetId="11">NA()</definedName>
    <definedName name="SP_HPL_600" localSheetId="12">NA()</definedName>
    <definedName name="SP_HPL_600">'[52]Road data'!#REF!</definedName>
    <definedName name="SP_HYSD_FOUND">NA()</definedName>
    <definedName name="SP_HYSD_SUB">NA()</definedName>
    <definedName name="SP_HYSD_Super" localSheetId="11">NA()</definedName>
    <definedName name="SP_HYSD_Super" localSheetId="12">NA()</definedName>
    <definedName name="SP_HYSD_Super">'[52]Road data'!#REF!</definedName>
    <definedName name="SP_M10_base" localSheetId="11">NA()</definedName>
    <definedName name="SP_M10_base" localSheetId="12">NA()</definedName>
    <definedName name="SP_M10_base">'[135]Road data'!#REF!</definedName>
    <definedName name="sp_M10_bCC" localSheetId="11">NA()</definedName>
    <definedName name="sp_M10_bCC" localSheetId="12">NA()</definedName>
    <definedName name="sp_M10_bCC">'[52]Road data'!#REF!</definedName>
    <definedName name="SP_M10_drainS" localSheetId="11">NA()</definedName>
    <definedName name="SP_M10_drainS" localSheetId="12">NA()</definedName>
    <definedName name="SP_M10_drainS">'[135]Road data'!#REF!</definedName>
    <definedName name="SP_M15_deviders" localSheetId="11">NA()</definedName>
    <definedName name="SP_M15_deviders" localSheetId="12">NA()</definedName>
    <definedName name="SP_M15_deviders">'[135]Road data'!#REF!</definedName>
    <definedName name="SP_M15_DIVIDERS">NA()</definedName>
    <definedName name="SP_M15_footing" localSheetId="11">NA()</definedName>
    <definedName name="SP_M15_footing" localSheetId="12">NA()</definedName>
    <definedName name="SP_M15_footing">'[52]Road data'!#REF!</definedName>
    <definedName name="SP_M15_FOUND">NA()</definedName>
    <definedName name="SP_M15_LEVEL">NA()</definedName>
    <definedName name="SP_M15_SUB" localSheetId="11">NA()</definedName>
    <definedName name="SP_M15_SUB" localSheetId="12">NA()</definedName>
    <definedName name="SP_M15_SUB">'[52]Road data'!#REF!</definedName>
    <definedName name="Sp_M20_Bed">'[45]Road data'!$C$559</definedName>
    <definedName name="SP_M20_BedBack" localSheetId="11">NA()</definedName>
    <definedName name="SP_M20_BedBack" localSheetId="12">NA()</definedName>
    <definedName name="SP_M20_BedBack">'[52]Road data'!#REF!</definedName>
    <definedName name="SP_M20_COVER" localSheetId="11">NA()</definedName>
    <definedName name="SP_M20_COVER" localSheetId="12">NA()</definedName>
    <definedName name="SP_M20_COVER">'[52]Road data'!#REF!</definedName>
    <definedName name="SP_M20_Slab" localSheetId="11">NA()</definedName>
    <definedName name="SP_M20_Slab" localSheetId="12">NA()</definedName>
    <definedName name="SP_M20_Slab">'[52]Road data'!#REF!</definedName>
    <definedName name="SP_M20R_BEDBLOCKS">NA()</definedName>
    <definedName name="SP_M20R_COVER_SLAB">NA()</definedName>
    <definedName name="SP_M20R_DECK">NA()</definedName>
    <definedName name="SP_M20R_RAIL">NA()</definedName>
    <definedName name="SP_M25_ApproachSlab" localSheetId="11">NA()</definedName>
    <definedName name="SP_M25_ApproachSlab" localSheetId="12">NA()</definedName>
    <definedName name="SP_M25_ApproachSlab">'[52]Road data'!#REF!</definedName>
    <definedName name="SP_M25R_APP">NA()</definedName>
    <definedName name="SP_M30_WC" localSheetId="11">NA()</definedName>
    <definedName name="SP_M30_WC" localSheetId="12">NA()</definedName>
    <definedName name="SP_M30_WC">'[52]Road data'!#REF!</definedName>
    <definedName name="SP_M30R_WC">NA()</definedName>
    <definedName name="SP_M35_CC" localSheetId="11">NA()</definedName>
    <definedName name="SP_M35_CC" localSheetId="12">NA()</definedName>
    <definedName name="SP_M35_CC">'[135]Road data'!#REF!</definedName>
    <definedName name="SP_M35_CCP">NA()</definedName>
    <definedName name="SP_M35_fLY_CCP">NA()</definedName>
    <definedName name="SP_M35_FlyAsh" localSheetId="11">NA()</definedName>
    <definedName name="SP_M35_FlyAsh" localSheetId="12">NA()</definedName>
    <definedName name="SP_M35_FlyAsh">'[52]Road data'!#REF!</definedName>
    <definedName name="SP_Mild" localSheetId="11">NA()</definedName>
    <definedName name="SP_Mild" localSheetId="12">NA()</definedName>
    <definedName name="SP_Mild">'[52]Road data'!#REF!</definedName>
    <definedName name="Sp_MSS">'[45]Road data'!$C$220</definedName>
    <definedName name="SP_PAINT">NA()</definedName>
    <definedName name="SP_Painting" localSheetId="11">NA()</definedName>
    <definedName name="SP_Painting" localSheetId="12">NA()</definedName>
    <definedName name="SP_Painting">'[52]Road data'!#REF!</definedName>
    <definedName name="SP_Pick">'[135]Road data'!$C$79</definedName>
    <definedName name="SP_PLAST">NA()</definedName>
    <definedName name="SP_Plastering" localSheetId="11">NA()</definedName>
    <definedName name="SP_Plastering" localSheetId="12">NA()</definedName>
    <definedName name="SP_Plastering">'[52]Road data'!#REF!</definedName>
    <definedName name="SP_Rev_A300" localSheetId="11">NA()</definedName>
    <definedName name="SP_Rev_A300" localSheetId="12">NA()</definedName>
    <definedName name="SP_Rev_A300">'[135]Road data'!#REF!</definedName>
    <definedName name="SP_Rev_Q300" localSheetId="11">NA()</definedName>
    <definedName name="SP_Rev_Q300" localSheetId="12">NA()</definedName>
    <definedName name="SP_Rev_Q300">'[135]Road data'!#REF!</definedName>
    <definedName name="SP_REV300">NA()</definedName>
    <definedName name="SP_SANDFILL">NA()</definedName>
    <definedName name="SP_Sandfilling" localSheetId="11">NA()</definedName>
    <definedName name="SP_Sandfilling" localSheetId="12">NA()</definedName>
    <definedName name="SP_Sandfilling">'[52]Road data'!#REF!</definedName>
    <definedName name="SP_Scar_BT" localSheetId="11">NA()</definedName>
    <definedName name="SP_Scar_BT" localSheetId="12">NA()</definedName>
    <definedName name="SP_Scar_BT">'[52]Road data'!#REF!</definedName>
    <definedName name="SP_SCAR_GRA">NA()</definedName>
    <definedName name="SP_Scar_GSB" localSheetId="11">NA()</definedName>
    <definedName name="SP_Scar_GSB" localSheetId="12">NA()</definedName>
    <definedName name="SP_Scar_GSB">'[52]Road data'!#REF!</definedName>
    <definedName name="Sp_Scarf">'[45]Road data'!$C$84</definedName>
    <definedName name="SP_SCSD">'[45]Road data'!$C$174</definedName>
    <definedName name="SP_SCSD_6070">NA()</definedName>
    <definedName name="SP_SCSD_80100" localSheetId="11">NA()</definedName>
    <definedName name="SP_SCSD_80100" localSheetId="12">NA()</definedName>
    <definedName name="SP_SCSD_80100">'[52]Road data'!#REF!</definedName>
    <definedName name="SP_SDBC">NA()</definedName>
    <definedName name="Sp_Shoulders">'[45]Road data'!$C$249</definedName>
    <definedName name="SP_Tack">'[45]Road data'!$C$200</definedName>
    <definedName name="Sp_WBM_G2">'[45]Road data'!$C$99</definedName>
    <definedName name="SP_WBM_G3">'[45]Road data'!$C$123</definedName>
    <definedName name="SP_WBM2" localSheetId="11">NA()</definedName>
    <definedName name="SP_WBM2" localSheetId="12">NA()</definedName>
    <definedName name="SP_WBM2">'[52]Road data'!#REF!</definedName>
    <definedName name="SP_WBM2_HVR" localSheetId="11">NA()</definedName>
    <definedName name="SP_WBM2_HVR" localSheetId="12">NA()</definedName>
    <definedName name="SP_WBM2_HVR">'[52]Road data'!#REF!</definedName>
    <definedName name="SP_WBM2_MCS" localSheetId="11">NA()</definedName>
    <definedName name="SP_WBM2_MCS" localSheetId="12">NA()</definedName>
    <definedName name="SP_WBM2_MCS">'[52]Road data'!#REF!</definedName>
    <definedName name="SP_WBM2_MVR" localSheetId="11">NA()</definedName>
    <definedName name="SP_WBM2_MVR" localSheetId="12">NA()</definedName>
    <definedName name="SP_WBM2_MVR">'[52]Road data'!#REF!</definedName>
    <definedName name="SP_WBM3" localSheetId="11">NA()</definedName>
    <definedName name="SP_WBM3" localSheetId="12">NA()</definedName>
    <definedName name="SP_WBM3">'[52]Road data'!#REF!</definedName>
    <definedName name="SP_WBM3_HVR" localSheetId="11">NA()</definedName>
    <definedName name="SP_WBM3_HVR" localSheetId="12">NA()</definedName>
    <definedName name="SP_WBM3_HVR">'[52]Road data'!#REF!</definedName>
    <definedName name="SP_WBM3_MCS" localSheetId="11">NA()</definedName>
    <definedName name="SP_WBM3_MCS" localSheetId="12">NA()</definedName>
    <definedName name="SP_WBM3_MCS">'[52]Road data'!#REF!</definedName>
    <definedName name="SP_Weepholes" localSheetId="11">NA()</definedName>
    <definedName name="SP_Weepholes" localSheetId="12">NA()</definedName>
    <definedName name="SP_Weepholes">'[52]Road data'!#REF!</definedName>
    <definedName name="SP_WMM" localSheetId="11">NA()</definedName>
    <definedName name="SP_WMM" localSheetId="12">NA()</definedName>
    <definedName name="SP_WMM">'[52]Road data'!#REF!</definedName>
    <definedName name="sp002a">NA()</definedName>
    <definedName name="sp004a">NA()</definedName>
    <definedName name="SP005A">NA()</definedName>
    <definedName name="SP022a">NA()</definedName>
    <definedName name="sp023a">NA()</definedName>
    <definedName name="sp025a">NA()</definedName>
    <definedName name="SP034a">NA()</definedName>
    <definedName name="spaint">NA()</definedName>
    <definedName name="Spare">"[284]iocount!#ref!"</definedName>
    <definedName name="spas">NA()</definedName>
    <definedName name="spds">NA()</definedName>
    <definedName name="SpecialPrice" localSheetId="11">NA()</definedName>
    <definedName name="SpecialPrice" localSheetId="12">NA()</definedName>
    <definedName name="SpecialPrice" localSheetId="0" hidden="1">#REF!</definedName>
    <definedName name="SpecialPrice" hidden="1">#REF!</definedName>
    <definedName name="Spreading__watering_gravel_for_150mm_compacted">NA()</definedName>
    <definedName name="SPREADING_40MM">NA()</definedName>
    <definedName name="SPREADING_65MM">NA()</definedName>
    <definedName name="Spreading_gravel_or_sand_including_watering_and_rolling_with_hand_roller_irrespective_of_thickness_in_layer">'[37]Common '!$D$308</definedName>
    <definedName name="sprev">NA()</definedName>
    <definedName name="spryer">NA()</definedName>
    <definedName name="Spülfreqenz_Filter">"[148]balan1!#ref!"</definedName>
    <definedName name="sri">[119]m!$D$149</definedName>
    <definedName name="srinu">[119]m!$M$3</definedName>
    <definedName name="ss">NA()</definedName>
    <definedName name="ss_pipes">NA()</definedName>
    <definedName name="ss_railing">NA()</definedName>
    <definedName name="SS_Reinigung_in_BiopurC">"[148]balan1!#ref!"</definedName>
    <definedName name="SS_reinigung_in_BiopurN">"[148]balan1!#ref!"</definedName>
    <definedName name="SS_Reinigung_in_Filter">"[148]balan1!#ref!"</definedName>
    <definedName name="ssand">NA()</definedName>
    <definedName name="Ssec1">NA()</definedName>
    <definedName name="Ssec2">NA()</definedName>
    <definedName name="Ssec3">NA()</definedName>
    <definedName name="Ssec4">NA()</definedName>
    <definedName name="Ssec5">NA()</definedName>
    <definedName name="Ssec6">NA()</definedName>
    <definedName name="SSF">NA()</definedName>
    <definedName name="SSR_Year">[150]LEADS!$AD$1</definedName>
    <definedName name="sss" localSheetId="11">NA()</definedName>
    <definedName name="sss" localSheetId="12">NA()</definedName>
    <definedName name="sss" localSheetId="0">#REF!</definedName>
    <definedName name="sss">#REF!</definedName>
    <definedName name="sssaaa">NA()</definedName>
    <definedName name="ssss">NA()</definedName>
    <definedName name="SSSSS">"[113]data.f8.btr!#ref!"</definedName>
    <definedName name="ssssss">'[151]Lead statement'!$P$13</definedName>
    <definedName name="ssssssa">"[71]material!#ref!"</definedName>
    <definedName name="ssssssssssssssss">"[71]material!#ref!"</definedName>
    <definedName name="sst">NA()</definedName>
    <definedName name="SSTACK" localSheetId="11">"[56]mrates!$ad$12"</definedName>
    <definedName name="SSTACK" localSheetId="12">"[56]mrates!$ad$12"</definedName>
    <definedName name="SSTACK">[29]MRATES!$AD$12</definedName>
    <definedName name="sstype3drop">NA()</definedName>
    <definedName name="SSTYPE3DROP1">NA()</definedName>
    <definedName name="sstype3slab">NA()</definedName>
    <definedName name="SSTYPESLAB1">NA()</definedName>
    <definedName name="st">'[33]Lead statement'!$P$22</definedName>
    <definedName name="st_100">NA()</definedName>
    <definedName name="st_150">NA()</definedName>
    <definedName name="st_200">NA()</definedName>
    <definedName name="st_25">NA()</definedName>
    <definedName name="st_250">NA()</definedName>
    <definedName name="st_300">NA()</definedName>
    <definedName name="st_32">NA()</definedName>
    <definedName name="st_40">NA()</definedName>
    <definedName name="st_400">NA()</definedName>
    <definedName name="st_50">NA()</definedName>
    <definedName name="st_500">NA()</definedName>
    <definedName name="st_65">NA()</definedName>
    <definedName name="st_80">NA()</definedName>
    <definedName name="stack" localSheetId="11">NA()</definedName>
    <definedName name="stack" localSheetId="12">NA()</definedName>
    <definedName name="stack" localSheetId="0">#REF!</definedName>
    <definedName name="stack">#REF!</definedName>
    <definedName name="stack1" localSheetId="11">NA()</definedName>
    <definedName name="stack1" localSheetId="12">NA()</definedName>
    <definedName name="stack1" localSheetId="0">#REF!</definedName>
    <definedName name="stack1">#REF!</definedName>
    <definedName name="stack4" localSheetId="11">NA()</definedName>
    <definedName name="stack4" localSheetId="12">NA()</definedName>
    <definedName name="stack4" localSheetId="0">#REF!</definedName>
    <definedName name="stack4">#REF!</definedName>
    <definedName name="stack5">NA()</definedName>
    <definedName name="stacking">NA()</definedName>
    <definedName name="stacking_gravel">NA()</definedName>
    <definedName name="stacking_metal">NA()</definedName>
    <definedName name="staf" localSheetId="11">"[128]v!#ref!"</definedName>
    <definedName name="staf" localSheetId="12">"[128]v!#ref!"</definedName>
    <definedName name="staf" localSheetId="0">[60]v!#REF!</definedName>
    <definedName name="staf">[60]v!#REF!</definedName>
    <definedName name="staff" localSheetId="11">"[128]v!#ref!"</definedName>
    <definedName name="staff" localSheetId="12">"[128]v!#ref!"</definedName>
    <definedName name="staff" localSheetId="0">[60]v!#REF!</definedName>
    <definedName name="staff">[60]v!#REF!</definedName>
    <definedName name="Staff1">"[130]v!#ref!"</definedName>
    <definedName name="Stagging">"[428]boq!#ref!"</definedName>
    <definedName name="Staircase">NA()</definedName>
    <definedName name="Staircase_8">NA()</definedName>
    <definedName name="Staircase2">NA()</definedName>
    <definedName name="STANDARD_SPECIFICATION_FOR_HOSPITAL_STRUCTURES">NA()</definedName>
    <definedName name="standrad">NA()</definedName>
    <definedName name="State" localSheetId="11">NA()</definedName>
    <definedName name="State" localSheetId="12">NA()</definedName>
    <definedName name="State" localSheetId="0">#REF!</definedName>
    <definedName name="State">#REF!</definedName>
    <definedName name="STE">NA()</definedName>
    <definedName name="steel">NA()</definedName>
    <definedName name="steel_hysd">NA()</definedName>
    <definedName name="steel_mildbar">NA()</definedName>
    <definedName name="STEEL_WOODEN_SCAFFOLDING">'[55]BACK BONE'!$EI$1:$EI$8</definedName>
    <definedName name="steelcenA">NA()</definedName>
    <definedName name="steelcenB">NA()</definedName>
    <definedName name="steelcenpb">NA()</definedName>
    <definedName name="sth">NA()</definedName>
    <definedName name="stock">NA()</definedName>
    <definedName name="stone">[152]stone!$A$1:$N$202</definedName>
    <definedName name="stone_dust">NA()</definedName>
    <definedName name="Stone_matrix">NA()</definedName>
    <definedName name="STONEDUST">NA()</definedName>
    <definedName name="stoneld">"[222]leads!#ref!"</definedName>
    <definedName name="STONES_UPTO_25MM">'[55]BASIC DATA'!$B$547:$B$557</definedName>
    <definedName name="STONEWARE_SP1">'[55]BASIC DATA'!$B$390:$B$398</definedName>
    <definedName name="STONEWARE_SP2">'[55]BASIC DATA'!$B$399:$B$407</definedName>
    <definedName name="STONEWARE_SP3">'[55]BASIC DATA'!$B$408:$B$416</definedName>
    <definedName name="stp">NA()</definedName>
    <definedName name="str_steel">NA()</definedName>
    <definedName name="str_steel_plates">NA()</definedName>
    <definedName name="Streitwert">NA()</definedName>
    <definedName name="StrID">NA()</definedName>
    <definedName name="structure">NA()</definedName>
    <definedName name="stth">NA()</definedName>
    <definedName name="studext">NA()</definedName>
    <definedName name="STUDEXT1">NA()</definedName>
    <definedName name="stype2drop">NA()</definedName>
    <definedName name="STYPE2DROP1">NA()</definedName>
    <definedName name="stype2slab">NA()</definedName>
    <definedName name="STYPE2SLAB1">NA()</definedName>
    <definedName name="stype3drop">NA()</definedName>
    <definedName name="STYPE3DROP2">NA()</definedName>
    <definedName name="stype3slab">NA()</definedName>
    <definedName name="STYPE3SLAB1">NA()</definedName>
    <definedName name="SU">NA()</definedName>
    <definedName name="subbu">NA()</definedName>
    <definedName name="Subject">NA()</definedName>
    <definedName name="sudheer">NA()</definedName>
    <definedName name="suhas">NA()</definedName>
    <definedName name="sujin">NA()</definedName>
    <definedName name="Sum">NA()</definedName>
    <definedName name="suman">[153]MRATES!$H$52</definedName>
    <definedName name="SUMFINAL">NA()</definedName>
    <definedName name="summar" localSheetId="11">"[93]data!#ref!"</definedName>
    <definedName name="summar" localSheetId="12">"[93]data!#ref!"</definedName>
    <definedName name="summar" localSheetId="0">[50]data!#REF!</definedName>
    <definedName name="summar">[50]data!#REF!</definedName>
    <definedName name="summary" localSheetId="11">"[93]data!#ref!"</definedName>
    <definedName name="summary" localSheetId="12">"[93]data!#ref!"</definedName>
    <definedName name="summary" localSheetId="0">[50]data!#REF!</definedName>
    <definedName name="summary">[50]data!#REF!</definedName>
    <definedName name="SUMP">NA()</definedName>
    <definedName name="sumrisk">NA()</definedName>
    <definedName name="sun">[74]DATA_PRG!$H$180</definedName>
    <definedName name="SUNLOAD" localSheetId="11">"[56]mrates!$ad$11"</definedName>
    <definedName name="SUNLOAD" localSheetId="12">"[56]mrates!$ad$11"</definedName>
    <definedName name="SUNLOAD">[29]MRATES!$AD$11</definedName>
    <definedName name="Sunshade_0_6_m_wide">NA()</definedName>
    <definedName name="Sunshade_0_8_m_wide">NA()</definedName>
    <definedName name="Sunshade_1_0_m_wide">NA()</definedName>
    <definedName name="sunshade_width">'[70]data existing_do not delete'!$A$98:$A$100</definedName>
    <definedName name="supervisor">NA()</definedName>
    <definedName name="Supply_and_Fixing_of_Frame_made_With_25_x_25_x_3mm_L_angle__AND__middle_patty_1_No__1_80mt__and_using_4mm_round_bars_75mm_C_C_in_vertical_and_using__3mm_round_bars_100mm_C_C_including_c_c_of_all_materials_and_labour_charges_etc__complete__Of_size_1_80_X_1">NA()</definedName>
    <definedName name="suresh">NA()</definedName>
    <definedName name="suri">NA()</definedName>
    <definedName name="SURYA">NA()</definedName>
    <definedName name="suryacem_paint">NA()</definedName>
    <definedName name="SV">NA()</definedName>
    <definedName name="SVA">NA()</definedName>
    <definedName name="sw">NA()</definedName>
    <definedName name="SWARE" localSheetId="11">NA()</definedName>
    <definedName name="SWARE" localSheetId="12">NA()</definedName>
    <definedName name="SWARE" localSheetId="0">#REF!</definedName>
    <definedName name="SWARE">#REF!</definedName>
    <definedName name="sware2" localSheetId="11">NA()</definedName>
    <definedName name="sware2" localSheetId="12">NA()</definedName>
    <definedName name="sware2" localSheetId="0">#REF!</definedName>
    <definedName name="sware2">#REF!</definedName>
    <definedName name="swc">NA()</definedName>
    <definedName name="swci">NA()</definedName>
    <definedName name="SWFR">NA()</definedName>
    <definedName name="SWG">NA()</definedName>
    <definedName name="Sy">NA()</definedName>
    <definedName name="t">NA()</definedName>
    <definedName name="t_beam">[74]DATA_PRG!$H$166</definedName>
    <definedName name="T_beams">"[71]works!#ref!"</definedName>
    <definedName name="T0">NA()</definedName>
    <definedName name="T0_10">NA()</definedName>
    <definedName name="T0_6">"'smb://Kumaresan/sathya/Documents%20and%20Settings/RQM/Desktop/Cost%20code.xls'#$''.$AH$34:$BF$58"</definedName>
    <definedName name="Table">NA()</definedName>
    <definedName name="Table1">NA()</definedName>
    <definedName name="Table2">NA()</definedName>
    <definedName name="Table3">NA()</definedName>
    <definedName name="Table4">NA()</definedName>
    <definedName name="TableRange">NA()</definedName>
    <definedName name="TAEW" localSheetId="11">NA()</definedName>
    <definedName name="TAEW" localSheetId="12">NA()</definedName>
    <definedName name="TAEW" localSheetId="0">'[52]abs road'!#REF!</definedName>
    <definedName name="TAEW">'[52]abs road'!#REF!</definedName>
    <definedName name="tailpiece">[65]maya!$B$343:$B$348</definedName>
    <definedName name="taj">"[129]v!#ref!"</definedName>
    <definedName name="tanda">"[113]data.f8.btr!#ref!"</definedName>
    <definedName name="Tandam_Road_Roller">NA()</definedName>
    <definedName name="TapSpecials">NA()</definedName>
    <definedName name="tas">NA()</definedName>
    <definedName name="TAWBM">NA()</definedName>
    <definedName name="TaxTV">10%</definedName>
    <definedName name="TaxXL">5%</definedName>
    <definedName name="tbiiv0">NA()</definedName>
    <definedName name="tbiv0">NA()</definedName>
    <definedName name="tbl_ProdInfo" localSheetId="11">NA()</definedName>
    <definedName name="tbl_ProdInfo" localSheetId="12">NA()</definedName>
    <definedName name="tbl_ProdInfo" localSheetId="0" hidden="1">#REF!</definedName>
    <definedName name="tbl_ProdInfo" hidden="1">#REF!</definedName>
    <definedName name="td">NA()</definedName>
    <definedName name="TECV">NA()</definedName>
    <definedName name="TEI">NA()</definedName>
    <definedName name="TEI_8">NA()</definedName>
    <definedName name="tekmal" localSheetId="11">NA()</definedName>
    <definedName name="tekmal" localSheetId="12">NA()</definedName>
    <definedName name="tekmal" localSheetId="0">#REF!</definedName>
    <definedName name="tekmal">#REF!</definedName>
    <definedName name="temp">[6]r!$F$2</definedName>
    <definedName name="temp1">NA()</definedName>
    <definedName name="ten">NA()</definedName>
    <definedName name="terrace">NA()</definedName>
    <definedName name="th">NA()</definedName>
    <definedName name="Timber">"[71]material!#ref!"</definedName>
    <definedName name="TIME">NA()</definedName>
    <definedName name="Tipper__Dumper_1_hour">NA()</definedName>
    <definedName name="Tipper_10_T">NA()</definedName>
    <definedName name="tit">NA()</definedName>
    <definedName name="Title1">NA()</definedName>
    <definedName name="Title2">NA()</definedName>
    <definedName name="tm">NA()</definedName>
    <definedName name="toilet">NA()</definedName>
    <definedName name="tol">NA()</definedName>
    <definedName name="top">"[130]boq!#ref!"</definedName>
    <definedName name="top_8">NA()</definedName>
    <definedName name="TOPDOME">'[78]DATA-ABSTRACT'!$A$11:$B$13</definedName>
    <definedName name="TOPDOMEONETOSIX" localSheetId="11">NA()</definedName>
    <definedName name="TOPDOMEONETOSIX" localSheetId="12">NA()</definedName>
    <definedName name="TOPDOMEONETOSIX" localSheetId="0">#REF!</definedName>
    <definedName name="TOPDOMEONETOSIX">#REF!</definedName>
    <definedName name="TOPDOMESEVENTOTHIRTEEN" localSheetId="11">NA()</definedName>
    <definedName name="TOPDOMESEVENTOTHIRTEEN" localSheetId="12">NA()</definedName>
    <definedName name="TOPDOMESEVENTOTHIRTEEN" localSheetId="0">#REF!</definedName>
    <definedName name="TOPDOMESEVENTOTHIRTEEN">#REF!</definedName>
    <definedName name="topl">NA()</definedName>
    <definedName name="topn">NA()</definedName>
    <definedName name="TOPRINGGIRDERONETOSIX" localSheetId="11">NA()</definedName>
    <definedName name="TOPRINGGIRDERONETOSIX" localSheetId="12">NA()</definedName>
    <definedName name="TOPRINGGIRDERONETOSIX" localSheetId="0">#REF!</definedName>
    <definedName name="TOPRINGGIRDERONETOSIX">#REF!</definedName>
    <definedName name="TOPRINGGIRDERSEVENTOTHIRTEEN" localSheetId="11">NA()</definedName>
    <definedName name="TOPRINGGIRDERSEVENTOTHIRTEEN" localSheetId="12">NA()</definedName>
    <definedName name="TOPRINGGIRDERSEVENTOTHIRTEEN" localSheetId="0">#REF!</definedName>
    <definedName name="TOPRINGGIRDERSEVENTOTHIRTEEN">#REF!</definedName>
    <definedName name="tot">NA()</definedName>
    <definedName name="Total">NA()</definedName>
    <definedName name="Total_Interest">NA()</definedName>
    <definedName name="Total_Pay">NA()</definedName>
    <definedName name="Total_Payment">"scheduled_payment"+"extra_payment"</definedName>
    <definedName name="totalpop">NA()</definedName>
    <definedName name="TOWER_BOLTS">'[55]BASIC DATA'!$B$631:$B$648</definedName>
    <definedName name="TPR">NA()</definedName>
    <definedName name="TQBM">NA()</definedName>
    <definedName name="TQEW">"[384]r_det!#ref!"</definedName>
    <definedName name="TQGSB">NA()</definedName>
    <definedName name="TQVCC">NA()</definedName>
    <definedName name="TQVRCC">NA()</definedName>
    <definedName name="TQWBM" localSheetId="11">"[382]r_det!#ref!"</definedName>
    <definedName name="TQWBM" localSheetId="12">"[382]r_det!#ref!"</definedName>
    <definedName name="TQWBM" localSheetId="0">[131]R_Det!#REF!</definedName>
    <definedName name="TQWBM">[131]R_Det!#REF!</definedName>
    <definedName name="tr">NA()</definedName>
    <definedName name="Tractor">NA()</definedName>
    <definedName name="tractor_frm">NA()</definedName>
    <definedName name="TRAFFIC">NA()</definedName>
    <definedName name="TransInsu">NA()</definedName>
    <definedName name="treads_shahbad">NA()</definedName>
    <definedName name="TREE">NA()</definedName>
    <definedName name="trgregerg">"[71]material!#ref!"</definedName>
    <definedName name="trrwqq">NA()</definedName>
    <definedName name="Ts">NA()</definedName>
    <definedName name="tsfb">"[122]process!#ref!"</definedName>
    <definedName name="tsl">"[122]process!#ref!"</definedName>
    <definedName name="tsswd">"[122]process!#ref!"</definedName>
    <definedName name="tsw">"[122]process!#ref!"</definedName>
    <definedName name="tt">NA()</definedName>
    <definedName name="ttt">NA()</definedName>
    <definedName name="ttttt">NA()</definedName>
    <definedName name="tttttttttt">"[71]works!#ref!"</definedName>
    <definedName name="TW_lipping_to_flush_door">NA()</definedName>
    <definedName name="TW_planks_1st_class">"[71]material!#ref!"</definedName>
    <definedName name="TW_planks_2nd_class">"[71]material!#ref!"</definedName>
    <definedName name="TW_scantling_sabove_2m_1st_class">"[71]material!#ref!"</definedName>
    <definedName name="TW_scantlings_above_2m_2nd_class">"[71]material!#ref!"</definedName>
    <definedName name="TW_scantlings_below_2m_1st_class">"[71]material!#ref!"</definedName>
    <definedName name="TW_scantlings_below_2m_2nd_class">"[71]material!#ref!"</definedName>
    <definedName name="twbm">NA()</definedName>
    <definedName name="twtttt">NA()</definedName>
    <definedName name="ty">NA()</definedName>
    <definedName name="Type1">NA()</definedName>
    <definedName name="Type1_8">NA()</definedName>
    <definedName name="type11">NA()</definedName>
    <definedName name="type1drop">NA()</definedName>
    <definedName name="type1slab">NA()</definedName>
    <definedName name="Type2">NA()</definedName>
    <definedName name="Type2_8">NA()</definedName>
    <definedName name="type2drop">NA()</definedName>
    <definedName name="type2slab">NA()</definedName>
    <definedName name="Type3">NA()</definedName>
    <definedName name="type3drop">NA()</definedName>
    <definedName name="type3slab">NA()</definedName>
    <definedName name="type4">NA()</definedName>
    <definedName name="type44">NA()</definedName>
    <definedName name="type4drop">NA()</definedName>
    <definedName name="type4slab">NA()</definedName>
    <definedName name="UCN">NA()</definedName>
    <definedName name="uetyyuwefgyusdhj" localSheetId="11">NA()</definedName>
    <definedName name="uetyyuwefgyusdhj" localSheetId="12">NA()</definedName>
    <definedName name="uetyyuwefgyusdhj" localSheetId="0">#REF!</definedName>
    <definedName name="uetyyuwefgyusdhj">#REF!</definedName>
    <definedName name="uil" localSheetId="11">NA()</definedName>
    <definedName name="uil" localSheetId="12">NA()</definedName>
    <definedName name="uil" localSheetId="0">#REF!</definedName>
    <definedName name="uil">#REF!</definedName>
    <definedName name="ULTI_LPM">[54]input!$H$10</definedName>
    <definedName name="ULTI_MLD">[54]input!$K$10</definedName>
    <definedName name="ULTI_PERIOD">[54]input!$C$6</definedName>
    <definedName name="ULTI_POP">[54]input!$F$10</definedName>
    <definedName name="ULTI_YEAR">[54]input!$C$10</definedName>
    <definedName name="UNICOD">NA()</definedName>
    <definedName name="UNICOD_10">NA()</definedName>
    <definedName name="unloading">NA()</definedName>
    <definedName name="unsecured">NA()</definedName>
    <definedName name="UP">NA()</definedName>
    <definedName name="Uprooting_and_clearing_prickly_pear_jungle">NA()</definedName>
    <definedName name="Uprooting_and_removing_Palmyrah_stumps_including_stacking_of_girth_30_to_100_cm_">NA()</definedName>
    <definedName name="Uprooting_and_removing_stumps_of__date_trees_including_stacking_of_girth_30_to_100_cm_">NA()</definedName>
    <definedName name="Uprooting_and_removing_stumps_of_other_kind_of_trees_including_stacking_of_girth_30_to_100_cm_">NA()</definedName>
    <definedName name="US" localSheetId="11">NA()</definedName>
    <definedName name="US" localSheetId="12">NA()</definedName>
    <definedName name="US" localSheetId="0">#REF!</definedName>
    <definedName name="US">#REF!</definedName>
    <definedName name="usd" localSheetId="11">"[438]summary!#ref!"</definedName>
    <definedName name="usd" localSheetId="12">"[438]summary!#ref!"</definedName>
    <definedName name="usd" localSheetId="0">[154]Summary!#REF!</definedName>
    <definedName name="usd">[154]Summary!#REF!</definedName>
    <definedName name="utgg.jk.b." localSheetId="11">Scheduled_Payment+Extra_Payment</definedName>
    <definedName name="utgg.jk.b." localSheetId="12">Scheduled_Payment+Extra_Payment</definedName>
    <definedName name="utgg.jk.b." localSheetId="0">Scheduled_Payment+Extra_Payment</definedName>
    <definedName name="utgg.jk.b." localSheetId="7">Scheduled_Payment+Extra_Payment</definedName>
    <definedName name="utgg.jk.b.">Scheduled_Payment+Extra_Payment</definedName>
    <definedName name="utgg_jk_b_">"scheduled_payment"+"extra_payment"</definedName>
    <definedName name="utgyuj">NA()</definedName>
    <definedName name="v">NA()</definedName>
    <definedName name="vaibrating">NA()</definedName>
    <definedName name="Values_Entered" localSheetId="11">NA()</definedName>
    <definedName name="Values_Entered" localSheetId="12">NA()</definedName>
    <definedName name="Values_Entered">#N/A</definedName>
    <definedName name="valve">[65]maya!$A$247:$A$273</definedName>
    <definedName name="VALVES">NA()</definedName>
    <definedName name="vandy">"[442]footings!#ref!"</definedName>
    <definedName name="var" localSheetId="11">NA()</definedName>
    <definedName name="var" localSheetId="12">NA()</definedName>
    <definedName name="var" localSheetId="0">#REF!</definedName>
    <definedName name="var">#REF!</definedName>
    <definedName name="vara">NA()</definedName>
    <definedName name="vark">NA()</definedName>
    <definedName name="vat" localSheetId="11">NA()</definedName>
    <definedName name="vat" localSheetId="12">NA()</definedName>
    <definedName name="VAT">[29]MRATES!$C$37</definedName>
    <definedName name="vat_name">NA()</definedName>
    <definedName name="vat_rate">NA()</definedName>
    <definedName name="VATCESS">NA()</definedName>
    <definedName name="vatname">NA()</definedName>
    <definedName name="VB" localSheetId="12">{"'ridftotal'!$A$4:$S$27"}</definedName>
    <definedName name="VB">{"'ridftotal'!$A$4:$S$27"}</definedName>
    <definedName name="vc">NA()</definedName>
    <definedName name="vcc">NA()</definedName>
    <definedName name="vcdfe">NA()</definedName>
    <definedName name="ver" localSheetId="11">NA()</definedName>
    <definedName name="ver" localSheetId="12">NA()</definedName>
    <definedName name="ver" localSheetId="0">#REF!</definedName>
    <definedName name="ver">#REF!</definedName>
    <definedName name="ver.con">[155]detls!$A$3:$O$18</definedName>
    <definedName name="vertical">[95]detls!$A$3:$O$18</definedName>
    <definedName name="VGFSS" localSheetId="11">NA()</definedName>
    <definedName name="VGFSS" localSheetId="12">NA()</definedName>
    <definedName name="VGFSS" localSheetId="0">#REF!</definedName>
    <definedName name="VGFSS">#REF!</definedName>
    <definedName name="vh">NA()</definedName>
    <definedName name="Vibchr">NA()</definedName>
    <definedName name="vibrater">'[33]SSR 2014-15 Rates'!$E$63</definedName>
    <definedName name="vibrating_concrete">NA()</definedName>
    <definedName name="Vibrating_Roller">NA()</definedName>
    <definedName name="Vibratory_Roller">NA()</definedName>
    <definedName name="vil">[74]DATA_PRG!$B$4</definedName>
    <definedName name="vitrified">NA()</definedName>
    <definedName name="VITRIFIED_TILES">'[55]BUILDING ITEMS'!$C$43:$C$53</definedName>
    <definedName name="Vname">NA()</definedName>
    <definedName name="vrcc">NA()</definedName>
    <definedName name="vrcc_col">NA()</definedName>
    <definedName name="vrcc_footing">NA()</definedName>
    <definedName name="vrcc_lintel">NA()</definedName>
    <definedName name="vrcc_pb">NA()</definedName>
    <definedName name="vrcc_platform">NA()</definedName>
    <definedName name="vrcc_roof_IIv">NA()</definedName>
    <definedName name="vrcc_roofbeam">NA()</definedName>
    <definedName name="vrcc_sunshade">NA()</definedName>
    <definedName name="vsi">NA()</definedName>
    <definedName name="vso">NA()</definedName>
    <definedName name="vsp">NA()</definedName>
    <definedName name="vt">NA()</definedName>
    <definedName name="vvvvv">NA()</definedName>
    <definedName name="vvvvvvvvvvv">"[71]material!#ref!"</definedName>
    <definedName name="vvx">[125]Labour!$D$14</definedName>
    <definedName name="vwf">[12]DATA_PRG!$H$326</definedName>
    <definedName name="Vz">NA()</definedName>
    <definedName name="w" localSheetId="11">NA()</definedName>
    <definedName name="w" localSheetId="12">NA()</definedName>
    <definedName name="w" localSheetId="0">#REF!</definedName>
    <definedName name="w">#REF!</definedName>
    <definedName name="w3e">NA()</definedName>
    <definedName name="Was">NA()</definedName>
    <definedName name="wasi">NA()</definedName>
    <definedName name="water">'[33]SSR 2014-15 Rates'!$E$61</definedName>
    <definedName name="Water_Tanker">NA()</definedName>
    <definedName name="waterproof_paint">NA()</definedName>
    <definedName name="wbag">NA()</definedName>
    <definedName name="wbs">NA()</definedName>
    <definedName name="wbsi">NA()</definedName>
    <definedName name="wc">[64]r!$F$48</definedName>
    <definedName name="wcc">"[447]leads!$j$8"</definedName>
    <definedName name="wd">NA()</definedName>
    <definedName name="wdd">"[449]rateanalysis!$a$1:$ay$65536"</definedName>
    <definedName name="wdtd">NA()</definedName>
    <definedName name="we" localSheetId="11">NA()</definedName>
    <definedName name="we" localSheetId="12">NA()</definedName>
    <definedName name="we" localSheetId="0">#REF!</definedName>
    <definedName name="we">#REF!</definedName>
    <definedName name="wei">NA()</definedName>
    <definedName name="Wet_Mix_Plant">NA()</definedName>
    <definedName name="wgl" localSheetId="12">{"'ridftotal'!$A$4:$S$27"}</definedName>
    <definedName name="wgl">{"'ridftotal'!$A$4:$S$27"}</definedName>
    <definedName name="WHC">NA()</definedName>
    <definedName name="Wheeled_Dozer___D_30_BEML">NA()</definedName>
    <definedName name="White_cement">NA()</definedName>
    <definedName name="window">NA()</definedName>
    <definedName name="window_sizes">NA()</definedName>
    <definedName name="wip">NA()</definedName>
    <definedName name="wl">NA()</definedName>
    <definedName name="wltd">NA()</definedName>
    <definedName name="wm">NA()</definedName>
    <definedName name="wmm">NA()</definedName>
    <definedName name="wn">NA()</definedName>
    <definedName name="Woman_Mazdoor">NA()</definedName>
    <definedName name="WOOD_TYPE">'[55]BASIC DATA'!$B$586:$B$601</definedName>
    <definedName name="word">NA()</definedName>
    <definedName name="work">NA()</definedName>
    <definedName name="wp">NA()</definedName>
    <definedName name="wr">NA()</definedName>
    <definedName name="wrb">NA()</definedName>
    <definedName name="wrbi">NA()</definedName>
    <definedName name="wrn.detailed." localSheetId="11" hidden="1">{#N/A,#N/A,FALSE,"no"}</definedName>
    <definedName name="wrn.detailed." localSheetId="12" hidden="1">{#N/A,#N/A,FALSE,"no"}</definedName>
    <definedName name="wrn.detailed." localSheetId="0" hidden="1">{#N/A,#N/A,FALSE,"no"}</definedName>
    <definedName name="wrn.detailed." hidden="1">{#N/A,#N/A,FALSE,"no"}</definedName>
    <definedName name="wrn_detailed_">NA()</definedName>
    <definedName name="wrn_pl_">NA()</definedName>
    <definedName name="wrn_pl_td_">NA()</definedName>
    <definedName name="ws">[74]DATA_PRG!$F$371</definedName>
    <definedName name="wsss" localSheetId="11">NA()</definedName>
    <definedName name="wsss" localSheetId="12">NA()</definedName>
    <definedName name="wsss" localSheetId="0">#REF!</definedName>
    <definedName name="wsss">#REF!</definedName>
    <definedName name="wsw">NA()</definedName>
    <definedName name="wtd">NA()</definedName>
    <definedName name="ww">[75]DATA_PRG!$H$328</definedName>
    <definedName name="WWEEW" localSheetId="11">NA()</definedName>
    <definedName name="WWEEW" localSheetId="12">NA()</definedName>
    <definedName name="WWEEW" localSheetId="0">#REF!</definedName>
    <definedName name="WWEEW">#REF!</definedName>
    <definedName name="wwi">NA()</definedName>
    <definedName name="wwknr" localSheetId="11">NA()</definedName>
    <definedName name="wwknr" localSheetId="12">NA()</definedName>
    <definedName name="wwknr" localSheetId="0">#REF!</definedName>
    <definedName name="wwknr">#REF!</definedName>
    <definedName name="www">NA()</definedName>
    <definedName name="wwwwwwwwwwwwwwwww">"[71]material!#ref!"</definedName>
    <definedName name="wwwwwwwwwwwwwwwwwwww">"[71]material!#ref!"</definedName>
    <definedName name="wz">NA()</definedName>
    <definedName name="x" localSheetId="11">NA()</definedName>
    <definedName name="x" localSheetId="12">NA()</definedName>
    <definedName name="x" localSheetId="0" hidden="1">'[39]final abstract'!#REF!</definedName>
    <definedName name="x" hidden="1">'[39]final abstract'!#REF!</definedName>
    <definedName name="xbb">NA()</definedName>
    <definedName name="xbm">NA()</definedName>
    <definedName name="xcc11534020">NA()</definedName>
    <definedName name="xcc136c">NA()</definedName>
    <definedName name="xcf">NA()</definedName>
    <definedName name="xcgi">NA()</definedName>
    <definedName name="xcrs">NA()</definedName>
    <definedName name="xe">NA()</definedName>
    <definedName name="xew">NA()</definedName>
    <definedName name="xew20b">NA()</definedName>
    <definedName name="xfb">NA()</definedName>
    <definedName name="xfp">NA()</definedName>
    <definedName name="xfpolish">NA()</definedName>
    <definedName name="xfprr">NA()</definedName>
    <definedName name="xfpss">NA()</definedName>
    <definedName name="xfscc">NA()</definedName>
    <definedName name="xfss">NA()</definedName>
    <definedName name="xfsscc">NA()</definedName>
    <definedName name="xhb11010">NA()</definedName>
    <definedName name="xhb1104">NA()</definedName>
    <definedName name="xhb1106">NA()</definedName>
    <definedName name="xhb1108">NA()</definedName>
    <definedName name="xhb12510">NA()</definedName>
    <definedName name="xhb1254">NA()</definedName>
    <definedName name="xhb1256">NA()</definedName>
    <definedName name="xhb1258">NA()</definedName>
    <definedName name="xhb14010">NA()</definedName>
    <definedName name="xhb1404">NA()</definedName>
    <definedName name="xhb1406">NA()</definedName>
    <definedName name="xhb1408">NA()</definedName>
    <definedName name="xhb16010">NA()</definedName>
    <definedName name="xhb1604">NA()</definedName>
    <definedName name="xhb1606">NA()</definedName>
    <definedName name="xhb1608">NA()</definedName>
    <definedName name="xhb18010">NA()</definedName>
    <definedName name="xhb1804">NA()</definedName>
    <definedName name="xhb1806">NA()</definedName>
    <definedName name="xhb1808">NA()</definedName>
    <definedName name="xhb20010">NA()</definedName>
    <definedName name="xhb2004">NA()</definedName>
    <definedName name="xhb2006">NA()</definedName>
    <definedName name="xhb2008">NA()</definedName>
    <definedName name="xhb22510">NA()</definedName>
    <definedName name="xhb2254">NA()</definedName>
    <definedName name="xhb2256">[20]hdpe_basic!$G$37</definedName>
    <definedName name="xhb2258">NA()</definedName>
    <definedName name="xhb25010">NA()</definedName>
    <definedName name="xhb2504">NA()</definedName>
    <definedName name="xhb2506">[20]hdpe_basic!$G$38</definedName>
    <definedName name="xhb2508">NA()</definedName>
    <definedName name="xhb28010">NA()</definedName>
    <definedName name="xhb2804">NA()</definedName>
    <definedName name="xhb2806">[20]hdpe_basic!$G$39</definedName>
    <definedName name="xhb2808">NA()</definedName>
    <definedName name="xhb31510">NA()</definedName>
    <definedName name="xhb3154">NA()</definedName>
    <definedName name="xhb3156">[20]hdpe_basic!$G$40</definedName>
    <definedName name="xhb3158">NA()</definedName>
    <definedName name="xhb6310">NA()</definedName>
    <definedName name="xhb634">[20]hdpe_basic!$G$14</definedName>
    <definedName name="xhb636">NA()</definedName>
    <definedName name="xhb638">NA()</definedName>
    <definedName name="xhb7510">NA()</definedName>
    <definedName name="xhb754">NA()</definedName>
    <definedName name="xhb756">NA()</definedName>
    <definedName name="xhb758">NA()</definedName>
    <definedName name="xhb9010">NA()</definedName>
    <definedName name="xhb904">NA()</definedName>
    <definedName name="xhb906">NA()</definedName>
    <definedName name="xhb908">NA()</definedName>
    <definedName name="ximp">NA()</definedName>
    <definedName name="ximp20">NA()</definedName>
    <definedName name="xlin">NA()</definedName>
    <definedName name="XOTOXSIX" localSheetId="11">NA()</definedName>
    <definedName name="XOTOXSIX" localSheetId="12">NA()</definedName>
    <definedName name="XOTOXSIX" localSheetId="0">#REF!</definedName>
    <definedName name="XOTOXSIX">#REF!</definedName>
    <definedName name="xpb11010">[20]pvc_basic!$G$44</definedName>
    <definedName name="xpb1104">[20]pvc_basic!$G$16</definedName>
    <definedName name="xpb1106">[20]pvc_basic!$G$30</definedName>
    <definedName name="xpb12510">[20]pvc_basic!$G$45</definedName>
    <definedName name="xpb1254">[20]pvc_basic!$G$17</definedName>
    <definedName name="xpb1256">[20]pvc_basic!$G$31</definedName>
    <definedName name="xpb14010">[20]pvc_basic!$G$46</definedName>
    <definedName name="xpb1404">[20]pvc_basic!$G$18</definedName>
    <definedName name="xpb1406">[20]pvc_basic!$G$32</definedName>
    <definedName name="xpb16010">NA()</definedName>
    <definedName name="xpb1604">[20]pvc_basic!$G$19</definedName>
    <definedName name="xpb1606">[20]pvc_basic!$G$33</definedName>
    <definedName name="xpb18010">NA()</definedName>
    <definedName name="xpb1804">[20]pvc_basic!$G$20</definedName>
    <definedName name="xpb1806">[20]pvc_basic!$G$34</definedName>
    <definedName name="xpb20010">NA()</definedName>
    <definedName name="xpb2004">NA()</definedName>
    <definedName name="xpb2006">[20]pvc_basic!$G$35</definedName>
    <definedName name="xpb22510">NA()</definedName>
    <definedName name="xpb2254">NA()</definedName>
    <definedName name="xpb2256">NA()</definedName>
    <definedName name="xpb25010">NA()</definedName>
    <definedName name="xpb2504">NA()</definedName>
    <definedName name="xpb2506">NA()</definedName>
    <definedName name="xpb28010">NA()</definedName>
    <definedName name="xpb2804">NA()</definedName>
    <definedName name="xpb2806">NA()</definedName>
    <definedName name="xpb31510">NA()</definedName>
    <definedName name="xpb3154">NA()</definedName>
    <definedName name="xpb3156">NA()</definedName>
    <definedName name="xpb6310">[20]pvc_basic!$G$41</definedName>
    <definedName name="xpb6311">[156]pvc_basic!$G$41</definedName>
    <definedName name="xpb634">NA()</definedName>
    <definedName name="xpb636">[20]pvc_basic!$G$27</definedName>
    <definedName name="xpb7510">[20]pvc_basic!$G$42</definedName>
    <definedName name="xpb754">[20]pvc_basic!$G$14</definedName>
    <definedName name="xpb756">[20]pvc_basic!$G$28</definedName>
    <definedName name="xpb9010">NA()</definedName>
    <definedName name="xpb904">[20]pvc_basic!$G$15</definedName>
    <definedName name="xpb906">[20]pvc_basic!$G$29</definedName>
    <definedName name="xpl121513">NA()</definedName>
    <definedName name="xpl1312">NA()</definedName>
    <definedName name="xpl1320">NA()</definedName>
    <definedName name="xpl1412">NA()</definedName>
    <definedName name="xpl1420">NA()</definedName>
    <definedName name="xpl201513">NA()</definedName>
    <definedName name="xrf">NA()</definedName>
    <definedName name="xrr">NA()</definedName>
    <definedName name="xrs">NA()</definedName>
    <definedName name="xrs112">NA()</definedName>
    <definedName name="xrs120">NA()</definedName>
    <definedName name="xrsd225">NA()</definedName>
    <definedName name="xsc">NA()</definedName>
    <definedName name="xscp">NA()</definedName>
    <definedName name="xsep">NA()</definedName>
    <definedName name="xsfb">NA()</definedName>
    <definedName name="XSIXTOXTHIRTEEN" localSheetId="11">NA()</definedName>
    <definedName name="XSIXTOXTHIRTEEN" localSheetId="12">NA()</definedName>
    <definedName name="XSIXTOXTHIRTEEN" localSheetId="0">#REF!</definedName>
    <definedName name="XSIXTOXTHIRTEEN">#REF!</definedName>
    <definedName name="xspread">NA()</definedName>
    <definedName name="xss">NA()</definedName>
    <definedName name="xtb">NA()</definedName>
    <definedName name="xvrcc1153">NA()</definedName>
    <definedName name="xvrcc124">NA()</definedName>
    <definedName name="xww">NA()</definedName>
    <definedName name="xx" localSheetId="11">NA()</definedName>
    <definedName name="xx" localSheetId="12">NA()</definedName>
    <definedName name="xx" localSheetId="0">#REF!</definedName>
    <definedName name="xx">#REF!</definedName>
    <definedName name="xxx" localSheetId="11">NA()</definedName>
    <definedName name="xxx" localSheetId="12">NA()</definedName>
    <definedName name="xxx" localSheetId="0">#REF!</definedName>
    <definedName name="xxx">#REF!</definedName>
    <definedName name="xxx_8">NA()</definedName>
    <definedName name="xxxbxb">NA()</definedName>
    <definedName name="xxxx" localSheetId="11">NA()</definedName>
    <definedName name="xxxx" localSheetId="12">NA()</definedName>
    <definedName name="xxxx" localSheetId="0">#REF!</definedName>
    <definedName name="xxxx">#REF!</definedName>
    <definedName name="XXXXX">"[453]data!#ref!"</definedName>
    <definedName name="xxxxxx">"[454]data!#ref!"</definedName>
    <definedName name="xxxxxxx">"[455]data!#ref!"</definedName>
    <definedName name="y">NA()</definedName>
    <definedName name="ycode">'[157]0000000000000'!$D$3</definedName>
    <definedName name="year">NA()</definedName>
    <definedName name="yearssr">[152]index!$A$1:$M$2</definedName>
    <definedName name="YEN">NA()</definedName>
    <definedName name="ypr">"[459]data!#ref!"</definedName>
    <definedName name="ys">NA()</definedName>
    <definedName name="YTR">[74]DATA_PRG!$B$4</definedName>
    <definedName name="yturtyhfh" localSheetId="11">NA()</definedName>
    <definedName name="yturtyhfh" localSheetId="12">NA()</definedName>
    <definedName name="yturtyhfh" localSheetId="0">#REF!</definedName>
    <definedName name="yturtyhfh">#REF!</definedName>
    <definedName name="yu">NA()</definedName>
    <definedName name="YY">[74]DATA_PRG!$H$5</definedName>
    <definedName name="YYYY" localSheetId="11">NA()</definedName>
    <definedName name="YYYY" localSheetId="12">NA()</definedName>
    <definedName name="YYYY" localSheetId="0">#REF!</definedName>
    <definedName name="YYYY">#REF!</definedName>
    <definedName name="yyyyy">NA()</definedName>
    <definedName name="yyyyyyyyyyyyy">"[71]material!#ref!"</definedName>
    <definedName name="z" localSheetId="11">NA()</definedName>
    <definedName name="z" localSheetId="12">NA()</definedName>
    <definedName name="z" localSheetId="0" hidden="1">'[39]final abstract'!#REF!</definedName>
    <definedName name="z" hidden="1">'[39]final abstract'!#REF!</definedName>
    <definedName name="zam">NA()</definedName>
    <definedName name="zcr">NA()</definedName>
    <definedName name="ZEROTOSIX">NA()</definedName>
    <definedName name="Zins_Garantee">NA()</definedName>
    <definedName name="Zins_Monat">NA()</definedName>
    <definedName name="Zinz_ÖKB">NA()</definedName>
    <definedName name="Zip" localSheetId="11">NA()</definedName>
    <definedName name="Zip" localSheetId="12">NA()</definedName>
    <definedName name="Zip" localSheetId="0">#REF!</definedName>
    <definedName name="Zip">#REF!</definedName>
    <definedName name="ZSW">[74]DATA_PRG!$H$351</definedName>
    <definedName name="zxy">NA()</definedName>
    <definedName name="zz">NA()</definedName>
    <definedName name="전체">NA()</definedName>
    <definedName name="工場内部壁１" localSheetId="11">NA()</definedName>
    <definedName name="工場内部壁１" localSheetId="12">NA()</definedName>
    <definedName name="工場内部壁１">[158]細目!$G$204</definedName>
    <definedName name="工場内部壁２" localSheetId="11">NA()</definedName>
    <definedName name="工場内部壁２" localSheetId="12">NA()</definedName>
    <definedName name="工場内部壁２">[158]細目!$K$204</definedName>
    <definedName name="工場内部天井１" localSheetId="11">NA()</definedName>
    <definedName name="工場内部天井１" localSheetId="12">NA()</definedName>
    <definedName name="工場内部天井１">[158]細目!$G$273</definedName>
    <definedName name="工場内部天井２" localSheetId="11">NA()</definedName>
    <definedName name="工場内部天井２" localSheetId="12">NA()</definedName>
    <definedName name="工場内部天井２">[158]細目!$K$273</definedName>
    <definedName name="工場内部天井ドル" localSheetId="11">NA()</definedName>
    <definedName name="工場内部天井ドル" localSheetId="12">NA()</definedName>
    <definedName name="工場内部天井ドル">[158]細目!$S$273</definedName>
    <definedName name="工場内部床１" localSheetId="11">NA()</definedName>
    <definedName name="工場内部床１" localSheetId="12">NA()</definedName>
    <definedName name="工場内部床１">[158]細目!$G$184</definedName>
    <definedName name="工場内部床２" localSheetId="11">NA()</definedName>
    <definedName name="工場内部床２" localSheetId="12">NA()</definedName>
    <definedName name="工場内部床２">[158]細目!$K$184</definedName>
    <definedName name="工場内部建具１" localSheetId="11">NA()</definedName>
    <definedName name="工場内部建具１" localSheetId="12">NA()</definedName>
    <definedName name="工場内部建具１">[158]細目!$G$260</definedName>
    <definedName name="工場内部建具２" localSheetId="11">NA()</definedName>
    <definedName name="工場内部建具２" localSheetId="12">NA()</definedName>
    <definedName name="工場内部建具２">[158]細目!$K$260</definedName>
    <definedName name="工場内部建具ドル" localSheetId="11">NA()</definedName>
    <definedName name="工場内部建具ドル" localSheetId="12">NA()</definedName>
    <definedName name="工場内部建具ドル">[158]細目!$S$260</definedName>
    <definedName name="工場内部雑１" localSheetId="11">NA()</definedName>
    <definedName name="工場内部雑１" localSheetId="12">NA()</definedName>
    <definedName name="工場内部雑１">[158]細目!$G$314</definedName>
    <definedName name="工場内部雑2" localSheetId="11">NA()</definedName>
    <definedName name="工場内部雑2" localSheetId="12">NA()</definedName>
    <definedName name="工場内部雑2">[158]細目!$K$314</definedName>
    <definedName name="工場土工事１" localSheetId="11">NA()</definedName>
    <definedName name="工場土工事１" localSheetId="12">NA()</definedName>
    <definedName name="工場土工事１">[158]細目!$G$18</definedName>
    <definedName name="工場土工事２" localSheetId="11">NA()</definedName>
    <definedName name="工場土工事２" localSheetId="12">NA()</definedName>
    <definedName name="工場土工事２">[158]細目!$K$18</definedName>
    <definedName name="工場外壁１" localSheetId="11">NA()</definedName>
    <definedName name="工場外壁１" localSheetId="12">NA()</definedName>
    <definedName name="工場外壁１">[158]細目!$G$105</definedName>
    <definedName name="工場外壁２" localSheetId="11">NA()</definedName>
    <definedName name="工場外壁２" localSheetId="12">NA()</definedName>
    <definedName name="工場外壁２">[158]細目!$K$105</definedName>
    <definedName name="工場外部建具１" localSheetId="11">NA()</definedName>
    <definedName name="工場外部建具１" localSheetId="12">NA()</definedName>
    <definedName name="工場外部建具１">[158]細目!$G$167</definedName>
    <definedName name="工場外部建具２" localSheetId="11">NA()</definedName>
    <definedName name="工場外部建具２" localSheetId="12">NA()</definedName>
    <definedName name="工場外部建具２">[158]細目!$K$167</definedName>
    <definedName name="工場外部建具ドル" localSheetId="11">NA()</definedName>
    <definedName name="工場外部建具ドル" localSheetId="12">NA()</definedName>
    <definedName name="工場外部建具ドル">[158]細目!$S$167</definedName>
    <definedName name="工場外部雑１" localSheetId="11">NA()</definedName>
    <definedName name="工場外部雑１" localSheetId="12">NA()</definedName>
    <definedName name="工場外部雑１">[158]細目!$G$176</definedName>
    <definedName name="工場外部雑２" localSheetId="11">NA()</definedName>
    <definedName name="工場外部雑２" localSheetId="12">NA()</definedName>
    <definedName name="工場外部雑２">[158]細目!$K$176</definedName>
    <definedName name="工場屋根１" localSheetId="11">NA()</definedName>
    <definedName name="工場屋根１" localSheetId="12">NA()</definedName>
    <definedName name="工場屋根１">[158]細目!$G$95</definedName>
    <definedName name="工場屋根２" localSheetId="11">NA()</definedName>
    <definedName name="工場屋根２" localSheetId="12">NA()</definedName>
    <definedName name="工場屋根２">[158]細目!$K$95</definedName>
    <definedName name="工場屋根ドル" localSheetId="11">NA()</definedName>
    <definedName name="工場屋根ドル" localSheetId="12">NA()</definedName>
    <definedName name="工場屋根ドル">[158]細目!$S$95</definedName>
    <definedName name="工場躯体１" localSheetId="11">NA()</definedName>
    <definedName name="工場躯体１" localSheetId="12">NA()</definedName>
    <definedName name="工場躯体１">[158]細目!$G$65</definedName>
    <definedName name="工場躯体２" localSheetId="11">NA()</definedName>
    <definedName name="工場躯体２" localSheetId="12">NA()</definedName>
    <definedName name="工場躯体２">[158]細目!$K$65</definedName>
    <definedName name="掛率">NA()</definedName>
    <definedName name="管理内部天井１" localSheetId="11">NA()</definedName>
    <definedName name="管理内部天井１" localSheetId="12">NA()</definedName>
    <definedName name="管理内部天井１">[158]細目!$G$563</definedName>
    <definedName name="管理内部天井２" localSheetId="11">NA()</definedName>
    <definedName name="管理内部天井２" localSheetId="12">NA()</definedName>
    <definedName name="管理内部天井２">[158]細目!$K$563</definedName>
    <definedName name="管理内部床１" localSheetId="11">NA()</definedName>
    <definedName name="管理内部床１" localSheetId="12">NA()</definedName>
    <definedName name="管理内部床１">[158]細目!$G$486</definedName>
    <definedName name="管理内部床２" localSheetId="11">NA()</definedName>
    <definedName name="管理内部床２" localSheetId="12">NA()</definedName>
    <definedName name="管理内部床２">[158]細目!$K$486</definedName>
    <definedName name="管理内部建具１" localSheetId="11">NA()</definedName>
    <definedName name="管理内部建具１" localSheetId="12">NA()</definedName>
    <definedName name="管理内部建具１">[158]細目!$G$549</definedName>
    <definedName name="管理内部建具２" localSheetId="11">NA()</definedName>
    <definedName name="管理内部建具２" localSheetId="12">NA()</definedName>
    <definedName name="管理内部建具２">[158]細目!$K$549</definedName>
    <definedName name="管理内部建具ドル" localSheetId="11">NA()</definedName>
    <definedName name="管理内部建具ドル" localSheetId="12">NA()</definedName>
    <definedName name="管理内部建具ドル">[158]細目!$S$549</definedName>
    <definedName name="管理内部雑１" localSheetId="11">NA()</definedName>
    <definedName name="管理内部雑１" localSheetId="12">NA()</definedName>
    <definedName name="管理内部雑１">[158]細目!$G$584</definedName>
    <definedName name="管理内部雑２" localSheetId="11">NA()</definedName>
    <definedName name="管理内部雑２" localSheetId="12">NA()</definedName>
    <definedName name="管理内部雑２">[158]細目!$K$584</definedName>
    <definedName name="管理土工事１" localSheetId="11">NA()</definedName>
    <definedName name="管理土工事１" localSheetId="12">NA()</definedName>
    <definedName name="管理土工事１">[158]細目!$G$355</definedName>
    <definedName name="管理土工事２" localSheetId="11">NA()</definedName>
    <definedName name="管理土工事２" localSheetId="12">NA()</definedName>
    <definedName name="管理土工事２">[158]細目!$K$355</definedName>
    <definedName name="管理外壁１" localSheetId="11">NA()</definedName>
    <definedName name="管理外壁１" localSheetId="12">NA()</definedName>
    <definedName name="管理外壁１">[158]細目!$G$426</definedName>
    <definedName name="管理外壁２" localSheetId="11">NA()</definedName>
    <definedName name="管理外壁２" localSheetId="12">NA()</definedName>
    <definedName name="管理外壁２">[158]細目!$K$426</definedName>
    <definedName name="管理外部建具１" localSheetId="11">NA()</definedName>
    <definedName name="管理外部建具１" localSheetId="12">NA()</definedName>
    <definedName name="管理外部建具１">[158]細目!$G$452</definedName>
    <definedName name="管理外部建具２" localSheetId="11">NA()</definedName>
    <definedName name="管理外部建具２" localSheetId="12">NA()</definedName>
    <definedName name="管理外部建具２">[158]細目!$K$452</definedName>
    <definedName name="管理外部建具ドル" localSheetId="11">NA()</definedName>
    <definedName name="管理外部建具ドル" localSheetId="12">NA()</definedName>
    <definedName name="管理外部建具ドル">[158]細目!$S$452</definedName>
    <definedName name="管理外部雑１" localSheetId="11">NA()</definedName>
    <definedName name="管理外部雑１" localSheetId="12">NA()</definedName>
    <definedName name="管理外部雑１">[158]細目!$G$463</definedName>
    <definedName name="管理外部雑２" localSheetId="11">NA()</definedName>
    <definedName name="管理外部雑２" localSheetId="12">NA()</definedName>
    <definedName name="管理外部雑２">[158]細目!$K$463</definedName>
    <definedName name="管理屋根１" localSheetId="11">NA()</definedName>
    <definedName name="管理屋根１" localSheetId="12">NA()</definedName>
    <definedName name="管理屋根１">[158]細目!$G$416</definedName>
    <definedName name="管理屋根２" localSheetId="11">NA()</definedName>
    <definedName name="管理屋根２" localSheetId="12">NA()</definedName>
    <definedName name="管理屋根２">[158]細目!$K$416</definedName>
    <definedName name="管理躯体１" localSheetId="11">NA()</definedName>
    <definedName name="管理躯体１" localSheetId="12">NA()</definedName>
    <definedName name="管理躯体１">[158]細目!$G$395</definedName>
    <definedName name="管理躯体２" localSheetId="11">NA()</definedName>
    <definedName name="管理躯体２" localSheetId="12">NA()</definedName>
    <definedName name="管理躯体２">[158]細目!$K$395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1" i="3" l="1"/>
  <c r="R12" i="12"/>
  <c r="E10" i="3" s="1"/>
  <c r="S12" i="12"/>
  <c r="F10" i="3" s="1"/>
  <c r="T12" i="12"/>
  <c r="U12" i="12"/>
  <c r="S8" i="12"/>
  <c r="F6" i="3" s="1"/>
  <c r="S9" i="12"/>
  <c r="F7" i="3" s="1"/>
  <c r="S10" i="12"/>
  <c r="F8" i="3" s="1"/>
  <c r="S11" i="12"/>
  <c r="F9" i="3" s="1"/>
  <c r="S13" i="12"/>
  <c r="F11" i="3" s="1"/>
  <c r="S14" i="12"/>
  <c r="F12" i="3" s="1"/>
  <c r="S15" i="12"/>
  <c r="F14" i="3" s="1"/>
  <c r="S16" i="12"/>
  <c r="F15" i="3" s="1"/>
  <c r="S17" i="12"/>
  <c r="F16" i="3" s="1"/>
  <c r="S18" i="12"/>
  <c r="F17" i="3" s="1"/>
  <c r="S19" i="12"/>
  <c r="F18" i="3" s="1"/>
  <c r="S20" i="12"/>
  <c r="F19" i="3" s="1"/>
  <c r="S21" i="12"/>
  <c r="F20" i="3" s="1"/>
  <c r="S7" i="12"/>
  <c r="R8" i="12"/>
  <c r="E6" i="3" s="1"/>
  <c r="R9" i="12"/>
  <c r="E7" i="3" s="1"/>
  <c r="R10" i="12"/>
  <c r="E8" i="3" s="1"/>
  <c r="R11" i="12"/>
  <c r="E9" i="3" s="1"/>
  <c r="R13" i="12"/>
  <c r="E11" i="3" s="1"/>
  <c r="R14" i="12"/>
  <c r="E12" i="3" s="1"/>
  <c r="R15" i="12"/>
  <c r="E14" i="3" s="1"/>
  <c r="R16" i="12"/>
  <c r="E15" i="3" s="1"/>
  <c r="R17" i="12"/>
  <c r="E16" i="3" s="1"/>
  <c r="R18" i="12"/>
  <c r="E17" i="3" s="1"/>
  <c r="R19" i="12"/>
  <c r="E18" i="3" s="1"/>
  <c r="R20" i="12"/>
  <c r="E19" i="3" s="1"/>
  <c r="R21" i="12"/>
  <c r="E20" i="3" s="1"/>
  <c r="R7" i="12"/>
  <c r="L644" i="12" l="1"/>
  <c r="M644" i="12" s="1"/>
  <c r="L665" i="12"/>
  <c r="M665" i="12" s="1"/>
  <c r="N644" i="12" l="1"/>
  <c r="N665" i="12"/>
  <c r="L692" i="12" l="1"/>
  <c r="N692" i="12" s="1"/>
  <c r="C8" i="12"/>
  <c r="C9" i="12"/>
  <c r="C585" i="12"/>
  <c r="B10" i="12"/>
  <c r="C10" i="12" s="1"/>
  <c r="B11" i="12"/>
  <c r="B12" i="12"/>
  <c r="B13" i="12"/>
  <c r="C13" i="12" s="1"/>
  <c r="B14" i="12"/>
  <c r="B16" i="12"/>
  <c r="C16" i="12" s="1"/>
  <c r="B17" i="12"/>
  <c r="B18" i="12"/>
  <c r="B19" i="12"/>
  <c r="C19" i="12" s="1"/>
  <c r="B20" i="12"/>
  <c r="B21" i="12"/>
  <c r="B22" i="12"/>
  <c r="C22" i="12" s="1"/>
  <c r="B23" i="12"/>
  <c r="B24" i="12"/>
  <c r="B25" i="12"/>
  <c r="C25" i="12" s="1"/>
  <c r="B26" i="12"/>
  <c r="B27" i="12"/>
  <c r="B28" i="12"/>
  <c r="C28" i="12" s="1"/>
  <c r="B29" i="12"/>
  <c r="B30" i="12"/>
  <c r="B31" i="12"/>
  <c r="C31" i="12" s="1"/>
  <c r="B32" i="12"/>
  <c r="B33" i="12"/>
  <c r="B34" i="12"/>
  <c r="C34" i="12" s="1"/>
  <c r="B35" i="12"/>
  <c r="B36" i="12"/>
  <c r="B37" i="12"/>
  <c r="C37" i="12" s="1"/>
  <c r="B38" i="12"/>
  <c r="B39" i="12"/>
  <c r="B40" i="12"/>
  <c r="C40" i="12" s="1"/>
  <c r="B41" i="12"/>
  <c r="B42" i="12"/>
  <c r="B43" i="12"/>
  <c r="C43" i="12" s="1"/>
  <c r="B44" i="12"/>
  <c r="B45" i="12"/>
  <c r="B46" i="12"/>
  <c r="C46" i="12" s="1"/>
  <c r="B47" i="12"/>
  <c r="B48" i="12"/>
  <c r="B49" i="12"/>
  <c r="C49" i="12" s="1"/>
  <c r="B50" i="12"/>
  <c r="B51" i="12"/>
  <c r="B52" i="12"/>
  <c r="C52" i="12" s="1"/>
  <c r="B53" i="12"/>
  <c r="B54" i="12"/>
  <c r="B55" i="12"/>
  <c r="C55" i="12" s="1"/>
  <c r="B56" i="12"/>
  <c r="B57" i="12"/>
  <c r="B58" i="12"/>
  <c r="C58" i="12" s="1"/>
  <c r="B59" i="12"/>
  <c r="B60" i="12"/>
  <c r="B61" i="12"/>
  <c r="C61" i="12" s="1"/>
  <c r="B62" i="12"/>
  <c r="B63" i="12"/>
  <c r="B64" i="12"/>
  <c r="C64" i="12" s="1"/>
  <c r="B65" i="12"/>
  <c r="B66" i="12"/>
  <c r="B67" i="12"/>
  <c r="C67" i="12" s="1"/>
  <c r="B68" i="12"/>
  <c r="B69" i="12"/>
  <c r="B70" i="12"/>
  <c r="C70" i="12" s="1"/>
  <c r="B71" i="12"/>
  <c r="B72" i="12"/>
  <c r="B73" i="12"/>
  <c r="C73" i="12" s="1"/>
  <c r="B74" i="12"/>
  <c r="B75" i="12"/>
  <c r="B76" i="12"/>
  <c r="C76" i="12" s="1"/>
  <c r="B77" i="12"/>
  <c r="B78" i="12"/>
  <c r="B79" i="12"/>
  <c r="C79" i="12" s="1"/>
  <c r="B80" i="12"/>
  <c r="B81" i="12"/>
  <c r="B82" i="12"/>
  <c r="C82" i="12" s="1"/>
  <c r="B83" i="12"/>
  <c r="B84" i="12"/>
  <c r="B85" i="12"/>
  <c r="C85" i="12" s="1"/>
  <c r="B86" i="12"/>
  <c r="B87" i="12"/>
  <c r="B88" i="12"/>
  <c r="C88" i="12" s="1"/>
  <c r="B89" i="12"/>
  <c r="B90" i="12"/>
  <c r="B91" i="12"/>
  <c r="C91" i="12" s="1"/>
  <c r="B92" i="12"/>
  <c r="B93" i="12"/>
  <c r="B94" i="12"/>
  <c r="C94" i="12" s="1"/>
  <c r="B95" i="12"/>
  <c r="B96" i="12"/>
  <c r="B97" i="12"/>
  <c r="C97" i="12" s="1"/>
  <c r="B98" i="12"/>
  <c r="B99" i="12"/>
  <c r="B100" i="12"/>
  <c r="C100" i="12" s="1"/>
  <c r="B101" i="12"/>
  <c r="B102" i="12"/>
  <c r="B103" i="12"/>
  <c r="C103" i="12" s="1"/>
  <c r="B104" i="12"/>
  <c r="B105" i="12"/>
  <c r="B106" i="12"/>
  <c r="C106" i="12" s="1"/>
  <c r="B107" i="12"/>
  <c r="B108" i="12"/>
  <c r="C108" i="12" s="1"/>
  <c r="B109" i="12"/>
  <c r="B110" i="12"/>
  <c r="B111" i="12"/>
  <c r="C111" i="12" s="1"/>
  <c r="B112" i="12"/>
  <c r="B113" i="12"/>
  <c r="C113" i="12" s="1"/>
  <c r="B114" i="12"/>
  <c r="B115" i="12"/>
  <c r="B116" i="12"/>
  <c r="C116" i="12" s="1"/>
  <c r="B117" i="12"/>
  <c r="B118" i="12"/>
  <c r="C118" i="12" s="1"/>
  <c r="B119" i="12"/>
  <c r="B120" i="12"/>
  <c r="B121" i="12"/>
  <c r="C121" i="12" s="1"/>
  <c r="B122" i="12"/>
  <c r="B123" i="12"/>
  <c r="C123" i="12" s="1"/>
  <c r="B124" i="12"/>
  <c r="B125" i="12"/>
  <c r="C125" i="12" s="1"/>
  <c r="B126" i="12"/>
  <c r="B127" i="12"/>
  <c r="B128" i="12"/>
  <c r="C128" i="12" s="1"/>
  <c r="B129" i="12"/>
  <c r="B130" i="12"/>
  <c r="B131" i="12"/>
  <c r="C131" i="12" s="1"/>
  <c r="B132" i="12"/>
  <c r="B133" i="12"/>
  <c r="B134" i="12"/>
  <c r="C134" i="12" s="1"/>
  <c r="B135" i="12"/>
  <c r="B136" i="12"/>
  <c r="B137" i="12"/>
  <c r="C137" i="12" s="1"/>
  <c r="B138" i="12"/>
  <c r="B139" i="12"/>
  <c r="B140" i="12"/>
  <c r="C140" i="12" s="1"/>
  <c r="B141" i="12"/>
  <c r="B142" i="12"/>
  <c r="C142" i="12" s="1"/>
  <c r="B143" i="12"/>
  <c r="B144" i="12"/>
  <c r="B145" i="12"/>
  <c r="B146" i="12"/>
  <c r="C146" i="12" s="1"/>
  <c r="B147" i="12"/>
  <c r="B148" i="12"/>
  <c r="B149" i="12"/>
  <c r="C149" i="12" s="1"/>
  <c r="B150" i="12"/>
  <c r="B152" i="12"/>
  <c r="C152" i="12" s="1"/>
  <c r="B153" i="12"/>
  <c r="B154" i="12"/>
  <c r="B155" i="12"/>
  <c r="B156" i="12"/>
  <c r="C156" i="12" s="1"/>
  <c r="B157" i="12"/>
  <c r="B158" i="12"/>
  <c r="C158" i="12" s="1"/>
  <c r="B159" i="12"/>
  <c r="B160" i="12"/>
  <c r="B161" i="12"/>
  <c r="B162" i="12"/>
  <c r="C162" i="12" s="1"/>
  <c r="B163" i="12"/>
  <c r="B165" i="12"/>
  <c r="C165" i="12" s="1"/>
  <c r="B166" i="12"/>
  <c r="B168" i="12"/>
  <c r="C168" i="12" s="1"/>
  <c r="B169" i="12"/>
  <c r="B171" i="12"/>
  <c r="C171" i="12" s="1"/>
  <c r="B172" i="12"/>
  <c r="B174" i="12"/>
  <c r="C174" i="12" s="1"/>
  <c r="B175" i="12"/>
  <c r="B177" i="12"/>
  <c r="C177" i="12" s="1"/>
  <c r="B178" i="12"/>
  <c r="B179" i="12"/>
  <c r="C179" i="12" s="1"/>
  <c r="B180" i="12"/>
  <c r="B181" i="12"/>
  <c r="C181" i="12" s="1"/>
  <c r="B182" i="12"/>
  <c r="B184" i="12"/>
  <c r="C184" i="12" s="1"/>
  <c r="B185" i="12"/>
  <c r="B187" i="12"/>
  <c r="C187" i="12" s="1"/>
  <c r="B188" i="12"/>
  <c r="B189" i="12"/>
  <c r="C189" i="12" s="1"/>
  <c r="B190" i="12"/>
  <c r="B191" i="12"/>
  <c r="C191" i="12" s="1"/>
  <c r="B192" i="12"/>
  <c r="B193" i="12"/>
  <c r="B195" i="12"/>
  <c r="C195" i="12" s="1"/>
  <c r="B196" i="12"/>
  <c r="B198" i="12"/>
  <c r="C198" i="12" s="1"/>
  <c r="B199" i="12"/>
  <c r="B201" i="12"/>
  <c r="C201" i="12" s="1"/>
  <c r="B202" i="12"/>
  <c r="B203" i="12"/>
  <c r="B205" i="12"/>
  <c r="C205" i="12" s="1"/>
  <c r="B206" i="12"/>
  <c r="B208" i="12"/>
  <c r="C208" i="12" s="1"/>
  <c r="B209" i="12"/>
  <c r="B210" i="12"/>
  <c r="C210" i="12" s="1"/>
  <c r="B211" i="12"/>
  <c r="B213" i="12"/>
  <c r="C213" i="12" s="1"/>
  <c r="B214" i="12"/>
  <c r="B215" i="12"/>
  <c r="C215" i="12" s="1"/>
  <c r="B216" i="12"/>
  <c r="B218" i="12"/>
  <c r="C218" i="12" s="1"/>
  <c r="B219" i="12"/>
  <c r="B221" i="12"/>
  <c r="C221" i="12" s="1"/>
  <c r="B222" i="12"/>
  <c r="B224" i="12"/>
  <c r="C224" i="12" s="1"/>
  <c r="B225" i="12"/>
  <c r="B228" i="12"/>
  <c r="C228" i="12" s="1"/>
  <c r="B229" i="12"/>
  <c r="B231" i="12"/>
  <c r="C231" i="12" s="1"/>
  <c r="B232" i="12"/>
  <c r="B234" i="12"/>
  <c r="C234" i="12" s="1"/>
  <c r="B235" i="12"/>
  <c r="B237" i="12"/>
  <c r="C237" i="12" s="1"/>
  <c r="B238" i="12"/>
  <c r="B240" i="12"/>
  <c r="C240" i="12" s="1"/>
  <c r="B241" i="12"/>
  <c r="B243" i="12"/>
  <c r="B244" i="12"/>
  <c r="B245" i="12"/>
  <c r="C245" i="12" s="1"/>
  <c r="B246" i="12"/>
  <c r="B248" i="12"/>
  <c r="C248" i="12" s="1"/>
  <c r="B249" i="12"/>
  <c r="B250" i="12"/>
  <c r="C250" i="12" s="1"/>
  <c r="B251" i="12"/>
  <c r="B253" i="12"/>
  <c r="C253" i="12" s="1"/>
  <c r="B254" i="12"/>
  <c r="B255" i="12"/>
  <c r="C255" i="12" s="1"/>
  <c r="B256" i="12"/>
  <c r="B258" i="12"/>
  <c r="C258" i="12" s="1"/>
  <c r="B259" i="12"/>
  <c r="B260" i="12"/>
  <c r="C260" i="12" s="1"/>
  <c r="B261" i="12"/>
  <c r="B263" i="12"/>
  <c r="C263" i="12" s="1"/>
  <c r="B264" i="12"/>
  <c r="B266" i="12"/>
  <c r="C266" i="12" s="1"/>
  <c r="B267" i="12"/>
  <c r="B269" i="12"/>
  <c r="C269" i="12" s="1"/>
  <c r="B270" i="12"/>
  <c r="B272" i="12"/>
  <c r="C272" i="12" s="1"/>
  <c r="B273" i="12"/>
  <c r="B275" i="12"/>
  <c r="C275" i="12" s="1"/>
  <c r="B276" i="12"/>
  <c r="B278" i="12"/>
  <c r="C278" i="12" s="1"/>
  <c r="B279" i="12"/>
  <c r="B281" i="12"/>
  <c r="C281" i="12" s="1"/>
  <c r="B282" i="12"/>
  <c r="B284" i="12"/>
  <c r="B285" i="12"/>
  <c r="B286" i="12"/>
  <c r="C286" i="12" s="1"/>
  <c r="B287" i="12"/>
  <c r="B288" i="12"/>
  <c r="B290" i="12"/>
  <c r="C290" i="12" s="1"/>
  <c r="B291" i="12"/>
  <c r="B292" i="12"/>
  <c r="B294" i="12"/>
  <c r="C294" i="12" s="1"/>
  <c r="B295" i="12"/>
  <c r="B296" i="12"/>
  <c r="B298" i="12"/>
  <c r="C298" i="12" s="1"/>
  <c r="B299" i="12"/>
  <c r="B301" i="12"/>
  <c r="B302" i="12"/>
  <c r="C302" i="12" s="1"/>
  <c r="B304" i="12"/>
  <c r="B305" i="12"/>
  <c r="C305" i="12" s="1"/>
  <c r="B307" i="12"/>
  <c r="B308" i="12"/>
  <c r="C308" i="12" s="1"/>
  <c r="B309" i="12"/>
  <c r="B310" i="12"/>
  <c r="C310" i="12" s="1"/>
  <c r="B311" i="12"/>
  <c r="B312" i="12"/>
  <c r="C312" i="12" s="1"/>
  <c r="B313" i="12"/>
  <c r="B314" i="12"/>
  <c r="B316" i="12"/>
  <c r="C316" i="12" s="1"/>
  <c r="B317" i="12"/>
  <c r="B319" i="12"/>
  <c r="B320" i="12"/>
  <c r="C320" i="12" s="1"/>
  <c r="B321" i="12"/>
  <c r="B323" i="12"/>
  <c r="B324" i="12"/>
  <c r="C324" i="12" s="1"/>
  <c r="B325" i="12"/>
  <c r="B327" i="12"/>
  <c r="B328" i="12"/>
  <c r="C328" i="12" s="1"/>
  <c r="B329" i="12"/>
  <c r="B331" i="12"/>
  <c r="C331" i="12" s="1"/>
  <c r="B332" i="12"/>
  <c r="B334" i="12"/>
  <c r="B335" i="12"/>
  <c r="C335" i="12" s="1"/>
  <c r="B337" i="12"/>
  <c r="B338" i="12"/>
  <c r="C338" i="12" s="1"/>
  <c r="B339" i="12"/>
  <c r="B340" i="12"/>
  <c r="C340" i="12" s="1"/>
  <c r="B341" i="12"/>
  <c r="B343" i="12"/>
  <c r="C343" i="12" s="1"/>
  <c r="B344" i="12"/>
  <c r="B345" i="12"/>
  <c r="C345" i="12" s="1"/>
  <c r="B347" i="12"/>
  <c r="B348" i="12"/>
  <c r="C348" i="12" s="1"/>
  <c r="B349" i="12"/>
  <c r="B351" i="12"/>
  <c r="B352" i="12"/>
  <c r="C352" i="12" s="1"/>
  <c r="B353" i="12"/>
  <c r="B354" i="12"/>
  <c r="C354" i="12" s="1"/>
  <c r="B355" i="12"/>
  <c r="B356" i="12"/>
  <c r="C356" i="12" s="1"/>
  <c r="B357" i="12"/>
  <c r="B358" i="12"/>
  <c r="C358" i="12" s="1"/>
  <c r="B359" i="12"/>
  <c r="B361" i="12"/>
  <c r="B362" i="12"/>
  <c r="C362" i="12" s="1"/>
  <c r="B363" i="12"/>
  <c r="B365" i="12"/>
  <c r="C365" i="12" s="1"/>
  <c r="B366" i="12"/>
  <c r="B368" i="12"/>
  <c r="C368" i="12" s="1"/>
  <c r="B369" i="12"/>
  <c r="B370" i="12"/>
  <c r="B372" i="12"/>
  <c r="C372" i="12" s="1"/>
  <c r="B373" i="12"/>
  <c r="B375" i="12"/>
  <c r="C375" i="12" s="1"/>
  <c r="B376" i="12"/>
  <c r="B377" i="12"/>
  <c r="B379" i="12"/>
  <c r="C379" i="12" s="1"/>
  <c r="B380" i="12"/>
  <c r="B382" i="12"/>
  <c r="C382" i="12" s="1"/>
  <c r="B384" i="12"/>
  <c r="B385" i="12"/>
  <c r="C385" i="12" s="1"/>
  <c r="B386" i="12"/>
  <c r="B388" i="12"/>
  <c r="C388" i="12" s="1"/>
  <c r="B389" i="12"/>
  <c r="B391" i="12"/>
  <c r="C391" i="12" s="1"/>
  <c r="B392" i="12"/>
  <c r="B394" i="12"/>
  <c r="B395" i="12"/>
  <c r="C395" i="12" s="1"/>
  <c r="B396" i="12"/>
  <c r="B398" i="12"/>
  <c r="C398" i="12" s="1"/>
  <c r="B399" i="12"/>
  <c r="B401" i="12"/>
  <c r="B402" i="12"/>
  <c r="C402" i="12" s="1"/>
  <c r="B404" i="12"/>
  <c r="B405" i="12"/>
  <c r="C405" i="12" s="1"/>
  <c r="B407" i="12"/>
  <c r="B408" i="12"/>
  <c r="C408" i="12" s="1"/>
  <c r="B409" i="12"/>
  <c r="B410" i="12"/>
  <c r="C410" i="12" s="1"/>
  <c r="B412" i="12"/>
  <c r="B413" i="12"/>
  <c r="C413" i="12" s="1"/>
  <c r="B414" i="12"/>
  <c r="B416" i="12"/>
  <c r="B417" i="12"/>
  <c r="C417" i="12" s="1"/>
  <c r="B418" i="12"/>
  <c r="B420" i="12"/>
  <c r="C420" i="12" s="1"/>
  <c r="B422" i="12"/>
  <c r="B423" i="12"/>
  <c r="C423" i="12" s="1"/>
  <c r="B424" i="12"/>
  <c r="B426" i="12"/>
  <c r="B427" i="12"/>
  <c r="B428" i="12"/>
  <c r="C428" i="12" s="1"/>
  <c r="B429" i="12"/>
  <c r="B431" i="12"/>
  <c r="C431" i="12" s="1"/>
  <c r="B432" i="12"/>
  <c r="B434" i="12"/>
  <c r="C434" i="12" s="1"/>
  <c r="B435" i="12"/>
  <c r="B437" i="12"/>
  <c r="C437" i="12" s="1"/>
  <c r="B438" i="12"/>
  <c r="B440" i="12"/>
  <c r="B441" i="12"/>
  <c r="B442" i="12"/>
  <c r="C442" i="12" s="1"/>
  <c r="B443" i="12"/>
  <c r="B445" i="12"/>
  <c r="C445" i="12" s="1"/>
  <c r="B446" i="12"/>
  <c r="B448" i="12"/>
  <c r="C448" i="12" s="1"/>
  <c r="B449" i="12"/>
  <c r="B451" i="12"/>
  <c r="C451" i="12" s="1"/>
  <c r="B453" i="12"/>
  <c r="B454" i="12"/>
  <c r="C454" i="12" s="1"/>
  <c r="B455" i="12"/>
  <c r="B457" i="12"/>
  <c r="B458" i="12"/>
  <c r="B459" i="12"/>
  <c r="C459" i="12" s="1"/>
  <c r="B460" i="12"/>
  <c r="B461" i="12"/>
  <c r="B463" i="12"/>
  <c r="C463" i="12" s="1"/>
  <c r="B464" i="12"/>
  <c r="B465" i="12"/>
  <c r="C465" i="12" s="1"/>
  <c r="B466" i="12"/>
  <c r="B468" i="12"/>
  <c r="C468" i="12" s="1"/>
  <c r="B469" i="12"/>
  <c r="B471" i="12"/>
  <c r="C471" i="12" s="1"/>
  <c r="B472" i="12"/>
  <c r="B473" i="12"/>
  <c r="B474" i="12"/>
  <c r="C474" i="12" s="1"/>
  <c r="B475" i="12"/>
  <c r="B477" i="12"/>
  <c r="C477" i="12" s="1"/>
  <c r="B478" i="12"/>
  <c r="B480" i="12"/>
  <c r="C480" i="12" s="1"/>
  <c r="B481" i="12"/>
  <c r="B483" i="12"/>
  <c r="C483" i="12" s="1"/>
  <c r="B484" i="12"/>
  <c r="B485" i="12"/>
  <c r="C485" i="12" s="1"/>
  <c r="B486" i="12"/>
  <c r="B488" i="12"/>
  <c r="C488" i="12" s="1"/>
  <c r="B489" i="12"/>
  <c r="B490" i="12"/>
  <c r="C490" i="12" s="1"/>
  <c r="B491" i="12"/>
  <c r="B493" i="12"/>
  <c r="C493" i="12" s="1"/>
  <c r="B494" i="12"/>
  <c r="B496" i="12"/>
  <c r="C496" i="12" s="1"/>
  <c r="B497" i="12"/>
  <c r="B499" i="12"/>
  <c r="C499" i="12" s="1"/>
  <c r="B500" i="12"/>
  <c r="B501" i="12"/>
  <c r="B503" i="12"/>
  <c r="C503" i="12" s="1"/>
  <c r="B504" i="12"/>
  <c r="B505" i="12"/>
  <c r="B507" i="12"/>
  <c r="C507" i="12" s="1"/>
  <c r="B510" i="12"/>
  <c r="C510" i="12" s="1"/>
  <c r="B511" i="12"/>
  <c r="B512" i="12"/>
  <c r="B514" i="12"/>
  <c r="C514" i="12" s="1"/>
  <c r="B515" i="12"/>
  <c r="B517" i="12"/>
  <c r="C517" i="12" s="1"/>
  <c r="B518" i="12"/>
  <c r="B520" i="12"/>
  <c r="C520" i="12" s="1"/>
  <c r="B521" i="12"/>
  <c r="B523" i="12"/>
  <c r="C523" i="12" s="1"/>
  <c r="B524" i="12"/>
  <c r="B526" i="12"/>
  <c r="C526" i="12" s="1"/>
  <c r="B527" i="12"/>
  <c r="B528" i="12"/>
  <c r="B530" i="12"/>
  <c r="C530" i="12" s="1"/>
  <c r="B531" i="12"/>
  <c r="B533" i="12"/>
  <c r="C533" i="12" s="1"/>
  <c r="B534" i="12"/>
  <c r="B536" i="12"/>
  <c r="C536" i="12" s="1"/>
  <c r="B538" i="12"/>
  <c r="B539" i="12"/>
  <c r="C539" i="12" s="1"/>
  <c r="B541" i="12"/>
  <c r="B542" i="12"/>
  <c r="C542" i="12" s="1"/>
  <c r="B543" i="12"/>
  <c r="B545" i="12"/>
  <c r="B546" i="12"/>
  <c r="C546" i="12" s="1"/>
  <c r="B548" i="12"/>
  <c r="B549" i="12"/>
  <c r="C549" i="12" s="1"/>
  <c r="B552" i="12"/>
  <c r="B553" i="12"/>
  <c r="C553" i="12" s="1"/>
  <c r="B554" i="12"/>
  <c r="B556" i="12"/>
  <c r="B557" i="12"/>
  <c r="C557" i="12" s="1"/>
  <c r="B558" i="12"/>
  <c r="B559" i="12"/>
  <c r="B560" i="12"/>
  <c r="C560" i="12" s="1"/>
  <c r="B561" i="12"/>
  <c r="B562" i="12"/>
  <c r="B563" i="12"/>
  <c r="B564" i="12"/>
  <c r="C564" i="12" s="1"/>
  <c r="B565" i="12"/>
  <c r="B567" i="12"/>
  <c r="C567" i="12" s="1"/>
  <c r="B568" i="12"/>
  <c r="B569" i="12"/>
  <c r="B571" i="12"/>
  <c r="C571" i="12" s="1"/>
  <c r="B572" i="12"/>
  <c r="B573" i="12"/>
  <c r="B575" i="12"/>
  <c r="C575" i="12" s="1"/>
  <c r="B576" i="12"/>
  <c r="B578" i="12"/>
  <c r="C578" i="12" s="1"/>
  <c r="B579" i="12"/>
  <c r="B581" i="12"/>
  <c r="C581" i="12" s="1"/>
  <c r="B582" i="12"/>
  <c r="B584" i="12"/>
  <c r="C584" i="12" s="1"/>
  <c r="B586" i="12"/>
  <c r="B588" i="12"/>
  <c r="C588" i="12" s="1"/>
  <c r="B589" i="12"/>
  <c r="B590" i="12"/>
  <c r="B592" i="12"/>
  <c r="C592" i="12" s="1"/>
  <c r="B593" i="12"/>
  <c r="B594" i="12"/>
  <c r="B596" i="12"/>
  <c r="C596" i="12" s="1"/>
  <c r="B597" i="12"/>
  <c r="B598" i="12"/>
  <c r="B600" i="12"/>
  <c r="C600" i="12" s="1"/>
  <c r="B601" i="12"/>
  <c r="B602" i="12"/>
  <c r="B604" i="12"/>
  <c r="C604" i="12" s="1"/>
  <c r="B605" i="12"/>
  <c r="B607" i="12"/>
  <c r="C607" i="12" s="1"/>
  <c r="B608" i="12"/>
  <c r="B610" i="12"/>
  <c r="C610" i="12" s="1"/>
  <c r="B611" i="12"/>
  <c r="B612" i="12"/>
  <c r="B614" i="12"/>
  <c r="C614" i="12" s="1"/>
  <c r="B615" i="12"/>
  <c r="B617" i="12"/>
  <c r="C617" i="12" s="1"/>
  <c r="B618" i="12"/>
  <c r="B620" i="12"/>
  <c r="C620" i="12" s="1"/>
  <c r="B621" i="12"/>
  <c r="B623" i="12"/>
  <c r="B624" i="12"/>
  <c r="B625" i="12"/>
  <c r="B7" i="12"/>
  <c r="C7" i="12" s="1"/>
  <c r="K287" i="12"/>
  <c r="L287" i="12" s="1"/>
  <c r="M287" i="12" s="1"/>
  <c r="J287" i="12"/>
  <c r="I291" i="12"/>
  <c r="M692" i="12" l="1"/>
  <c r="N287" i="12"/>
  <c r="L726" i="12"/>
  <c r="M726" i="12" s="1"/>
  <c r="H758" i="12"/>
  <c r="N726" i="12" l="1"/>
  <c r="L643" i="12" l="1"/>
  <c r="S689" i="12"/>
  <c r="N643" i="12" l="1"/>
  <c r="M643" i="12"/>
  <c r="I691" i="12"/>
  <c r="L628" i="12"/>
  <c r="M628" i="12" s="1"/>
  <c r="L629" i="12"/>
  <c r="M629" i="12" s="1"/>
  <c r="L630" i="12"/>
  <c r="M630" i="12" s="1"/>
  <c r="F29" i="3"/>
  <c r="F28" i="3"/>
  <c r="G46" i="24"/>
  <c r="O34" i="24"/>
  <c r="O35" i="24" s="1"/>
  <c r="M34" i="24"/>
  <c r="M35" i="24" s="1"/>
  <c r="K32" i="24"/>
  <c r="I31" i="24"/>
  <c r="K30" i="24"/>
  <c r="O29" i="24"/>
  <c r="O31" i="24" s="1"/>
  <c r="M29" i="24"/>
  <c r="M31" i="24" s="1"/>
  <c r="I29" i="24"/>
  <c r="I30" i="24" s="1"/>
  <c r="I32" i="24" s="1"/>
  <c r="I33" i="24" s="1"/>
  <c r="I34" i="24" s="1"/>
  <c r="O28" i="24"/>
  <c r="M28" i="24"/>
  <c r="K28" i="24"/>
  <c r="S17" i="24"/>
  <c r="R17" i="24"/>
  <c r="T17" i="24" s="1"/>
  <c r="Q17" i="24"/>
  <c r="P17" i="24"/>
  <c r="R16" i="24"/>
  <c r="Q16" i="24"/>
  <c r="T16" i="24" s="1"/>
  <c r="P16" i="24"/>
  <c r="S16" i="24" s="1"/>
  <c r="R15" i="24"/>
  <c r="Q15" i="24"/>
  <c r="P15" i="24"/>
  <c r="S15" i="24" s="1"/>
  <c r="T15" i="24" s="1"/>
  <c r="S14" i="24"/>
  <c r="R14" i="24"/>
  <c r="Q14" i="24"/>
  <c r="T14" i="24" s="1"/>
  <c r="P14" i="24"/>
  <c r="R13" i="24"/>
  <c r="Q13" i="24"/>
  <c r="T13" i="24" s="1"/>
  <c r="P13" i="24"/>
  <c r="S13" i="24" s="1"/>
  <c r="S12" i="24"/>
  <c r="T12" i="24" s="1"/>
  <c r="R12" i="24"/>
  <c r="Q12" i="24"/>
  <c r="P12" i="24"/>
  <c r="R11" i="24"/>
  <c r="Q11" i="24"/>
  <c r="P11" i="24"/>
  <c r="S11" i="24" s="1"/>
  <c r="R10" i="24"/>
  <c r="Q10" i="24"/>
  <c r="P10" i="24"/>
  <c r="S10" i="24" s="1"/>
  <c r="S9" i="24"/>
  <c r="R9" i="24"/>
  <c r="T9" i="24" s="1"/>
  <c r="Q9" i="24"/>
  <c r="P9" i="24"/>
  <c r="R8" i="24"/>
  <c r="Q8" i="24"/>
  <c r="P8" i="24"/>
  <c r="S8" i="24" s="1"/>
  <c r="R7" i="24"/>
  <c r="Q7" i="24"/>
  <c r="P7" i="24"/>
  <c r="S7" i="24" s="1"/>
  <c r="T7" i="24" s="1"/>
  <c r="S6" i="24"/>
  <c r="R6" i="24"/>
  <c r="Q6" i="24"/>
  <c r="T6" i="24" s="1"/>
  <c r="P6" i="24"/>
  <c r="R5" i="24"/>
  <c r="Q5" i="24"/>
  <c r="P5" i="24"/>
  <c r="S5" i="24" s="1"/>
  <c r="S4" i="24"/>
  <c r="T4" i="24" s="1"/>
  <c r="R4" i="24"/>
  <c r="Q4" i="24"/>
  <c r="P4" i="24"/>
  <c r="N629" i="12" l="1"/>
  <c r="N628" i="12"/>
  <c r="N630" i="12"/>
  <c r="T5" i="24"/>
  <c r="T10" i="24"/>
  <c r="T11" i="24"/>
  <c r="M36" i="24"/>
  <c r="M37" i="24"/>
  <c r="T8" i="24"/>
  <c r="T18" i="24" s="1"/>
  <c r="O37" i="24"/>
  <c r="O36" i="24"/>
  <c r="I36" i="24"/>
  <c r="I35" i="24"/>
  <c r="M32" i="24"/>
  <c r="O32" i="24"/>
  <c r="K31" i="24"/>
  <c r="K33" i="24" s="1"/>
  <c r="K34" i="24" s="1"/>
  <c r="K35" i="24" s="1"/>
  <c r="K36" i="24" l="1"/>
  <c r="K37" i="24"/>
  <c r="M38" i="24"/>
  <c r="O38" i="24"/>
  <c r="L641" i="12" l="1"/>
  <c r="M641" i="12" s="1"/>
  <c r="L640" i="12"/>
  <c r="M640" i="12" s="1"/>
  <c r="L639" i="12"/>
  <c r="M639" i="12" s="1"/>
  <c r="L159" i="12"/>
  <c r="L192" i="12"/>
  <c r="L202" i="12"/>
  <c r="L225" i="12"/>
  <c r="L291" i="12"/>
  <c r="L295" i="12"/>
  <c r="L299" i="12"/>
  <c r="L313" i="12"/>
  <c r="L317" i="12"/>
  <c r="L321" i="12"/>
  <c r="L325" i="12"/>
  <c r="L332" i="12"/>
  <c r="L349" i="12"/>
  <c r="L359" i="12"/>
  <c r="L369" i="12"/>
  <c r="L376" i="12"/>
  <c r="L392" i="12"/>
  <c r="L399" i="12"/>
  <c r="L414" i="12"/>
  <c r="L460" i="12"/>
  <c r="L472" i="12"/>
  <c r="L500" i="12"/>
  <c r="L504" i="12"/>
  <c r="L511" i="12"/>
  <c r="L527" i="12"/>
  <c r="L543" i="12"/>
  <c r="L554" i="12"/>
  <c r="L558" i="12"/>
  <c r="L561" i="12"/>
  <c r="I388" i="12"/>
  <c r="D1306" i="23"/>
  <c r="C1306" i="23"/>
  <c r="D1303" i="23"/>
  <c r="C1303" i="23"/>
  <c r="D1301" i="23"/>
  <c r="C1301" i="23"/>
  <c r="F1299" i="23"/>
  <c r="I1299" i="23" s="1"/>
  <c r="F1298" i="23"/>
  <c r="I1298" i="23" s="1"/>
  <c r="F1297" i="23"/>
  <c r="I1297" i="23" s="1"/>
  <c r="F1296" i="23"/>
  <c r="I1296" i="23" s="1"/>
  <c r="I1294" i="23"/>
  <c r="D1293" i="23"/>
  <c r="I1293" i="23" s="1"/>
  <c r="G1291" i="23"/>
  <c r="D1302" i="23" s="1"/>
  <c r="I1302" i="23" s="1"/>
  <c r="F1303" i="23" s="1"/>
  <c r="G1289" i="23"/>
  <c r="G1287" i="23"/>
  <c r="G1290" i="23" s="1"/>
  <c r="D1300" i="23" s="1"/>
  <c r="H1285" i="23"/>
  <c r="F1278" i="23"/>
  <c r="D1278" i="23"/>
  <c r="C1278" i="23"/>
  <c r="I1277" i="23"/>
  <c r="F1272" i="23"/>
  <c r="D1272" i="23"/>
  <c r="I1272" i="23" s="1"/>
  <c r="I1273" i="23" s="1"/>
  <c r="I1274" i="23" s="1"/>
  <c r="C1272" i="23"/>
  <c r="I1271" i="23"/>
  <c r="D1265" i="23"/>
  <c r="C1265" i="23"/>
  <c r="D1262" i="23"/>
  <c r="C1262" i="23"/>
  <c r="F1261" i="23"/>
  <c r="D1260" i="23"/>
  <c r="F1259" i="23"/>
  <c r="I1259" i="23" s="1"/>
  <c r="F1258" i="23"/>
  <c r="I1258" i="23" s="1"/>
  <c r="F1257" i="23"/>
  <c r="I1257" i="23" s="1"/>
  <c r="F1256" i="23"/>
  <c r="I1256" i="23" s="1"/>
  <c r="F1255" i="23"/>
  <c r="I1255" i="23" s="1"/>
  <c r="F1254" i="23"/>
  <c r="D1254" i="23"/>
  <c r="F1253" i="23"/>
  <c r="D1253" i="23"/>
  <c r="H1252" i="23"/>
  <c r="D1261" i="23" s="1"/>
  <c r="D1247" i="23"/>
  <c r="C1247" i="23"/>
  <c r="F1245" i="23"/>
  <c r="I1245" i="23" s="1"/>
  <c r="F1244" i="23"/>
  <c r="I1244" i="23" s="1"/>
  <c r="F1243" i="23"/>
  <c r="I1243" i="23" s="1"/>
  <c r="D1238" i="23"/>
  <c r="C1238" i="23"/>
  <c r="F1237" i="23"/>
  <c r="I1237" i="23" s="1"/>
  <c r="D1230" i="23"/>
  <c r="C1230" i="23"/>
  <c r="D1227" i="23"/>
  <c r="F1226" i="23"/>
  <c r="D1226" i="23"/>
  <c r="F1225" i="23"/>
  <c r="D1225" i="23"/>
  <c r="F1224" i="23"/>
  <c r="H1219" i="23"/>
  <c r="D1218" i="23"/>
  <c r="K1216" i="23"/>
  <c r="H1216" i="23"/>
  <c r="K1215" i="23"/>
  <c r="K1214" i="23"/>
  <c r="H1214" i="23"/>
  <c r="K1213" i="23"/>
  <c r="H1213" i="23"/>
  <c r="K1212" i="23"/>
  <c r="H1212" i="23"/>
  <c r="L1210" i="23"/>
  <c r="K1210" i="23"/>
  <c r="H1210" i="23"/>
  <c r="K1209" i="23"/>
  <c r="H1209" i="23"/>
  <c r="K1208" i="23"/>
  <c r="H1208" i="23"/>
  <c r="K1207" i="23"/>
  <c r="H1207" i="23"/>
  <c r="G1204" i="23"/>
  <c r="D1198" i="23"/>
  <c r="C1198" i="23"/>
  <c r="D1195" i="23"/>
  <c r="F1194" i="23"/>
  <c r="D1194" i="23"/>
  <c r="F1193" i="23"/>
  <c r="F1192" i="23"/>
  <c r="G1188" i="23"/>
  <c r="K1186" i="23"/>
  <c r="H1186" i="23"/>
  <c r="K1185" i="23"/>
  <c r="K1184" i="23"/>
  <c r="H1184" i="23"/>
  <c r="K1183" i="23"/>
  <c r="H1183" i="23"/>
  <c r="K1182" i="23"/>
  <c r="H1182" i="23"/>
  <c r="K1180" i="23"/>
  <c r="H1180" i="23"/>
  <c r="K1179" i="23"/>
  <c r="H1179" i="23"/>
  <c r="K1178" i="23"/>
  <c r="H1178" i="23"/>
  <c r="K1177" i="23"/>
  <c r="H1177" i="23"/>
  <c r="H1174" i="23"/>
  <c r="D1193" i="23" s="1"/>
  <c r="D1166" i="23"/>
  <c r="C1166" i="23"/>
  <c r="F1162" i="23"/>
  <c r="I1162" i="23" s="1"/>
  <c r="F1161" i="23"/>
  <c r="I1161" i="23" s="1"/>
  <c r="F1160" i="23"/>
  <c r="G1158" i="23"/>
  <c r="D1160" i="23" s="1"/>
  <c r="G1157" i="23"/>
  <c r="G1155" i="23"/>
  <c r="G1153" i="23"/>
  <c r="H1151" i="23"/>
  <c r="D1145" i="23"/>
  <c r="C1145" i="23"/>
  <c r="D1142" i="23"/>
  <c r="F1141" i="23"/>
  <c r="I1141" i="23" s="1"/>
  <c r="F1140" i="23"/>
  <c r="I1140" i="23" s="1"/>
  <c r="F1139" i="23"/>
  <c r="I1139" i="23" s="1"/>
  <c r="F1138" i="23"/>
  <c r="D1138" i="23"/>
  <c r="F1137" i="23"/>
  <c r="K1134" i="23"/>
  <c r="H1134" i="23"/>
  <c r="H1132" i="23"/>
  <c r="H1130" i="23"/>
  <c r="H1128" i="23"/>
  <c r="H1135" i="23" s="1"/>
  <c r="D1137" i="23" s="1"/>
  <c r="K1127" i="23"/>
  <c r="H1126" i="23"/>
  <c r="D1121" i="23"/>
  <c r="C1121" i="23"/>
  <c r="F1120" i="23"/>
  <c r="I1120" i="23" s="1"/>
  <c r="D1115" i="23"/>
  <c r="C1115" i="23"/>
  <c r="D1112" i="23"/>
  <c r="C1112" i="23"/>
  <c r="F1111" i="23"/>
  <c r="F1110" i="23"/>
  <c r="F1109" i="23"/>
  <c r="I1109" i="23" s="1"/>
  <c r="F1108" i="23"/>
  <c r="I1108" i="23" s="1"/>
  <c r="D1108" i="23"/>
  <c r="F1107" i="23"/>
  <c r="D1107" i="23"/>
  <c r="F1104" i="23"/>
  <c r="H1104" i="23" s="1"/>
  <c r="H1105" i="23" s="1"/>
  <c r="D1111" i="23" s="1"/>
  <c r="F1103" i="23"/>
  <c r="F1102" i="23"/>
  <c r="H1100" i="23"/>
  <c r="H1099" i="23"/>
  <c r="D1097" i="23"/>
  <c r="D1092" i="23"/>
  <c r="C1092" i="23"/>
  <c r="F1091" i="23"/>
  <c r="I1091" i="23" s="1"/>
  <c r="D1085" i="23"/>
  <c r="C1085" i="23"/>
  <c r="F1084" i="23"/>
  <c r="I1084" i="23" s="1"/>
  <c r="A1083" i="23"/>
  <c r="A1090" i="23" s="1"/>
  <c r="D1079" i="23"/>
  <c r="C1079" i="23"/>
  <c r="F1078" i="23"/>
  <c r="I1078" i="23" s="1"/>
  <c r="A1077" i="23"/>
  <c r="A1096" i="23" s="1"/>
  <c r="A1119" i="23" s="1"/>
  <c r="A1125" i="23" s="1"/>
  <c r="A1150" i="23" s="1"/>
  <c r="A1171" i="23" s="1"/>
  <c r="A1202" i="23" s="1"/>
  <c r="A1236" i="23" s="1"/>
  <c r="D1073" i="23"/>
  <c r="C1073" i="23"/>
  <c r="F1072" i="23"/>
  <c r="I1072" i="23" s="1"/>
  <c r="A1071" i="23"/>
  <c r="D1067" i="23"/>
  <c r="C1067" i="23"/>
  <c r="F1066" i="23"/>
  <c r="I1066" i="23" s="1"/>
  <c r="F1067" i="23" s="1"/>
  <c r="D1061" i="23"/>
  <c r="C1061" i="23"/>
  <c r="F1060" i="23"/>
  <c r="I1060" i="23" s="1"/>
  <c r="F1061" i="23" s="1"/>
  <c r="D1055" i="23"/>
  <c r="C1055" i="23"/>
  <c r="F1054" i="23"/>
  <c r="I1054" i="23" s="1"/>
  <c r="F1055" i="23" s="1"/>
  <c r="D1050" i="23"/>
  <c r="C1050" i="23"/>
  <c r="F1049" i="23"/>
  <c r="I1049" i="23" s="1"/>
  <c r="F1050" i="23" s="1"/>
  <c r="D1043" i="23"/>
  <c r="C1043" i="23"/>
  <c r="F1041" i="23"/>
  <c r="I1041" i="23" s="1"/>
  <c r="F1040" i="23"/>
  <c r="I1040" i="23" s="1"/>
  <c r="F1039" i="23"/>
  <c r="I1039" i="23" s="1"/>
  <c r="D1034" i="23"/>
  <c r="C1034" i="23"/>
  <c r="F1032" i="23"/>
  <c r="I1032" i="23" s="1"/>
  <c r="F1031" i="23"/>
  <c r="I1031" i="23" s="1"/>
  <c r="F1030" i="23"/>
  <c r="I1030" i="23" s="1"/>
  <c r="D1025" i="23"/>
  <c r="C1025" i="23"/>
  <c r="F1023" i="23"/>
  <c r="I1023" i="23" s="1"/>
  <c r="F1022" i="23"/>
  <c r="I1022" i="23" s="1"/>
  <c r="F1021" i="23"/>
  <c r="I1021" i="23" s="1"/>
  <c r="D1015" i="23"/>
  <c r="C1015" i="23"/>
  <c r="F1013" i="23"/>
  <c r="I1013" i="23" s="1"/>
  <c r="F1012" i="23"/>
  <c r="I1012" i="23" s="1"/>
  <c r="F1011" i="23"/>
  <c r="I1011" i="23" s="1"/>
  <c r="D1006" i="23"/>
  <c r="C1006" i="23"/>
  <c r="F1004" i="23"/>
  <c r="I1004" i="23" s="1"/>
  <c r="F1003" i="23"/>
  <c r="I1003" i="23" s="1"/>
  <c r="F1000" i="23"/>
  <c r="I1000" i="23" s="1"/>
  <c r="D1000" i="23"/>
  <c r="F999" i="23"/>
  <c r="I999" i="23" s="1"/>
  <c r="D999" i="23"/>
  <c r="H998" i="23"/>
  <c r="D994" i="23"/>
  <c r="C994" i="23"/>
  <c r="F992" i="23"/>
  <c r="I992" i="23" s="1"/>
  <c r="F991" i="23"/>
  <c r="I991" i="23" s="1"/>
  <c r="I988" i="23"/>
  <c r="F988" i="23"/>
  <c r="D988" i="23"/>
  <c r="F987" i="23"/>
  <c r="I987" i="23" s="1"/>
  <c r="D987" i="23"/>
  <c r="H986" i="23"/>
  <c r="D982" i="23"/>
  <c r="C982" i="23"/>
  <c r="F980" i="23"/>
  <c r="I980" i="23" s="1"/>
  <c r="F979" i="23"/>
  <c r="I979" i="23" s="1"/>
  <c r="F976" i="23"/>
  <c r="I976" i="23" s="1"/>
  <c r="D976" i="23"/>
  <c r="F975" i="23"/>
  <c r="I975" i="23" s="1"/>
  <c r="D975" i="23"/>
  <c r="H974" i="23"/>
  <c r="D970" i="23"/>
  <c r="C970" i="23"/>
  <c r="F968" i="23"/>
  <c r="I968" i="23" s="1"/>
  <c r="F967" i="23"/>
  <c r="I967" i="23" s="1"/>
  <c r="F964" i="23"/>
  <c r="I964" i="23" s="1"/>
  <c r="D964" i="23"/>
  <c r="F963" i="23"/>
  <c r="I963" i="23" s="1"/>
  <c r="D963" i="23"/>
  <c r="H962" i="23"/>
  <c r="D956" i="23"/>
  <c r="C956" i="23"/>
  <c r="F954" i="23"/>
  <c r="I954" i="23" s="1"/>
  <c r="F953" i="23"/>
  <c r="I953" i="23" s="1"/>
  <c r="F951" i="23"/>
  <c r="I951" i="23" s="1"/>
  <c r="I952" i="23" s="1"/>
  <c r="H950" i="23"/>
  <c r="D951" i="23" s="1"/>
  <c r="D946" i="23"/>
  <c r="C946" i="23"/>
  <c r="F944" i="23"/>
  <c r="I944" i="23" s="1"/>
  <c r="F943" i="23"/>
  <c r="I943" i="23" s="1"/>
  <c r="F941" i="23"/>
  <c r="I941" i="23" s="1"/>
  <c r="I942" i="23" s="1"/>
  <c r="H940" i="23"/>
  <c r="D941" i="23" s="1"/>
  <c r="D936" i="23"/>
  <c r="C936" i="23"/>
  <c r="F934" i="23"/>
  <c r="I934" i="23" s="1"/>
  <c r="F933" i="23"/>
  <c r="I933" i="23" s="1"/>
  <c r="F931" i="23"/>
  <c r="I931" i="23" s="1"/>
  <c r="I932" i="23" s="1"/>
  <c r="H930" i="23"/>
  <c r="D931" i="23" s="1"/>
  <c r="D926" i="23"/>
  <c r="C926" i="23"/>
  <c r="F924" i="23"/>
  <c r="I924" i="23" s="1"/>
  <c r="F923" i="23"/>
  <c r="I923" i="23" s="1"/>
  <c r="F921" i="23"/>
  <c r="I921" i="23" s="1"/>
  <c r="I922" i="23" s="1"/>
  <c r="H920" i="23"/>
  <c r="D921" i="23" s="1"/>
  <c r="D916" i="23"/>
  <c r="C916" i="23"/>
  <c r="F914" i="23"/>
  <c r="I914" i="23" s="1"/>
  <c r="F913" i="23"/>
  <c r="I913" i="23" s="1"/>
  <c r="F910" i="23"/>
  <c r="I910" i="23" s="1"/>
  <c r="D910" i="23"/>
  <c r="F909" i="23"/>
  <c r="D909" i="23"/>
  <c r="H908" i="23"/>
  <c r="D904" i="23"/>
  <c r="C904" i="23"/>
  <c r="F902" i="23"/>
  <c r="I902" i="23" s="1"/>
  <c r="F901" i="23"/>
  <c r="I901" i="23" s="1"/>
  <c r="F898" i="23"/>
  <c r="D898" i="23"/>
  <c r="F897" i="23"/>
  <c r="I897" i="23" s="1"/>
  <c r="D897" i="23"/>
  <c r="H896" i="23"/>
  <c r="D892" i="23"/>
  <c r="C892" i="23"/>
  <c r="F890" i="23"/>
  <c r="I890" i="23" s="1"/>
  <c r="F889" i="23"/>
  <c r="I889" i="23" s="1"/>
  <c r="F886" i="23"/>
  <c r="I886" i="23" s="1"/>
  <c r="D886" i="23"/>
  <c r="F885" i="23"/>
  <c r="D885" i="23"/>
  <c r="H884" i="23"/>
  <c r="D880" i="23"/>
  <c r="C880" i="23"/>
  <c r="F878" i="23"/>
  <c r="I878" i="23" s="1"/>
  <c r="F877" i="23"/>
  <c r="I877" i="23" s="1"/>
  <c r="F874" i="23"/>
  <c r="I874" i="23" s="1"/>
  <c r="D874" i="23"/>
  <c r="F873" i="23"/>
  <c r="I873" i="23" s="1"/>
  <c r="D873" i="23"/>
  <c r="H872" i="23"/>
  <c r="D867" i="23"/>
  <c r="C867" i="23"/>
  <c r="F866" i="23"/>
  <c r="I866" i="23" s="1"/>
  <c r="F867" i="23" s="1"/>
  <c r="D861" i="23"/>
  <c r="C861" i="23"/>
  <c r="F860" i="23"/>
  <c r="I860" i="23" s="1"/>
  <c r="D855" i="23"/>
  <c r="C855" i="23"/>
  <c r="F854" i="23"/>
  <c r="I854" i="23" s="1"/>
  <c r="F855" i="23" s="1"/>
  <c r="D849" i="23"/>
  <c r="C849" i="23"/>
  <c r="F848" i="23"/>
  <c r="I848" i="23" s="1"/>
  <c r="D843" i="23"/>
  <c r="C843" i="23"/>
  <c r="F842" i="23"/>
  <c r="I842" i="23" s="1"/>
  <c r="D836" i="23"/>
  <c r="C836" i="23"/>
  <c r="F832" i="23"/>
  <c r="I832" i="23" s="1"/>
  <c r="F831" i="23"/>
  <c r="I831" i="23" s="1"/>
  <c r="F830" i="23"/>
  <c r="I830" i="23" s="1"/>
  <c r="F829" i="23"/>
  <c r="I829" i="23" s="1"/>
  <c r="F828" i="23"/>
  <c r="F827" i="23"/>
  <c r="I827" i="23" s="1"/>
  <c r="F826" i="23"/>
  <c r="F825" i="23"/>
  <c r="D825" i="23"/>
  <c r="F824" i="23"/>
  <c r="H821" i="23"/>
  <c r="D828" i="23" s="1"/>
  <c r="G820" i="23"/>
  <c r="D827" i="23" s="1"/>
  <c r="G819" i="23"/>
  <c r="D826" i="23" s="1"/>
  <c r="G818" i="23"/>
  <c r="H816" i="23"/>
  <c r="H814" i="23"/>
  <c r="H812" i="23"/>
  <c r="G811" i="23"/>
  <c r="G808" i="23"/>
  <c r="G807" i="23"/>
  <c r="G809" i="23" s="1"/>
  <c r="H810" i="23" s="1"/>
  <c r="G817" i="23" s="1"/>
  <c r="D824" i="23" s="1"/>
  <c r="G806" i="23"/>
  <c r="D833" i="23" s="1"/>
  <c r="D798" i="23"/>
  <c r="C798" i="23"/>
  <c r="F794" i="23"/>
  <c r="I794" i="23" s="1"/>
  <c r="F793" i="23"/>
  <c r="I793" i="23" s="1"/>
  <c r="F792" i="23"/>
  <c r="I792" i="23" s="1"/>
  <c r="F791" i="23"/>
  <c r="I791" i="23" s="1"/>
  <c r="F790" i="23"/>
  <c r="D790" i="23"/>
  <c r="F789" i="23"/>
  <c r="F788" i="23"/>
  <c r="D788" i="23"/>
  <c r="F787" i="23"/>
  <c r="F786" i="23"/>
  <c r="H783" i="23"/>
  <c r="H782" i="23"/>
  <c r="D789" i="23" s="1"/>
  <c r="H781" i="23"/>
  <c r="H780" i="23"/>
  <c r="D787" i="23" s="1"/>
  <c r="K778" i="23"/>
  <c r="H778" i="23"/>
  <c r="G777" i="23"/>
  <c r="H776" i="23"/>
  <c r="G775" i="23"/>
  <c r="H774" i="23"/>
  <c r="G773" i="23"/>
  <c r="H772" i="23"/>
  <c r="G779" i="23" s="1"/>
  <c r="D786" i="23" s="1"/>
  <c r="G770" i="23"/>
  <c r="G769" i="23"/>
  <c r="G771" i="23" s="1"/>
  <c r="G768" i="23"/>
  <c r="D795" i="23" s="1"/>
  <c r="D759" i="23"/>
  <c r="C759" i="23"/>
  <c r="F755" i="23"/>
  <c r="I755" i="23" s="1"/>
  <c r="F754" i="23"/>
  <c r="I754" i="23" s="1"/>
  <c r="F753" i="23"/>
  <c r="I753" i="23" s="1"/>
  <c r="F752" i="23"/>
  <c r="I752" i="23" s="1"/>
  <c r="F751" i="23"/>
  <c r="F750" i="23"/>
  <c r="F749" i="23"/>
  <c r="I749" i="23" s="1"/>
  <c r="F748" i="23"/>
  <c r="F747" i="23"/>
  <c r="G744" i="23"/>
  <c r="D751" i="23" s="1"/>
  <c r="G743" i="23"/>
  <c r="D750" i="23" s="1"/>
  <c r="G742" i="23"/>
  <c r="D749" i="23" s="1"/>
  <c r="G741" i="23"/>
  <c r="D748" i="23" s="1"/>
  <c r="H739" i="23"/>
  <c r="H738" i="23"/>
  <c r="H737" i="23"/>
  <c r="H736" i="23"/>
  <c r="G735" i="23"/>
  <c r="G734" i="23"/>
  <c r="G733" i="23"/>
  <c r="G731" i="23"/>
  <c r="G732" i="23" s="1"/>
  <c r="G730" i="23"/>
  <c r="G729" i="23"/>
  <c r="D756" i="23" s="1"/>
  <c r="D721" i="23"/>
  <c r="C721" i="23"/>
  <c r="D718" i="23"/>
  <c r="C718" i="23"/>
  <c r="F717" i="23"/>
  <c r="D717" i="23"/>
  <c r="D716" i="23"/>
  <c r="C716" i="23"/>
  <c r="F714" i="23"/>
  <c r="F713" i="23"/>
  <c r="F712" i="23"/>
  <c r="I712" i="23" s="1"/>
  <c r="F711" i="23"/>
  <c r="I711" i="23" s="1"/>
  <c r="F710" i="23"/>
  <c r="I710" i="23" s="1"/>
  <c r="F709" i="23"/>
  <c r="I709" i="23" s="1"/>
  <c r="F708" i="23"/>
  <c r="I708" i="23" s="1"/>
  <c r="F707" i="23"/>
  <c r="I707" i="23" s="1"/>
  <c r="F706" i="23"/>
  <c r="D706" i="23"/>
  <c r="F705" i="23"/>
  <c r="F704" i="23"/>
  <c r="I704" i="23" s="1"/>
  <c r="G701" i="23"/>
  <c r="G699" i="23"/>
  <c r="D705" i="23" s="1"/>
  <c r="G697" i="23"/>
  <c r="D704" i="23" s="1"/>
  <c r="G695" i="23"/>
  <c r="D686" i="23"/>
  <c r="C686" i="23"/>
  <c r="D683" i="23"/>
  <c r="C683" i="23"/>
  <c r="F682" i="23"/>
  <c r="D681" i="23"/>
  <c r="C681" i="23"/>
  <c r="F679" i="23"/>
  <c r="F678" i="23"/>
  <c r="F677" i="23"/>
  <c r="I677" i="23" s="1"/>
  <c r="F676" i="23"/>
  <c r="I676" i="23" s="1"/>
  <c r="F675" i="23"/>
  <c r="I675" i="23" s="1"/>
  <c r="F674" i="23"/>
  <c r="I674" i="23" s="1"/>
  <c r="F673" i="23"/>
  <c r="I673" i="23" s="1"/>
  <c r="F672" i="23"/>
  <c r="I672" i="23" s="1"/>
  <c r="F671" i="23"/>
  <c r="D671" i="23"/>
  <c r="F670" i="23"/>
  <c r="F669" i="23"/>
  <c r="H666" i="23"/>
  <c r="D682" i="23" s="1"/>
  <c r="G663" i="23"/>
  <c r="D670" i="23" s="1"/>
  <c r="G661" i="23"/>
  <c r="D669" i="23" s="1"/>
  <c r="G659" i="23"/>
  <c r="A656" i="23"/>
  <c r="D651" i="23"/>
  <c r="C651" i="23"/>
  <c r="D648" i="23"/>
  <c r="C648" i="23"/>
  <c r="F647" i="23"/>
  <c r="C647" i="23"/>
  <c r="C682" i="23" s="1"/>
  <c r="D646" i="23"/>
  <c r="C646" i="23"/>
  <c r="F644" i="23"/>
  <c r="I644" i="23" s="1"/>
  <c r="F643" i="23"/>
  <c r="I643" i="23" s="1"/>
  <c r="F642" i="23"/>
  <c r="I642" i="23" s="1"/>
  <c r="F641" i="23"/>
  <c r="I641" i="23" s="1"/>
  <c r="F640" i="23"/>
  <c r="I640" i="23" s="1"/>
  <c r="F639" i="23"/>
  <c r="I639" i="23" s="1"/>
  <c r="F638" i="23"/>
  <c r="I638" i="23" s="1"/>
  <c r="F637" i="23"/>
  <c r="D637" i="23"/>
  <c r="F636" i="23"/>
  <c r="F635" i="23"/>
  <c r="D635" i="23"/>
  <c r="G632" i="23"/>
  <c r="D647" i="23" s="1"/>
  <c r="I647" i="23" s="1"/>
  <c r="F648" i="23" s="1"/>
  <c r="G631" i="23"/>
  <c r="D645" i="23" s="1"/>
  <c r="G630" i="23"/>
  <c r="D636" i="23" s="1"/>
  <c r="G628" i="23"/>
  <c r="G625" i="23"/>
  <c r="D617" i="23"/>
  <c r="C617" i="23"/>
  <c r="D614" i="23"/>
  <c r="C614" i="23"/>
  <c r="F613" i="23"/>
  <c r="D612" i="23"/>
  <c r="C612" i="23"/>
  <c r="F610" i="23"/>
  <c r="I610" i="23" s="1"/>
  <c r="F609" i="23"/>
  <c r="I609" i="23" s="1"/>
  <c r="F608" i="23"/>
  <c r="I608" i="23" s="1"/>
  <c r="F607" i="23"/>
  <c r="I607" i="23" s="1"/>
  <c r="F606" i="23"/>
  <c r="I606" i="23" s="1"/>
  <c r="F605" i="23"/>
  <c r="I605" i="23" s="1"/>
  <c r="F604" i="23"/>
  <c r="I604" i="23" s="1"/>
  <c r="F603" i="23"/>
  <c r="D603" i="23"/>
  <c r="F602" i="23"/>
  <c r="F601" i="23"/>
  <c r="I601" i="23" s="1"/>
  <c r="G599" i="23"/>
  <c r="D613" i="23" s="1"/>
  <c r="I613" i="23" s="1"/>
  <c r="F614" i="23" s="1"/>
  <c r="I614" i="23" s="1"/>
  <c r="G597" i="23"/>
  <c r="D602" i="23" s="1"/>
  <c r="G595" i="23"/>
  <c r="D601" i="23" s="1"/>
  <c r="G592" i="23"/>
  <c r="A589" i="23"/>
  <c r="A622" i="23" s="1"/>
  <c r="D585" i="23"/>
  <c r="C585" i="23"/>
  <c r="D581" i="23"/>
  <c r="C581" i="23"/>
  <c r="F580" i="23"/>
  <c r="C580" i="23"/>
  <c r="C613" i="23" s="1"/>
  <c r="D579" i="23"/>
  <c r="C579" i="23"/>
  <c r="F577" i="23"/>
  <c r="I577" i="23" s="1"/>
  <c r="F576" i="23"/>
  <c r="I576" i="23" s="1"/>
  <c r="F575" i="23"/>
  <c r="I575" i="23" s="1"/>
  <c r="F574" i="23"/>
  <c r="I574" i="23" s="1"/>
  <c r="F573" i="23"/>
  <c r="I573" i="23" s="1"/>
  <c r="F572" i="23"/>
  <c r="I572" i="23" s="1"/>
  <c r="F571" i="23"/>
  <c r="I571" i="23" s="1"/>
  <c r="F570" i="23"/>
  <c r="D570" i="23"/>
  <c r="F569" i="23"/>
  <c r="F568" i="23"/>
  <c r="D568" i="23"/>
  <c r="H566" i="23"/>
  <c r="D580" i="23" s="1"/>
  <c r="G564" i="23"/>
  <c r="D578" i="23" s="1"/>
  <c r="G563" i="23"/>
  <c r="D569" i="23" s="1"/>
  <c r="G561" i="23"/>
  <c r="G558" i="23"/>
  <c r="D551" i="23"/>
  <c r="C551" i="23"/>
  <c r="D547" i="23"/>
  <c r="C547" i="23"/>
  <c r="F546" i="23"/>
  <c r="D545" i="23"/>
  <c r="C545" i="23"/>
  <c r="F543" i="23"/>
  <c r="I543" i="23" s="1"/>
  <c r="F542" i="23"/>
  <c r="I542" i="23" s="1"/>
  <c r="F541" i="23"/>
  <c r="I541" i="23" s="1"/>
  <c r="F540" i="23"/>
  <c r="I540" i="23" s="1"/>
  <c r="F539" i="23"/>
  <c r="I539" i="23" s="1"/>
  <c r="F538" i="23"/>
  <c r="I538" i="23" s="1"/>
  <c r="F537" i="23"/>
  <c r="I537" i="23" s="1"/>
  <c r="F536" i="23"/>
  <c r="F535" i="23"/>
  <c r="F534" i="23"/>
  <c r="D534" i="23"/>
  <c r="G532" i="23"/>
  <c r="D546" i="23" s="1"/>
  <c r="G529" i="23"/>
  <c r="D535" i="23" s="1"/>
  <c r="G527" i="23"/>
  <c r="G530" i="23" s="1"/>
  <c r="D544" i="23" s="1"/>
  <c r="H524" i="23"/>
  <c r="D517" i="23"/>
  <c r="C517" i="23"/>
  <c r="D513" i="23"/>
  <c r="C513" i="23"/>
  <c r="F512" i="23"/>
  <c r="D511" i="23"/>
  <c r="C511" i="23"/>
  <c r="F509" i="23"/>
  <c r="I509" i="23" s="1"/>
  <c r="F508" i="23"/>
  <c r="I508" i="23" s="1"/>
  <c r="F507" i="23"/>
  <c r="I507" i="23" s="1"/>
  <c r="F506" i="23"/>
  <c r="I506" i="23" s="1"/>
  <c r="F505" i="23"/>
  <c r="I505" i="23" s="1"/>
  <c r="F504" i="23"/>
  <c r="I504" i="23" s="1"/>
  <c r="F503" i="23"/>
  <c r="I503" i="23" s="1"/>
  <c r="F502" i="23"/>
  <c r="F501" i="23"/>
  <c r="F500" i="23"/>
  <c r="G499" i="23"/>
  <c r="D502" i="23" s="1"/>
  <c r="G497" i="23"/>
  <c r="D501" i="23" s="1"/>
  <c r="G495" i="23"/>
  <c r="G492" i="23"/>
  <c r="D485" i="23"/>
  <c r="C485" i="23"/>
  <c r="D481" i="23"/>
  <c r="C481" i="23"/>
  <c r="F480" i="23"/>
  <c r="F479" i="23"/>
  <c r="I479" i="23" s="1"/>
  <c r="F478" i="23"/>
  <c r="I478" i="23" s="1"/>
  <c r="F477" i="23"/>
  <c r="I477" i="23" s="1"/>
  <c r="F476" i="23"/>
  <c r="I476" i="23" s="1"/>
  <c r="F475" i="23"/>
  <c r="I475" i="23" s="1"/>
  <c r="F474" i="23"/>
  <c r="I474" i="23" s="1"/>
  <c r="F473" i="23"/>
  <c r="I473" i="23" s="1"/>
  <c r="F472" i="23"/>
  <c r="D472" i="23"/>
  <c r="D480" i="23" s="1"/>
  <c r="F471" i="23"/>
  <c r="F470" i="23"/>
  <c r="I470" i="23" s="1"/>
  <c r="D470" i="23"/>
  <c r="G468" i="23"/>
  <c r="G465" i="23"/>
  <c r="G463" i="23"/>
  <c r="H460" i="23"/>
  <c r="D451" i="23"/>
  <c r="C451" i="23"/>
  <c r="D448" i="23"/>
  <c r="C448" i="23"/>
  <c r="F447" i="23"/>
  <c r="D446" i="23"/>
  <c r="C446" i="23"/>
  <c r="F445" i="23"/>
  <c r="D444" i="23"/>
  <c r="C444" i="23"/>
  <c r="F442" i="23"/>
  <c r="D442" i="23"/>
  <c r="F441" i="23"/>
  <c r="I441" i="23" s="1"/>
  <c r="F440" i="23"/>
  <c r="I440" i="23" s="1"/>
  <c r="F439" i="23"/>
  <c r="I439" i="23" s="1"/>
  <c r="F438" i="23"/>
  <c r="I438" i="23" s="1"/>
  <c r="F437" i="23"/>
  <c r="I437" i="23" s="1"/>
  <c r="F436" i="23"/>
  <c r="I436" i="23" s="1"/>
  <c r="F435" i="23"/>
  <c r="I435" i="23" s="1"/>
  <c r="F434" i="23"/>
  <c r="D434" i="23"/>
  <c r="F433" i="23"/>
  <c r="D433" i="23"/>
  <c r="F432" i="23"/>
  <c r="F431" i="23"/>
  <c r="F430" i="23"/>
  <c r="D430" i="23"/>
  <c r="G428" i="23"/>
  <c r="G427" i="23"/>
  <c r="D445" i="23" s="1"/>
  <c r="G426" i="23"/>
  <c r="G425" i="23"/>
  <c r="D447" i="23" s="1"/>
  <c r="G423" i="23"/>
  <c r="D431" i="23" s="1"/>
  <c r="G421" i="23"/>
  <c r="G424" i="23" s="1"/>
  <c r="D443" i="23" s="1"/>
  <c r="G418" i="23"/>
  <c r="A415" i="23"/>
  <c r="A457" i="23" s="1"/>
  <c r="A489" i="23" s="1"/>
  <c r="A521" i="23" s="1"/>
  <c r="D410" i="23"/>
  <c r="C410" i="23"/>
  <c r="D407" i="23"/>
  <c r="C407" i="23"/>
  <c r="F406" i="23"/>
  <c r="D406" i="23"/>
  <c r="D405" i="23"/>
  <c r="C405" i="23"/>
  <c r="F404" i="23"/>
  <c r="D403" i="23"/>
  <c r="C403" i="23"/>
  <c r="F401" i="23"/>
  <c r="F400" i="23"/>
  <c r="I400" i="23" s="1"/>
  <c r="F399" i="23"/>
  <c r="I399" i="23" s="1"/>
  <c r="F398" i="23"/>
  <c r="I398" i="23" s="1"/>
  <c r="F397" i="23"/>
  <c r="I397" i="23" s="1"/>
  <c r="F396" i="23"/>
  <c r="I396" i="23" s="1"/>
  <c r="F395" i="23"/>
  <c r="I395" i="23" s="1"/>
  <c r="F394" i="23"/>
  <c r="I394" i="23" s="1"/>
  <c r="F393" i="23"/>
  <c r="F392" i="23"/>
  <c r="I392" i="23" s="1"/>
  <c r="D392" i="23"/>
  <c r="F391" i="23"/>
  <c r="D391" i="23"/>
  <c r="F390" i="23"/>
  <c r="F389" i="23"/>
  <c r="D389" i="23"/>
  <c r="G387" i="23"/>
  <c r="D401" i="23" s="1"/>
  <c r="G386" i="23"/>
  <c r="G385" i="23"/>
  <c r="G384" i="23"/>
  <c r="G382" i="23"/>
  <c r="D390" i="23" s="1"/>
  <c r="G380" i="23"/>
  <c r="H377" i="23"/>
  <c r="D369" i="23"/>
  <c r="C369" i="23"/>
  <c r="D366" i="23"/>
  <c r="C366" i="23"/>
  <c r="F365" i="23"/>
  <c r="D364" i="23"/>
  <c r="C364" i="23"/>
  <c r="F363" i="23"/>
  <c r="D362" i="23"/>
  <c r="C362" i="23"/>
  <c r="F360" i="23"/>
  <c r="D360" i="23"/>
  <c r="F359" i="23"/>
  <c r="I359" i="23" s="1"/>
  <c r="F358" i="23"/>
  <c r="I358" i="23" s="1"/>
  <c r="F357" i="23"/>
  <c r="I357" i="23" s="1"/>
  <c r="F356" i="23"/>
  <c r="I356" i="23" s="1"/>
  <c r="F355" i="23"/>
  <c r="I355" i="23" s="1"/>
  <c r="F354" i="23"/>
  <c r="I354" i="23" s="1"/>
  <c r="F353" i="23"/>
  <c r="I353" i="23" s="1"/>
  <c r="F352" i="23"/>
  <c r="D352" i="23"/>
  <c r="F351" i="23"/>
  <c r="F350" i="23"/>
  <c r="F349" i="23"/>
  <c r="D349" i="23"/>
  <c r="F348" i="23"/>
  <c r="G346" i="23"/>
  <c r="G345" i="23"/>
  <c r="D363" i="23" s="1"/>
  <c r="G344" i="23"/>
  <c r="D351" i="23" s="1"/>
  <c r="G343" i="23"/>
  <c r="G342" i="23"/>
  <c r="D361" i="23" s="1"/>
  <c r="G341" i="23"/>
  <c r="G339" i="23"/>
  <c r="D348" i="23" s="1"/>
  <c r="H336" i="23"/>
  <c r="D328" i="23"/>
  <c r="C328" i="23"/>
  <c r="D325" i="23"/>
  <c r="C325" i="23"/>
  <c r="F324" i="23"/>
  <c r="D323" i="23"/>
  <c r="C323" i="23"/>
  <c r="F322" i="23"/>
  <c r="D321" i="23"/>
  <c r="C321" i="23"/>
  <c r="F319" i="23"/>
  <c r="F318" i="23"/>
  <c r="I318" i="23" s="1"/>
  <c r="F317" i="23"/>
  <c r="I317" i="23" s="1"/>
  <c r="F316" i="23"/>
  <c r="I316" i="23" s="1"/>
  <c r="F315" i="23"/>
  <c r="I315" i="23" s="1"/>
  <c r="F314" i="23"/>
  <c r="I314" i="23" s="1"/>
  <c r="F313" i="23"/>
  <c r="I313" i="23" s="1"/>
  <c r="F312" i="23"/>
  <c r="I312" i="23" s="1"/>
  <c r="F311" i="23"/>
  <c r="F310" i="23"/>
  <c r="D310" i="23"/>
  <c r="F309" i="23"/>
  <c r="D309" i="23"/>
  <c r="F308" i="23"/>
  <c r="F307" i="23"/>
  <c r="G305" i="23"/>
  <c r="D319" i="23" s="1"/>
  <c r="G304" i="23"/>
  <c r="D322" i="23" s="1"/>
  <c r="G303" i="23"/>
  <c r="G302" i="23"/>
  <c r="D324" i="23" s="1"/>
  <c r="G300" i="23"/>
  <c r="D308" i="23" s="1"/>
  <c r="G298" i="23"/>
  <c r="H295" i="23"/>
  <c r="D287" i="23"/>
  <c r="C287" i="23"/>
  <c r="D284" i="23"/>
  <c r="C284" i="23"/>
  <c r="F283" i="23"/>
  <c r="D282" i="23"/>
  <c r="C282" i="23"/>
  <c r="F281" i="23"/>
  <c r="D281" i="23"/>
  <c r="D280" i="23"/>
  <c r="C280" i="23"/>
  <c r="F278" i="23"/>
  <c r="I278" i="23" s="1"/>
  <c r="F277" i="23"/>
  <c r="I277" i="23" s="1"/>
  <c r="F276" i="23"/>
  <c r="I276" i="23" s="1"/>
  <c r="F275" i="23"/>
  <c r="I275" i="23" s="1"/>
  <c r="F274" i="23"/>
  <c r="I274" i="23" s="1"/>
  <c r="F273" i="23"/>
  <c r="I273" i="23" s="1"/>
  <c r="F272" i="23"/>
  <c r="I272" i="23" s="1"/>
  <c r="F271" i="23"/>
  <c r="I271" i="23" s="1"/>
  <c r="F270" i="23"/>
  <c r="F269" i="23"/>
  <c r="D269" i="23"/>
  <c r="F268" i="23"/>
  <c r="F267" i="23"/>
  <c r="F266" i="23"/>
  <c r="D266" i="23"/>
  <c r="G264" i="23"/>
  <c r="D278" i="23" s="1"/>
  <c r="G263" i="23"/>
  <c r="D270" i="23" s="1"/>
  <c r="I270" i="23" s="1"/>
  <c r="G262" i="23"/>
  <c r="G261" i="23"/>
  <c r="D283" i="23" s="1"/>
  <c r="G259" i="23"/>
  <c r="D267" i="23" s="1"/>
  <c r="G257" i="23"/>
  <c r="G260" i="23" s="1"/>
  <c r="D279" i="23" s="1"/>
  <c r="H254" i="23"/>
  <c r="D246" i="23"/>
  <c r="C246" i="23"/>
  <c r="D243" i="23"/>
  <c r="C243" i="23"/>
  <c r="F242" i="23"/>
  <c r="D242" i="23"/>
  <c r="D241" i="23"/>
  <c r="C241" i="23"/>
  <c r="F240" i="23"/>
  <c r="D240" i="23"/>
  <c r="D239" i="23"/>
  <c r="C239" i="23"/>
  <c r="F237" i="23"/>
  <c r="D237" i="23"/>
  <c r="F236" i="23"/>
  <c r="I236" i="23" s="1"/>
  <c r="F235" i="23"/>
  <c r="I235" i="23" s="1"/>
  <c r="F234" i="23"/>
  <c r="I234" i="23" s="1"/>
  <c r="F233" i="23"/>
  <c r="I233" i="23" s="1"/>
  <c r="F232" i="23"/>
  <c r="I232" i="23" s="1"/>
  <c r="F231" i="23"/>
  <c r="I231" i="23" s="1"/>
  <c r="F230" i="23"/>
  <c r="I230" i="23" s="1"/>
  <c r="F229" i="23"/>
  <c r="I229" i="23" s="1"/>
  <c r="F228" i="23"/>
  <c r="F227" i="23"/>
  <c r="D227" i="23"/>
  <c r="F226" i="23"/>
  <c r="I226" i="23" s="1"/>
  <c r="F225" i="23"/>
  <c r="I225" i="23" s="1"/>
  <c r="G223" i="23"/>
  <c r="G222" i="23"/>
  <c r="D229" i="23" s="1"/>
  <c r="G221" i="23"/>
  <c r="D228" i="23" s="1"/>
  <c r="G220" i="23"/>
  <c r="G219" i="23"/>
  <c r="D238" i="23" s="1"/>
  <c r="G218" i="23"/>
  <c r="G216" i="23"/>
  <c r="G213" i="23"/>
  <c r="D205" i="23"/>
  <c r="C205" i="23"/>
  <c r="D202" i="23"/>
  <c r="C202" i="23"/>
  <c r="F201" i="23"/>
  <c r="D200" i="23"/>
  <c r="C200" i="23"/>
  <c r="F199" i="23"/>
  <c r="D198" i="23"/>
  <c r="C198" i="23"/>
  <c r="F196" i="23"/>
  <c r="F195" i="23"/>
  <c r="I195" i="23" s="1"/>
  <c r="F194" i="23"/>
  <c r="I194" i="23" s="1"/>
  <c r="F193" i="23"/>
  <c r="I193" i="23" s="1"/>
  <c r="F192" i="23"/>
  <c r="I192" i="23" s="1"/>
  <c r="F191" i="23"/>
  <c r="I191" i="23" s="1"/>
  <c r="F190" i="23"/>
  <c r="I190" i="23" s="1"/>
  <c r="F189" i="23"/>
  <c r="I189" i="23" s="1"/>
  <c r="F188" i="23"/>
  <c r="I188" i="23" s="1"/>
  <c r="F187" i="23"/>
  <c r="D187" i="23"/>
  <c r="F186" i="23"/>
  <c r="F185" i="23"/>
  <c r="F184" i="23"/>
  <c r="D184" i="23"/>
  <c r="F183" i="23"/>
  <c r="G181" i="23"/>
  <c r="D196" i="23" s="1"/>
  <c r="I196" i="23" s="1"/>
  <c r="G180" i="23"/>
  <c r="D199" i="23" s="1"/>
  <c r="G179" i="23"/>
  <c r="D186" i="23" s="1"/>
  <c r="G178" i="23"/>
  <c r="G177" i="23"/>
  <c r="D197" i="23" s="1"/>
  <c r="K176" i="23"/>
  <c r="G176" i="23"/>
  <c r="G174" i="23"/>
  <c r="D183" i="23" s="1"/>
  <c r="I183" i="23" s="1"/>
  <c r="K173" i="23"/>
  <c r="K172" i="23"/>
  <c r="H172" i="23"/>
  <c r="K171" i="23"/>
  <c r="A169" i="23"/>
  <c r="A210" i="23" s="1"/>
  <c r="D164" i="23"/>
  <c r="C164" i="23"/>
  <c r="D161" i="23"/>
  <c r="C161" i="23"/>
  <c r="F160" i="23"/>
  <c r="D160" i="23"/>
  <c r="D159" i="23"/>
  <c r="C159" i="23"/>
  <c r="F158" i="23"/>
  <c r="D158" i="23"/>
  <c r="D157" i="23"/>
  <c r="C157" i="23"/>
  <c r="F155" i="23"/>
  <c r="F154" i="23"/>
  <c r="I154" i="23" s="1"/>
  <c r="F153" i="23"/>
  <c r="I153" i="23" s="1"/>
  <c r="F152" i="23"/>
  <c r="I152" i="23" s="1"/>
  <c r="F151" i="23"/>
  <c r="I151" i="23" s="1"/>
  <c r="F150" i="23"/>
  <c r="I150" i="23" s="1"/>
  <c r="F149" i="23"/>
  <c r="I149" i="23" s="1"/>
  <c r="F148" i="23"/>
  <c r="I148" i="23" s="1"/>
  <c r="F147" i="23"/>
  <c r="I147" i="23" s="1"/>
  <c r="F146" i="23"/>
  <c r="F145" i="23"/>
  <c r="D145" i="23"/>
  <c r="F144" i="23"/>
  <c r="I144" i="23" s="1"/>
  <c r="D144" i="23"/>
  <c r="F143" i="23"/>
  <c r="F142" i="23"/>
  <c r="D142" i="23"/>
  <c r="G140" i="23"/>
  <c r="D155" i="23" s="1"/>
  <c r="G139" i="23"/>
  <c r="D146" i="23" s="1"/>
  <c r="G138" i="23"/>
  <c r="G137" i="23"/>
  <c r="G135" i="23"/>
  <c r="D143" i="23" s="1"/>
  <c r="G133" i="23"/>
  <c r="G136" i="23" s="1"/>
  <c r="D156" i="23" s="1"/>
  <c r="H130" i="23"/>
  <c r="D123" i="23"/>
  <c r="C123" i="23"/>
  <c r="D119" i="23"/>
  <c r="C119" i="23"/>
  <c r="F118" i="23"/>
  <c r="D117" i="23"/>
  <c r="C117" i="23"/>
  <c r="F116" i="23"/>
  <c r="D115" i="23"/>
  <c r="C115" i="23"/>
  <c r="F113" i="23"/>
  <c r="I113" i="23" s="1"/>
  <c r="F112" i="23"/>
  <c r="I112" i="23" s="1"/>
  <c r="F111" i="23"/>
  <c r="I111" i="23" s="1"/>
  <c r="F110" i="23"/>
  <c r="I110" i="23" s="1"/>
  <c r="F109" i="23"/>
  <c r="I109" i="23" s="1"/>
  <c r="F108" i="23"/>
  <c r="I108" i="23" s="1"/>
  <c r="F107" i="23"/>
  <c r="F106" i="23"/>
  <c r="D106" i="23"/>
  <c r="F105" i="23"/>
  <c r="I105" i="23" s="1"/>
  <c r="F104" i="23"/>
  <c r="F103" i="23"/>
  <c r="D103" i="23"/>
  <c r="G102" i="23"/>
  <c r="D107" i="23" s="1"/>
  <c r="G101" i="23"/>
  <c r="G100" i="23"/>
  <c r="G99" i="23"/>
  <c r="G97" i="23"/>
  <c r="G96" i="23"/>
  <c r="G95" i="23"/>
  <c r="D105" i="23" s="1"/>
  <c r="G93" i="23"/>
  <c r="G94" i="23" s="1"/>
  <c r="D104" i="23" s="1"/>
  <c r="G91" i="23"/>
  <c r="G89" i="23"/>
  <c r="G87" i="23"/>
  <c r="G85" i="23"/>
  <c r="G83" i="23"/>
  <c r="D76" i="23"/>
  <c r="C76" i="23"/>
  <c r="F75" i="23"/>
  <c r="D75" i="23"/>
  <c r="F74" i="23"/>
  <c r="F73" i="23"/>
  <c r="G72" i="23"/>
  <c r="D74" i="23" s="1"/>
  <c r="D72" i="23"/>
  <c r="G71" i="23"/>
  <c r="A70" i="23"/>
  <c r="F65" i="23"/>
  <c r="I65" i="23" s="1"/>
  <c r="F64" i="23"/>
  <c r="I64" i="23" s="1"/>
  <c r="D62" i="23"/>
  <c r="C62" i="23"/>
  <c r="F61" i="23"/>
  <c r="I61" i="23" s="1"/>
  <c r="F60" i="23"/>
  <c r="I60" i="23" s="1"/>
  <c r="F59" i="23"/>
  <c r="I59" i="23" s="1"/>
  <c r="F58" i="23"/>
  <c r="I58" i="23" s="1"/>
  <c r="F57" i="23"/>
  <c r="I57" i="23" s="1"/>
  <c r="F56" i="23"/>
  <c r="I56" i="23" s="1"/>
  <c r="F50" i="23"/>
  <c r="I50" i="23" s="1"/>
  <c r="F49" i="23"/>
  <c r="I49" i="23" s="1"/>
  <c r="D47" i="23"/>
  <c r="C47" i="23"/>
  <c r="F46" i="23"/>
  <c r="I46" i="23" s="1"/>
  <c r="F45" i="23"/>
  <c r="I45" i="23" s="1"/>
  <c r="F44" i="23"/>
  <c r="I44" i="23" s="1"/>
  <c r="F43" i="23"/>
  <c r="I43" i="23" s="1"/>
  <c r="F42" i="23"/>
  <c r="I42" i="23" s="1"/>
  <c r="F41" i="23"/>
  <c r="I41" i="23" s="1"/>
  <c r="F35" i="23"/>
  <c r="I35" i="23" s="1"/>
  <c r="F34" i="23"/>
  <c r="I34" i="23" s="1"/>
  <c r="D32" i="23"/>
  <c r="C32" i="23"/>
  <c r="F31" i="23"/>
  <c r="I31" i="23" s="1"/>
  <c r="F30" i="23"/>
  <c r="I30" i="23" s="1"/>
  <c r="F29" i="23"/>
  <c r="I29" i="23" s="1"/>
  <c r="F28" i="23"/>
  <c r="I28" i="23" s="1"/>
  <c r="F27" i="23"/>
  <c r="I27" i="23" s="1"/>
  <c r="F26" i="23"/>
  <c r="I26" i="23" s="1"/>
  <c r="F20" i="23"/>
  <c r="I20" i="23" s="1"/>
  <c r="F19" i="23"/>
  <c r="I19" i="23" s="1"/>
  <c r="D17" i="23"/>
  <c r="C17" i="23"/>
  <c r="F16" i="23"/>
  <c r="I16" i="23" s="1"/>
  <c r="F15" i="23"/>
  <c r="I15" i="23" s="1"/>
  <c r="F14" i="23"/>
  <c r="I14" i="23" s="1"/>
  <c r="F13" i="23"/>
  <c r="I13" i="23" s="1"/>
  <c r="F12" i="23"/>
  <c r="I12" i="23" s="1"/>
  <c r="F11" i="23"/>
  <c r="I11" i="23" s="1"/>
  <c r="H7" i="23"/>
  <c r="F7" i="23"/>
  <c r="I7" i="23" s="1"/>
  <c r="H6" i="23"/>
  <c r="F6" i="23"/>
  <c r="I6" i="23" s="1"/>
  <c r="H5" i="23"/>
  <c r="F5" i="23"/>
  <c r="I5" i="23" s="1"/>
  <c r="M1" i="23"/>
  <c r="K1" i="23"/>
  <c r="D5033" i="22"/>
  <c r="C5033" i="22"/>
  <c r="F5031" i="22"/>
  <c r="D5031" i="22"/>
  <c r="I5031" i="22" s="1"/>
  <c r="C5031" i="22"/>
  <c r="I5030" i="22"/>
  <c r="A5029" i="22"/>
  <c r="C5025" i="22"/>
  <c r="F5023" i="22"/>
  <c r="I5023" i="22" s="1"/>
  <c r="F5022" i="22"/>
  <c r="I5022" i="22" s="1"/>
  <c r="D5020" i="22"/>
  <c r="C5020" i="22"/>
  <c r="F5019" i="22"/>
  <c r="I5019" i="22" s="1"/>
  <c r="D5010" i="22"/>
  <c r="I5008" i="22"/>
  <c r="F5007" i="22"/>
  <c r="I5007" i="22" s="1"/>
  <c r="F5005" i="22"/>
  <c r="I5005" i="22" s="1"/>
  <c r="F5004" i="22"/>
  <c r="I5004" i="22" s="1"/>
  <c r="F5003" i="22"/>
  <c r="I5003" i="22" s="1"/>
  <c r="F5002" i="22"/>
  <c r="I5002" i="22" s="1"/>
  <c r="I5001" i="22"/>
  <c r="F5000" i="22"/>
  <c r="I5000" i="22" s="1"/>
  <c r="D4998" i="22"/>
  <c r="C4998" i="22"/>
  <c r="F4997" i="22"/>
  <c r="I4997" i="22" s="1"/>
  <c r="F4996" i="22"/>
  <c r="I4996" i="22" s="1"/>
  <c r="H4993" i="22"/>
  <c r="D4986" i="22"/>
  <c r="F4984" i="22"/>
  <c r="I4984" i="22" s="1"/>
  <c r="F4982" i="22"/>
  <c r="I4982" i="22" s="1"/>
  <c r="F4981" i="22"/>
  <c r="I4981" i="22" s="1"/>
  <c r="F4980" i="22"/>
  <c r="I4980" i="22" s="1"/>
  <c r="F4979" i="22"/>
  <c r="I4979" i="22" s="1"/>
  <c r="D4977" i="22"/>
  <c r="C4977" i="22"/>
  <c r="F4976" i="22"/>
  <c r="I4976" i="22" s="1"/>
  <c r="F4975" i="22"/>
  <c r="I4975" i="22" s="1"/>
  <c r="H4972" i="22"/>
  <c r="D4965" i="22"/>
  <c r="D4964" i="22"/>
  <c r="D4960" i="22"/>
  <c r="F4959" i="22"/>
  <c r="I4959" i="22" s="1"/>
  <c r="D4959" i="22"/>
  <c r="D4957" i="22"/>
  <c r="C4957" i="22"/>
  <c r="F4956" i="22"/>
  <c r="I4956" i="22" s="1"/>
  <c r="I4955" i="22"/>
  <c r="I4954" i="22"/>
  <c r="H4952" i="22"/>
  <c r="D4961" i="22" s="1"/>
  <c r="I4961" i="22" s="1"/>
  <c r="D4946" i="22"/>
  <c r="C4946" i="22"/>
  <c r="F4943" i="22"/>
  <c r="I4943" i="22" s="1"/>
  <c r="F4942" i="22"/>
  <c r="I4942" i="22" s="1"/>
  <c r="D4942" i="22"/>
  <c r="F4941" i="22"/>
  <c r="F4940" i="22"/>
  <c r="D4939" i="22"/>
  <c r="D4938" i="22"/>
  <c r="D4940" i="22" s="1"/>
  <c r="D4941" i="22" s="1"/>
  <c r="D4937" i="22"/>
  <c r="D4936" i="22"/>
  <c r="D4928" i="22"/>
  <c r="C4928" i="22"/>
  <c r="D4926" i="22"/>
  <c r="C4926" i="22"/>
  <c r="H4925" i="22"/>
  <c r="I4924" i="22"/>
  <c r="H4924" i="22"/>
  <c r="D4924" i="22"/>
  <c r="D4925" i="22" s="1"/>
  <c r="I4925" i="22" s="1"/>
  <c r="H4923" i="22"/>
  <c r="F4923" i="22"/>
  <c r="I4923" i="22" s="1"/>
  <c r="D4917" i="22"/>
  <c r="C4917" i="22"/>
  <c r="D4913" i="22"/>
  <c r="C4913" i="22"/>
  <c r="H4912" i="22"/>
  <c r="F4912" i="22"/>
  <c r="I4912" i="22" s="1"/>
  <c r="H4911" i="22"/>
  <c r="F4911" i="22"/>
  <c r="I4911" i="22" s="1"/>
  <c r="I4910" i="22"/>
  <c r="H4910" i="22"/>
  <c r="D4906" i="22"/>
  <c r="C4906" i="22"/>
  <c r="H4905" i="22"/>
  <c r="F4905" i="22"/>
  <c r="I4905" i="22" s="1"/>
  <c r="H4904" i="22"/>
  <c r="F4904" i="22"/>
  <c r="I4904" i="22" s="1"/>
  <c r="H4903" i="22"/>
  <c r="F4903" i="22"/>
  <c r="I4903" i="22" s="1"/>
  <c r="D4899" i="22"/>
  <c r="C4899" i="22"/>
  <c r="F4898" i="22"/>
  <c r="I4898" i="22" s="1"/>
  <c r="F4897" i="22"/>
  <c r="I4897" i="22" s="1"/>
  <c r="F4896" i="22"/>
  <c r="I4896" i="22" s="1"/>
  <c r="F4895" i="22"/>
  <c r="I4895" i="22" s="1"/>
  <c r="I4889" i="22"/>
  <c r="H4889" i="22"/>
  <c r="D4884" i="22"/>
  <c r="C4884" i="22"/>
  <c r="I4883" i="22"/>
  <c r="H4883" i="22"/>
  <c r="D4878" i="22"/>
  <c r="C4878" i="22"/>
  <c r="I4877" i="22"/>
  <c r="H4877" i="22"/>
  <c r="F4871" i="22"/>
  <c r="D4871" i="22"/>
  <c r="C4871" i="22"/>
  <c r="I4870" i="22"/>
  <c r="H4870" i="22"/>
  <c r="D4865" i="22"/>
  <c r="I4865" i="22" s="1"/>
  <c r="I4866" i="22" s="1"/>
  <c r="I4867" i="22" s="1"/>
  <c r="C4865" i="22"/>
  <c r="I4864" i="22"/>
  <c r="F4865" i="22" s="1"/>
  <c r="H4864" i="22"/>
  <c r="F4858" i="22"/>
  <c r="D4858" i="22"/>
  <c r="I4858" i="22" s="1"/>
  <c r="I4859" i="22" s="1"/>
  <c r="I4860" i="22" s="1"/>
  <c r="C4858" i="22"/>
  <c r="I4857" i="22"/>
  <c r="H4857" i="22"/>
  <c r="F4852" i="22"/>
  <c r="D4852" i="22"/>
  <c r="I4852" i="22" s="1"/>
  <c r="C4852" i="22"/>
  <c r="I4851" i="22"/>
  <c r="H4851" i="22"/>
  <c r="F4849" i="22"/>
  <c r="D4849" i="22"/>
  <c r="C4849" i="22"/>
  <c r="I4848" i="22"/>
  <c r="H4848" i="22"/>
  <c r="I4845" i="22"/>
  <c r="D4837" i="22"/>
  <c r="C4837" i="22"/>
  <c r="D4835" i="22"/>
  <c r="C4835" i="22"/>
  <c r="H4834" i="22"/>
  <c r="I4833" i="22"/>
  <c r="F4835" i="22" s="1"/>
  <c r="H4833" i="22"/>
  <c r="D4833" i="22"/>
  <c r="D4834" i="22" s="1"/>
  <c r="I4834" i="22" s="1"/>
  <c r="H4832" i="22"/>
  <c r="F4832" i="22"/>
  <c r="I4832" i="22" s="1"/>
  <c r="D4827" i="22"/>
  <c r="C4827" i="22"/>
  <c r="I4823" i="22"/>
  <c r="F4822" i="22"/>
  <c r="I4822" i="22" s="1"/>
  <c r="I4821" i="22"/>
  <c r="I4820" i="22"/>
  <c r="I4819" i="22"/>
  <c r="I4818" i="22"/>
  <c r="F4817" i="22"/>
  <c r="I4817" i="22" s="1"/>
  <c r="I4815" i="22"/>
  <c r="F4814" i="22"/>
  <c r="I4814" i="22" s="1"/>
  <c r="F4813" i="22"/>
  <c r="I4813" i="22" s="1"/>
  <c r="I4810" i="22"/>
  <c r="F4809" i="22"/>
  <c r="I4809" i="22" s="1"/>
  <c r="D4808" i="22"/>
  <c r="C4808" i="22"/>
  <c r="I4807" i="22"/>
  <c r="F4808" i="22" s="1"/>
  <c r="I4806" i="22"/>
  <c r="F4806" i="22"/>
  <c r="F4805" i="22"/>
  <c r="D4805" i="22"/>
  <c r="C4805" i="22"/>
  <c r="I4804" i="22"/>
  <c r="I4803" i="22"/>
  <c r="F4803" i="22"/>
  <c r="D4802" i="22"/>
  <c r="C4802" i="22"/>
  <c r="I4801" i="22"/>
  <c r="F4802" i="22" s="1"/>
  <c r="I4800" i="22"/>
  <c r="D4799" i="22"/>
  <c r="C4799" i="22"/>
  <c r="F4798" i="22"/>
  <c r="I4798" i="22" s="1"/>
  <c r="F4799" i="22" s="1"/>
  <c r="I4797" i="22"/>
  <c r="F4797" i="22"/>
  <c r="D4796" i="22"/>
  <c r="C4796" i="22"/>
  <c r="F4795" i="22"/>
  <c r="I4795" i="22" s="1"/>
  <c r="F4796" i="22" s="1"/>
  <c r="F4794" i="22"/>
  <c r="I4794" i="22" s="1"/>
  <c r="D4792" i="22"/>
  <c r="C4792" i="22"/>
  <c r="F4791" i="22"/>
  <c r="I4791" i="22" s="1"/>
  <c r="F4790" i="22"/>
  <c r="I4790" i="22" s="1"/>
  <c r="I4789" i="22"/>
  <c r="F4788" i="22"/>
  <c r="I4788" i="22" s="1"/>
  <c r="F4787" i="22"/>
  <c r="I4787" i="22" s="1"/>
  <c r="F4786" i="22"/>
  <c r="I4786" i="22" s="1"/>
  <c r="F4785" i="22"/>
  <c r="I4785" i="22" s="1"/>
  <c r="D4775" i="22"/>
  <c r="D4772" i="22"/>
  <c r="I4769" i="22"/>
  <c r="I4767" i="22"/>
  <c r="F4767" i="22"/>
  <c r="I4765" i="22"/>
  <c r="F4765" i="22"/>
  <c r="F4762" i="22"/>
  <c r="I4762" i="22" s="1"/>
  <c r="F4761" i="22"/>
  <c r="I4761" i="22" s="1"/>
  <c r="D4761" i="22"/>
  <c r="F4760" i="22"/>
  <c r="I4760" i="22" s="1"/>
  <c r="F4759" i="22"/>
  <c r="I4759" i="22" s="1"/>
  <c r="F4758" i="22"/>
  <c r="I4758" i="22" s="1"/>
  <c r="F4757" i="22"/>
  <c r="I4757" i="22" s="1"/>
  <c r="D4754" i="22"/>
  <c r="C4754" i="22"/>
  <c r="F4753" i="22"/>
  <c r="I4753" i="22" s="1"/>
  <c r="F4752" i="22"/>
  <c r="I4752" i="22" s="1"/>
  <c r="F4751" i="22"/>
  <c r="I4751" i="22" s="1"/>
  <c r="H4748" i="22"/>
  <c r="D4742" i="22"/>
  <c r="D4739" i="22"/>
  <c r="F4736" i="22"/>
  <c r="I4736" i="22" s="1"/>
  <c r="I4734" i="22"/>
  <c r="F4734" i="22"/>
  <c r="F4732" i="22"/>
  <c r="I4732" i="22" s="1"/>
  <c r="F4729" i="22"/>
  <c r="I4729" i="22" s="1"/>
  <c r="F4728" i="22"/>
  <c r="I4728" i="22" s="1"/>
  <c r="D4728" i="22"/>
  <c r="F4727" i="22"/>
  <c r="I4727" i="22" s="1"/>
  <c r="F4726" i="22"/>
  <c r="I4726" i="22" s="1"/>
  <c r="F4725" i="22"/>
  <c r="I4725" i="22" s="1"/>
  <c r="F4724" i="22"/>
  <c r="I4724" i="22" s="1"/>
  <c r="D4721" i="22"/>
  <c r="C4721" i="22"/>
  <c r="F4720" i="22"/>
  <c r="I4720" i="22" s="1"/>
  <c r="F4719" i="22"/>
  <c r="I4719" i="22" s="1"/>
  <c r="F4718" i="22"/>
  <c r="I4718" i="22" s="1"/>
  <c r="H4715" i="22"/>
  <c r="D4707" i="22"/>
  <c r="C4707" i="22"/>
  <c r="C4705" i="22"/>
  <c r="D4704" i="22"/>
  <c r="D4705" i="22" s="1"/>
  <c r="D4703" i="22"/>
  <c r="D4699" i="22"/>
  <c r="C4699" i="22"/>
  <c r="H4698" i="22"/>
  <c r="F4698" i="22"/>
  <c r="I4698" i="22" s="1"/>
  <c r="H4697" i="22"/>
  <c r="F4697" i="22"/>
  <c r="I4697" i="22" s="1"/>
  <c r="D4695" i="22"/>
  <c r="C4695" i="22"/>
  <c r="F4694" i="22"/>
  <c r="I4694" i="22" s="1"/>
  <c r="F4693" i="22"/>
  <c r="I4693" i="22" s="1"/>
  <c r="H4692" i="22"/>
  <c r="F4692" i="22"/>
  <c r="I4692" i="22" s="1"/>
  <c r="H4691" i="22"/>
  <c r="F4691" i="22"/>
  <c r="I4691" i="22" s="1"/>
  <c r="H4689" i="22"/>
  <c r="F4689" i="22"/>
  <c r="I4689" i="22" s="1"/>
  <c r="H4688" i="22"/>
  <c r="F4688" i="22"/>
  <c r="I4688" i="22" s="1"/>
  <c r="H4687" i="22"/>
  <c r="F4687" i="22"/>
  <c r="D4687" i="22"/>
  <c r="H4686" i="22"/>
  <c r="D4677" i="22"/>
  <c r="C4677" i="22"/>
  <c r="F4673" i="22"/>
  <c r="I4673" i="22" s="1"/>
  <c r="F4672" i="22"/>
  <c r="I4672" i="22" s="1"/>
  <c r="F4670" i="22"/>
  <c r="I4670" i="22" s="1"/>
  <c r="F4666" i="22"/>
  <c r="I4666" i="22" s="1"/>
  <c r="F4665" i="22"/>
  <c r="I4665" i="22" s="1"/>
  <c r="F4664" i="22"/>
  <c r="I4664" i="22" s="1"/>
  <c r="F4663" i="22"/>
  <c r="I4663" i="22" s="1"/>
  <c r="D4660" i="22"/>
  <c r="C4660" i="22"/>
  <c r="F4659" i="22"/>
  <c r="I4659" i="22" s="1"/>
  <c r="F4658" i="22"/>
  <c r="I4658" i="22" s="1"/>
  <c r="F4657" i="22"/>
  <c r="I4657" i="22" s="1"/>
  <c r="H4654" i="22"/>
  <c r="D4649" i="22"/>
  <c r="C4649" i="22"/>
  <c r="F4646" i="22"/>
  <c r="I4646" i="22" s="1"/>
  <c r="I4645" i="22"/>
  <c r="F4645" i="22"/>
  <c r="F4642" i="22"/>
  <c r="I4642" i="22" s="1"/>
  <c r="F4641" i="22"/>
  <c r="I4641" i="22" s="1"/>
  <c r="F4640" i="22"/>
  <c r="I4640" i="22" s="1"/>
  <c r="F4639" i="22"/>
  <c r="I4639" i="22" s="1"/>
  <c r="D4637" i="22"/>
  <c r="C4637" i="22"/>
  <c r="F4636" i="22"/>
  <c r="I4636" i="22" s="1"/>
  <c r="F4635" i="22"/>
  <c r="I4635" i="22" s="1"/>
  <c r="I4634" i="22"/>
  <c r="H4631" i="22"/>
  <c r="D4624" i="22"/>
  <c r="C4624" i="22"/>
  <c r="D4622" i="22"/>
  <c r="C4622" i="22"/>
  <c r="H4621" i="22"/>
  <c r="D4621" i="22"/>
  <c r="H4620" i="22"/>
  <c r="D4620" i="22"/>
  <c r="H4619" i="22"/>
  <c r="F4619" i="22"/>
  <c r="I4619" i="22" s="1"/>
  <c r="D4615" i="22"/>
  <c r="C4615" i="22"/>
  <c r="D4613" i="22"/>
  <c r="C4613" i="22"/>
  <c r="H4612" i="22"/>
  <c r="F4612" i="22"/>
  <c r="H4611" i="22"/>
  <c r="F4611" i="22"/>
  <c r="D4611" i="22"/>
  <c r="I4610" i="22"/>
  <c r="H4610" i="22"/>
  <c r="D4606" i="22"/>
  <c r="C4606" i="22"/>
  <c r="D4604" i="22"/>
  <c r="C4604" i="22"/>
  <c r="H4603" i="22"/>
  <c r="F4603" i="22"/>
  <c r="H4602" i="22"/>
  <c r="F4602" i="22"/>
  <c r="D4602" i="22"/>
  <c r="H4601" i="22"/>
  <c r="F4601" i="22"/>
  <c r="I4601" i="22" s="1"/>
  <c r="D4594" i="22"/>
  <c r="C4594" i="22"/>
  <c r="D4592" i="22"/>
  <c r="C4592" i="22"/>
  <c r="I4591" i="22"/>
  <c r="H4591" i="22"/>
  <c r="F4591" i="22"/>
  <c r="F4621" i="22" s="1"/>
  <c r="H4590" i="22"/>
  <c r="F4590" i="22"/>
  <c r="F4620" i="22" s="1"/>
  <c r="I4620" i="22" s="1"/>
  <c r="D4590" i="22"/>
  <c r="D4591" i="22" s="1"/>
  <c r="H4589" i="22"/>
  <c r="F4589" i="22"/>
  <c r="I4589" i="22" s="1"/>
  <c r="D4583" i="22"/>
  <c r="C4583" i="22"/>
  <c r="I4581" i="22"/>
  <c r="I4582" i="22" s="1"/>
  <c r="H4581" i="22"/>
  <c r="D4577" i="22"/>
  <c r="C4577" i="22"/>
  <c r="I4575" i="22"/>
  <c r="I4576" i="22" s="1"/>
  <c r="H4575" i="22"/>
  <c r="D4569" i="22"/>
  <c r="C4569" i="22"/>
  <c r="I4565" i="22"/>
  <c r="F4564" i="22"/>
  <c r="I4564" i="22" s="1"/>
  <c r="F4563" i="22"/>
  <c r="I4563" i="22" s="1"/>
  <c r="F4562" i="22"/>
  <c r="I4562" i="22" s="1"/>
  <c r="F4558" i="22"/>
  <c r="I4558" i="22" s="1"/>
  <c r="D4557" i="22"/>
  <c r="C4557" i="22"/>
  <c r="F4556" i="22"/>
  <c r="D4556" i="22"/>
  <c r="F4555" i="22"/>
  <c r="I4555" i="22" s="1"/>
  <c r="D4554" i="22"/>
  <c r="C4554" i="22"/>
  <c r="F4553" i="22"/>
  <c r="I4553" i="22" s="1"/>
  <c r="F4554" i="22" s="1"/>
  <c r="D4553" i="22"/>
  <c r="F4552" i="22"/>
  <c r="I4552" i="22" s="1"/>
  <c r="I4551" i="22"/>
  <c r="D4550" i="22"/>
  <c r="C4550" i="22"/>
  <c r="F4548" i="22"/>
  <c r="F4549" i="22" s="1"/>
  <c r="I4549" i="22" s="1"/>
  <c r="F4547" i="22"/>
  <c r="I4547" i="22" s="1"/>
  <c r="F4546" i="22"/>
  <c r="I4546" i="22" s="1"/>
  <c r="F4535" i="22"/>
  <c r="I4535" i="22" s="1"/>
  <c r="D4533" i="22"/>
  <c r="C4533" i="22"/>
  <c r="F4532" i="22"/>
  <c r="I4532" i="22" s="1"/>
  <c r="F4531" i="22"/>
  <c r="D4531" i="22"/>
  <c r="D4532" i="22" s="1"/>
  <c r="F4530" i="22"/>
  <c r="I4530" i="22" s="1"/>
  <c r="F4529" i="22"/>
  <c r="I4529" i="22" s="1"/>
  <c r="F4528" i="22"/>
  <c r="I4528" i="22" s="1"/>
  <c r="D4524" i="22"/>
  <c r="D4518" i="22"/>
  <c r="C4518" i="22"/>
  <c r="D4515" i="22"/>
  <c r="C4515" i="22"/>
  <c r="F4514" i="22"/>
  <c r="F4513" i="22"/>
  <c r="I4510" i="22"/>
  <c r="F4509" i="22"/>
  <c r="I4509" i="22" s="1"/>
  <c r="F4507" i="22"/>
  <c r="F4506" i="22"/>
  <c r="F4505" i="22"/>
  <c r="H4503" i="22"/>
  <c r="D4508" i="22" s="1"/>
  <c r="I4508" i="22" s="1"/>
  <c r="H4502" i="22"/>
  <c r="H4500" i="22"/>
  <c r="D4507" i="22" s="1"/>
  <c r="H4499" i="22"/>
  <c r="D4506" i="22" s="1"/>
  <c r="H4498" i="22"/>
  <c r="H4501" i="22" s="1"/>
  <c r="D4492" i="22"/>
  <c r="C4492" i="22"/>
  <c r="D4488" i="22"/>
  <c r="C4488" i="22"/>
  <c r="F4487" i="22"/>
  <c r="F4486" i="22"/>
  <c r="I4482" i="22"/>
  <c r="I4481" i="22"/>
  <c r="I4480" i="22"/>
  <c r="I4479" i="22"/>
  <c r="D4479" i="22"/>
  <c r="F4478" i="22"/>
  <c r="F4477" i="22"/>
  <c r="F4476" i="22"/>
  <c r="H4472" i="22"/>
  <c r="D4478" i="22" s="1"/>
  <c r="H4471" i="22"/>
  <c r="D4477" i="22" s="1"/>
  <c r="H4470" i="22"/>
  <c r="D4466" i="22"/>
  <c r="C4466" i="22"/>
  <c r="I4465" i="22"/>
  <c r="I4464" i="22"/>
  <c r="H4464" i="22"/>
  <c r="D4459" i="22"/>
  <c r="C4459" i="22"/>
  <c r="H4457" i="22"/>
  <c r="F4457" i="22"/>
  <c r="I4457" i="22" s="1"/>
  <c r="I4458" i="22" s="1"/>
  <c r="D4452" i="22"/>
  <c r="C4452" i="22"/>
  <c r="D4449" i="22"/>
  <c r="C4449" i="22"/>
  <c r="F4448" i="22"/>
  <c r="I4448" i="22" s="1"/>
  <c r="F4447" i="22"/>
  <c r="I4447" i="22" s="1"/>
  <c r="F4444" i="22"/>
  <c r="I4444" i="22" s="1"/>
  <c r="F4443" i="22"/>
  <c r="I4443" i="22" s="1"/>
  <c r="F4442" i="22"/>
  <c r="I4442" i="22" s="1"/>
  <c r="F4441" i="22"/>
  <c r="I4441" i="22" s="1"/>
  <c r="F4440" i="22"/>
  <c r="I4440" i="22" s="1"/>
  <c r="D4433" i="22"/>
  <c r="C4433" i="22"/>
  <c r="D4430" i="22"/>
  <c r="C4430" i="22"/>
  <c r="F4429" i="22"/>
  <c r="I4429" i="22" s="1"/>
  <c r="F4428" i="22"/>
  <c r="I4428" i="22" s="1"/>
  <c r="F4427" i="22"/>
  <c r="I4427" i="22" s="1"/>
  <c r="F4425" i="22"/>
  <c r="I4425" i="22" s="1"/>
  <c r="F4424" i="22"/>
  <c r="I4424" i="22" s="1"/>
  <c r="F4423" i="22"/>
  <c r="I4423" i="22" s="1"/>
  <c r="F4421" i="22"/>
  <c r="I4421" i="22" s="1"/>
  <c r="F4420" i="22"/>
  <c r="I4420" i="22" s="1"/>
  <c r="F4417" i="22"/>
  <c r="I4417" i="22" s="1"/>
  <c r="F4416" i="22"/>
  <c r="I4416" i="22" s="1"/>
  <c r="F4415" i="22"/>
  <c r="I4415" i="22" s="1"/>
  <c r="F4414" i="22"/>
  <c r="I4414" i="22" s="1"/>
  <c r="F4413" i="22"/>
  <c r="I4413" i="22" s="1"/>
  <c r="F4412" i="22"/>
  <c r="I4412" i="22" s="1"/>
  <c r="F4411" i="22"/>
  <c r="I4411" i="22" s="1"/>
  <c r="D4404" i="22"/>
  <c r="C4404" i="22"/>
  <c r="D4402" i="22"/>
  <c r="C4402" i="22"/>
  <c r="F4401" i="22"/>
  <c r="D4401" i="22"/>
  <c r="H4400" i="22"/>
  <c r="F4400" i="22"/>
  <c r="D4400" i="22"/>
  <c r="H4399" i="22"/>
  <c r="F4399" i="22"/>
  <c r="I4399" i="22" s="1"/>
  <c r="D4394" i="22"/>
  <c r="C4394" i="22"/>
  <c r="F4390" i="22"/>
  <c r="I4390" i="22" s="1"/>
  <c r="F4389" i="22"/>
  <c r="I4389" i="22" s="1"/>
  <c r="D4387" i="22"/>
  <c r="C4387" i="22"/>
  <c r="F4386" i="22"/>
  <c r="I4386" i="22" s="1"/>
  <c r="F4384" i="22"/>
  <c r="F4383" i="22"/>
  <c r="I4383" i="22" s="1"/>
  <c r="F4382" i="22"/>
  <c r="I4382" i="22" s="1"/>
  <c r="F4380" i="22"/>
  <c r="I4380" i="22" s="1"/>
  <c r="F4379" i="22"/>
  <c r="I4379" i="22" s="1"/>
  <c r="F4378" i="22"/>
  <c r="I4378" i="22" s="1"/>
  <c r="F4377" i="22"/>
  <c r="I4377" i="22" s="1"/>
  <c r="F4376" i="22"/>
  <c r="I4376" i="22" s="1"/>
  <c r="D4368" i="22"/>
  <c r="C4368" i="22"/>
  <c r="F4364" i="22"/>
  <c r="I4364" i="22" s="1"/>
  <c r="F4363" i="22"/>
  <c r="I4363" i="22" s="1"/>
  <c r="D4361" i="22"/>
  <c r="C4361" i="22"/>
  <c r="F4360" i="22"/>
  <c r="I4360" i="22" s="1"/>
  <c r="F4359" i="22"/>
  <c r="I4359" i="22" s="1"/>
  <c r="F4358" i="22"/>
  <c r="I4358" i="22" s="1"/>
  <c r="F4357" i="22"/>
  <c r="I4357" i="22" s="1"/>
  <c r="F4356" i="22"/>
  <c r="I4356" i="22" s="1"/>
  <c r="F4355" i="22"/>
  <c r="I4355" i="22" s="1"/>
  <c r="F4354" i="22"/>
  <c r="I4354" i="22" s="1"/>
  <c r="F4352" i="22"/>
  <c r="I4352" i="22" s="1"/>
  <c r="F4351" i="22"/>
  <c r="I4351" i="22" s="1"/>
  <c r="F4350" i="22"/>
  <c r="I4350" i="22" s="1"/>
  <c r="F4349" i="22"/>
  <c r="I4349" i="22" s="1"/>
  <c r="F4348" i="22"/>
  <c r="I4348" i="22" s="1"/>
  <c r="I4347" i="22"/>
  <c r="D4339" i="22"/>
  <c r="C4339" i="22"/>
  <c r="F4335" i="22"/>
  <c r="I4335" i="22" s="1"/>
  <c r="F4334" i="22"/>
  <c r="I4334" i="22" s="1"/>
  <c r="D4332" i="22"/>
  <c r="C4332" i="22"/>
  <c r="F4331" i="22"/>
  <c r="I4331" i="22" s="1"/>
  <c r="F4330" i="22"/>
  <c r="I4330" i="22" s="1"/>
  <c r="F4329" i="22"/>
  <c r="I4329" i="22" s="1"/>
  <c r="F4328" i="22"/>
  <c r="I4328" i="22" s="1"/>
  <c r="F4327" i="22"/>
  <c r="I4327" i="22" s="1"/>
  <c r="F4326" i="22"/>
  <c r="I4326" i="22" s="1"/>
  <c r="F4325" i="22"/>
  <c r="I4325" i="22" s="1"/>
  <c r="F4323" i="22"/>
  <c r="I4323" i="22" s="1"/>
  <c r="F4322" i="22"/>
  <c r="I4322" i="22" s="1"/>
  <c r="F4321" i="22"/>
  <c r="I4321" i="22" s="1"/>
  <c r="C4321" i="22"/>
  <c r="F4320" i="22"/>
  <c r="I4320" i="22" s="1"/>
  <c r="C4320" i="22"/>
  <c r="F4319" i="22"/>
  <c r="I4319" i="22" s="1"/>
  <c r="F4318" i="22"/>
  <c r="I4318" i="22" s="1"/>
  <c r="F4317" i="22"/>
  <c r="I4317" i="22" s="1"/>
  <c r="F4316" i="22"/>
  <c r="I4316" i="22" s="1"/>
  <c r="D4307" i="22"/>
  <c r="C4307" i="22"/>
  <c r="F4303" i="22"/>
  <c r="I4303" i="22" s="1"/>
  <c r="F4302" i="22"/>
  <c r="I4302" i="22" s="1"/>
  <c r="D4300" i="22"/>
  <c r="C4300" i="22"/>
  <c r="F4299" i="22"/>
  <c r="I4299" i="22" s="1"/>
  <c r="F4298" i="22"/>
  <c r="I4298" i="22" s="1"/>
  <c r="F4297" i="22"/>
  <c r="I4297" i="22" s="1"/>
  <c r="F4296" i="22"/>
  <c r="I4296" i="22" s="1"/>
  <c r="F4295" i="22"/>
  <c r="I4295" i="22" s="1"/>
  <c r="F4294" i="22"/>
  <c r="I4294" i="22" s="1"/>
  <c r="F4293" i="22"/>
  <c r="I4293" i="22" s="1"/>
  <c r="F4291" i="22"/>
  <c r="I4291" i="22" s="1"/>
  <c r="F4290" i="22"/>
  <c r="I4290" i="22" s="1"/>
  <c r="F4289" i="22"/>
  <c r="I4289" i="22" s="1"/>
  <c r="F4288" i="22"/>
  <c r="I4288" i="22" s="1"/>
  <c r="F4287" i="22"/>
  <c r="I4287" i="22" s="1"/>
  <c r="F4286" i="22"/>
  <c r="I4286" i="22" s="1"/>
  <c r="F4285" i="22"/>
  <c r="I4285" i="22" s="1"/>
  <c r="F4284" i="22"/>
  <c r="I4284" i="22" s="1"/>
  <c r="F4283" i="22"/>
  <c r="I4283" i="22" s="1"/>
  <c r="F4282" i="22"/>
  <c r="I4282" i="22" s="1"/>
  <c r="F4281" i="22"/>
  <c r="I4281" i="22" s="1"/>
  <c r="F4280" i="22"/>
  <c r="I4280" i="22" s="1"/>
  <c r="D4272" i="22"/>
  <c r="C4272" i="22"/>
  <c r="F4268" i="22"/>
  <c r="I4268" i="22" s="1"/>
  <c r="F4267" i="22"/>
  <c r="I4267" i="22" s="1"/>
  <c r="D4265" i="22"/>
  <c r="C4265" i="22"/>
  <c r="F4264" i="22"/>
  <c r="I4264" i="22" s="1"/>
  <c r="F4263" i="22"/>
  <c r="I4263" i="22" s="1"/>
  <c r="F4262" i="22"/>
  <c r="I4262" i="22" s="1"/>
  <c r="F4261" i="22"/>
  <c r="I4261" i="22" s="1"/>
  <c r="F4260" i="22"/>
  <c r="I4260" i="22" s="1"/>
  <c r="F4259" i="22"/>
  <c r="I4259" i="22" s="1"/>
  <c r="F4258" i="22"/>
  <c r="I4258" i="22" s="1"/>
  <c r="F4256" i="22"/>
  <c r="I4256" i="22" s="1"/>
  <c r="F4255" i="22"/>
  <c r="I4255" i="22" s="1"/>
  <c r="F4254" i="22"/>
  <c r="I4254" i="22" s="1"/>
  <c r="F4253" i="22"/>
  <c r="I4253" i="22" s="1"/>
  <c r="F4252" i="22"/>
  <c r="I4252" i="22" s="1"/>
  <c r="F4251" i="22"/>
  <c r="I4251" i="22" s="1"/>
  <c r="F4244" i="22"/>
  <c r="D4244" i="22"/>
  <c r="C4244" i="22"/>
  <c r="I4243" i="22"/>
  <c r="D4240" i="22"/>
  <c r="C4240" i="22"/>
  <c r="F4239" i="22"/>
  <c r="I4239" i="22" s="1"/>
  <c r="D4234" i="22"/>
  <c r="C4234" i="22"/>
  <c r="F4233" i="22"/>
  <c r="I4233" i="22" s="1"/>
  <c r="F4234" i="22" s="1"/>
  <c r="D4227" i="22"/>
  <c r="C4227" i="22"/>
  <c r="F4226" i="22"/>
  <c r="I4226" i="22" s="1"/>
  <c r="F4227" i="22" s="1"/>
  <c r="D4220" i="22"/>
  <c r="C4220" i="22"/>
  <c r="F4219" i="22"/>
  <c r="I4219" i="22" s="1"/>
  <c r="F4220" i="22" s="1"/>
  <c r="D4213" i="22"/>
  <c r="C4213" i="22"/>
  <c r="F4212" i="22"/>
  <c r="I4212" i="22" s="1"/>
  <c r="F4213" i="22" s="1"/>
  <c r="D4207" i="22"/>
  <c r="C4207" i="22"/>
  <c r="F4206" i="22"/>
  <c r="I4206" i="22" s="1"/>
  <c r="F4207" i="22" s="1"/>
  <c r="D4201" i="22"/>
  <c r="C4201" i="22"/>
  <c r="F4198" i="22"/>
  <c r="I4198" i="22" s="1"/>
  <c r="F4197" i="22"/>
  <c r="I4197" i="22" s="1"/>
  <c r="D4192" i="22"/>
  <c r="C4192" i="22"/>
  <c r="F4191" i="22"/>
  <c r="I4191" i="22" s="1"/>
  <c r="D4186" i="22"/>
  <c r="C4186" i="22"/>
  <c r="F4185" i="22"/>
  <c r="I4185" i="22" s="1"/>
  <c r="F4186" i="22" s="1"/>
  <c r="D4180" i="22"/>
  <c r="C4180" i="22"/>
  <c r="F4179" i="22"/>
  <c r="I4179" i="22" s="1"/>
  <c r="F4180" i="22" s="1"/>
  <c r="D4174" i="22"/>
  <c r="C4174" i="22"/>
  <c r="F4173" i="22"/>
  <c r="I4173" i="22" s="1"/>
  <c r="D4168" i="22"/>
  <c r="C4168" i="22"/>
  <c r="D4165" i="22"/>
  <c r="C4165" i="22"/>
  <c r="H4164" i="22"/>
  <c r="F4164" i="22"/>
  <c r="I4164" i="22" s="1"/>
  <c r="H4163" i="22"/>
  <c r="F4163" i="22"/>
  <c r="I4163" i="22" s="1"/>
  <c r="H4162" i="22"/>
  <c r="F4162" i="22"/>
  <c r="I4162" i="22" s="1"/>
  <c r="H4160" i="22"/>
  <c r="F4160" i="22"/>
  <c r="I4160" i="22" s="1"/>
  <c r="H4159" i="22"/>
  <c r="F4159" i="22"/>
  <c r="I4159" i="22" s="1"/>
  <c r="D4151" i="22"/>
  <c r="C4151" i="22"/>
  <c r="D4148" i="22"/>
  <c r="C4148" i="22"/>
  <c r="H4147" i="22"/>
  <c r="F4147" i="22"/>
  <c r="I4147" i="22" s="1"/>
  <c r="H4146" i="22"/>
  <c r="F4146" i="22"/>
  <c r="I4146" i="22" s="1"/>
  <c r="H4145" i="22"/>
  <c r="F4145" i="22"/>
  <c r="I4145" i="22" s="1"/>
  <c r="H4143" i="22"/>
  <c r="F4143" i="22"/>
  <c r="I4143" i="22" s="1"/>
  <c r="H4142" i="22"/>
  <c r="F4142" i="22"/>
  <c r="I4142" i="22" s="1"/>
  <c r="D4133" i="22"/>
  <c r="C4133" i="22"/>
  <c r="D4130" i="22"/>
  <c r="C4130" i="22"/>
  <c r="H4129" i="22"/>
  <c r="F4129" i="22"/>
  <c r="I4129" i="22" s="1"/>
  <c r="H4128" i="22"/>
  <c r="F4128" i="22"/>
  <c r="I4128" i="22" s="1"/>
  <c r="H4126" i="22"/>
  <c r="F4126" i="22"/>
  <c r="I4126" i="22" s="1"/>
  <c r="H4125" i="22"/>
  <c r="F4125" i="22"/>
  <c r="I4125" i="22" s="1"/>
  <c r="D4117" i="22"/>
  <c r="C4117" i="22"/>
  <c r="D4114" i="22"/>
  <c r="C4114" i="22"/>
  <c r="H4113" i="22"/>
  <c r="F4113" i="22"/>
  <c r="I4113" i="22" s="1"/>
  <c r="H4112" i="22"/>
  <c r="F4112" i="22"/>
  <c r="I4112" i="22" s="1"/>
  <c r="H4110" i="22"/>
  <c r="F4110" i="22"/>
  <c r="I4110" i="22" s="1"/>
  <c r="A4106" i="22"/>
  <c r="A4122" i="22" s="1"/>
  <c r="D4100" i="22"/>
  <c r="C4100" i="22"/>
  <c r="D4097" i="22"/>
  <c r="C4097" i="22"/>
  <c r="H4096" i="22"/>
  <c r="F4096" i="22"/>
  <c r="I4096" i="22" s="1"/>
  <c r="H4095" i="22"/>
  <c r="F4095" i="22"/>
  <c r="I4095" i="22" s="1"/>
  <c r="H4093" i="22"/>
  <c r="F4093" i="22"/>
  <c r="I4093" i="22" s="1"/>
  <c r="H4092" i="22"/>
  <c r="F4092" i="22"/>
  <c r="I4092" i="22" s="1"/>
  <c r="H4089" i="22"/>
  <c r="F4089" i="22"/>
  <c r="I4089" i="22" s="1"/>
  <c r="H4088" i="22"/>
  <c r="F4088" i="22"/>
  <c r="I4088" i="22" s="1"/>
  <c r="A4084" i="22"/>
  <c r="A4138" i="22" s="1"/>
  <c r="D4079" i="22"/>
  <c r="C4079" i="22"/>
  <c r="D4076" i="22"/>
  <c r="C4076" i="22"/>
  <c r="H4075" i="22"/>
  <c r="F4075" i="22"/>
  <c r="I4075" i="22" s="1"/>
  <c r="H4074" i="22"/>
  <c r="F4074" i="22"/>
  <c r="I4074" i="22" s="1"/>
  <c r="H4072" i="22"/>
  <c r="F4072" i="22"/>
  <c r="I4072" i="22" s="1"/>
  <c r="D4063" i="22"/>
  <c r="C4063" i="22"/>
  <c r="D4060" i="22"/>
  <c r="C4060" i="22"/>
  <c r="H4059" i="22"/>
  <c r="F4059" i="22"/>
  <c r="I4059" i="22" s="1"/>
  <c r="H4058" i="22"/>
  <c r="F4058" i="22"/>
  <c r="I4058" i="22" s="1"/>
  <c r="H4056" i="22"/>
  <c r="F4056" i="22"/>
  <c r="I4056" i="22" s="1"/>
  <c r="D4047" i="22"/>
  <c r="C4047" i="22"/>
  <c r="D4044" i="22"/>
  <c r="C4044" i="22"/>
  <c r="H4043" i="22"/>
  <c r="F4043" i="22"/>
  <c r="I4043" i="22" s="1"/>
  <c r="H4042" i="22"/>
  <c r="F4042" i="22"/>
  <c r="I4042" i="22" s="1"/>
  <c r="H4041" i="22"/>
  <c r="F4041" i="22"/>
  <c r="I4041" i="22" s="1"/>
  <c r="D4034" i="22"/>
  <c r="C4034" i="22"/>
  <c r="D4031" i="22"/>
  <c r="C4031" i="22"/>
  <c r="H4030" i="22"/>
  <c r="F4030" i="22"/>
  <c r="I4030" i="22" s="1"/>
  <c r="H4029" i="22"/>
  <c r="F4029" i="22"/>
  <c r="I4029" i="22" s="1"/>
  <c r="H4028" i="22"/>
  <c r="F4028" i="22"/>
  <c r="I4028" i="22" s="1"/>
  <c r="H4026" i="22"/>
  <c r="F4026" i="22"/>
  <c r="I4026" i="22" s="1"/>
  <c r="H4025" i="22"/>
  <c r="F4025" i="22"/>
  <c r="I4025" i="22" s="1"/>
  <c r="H4024" i="22"/>
  <c r="F4024" i="22"/>
  <c r="I4024" i="22" s="1"/>
  <c r="F4022" i="22"/>
  <c r="I4022" i="22" s="1"/>
  <c r="A4020" i="22"/>
  <c r="A4039" i="22" s="1"/>
  <c r="A4052" i="22" s="1"/>
  <c r="D4015" i="22"/>
  <c r="C4015" i="22"/>
  <c r="D4013" i="22"/>
  <c r="C4013" i="22"/>
  <c r="F4012" i="22"/>
  <c r="I4012" i="22" s="1"/>
  <c r="F4013" i="22" s="1"/>
  <c r="F4011" i="22"/>
  <c r="I4011" i="22" s="1"/>
  <c r="D4009" i="22"/>
  <c r="C4009" i="22"/>
  <c r="H4008" i="22"/>
  <c r="F4008" i="22"/>
  <c r="I4008" i="22" s="1"/>
  <c r="H4007" i="22"/>
  <c r="F4007" i="22"/>
  <c r="I4007" i="22" s="1"/>
  <c r="H4006" i="22"/>
  <c r="F4006" i="22"/>
  <c r="I4006" i="22" s="1"/>
  <c r="H4005" i="22"/>
  <c r="F4005" i="22"/>
  <c r="I4005" i="22" s="1"/>
  <c r="H4004" i="22"/>
  <c r="F4004" i="22"/>
  <c r="I4004" i="22" s="1"/>
  <c r="H4003" i="22"/>
  <c r="F4003" i="22"/>
  <c r="I4003" i="22" s="1"/>
  <c r="H4002" i="22"/>
  <c r="F4002" i="22"/>
  <c r="I4002" i="22" s="1"/>
  <c r="A3998" i="22"/>
  <c r="D3993" i="22"/>
  <c r="C3993" i="22"/>
  <c r="D3990" i="22"/>
  <c r="C3990" i="22"/>
  <c r="H3989" i="22"/>
  <c r="F3989" i="22"/>
  <c r="I3989" i="22" s="1"/>
  <c r="H3988" i="22"/>
  <c r="F3988" i="22"/>
  <c r="I3988" i="22" s="1"/>
  <c r="H3987" i="22"/>
  <c r="F3987" i="22"/>
  <c r="I3987" i="22" s="1"/>
  <c r="H3986" i="22"/>
  <c r="F3986" i="22"/>
  <c r="I3986" i="22" s="1"/>
  <c r="H3985" i="22"/>
  <c r="F3985" i="22"/>
  <c r="I3985" i="22" s="1"/>
  <c r="H3984" i="22"/>
  <c r="F3984" i="22"/>
  <c r="I3984" i="22" s="1"/>
  <c r="D3975" i="22"/>
  <c r="C3975" i="22"/>
  <c r="D3972" i="22"/>
  <c r="C3972" i="22"/>
  <c r="H3971" i="22"/>
  <c r="F3971" i="22"/>
  <c r="I3971" i="22" s="1"/>
  <c r="H3970" i="22"/>
  <c r="F3970" i="22"/>
  <c r="I3970" i="22" s="1"/>
  <c r="H3969" i="22"/>
  <c r="F3969" i="22"/>
  <c r="I3969" i="22" s="1"/>
  <c r="H3968" i="22"/>
  <c r="F3968" i="22"/>
  <c r="I3968" i="22" s="1"/>
  <c r="D3961" i="22"/>
  <c r="C3961" i="22"/>
  <c r="D3958" i="22"/>
  <c r="C3958" i="22"/>
  <c r="H3957" i="22"/>
  <c r="F3957" i="22"/>
  <c r="I3957" i="22" s="1"/>
  <c r="H3956" i="22"/>
  <c r="F3956" i="22"/>
  <c r="I3956" i="22" s="1"/>
  <c r="H3955" i="22"/>
  <c r="F3955" i="22"/>
  <c r="I3955" i="22" s="1"/>
  <c r="H3954" i="22"/>
  <c r="F3954" i="22"/>
  <c r="I3954" i="22" s="1"/>
  <c r="H3953" i="22"/>
  <c r="F3953" i="22"/>
  <c r="I3953" i="22" s="1"/>
  <c r="H3952" i="22"/>
  <c r="F3952" i="22"/>
  <c r="I3952" i="22" s="1"/>
  <c r="H3951" i="22"/>
  <c r="F3951" i="22"/>
  <c r="I3951" i="22" s="1"/>
  <c r="D3944" i="22"/>
  <c r="C3944" i="22"/>
  <c r="D3941" i="22"/>
  <c r="C3941" i="22"/>
  <c r="F3940" i="22"/>
  <c r="I3940" i="22" s="1"/>
  <c r="F3939" i="22"/>
  <c r="I3939" i="22" s="1"/>
  <c r="F3938" i="22"/>
  <c r="I3938" i="22" s="1"/>
  <c r="D3930" i="22"/>
  <c r="C3930" i="22"/>
  <c r="D3927" i="22"/>
  <c r="C3927" i="22"/>
  <c r="F3926" i="22"/>
  <c r="I3926" i="22" s="1"/>
  <c r="F3925" i="22"/>
  <c r="I3925" i="22" s="1"/>
  <c r="F3924" i="22"/>
  <c r="I3924" i="22" s="1"/>
  <c r="F3923" i="22"/>
  <c r="I3923" i="22" s="1"/>
  <c r="F3922" i="22"/>
  <c r="I3922" i="22" s="1"/>
  <c r="H3921" i="22"/>
  <c r="G3921" i="22"/>
  <c r="F3921" i="22"/>
  <c r="D3913" i="22"/>
  <c r="C3913" i="22"/>
  <c r="D3911" i="22"/>
  <c r="C3911" i="22"/>
  <c r="F3910" i="22"/>
  <c r="I3910" i="22" s="1"/>
  <c r="F3911" i="22" s="1"/>
  <c r="F3909" i="22"/>
  <c r="I3909" i="22" s="1"/>
  <c r="D3907" i="22"/>
  <c r="C3907" i="22"/>
  <c r="F3906" i="22"/>
  <c r="I3906" i="22" s="1"/>
  <c r="F3905" i="22"/>
  <c r="I3905" i="22" s="1"/>
  <c r="F3904" i="22"/>
  <c r="I3904" i="22" s="1"/>
  <c r="G3903" i="22"/>
  <c r="F3903" i="22"/>
  <c r="D3895" i="22"/>
  <c r="C3895" i="22"/>
  <c r="D3892" i="22"/>
  <c r="C3892" i="22"/>
  <c r="F3891" i="22"/>
  <c r="I3891" i="22" s="1"/>
  <c r="F3890" i="22"/>
  <c r="I3890" i="22" s="1"/>
  <c r="F3889" i="22"/>
  <c r="I3889" i="22" s="1"/>
  <c r="G3888" i="22"/>
  <c r="F3888" i="22"/>
  <c r="D3881" i="22"/>
  <c r="C3881" i="22"/>
  <c r="I3880" i="22"/>
  <c r="D3874" i="22"/>
  <c r="C3874" i="22"/>
  <c r="H3872" i="22"/>
  <c r="H3871" i="22"/>
  <c r="D3871" i="22"/>
  <c r="C3871" i="22"/>
  <c r="H3870" i="22"/>
  <c r="F3870" i="22"/>
  <c r="I3870" i="22" s="1"/>
  <c r="H3869" i="22"/>
  <c r="F3869" i="22"/>
  <c r="I3869" i="22" s="1"/>
  <c r="H3868" i="22"/>
  <c r="F3868" i="22"/>
  <c r="I3868" i="22" s="1"/>
  <c r="H3866" i="22"/>
  <c r="G3866" i="22"/>
  <c r="F3866" i="22"/>
  <c r="H3863" i="22"/>
  <c r="C3858" i="22"/>
  <c r="C3856" i="22"/>
  <c r="F3855" i="22"/>
  <c r="F3856" i="22" s="1"/>
  <c r="E3855" i="22"/>
  <c r="E3856" i="22" s="1"/>
  <c r="D3855" i="22"/>
  <c r="D3856" i="22" s="1"/>
  <c r="F3854" i="22"/>
  <c r="E3854" i="22"/>
  <c r="D3854" i="22"/>
  <c r="C3848" i="22"/>
  <c r="C3846" i="22"/>
  <c r="I3845" i="22"/>
  <c r="I3846" i="22" s="1"/>
  <c r="H3845" i="22"/>
  <c r="H3846" i="22" s="1"/>
  <c r="G3845" i="22"/>
  <c r="G3846" i="22" s="1"/>
  <c r="F3845" i="22"/>
  <c r="F3846" i="22" s="1"/>
  <c r="E3845" i="22"/>
  <c r="E3846" i="22" s="1"/>
  <c r="D3845" i="22"/>
  <c r="D3846" i="22" s="1"/>
  <c r="I3844" i="22"/>
  <c r="H3844" i="22"/>
  <c r="G3844" i="22"/>
  <c r="F3844" i="22"/>
  <c r="E3844" i="22"/>
  <c r="D3844" i="22"/>
  <c r="F3839" i="22"/>
  <c r="I3839" i="22" s="1"/>
  <c r="I3840" i="22" s="1"/>
  <c r="D3834" i="22"/>
  <c r="C3834" i="22"/>
  <c r="H3831" i="22"/>
  <c r="F3831" i="22"/>
  <c r="I3831" i="22" s="1"/>
  <c r="H3830" i="22"/>
  <c r="F3830" i="22"/>
  <c r="I3830" i="22" s="1"/>
  <c r="H3829" i="22"/>
  <c r="G3829" i="22"/>
  <c r="F3829" i="22"/>
  <c r="D3823" i="22"/>
  <c r="C3823" i="22"/>
  <c r="H3820" i="22"/>
  <c r="F3820" i="22"/>
  <c r="I3820" i="22" s="1"/>
  <c r="H3819" i="22"/>
  <c r="F3819" i="22"/>
  <c r="I3819" i="22" s="1"/>
  <c r="H3818" i="22"/>
  <c r="G3818" i="22"/>
  <c r="F3818" i="22"/>
  <c r="D3814" i="22"/>
  <c r="C3814" i="22"/>
  <c r="F3812" i="22"/>
  <c r="I3812" i="22" s="1"/>
  <c r="D3812" i="22"/>
  <c r="F3811" i="22"/>
  <c r="I3811" i="22" s="1"/>
  <c r="D3806" i="22"/>
  <c r="C3806" i="22"/>
  <c r="F3803" i="22"/>
  <c r="I3803" i="22" s="1"/>
  <c r="F3802" i="22"/>
  <c r="I3802" i="22" s="1"/>
  <c r="F3801" i="22"/>
  <c r="I3801" i="22" s="1"/>
  <c r="F3800" i="22"/>
  <c r="I3800" i="22" s="1"/>
  <c r="F3799" i="22"/>
  <c r="I3799" i="22" s="1"/>
  <c r="F3798" i="22"/>
  <c r="I3798" i="22" s="1"/>
  <c r="D3796" i="22"/>
  <c r="D3798" i="22" s="1"/>
  <c r="D3799" i="22" s="1"/>
  <c r="D3795" i="22"/>
  <c r="D3797" i="22" s="1"/>
  <c r="D3794" i="22"/>
  <c r="D3788" i="22"/>
  <c r="C3788" i="22"/>
  <c r="F3784" i="22"/>
  <c r="I3784" i="22" s="1"/>
  <c r="F3783" i="22"/>
  <c r="I3783" i="22" s="1"/>
  <c r="F3782" i="22"/>
  <c r="I3782" i="22" s="1"/>
  <c r="F3781" i="22"/>
  <c r="I3781" i="22" s="1"/>
  <c r="F3780" i="22"/>
  <c r="F3779" i="22"/>
  <c r="D3779" i="22"/>
  <c r="D3778" i="22"/>
  <c r="D3777" i="22"/>
  <c r="D3776" i="22"/>
  <c r="D3775" i="22"/>
  <c r="C3769" i="22"/>
  <c r="C3767" i="22"/>
  <c r="C3765" i="22"/>
  <c r="E3764" i="22"/>
  <c r="E3765" i="22" s="1"/>
  <c r="D3764" i="22"/>
  <c r="D3765" i="22" s="1"/>
  <c r="E3763" i="22"/>
  <c r="D3763" i="22"/>
  <c r="C3757" i="22"/>
  <c r="C3755" i="22"/>
  <c r="C3753" i="22"/>
  <c r="K3752" i="22"/>
  <c r="K3753" i="22" s="1"/>
  <c r="J3752" i="22"/>
  <c r="J3753" i="22" s="1"/>
  <c r="I3752" i="22"/>
  <c r="I3753" i="22" s="1"/>
  <c r="H3752" i="22"/>
  <c r="H3753" i="22" s="1"/>
  <c r="G3752" i="22"/>
  <c r="G3753" i="22" s="1"/>
  <c r="F3752" i="22"/>
  <c r="F3753" i="22" s="1"/>
  <c r="E3752" i="22"/>
  <c r="E3753" i="22" s="1"/>
  <c r="D3752" i="22"/>
  <c r="D3753" i="22" s="1"/>
  <c r="K3751" i="22"/>
  <c r="J3751" i="22"/>
  <c r="I3751" i="22"/>
  <c r="H3751" i="22"/>
  <c r="G3751" i="22"/>
  <c r="F3751" i="22"/>
  <c r="E3751" i="22"/>
  <c r="D3751" i="22"/>
  <c r="H3746" i="22"/>
  <c r="F3746" i="22"/>
  <c r="I3746" i="22" s="1"/>
  <c r="F3745" i="22"/>
  <c r="D3745" i="22"/>
  <c r="H3744" i="22"/>
  <c r="F3744" i="22"/>
  <c r="I3744" i="22" s="1"/>
  <c r="H3743" i="22"/>
  <c r="F3743" i="22"/>
  <c r="I3743" i="22" s="1"/>
  <c r="H3742" i="22"/>
  <c r="F3742" i="22"/>
  <c r="I3742" i="22" s="1"/>
  <c r="H3741" i="22"/>
  <c r="F3741" i="22"/>
  <c r="I3741" i="22" s="1"/>
  <c r="D3739" i="22"/>
  <c r="C3739" i="22"/>
  <c r="H3738" i="22"/>
  <c r="F3738" i="22"/>
  <c r="I3738" i="22" s="1"/>
  <c r="F3737" i="22"/>
  <c r="I3737" i="22" s="1"/>
  <c r="F3736" i="22"/>
  <c r="I3736" i="22" s="1"/>
  <c r="F3734" i="22"/>
  <c r="I3734" i="22" s="1"/>
  <c r="F3733" i="22"/>
  <c r="I3733" i="22" s="1"/>
  <c r="F3732" i="22"/>
  <c r="I3732" i="22" s="1"/>
  <c r="C3724" i="22"/>
  <c r="C3722" i="22"/>
  <c r="C3715" i="22"/>
  <c r="D3713" i="22"/>
  <c r="C3713" i="22"/>
  <c r="D3707" i="22"/>
  <c r="C3707" i="22"/>
  <c r="H3706" i="22"/>
  <c r="F3706" i="22"/>
  <c r="I3706" i="22" s="1"/>
  <c r="H3705" i="22"/>
  <c r="F3705" i="22"/>
  <c r="I3705" i="22" s="1"/>
  <c r="F3703" i="22"/>
  <c r="D3703" i="22"/>
  <c r="H3702" i="22"/>
  <c r="F3702" i="22"/>
  <c r="I3702" i="22" s="1"/>
  <c r="H3701" i="22"/>
  <c r="F3701" i="22"/>
  <c r="I3701" i="22" s="1"/>
  <c r="H3699" i="22"/>
  <c r="F3699" i="22"/>
  <c r="I3699" i="22" s="1"/>
  <c r="H3698" i="22"/>
  <c r="F3698" i="22"/>
  <c r="I3698" i="22" s="1"/>
  <c r="F3697" i="22"/>
  <c r="I3697" i="22" s="1"/>
  <c r="H3696" i="22"/>
  <c r="F3696" i="22"/>
  <c r="I3696" i="22" s="1"/>
  <c r="C3687" i="22"/>
  <c r="C3685" i="22"/>
  <c r="C3677" i="22"/>
  <c r="D3675" i="22"/>
  <c r="C3675" i="22"/>
  <c r="D3668" i="22"/>
  <c r="C3668" i="22"/>
  <c r="F3667" i="22"/>
  <c r="I3667" i="22" s="1"/>
  <c r="F3666" i="22"/>
  <c r="I3666" i="22" s="1"/>
  <c r="F3664" i="22"/>
  <c r="I3664" i="22" s="1"/>
  <c r="F3663" i="22"/>
  <c r="I3663" i="22" s="1"/>
  <c r="F3662" i="22"/>
  <c r="I3662" i="22" s="1"/>
  <c r="F3661" i="22"/>
  <c r="I3661" i="22" s="1"/>
  <c r="F3660" i="22"/>
  <c r="I3660" i="22" s="1"/>
  <c r="C3651" i="22"/>
  <c r="C3649" i="22"/>
  <c r="C3641" i="22"/>
  <c r="D3639" i="22"/>
  <c r="C3639" i="22"/>
  <c r="D3630" i="22"/>
  <c r="C3630" i="22"/>
  <c r="F3629" i="22"/>
  <c r="I3629" i="22" s="1"/>
  <c r="F3628" i="22"/>
  <c r="I3628" i="22" s="1"/>
  <c r="F3626" i="22"/>
  <c r="I3626" i="22" s="1"/>
  <c r="F3625" i="22"/>
  <c r="I3625" i="22" s="1"/>
  <c r="F3624" i="22"/>
  <c r="I3624" i="22" s="1"/>
  <c r="F3623" i="22"/>
  <c r="I3623" i="22" s="1"/>
  <c r="F3622" i="22"/>
  <c r="I3622" i="22" s="1"/>
  <c r="C3613" i="22"/>
  <c r="C3611" i="22"/>
  <c r="C3603" i="22"/>
  <c r="D3601" i="22"/>
  <c r="C3601" i="22"/>
  <c r="D3594" i="22"/>
  <c r="C3594" i="22"/>
  <c r="F3593" i="22"/>
  <c r="F3591" i="22"/>
  <c r="I3591" i="22" s="1"/>
  <c r="F3589" i="22"/>
  <c r="I3589" i="22" s="1"/>
  <c r="F3588" i="22"/>
  <c r="I3588" i="22" s="1"/>
  <c r="F3587" i="22"/>
  <c r="I3587" i="22" s="1"/>
  <c r="F3586" i="22"/>
  <c r="I3586" i="22" s="1"/>
  <c r="F3585" i="22"/>
  <c r="I3585" i="22" s="1"/>
  <c r="C3576" i="22"/>
  <c r="C3574" i="22"/>
  <c r="C3566" i="22"/>
  <c r="D3564" i="22"/>
  <c r="C3564" i="22"/>
  <c r="D3557" i="22"/>
  <c r="C3557" i="22"/>
  <c r="F3556" i="22"/>
  <c r="F3554" i="22"/>
  <c r="I3554" i="22" s="1"/>
  <c r="D3552" i="22"/>
  <c r="C3552" i="22"/>
  <c r="F3551" i="22"/>
  <c r="I3551" i="22" s="1"/>
  <c r="F3552" i="22" s="1"/>
  <c r="F3550" i="22"/>
  <c r="I3550" i="22" s="1"/>
  <c r="F3549" i="22"/>
  <c r="I3549" i="22" s="1"/>
  <c r="F3548" i="22"/>
  <c r="I3548" i="22" s="1"/>
  <c r="F3547" i="22"/>
  <c r="I3547" i="22" s="1"/>
  <c r="F3546" i="22"/>
  <c r="I3546" i="22" s="1"/>
  <c r="C3537" i="22"/>
  <c r="D3535" i="22"/>
  <c r="C3535" i="22"/>
  <c r="C3526" i="22"/>
  <c r="D3524" i="22"/>
  <c r="C3524" i="22"/>
  <c r="D3517" i="22"/>
  <c r="C3517" i="22"/>
  <c r="F3516" i="22"/>
  <c r="I3516" i="22" s="1"/>
  <c r="F3515" i="22"/>
  <c r="I3515" i="22" s="1"/>
  <c r="F3514" i="22"/>
  <c r="I3514" i="22" s="1"/>
  <c r="F3512" i="22"/>
  <c r="I3512" i="22" s="1"/>
  <c r="F3511" i="22"/>
  <c r="I3511" i="22" s="1"/>
  <c r="F3510" i="22"/>
  <c r="I3510" i="22" s="1"/>
  <c r="F3509" i="22"/>
  <c r="I3509" i="22" s="1"/>
  <c r="F3508" i="22"/>
  <c r="I3508" i="22" s="1"/>
  <c r="C3498" i="22"/>
  <c r="C3496" i="22"/>
  <c r="C3488" i="22"/>
  <c r="D3486" i="22"/>
  <c r="C3486" i="22"/>
  <c r="D3479" i="22"/>
  <c r="C3479" i="22"/>
  <c r="F3478" i="22"/>
  <c r="I3478" i="22" s="1"/>
  <c r="F3477" i="22"/>
  <c r="I3477" i="22" s="1"/>
  <c r="F3476" i="22"/>
  <c r="I3476" i="22" s="1"/>
  <c r="F3474" i="22"/>
  <c r="I3474" i="22" s="1"/>
  <c r="F3473" i="22"/>
  <c r="I3473" i="22" s="1"/>
  <c r="F3472" i="22"/>
  <c r="I3472" i="22" s="1"/>
  <c r="F3471" i="22"/>
  <c r="I3471" i="22" s="1"/>
  <c r="F3470" i="22"/>
  <c r="I3470" i="22" s="1"/>
  <c r="C3462" i="22"/>
  <c r="D3460" i="22"/>
  <c r="C3460" i="22"/>
  <c r="D3453" i="22"/>
  <c r="C3453" i="22"/>
  <c r="F3452" i="22"/>
  <c r="I3452" i="22" s="1"/>
  <c r="F3451" i="22"/>
  <c r="I3451" i="22" s="1"/>
  <c r="F3450" i="22"/>
  <c r="I3450" i="22" s="1"/>
  <c r="F3448" i="22"/>
  <c r="I3448" i="22" s="1"/>
  <c r="F3447" i="22"/>
  <c r="I3447" i="22" s="1"/>
  <c r="F3446" i="22"/>
  <c r="I3446" i="22" s="1"/>
  <c r="F3445" i="22"/>
  <c r="I3445" i="22" s="1"/>
  <c r="F3444" i="22"/>
  <c r="I3444" i="22" s="1"/>
  <c r="C3436" i="22"/>
  <c r="D3434" i="22"/>
  <c r="C3434" i="22"/>
  <c r="D3427" i="22"/>
  <c r="C3427" i="22"/>
  <c r="F3426" i="22"/>
  <c r="I3426" i="22" s="1"/>
  <c r="F3425" i="22"/>
  <c r="I3425" i="22" s="1"/>
  <c r="F3423" i="22"/>
  <c r="I3423" i="22" s="1"/>
  <c r="F3422" i="22"/>
  <c r="I3422" i="22" s="1"/>
  <c r="F3421" i="22"/>
  <c r="I3421" i="22" s="1"/>
  <c r="F3420" i="22"/>
  <c r="I3420" i="22" s="1"/>
  <c r="I3419" i="22"/>
  <c r="C3410" i="22"/>
  <c r="D3408" i="22"/>
  <c r="C3408" i="22"/>
  <c r="D3401" i="22"/>
  <c r="C3401" i="22"/>
  <c r="F3400" i="22"/>
  <c r="I3400" i="22" s="1"/>
  <c r="F3399" i="22"/>
  <c r="I3399" i="22" s="1"/>
  <c r="F3398" i="22"/>
  <c r="I3398" i="22" s="1"/>
  <c r="F3396" i="22"/>
  <c r="I3396" i="22" s="1"/>
  <c r="F3395" i="22"/>
  <c r="I3395" i="22" s="1"/>
  <c r="F3394" i="22"/>
  <c r="I3394" i="22" s="1"/>
  <c r="F3393" i="22"/>
  <c r="I3393" i="22" s="1"/>
  <c r="C3384" i="22"/>
  <c r="D3382" i="22"/>
  <c r="C3382" i="22"/>
  <c r="D3375" i="22"/>
  <c r="C3375" i="22"/>
  <c r="F3374" i="22"/>
  <c r="I3374" i="22" s="1"/>
  <c r="F3373" i="22"/>
  <c r="I3373" i="22" s="1"/>
  <c r="F3372" i="22"/>
  <c r="I3372" i="22" s="1"/>
  <c r="F3370" i="22"/>
  <c r="I3370" i="22" s="1"/>
  <c r="F3369" i="22"/>
  <c r="I3369" i="22" s="1"/>
  <c r="F3368" i="22"/>
  <c r="I3368" i="22" s="1"/>
  <c r="F3367" i="22"/>
  <c r="I3367" i="22" s="1"/>
  <c r="C3358" i="22"/>
  <c r="C3356" i="22"/>
  <c r="C3348" i="22"/>
  <c r="D3346" i="22"/>
  <c r="C3346" i="22"/>
  <c r="D3339" i="22"/>
  <c r="C3339" i="22"/>
  <c r="F3338" i="22"/>
  <c r="I3338" i="22" s="1"/>
  <c r="F3337" i="22"/>
  <c r="I3337" i="22" s="1"/>
  <c r="F3336" i="22"/>
  <c r="I3336" i="22" s="1"/>
  <c r="D3334" i="22"/>
  <c r="C3334" i="22"/>
  <c r="F3333" i="22"/>
  <c r="I3333" i="22" s="1"/>
  <c r="F3334" i="22" s="1"/>
  <c r="F3332" i="22"/>
  <c r="I3332" i="22" s="1"/>
  <c r="F3331" i="22"/>
  <c r="I3331" i="22" s="1"/>
  <c r="F3330" i="22"/>
  <c r="I3330" i="22" s="1"/>
  <c r="F3329" i="22"/>
  <c r="I3329" i="22" s="1"/>
  <c r="F3328" i="22"/>
  <c r="I3328" i="22" s="1"/>
  <c r="C3319" i="22"/>
  <c r="C3317" i="22"/>
  <c r="C3309" i="22"/>
  <c r="D3307" i="22"/>
  <c r="C3307" i="22"/>
  <c r="D3300" i="22"/>
  <c r="C3300" i="22"/>
  <c r="F3299" i="22"/>
  <c r="I3299" i="22" s="1"/>
  <c r="F3298" i="22"/>
  <c r="I3298" i="22" s="1"/>
  <c r="D3297" i="22"/>
  <c r="C3297" i="22"/>
  <c r="F3296" i="22"/>
  <c r="I3296" i="22" s="1"/>
  <c r="F3295" i="22"/>
  <c r="I3295" i="22" s="1"/>
  <c r="F3294" i="22"/>
  <c r="I3294" i="22" s="1"/>
  <c r="F3292" i="22"/>
  <c r="I3292" i="22" s="1"/>
  <c r="F3291" i="22"/>
  <c r="I3291" i="22" s="1"/>
  <c r="F3290" i="22"/>
  <c r="I3290" i="22" s="1"/>
  <c r="I3289" i="22"/>
  <c r="F3289" i="22"/>
  <c r="F3288" i="22"/>
  <c r="I3288" i="22" s="1"/>
  <c r="A3283" i="22"/>
  <c r="A3441" i="22" s="1"/>
  <c r="C3278" i="22"/>
  <c r="D3276" i="22"/>
  <c r="C3276" i="22"/>
  <c r="D3269" i="22"/>
  <c r="C3269" i="22"/>
  <c r="F3268" i="22"/>
  <c r="I3268" i="22" s="1"/>
  <c r="F3267" i="22"/>
  <c r="I3267" i="22" s="1"/>
  <c r="F3266" i="22"/>
  <c r="I3266" i="22" s="1"/>
  <c r="F3264" i="22"/>
  <c r="I3264" i="22" s="1"/>
  <c r="F3263" i="22"/>
  <c r="I3263" i="22" s="1"/>
  <c r="F3262" i="22"/>
  <c r="I3262" i="22" s="1"/>
  <c r="F3261" i="22"/>
  <c r="I3261" i="22" s="1"/>
  <c r="C3251" i="22"/>
  <c r="D3249" i="22"/>
  <c r="C3249" i="22"/>
  <c r="D3242" i="22"/>
  <c r="C3242" i="22"/>
  <c r="F3241" i="22"/>
  <c r="I3241" i="22" s="1"/>
  <c r="F3242" i="22" s="1"/>
  <c r="D3240" i="22"/>
  <c r="C3240" i="22"/>
  <c r="F3239" i="22"/>
  <c r="I3239" i="22" s="1"/>
  <c r="F3238" i="22"/>
  <c r="I3238" i="22" s="1"/>
  <c r="F3237" i="22"/>
  <c r="I3237" i="22" s="1"/>
  <c r="F3235" i="22"/>
  <c r="I3235" i="22" s="1"/>
  <c r="F3234" i="22"/>
  <c r="I3234" i="22" s="1"/>
  <c r="F3233" i="22"/>
  <c r="I3233" i="22" s="1"/>
  <c r="F3232" i="22"/>
  <c r="I3232" i="22" s="1"/>
  <c r="F3231" i="22"/>
  <c r="I3231" i="22" s="1"/>
  <c r="C3220" i="22"/>
  <c r="D3218" i="22"/>
  <c r="C3218" i="22"/>
  <c r="D3211" i="22"/>
  <c r="C3211" i="22"/>
  <c r="F3210" i="22"/>
  <c r="I3210" i="22" s="1"/>
  <c r="F3209" i="22"/>
  <c r="I3209" i="22" s="1"/>
  <c r="F3208" i="22"/>
  <c r="I3208" i="22" s="1"/>
  <c r="F3206" i="22"/>
  <c r="I3206" i="22" s="1"/>
  <c r="F3205" i="22"/>
  <c r="I3205" i="22" s="1"/>
  <c r="F3204" i="22"/>
  <c r="I3204" i="22" s="1"/>
  <c r="F3203" i="22"/>
  <c r="I3203" i="22" s="1"/>
  <c r="C3194" i="22"/>
  <c r="D3192" i="22"/>
  <c r="C3192" i="22"/>
  <c r="D3185" i="22"/>
  <c r="C3185" i="22"/>
  <c r="F3184" i="22"/>
  <c r="I3184" i="22" s="1"/>
  <c r="F3185" i="22" s="1"/>
  <c r="D3183" i="22"/>
  <c r="C3183" i="22"/>
  <c r="F3182" i="22"/>
  <c r="I3182" i="22" s="1"/>
  <c r="F3181" i="22"/>
  <c r="I3181" i="22" s="1"/>
  <c r="F3180" i="22"/>
  <c r="I3180" i="22" s="1"/>
  <c r="F3178" i="22"/>
  <c r="I3178" i="22" s="1"/>
  <c r="F3177" i="22"/>
  <c r="I3177" i="22" s="1"/>
  <c r="F3176" i="22"/>
  <c r="I3176" i="22" s="1"/>
  <c r="F3175" i="22"/>
  <c r="I3175" i="22" s="1"/>
  <c r="F3174" i="22"/>
  <c r="I3174" i="22" s="1"/>
  <c r="A3169" i="22"/>
  <c r="A3226" i="22" s="1"/>
  <c r="C3165" i="22"/>
  <c r="C3163" i="22"/>
  <c r="C3155" i="22"/>
  <c r="D3153" i="22"/>
  <c r="C3153" i="22"/>
  <c r="D3146" i="22"/>
  <c r="C3146" i="22"/>
  <c r="H3145" i="22"/>
  <c r="F3145" i="22"/>
  <c r="I3145" i="22" s="1"/>
  <c r="H3144" i="22"/>
  <c r="F3144" i="22"/>
  <c r="I3144" i="22" s="1"/>
  <c r="H3143" i="22"/>
  <c r="F3143" i="22"/>
  <c r="I3143" i="22" s="1"/>
  <c r="H3141" i="22"/>
  <c r="F3141" i="22"/>
  <c r="I3141" i="22" s="1"/>
  <c r="H3140" i="22"/>
  <c r="F3140" i="22"/>
  <c r="I3140" i="22" s="1"/>
  <c r="H3139" i="22"/>
  <c r="F3139" i="22"/>
  <c r="I3139" i="22" s="1"/>
  <c r="H3138" i="22"/>
  <c r="F3138" i="22"/>
  <c r="I3138" i="22" s="1"/>
  <c r="I3137" i="22"/>
  <c r="H3137" i="22"/>
  <c r="C3128" i="22"/>
  <c r="C3126" i="22"/>
  <c r="C3118" i="22"/>
  <c r="D3116" i="22"/>
  <c r="C3116" i="22"/>
  <c r="D3109" i="22"/>
  <c r="C3109" i="22"/>
  <c r="H3108" i="22"/>
  <c r="F3108" i="22"/>
  <c r="I3108" i="22" s="1"/>
  <c r="M3108" i="22" s="1"/>
  <c r="H3107" i="22"/>
  <c r="F3107" i="22"/>
  <c r="I3107" i="22" s="1"/>
  <c r="M3107" i="22" s="1"/>
  <c r="H3106" i="22"/>
  <c r="F3106" i="22"/>
  <c r="I3106" i="22" s="1"/>
  <c r="M3105" i="22"/>
  <c r="H3104" i="22"/>
  <c r="F3104" i="22"/>
  <c r="I3104" i="22" s="1"/>
  <c r="M3104" i="22" s="1"/>
  <c r="H3103" i="22"/>
  <c r="F3103" i="22"/>
  <c r="I3103" i="22" s="1"/>
  <c r="M3103" i="22" s="1"/>
  <c r="H3102" i="22"/>
  <c r="F3102" i="22"/>
  <c r="I3102" i="22" s="1"/>
  <c r="M3102" i="22" s="1"/>
  <c r="H3101" i="22"/>
  <c r="F3101" i="22"/>
  <c r="I3101" i="22" s="1"/>
  <c r="M3101" i="22" s="1"/>
  <c r="H3100" i="22"/>
  <c r="F3100" i="22"/>
  <c r="I3100" i="22" s="1"/>
  <c r="C3091" i="22"/>
  <c r="C3089" i="22"/>
  <c r="C3081" i="22"/>
  <c r="D3079" i="22"/>
  <c r="C3079" i="22"/>
  <c r="D3072" i="22"/>
  <c r="C3072" i="22"/>
  <c r="H3071" i="22"/>
  <c r="F3071" i="22"/>
  <c r="I3071" i="22" s="1"/>
  <c r="H3070" i="22"/>
  <c r="F3070" i="22"/>
  <c r="I3070" i="22" s="1"/>
  <c r="H3069" i="22"/>
  <c r="F3069" i="22"/>
  <c r="I3069" i="22" s="1"/>
  <c r="H3067" i="22"/>
  <c r="F3067" i="22"/>
  <c r="I3067" i="22" s="1"/>
  <c r="H3066" i="22"/>
  <c r="F3066" i="22"/>
  <c r="I3066" i="22" s="1"/>
  <c r="H3065" i="22"/>
  <c r="J3059" i="22"/>
  <c r="C3056" i="22"/>
  <c r="D3054" i="22"/>
  <c r="C3054" i="22"/>
  <c r="D3047" i="22"/>
  <c r="C3047" i="22"/>
  <c r="F3046" i="22"/>
  <c r="I3046" i="22" s="1"/>
  <c r="F3045" i="22"/>
  <c r="I3045" i="22" s="1"/>
  <c r="D3044" i="22"/>
  <c r="C3044" i="22"/>
  <c r="F3043" i="22"/>
  <c r="I3043" i="22" s="1"/>
  <c r="F3042" i="22"/>
  <c r="I3042" i="22" s="1"/>
  <c r="F3041" i="22"/>
  <c r="I3041" i="22" s="1"/>
  <c r="I3039" i="22"/>
  <c r="F3038" i="22"/>
  <c r="I3038" i="22" s="1"/>
  <c r="C3029" i="22"/>
  <c r="C3027" i="22"/>
  <c r="C3019" i="22"/>
  <c r="D3017" i="22"/>
  <c r="C3017" i="22"/>
  <c r="D3010" i="22"/>
  <c r="C3010" i="22"/>
  <c r="F3009" i="22"/>
  <c r="I3009" i="22" s="1"/>
  <c r="F3008" i="22"/>
  <c r="I3008" i="22" s="1"/>
  <c r="D3007" i="22"/>
  <c r="C3007" i="22"/>
  <c r="F3006" i="22"/>
  <c r="I3006" i="22" s="1"/>
  <c r="F3005" i="22"/>
  <c r="I3005" i="22" s="1"/>
  <c r="F3004" i="22"/>
  <c r="I3004" i="22" s="1"/>
  <c r="F3002" i="22"/>
  <c r="I3002" i="22" s="1"/>
  <c r="F3001" i="22"/>
  <c r="I3001" i="22" s="1"/>
  <c r="F3000" i="22"/>
  <c r="I3000" i="22" s="1"/>
  <c r="F2999" i="22"/>
  <c r="I2999" i="22" s="1"/>
  <c r="F2998" i="22"/>
  <c r="I2998" i="22" s="1"/>
  <c r="C2989" i="22"/>
  <c r="C2987" i="22"/>
  <c r="C2979" i="22"/>
  <c r="D2977" i="22"/>
  <c r="C2977" i="22"/>
  <c r="D2970" i="22"/>
  <c r="C2970" i="22"/>
  <c r="F2969" i="22"/>
  <c r="I2969" i="22" s="1"/>
  <c r="F2968" i="22"/>
  <c r="I2968" i="22" s="1"/>
  <c r="F2967" i="22"/>
  <c r="I2967" i="22" s="1"/>
  <c r="F2965" i="22"/>
  <c r="I2965" i="22" s="1"/>
  <c r="F2964" i="22"/>
  <c r="I2964" i="22" s="1"/>
  <c r="F2963" i="22"/>
  <c r="I2963" i="22" s="1"/>
  <c r="F2962" i="22"/>
  <c r="I2962" i="22" s="1"/>
  <c r="F2961" i="22"/>
  <c r="I2961" i="22" s="1"/>
  <c r="C2952" i="22"/>
  <c r="D2950" i="22"/>
  <c r="C2950" i="22"/>
  <c r="D2943" i="22"/>
  <c r="C2943" i="22"/>
  <c r="F2942" i="22"/>
  <c r="I2942" i="22" s="1"/>
  <c r="F2941" i="22"/>
  <c r="I2941" i="22" s="1"/>
  <c r="F2940" i="22"/>
  <c r="I2940" i="22" s="1"/>
  <c r="F2938" i="22"/>
  <c r="I2938" i="22" s="1"/>
  <c r="F2937" i="22"/>
  <c r="I2937" i="22" s="1"/>
  <c r="F2936" i="22"/>
  <c r="I2936" i="22" s="1"/>
  <c r="F2935" i="22"/>
  <c r="I2935" i="22" s="1"/>
  <c r="F2934" i="22"/>
  <c r="I2934" i="22" s="1"/>
  <c r="D2922" i="22"/>
  <c r="F2917" i="22"/>
  <c r="D2917" i="22"/>
  <c r="I2917" i="22" s="1"/>
  <c r="I2918" i="22" s="1"/>
  <c r="I2919" i="22" s="1"/>
  <c r="C2917" i="22"/>
  <c r="I2916" i="22"/>
  <c r="D2911" i="22"/>
  <c r="I2911" i="22" s="1"/>
  <c r="I2912" i="22" s="1"/>
  <c r="I2913" i="22" s="1"/>
  <c r="C2911" i="22"/>
  <c r="I2910" i="22"/>
  <c r="F2911" i="22" s="1"/>
  <c r="D2905" i="22"/>
  <c r="I2905" i="22" s="1"/>
  <c r="I2906" i="22" s="1"/>
  <c r="I2907" i="22" s="1"/>
  <c r="C2905" i="22"/>
  <c r="I2904" i="22"/>
  <c r="F2905" i="22" s="1"/>
  <c r="I2903" i="22"/>
  <c r="H2903" i="22"/>
  <c r="D2898" i="22"/>
  <c r="C2898" i="22"/>
  <c r="I2896" i="22"/>
  <c r="I2897" i="22" s="1"/>
  <c r="H2896" i="22"/>
  <c r="D2890" i="22"/>
  <c r="C2890" i="22"/>
  <c r="I2888" i="22"/>
  <c r="I2887" i="22"/>
  <c r="I2886" i="22"/>
  <c r="I2885" i="22"/>
  <c r="D2884" i="22"/>
  <c r="C2884" i="22"/>
  <c r="F2883" i="22"/>
  <c r="I2883" i="22" s="1"/>
  <c r="F2884" i="22" s="1"/>
  <c r="D2883" i="22"/>
  <c r="F2882" i="22"/>
  <c r="D2882" i="22"/>
  <c r="D2877" i="22"/>
  <c r="C2877" i="22"/>
  <c r="H2876" i="22"/>
  <c r="F2876" i="22"/>
  <c r="I2876" i="22" s="1"/>
  <c r="H2875" i="22"/>
  <c r="F2875" i="22"/>
  <c r="I2875" i="22" s="1"/>
  <c r="D2873" i="22"/>
  <c r="C2873" i="22"/>
  <c r="H2872" i="22"/>
  <c r="F2872" i="22"/>
  <c r="I2872" i="22" s="1"/>
  <c r="F2873" i="22" s="1"/>
  <c r="H2871" i="22"/>
  <c r="F2871" i="22"/>
  <c r="I2871" i="22" s="1"/>
  <c r="D2870" i="22"/>
  <c r="C2870" i="22"/>
  <c r="H2869" i="22"/>
  <c r="F2869" i="22"/>
  <c r="I2869" i="22" s="1"/>
  <c r="F2870" i="22" s="1"/>
  <c r="H2868" i="22"/>
  <c r="F2868" i="22"/>
  <c r="I2868" i="22" s="1"/>
  <c r="H2866" i="22"/>
  <c r="F2866" i="22"/>
  <c r="I2866" i="22" s="1"/>
  <c r="H2865" i="22"/>
  <c r="F2865" i="22"/>
  <c r="D2865" i="22"/>
  <c r="H2864" i="22"/>
  <c r="H2863" i="22"/>
  <c r="F2863" i="22"/>
  <c r="I2863" i="22" s="1"/>
  <c r="C2846" i="22"/>
  <c r="D2844" i="22"/>
  <c r="C2844" i="22"/>
  <c r="D2836" i="22"/>
  <c r="C2836" i="22"/>
  <c r="F2835" i="22"/>
  <c r="I2835" i="22" s="1"/>
  <c r="F2834" i="22"/>
  <c r="I2834" i="22" s="1"/>
  <c r="F2833" i="22"/>
  <c r="I2833" i="22" s="1"/>
  <c r="F2831" i="22"/>
  <c r="I2831" i="22" s="1"/>
  <c r="F2830" i="22"/>
  <c r="I2830" i="22" s="1"/>
  <c r="F2829" i="22"/>
  <c r="I2829" i="22" s="1"/>
  <c r="F2828" i="22"/>
  <c r="I2828" i="22" s="1"/>
  <c r="I2827" i="22"/>
  <c r="C2818" i="22"/>
  <c r="C2816" i="22"/>
  <c r="C2808" i="22"/>
  <c r="D2806" i="22"/>
  <c r="C2806" i="22"/>
  <c r="D2799" i="22"/>
  <c r="C2799" i="22"/>
  <c r="F2798" i="22"/>
  <c r="I2798" i="22" s="1"/>
  <c r="F2797" i="22"/>
  <c r="I2797" i="22" s="1"/>
  <c r="F2796" i="22"/>
  <c r="I2796" i="22" s="1"/>
  <c r="F2794" i="22"/>
  <c r="I2794" i="22" s="1"/>
  <c r="F2793" i="22"/>
  <c r="I2793" i="22" s="1"/>
  <c r="F2792" i="22"/>
  <c r="I2792" i="22" s="1"/>
  <c r="F2791" i="22"/>
  <c r="I2791" i="22" s="1"/>
  <c r="F2790" i="22"/>
  <c r="I2790" i="22" s="1"/>
  <c r="A2786" i="22"/>
  <c r="C2781" i="22"/>
  <c r="D2779" i="22"/>
  <c r="C2779" i="22"/>
  <c r="D2772" i="22"/>
  <c r="C2772" i="22"/>
  <c r="F2771" i="22"/>
  <c r="I2771" i="22" s="1"/>
  <c r="F2770" i="22"/>
  <c r="I2770" i="22" s="1"/>
  <c r="F2769" i="22"/>
  <c r="I2769" i="22" s="1"/>
  <c r="F2767" i="22"/>
  <c r="I2767" i="22" s="1"/>
  <c r="F2766" i="22"/>
  <c r="I2766" i="22" s="1"/>
  <c r="F2765" i="22"/>
  <c r="I2765" i="22" s="1"/>
  <c r="F2764" i="22"/>
  <c r="I2764" i="22" s="1"/>
  <c r="F2763" i="22"/>
  <c r="I2763" i="22" s="1"/>
  <c r="C2754" i="22"/>
  <c r="D2752" i="22"/>
  <c r="C2752" i="22"/>
  <c r="D2745" i="22"/>
  <c r="C2745" i="22"/>
  <c r="F2744" i="22"/>
  <c r="I2744" i="22" s="1"/>
  <c r="F2743" i="22"/>
  <c r="I2743" i="22" s="1"/>
  <c r="F2742" i="22"/>
  <c r="I2742" i="22" s="1"/>
  <c r="F2740" i="22"/>
  <c r="I2740" i="22" s="1"/>
  <c r="F2739" i="22"/>
  <c r="I2739" i="22" s="1"/>
  <c r="F2738" i="22"/>
  <c r="I2738" i="22" s="1"/>
  <c r="F2737" i="22"/>
  <c r="I2737" i="22" s="1"/>
  <c r="F2736" i="22"/>
  <c r="I2736" i="22" s="1"/>
  <c r="C2727" i="22"/>
  <c r="D2725" i="22"/>
  <c r="C2725" i="22"/>
  <c r="D2718" i="22"/>
  <c r="C2718" i="22"/>
  <c r="F2717" i="22"/>
  <c r="I2717" i="22" s="1"/>
  <c r="F2716" i="22"/>
  <c r="I2716" i="22" s="1"/>
  <c r="F2715" i="22"/>
  <c r="I2715" i="22" s="1"/>
  <c r="F2713" i="22"/>
  <c r="I2713" i="22" s="1"/>
  <c r="F2712" i="22"/>
  <c r="I2712" i="22" s="1"/>
  <c r="F2711" i="22"/>
  <c r="I2711" i="22" s="1"/>
  <c r="F2710" i="22"/>
  <c r="I2710" i="22" s="1"/>
  <c r="F2709" i="22"/>
  <c r="I2709" i="22" s="1"/>
  <c r="C2701" i="22"/>
  <c r="D2699" i="22"/>
  <c r="C2699" i="22"/>
  <c r="D2692" i="22"/>
  <c r="C2692" i="22"/>
  <c r="F2691" i="22"/>
  <c r="I2691" i="22" s="1"/>
  <c r="F2690" i="22"/>
  <c r="I2690" i="22" s="1"/>
  <c r="F2689" i="22"/>
  <c r="I2689" i="22" s="1"/>
  <c r="F2687" i="22"/>
  <c r="I2687" i="22" s="1"/>
  <c r="I2686" i="22"/>
  <c r="F2685" i="22"/>
  <c r="I2685" i="22" s="1"/>
  <c r="F2684" i="22"/>
  <c r="I2684" i="22" s="1"/>
  <c r="F2683" i="22"/>
  <c r="I2683" i="22" s="1"/>
  <c r="C2674" i="22"/>
  <c r="C2672" i="22"/>
  <c r="C2664" i="22"/>
  <c r="D2662" i="22"/>
  <c r="C2662" i="22"/>
  <c r="D2655" i="22"/>
  <c r="C2655" i="22"/>
  <c r="F2654" i="22"/>
  <c r="I2654" i="22" s="1"/>
  <c r="F2653" i="22"/>
  <c r="I2653" i="22" s="1"/>
  <c r="F2652" i="22"/>
  <c r="I2652" i="22" s="1"/>
  <c r="F2650" i="22"/>
  <c r="I2650" i="22" s="1"/>
  <c r="F2649" i="22"/>
  <c r="I2649" i="22" s="1"/>
  <c r="F2648" i="22"/>
  <c r="I2648" i="22" s="1"/>
  <c r="F2647" i="22"/>
  <c r="I2647" i="22" s="1"/>
  <c r="F2646" i="22"/>
  <c r="I2646" i="22" s="1"/>
  <c r="C2637" i="22"/>
  <c r="D2635" i="22"/>
  <c r="C2635" i="22"/>
  <c r="D2628" i="22"/>
  <c r="C2628" i="22"/>
  <c r="F2627" i="22"/>
  <c r="I2627" i="22" s="1"/>
  <c r="F2626" i="22"/>
  <c r="I2626" i="22" s="1"/>
  <c r="F2625" i="22"/>
  <c r="I2625" i="22" s="1"/>
  <c r="F2623" i="22"/>
  <c r="I2623" i="22" s="1"/>
  <c r="F2622" i="22"/>
  <c r="I2622" i="22" s="1"/>
  <c r="F2621" i="22"/>
  <c r="I2621" i="22" s="1"/>
  <c r="F2620" i="22"/>
  <c r="I2620" i="22" s="1"/>
  <c r="F2619" i="22"/>
  <c r="I2619" i="22" s="1"/>
  <c r="C2610" i="22"/>
  <c r="D2608" i="22"/>
  <c r="C2608" i="22"/>
  <c r="D2601" i="22"/>
  <c r="C2601" i="22"/>
  <c r="F2600" i="22"/>
  <c r="I2600" i="22" s="1"/>
  <c r="F2599" i="22"/>
  <c r="I2599" i="22" s="1"/>
  <c r="F2598" i="22"/>
  <c r="I2598" i="22" s="1"/>
  <c r="F2596" i="22"/>
  <c r="I2596" i="22" s="1"/>
  <c r="F2595" i="22"/>
  <c r="I2595" i="22" s="1"/>
  <c r="F2594" i="22"/>
  <c r="I2594" i="22" s="1"/>
  <c r="F2593" i="22"/>
  <c r="I2593" i="22" s="1"/>
  <c r="F2592" i="22"/>
  <c r="I2592" i="22" s="1"/>
  <c r="C2584" i="22"/>
  <c r="C2582" i="22"/>
  <c r="C2580" i="22"/>
  <c r="F2579" i="22"/>
  <c r="F2580" i="22" s="1"/>
  <c r="E2579" i="22"/>
  <c r="E2580" i="22" s="1"/>
  <c r="D2579" i="22"/>
  <c r="D2580" i="22" s="1"/>
  <c r="F2578" i="22"/>
  <c r="E2578" i="22"/>
  <c r="D2578" i="22"/>
  <c r="C2572" i="22"/>
  <c r="D2570" i="22"/>
  <c r="C2570" i="22"/>
  <c r="C2568" i="22"/>
  <c r="I2567" i="22"/>
  <c r="I2568" i="22" s="1"/>
  <c r="H2567" i="22"/>
  <c r="H2568" i="22" s="1"/>
  <c r="G2567" i="22"/>
  <c r="G2568" i="22" s="1"/>
  <c r="F2567" i="22"/>
  <c r="F2568" i="22" s="1"/>
  <c r="E2567" i="22"/>
  <c r="E2568" i="22" s="1"/>
  <c r="D2567" i="22"/>
  <c r="D2568" i="22" s="1"/>
  <c r="I2566" i="22"/>
  <c r="H2566" i="22"/>
  <c r="G2566" i="22"/>
  <c r="F2566" i="22"/>
  <c r="E2566" i="22"/>
  <c r="D2566" i="22"/>
  <c r="F2559" i="22"/>
  <c r="D2559" i="22"/>
  <c r="H2558" i="22"/>
  <c r="F2558" i="22"/>
  <c r="I2558" i="22" s="1"/>
  <c r="H2557" i="22"/>
  <c r="F2557" i="22"/>
  <c r="I2557" i="22" s="1"/>
  <c r="D2555" i="22"/>
  <c r="C2555" i="22"/>
  <c r="H2554" i="22"/>
  <c r="F2554" i="22"/>
  <c r="I2554" i="22" s="1"/>
  <c r="H2553" i="22"/>
  <c r="F2553" i="22"/>
  <c r="I2553" i="22" s="1"/>
  <c r="H2552" i="22"/>
  <c r="F2552" i="22"/>
  <c r="I2552" i="22" s="1"/>
  <c r="F2548" i="22"/>
  <c r="I2548" i="22" s="1"/>
  <c r="H2547" i="22"/>
  <c r="F2547" i="22"/>
  <c r="I2547" i="22" s="1"/>
  <c r="H2546" i="22"/>
  <c r="F2546" i="22"/>
  <c r="I2546" i="22" s="1"/>
  <c r="H2545" i="22"/>
  <c r="F2545" i="22"/>
  <c r="I2545" i="22" s="1"/>
  <c r="C2536" i="22"/>
  <c r="C2534" i="22"/>
  <c r="C2526" i="22"/>
  <c r="D2524" i="22"/>
  <c r="C2524" i="22"/>
  <c r="D2517" i="22"/>
  <c r="C2517" i="22"/>
  <c r="H2516" i="22"/>
  <c r="F2516" i="22"/>
  <c r="I2516" i="22" s="1"/>
  <c r="H2515" i="22"/>
  <c r="F2515" i="22"/>
  <c r="I2515" i="22" s="1"/>
  <c r="H2513" i="22"/>
  <c r="G2513" i="22"/>
  <c r="F2513" i="22"/>
  <c r="H2512" i="22"/>
  <c r="F2512" i="22"/>
  <c r="I2512" i="22" s="1"/>
  <c r="H2511" i="22"/>
  <c r="F2511" i="22"/>
  <c r="I2511" i="22" s="1"/>
  <c r="C2503" i="22"/>
  <c r="C2501" i="22"/>
  <c r="C2493" i="22"/>
  <c r="D2491" i="22"/>
  <c r="C2491" i="22"/>
  <c r="K2486" i="22"/>
  <c r="D2484" i="22"/>
  <c r="C2484" i="22"/>
  <c r="H2483" i="22"/>
  <c r="F2483" i="22"/>
  <c r="I2483" i="22" s="1"/>
  <c r="H2482" i="22"/>
  <c r="F2482" i="22"/>
  <c r="I2482" i="22" s="1"/>
  <c r="H2481" i="22"/>
  <c r="F2481" i="22"/>
  <c r="I2481" i="22" s="1"/>
  <c r="H2479" i="22"/>
  <c r="G2479" i="22"/>
  <c r="F2479" i="22"/>
  <c r="H2478" i="22"/>
  <c r="F2478" i="22"/>
  <c r="I2478" i="22" s="1"/>
  <c r="H2477" i="22"/>
  <c r="F2477" i="22"/>
  <c r="I2477" i="22" s="1"/>
  <c r="C2469" i="22"/>
  <c r="D2467" i="22"/>
  <c r="C2467" i="22"/>
  <c r="C2465" i="22"/>
  <c r="L2464" i="22"/>
  <c r="L2465" i="22" s="1"/>
  <c r="K2464" i="22"/>
  <c r="K2465" i="22" s="1"/>
  <c r="J2464" i="22"/>
  <c r="J2465" i="22" s="1"/>
  <c r="I2464" i="22"/>
  <c r="I2465" i="22" s="1"/>
  <c r="H2464" i="22"/>
  <c r="H2465" i="22" s="1"/>
  <c r="G2464" i="22"/>
  <c r="G2465" i="22" s="1"/>
  <c r="F2464" i="22"/>
  <c r="F2465" i="22" s="1"/>
  <c r="E2464" i="22"/>
  <c r="E2465" i="22" s="1"/>
  <c r="D2464" i="22"/>
  <c r="D2465" i="22" s="1"/>
  <c r="L2463" i="22"/>
  <c r="K2463" i="22"/>
  <c r="J2463" i="22"/>
  <c r="I2463" i="22"/>
  <c r="H2463" i="22"/>
  <c r="G2463" i="22"/>
  <c r="F2463" i="22"/>
  <c r="E2463" i="22"/>
  <c r="D2463" i="22"/>
  <c r="D2456" i="22"/>
  <c r="C2456" i="22"/>
  <c r="D2449" i="22"/>
  <c r="C2449" i="22"/>
  <c r="H2448" i="22"/>
  <c r="F2448" i="22"/>
  <c r="I2448" i="22" s="1"/>
  <c r="H2447" i="22"/>
  <c r="F2447" i="22"/>
  <c r="I2447" i="22" s="1"/>
  <c r="H2445" i="22"/>
  <c r="F2445" i="22"/>
  <c r="I2445" i="22" s="1"/>
  <c r="H2444" i="22"/>
  <c r="F2444" i="22"/>
  <c r="I2444" i="22" s="1"/>
  <c r="A2440" i="22"/>
  <c r="C2436" i="22"/>
  <c r="D2434" i="22"/>
  <c r="C2434" i="22"/>
  <c r="C2432" i="22"/>
  <c r="L2431" i="22"/>
  <c r="L2432" i="22" s="1"/>
  <c r="K2431" i="22"/>
  <c r="K2432" i="22" s="1"/>
  <c r="J2431" i="22"/>
  <c r="J2432" i="22" s="1"/>
  <c r="I2431" i="22"/>
  <c r="I2432" i="22" s="1"/>
  <c r="H2431" i="22"/>
  <c r="H2432" i="22" s="1"/>
  <c r="G2431" i="22"/>
  <c r="G2432" i="22" s="1"/>
  <c r="F2431" i="22"/>
  <c r="F2432" i="22" s="1"/>
  <c r="E2431" i="22"/>
  <c r="E2432" i="22" s="1"/>
  <c r="D2431" i="22"/>
  <c r="D2432" i="22" s="1"/>
  <c r="L2430" i="22"/>
  <c r="K2430" i="22"/>
  <c r="J2430" i="22"/>
  <c r="I2430" i="22"/>
  <c r="H2430" i="22"/>
  <c r="G2430" i="22"/>
  <c r="F2430" i="22"/>
  <c r="E2430" i="22"/>
  <c r="D2430" i="22"/>
  <c r="D2422" i="22"/>
  <c r="C2422" i="22"/>
  <c r="H2421" i="22"/>
  <c r="F2421" i="22"/>
  <c r="I2421" i="22" s="1"/>
  <c r="H2420" i="22"/>
  <c r="F2420" i="22"/>
  <c r="I2420" i="22" s="1"/>
  <c r="H2419" i="22"/>
  <c r="F2419" i="22"/>
  <c r="I2419" i="22" s="1"/>
  <c r="H2417" i="22"/>
  <c r="F2417" i="22"/>
  <c r="I2417" i="22" s="1"/>
  <c r="H2416" i="22"/>
  <c r="F2416" i="22"/>
  <c r="I2416" i="22" s="1"/>
  <c r="H2414" i="22"/>
  <c r="F2414" i="22"/>
  <c r="I2414" i="22" s="1"/>
  <c r="H2413" i="22"/>
  <c r="F2413" i="22"/>
  <c r="I2413" i="22" s="1"/>
  <c r="C2404" i="22"/>
  <c r="D2402" i="22"/>
  <c r="C2402" i="22"/>
  <c r="C2400" i="22"/>
  <c r="L2399" i="22"/>
  <c r="L2400" i="22" s="1"/>
  <c r="K2399" i="22"/>
  <c r="K2400" i="22" s="1"/>
  <c r="J2399" i="22"/>
  <c r="J2400" i="22" s="1"/>
  <c r="I2399" i="22"/>
  <c r="I2400" i="22" s="1"/>
  <c r="H2399" i="22"/>
  <c r="H2400" i="22" s="1"/>
  <c r="G2399" i="22"/>
  <c r="G2400" i="22" s="1"/>
  <c r="F2399" i="22"/>
  <c r="F2400" i="22" s="1"/>
  <c r="E2399" i="22"/>
  <c r="E2400" i="22" s="1"/>
  <c r="D2399" i="22"/>
  <c r="D2400" i="22" s="1"/>
  <c r="L2398" i="22"/>
  <c r="K2398" i="22"/>
  <c r="J2398" i="22"/>
  <c r="I2398" i="22"/>
  <c r="H2398" i="22"/>
  <c r="G2398" i="22"/>
  <c r="F2398" i="22"/>
  <c r="E2398" i="22"/>
  <c r="D2398" i="22"/>
  <c r="D2391" i="22"/>
  <c r="C2391" i="22"/>
  <c r="D2384" i="22"/>
  <c r="C2384" i="22"/>
  <c r="H2383" i="22"/>
  <c r="F2383" i="22"/>
  <c r="I2383" i="22" s="1"/>
  <c r="H2382" i="22"/>
  <c r="F2382" i="22"/>
  <c r="I2382" i="22" s="1"/>
  <c r="H2380" i="22"/>
  <c r="F2380" i="22"/>
  <c r="I2380" i="22" s="1"/>
  <c r="H2379" i="22"/>
  <c r="F2379" i="22"/>
  <c r="I2379" i="22" s="1"/>
  <c r="C2371" i="22"/>
  <c r="C2369" i="22"/>
  <c r="C2367" i="22"/>
  <c r="F2366" i="22"/>
  <c r="F2367" i="22" s="1"/>
  <c r="E2366" i="22"/>
  <c r="E2367" i="22" s="1"/>
  <c r="D2366" i="22"/>
  <c r="D2367" i="22" s="1"/>
  <c r="F2365" i="22"/>
  <c r="E2365" i="22"/>
  <c r="D2365" i="22"/>
  <c r="C2359" i="22"/>
  <c r="D2357" i="22"/>
  <c r="C2357" i="22"/>
  <c r="C2355" i="22"/>
  <c r="I2354" i="22"/>
  <c r="I2355" i="22" s="1"/>
  <c r="H2354" i="22"/>
  <c r="H2355" i="22" s="1"/>
  <c r="G2354" i="22"/>
  <c r="G2355" i="22" s="1"/>
  <c r="F2354" i="22"/>
  <c r="F2355" i="22" s="1"/>
  <c r="E2354" i="22"/>
  <c r="E2355" i="22" s="1"/>
  <c r="D2354" i="22"/>
  <c r="D2355" i="22" s="1"/>
  <c r="I2353" i="22"/>
  <c r="H2353" i="22"/>
  <c r="G2353" i="22"/>
  <c r="F2353" i="22"/>
  <c r="E2353" i="22"/>
  <c r="D2353" i="22"/>
  <c r="D2345" i="22"/>
  <c r="C2345" i="22"/>
  <c r="H2344" i="22"/>
  <c r="F2344" i="22"/>
  <c r="I2344" i="22" s="1"/>
  <c r="H2343" i="22"/>
  <c r="F2343" i="22"/>
  <c r="I2343" i="22" s="1"/>
  <c r="H2342" i="22"/>
  <c r="F2342" i="22"/>
  <c r="I2342" i="22" s="1"/>
  <c r="H2340" i="22"/>
  <c r="F2340" i="22"/>
  <c r="I2340" i="22" s="1"/>
  <c r="H2339" i="22"/>
  <c r="F2339" i="22"/>
  <c r="I2339" i="22" s="1"/>
  <c r="H2337" i="22"/>
  <c r="F2337" i="22"/>
  <c r="I2337" i="22" s="1"/>
  <c r="H2336" i="22"/>
  <c r="F2336" i="22"/>
  <c r="I2336" i="22" s="1"/>
  <c r="A2331" i="22"/>
  <c r="A2375" i="22" s="1"/>
  <c r="A2473" i="22" s="1"/>
  <c r="A2508" i="22" s="1"/>
  <c r="C2327" i="22"/>
  <c r="C2325" i="22"/>
  <c r="C2323" i="22"/>
  <c r="F2322" i="22"/>
  <c r="F2323" i="22" s="1"/>
  <c r="E2322" i="22"/>
  <c r="E2323" i="22" s="1"/>
  <c r="D2322" i="22"/>
  <c r="D2323" i="22" s="1"/>
  <c r="F2321" i="22"/>
  <c r="E2321" i="22"/>
  <c r="D2321" i="22"/>
  <c r="C2315" i="22"/>
  <c r="D2313" i="22"/>
  <c r="C2313" i="22"/>
  <c r="C2311" i="22"/>
  <c r="L2310" i="22"/>
  <c r="L2311" i="22" s="1"/>
  <c r="K2310" i="22"/>
  <c r="K2311" i="22" s="1"/>
  <c r="J2310" i="22"/>
  <c r="J2311" i="22" s="1"/>
  <c r="I2310" i="22"/>
  <c r="I2311" i="22" s="1"/>
  <c r="H2310" i="22"/>
  <c r="H2311" i="22" s="1"/>
  <c r="G2310" i="22"/>
  <c r="G2311" i="22" s="1"/>
  <c r="F2310" i="22"/>
  <c r="F2311" i="22" s="1"/>
  <c r="E2310" i="22"/>
  <c r="E2311" i="22" s="1"/>
  <c r="D2310" i="22"/>
  <c r="D2311" i="22" s="1"/>
  <c r="L2309" i="22"/>
  <c r="K2309" i="22"/>
  <c r="J2309" i="22"/>
  <c r="I2309" i="22"/>
  <c r="H2309" i="22"/>
  <c r="G2309" i="22"/>
  <c r="F2309" i="22"/>
  <c r="E2309" i="22"/>
  <c r="D2309" i="22"/>
  <c r="D2302" i="22"/>
  <c r="C2302" i="22"/>
  <c r="H2301" i="22"/>
  <c r="F2301" i="22"/>
  <c r="I2301" i="22" s="1"/>
  <c r="H2300" i="22"/>
  <c r="F2300" i="22"/>
  <c r="I2300" i="22" s="1"/>
  <c r="H2299" i="22"/>
  <c r="F2299" i="22"/>
  <c r="I2299" i="22" s="1"/>
  <c r="H2297" i="22"/>
  <c r="F2297" i="22"/>
  <c r="I2297" i="22" s="1"/>
  <c r="H2296" i="22"/>
  <c r="F2296" i="22"/>
  <c r="I2296" i="22" s="1"/>
  <c r="H2294" i="22"/>
  <c r="F2294" i="22"/>
  <c r="I2294" i="22" s="1"/>
  <c r="H2293" i="22"/>
  <c r="F2293" i="22"/>
  <c r="I2293" i="22" s="1"/>
  <c r="C2284" i="22"/>
  <c r="C2282" i="22"/>
  <c r="C2275" i="22"/>
  <c r="D2273" i="22"/>
  <c r="C2273" i="22"/>
  <c r="D2267" i="22"/>
  <c r="C2267" i="22"/>
  <c r="H2266" i="22"/>
  <c r="F2266" i="22"/>
  <c r="I2266" i="22" s="1"/>
  <c r="H2265" i="22"/>
  <c r="F2265" i="22"/>
  <c r="I2265" i="22" s="1"/>
  <c r="H2264" i="22"/>
  <c r="F2264" i="22"/>
  <c r="I2264" i="22" s="1"/>
  <c r="H2262" i="22"/>
  <c r="F2262" i="22"/>
  <c r="I2262" i="22" s="1"/>
  <c r="H2261" i="22"/>
  <c r="F2261" i="22"/>
  <c r="I2261" i="22" s="1"/>
  <c r="C2253" i="22"/>
  <c r="C2251" i="22"/>
  <c r="C2244" i="22"/>
  <c r="D2242" i="22"/>
  <c r="C2242" i="22"/>
  <c r="D2236" i="22"/>
  <c r="C2236" i="22"/>
  <c r="H2235" i="22"/>
  <c r="F2235" i="22"/>
  <c r="I2235" i="22" s="1"/>
  <c r="H2234" i="22"/>
  <c r="F2234" i="22"/>
  <c r="I2234" i="22" s="1"/>
  <c r="H2233" i="22"/>
  <c r="F2233" i="22"/>
  <c r="I2233" i="22" s="1"/>
  <c r="H2231" i="22"/>
  <c r="F2231" i="22"/>
  <c r="I2231" i="22" s="1"/>
  <c r="H2230" i="22"/>
  <c r="F2230" i="22"/>
  <c r="I2230" i="22" s="1"/>
  <c r="C2222" i="22"/>
  <c r="D2220" i="22"/>
  <c r="C2220" i="22"/>
  <c r="C2218" i="22"/>
  <c r="I2217" i="22"/>
  <c r="I2218" i="22" s="1"/>
  <c r="H2217" i="22"/>
  <c r="H2218" i="22" s="1"/>
  <c r="G2217" i="22"/>
  <c r="G2218" i="22" s="1"/>
  <c r="F2217" i="22"/>
  <c r="F2218" i="22" s="1"/>
  <c r="E2217" i="22"/>
  <c r="E2218" i="22" s="1"/>
  <c r="D2217" i="22"/>
  <c r="D2218" i="22" s="1"/>
  <c r="I2216" i="22"/>
  <c r="H2216" i="22"/>
  <c r="G2216" i="22"/>
  <c r="F2216" i="22"/>
  <c r="E2216" i="22"/>
  <c r="D2216" i="22"/>
  <c r="C2206" i="22"/>
  <c r="D2204" i="22"/>
  <c r="C2204" i="22"/>
  <c r="C2202" i="22"/>
  <c r="I2201" i="22"/>
  <c r="I2202" i="22" s="1"/>
  <c r="H2201" i="22"/>
  <c r="H2202" i="22" s="1"/>
  <c r="G2201" i="22"/>
  <c r="G2202" i="22" s="1"/>
  <c r="F2201" i="22"/>
  <c r="F2202" i="22" s="1"/>
  <c r="E2201" i="22"/>
  <c r="E2202" i="22" s="1"/>
  <c r="D2201" i="22"/>
  <c r="D2202" i="22" s="1"/>
  <c r="I2200" i="22"/>
  <c r="H2200" i="22"/>
  <c r="G2200" i="22"/>
  <c r="F2200" i="22"/>
  <c r="E2200" i="22"/>
  <c r="D2200" i="22"/>
  <c r="C2190" i="22"/>
  <c r="D2188" i="22"/>
  <c r="C2188" i="22"/>
  <c r="C2186" i="22"/>
  <c r="I2185" i="22"/>
  <c r="I2186" i="22" s="1"/>
  <c r="H2185" i="22"/>
  <c r="H2186" i="22" s="1"/>
  <c r="G2185" i="22"/>
  <c r="G2186" i="22" s="1"/>
  <c r="F2185" i="22"/>
  <c r="F2186" i="22" s="1"/>
  <c r="E2185" i="22"/>
  <c r="E2186" i="22" s="1"/>
  <c r="D2185" i="22"/>
  <c r="D2186" i="22" s="1"/>
  <c r="I2184" i="22"/>
  <c r="H2184" i="22"/>
  <c r="G2184" i="22"/>
  <c r="F2184" i="22"/>
  <c r="E2184" i="22"/>
  <c r="D2184" i="22"/>
  <c r="H2175" i="22"/>
  <c r="F2175" i="22"/>
  <c r="I2175" i="22" s="1"/>
  <c r="D2174" i="22"/>
  <c r="H2173" i="22"/>
  <c r="F2173" i="22"/>
  <c r="I2173" i="22" s="1"/>
  <c r="F2174" i="22" s="1"/>
  <c r="H2172" i="22"/>
  <c r="F2172" i="22"/>
  <c r="I2172" i="22" s="1"/>
  <c r="D2170" i="22"/>
  <c r="C2170" i="22"/>
  <c r="H2169" i="22"/>
  <c r="F2169" i="22"/>
  <c r="I2169" i="22" s="1"/>
  <c r="H2168" i="22"/>
  <c r="F2168" i="22"/>
  <c r="I2168" i="22" s="1"/>
  <c r="F2167" i="22"/>
  <c r="I2167" i="22" s="1"/>
  <c r="F2165" i="22"/>
  <c r="I2165" i="22" s="1"/>
  <c r="F2163" i="22"/>
  <c r="I2163" i="22" s="1"/>
  <c r="C2156" i="22"/>
  <c r="C2154" i="22"/>
  <c r="C2152" i="22"/>
  <c r="F2151" i="22"/>
  <c r="F2152" i="22" s="1"/>
  <c r="E2151" i="22"/>
  <c r="E2152" i="22" s="1"/>
  <c r="D2151" i="22"/>
  <c r="D2152" i="22" s="1"/>
  <c r="F2150" i="22"/>
  <c r="E2150" i="22"/>
  <c r="D2150" i="22"/>
  <c r="C2144" i="22"/>
  <c r="D2142" i="22"/>
  <c r="C2142" i="22"/>
  <c r="C2140" i="22"/>
  <c r="L2139" i="22"/>
  <c r="L2140" i="22" s="1"/>
  <c r="K2139" i="22"/>
  <c r="K2140" i="22" s="1"/>
  <c r="J2139" i="22"/>
  <c r="J2140" i="22" s="1"/>
  <c r="I2139" i="22"/>
  <c r="I2140" i="22" s="1"/>
  <c r="H2139" i="22"/>
  <c r="H2140" i="22" s="1"/>
  <c r="G2139" i="22"/>
  <c r="G2140" i="22" s="1"/>
  <c r="F2139" i="22"/>
  <c r="F2140" i="22" s="1"/>
  <c r="E2139" i="22"/>
  <c r="E2140" i="22" s="1"/>
  <c r="D2139" i="22"/>
  <c r="D2140" i="22" s="1"/>
  <c r="L2138" i="22"/>
  <c r="K2138" i="22"/>
  <c r="J2138" i="22"/>
  <c r="I2138" i="22"/>
  <c r="H2138" i="22"/>
  <c r="G2138" i="22"/>
  <c r="F2138" i="22"/>
  <c r="E2138" i="22"/>
  <c r="D2138" i="22"/>
  <c r="C2128" i="22"/>
  <c r="C2126" i="22"/>
  <c r="C2124" i="22"/>
  <c r="F2123" i="22"/>
  <c r="F2124" i="22" s="1"/>
  <c r="E2123" i="22"/>
  <c r="E2124" i="22" s="1"/>
  <c r="D2123" i="22"/>
  <c r="D2124" i="22" s="1"/>
  <c r="F2122" i="22"/>
  <c r="E2122" i="22"/>
  <c r="D2122" i="22"/>
  <c r="C2116" i="22"/>
  <c r="D2114" i="22"/>
  <c r="C2114" i="22"/>
  <c r="C2112" i="22"/>
  <c r="I2111" i="22"/>
  <c r="I2112" i="22" s="1"/>
  <c r="H2111" i="22"/>
  <c r="H2112" i="22" s="1"/>
  <c r="G2111" i="22"/>
  <c r="G2112" i="22" s="1"/>
  <c r="F2111" i="22"/>
  <c r="F2112" i="22" s="1"/>
  <c r="E2111" i="22"/>
  <c r="E2112" i="22" s="1"/>
  <c r="D2111" i="22"/>
  <c r="D2112" i="22" s="1"/>
  <c r="I2110" i="22"/>
  <c r="H2110" i="22"/>
  <c r="G2110" i="22"/>
  <c r="F2110" i="22"/>
  <c r="E2110" i="22"/>
  <c r="D2110" i="22"/>
  <c r="H2101" i="22"/>
  <c r="F2101" i="22"/>
  <c r="I2101" i="22" s="1"/>
  <c r="D2100" i="22"/>
  <c r="H2099" i="22"/>
  <c r="F2099" i="22"/>
  <c r="I2099" i="22" s="1"/>
  <c r="F2100" i="22" s="1"/>
  <c r="H2098" i="22"/>
  <c r="F2098" i="22"/>
  <c r="I2098" i="22" s="1"/>
  <c r="D2096" i="22"/>
  <c r="C2096" i="22"/>
  <c r="H2095" i="22"/>
  <c r="F2095" i="22"/>
  <c r="I2095" i="22" s="1"/>
  <c r="H2094" i="22"/>
  <c r="F2094" i="22"/>
  <c r="I2094" i="22" s="1"/>
  <c r="F2093" i="22"/>
  <c r="I2093" i="22" s="1"/>
  <c r="F2091" i="22"/>
  <c r="I2091" i="22" s="1"/>
  <c r="F2089" i="22"/>
  <c r="I2089" i="22" s="1"/>
  <c r="C2082" i="22"/>
  <c r="C2080" i="22"/>
  <c r="C2078" i="22"/>
  <c r="F2077" i="22"/>
  <c r="F2078" i="22" s="1"/>
  <c r="E2077" i="22"/>
  <c r="E2078" i="22" s="1"/>
  <c r="D2077" i="22"/>
  <c r="D2078" i="22" s="1"/>
  <c r="F2076" i="22"/>
  <c r="E2076" i="22"/>
  <c r="D2076" i="22"/>
  <c r="C2069" i="22"/>
  <c r="D2067" i="22"/>
  <c r="C2067" i="22"/>
  <c r="C2065" i="22"/>
  <c r="I2064" i="22"/>
  <c r="I2065" i="22" s="1"/>
  <c r="H2064" i="22"/>
  <c r="H2065" i="22" s="1"/>
  <c r="G2064" i="22"/>
  <c r="G2065" i="22" s="1"/>
  <c r="F2064" i="22"/>
  <c r="F2065" i="22" s="1"/>
  <c r="E2064" i="22"/>
  <c r="E2065" i="22" s="1"/>
  <c r="D2064" i="22"/>
  <c r="D2065" i="22" s="1"/>
  <c r="I2063" i="22"/>
  <c r="H2063" i="22"/>
  <c r="G2063" i="22"/>
  <c r="F2063" i="22"/>
  <c r="E2063" i="22"/>
  <c r="D2063" i="22"/>
  <c r="H2059" i="22"/>
  <c r="F2059" i="22"/>
  <c r="I2059" i="22" s="1"/>
  <c r="D2058" i="22"/>
  <c r="H2057" i="22"/>
  <c r="F2057" i="22"/>
  <c r="I2057" i="22" s="1"/>
  <c r="F2058" i="22" s="1"/>
  <c r="H2056" i="22"/>
  <c r="F2056" i="22"/>
  <c r="I2056" i="22" s="1"/>
  <c r="D2054" i="22"/>
  <c r="C2054" i="22"/>
  <c r="H2053" i="22"/>
  <c r="F2053" i="22"/>
  <c r="I2053" i="22" s="1"/>
  <c r="H2052" i="22"/>
  <c r="F2052" i="22"/>
  <c r="I2052" i="22" s="1"/>
  <c r="F2051" i="22"/>
  <c r="I2051" i="22" s="1"/>
  <c r="F2049" i="22"/>
  <c r="I2049" i="22" s="1"/>
  <c r="F2047" i="22"/>
  <c r="I2047" i="22" s="1"/>
  <c r="A2044" i="22"/>
  <c r="A2160" i="22" s="1"/>
  <c r="A2226" i="22" s="1"/>
  <c r="A2257" i="22" s="1"/>
  <c r="C2040" i="22"/>
  <c r="C2038" i="22"/>
  <c r="C2036" i="22"/>
  <c r="F2035" i="22"/>
  <c r="F2036" i="22" s="1"/>
  <c r="E2035" i="22"/>
  <c r="E2036" i="22" s="1"/>
  <c r="D2035" i="22"/>
  <c r="D2036" i="22" s="1"/>
  <c r="F2034" i="22"/>
  <c r="E2034" i="22"/>
  <c r="D2034" i="22"/>
  <c r="C2028" i="22"/>
  <c r="D2026" i="22"/>
  <c r="C2026" i="22"/>
  <c r="C2024" i="22"/>
  <c r="L2023" i="22"/>
  <c r="L2024" i="22" s="1"/>
  <c r="K2023" i="22"/>
  <c r="K2024" i="22" s="1"/>
  <c r="J2023" i="22"/>
  <c r="J2024" i="22" s="1"/>
  <c r="I2023" i="22"/>
  <c r="I2024" i="22" s="1"/>
  <c r="H2023" i="22"/>
  <c r="H2024" i="22" s="1"/>
  <c r="G2023" i="22"/>
  <c r="G2024" i="22" s="1"/>
  <c r="F2023" i="22"/>
  <c r="F2024" i="22" s="1"/>
  <c r="E2023" i="22"/>
  <c r="E2024" i="22" s="1"/>
  <c r="D2023" i="22"/>
  <c r="D2024" i="22" s="1"/>
  <c r="L2022" i="22"/>
  <c r="K2022" i="22"/>
  <c r="J2022" i="22"/>
  <c r="I2022" i="22"/>
  <c r="H2022" i="22"/>
  <c r="G2022" i="22"/>
  <c r="F2022" i="22"/>
  <c r="E2022" i="22"/>
  <c r="D2022" i="22"/>
  <c r="D2017" i="22"/>
  <c r="C2017" i="22"/>
  <c r="H2016" i="22"/>
  <c r="F2016" i="22"/>
  <c r="I2016" i="22" s="1"/>
  <c r="H2015" i="22"/>
  <c r="F2015" i="22"/>
  <c r="I2015" i="22" s="1"/>
  <c r="H2014" i="22"/>
  <c r="F2014" i="22"/>
  <c r="I2014" i="22" s="1"/>
  <c r="D2012" i="22"/>
  <c r="F2011" i="22"/>
  <c r="I2011" i="22" s="1"/>
  <c r="F2010" i="22"/>
  <c r="I2010" i="22" s="1"/>
  <c r="H2009" i="22"/>
  <c r="F2009" i="22"/>
  <c r="I2009" i="22" s="1"/>
  <c r="H2008" i="22"/>
  <c r="F2008" i="22"/>
  <c r="I2008" i="22" s="1"/>
  <c r="H2006" i="22"/>
  <c r="F2006" i="22"/>
  <c r="I2006" i="22" s="1"/>
  <c r="H2005" i="22"/>
  <c r="F2005" i="22"/>
  <c r="I2005" i="22" s="1"/>
  <c r="H2004" i="22"/>
  <c r="F2004" i="22"/>
  <c r="I2004" i="22" s="1"/>
  <c r="H2003" i="22"/>
  <c r="A2000" i="22"/>
  <c r="A2086" i="22" s="1"/>
  <c r="D1996" i="22"/>
  <c r="C1996" i="22"/>
  <c r="D1994" i="22"/>
  <c r="C1994" i="22"/>
  <c r="H1993" i="22"/>
  <c r="F1993" i="22"/>
  <c r="I1993" i="22" s="1"/>
  <c r="H1992" i="22"/>
  <c r="F1992" i="22"/>
  <c r="I1992" i="22" s="1"/>
  <c r="D1990" i="22"/>
  <c r="H1989" i="22"/>
  <c r="F1989" i="22"/>
  <c r="I1989" i="22" s="1"/>
  <c r="F1990" i="22" s="1"/>
  <c r="H1988" i="22"/>
  <c r="F1988" i="22"/>
  <c r="I1988" i="22" s="1"/>
  <c r="H1986" i="22"/>
  <c r="F1986" i="22"/>
  <c r="I1986" i="22" s="1"/>
  <c r="H1985" i="22"/>
  <c r="F1985" i="22"/>
  <c r="I1985" i="22" s="1"/>
  <c r="H1984" i="22"/>
  <c r="H1983" i="22"/>
  <c r="F1983" i="22"/>
  <c r="I1983" i="22" s="1"/>
  <c r="A1979" i="22"/>
  <c r="C1975" i="22"/>
  <c r="C1973" i="22"/>
  <c r="C1971" i="22"/>
  <c r="F1970" i="22"/>
  <c r="F1971" i="22" s="1"/>
  <c r="E1970" i="22"/>
  <c r="E1971" i="22" s="1"/>
  <c r="D1970" i="22"/>
  <c r="D1971" i="22" s="1"/>
  <c r="F1969" i="22"/>
  <c r="E1969" i="22"/>
  <c r="D1969" i="22"/>
  <c r="C1963" i="22"/>
  <c r="D1961" i="22"/>
  <c r="C1961" i="22"/>
  <c r="C1959" i="22"/>
  <c r="I1958" i="22"/>
  <c r="I1959" i="22" s="1"/>
  <c r="H1958" i="22"/>
  <c r="H1959" i="22" s="1"/>
  <c r="G1958" i="22"/>
  <c r="G1959" i="22" s="1"/>
  <c r="F1958" i="22"/>
  <c r="F1959" i="22" s="1"/>
  <c r="E1958" i="22"/>
  <c r="E1959" i="22" s="1"/>
  <c r="D1958" i="22"/>
  <c r="D1959" i="22" s="1"/>
  <c r="I1957" i="22"/>
  <c r="H1957" i="22"/>
  <c r="G1957" i="22"/>
  <c r="F1957" i="22"/>
  <c r="E1957" i="22"/>
  <c r="D1957" i="22"/>
  <c r="D1952" i="22"/>
  <c r="C1952" i="22"/>
  <c r="H1951" i="22"/>
  <c r="F1951" i="22"/>
  <c r="I1951" i="22" s="1"/>
  <c r="H1950" i="22"/>
  <c r="F1950" i="22"/>
  <c r="I1950" i="22" s="1"/>
  <c r="F1948" i="22"/>
  <c r="D1948" i="22"/>
  <c r="H1947" i="22"/>
  <c r="F1947" i="22"/>
  <c r="I1947" i="22" s="1"/>
  <c r="H1946" i="22"/>
  <c r="F1946" i="22"/>
  <c r="I1946" i="22" s="1"/>
  <c r="H1944" i="22"/>
  <c r="F1944" i="22"/>
  <c r="I1944" i="22" s="1"/>
  <c r="F1943" i="22"/>
  <c r="I1943" i="22" s="1"/>
  <c r="H1942" i="22"/>
  <c r="F1942" i="22"/>
  <c r="I1942" i="22" s="1"/>
  <c r="H1941" i="22"/>
  <c r="C1933" i="22"/>
  <c r="D1931" i="22"/>
  <c r="C1931" i="22"/>
  <c r="C1929" i="22"/>
  <c r="L1928" i="22"/>
  <c r="L1929" i="22" s="1"/>
  <c r="K1928" i="22"/>
  <c r="K1929" i="22" s="1"/>
  <c r="J1928" i="22"/>
  <c r="J1929" i="22" s="1"/>
  <c r="I1928" i="22"/>
  <c r="I1929" i="22" s="1"/>
  <c r="H1928" i="22"/>
  <c r="H1929" i="22" s="1"/>
  <c r="G1928" i="22"/>
  <c r="G1929" i="22" s="1"/>
  <c r="F1928" i="22"/>
  <c r="F1929" i="22" s="1"/>
  <c r="E1928" i="22"/>
  <c r="E1929" i="22" s="1"/>
  <c r="D1928" i="22"/>
  <c r="D1929" i="22" s="1"/>
  <c r="L1927" i="22"/>
  <c r="K1927" i="22"/>
  <c r="J1927" i="22"/>
  <c r="I1927" i="22"/>
  <c r="H1927" i="22"/>
  <c r="G1927" i="22"/>
  <c r="F1927" i="22"/>
  <c r="E1927" i="22"/>
  <c r="D1927" i="22"/>
  <c r="D1919" i="22"/>
  <c r="C1919" i="22"/>
  <c r="H1918" i="22"/>
  <c r="F1918" i="22"/>
  <c r="I1918" i="22" s="1"/>
  <c r="H1917" i="22"/>
  <c r="F1917" i="22"/>
  <c r="I1917" i="22" s="1"/>
  <c r="H1916" i="22"/>
  <c r="F1916" i="22"/>
  <c r="I1916" i="22" s="1"/>
  <c r="H1914" i="22"/>
  <c r="F1914" i="22"/>
  <c r="I1914" i="22" s="1"/>
  <c r="H1913" i="22"/>
  <c r="F1913" i="22"/>
  <c r="I1913" i="22" s="1"/>
  <c r="I1912" i="22"/>
  <c r="C1905" i="22"/>
  <c r="D1903" i="22"/>
  <c r="C1903" i="22"/>
  <c r="C1901" i="22"/>
  <c r="L1900" i="22"/>
  <c r="L1901" i="22" s="1"/>
  <c r="K1900" i="22"/>
  <c r="K1901" i="22" s="1"/>
  <c r="J1900" i="22"/>
  <c r="J1901" i="22" s="1"/>
  <c r="I1900" i="22"/>
  <c r="I1901" i="22" s="1"/>
  <c r="H1900" i="22"/>
  <c r="H1901" i="22" s="1"/>
  <c r="G1900" i="22"/>
  <c r="G1901" i="22" s="1"/>
  <c r="F1900" i="22"/>
  <c r="F1901" i="22" s="1"/>
  <c r="E1900" i="22"/>
  <c r="E1901" i="22" s="1"/>
  <c r="D1900" i="22"/>
  <c r="D1901" i="22" s="1"/>
  <c r="L1899" i="22"/>
  <c r="K1899" i="22"/>
  <c r="J1899" i="22"/>
  <c r="I1899" i="22"/>
  <c r="H1899" i="22"/>
  <c r="G1899" i="22"/>
  <c r="F1899" i="22"/>
  <c r="E1899" i="22"/>
  <c r="D1899" i="22"/>
  <c r="D1892" i="22"/>
  <c r="C1892" i="22"/>
  <c r="D1886" i="22"/>
  <c r="C1886" i="22"/>
  <c r="F1885" i="22"/>
  <c r="I1885" i="22" s="1"/>
  <c r="F1884" i="22"/>
  <c r="I1884" i="22" s="1"/>
  <c r="F1883" i="22"/>
  <c r="I1883" i="22" s="1"/>
  <c r="F1882" i="22"/>
  <c r="I1882" i="22" s="1"/>
  <c r="H1880" i="22"/>
  <c r="F1880" i="22"/>
  <c r="I1880" i="22" s="1"/>
  <c r="H1879" i="22"/>
  <c r="F1879" i="22"/>
  <c r="I1879" i="22" s="1"/>
  <c r="I1878" i="22"/>
  <c r="A1874" i="22"/>
  <c r="A1909" i="22" s="1"/>
  <c r="C1870" i="22"/>
  <c r="C1868" i="22"/>
  <c r="C1866" i="22"/>
  <c r="F1865" i="22"/>
  <c r="F1866" i="22" s="1"/>
  <c r="E1865" i="22"/>
  <c r="E1866" i="22" s="1"/>
  <c r="D1865" i="22"/>
  <c r="D1866" i="22" s="1"/>
  <c r="F1864" i="22"/>
  <c r="E1864" i="22"/>
  <c r="D1864" i="22"/>
  <c r="C1858" i="22"/>
  <c r="D1856" i="22"/>
  <c r="C1856" i="22"/>
  <c r="C1854" i="22"/>
  <c r="I1853" i="22"/>
  <c r="I1854" i="22" s="1"/>
  <c r="H1853" i="22"/>
  <c r="H1854" i="22" s="1"/>
  <c r="G1853" i="22"/>
  <c r="G1854" i="22" s="1"/>
  <c r="F1853" i="22"/>
  <c r="F1854" i="22" s="1"/>
  <c r="E1853" i="22"/>
  <c r="E1854" i="22" s="1"/>
  <c r="D1853" i="22"/>
  <c r="D1854" i="22" s="1"/>
  <c r="I1852" i="22"/>
  <c r="H1852" i="22"/>
  <c r="G1852" i="22"/>
  <c r="F1852" i="22"/>
  <c r="E1852" i="22"/>
  <c r="D1852" i="22"/>
  <c r="D1844" i="22"/>
  <c r="C1844" i="22"/>
  <c r="H1843" i="22"/>
  <c r="F1843" i="22"/>
  <c r="I1843" i="22" s="1"/>
  <c r="H1842" i="22"/>
  <c r="F1842" i="22"/>
  <c r="I1842" i="22" s="1"/>
  <c r="H1841" i="22"/>
  <c r="F1841" i="22"/>
  <c r="I1841" i="22" s="1"/>
  <c r="H1839" i="22"/>
  <c r="F1839" i="22"/>
  <c r="I1839" i="22" s="1"/>
  <c r="H1838" i="22"/>
  <c r="F1838" i="22"/>
  <c r="I1838" i="22" s="1"/>
  <c r="F1837" i="22"/>
  <c r="I1837" i="22" s="1"/>
  <c r="A1833" i="22"/>
  <c r="C1829" i="22"/>
  <c r="C1827" i="22"/>
  <c r="C1825" i="22"/>
  <c r="F1824" i="22"/>
  <c r="F1825" i="22" s="1"/>
  <c r="E1824" i="22"/>
  <c r="E1825" i="22" s="1"/>
  <c r="D1824" i="22"/>
  <c r="D1825" i="22" s="1"/>
  <c r="F1823" i="22"/>
  <c r="E1823" i="22"/>
  <c r="D1823" i="22"/>
  <c r="C1817" i="22"/>
  <c r="D1815" i="22"/>
  <c r="C1815" i="22"/>
  <c r="C1813" i="22"/>
  <c r="I1812" i="22"/>
  <c r="I1813" i="22" s="1"/>
  <c r="H1812" i="22"/>
  <c r="H1813" i="22" s="1"/>
  <c r="G1812" i="22"/>
  <c r="G1813" i="22" s="1"/>
  <c r="F1812" i="22"/>
  <c r="F1813" i="22" s="1"/>
  <c r="E1812" i="22"/>
  <c r="E1813" i="22" s="1"/>
  <c r="D1812" i="22"/>
  <c r="D1813" i="22" s="1"/>
  <c r="I1811" i="22"/>
  <c r="H1811" i="22"/>
  <c r="G1811" i="22"/>
  <c r="F1811" i="22"/>
  <c r="E1811" i="22"/>
  <c r="D1811" i="22"/>
  <c r="D1804" i="22"/>
  <c r="C1804" i="22"/>
  <c r="D1798" i="22"/>
  <c r="C1798" i="22"/>
  <c r="F1797" i="22"/>
  <c r="I1797" i="22" s="1"/>
  <c r="F1796" i="22"/>
  <c r="I1796" i="22" s="1"/>
  <c r="F1795" i="22"/>
  <c r="I1795" i="22" s="1"/>
  <c r="F1794" i="22"/>
  <c r="I1794" i="22" s="1"/>
  <c r="H1792" i="22"/>
  <c r="F1792" i="22"/>
  <c r="I1792" i="22" s="1"/>
  <c r="K1791" i="22"/>
  <c r="H1791" i="22"/>
  <c r="F1791" i="22"/>
  <c r="I1791" i="22" s="1"/>
  <c r="F1790" i="22"/>
  <c r="I1790" i="22" s="1"/>
  <c r="C1782" i="22"/>
  <c r="D1780" i="22"/>
  <c r="C1780" i="22"/>
  <c r="C1778" i="22"/>
  <c r="L1777" i="22"/>
  <c r="L1778" i="22" s="1"/>
  <c r="K1777" i="22"/>
  <c r="K1778" i="22" s="1"/>
  <c r="J1777" i="22"/>
  <c r="J1778" i="22" s="1"/>
  <c r="I1777" i="22"/>
  <c r="I1778" i="22" s="1"/>
  <c r="H1777" i="22"/>
  <c r="H1778" i="22" s="1"/>
  <c r="G1777" i="22"/>
  <c r="G1778" i="22" s="1"/>
  <c r="F1777" i="22"/>
  <c r="F1778" i="22" s="1"/>
  <c r="E1777" i="22"/>
  <c r="E1778" i="22" s="1"/>
  <c r="D1777" i="22"/>
  <c r="D1778" i="22" s="1"/>
  <c r="L1776" i="22"/>
  <c r="K1776" i="22"/>
  <c r="J1776" i="22"/>
  <c r="I1776" i="22"/>
  <c r="H1776" i="22"/>
  <c r="G1776" i="22"/>
  <c r="F1776" i="22"/>
  <c r="E1776" i="22"/>
  <c r="D1776" i="22"/>
  <c r="D1769" i="22"/>
  <c r="C1769" i="22"/>
  <c r="H1768" i="22"/>
  <c r="F1768" i="22"/>
  <c r="I1768" i="22" s="1"/>
  <c r="H1767" i="22"/>
  <c r="F1767" i="22"/>
  <c r="I1767" i="22" s="1"/>
  <c r="H1766" i="22"/>
  <c r="F1766" i="22"/>
  <c r="I1766" i="22" s="1"/>
  <c r="H1764" i="22"/>
  <c r="F1764" i="22"/>
  <c r="I1764" i="22" s="1"/>
  <c r="H1763" i="22"/>
  <c r="F1763" i="22"/>
  <c r="I1763" i="22" s="1"/>
  <c r="F1762" i="22"/>
  <c r="I1762" i="22" s="1"/>
  <c r="C1754" i="22"/>
  <c r="D1752" i="22"/>
  <c r="C1752" i="22"/>
  <c r="C1750" i="22"/>
  <c r="L1749" i="22"/>
  <c r="L1750" i="22" s="1"/>
  <c r="K1749" i="22"/>
  <c r="K1750" i="22" s="1"/>
  <c r="J1749" i="22"/>
  <c r="J1750" i="22" s="1"/>
  <c r="I1749" i="22"/>
  <c r="I1750" i="22" s="1"/>
  <c r="H1749" i="22"/>
  <c r="H1750" i="22" s="1"/>
  <c r="G1749" i="22"/>
  <c r="G1750" i="22" s="1"/>
  <c r="F1749" i="22"/>
  <c r="F1750" i="22" s="1"/>
  <c r="E1749" i="22"/>
  <c r="E1750" i="22" s="1"/>
  <c r="D1749" i="22"/>
  <c r="D1750" i="22" s="1"/>
  <c r="L1748" i="22"/>
  <c r="K1748" i="22"/>
  <c r="J1748" i="22"/>
  <c r="I1748" i="22"/>
  <c r="H1748" i="22"/>
  <c r="G1748" i="22"/>
  <c r="F1748" i="22"/>
  <c r="E1748" i="22"/>
  <c r="D1748" i="22"/>
  <c r="D1741" i="22"/>
  <c r="C1741" i="22"/>
  <c r="D1735" i="22"/>
  <c r="C1735" i="22"/>
  <c r="H1734" i="22"/>
  <c r="F1734" i="22"/>
  <c r="I1734" i="22" s="1"/>
  <c r="H1733" i="22"/>
  <c r="F1733" i="22"/>
  <c r="I1733" i="22" s="1"/>
  <c r="H1732" i="22"/>
  <c r="F1732" i="22"/>
  <c r="I1732" i="22" s="1"/>
  <c r="I1730" i="22"/>
  <c r="H1730" i="22"/>
  <c r="F1730" i="22"/>
  <c r="H1729" i="22"/>
  <c r="F1729" i="22"/>
  <c r="I1729" i="22" s="1"/>
  <c r="H1728" i="22"/>
  <c r="F1728" i="22"/>
  <c r="I1728" i="22" s="1"/>
  <c r="D1720" i="22"/>
  <c r="C1720" i="22"/>
  <c r="D1718" i="22"/>
  <c r="C1718" i="22"/>
  <c r="F1717" i="22"/>
  <c r="I1717" i="22" s="1"/>
  <c r="F1718" i="22" s="1"/>
  <c r="F1716" i="22"/>
  <c r="I1716" i="22" s="1"/>
  <c r="D1713" i="22"/>
  <c r="C1713" i="22"/>
  <c r="H1712" i="22"/>
  <c r="F1712" i="22"/>
  <c r="I1712" i="22" s="1"/>
  <c r="H1711" i="22"/>
  <c r="F1711" i="22"/>
  <c r="I1711" i="22" s="1"/>
  <c r="H1710" i="22"/>
  <c r="F1710" i="22"/>
  <c r="I1710" i="22" s="1"/>
  <c r="H1708" i="22"/>
  <c r="F1708" i="22"/>
  <c r="I1708" i="22" s="1"/>
  <c r="H1707" i="22"/>
  <c r="F1707" i="22"/>
  <c r="I1707" i="22" s="1"/>
  <c r="H1706" i="22"/>
  <c r="F1706" i="22"/>
  <c r="I1706" i="22" s="1"/>
  <c r="D1689" i="22"/>
  <c r="C1689" i="22"/>
  <c r="D1686" i="22"/>
  <c r="C1686" i="22"/>
  <c r="H1685" i="22"/>
  <c r="F1685" i="22"/>
  <c r="I1685" i="22" s="1"/>
  <c r="H1684" i="22"/>
  <c r="F1684" i="22"/>
  <c r="I1684" i="22" s="1"/>
  <c r="H1682" i="22"/>
  <c r="C1674" i="22"/>
  <c r="D1672" i="22"/>
  <c r="C1672" i="22"/>
  <c r="I1670" i="22"/>
  <c r="H1670" i="22"/>
  <c r="G1670" i="22"/>
  <c r="F1670" i="22"/>
  <c r="E1670" i="22"/>
  <c r="D1670" i="22"/>
  <c r="C1670" i="22"/>
  <c r="D1660" i="22"/>
  <c r="C1660" i="22"/>
  <c r="H1659" i="22"/>
  <c r="F1659" i="22"/>
  <c r="I1659" i="22" s="1"/>
  <c r="H1658" i="22"/>
  <c r="F1658" i="22"/>
  <c r="I1658" i="22" s="1"/>
  <c r="H1657" i="22"/>
  <c r="F1657" i="22"/>
  <c r="I1657" i="22" s="1"/>
  <c r="D1655" i="22"/>
  <c r="F1654" i="22"/>
  <c r="I1654" i="22" s="1"/>
  <c r="F1653" i="22"/>
  <c r="I1653" i="22" s="1"/>
  <c r="H1652" i="22"/>
  <c r="F1652" i="22"/>
  <c r="I1652" i="22" s="1"/>
  <c r="H1651" i="22"/>
  <c r="F1651" i="22"/>
  <c r="I1651" i="22" s="1"/>
  <c r="H1649" i="22"/>
  <c r="F1649" i="22"/>
  <c r="I1649" i="22" s="1"/>
  <c r="H1648" i="22"/>
  <c r="F1648" i="22"/>
  <c r="I1648" i="22" s="1"/>
  <c r="H1647" i="22"/>
  <c r="F1647" i="22"/>
  <c r="I1647" i="22" s="1"/>
  <c r="H1646" i="22"/>
  <c r="C1639" i="22"/>
  <c r="D1637" i="22"/>
  <c r="C1637" i="22"/>
  <c r="C1635" i="22"/>
  <c r="L1634" i="22"/>
  <c r="L1635" i="22" s="1"/>
  <c r="K1634" i="22"/>
  <c r="K1635" i="22" s="1"/>
  <c r="J1634" i="22"/>
  <c r="J1635" i="22" s="1"/>
  <c r="I1634" i="22"/>
  <c r="I1635" i="22" s="1"/>
  <c r="H1634" i="22"/>
  <c r="H1635" i="22" s="1"/>
  <c r="G1634" i="22"/>
  <c r="G1635" i="22" s="1"/>
  <c r="F1634" i="22"/>
  <c r="F1635" i="22" s="1"/>
  <c r="E1634" i="22"/>
  <c r="E1635" i="22" s="1"/>
  <c r="D1634" i="22"/>
  <c r="D1635" i="22" s="1"/>
  <c r="L1633" i="22"/>
  <c r="K1633" i="22"/>
  <c r="J1633" i="22"/>
  <c r="I1633" i="22"/>
  <c r="H1633" i="22"/>
  <c r="G1633" i="22"/>
  <c r="F1633" i="22"/>
  <c r="E1633" i="22"/>
  <c r="D1633" i="22"/>
  <c r="D1629" i="22"/>
  <c r="H1626" i="22"/>
  <c r="F1626" i="22"/>
  <c r="I1626" i="22" s="1"/>
  <c r="D1625" i="22"/>
  <c r="F1624" i="22"/>
  <c r="I1624" i="22" s="1"/>
  <c r="F1625" i="22" s="1"/>
  <c r="F1623" i="22"/>
  <c r="I1623" i="22" s="1"/>
  <c r="D1621" i="22"/>
  <c r="C1621" i="22"/>
  <c r="H1620" i="22"/>
  <c r="F1620" i="22"/>
  <c r="I1620" i="22" s="1"/>
  <c r="H1619" i="22"/>
  <c r="F1619" i="22"/>
  <c r="I1619" i="22" s="1"/>
  <c r="F1618" i="22"/>
  <c r="I1618" i="22" s="1"/>
  <c r="F1616" i="22"/>
  <c r="I1616" i="22" s="1"/>
  <c r="F1614" i="22"/>
  <c r="I1614" i="22" s="1"/>
  <c r="C1607" i="22"/>
  <c r="D1605" i="22"/>
  <c r="C1605" i="22"/>
  <c r="C1603" i="22"/>
  <c r="I1602" i="22"/>
  <c r="I1603" i="22" s="1"/>
  <c r="H1602" i="22"/>
  <c r="H1603" i="22" s="1"/>
  <c r="G1602" i="22"/>
  <c r="G1603" i="22" s="1"/>
  <c r="F1602" i="22"/>
  <c r="F1603" i="22" s="1"/>
  <c r="E1602" i="22"/>
  <c r="E1603" i="22" s="1"/>
  <c r="D1602" i="22"/>
  <c r="D1603" i="22" s="1"/>
  <c r="I1601" i="22"/>
  <c r="H1601" i="22"/>
  <c r="G1601" i="22"/>
  <c r="F1601" i="22"/>
  <c r="E1601" i="22"/>
  <c r="D1601" i="22"/>
  <c r="C1590" i="22"/>
  <c r="C1588" i="22"/>
  <c r="C1585" i="22"/>
  <c r="F1584" i="22"/>
  <c r="F1585" i="22" s="1"/>
  <c r="E1584" i="22"/>
  <c r="E1585" i="22" s="1"/>
  <c r="D1584" i="22"/>
  <c r="D1585" i="22" s="1"/>
  <c r="F1583" i="22"/>
  <c r="E1583" i="22"/>
  <c r="D1583" i="22"/>
  <c r="C1577" i="22"/>
  <c r="D1575" i="22"/>
  <c r="C1575" i="22"/>
  <c r="E1574" i="22"/>
  <c r="H1574" i="22" s="1"/>
  <c r="H1575" i="22" s="1"/>
  <c r="E1573" i="22"/>
  <c r="E1586" i="22" s="1"/>
  <c r="C1572" i="22"/>
  <c r="I1571" i="22"/>
  <c r="I1572" i="22" s="1"/>
  <c r="H1571" i="22"/>
  <c r="H1572" i="22" s="1"/>
  <c r="G1571" i="22"/>
  <c r="G1572" i="22" s="1"/>
  <c r="F1571" i="22"/>
  <c r="F1572" i="22" s="1"/>
  <c r="E1571" i="22"/>
  <c r="E1572" i="22" s="1"/>
  <c r="D1571" i="22"/>
  <c r="D1572" i="22" s="1"/>
  <c r="I1570" i="22"/>
  <c r="H1570" i="22"/>
  <c r="G1570" i="22"/>
  <c r="F1570" i="22"/>
  <c r="E1570" i="22"/>
  <c r="D1570" i="22"/>
  <c r="C1563" i="22"/>
  <c r="D1561" i="22"/>
  <c r="C1561" i="22"/>
  <c r="C1559" i="22"/>
  <c r="L1558" i="22"/>
  <c r="L1559" i="22" s="1"/>
  <c r="K1558" i="22"/>
  <c r="K1559" i="22" s="1"/>
  <c r="J1558" i="22"/>
  <c r="J1559" i="22" s="1"/>
  <c r="I1558" i="22"/>
  <c r="I1559" i="22" s="1"/>
  <c r="H1558" i="22"/>
  <c r="H1559" i="22" s="1"/>
  <c r="G1558" i="22"/>
  <c r="G1559" i="22" s="1"/>
  <c r="F1558" i="22"/>
  <c r="F1559" i="22" s="1"/>
  <c r="E1558" i="22"/>
  <c r="E1559" i="22" s="1"/>
  <c r="D1558" i="22"/>
  <c r="D1559" i="22" s="1"/>
  <c r="L1557" i="22"/>
  <c r="K1557" i="22"/>
  <c r="J1557" i="22"/>
  <c r="I1557" i="22"/>
  <c r="H1557" i="22"/>
  <c r="G1557" i="22"/>
  <c r="F1557" i="22"/>
  <c r="E1557" i="22"/>
  <c r="D1557" i="22"/>
  <c r="C1547" i="22"/>
  <c r="C1545" i="22"/>
  <c r="C1542" i="22"/>
  <c r="F1541" i="22"/>
  <c r="F1542" i="22" s="1"/>
  <c r="E1541" i="22"/>
  <c r="E1542" i="22" s="1"/>
  <c r="D1541" i="22"/>
  <c r="D1542" i="22" s="1"/>
  <c r="F1540" i="22"/>
  <c r="E1540" i="22"/>
  <c r="D1540" i="22"/>
  <c r="C1534" i="22"/>
  <c r="D1532" i="22"/>
  <c r="C1532" i="22"/>
  <c r="E1531" i="22"/>
  <c r="E1544" i="22" s="1"/>
  <c r="E1545" i="22" s="1"/>
  <c r="E1530" i="22"/>
  <c r="E1543" i="22" s="1"/>
  <c r="C1529" i="22"/>
  <c r="I1528" i="22"/>
  <c r="I1529" i="22" s="1"/>
  <c r="H1528" i="22"/>
  <c r="H1529" i="22" s="1"/>
  <c r="G1528" i="22"/>
  <c r="G1529" i="22" s="1"/>
  <c r="F1528" i="22"/>
  <c r="F1529" i="22" s="1"/>
  <c r="E1528" i="22"/>
  <c r="E1529" i="22" s="1"/>
  <c r="D1528" i="22"/>
  <c r="D1529" i="22" s="1"/>
  <c r="I1527" i="22"/>
  <c r="H1527" i="22"/>
  <c r="G1527" i="22"/>
  <c r="F1527" i="22"/>
  <c r="E1527" i="22"/>
  <c r="D1527" i="22"/>
  <c r="C1520" i="22"/>
  <c r="D1518" i="22"/>
  <c r="C1518" i="22"/>
  <c r="C1516" i="22"/>
  <c r="L1515" i="22"/>
  <c r="L1516" i="22" s="1"/>
  <c r="K1515" i="22"/>
  <c r="K1516" i="22" s="1"/>
  <c r="J1515" i="22"/>
  <c r="J1516" i="22" s="1"/>
  <c r="I1515" i="22"/>
  <c r="I1516" i="22" s="1"/>
  <c r="H1515" i="22"/>
  <c r="H1516" i="22" s="1"/>
  <c r="G1515" i="22"/>
  <c r="G1516" i="22" s="1"/>
  <c r="F1515" i="22"/>
  <c r="F1516" i="22" s="1"/>
  <c r="E1515" i="22"/>
  <c r="E1516" i="22" s="1"/>
  <c r="D1515" i="22"/>
  <c r="D1516" i="22" s="1"/>
  <c r="L1514" i="22"/>
  <c r="K1514" i="22"/>
  <c r="J1514" i="22"/>
  <c r="I1514" i="22"/>
  <c r="H1514" i="22"/>
  <c r="G1514" i="22"/>
  <c r="F1514" i="22"/>
  <c r="E1514" i="22"/>
  <c r="D1514" i="22"/>
  <c r="C1504" i="22"/>
  <c r="C1502" i="22"/>
  <c r="C1499" i="22"/>
  <c r="F1498" i="22"/>
  <c r="F1499" i="22" s="1"/>
  <c r="E1498" i="22"/>
  <c r="E1499" i="22" s="1"/>
  <c r="D1498" i="22"/>
  <c r="D1499" i="22" s="1"/>
  <c r="F1497" i="22"/>
  <c r="E1497" i="22"/>
  <c r="D1497" i="22"/>
  <c r="C1491" i="22"/>
  <c r="D1489" i="22"/>
  <c r="C1489" i="22"/>
  <c r="E1488" i="22"/>
  <c r="I1488" i="22" s="1"/>
  <c r="I1489" i="22" s="1"/>
  <c r="E1487" i="22"/>
  <c r="E1500" i="22" s="1"/>
  <c r="C1486" i="22"/>
  <c r="I1485" i="22"/>
  <c r="I1486" i="22" s="1"/>
  <c r="H1485" i="22"/>
  <c r="H1486" i="22" s="1"/>
  <c r="G1485" i="22"/>
  <c r="G1486" i="22" s="1"/>
  <c r="F1485" i="22"/>
  <c r="F1486" i="22" s="1"/>
  <c r="E1485" i="22"/>
  <c r="E1486" i="22" s="1"/>
  <c r="D1485" i="22"/>
  <c r="D1486" i="22" s="1"/>
  <c r="I1484" i="22"/>
  <c r="H1484" i="22"/>
  <c r="G1484" i="22"/>
  <c r="F1484" i="22"/>
  <c r="E1484" i="22"/>
  <c r="D1484" i="22"/>
  <c r="C1477" i="22"/>
  <c r="D1475" i="22"/>
  <c r="C1475" i="22"/>
  <c r="C1473" i="22"/>
  <c r="L1472" i="22"/>
  <c r="L1473" i="22" s="1"/>
  <c r="K1472" i="22"/>
  <c r="K1473" i="22" s="1"/>
  <c r="J1472" i="22"/>
  <c r="J1473" i="22" s="1"/>
  <c r="I1472" i="22"/>
  <c r="I1473" i="22" s="1"/>
  <c r="H1472" i="22"/>
  <c r="H1473" i="22" s="1"/>
  <c r="G1472" i="22"/>
  <c r="G1473" i="22" s="1"/>
  <c r="F1472" i="22"/>
  <c r="F1473" i="22" s="1"/>
  <c r="E1472" i="22"/>
  <c r="E1473" i="22" s="1"/>
  <c r="D1472" i="22"/>
  <c r="D1473" i="22" s="1"/>
  <c r="L1471" i="22"/>
  <c r="K1471" i="22"/>
  <c r="J1471" i="22"/>
  <c r="I1471" i="22"/>
  <c r="H1471" i="22"/>
  <c r="G1471" i="22"/>
  <c r="F1471" i="22"/>
  <c r="E1471" i="22"/>
  <c r="D1471" i="22"/>
  <c r="C1459" i="22"/>
  <c r="C1457" i="22"/>
  <c r="C1454" i="22"/>
  <c r="F1453" i="22"/>
  <c r="F1454" i="22" s="1"/>
  <c r="E1453" i="22"/>
  <c r="E1454" i="22" s="1"/>
  <c r="D1453" i="22"/>
  <c r="D1454" i="22" s="1"/>
  <c r="F1452" i="22"/>
  <c r="E1452" i="22"/>
  <c r="D1452" i="22"/>
  <c r="C1446" i="22"/>
  <c r="D1444" i="22"/>
  <c r="C1444" i="22"/>
  <c r="E1443" i="22"/>
  <c r="I1443" i="22" s="1"/>
  <c r="I1444" i="22" s="1"/>
  <c r="E1442" i="22"/>
  <c r="E1455" i="22" s="1"/>
  <c r="C1441" i="22"/>
  <c r="I1440" i="22"/>
  <c r="I1441" i="22" s="1"/>
  <c r="H1440" i="22"/>
  <c r="H1441" i="22" s="1"/>
  <c r="G1440" i="22"/>
  <c r="G1441" i="22" s="1"/>
  <c r="F1440" i="22"/>
  <c r="F1441" i="22" s="1"/>
  <c r="E1440" i="22"/>
  <c r="E1441" i="22" s="1"/>
  <c r="D1440" i="22"/>
  <c r="D1441" i="22" s="1"/>
  <c r="I1439" i="22"/>
  <c r="H1439" i="22"/>
  <c r="G1439" i="22"/>
  <c r="F1439" i="22"/>
  <c r="E1439" i="22"/>
  <c r="D1439" i="22"/>
  <c r="C1432" i="22"/>
  <c r="D1430" i="22"/>
  <c r="C1430" i="22"/>
  <c r="C1428" i="22"/>
  <c r="L1427" i="22"/>
  <c r="L1428" i="22" s="1"/>
  <c r="K1427" i="22"/>
  <c r="K1428" i="22" s="1"/>
  <c r="J1427" i="22"/>
  <c r="J1428" i="22" s="1"/>
  <c r="I1427" i="22"/>
  <c r="I1428" i="22" s="1"/>
  <c r="H1427" i="22"/>
  <c r="H1428" i="22" s="1"/>
  <c r="G1427" i="22"/>
  <c r="G1428" i="22" s="1"/>
  <c r="F1427" i="22"/>
  <c r="F1428" i="22" s="1"/>
  <c r="E1427" i="22"/>
  <c r="E1428" i="22" s="1"/>
  <c r="D1427" i="22"/>
  <c r="D1428" i="22" s="1"/>
  <c r="L1426" i="22"/>
  <c r="K1426" i="22"/>
  <c r="J1426" i="22"/>
  <c r="I1426" i="22"/>
  <c r="H1426" i="22"/>
  <c r="G1426" i="22"/>
  <c r="F1426" i="22"/>
  <c r="E1426" i="22"/>
  <c r="D1426" i="22"/>
  <c r="H1418" i="22"/>
  <c r="F1418" i="22"/>
  <c r="I1418" i="22" s="1"/>
  <c r="D1417" i="22"/>
  <c r="F1416" i="22"/>
  <c r="I1416" i="22" s="1"/>
  <c r="F1415" i="22"/>
  <c r="I1415" i="22" s="1"/>
  <c r="F1414" i="22"/>
  <c r="I1414" i="22" s="1"/>
  <c r="F1413" i="22"/>
  <c r="I1413" i="22" s="1"/>
  <c r="D1411" i="22"/>
  <c r="C1411" i="22"/>
  <c r="H1410" i="22"/>
  <c r="F1410" i="22"/>
  <c r="I1410" i="22" s="1"/>
  <c r="H1409" i="22"/>
  <c r="F1409" i="22"/>
  <c r="I1409" i="22" s="1"/>
  <c r="F1408" i="22"/>
  <c r="I1408" i="22" s="1"/>
  <c r="F1406" i="22"/>
  <c r="I1406" i="22" s="1"/>
  <c r="F1404" i="22"/>
  <c r="I1404" i="22" s="1"/>
  <c r="C1396" i="22"/>
  <c r="D1394" i="22"/>
  <c r="C1394" i="22"/>
  <c r="E1393" i="22"/>
  <c r="L1393" i="22" s="1"/>
  <c r="L1394" i="22" s="1"/>
  <c r="E1392" i="22"/>
  <c r="L1392" i="22" s="1"/>
  <c r="C1391" i="22"/>
  <c r="L1390" i="22"/>
  <c r="L1391" i="22" s="1"/>
  <c r="K1390" i="22"/>
  <c r="K1391" i="22" s="1"/>
  <c r="J1390" i="22"/>
  <c r="J1391" i="22" s="1"/>
  <c r="I1390" i="22"/>
  <c r="I1391" i="22" s="1"/>
  <c r="H1390" i="22"/>
  <c r="H1391" i="22" s="1"/>
  <c r="G1390" i="22"/>
  <c r="G1391" i="22" s="1"/>
  <c r="F1390" i="22"/>
  <c r="F1391" i="22" s="1"/>
  <c r="E1390" i="22"/>
  <c r="E1391" i="22" s="1"/>
  <c r="D1390" i="22"/>
  <c r="D1391" i="22" s="1"/>
  <c r="L1389" i="22"/>
  <c r="K1389" i="22"/>
  <c r="J1389" i="22"/>
  <c r="I1389" i="22"/>
  <c r="H1389" i="22"/>
  <c r="G1389" i="22"/>
  <c r="F1389" i="22"/>
  <c r="E1389" i="22"/>
  <c r="D1389" i="22"/>
  <c r="C1381" i="22"/>
  <c r="D1379" i="22"/>
  <c r="C1379" i="22"/>
  <c r="E1378" i="22"/>
  <c r="E1379" i="22" s="1"/>
  <c r="E1377" i="22"/>
  <c r="G1377" i="22" s="1"/>
  <c r="I1377" i="22" s="1"/>
  <c r="C1376" i="22"/>
  <c r="I1375" i="22"/>
  <c r="I1376" i="22" s="1"/>
  <c r="H1375" i="22"/>
  <c r="H1376" i="22" s="1"/>
  <c r="G1375" i="22"/>
  <c r="G1376" i="22" s="1"/>
  <c r="F1375" i="22"/>
  <c r="F1376" i="22" s="1"/>
  <c r="E1375" i="22"/>
  <c r="E1376" i="22" s="1"/>
  <c r="D1375" i="22"/>
  <c r="D1376" i="22" s="1"/>
  <c r="I1374" i="22"/>
  <c r="H1374" i="22"/>
  <c r="G1374" i="22"/>
  <c r="F1374" i="22"/>
  <c r="E1374" i="22"/>
  <c r="D1374" i="22"/>
  <c r="C1364" i="22"/>
  <c r="D1362" i="22"/>
  <c r="C1362" i="22"/>
  <c r="E1361" i="22"/>
  <c r="I1361" i="22" s="1"/>
  <c r="I1362" i="22" s="1"/>
  <c r="E1360" i="22"/>
  <c r="I1360" i="22" s="1"/>
  <c r="C1359" i="22"/>
  <c r="J1358" i="22"/>
  <c r="J1359" i="22" s="1"/>
  <c r="I1358" i="22"/>
  <c r="I1359" i="22" s="1"/>
  <c r="H1358" i="22"/>
  <c r="H1359" i="22" s="1"/>
  <c r="G1358" i="22"/>
  <c r="G1359" i="22" s="1"/>
  <c r="F1358" i="22"/>
  <c r="F1359" i="22" s="1"/>
  <c r="E1358" i="22"/>
  <c r="E1359" i="22" s="1"/>
  <c r="D1358" i="22"/>
  <c r="D1359" i="22" s="1"/>
  <c r="J1357" i="22"/>
  <c r="I1357" i="22"/>
  <c r="H1357" i="22"/>
  <c r="G1357" i="22"/>
  <c r="F1357" i="22"/>
  <c r="E1357" i="22"/>
  <c r="D1357" i="22"/>
  <c r="C1350" i="22"/>
  <c r="D1348" i="22"/>
  <c r="C1348" i="22"/>
  <c r="E1347" i="22"/>
  <c r="E1348" i="22" s="1"/>
  <c r="E1346" i="22"/>
  <c r="H1346" i="22" s="1"/>
  <c r="C1345" i="22"/>
  <c r="J1344" i="22"/>
  <c r="J1345" i="22" s="1"/>
  <c r="I1344" i="22"/>
  <c r="I1345" i="22" s="1"/>
  <c r="H1344" i="22"/>
  <c r="H1345" i="22" s="1"/>
  <c r="G1344" i="22"/>
  <c r="G1345" i="22" s="1"/>
  <c r="F1344" i="22"/>
  <c r="F1345" i="22" s="1"/>
  <c r="E1344" i="22"/>
  <c r="E1345" i="22" s="1"/>
  <c r="D1344" i="22"/>
  <c r="D1345" i="22" s="1"/>
  <c r="J1343" i="22"/>
  <c r="I1343" i="22"/>
  <c r="H1343" i="22"/>
  <c r="G1343" i="22"/>
  <c r="F1343" i="22"/>
  <c r="E1343" i="22"/>
  <c r="D1343" i="22"/>
  <c r="C1336" i="22"/>
  <c r="D1334" i="22"/>
  <c r="C1334" i="22"/>
  <c r="C1332" i="22"/>
  <c r="L1331" i="22"/>
  <c r="L1332" i="22" s="1"/>
  <c r="K1331" i="22"/>
  <c r="K1332" i="22" s="1"/>
  <c r="J1331" i="22"/>
  <c r="J1332" i="22" s="1"/>
  <c r="I1331" i="22"/>
  <c r="I1332" i="22" s="1"/>
  <c r="H1331" i="22"/>
  <c r="H1332" i="22" s="1"/>
  <c r="G1331" i="22"/>
  <c r="G1332" i="22" s="1"/>
  <c r="F1331" i="22"/>
  <c r="F1332" i="22" s="1"/>
  <c r="E1331" i="22"/>
  <c r="E1332" i="22" s="1"/>
  <c r="D1331" i="22"/>
  <c r="D1332" i="22" s="1"/>
  <c r="L1330" i="22"/>
  <c r="K1330" i="22"/>
  <c r="J1330" i="22"/>
  <c r="I1330" i="22"/>
  <c r="H1330" i="22"/>
  <c r="G1330" i="22"/>
  <c r="F1330" i="22"/>
  <c r="E1330" i="22"/>
  <c r="D1330" i="22"/>
  <c r="C1320" i="22"/>
  <c r="D1318" i="22"/>
  <c r="C1318" i="22"/>
  <c r="E1317" i="22"/>
  <c r="E1318" i="22" s="1"/>
  <c r="E1316" i="22"/>
  <c r="I1316" i="22" s="1"/>
  <c r="C1315" i="22"/>
  <c r="I1314" i="22"/>
  <c r="I1315" i="22" s="1"/>
  <c r="H1314" i="22"/>
  <c r="H1315" i="22" s="1"/>
  <c r="G1314" i="22"/>
  <c r="G1315" i="22" s="1"/>
  <c r="F1314" i="22"/>
  <c r="F1315" i="22" s="1"/>
  <c r="E1314" i="22"/>
  <c r="E1315" i="22" s="1"/>
  <c r="D1314" i="22"/>
  <c r="D1315" i="22" s="1"/>
  <c r="I1313" i="22"/>
  <c r="H1313" i="22"/>
  <c r="G1313" i="22"/>
  <c r="F1313" i="22"/>
  <c r="E1313" i="22"/>
  <c r="D1313" i="22"/>
  <c r="C1305" i="22"/>
  <c r="D1303" i="22"/>
  <c r="C1303" i="22"/>
  <c r="C1301" i="22"/>
  <c r="I1300" i="22"/>
  <c r="I1301" i="22" s="1"/>
  <c r="H1300" i="22"/>
  <c r="H1301" i="22" s="1"/>
  <c r="G1300" i="22"/>
  <c r="G1301" i="22" s="1"/>
  <c r="F1300" i="22"/>
  <c r="F1301" i="22" s="1"/>
  <c r="E1300" i="22"/>
  <c r="E1301" i="22" s="1"/>
  <c r="D1300" i="22"/>
  <c r="D1301" i="22" s="1"/>
  <c r="I1299" i="22"/>
  <c r="H1299" i="22"/>
  <c r="G1299" i="22"/>
  <c r="F1299" i="22"/>
  <c r="E1299" i="22"/>
  <c r="D1299" i="22"/>
  <c r="C1292" i="22"/>
  <c r="D1290" i="22"/>
  <c r="C1290" i="22"/>
  <c r="E1289" i="22"/>
  <c r="E1290" i="22" s="1"/>
  <c r="E1288" i="22"/>
  <c r="I1288" i="22" s="1"/>
  <c r="C1287" i="22"/>
  <c r="I1286" i="22"/>
  <c r="I1287" i="22" s="1"/>
  <c r="H1286" i="22"/>
  <c r="H1287" i="22" s="1"/>
  <c r="G1286" i="22"/>
  <c r="G1287" i="22" s="1"/>
  <c r="F1286" i="22"/>
  <c r="F1287" i="22" s="1"/>
  <c r="E1286" i="22"/>
  <c r="E1287" i="22" s="1"/>
  <c r="D1286" i="22"/>
  <c r="D1287" i="22" s="1"/>
  <c r="I1285" i="22"/>
  <c r="H1285" i="22"/>
  <c r="G1285" i="22"/>
  <c r="F1285" i="22"/>
  <c r="E1285" i="22"/>
  <c r="D1285" i="22"/>
  <c r="C1277" i="22"/>
  <c r="D1275" i="22"/>
  <c r="C1275" i="22"/>
  <c r="C1273" i="22"/>
  <c r="I1272" i="22"/>
  <c r="I1273" i="22" s="1"/>
  <c r="H1272" i="22"/>
  <c r="H1273" i="22" s="1"/>
  <c r="G1272" i="22"/>
  <c r="G1273" i="22" s="1"/>
  <c r="F1272" i="22"/>
  <c r="F1273" i="22" s="1"/>
  <c r="E1272" i="22"/>
  <c r="E1273" i="22" s="1"/>
  <c r="D1272" i="22"/>
  <c r="D1273" i="22" s="1"/>
  <c r="I1271" i="22"/>
  <c r="H1271" i="22"/>
  <c r="G1271" i="22"/>
  <c r="F1271" i="22"/>
  <c r="E1271" i="22"/>
  <c r="D1271" i="22"/>
  <c r="C1262" i="22"/>
  <c r="D1260" i="22"/>
  <c r="C1260" i="22"/>
  <c r="E1259" i="22"/>
  <c r="E1260" i="22" s="1"/>
  <c r="E1258" i="22"/>
  <c r="G1258" i="22" s="1"/>
  <c r="C1257" i="22"/>
  <c r="G1256" i="22"/>
  <c r="G1257" i="22" s="1"/>
  <c r="F1256" i="22"/>
  <c r="F1257" i="22" s="1"/>
  <c r="E1256" i="22"/>
  <c r="E1257" i="22" s="1"/>
  <c r="D1256" i="22"/>
  <c r="D1257" i="22" s="1"/>
  <c r="G1255" i="22"/>
  <c r="F1255" i="22"/>
  <c r="E1255" i="22"/>
  <c r="D1255" i="22"/>
  <c r="C1248" i="22"/>
  <c r="D1246" i="22"/>
  <c r="C1246" i="22"/>
  <c r="E1245" i="22"/>
  <c r="G1245" i="22" s="1"/>
  <c r="G1246" i="22" s="1"/>
  <c r="E1244" i="22"/>
  <c r="I1244" i="22" s="1"/>
  <c r="C1243" i="22"/>
  <c r="I1242" i="22"/>
  <c r="I1243" i="22" s="1"/>
  <c r="H1242" i="22"/>
  <c r="H1243" i="22" s="1"/>
  <c r="G1242" i="22"/>
  <c r="G1243" i="22" s="1"/>
  <c r="F1242" i="22"/>
  <c r="F1243" i="22" s="1"/>
  <c r="E1242" i="22"/>
  <c r="E1243" i="22" s="1"/>
  <c r="D1242" i="22"/>
  <c r="D1243" i="22" s="1"/>
  <c r="I1241" i="22"/>
  <c r="H1241" i="22"/>
  <c r="G1241" i="22"/>
  <c r="F1241" i="22"/>
  <c r="E1241" i="22"/>
  <c r="D1241" i="22"/>
  <c r="C1233" i="22"/>
  <c r="D1231" i="22"/>
  <c r="C1231" i="22"/>
  <c r="C1229" i="22"/>
  <c r="I1228" i="22"/>
  <c r="I1229" i="22" s="1"/>
  <c r="H1228" i="22"/>
  <c r="H1229" i="22" s="1"/>
  <c r="G1228" i="22"/>
  <c r="G1229" i="22" s="1"/>
  <c r="F1228" i="22"/>
  <c r="F1229" i="22" s="1"/>
  <c r="E1228" i="22"/>
  <c r="E1229" i="22" s="1"/>
  <c r="D1228" i="22"/>
  <c r="D1229" i="22" s="1"/>
  <c r="I1227" i="22"/>
  <c r="H1227" i="22"/>
  <c r="G1227" i="22"/>
  <c r="F1227" i="22"/>
  <c r="E1227" i="22"/>
  <c r="D1227" i="22"/>
  <c r="C1220" i="22"/>
  <c r="D1218" i="22"/>
  <c r="C1218" i="22"/>
  <c r="E1217" i="22"/>
  <c r="I1217" i="22" s="1"/>
  <c r="I1218" i="22" s="1"/>
  <c r="E1216" i="22"/>
  <c r="G1216" i="22" s="1"/>
  <c r="C1215" i="22"/>
  <c r="I1214" i="22"/>
  <c r="I1215" i="22" s="1"/>
  <c r="H1214" i="22"/>
  <c r="H1215" i="22" s="1"/>
  <c r="G1214" i="22"/>
  <c r="G1215" i="22" s="1"/>
  <c r="F1214" i="22"/>
  <c r="F1215" i="22" s="1"/>
  <c r="E1214" i="22"/>
  <c r="E1215" i="22" s="1"/>
  <c r="D1214" i="22"/>
  <c r="D1215" i="22" s="1"/>
  <c r="I1213" i="22"/>
  <c r="H1213" i="22"/>
  <c r="G1213" i="22"/>
  <c r="F1213" i="22"/>
  <c r="E1213" i="22"/>
  <c r="D1213" i="22"/>
  <c r="C1205" i="22"/>
  <c r="D1203" i="22"/>
  <c r="C1203" i="22"/>
  <c r="C1201" i="22"/>
  <c r="I1200" i="22"/>
  <c r="I1201" i="22" s="1"/>
  <c r="H1200" i="22"/>
  <c r="H1201" i="22" s="1"/>
  <c r="G1200" i="22"/>
  <c r="G1201" i="22" s="1"/>
  <c r="F1200" i="22"/>
  <c r="F1201" i="22" s="1"/>
  <c r="E1200" i="22"/>
  <c r="E1201" i="22" s="1"/>
  <c r="D1200" i="22"/>
  <c r="D1201" i="22" s="1"/>
  <c r="I1199" i="22"/>
  <c r="H1199" i="22"/>
  <c r="G1199" i="22"/>
  <c r="F1199" i="22"/>
  <c r="E1199" i="22"/>
  <c r="D1199" i="22"/>
  <c r="C1188" i="22"/>
  <c r="C1186" i="22"/>
  <c r="C1183" i="22"/>
  <c r="F1182" i="22"/>
  <c r="F1183" i="22" s="1"/>
  <c r="E1182" i="22"/>
  <c r="E1183" i="22" s="1"/>
  <c r="D1182" i="22"/>
  <c r="D1183" i="22" s="1"/>
  <c r="F1181" i="22"/>
  <c r="E1181" i="22"/>
  <c r="D1181" i="22"/>
  <c r="C1175" i="22"/>
  <c r="D1173" i="22"/>
  <c r="C1173" i="22"/>
  <c r="E1172" i="22"/>
  <c r="I1172" i="22" s="1"/>
  <c r="I1173" i="22" s="1"/>
  <c r="E1171" i="22"/>
  <c r="F1184" i="22" s="1"/>
  <c r="C1170" i="22"/>
  <c r="I1169" i="22"/>
  <c r="I1170" i="22" s="1"/>
  <c r="H1169" i="22"/>
  <c r="H1170" i="22" s="1"/>
  <c r="G1169" i="22"/>
  <c r="G1170" i="22" s="1"/>
  <c r="F1169" i="22"/>
  <c r="F1170" i="22" s="1"/>
  <c r="E1169" i="22"/>
  <c r="E1170" i="22" s="1"/>
  <c r="D1169" i="22"/>
  <c r="D1170" i="22" s="1"/>
  <c r="I1168" i="22"/>
  <c r="H1168" i="22"/>
  <c r="G1168" i="22"/>
  <c r="F1168" i="22"/>
  <c r="E1168" i="22"/>
  <c r="D1168" i="22"/>
  <c r="C1161" i="22"/>
  <c r="D1159" i="22"/>
  <c r="C1159" i="22"/>
  <c r="E1158" i="22"/>
  <c r="I1158" i="22" s="1"/>
  <c r="I1159" i="22" s="1"/>
  <c r="E1157" i="22"/>
  <c r="I1157" i="22" s="1"/>
  <c r="C1156" i="22"/>
  <c r="I1155" i="22"/>
  <c r="I1156" i="22" s="1"/>
  <c r="H1155" i="22"/>
  <c r="H1156" i="22" s="1"/>
  <c r="G1155" i="22"/>
  <c r="G1156" i="22" s="1"/>
  <c r="F1155" i="22"/>
  <c r="F1156" i="22" s="1"/>
  <c r="E1155" i="22"/>
  <c r="E1156" i="22" s="1"/>
  <c r="D1155" i="22"/>
  <c r="D1156" i="22" s="1"/>
  <c r="D1154" i="22"/>
  <c r="E1154" i="22" s="1"/>
  <c r="F1154" i="22" s="1"/>
  <c r="G1154" i="22" s="1"/>
  <c r="H1154" i="22" s="1"/>
  <c r="I1154" i="22" s="1"/>
  <c r="C1147" i="22"/>
  <c r="D1145" i="22"/>
  <c r="C1145" i="22"/>
  <c r="C1143" i="22"/>
  <c r="I1142" i="22"/>
  <c r="I1143" i="22" s="1"/>
  <c r="H1142" i="22"/>
  <c r="H1143" i="22" s="1"/>
  <c r="G1142" i="22"/>
  <c r="G1143" i="22" s="1"/>
  <c r="F1142" i="22"/>
  <c r="F1143" i="22" s="1"/>
  <c r="E1142" i="22"/>
  <c r="E1143" i="22" s="1"/>
  <c r="D1142" i="22"/>
  <c r="D1143" i="22" s="1"/>
  <c r="D1141" i="22"/>
  <c r="E1141" i="22" s="1"/>
  <c r="F1141" i="22" s="1"/>
  <c r="G1141" i="22" s="1"/>
  <c r="H1141" i="22" s="1"/>
  <c r="I1141" i="22" s="1"/>
  <c r="C1131" i="22"/>
  <c r="C1129" i="22"/>
  <c r="D1128" i="22"/>
  <c r="D1129" i="22" s="1"/>
  <c r="D1127" i="22"/>
  <c r="C1126" i="22"/>
  <c r="D1125" i="22"/>
  <c r="D1126" i="22" s="1"/>
  <c r="D1124" i="22"/>
  <c r="C1116" i="22"/>
  <c r="D1114" i="22"/>
  <c r="C1114" i="22"/>
  <c r="E1113" i="22"/>
  <c r="E1114" i="22" s="1"/>
  <c r="E1112" i="22"/>
  <c r="C1111" i="22"/>
  <c r="E1110" i="22"/>
  <c r="E1111" i="22" s="1"/>
  <c r="D1110" i="22"/>
  <c r="D1111" i="22" s="1"/>
  <c r="E1109" i="22"/>
  <c r="D1109" i="22"/>
  <c r="C1101" i="22"/>
  <c r="C1099" i="22"/>
  <c r="C1096" i="22"/>
  <c r="F1095" i="22"/>
  <c r="F1096" i="22" s="1"/>
  <c r="E1095" i="22"/>
  <c r="E1096" i="22" s="1"/>
  <c r="D1095" i="22"/>
  <c r="D1096" i="22" s="1"/>
  <c r="F1094" i="22"/>
  <c r="E1094" i="22"/>
  <c r="D1094" i="22"/>
  <c r="C1088" i="22"/>
  <c r="D1086" i="22"/>
  <c r="C1086" i="22"/>
  <c r="E1085" i="22"/>
  <c r="E1098" i="22" s="1"/>
  <c r="E1099" i="22" s="1"/>
  <c r="E1084" i="22"/>
  <c r="F1097" i="22" s="1"/>
  <c r="C1083" i="22"/>
  <c r="I1082" i="22"/>
  <c r="I1083" i="22" s="1"/>
  <c r="H1082" i="22"/>
  <c r="H1083" i="22" s="1"/>
  <c r="G1082" i="22"/>
  <c r="G1083" i="22" s="1"/>
  <c r="F1082" i="22"/>
  <c r="F1083" i="22" s="1"/>
  <c r="E1082" i="22"/>
  <c r="E1083" i="22" s="1"/>
  <c r="D1082" i="22"/>
  <c r="D1083" i="22" s="1"/>
  <c r="I1081" i="22"/>
  <c r="H1081" i="22"/>
  <c r="G1081" i="22"/>
  <c r="F1081" i="22"/>
  <c r="E1081" i="22"/>
  <c r="D1081" i="22"/>
  <c r="C1074" i="22"/>
  <c r="D1072" i="22"/>
  <c r="C1072" i="22"/>
  <c r="C1070" i="22"/>
  <c r="I1069" i="22"/>
  <c r="I1070" i="22" s="1"/>
  <c r="H1069" i="22"/>
  <c r="H1070" i="22" s="1"/>
  <c r="G1069" i="22"/>
  <c r="G1070" i="22" s="1"/>
  <c r="F1069" i="22"/>
  <c r="F1070" i="22" s="1"/>
  <c r="E1069" i="22"/>
  <c r="E1070" i="22" s="1"/>
  <c r="D1069" i="22"/>
  <c r="D1070" i="22" s="1"/>
  <c r="I1068" i="22"/>
  <c r="H1068" i="22"/>
  <c r="G1068" i="22"/>
  <c r="F1068" i="22"/>
  <c r="E1068" i="22"/>
  <c r="D1068" i="22"/>
  <c r="C1060" i="22"/>
  <c r="D1058" i="22"/>
  <c r="C1058" i="22"/>
  <c r="E1057" i="22"/>
  <c r="H1057" i="22" s="1"/>
  <c r="H1058" i="22" s="1"/>
  <c r="E1056" i="22"/>
  <c r="I1056" i="22" s="1"/>
  <c r="C1055" i="22"/>
  <c r="I1054" i="22"/>
  <c r="I1055" i="22" s="1"/>
  <c r="H1054" i="22"/>
  <c r="H1055" i="22" s="1"/>
  <c r="G1054" i="22"/>
  <c r="G1055" i="22" s="1"/>
  <c r="F1054" i="22"/>
  <c r="F1055" i="22" s="1"/>
  <c r="E1054" i="22"/>
  <c r="E1055" i="22" s="1"/>
  <c r="D1054" i="22"/>
  <c r="D1055" i="22" s="1"/>
  <c r="E1053" i="22"/>
  <c r="F1053" i="22" s="1"/>
  <c r="G1053" i="22" s="1"/>
  <c r="H1053" i="22" s="1"/>
  <c r="I1053" i="22" s="1"/>
  <c r="D1053" i="22"/>
  <c r="C1046" i="22"/>
  <c r="D1044" i="22"/>
  <c r="C1044" i="22"/>
  <c r="C1042" i="22"/>
  <c r="I1041" i="22"/>
  <c r="I1042" i="22" s="1"/>
  <c r="H1041" i="22"/>
  <c r="H1042" i="22" s="1"/>
  <c r="G1041" i="22"/>
  <c r="G1042" i="22" s="1"/>
  <c r="F1041" i="22"/>
  <c r="F1042" i="22" s="1"/>
  <c r="E1041" i="22"/>
  <c r="E1042" i="22" s="1"/>
  <c r="D1041" i="22"/>
  <c r="D1042" i="22" s="1"/>
  <c r="E1040" i="22"/>
  <c r="F1040" i="22" s="1"/>
  <c r="G1040" i="22" s="1"/>
  <c r="H1040" i="22" s="1"/>
  <c r="I1040" i="22" s="1"/>
  <c r="D1040" i="22"/>
  <c r="H1032" i="22"/>
  <c r="F1032" i="22"/>
  <c r="I1032" i="22" s="1"/>
  <c r="D1031" i="22"/>
  <c r="F1030" i="22"/>
  <c r="I1030" i="22" s="1"/>
  <c r="F1029" i="22"/>
  <c r="I1029" i="22" s="1"/>
  <c r="F1028" i="22"/>
  <c r="I1028" i="22" s="1"/>
  <c r="F1027" i="22"/>
  <c r="I1027" i="22" s="1"/>
  <c r="D1025" i="22"/>
  <c r="C1025" i="22"/>
  <c r="H1024" i="22"/>
  <c r="F1024" i="22"/>
  <c r="I1024" i="22" s="1"/>
  <c r="H1023" i="22"/>
  <c r="F1023" i="22"/>
  <c r="I1023" i="22" s="1"/>
  <c r="F1022" i="22"/>
  <c r="I1022" i="22" s="1"/>
  <c r="F1020" i="22"/>
  <c r="I1020" i="22" s="1"/>
  <c r="F1018" i="22"/>
  <c r="I1018" i="22" s="1"/>
  <c r="C1009" i="22"/>
  <c r="C1007" i="22"/>
  <c r="C1005" i="22"/>
  <c r="F1004" i="22"/>
  <c r="F1005" i="22" s="1"/>
  <c r="E1004" i="22"/>
  <c r="E1005" i="22" s="1"/>
  <c r="D1004" i="22"/>
  <c r="D1005" i="22" s="1"/>
  <c r="F1003" i="22"/>
  <c r="E1003" i="22"/>
  <c r="D1003" i="22"/>
  <c r="C997" i="22"/>
  <c r="C995" i="22"/>
  <c r="C993" i="22"/>
  <c r="I992" i="22"/>
  <c r="I993" i="22" s="1"/>
  <c r="H992" i="22"/>
  <c r="H993" i="22" s="1"/>
  <c r="G992" i="22"/>
  <c r="G993" i="22" s="1"/>
  <c r="F992" i="22"/>
  <c r="F993" i="22" s="1"/>
  <c r="E992" i="22"/>
  <c r="E993" i="22" s="1"/>
  <c r="D992" i="22"/>
  <c r="D993" i="22" s="1"/>
  <c r="I991" i="22"/>
  <c r="H991" i="22"/>
  <c r="G991" i="22"/>
  <c r="F991" i="22"/>
  <c r="E991" i="22"/>
  <c r="D991" i="22"/>
  <c r="C982" i="22"/>
  <c r="C980" i="22"/>
  <c r="C978" i="22"/>
  <c r="D977" i="22"/>
  <c r="D978" i="22" s="1"/>
  <c r="D976" i="22"/>
  <c r="C967" i="22"/>
  <c r="C965" i="22"/>
  <c r="C963" i="22"/>
  <c r="D962" i="22"/>
  <c r="D963" i="22" s="1"/>
  <c r="D961" i="22"/>
  <c r="C952" i="22"/>
  <c r="C950" i="22"/>
  <c r="C948" i="22"/>
  <c r="D947" i="22"/>
  <c r="D948" i="22" s="1"/>
  <c r="D946" i="22"/>
  <c r="C936" i="22"/>
  <c r="C934" i="22"/>
  <c r="E933" i="22"/>
  <c r="L933" i="22" s="1"/>
  <c r="L934" i="22" s="1"/>
  <c r="E932" i="22"/>
  <c r="L932" i="22" s="1"/>
  <c r="C931" i="22"/>
  <c r="L930" i="22"/>
  <c r="L931" i="22" s="1"/>
  <c r="K930" i="22"/>
  <c r="K931" i="22" s="1"/>
  <c r="J930" i="22"/>
  <c r="J931" i="22" s="1"/>
  <c r="I930" i="22"/>
  <c r="I931" i="22" s="1"/>
  <c r="H930" i="22"/>
  <c r="H931" i="22" s="1"/>
  <c r="G930" i="22"/>
  <c r="G931" i="22" s="1"/>
  <c r="F930" i="22"/>
  <c r="F931" i="22" s="1"/>
  <c r="E930" i="22"/>
  <c r="E931" i="22" s="1"/>
  <c r="D930" i="22"/>
  <c r="D931" i="22" s="1"/>
  <c r="L929" i="22"/>
  <c r="K929" i="22"/>
  <c r="J929" i="22"/>
  <c r="I929" i="22"/>
  <c r="H929" i="22"/>
  <c r="G929" i="22"/>
  <c r="F929" i="22"/>
  <c r="E929" i="22"/>
  <c r="D929" i="22"/>
  <c r="C922" i="22"/>
  <c r="C920" i="22"/>
  <c r="C918" i="22"/>
  <c r="F917" i="22"/>
  <c r="F918" i="22" s="1"/>
  <c r="E917" i="22"/>
  <c r="E918" i="22" s="1"/>
  <c r="D917" i="22"/>
  <c r="D918" i="22" s="1"/>
  <c r="F916" i="22"/>
  <c r="E916" i="22"/>
  <c r="D916" i="22"/>
  <c r="C910" i="22"/>
  <c r="C908" i="22"/>
  <c r="E906" i="22"/>
  <c r="D906" i="22"/>
  <c r="C906" i="22"/>
  <c r="E905" i="22"/>
  <c r="F905" i="22" s="1"/>
  <c r="I904" i="22"/>
  <c r="H904" i="22"/>
  <c r="G904" i="22"/>
  <c r="F904" i="22"/>
  <c r="E904" i="22"/>
  <c r="D904" i="22"/>
  <c r="C894" i="22"/>
  <c r="C892" i="22"/>
  <c r="F889" i="22"/>
  <c r="E889" i="22"/>
  <c r="D889" i="22"/>
  <c r="C883" i="22"/>
  <c r="C881" i="22"/>
  <c r="E880" i="22"/>
  <c r="H880" i="22" s="1"/>
  <c r="H881" i="22" s="1"/>
  <c r="E879" i="22"/>
  <c r="E890" i="22" s="1"/>
  <c r="I878" i="22"/>
  <c r="H878" i="22"/>
  <c r="G878" i="22"/>
  <c r="F878" i="22"/>
  <c r="E878" i="22"/>
  <c r="D878" i="22"/>
  <c r="C870" i="22"/>
  <c r="C868" i="22"/>
  <c r="I866" i="22"/>
  <c r="H866" i="22"/>
  <c r="G866" i="22"/>
  <c r="F866" i="22"/>
  <c r="E866" i="22"/>
  <c r="D866" i="22"/>
  <c r="C856" i="22"/>
  <c r="C854" i="22"/>
  <c r="D852" i="22"/>
  <c r="C841" i="22"/>
  <c r="C839" i="22"/>
  <c r="E838" i="22"/>
  <c r="I838" i="22" s="1"/>
  <c r="I839" i="22" s="1"/>
  <c r="E837" i="22"/>
  <c r="F837" i="22" s="1"/>
  <c r="C836" i="22"/>
  <c r="I835" i="22"/>
  <c r="I836" i="22" s="1"/>
  <c r="H835" i="22"/>
  <c r="H836" i="22" s="1"/>
  <c r="G835" i="22"/>
  <c r="G836" i="22" s="1"/>
  <c r="F835" i="22"/>
  <c r="F836" i="22" s="1"/>
  <c r="E835" i="22"/>
  <c r="E836" i="22" s="1"/>
  <c r="D835" i="22"/>
  <c r="D836" i="22" s="1"/>
  <c r="O834" i="22"/>
  <c r="N834" i="22"/>
  <c r="M834" i="22"/>
  <c r="I834" i="22"/>
  <c r="H834" i="22"/>
  <c r="G834" i="22"/>
  <c r="F834" i="22"/>
  <c r="E834" i="22"/>
  <c r="D834" i="22"/>
  <c r="J830" i="22"/>
  <c r="C826" i="22"/>
  <c r="C824" i="22"/>
  <c r="E823" i="22"/>
  <c r="E824" i="22" s="1"/>
  <c r="E822" i="22"/>
  <c r="J821" i="22"/>
  <c r="C821" i="22"/>
  <c r="E820" i="22"/>
  <c r="E821" i="22" s="1"/>
  <c r="D820" i="22"/>
  <c r="D821" i="22" s="1"/>
  <c r="N819" i="22"/>
  <c r="O819" i="22" s="1"/>
  <c r="M819" i="22"/>
  <c r="J819" i="22"/>
  <c r="E819" i="22"/>
  <c r="D819" i="22"/>
  <c r="C811" i="22"/>
  <c r="C809" i="22"/>
  <c r="E808" i="22"/>
  <c r="E807" i="22"/>
  <c r="F807" i="22" s="1"/>
  <c r="C806" i="22"/>
  <c r="I805" i="22"/>
  <c r="I806" i="22" s="1"/>
  <c r="H805" i="22"/>
  <c r="H806" i="22" s="1"/>
  <c r="G805" i="22"/>
  <c r="G806" i="22" s="1"/>
  <c r="F805" i="22"/>
  <c r="F806" i="22" s="1"/>
  <c r="E805" i="22"/>
  <c r="E806" i="22" s="1"/>
  <c r="D805" i="22"/>
  <c r="D806" i="22" s="1"/>
  <c r="I804" i="22"/>
  <c r="H804" i="22"/>
  <c r="G804" i="22"/>
  <c r="F804" i="22"/>
  <c r="E804" i="22"/>
  <c r="D804" i="22"/>
  <c r="C797" i="22"/>
  <c r="C795" i="22"/>
  <c r="C793" i="22"/>
  <c r="I792" i="22"/>
  <c r="I793" i="22" s="1"/>
  <c r="H792" i="22"/>
  <c r="H793" i="22" s="1"/>
  <c r="G792" i="22"/>
  <c r="G793" i="22" s="1"/>
  <c r="F792" i="22"/>
  <c r="F793" i="22" s="1"/>
  <c r="E792" i="22"/>
  <c r="E793" i="22" s="1"/>
  <c r="D792" i="22"/>
  <c r="D793" i="22" s="1"/>
  <c r="I791" i="22"/>
  <c r="H791" i="22"/>
  <c r="G791" i="22"/>
  <c r="F791" i="22"/>
  <c r="E791" i="22"/>
  <c r="D791" i="22"/>
  <c r="C783" i="22"/>
  <c r="C781" i="22"/>
  <c r="E780" i="22"/>
  <c r="I780" i="22" s="1"/>
  <c r="I781" i="22" s="1"/>
  <c r="E779" i="22"/>
  <c r="F779" i="22" s="1"/>
  <c r="C778" i="22"/>
  <c r="I777" i="22"/>
  <c r="I778" i="22" s="1"/>
  <c r="H777" i="22"/>
  <c r="H778" i="22" s="1"/>
  <c r="G777" i="22"/>
  <c r="G778" i="22" s="1"/>
  <c r="F777" i="22"/>
  <c r="F778" i="22" s="1"/>
  <c r="E777" i="22"/>
  <c r="E778" i="22" s="1"/>
  <c r="D777" i="22"/>
  <c r="D778" i="22" s="1"/>
  <c r="D776" i="22"/>
  <c r="E776" i="22" s="1"/>
  <c r="F776" i="22" s="1"/>
  <c r="G776" i="22" s="1"/>
  <c r="H776" i="22" s="1"/>
  <c r="I776" i="22" s="1"/>
  <c r="C769" i="22"/>
  <c r="C767" i="22"/>
  <c r="C765" i="22"/>
  <c r="I764" i="22"/>
  <c r="I765" i="22" s="1"/>
  <c r="H764" i="22"/>
  <c r="H765" i="22" s="1"/>
  <c r="G764" i="22"/>
  <c r="G765" i="22" s="1"/>
  <c r="F764" i="22"/>
  <c r="F765" i="22" s="1"/>
  <c r="E764" i="22"/>
  <c r="E765" i="22" s="1"/>
  <c r="D764" i="22"/>
  <c r="D765" i="22" s="1"/>
  <c r="I763" i="22"/>
  <c r="H763" i="22"/>
  <c r="G763" i="22"/>
  <c r="F763" i="22"/>
  <c r="E763" i="22"/>
  <c r="D763" i="22"/>
  <c r="H755" i="22"/>
  <c r="F755" i="22"/>
  <c r="I755" i="22" s="1"/>
  <c r="D754" i="22"/>
  <c r="F753" i="22"/>
  <c r="I753" i="22" s="1"/>
  <c r="F752" i="22"/>
  <c r="I752" i="22" s="1"/>
  <c r="F751" i="22"/>
  <c r="I751" i="22" s="1"/>
  <c r="F750" i="22"/>
  <c r="I750" i="22" s="1"/>
  <c r="D748" i="22"/>
  <c r="C748" i="22"/>
  <c r="H747" i="22"/>
  <c r="F747" i="22"/>
  <c r="I747" i="22" s="1"/>
  <c r="H746" i="22"/>
  <c r="F746" i="22"/>
  <c r="I746" i="22" s="1"/>
  <c r="F745" i="22"/>
  <c r="I745" i="22" s="1"/>
  <c r="F743" i="22"/>
  <c r="I743" i="22" s="1"/>
  <c r="F741" i="22"/>
  <c r="I741" i="22" s="1"/>
  <c r="C733" i="22"/>
  <c r="C731" i="22"/>
  <c r="C729" i="22"/>
  <c r="F728" i="22"/>
  <c r="F729" i="22" s="1"/>
  <c r="E728" i="22"/>
  <c r="E729" i="22" s="1"/>
  <c r="D728" i="22"/>
  <c r="D729" i="22" s="1"/>
  <c r="F727" i="22"/>
  <c r="E727" i="22"/>
  <c r="D727" i="22"/>
  <c r="C721" i="22"/>
  <c r="C719" i="22"/>
  <c r="C717" i="22"/>
  <c r="I716" i="22"/>
  <c r="I717" i="22" s="1"/>
  <c r="H716" i="22"/>
  <c r="H717" i="22" s="1"/>
  <c r="G716" i="22"/>
  <c r="G717" i="22" s="1"/>
  <c r="F716" i="22"/>
  <c r="F717" i="22" s="1"/>
  <c r="E716" i="22"/>
  <c r="E717" i="22" s="1"/>
  <c r="D716" i="22"/>
  <c r="D717" i="22" s="1"/>
  <c r="I715" i="22"/>
  <c r="H715" i="22"/>
  <c r="G715" i="22"/>
  <c r="F715" i="22"/>
  <c r="E715" i="22"/>
  <c r="D715" i="22"/>
  <c r="C707" i="22"/>
  <c r="C705" i="22"/>
  <c r="C702" i="22"/>
  <c r="F701" i="22"/>
  <c r="F702" i="22" s="1"/>
  <c r="E701" i="22"/>
  <c r="E702" i="22" s="1"/>
  <c r="D701" i="22"/>
  <c r="D702" i="22" s="1"/>
  <c r="F700" i="22"/>
  <c r="E700" i="22"/>
  <c r="D700" i="22"/>
  <c r="C694" i="22"/>
  <c r="C692" i="22"/>
  <c r="E691" i="22"/>
  <c r="G691" i="22" s="1"/>
  <c r="G692" i="22" s="1"/>
  <c r="E690" i="22"/>
  <c r="D703" i="22" s="1"/>
  <c r="C689" i="22"/>
  <c r="I688" i="22"/>
  <c r="I689" i="22" s="1"/>
  <c r="H688" i="22"/>
  <c r="H689" i="22" s="1"/>
  <c r="G688" i="22"/>
  <c r="G689" i="22" s="1"/>
  <c r="F688" i="22"/>
  <c r="F689" i="22" s="1"/>
  <c r="E688" i="22"/>
  <c r="E689" i="22" s="1"/>
  <c r="D688" i="22"/>
  <c r="D689" i="22" s="1"/>
  <c r="I687" i="22"/>
  <c r="H687" i="22"/>
  <c r="G687" i="22"/>
  <c r="F687" i="22"/>
  <c r="E687" i="22"/>
  <c r="D687" i="22"/>
  <c r="C680" i="22"/>
  <c r="C678" i="22"/>
  <c r="C676" i="22"/>
  <c r="L675" i="22"/>
  <c r="L676" i="22" s="1"/>
  <c r="K675" i="22"/>
  <c r="K676" i="22" s="1"/>
  <c r="J675" i="22"/>
  <c r="J676" i="22" s="1"/>
  <c r="I675" i="22"/>
  <c r="I676" i="22" s="1"/>
  <c r="H675" i="22"/>
  <c r="H676" i="22" s="1"/>
  <c r="G675" i="22"/>
  <c r="G676" i="22" s="1"/>
  <c r="F675" i="22"/>
  <c r="F676" i="22" s="1"/>
  <c r="E675" i="22"/>
  <c r="E676" i="22" s="1"/>
  <c r="D675" i="22"/>
  <c r="D676" i="22" s="1"/>
  <c r="L674" i="22"/>
  <c r="K674" i="22"/>
  <c r="J674" i="22"/>
  <c r="I674" i="22"/>
  <c r="H674" i="22"/>
  <c r="G674" i="22"/>
  <c r="F674" i="22"/>
  <c r="E674" i="22"/>
  <c r="D674" i="22"/>
  <c r="H666" i="22"/>
  <c r="F666" i="22"/>
  <c r="I666" i="22" s="1"/>
  <c r="D665" i="22"/>
  <c r="F664" i="22"/>
  <c r="I664" i="22" s="1"/>
  <c r="F663" i="22"/>
  <c r="I663" i="22" s="1"/>
  <c r="F662" i="22"/>
  <c r="I662" i="22" s="1"/>
  <c r="F661" i="22"/>
  <c r="I661" i="22" s="1"/>
  <c r="D659" i="22"/>
  <c r="C659" i="22"/>
  <c r="H658" i="22"/>
  <c r="F658" i="22"/>
  <c r="I658" i="22" s="1"/>
  <c r="H657" i="22"/>
  <c r="F657" i="22"/>
  <c r="I657" i="22" s="1"/>
  <c r="F656" i="22"/>
  <c r="I656" i="22" s="1"/>
  <c r="F654" i="22"/>
  <c r="I654" i="22" s="1"/>
  <c r="F652" i="22"/>
  <c r="I652" i="22" s="1"/>
  <c r="D644" i="22"/>
  <c r="C644" i="22"/>
  <c r="D639" i="22"/>
  <c r="C639" i="22"/>
  <c r="D637" i="22"/>
  <c r="C637" i="22"/>
  <c r="F636" i="22"/>
  <c r="D636" i="22"/>
  <c r="F635" i="22"/>
  <c r="D635" i="22"/>
  <c r="D629" i="22"/>
  <c r="C629" i="22"/>
  <c r="D627" i="22"/>
  <c r="C627" i="22"/>
  <c r="F626" i="22"/>
  <c r="D626" i="22"/>
  <c r="F625" i="22"/>
  <c r="I625" i="22" s="1"/>
  <c r="D625" i="22"/>
  <c r="D620" i="22"/>
  <c r="C620" i="22"/>
  <c r="D618" i="22"/>
  <c r="C618" i="22"/>
  <c r="F617" i="22"/>
  <c r="I617" i="22" s="1"/>
  <c r="F618" i="22" s="1"/>
  <c r="D617" i="22"/>
  <c r="F616" i="22"/>
  <c r="I616" i="22" s="1"/>
  <c r="D616" i="22"/>
  <c r="D610" i="22"/>
  <c r="C610" i="22"/>
  <c r="D608" i="22"/>
  <c r="C608" i="22"/>
  <c r="F607" i="22"/>
  <c r="I607" i="22" s="1"/>
  <c r="F608" i="22" s="1"/>
  <c r="D607" i="22"/>
  <c r="F606" i="22"/>
  <c r="D606" i="22"/>
  <c r="D600" i="22"/>
  <c r="C600" i="22"/>
  <c r="D598" i="22"/>
  <c r="C598" i="22"/>
  <c r="F597" i="22"/>
  <c r="D597" i="22"/>
  <c r="F596" i="22"/>
  <c r="I596" i="22" s="1"/>
  <c r="D596" i="22"/>
  <c r="D590" i="22"/>
  <c r="C590" i="22"/>
  <c r="D588" i="22"/>
  <c r="C588" i="22"/>
  <c r="F587" i="22"/>
  <c r="I587" i="22" s="1"/>
  <c r="F588" i="22" s="1"/>
  <c r="D587" i="22"/>
  <c r="F586" i="22"/>
  <c r="D586" i="22"/>
  <c r="D581" i="22"/>
  <c r="C581" i="22"/>
  <c r="D579" i="22"/>
  <c r="C579" i="22"/>
  <c r="F578" i="22"/>
  <c r="D578" i="22"/>
  <c r="F577" i="22"/>
  <c r="I577" i="22" s="1"/>
  <c r="D577" i="22"/>
  <c r="D571" i="22"/>
  <c r="C571" i="22"/>
  <c r="D569" i="22"/>
  <c r="C569" i="22"/>
  <c r="F568" i="22"/>
  <c r="I568" i="22" s="1"/>
  <c r="F569" i="22" s="1"/>
  <c r="D568" i="22"/>
  <c r="F567" i="22"/>
  <c r="I567" i="22" s="1"/>
  <c r="D567" i="22"/>
  <c r="D561" i="22"/>
  <c r="C561" i="22"/>
  <c r="D559" i="22"/>
  <c r="C559" i="22"/>
  <c r="F558" i="22"/>
  <c r="I558" i="22" s="1"/>
  <c r="F559" i="22" s="1"/>
  <c r="D558" i="22"/>
  <c r="F557" i="22"/>
  <c r="D557" i="22"/>
  <c r="D551" i="22"/>
  <c r="C551" i="22"/>
  <c r="D549" i="22"/>
  <c r="C549" i="22"/>
  <c r="F548" i="22"/>
  <c r="I548" i="22" s="1"/>
  <c r="F549" i="22" s="1"/>
  <c r="D548" i="22"/>
  <c r="F547" i="22"/>
  <c r="I547" i="22" s="1"/>
  <c r="D547" i="22"/>
  <c r="D541" i="22"/>
  <c r="C541" i="22"/>
  <c r="D539" i="22"/>
  <c r="C539" i="22"/>
  <c r="F538" i="22"/>
  <c r="I538" i="22" s="1"/>
  <c r="F539" i="22" s="1"/>
  <c r="F537" i="22"/>
  <c r="I537" i="22" s="1"/>
  <c r="D531" i="22"/>
  <c r="C531" i="22"/>
  <c r="D529" i="22"/>
  <c r="C529" i="22"/>
  <c r="F528" i="22"/>
  <c r="I528" i="22" s="1"/>
  <c r="F529" i="22" s="1"/>
  <c r="F527" i="22"/>
  <c r="I527" i="22" s="1"/>
  <c r="D521" i="22"/>
  <c r="C521" i="22"/>
  <c r="D519" i="22"/>
  <c r="C519" i="22"/>
  <c r="F518" i="22"/>
  <c r="I518" i="22" s="1"/>
  <c r="F519" i="22" s="1"/>
  <c r="F517" i="22"/>
  <c r="I517" i="22" s="1"/>
  <c r="H512" i="22"/>
  <c r="F512" i="22"/>
  <c r="I512" i="22" s="1"/>
  <c r="D511" i="22"/>
  <c r="F510" i="22"/>
  <c r="I510" i="22" s="1"/>
  <c r="F509" i="22"/>
  <c r="I509" i="22" s="1"/>
  <c r="F508" i="22"/>
  <c r="I508" i="22" s="1"/>
  <c r="F507" i="22"/>
  <c r="I507" i="22" s="1"/>
  <c r="D505" i="22"/>
  <c r="C505" i="22"/>
  <c r="H504" i="22"/>
  <c r="F504" i="22"/>
  <c r="I504" i="22" s="1"/>
  <c r="H503" i="22"/>
  <c r="F503" i="22"/>
  <c r="I503" i="22" s="1"/>
  <c r="F502" i="22"/>
  <c r="I502" i="22" s="1"/>
  <c r="F500" i="22"/>
  <c r="I500" i="22" s="1"/>
  <c r="F498" i="22"/>
  <c r="I498" i="22" s="1"/>
  <c r="D490" i="22"/>
  <c r="C490" i="22"/>
  <c r="D488" i="22"/>
  <c r="C488" i="22"/>
  <c r="H487" i="22"/>
  <c r="F487" i="22"/>
  <c r="I487" i="22" s="1"/>
  <c r="H486" i="22"/>
  <c r="F486" i="22"/>
  <c r="I486" i="22" s="1"/>
  <c r="F484" i="22"/>
  <c r="D484" i="22"/>
  <c r="H483" i="22"/>
  <c r="F483" i="22"/>
  <c r="I483" i="22" s="1"/>
  <c r="H482" i="22"/>
  <c r="F482" i="22"/>
  <c r="I482" i="22" s="1"/>
  <c r="H480" i="22"/>
  <c r="F480" i="22"/>
  <c r="I480" i="22" s="1"/>
  <c r="F479" i="22"/>
  <c r="I479" i="22" s="1"/>
  <c r="H478" i="22"/>
  <c r="F478" i="22"/>
  <c r="I478" i="22" s="1"/>
  <c r="H477" i="22"/>
  <c r="F477" i="22"/>
  <c r="I477" i="22" s="1"/>
  <c r="D470" i="22"/>
  <c r="C470" i="22"/>
  <c r="D468" i="22"/>
  <c r="C468" i="22"/>
  <c r="H467" i="22"/>
  <c r="F467" i="22"/>
  <c r="I467" i="22" s="1"/>
  <c r="H466" i="22"/>
  <c r="F466" i="22"/>
  <c r="I466" i="22" s="1"/>
  <c r="F464" i="22"/>
  <c r="D464" i="22"/>
  <c r="H463" i="22"/>
  <c r="F463" i="22"/>
  <c r="I463" i="22" s="1"/>
  <c r="H462" i="22"/>
  <c r="F462" i="22"/>
  <c r="I462" i="22" s="1"/>
  <c r="H460" i="22"/>
  <c r="F460" i="22"/>
  <c r="I460" i="22" s="1"/>
  <c r="F459" i="22"/>
  <c r="I459" i="22" s="1"/>
  <c r="H458" i="22"/>
  <c r="F458" i="22"/>
  <c r="I458" i="22" s="1"/>
  <c r="H457" i="22"/>
  <c r="F457" i="22"/>
  <c r="I457" i="22" s="1"/>
  <c r="D449" i="22"/>
  <c r="C449" i="22"/>
  <c r="D445" i="22"/>
  <c r="C445" i="22"/>
  <c r="H444" i="22"/>
  <c r="F444" i="22"/>
  <c r="I444" i="22" s="1"/>
  <c r="H443" i="22"/>
  <c r="F443" i="22"/>
  <c r="I443" i="22" s="1"/>
  <c r="H441" i="22"/>
  <c r="F441" i="22"/>
  <c r="I441" i="22" s="1"/>
  <c r="H440" i="22"/>
  <c r="F440" i="22"/>
  <c r="I440" i="22" s="1"/>
  <c r="H439" i="22"/>
  <c r="F439" i="22"/>
  <c r="I439" i="22" s="1"/>
  <c r="D431" i="22"/>
  <c r="C431" i="22"/>
  <c r="D427" i="22"/>
  <c r="C427" i="22"/>
  <c r="H426" i="22"/>
  <c r="F426" i="22"/>
  <c r="I426" i="22" s="1"/>
  <c r="H425" i="22"/>
  <c r="F425" i="22"/>
  <c r="I425" i="22" s="1"/>
  <c r="H423" i="22"/>
  <c r="F423" i="22"/>
  <c r="I423" i="22" s="1"/>
  <c r="H422" i="22"/>
  <c r="F422" i="22"/>
  <c r="I422" i="22" s="1"/>
  <c r="H421" i="22"/>
  <c r="F421" i="22"/>
  <c r="I421" i="22" s="1"/>
  <c r="D413" i="22"/>
  <c r="C413" i="22"/>
  <c r="D411" i="22"/>
  <c r="C411" i="22"/>
  <c r="H410" i="22"/>
  <c r="F410" i="22"/>
  <c r="I410" i="22" s="1"/>
  <c r="H409" i="22"/>
  <c r="F409" i="22"/>
  <c r="I409" i="22" s="1"/>
  <c r="D407" i="22"/>
  <c r="H406" i="22"/>
  <c r="F406" i="22"/>
  <c r="I406" i="22" s="1"/>
  <c r="F407" i="22" s="1"/>
  <c r="H405" i="22"/>
  <c r="F405" i="22"/>
  <c r="I405" i="22" s="1"/>
  <c r="H403" i="22"/>
  <c r="F403" i="22"/>
  <c r="I403" i="22" s="1"/>
  <c r="H402" i="22"/>
  <c r="F402" i="22"/>
  <c r="I402" i="22" s="1"/>
  <c r="H401" i="22"/>
  <c r="F401" i="22"/>
  <c r="I401" i="22" s="1"/>
  <c r="H400" i="22"/>
  <c r="F400" i="22"/>
  <c r="I400" i="22" s="1"/>
  <c r="D392" i="22"/>
  <c r="C392" i="22"/>
  <c r="D390" i="22"/>
  <c r="C390" i="22"/>
  <c r="H389" i="22"/>
  <c r="F389" i="22"/>
  <c r="I389" i="22" s="1"/>
  <c r="H388" i="22"/>
  <c r="F388" i="22"/>
  <c r="I388" i="22" s="1"/>
  <c r="D386" i="22"/>
  <c r="H385" i="22"/>
  <c r="F385" i="22"/>
  <c r="I385" i="22" s="1"/>
  <c r="F386" i="22" s="1"/>
  <c r="H384" i="22"/>
  <c r="F384" i="22"/>
  <c r="I384" i="22" s="1"/>
  <c r="H382" i="22"/>
  <c r="F382" i="22"/>
  <c r="I382" i="22" s="1"/>
  <c r="H381" i="22"/>
  <c r="F381" i="22"/>
  <c r="I381" i="22" s="1"/>
  <c r="H380" i="22"/>
  <c r="F380" i="22"/>
  <c r="I380" i="22" s="1"/>
  <c r="H379" i="22"/>
  <c r="F379" i="22"/>
  <c r="I379" i="22" s="1"/>
  <c r="D370" i="22"/>
  <c r="C370" i="22"/>
  <c r="D367" i="22"/>
  <c r="D365" i="22"/>
  <c r="C365" i="22"/>
  <c r="F364" i="22"/>
  <c r="I364" i="22" s="1"/>
  <c r="F363" i="22"/>
  <c r="I363" i="22" s="1"/>
  <c r="F362" i="22"/>
  <c r="I362" i="22" s="1"/>
  <c r="I360" i="22"/>
  <c r="D349" i="22"/>
  <c r="C349" i="22"/>
  <c r="D347" i="22"/>
  <c r="D346" i="22"/>
  <c r="C346" i="22"/>
  <c r="F345" i="22"/>
  <c r="I345" i="22" s="1"/>
  <c r="F344" i="22"/>
  <c r="I344" i="22" s="1"/>
  <c r="F343" i="22"/>
  <c r="I343" i="22" s="1"/>
  <c r="F340" i="22"/>
  <c r="I340" i="22" s="1"/>
  <c r="D330" i="22"/>
  <c r="C330" i="22"/>
  <c r="H328" i="22"/>
  <c r="F328" i="22"/>
  <c r="I328" i="22" s="1"/>
  <c r="F327" i="22"/>
  <c r="I327" i="22" s="1"/>
  <c r="D325" i="22"/>
  <c r="C325" i="22"/>
  <c r="F324" i="22"/>
  <c r="I324" i="22" s="1"/>
  <c r="D316" i="22"/>
  <c r="C316" i="22"/>
  <c r="F314" i="22"/>
  <c r="I314" i="22" s="1"/>
  <c r="I315" i="22" s="1"/>
  <c r="F309" i="22"/>
  <c r="I309" i="22" s="1"/>
  <c r="I310" i="22" s="1"/>
  <c r="I311" i="22" s="1"/>
  <c r="D303" i="22"/>
  <c r="C303" i="22"/>
  <c r="D301" i="22"/>
  <c r="F300" i="22"/>
  <c r="I300" i="22" s="1"/>
  <c r="F299" i="22"/>
  <c r="I299" i="22" s="1"/>
  <c r="F297" i="22"/>
  <c r="I297" i="22" s="1"/>
  <c r="F296" i="22"/>
  <c r="I296" i="22" s="1"/>
  <c r="D294" i="22"/>
  <c r="C294" i="22"/>
  <c r="F293" i="22"/>
  <c r="I293" i="22" s="1"/>
  <c r="H290" i="22"/>
  <c r="D283" i="22"/>
  <c r="C283" i="22"/>
  <c r="F281" i="22"/>
  <c r="I281" i="22" s="1"/>
  <c r="F280" i="22"/>
  <c r="I280" i="22" s="1"/>
  <c r="D278" i="22"/>
  <c r="F277" i="22"/>
  <c r="I277" i="22" s="1"/>
  <c r="F276" i="22"/>
  <c r="I276" i="22" s="1"/>
  <c r="F274" i="22"/>
  <c r="I274" i="22" s="1"/>
  <c r="F273" i="22"/>
  <c r="I273" i="22" s="1"/>
  <c r="D271" i="22"/>
  <c r="C271" i="22"/>
  <c r="F270" i="22"/>
  <c r="I270" i="22" s="1"/>
  <c r="F269" i="22"/>
  <c r="I269" i="22" s="1"/>
  <c r="F268" i="22"/>
  <c r="I268" i="22" s="1"/>
  <c r="H265" i="22"/>
  <c r="D258" i="22"/>
  <c r="C258" i="22"/>
  <c r="D256" i="22"/>
  <c r="F255" i="22"/>
  <c r="I255" i="22" s="1"/>
  <c r="F256" i="22" s="1"/>
  <c r="F254" i="22"/>
  <c r="I254" i="22" s="1"/>
  <c r="D252" i="22"/>
  <c r="C252" i="22"/>
  <c r="F251" i="22"/>
  <c r="I251" i="22" s="1"/>
  <c r="H248" i="22"/>
  <c r="D240" i="22"/>
  <c r="C240" i="22"/>
  <c r="D238" i="22"/>
  <c r="C238" i="22"/>
  <c r="F237" i="22"/>
  <c r="I237" i="22" s="1"/>
  <c r="H234" i="22"/>
  <c r="D226" i="22"/>
  <c r="C226" i="22"/>
  <c r="D224" i="22"/>
  <c r="F223" i="22"/>
  <c r="I223" i="22" s="1"/>
  <c r="F224" i="22" s="1"/>
  <c r="F222" i="22"/>
  <c r="I222" i="22" s="1"/>
  <c r="D220" i="22"/>
  <c r="C220" i="22"/>
  <c r="F219" i="22"/>
  <c r="I219" i="22" s="1"/>
  <c r="H216" i="22"/>
  <c r="D208" i="22"/>
  <c r="C208" i="22"/>
  <c r="D206" i="22"/>
  <c r="F205" i="22"/>
  <c r="I205" i="22" s="1"/>
  <c r="F206" i="22" s="1"/>
  <c r="F204" i="22"/>
  <c r="I204" i="22" s="1"/>
  <c r="K203" i="22"/>
  <c r="D202" i="22"/>
  <c r="C202" i="22"/>
  <c r="F201" i="22"/>
  <c r="I201" i="22" s="1"/>
  <c r="H198" i="22"/>
  <c r="D191" i="22"/>
  <c r="C191" i="22"/>
  <c r="D190" i="22"/>
  <c r="C190" i="22"/>
  <c r="F189" i="22"/>
  <c r="D189" i="22"/>
  <c r="D181" i="22"/>
  <c r="C181" i="22"/>
  <c r="D179" i="22"/>
  <c r="C179" i="22"/>
  <c r="F178" i="22"/>
  <c r="I178" i="22" s="1"/>
  <c r="H175" i="22"/>
  <c r="D168" i="22"/>
  <c r="C168" i="22"/>
  <c r="D166" i="22"/>
  <c r="C166" i="22"/>
  <c r="F165" i="22"/>
  <c r="I165" i="22" s="1"/>
  <c r="F164" i="22"/>
  <c r="I164" i="22" s="1"/>
  <c r="F163" i="22"/>
  <c r="I163" i="22" s="1"/>
  <c r="D157" i="22"/>
  <c r="C157" i="22"/>
  <c r="D155" i="22"/>
  <c r="C155" i="22"/>
  <c r="F154" i="22"/>
  <c r="I154" i="22" s="1"/>
  <c r="F153" i="22"/>
  <c r="I153" i="22" s="1"/>
  <c r="F152" i="22"/>
  <c r="I152" i="22" s="1"/>
  <c r="A148" i="22"/>
  <c r="A172" i="22" s="1"/>
  <c r="A186" i="22" s="1"/>
  <c r="A195" i="22" s="1"/>
  <c r="D144" i="22"/>
  <c r="C144" i="22"/>
  <c r="D141" i="22"/>
  <c r="C141" i="22"/>
  <c r="F140" i="22"/>
  <c r="I140" i="22" s="1"/>
  <c r="D135" i="22"/>
  <c r="C135" i="22"/>
  <c r="D132" i="22"/>
  <c r="C132" i="22"/>
  <c r="F131" i="22"/>
  <c r="I131" i="22" s="1"/>
  <c r="D126" i="22"/>
  <c r="C126" i="22"/>
  <c r="D123" i="22"/>
  <c r="C123" i="22"/>
  <c r="F122" i="22"/>
  <c r="I122" i="22" s="1"/>
  <c r="D117" i="22"/>
  <c r="C117" i="22"/>
  <c r="D114" i="22"/>
  <c r="C114" i="22"/>
  <c r="F113" i="22"/>
  <c r="I113" i="22" s="1"/>
  <c r="D107" i="22"/>
  <c r="C107" i="22"/>
  <c r="D105" i="22"/>
  <c r="C105" i="22"/>
  <c r="F104" i="22"/>
  <c r="I104" i="22" s="1"/>
  <c r="D99" i="22"/>
  <c r="C99" i="22"/>
  <c r="D96" i="22"/>
  <c r="C96" i="22"/>
  <c r="F95" i="22"/>
  <c r="I95" i="22" s="1"/>
  <c r="D90" i="22"/>
  <c r="C90" i="22"/>
  <c r="D87" i="22"/>
  <c r="C87" i="22"/>
  <c r="F86" i="22"/>
  <c r="I86" i="22" s="1"/>
  <c r="D81" i="22"/>
  <c r="C81" i="22"/>
  <c r="D79" i="22"/>
  <c r="C79" i="22"/>
  <c r="F78" i="22"/>
  <c r="I78" i="22" s="1"/>
  <c r="F79" i="22" s="1"/>
  <c r="D73" i="22"/>
  <c r="C73" i="22"/>
  <c r="D70" i="22"/>
  <c r="C70" i="22"/>
  <c r="F69" i="22"/>
  <c r="I69" i="22" s="1"/>
  <c r="D63" i="22"/>
  <c r="C63" i="22"/>
  <c r="D61" i="22"/>
  <c r="C61" i="22"/>
  <c r="F60" i="22"/>
  <c r="I60" i="22" s="1"/>
  <c r="F59" i="22"/>
  <c r="I59" i="22" s="1"/>
  <c r="D57" i="22"/>
  <c r="C57" i="22"/>
  <c r="F56" i="22"/>
  <c r="I56" i="22" s="1"/>
  <c r="D50" i="22"/>
  <c r="C50" i="22"/>
  <c r="D48" i="22"/>
  <c r="C48" i="22"/>
  <c r="F47" i="22"/>
  <c r="I47" i="22" s="1"/>
  <c r="D41" i="22"/>
  <c r="C41" i="22"/>
  <c r="D39" i="22"/>
  <c r="C39" i="22"/>
  <c r="F38" i="22"/>
  <c r="I38" i="22" s="1"/>
  <c r="D32" i="22"/>
  <c r="C32" i="22"/>
  <c r="D30" i="22"/>
  <c r="C30" i="22"/>
  <c r="F29" i="22"/>
  <c r="I29" i="22" s="1"/>
  <c r="F30" i="22" s="1"/>
  <c r="E21" i="22"/>
  <c r="F21" i="22" s="1"/>
  <c r="E20" i="22"/>
  <c r="F20" i="22" s="1"/>
  <c r="E19" i="22"/>
  <c r="F19" i="22" s="1"/>
  <c r="E15" i="22"/>
  <c r="F15" i="22" s="1"/>
  <c r="E14" i="22"/>
  <c r="F14" i="22" s="1"/>
  <c r="E13" i="22"/>
  <c r="F13" i="22" s="1"/>
  <c r="E12" i="22"/>
  <c r="F12" i="22" s="1"/>
  <c r="C8" i="22"/>
  <c r="I7" i="22"/>
  <c r="H7" i="22"/>
  <c r="G7" i="22"/>
  <c r="F7" i="22"/>
  <c r="E7" i="22"/>
  <c r="D7" i="22"/>
  <c r="E8" i="22" s="1"/>
  <c r="I6" i="22"/>
  <c r="H6" i="22"/>
  <c r="G6" i="22"/>
  <c r="F6" i="22"/>
  <c r="E6" i="22"/>
  <c r="D6" i="22"/>
  <c r="D5" i="22"/>
  <c r="H5" i="22" s="1"/>
  <c r="M1" i="22"/>
  <c r="O1" i="22" s="1"/>
  <c r="L1" i="22"/>
  <c r="A1" i="22"/>
  <c r="I674" i="12"/>
  <c r="B26" i="21"/>
  <c r="B23" i="21"/>
  <c r="H21" i="21"/>
  <c r="B21" i="21"/>
  <c r="H20" i="21"/>
  <c r="H19" i="21"/>
  <c r="H18" i="21"/>
  <c r="H17" i="21"/>
  <c r="H15" i="21"/>
  <c r="C14" i="21"/>
  <c r="H14" i="21" s="1"/>
  <c r="F12" i="21"/>
  <c r="C22" i="21" s="1"/>
  <c r="H22" i="21" s="1"/>
  <c r="F10" i="21"/>
  <c r="F8" i="21"/>
  <c r="G6" i="21"/>
  <c r="J191" i="18"/>
  <c r="J192" i="18" s="1"/>
  <c r="F1994" i="22" l="1"/>
  <c r="I1193" i="23"/>
  <c r="I682" i="23"/>
  <c r="F683" i="23" s="1"/>
  <c r="F1487" i="22"/>
  <c r="I826" i="23"/>
  <c r="I671" i="23"/>
  <c r="I602" i="23"/>
  <c r="F11" i="21"/>
  <c r="N640" i="12"/>
  <c r="I3818" i="22"/>
  <c r="H837" i="22"/>
  <c r="I309" i="23"/>
  <c r="I1111" i="23"/>
  <c r="G690" i="22"/>
  <c r="I1137" i="23"/>
  <c r="F3300" i="22"/>
  <c r="I3300" i="22" s="1"/>
  <c r="I3866" i="22"/>
  <c r="I4802" i="22"/>
  <c r="F3240" i="22"/>
  <c r="I3248" i="22" s="1"/>
  <c r="I3249" i="22" s="1"/>
  <c r="I3888" i="22"/>
  <c r="G1157" i="22"/>
  <c r="I519" i="22"/>
  <c r="I2174" i="22"/>
  <c r="I2513" i="22"/>
  <c r="F1056" i="22"/>
  <c r="F4960" i="22"/>
  <c r="I4960" i="22" s="1"/>
  <c r="I549" i="22"/>
  <c r="F1686" i="22"/>
  <c r="I363" i="23"/>
  <c r="F364" i="23" s="1"/>
  <c r="I779" i="22"/>
  <c r="E1185" i="22"/>
  <c r="E1186" i="22" s="1"/>
  <c r="I4687" i="22"/>
  <c r="I107" i="23"/>
  <c r="I228" i="23"/>
  <c r="I464" i="22"/>
  <c r="F754" i="22"/>
  <c r="I283" i="23"/>
  <c r="F284" i="23" s="1"/>
  <c r="I284" i="23" s="1"/>
  <c r="F155" i="22"/>
  <c r="I155" i="22" s="1"/>
  <c r="F1655" i="22"/>
  <c r="F4695" i="22"/>
  <c r="I4695" i="22" s="1"/>
  <c r="I155" i="23"/>
  <c r="I160" i="23"/>
  <c r="F161" i="23" s="1"/>
  <c r="I187" i="23"/>
  <c r="I683" i="23"/>
  <c r="I875" i="23"/>
  <c r="I876" i="23" s="1"/>
  <c r="I879" i="23" s="1"/>
  <c r="F880" i="23" s="1"/>
  <c r="I880" i="23" s="1"/>
  <c r="I881" i="23" s="1"/>
  <c r="I882" i="23" s="1"/>
  <c r="I885" i="23"/>
  <c r="I887" i="23" s="1"/>
  <c r="I888" i="23" s="1"/>
  <c r="I891" i="23" s="1"/>
  <c r="F892" i="23" s="1"/>
  <c r="I892" i="23" s="1"/>
  <c r="I893" i="23" s="1"/>
  <c r="I894" i="23" s="1"/>
  <c r="F4906" i="22"/>
  <c r="I4906" i="22" s="1"/>
  <c r="F4907" i="22" s="1"/>
  <c r="I4907" i="22" s="1"/>
  <c r="I4908" i="22" s="1"/>
  <c r="I1067" i="23"/>
  <c r="I1068" i="23" s="1"/>
  <c r="I1069" i="23" s="1"/>
  <c r="G1574" i="22"/>
  <c r="G1575" i="22" s="1"/>
  <c r="I484" i="22"/>
  <c r="H779" i="22"/>
  <c r="F1157" i="22"/>
  <c r="D1185" i="22"/>
  <c r="D1186" i="22" s="1"/>
  <c r="F1360" i="22"/>
  <c r="J1360" i="22" s="1"/>
  <c r="I1574" i="22"/>
  <c r="I1575" i="22" s="1"/>
  <c r="F2517" i="22"/>
  <c r="G2523" i="22" s="1"/>
  <c r="G2524" i="22" s="1"/>
  <c r="I3903" i="22"/>
  <c r="I4763" i="22"/>
  <c r="I8" i="23"/>
  <c r="F197" i="23" s="1"/>
  <c r="I197" i="23" s="1"/>
  <c r="F198" i="23" s="1"/>
  <c r="I198" i="23" s="1"/>
  <c r="I75" i="23"/>
  <c r="I281" i="23"/>
  <c r="F282" i="23" s="1"/>
  <c r="I282" i="23" s="1"/>
  <c r="F3010" i="22"/>
  <c r="I3010" i="22" s="1"/>
  <c r="I1994" i="22"/>
  <c r="F3941" i="22"/>
  <c r="I3941" i="22" s="1"/>
  <c r="F3942" i="22" s="1"/>
  <c r="I608" i="22"/>
  <c r="F879" i="22"/>
  <c r="F1158" i="22"/>
  <c r="F1159" i="22" s="1"/>
  <c r="F1417" i="22"/>
  <c r="I1530" i="22"/>
  <c r="F2017" i="22"/>
  <c r="E2025" i="22" s="1"/>
  <c r="E2026" i="22" s="1"/>
  <c r="I4796" i="22"/>
  <c r="I925" i="23"/>
  <c r="F926" i="23" s="1"/>
  <c r="I926" i="23" s="1"/>
  <c r="I927" i="23" s="1"/>
  <c r="I928" i="23" s="1"/>
  <c r="I189" i="22"/>
  <c r="F190" i="22" s="1"/>
  <c r="I190" i="22" s="1"/>
  <c r="F191" i="22" s="1"/>
  <c r="I191" i="22" s="1"/>
  <c r="F1952" i="22"/>
  <c r="I74" i="23"/>
  <c r="N639" i="12"/>
  <c r="N641" i="12"/>
  <c r="F3739" i="22"/>
  <c r="K3754" i="22" s="1"/>
  <c r="K3755" i="22" s="1"/>
  <c r="F1735" i="22"/>
  <c r="L1751" i="22" s="1"/>
  <c r="L1752" i="22" s="1"/>
  <c r="I1990" i="22"/>
  <c r="I2058" i="22"/>
  <c r="I3242" i="22"/>
  <c r="F3668" i="22"/>
  <c r="I3674" i="22" s="1"/>
  <c r="I3675" i="22" s="1"/>
  <c r="F3707" i="22"/>
  <c r="G3712" i="22" s="1"/>
  <c r="G3713" i="22" s="1"/>
  <c r="I4199" i="22"/>
  <c r="I4200" i="22" s="1"/>
  <c r="F4201" i="22" s="1"/>
  <c r="I4201" i="22" s="1"/>
  <c r="I4202" i="22" s="1"/>
  <c r="I4203" i="22" s="1"/>
  <c r="I4808" i="22"/>
  <c r="I106" i="23"/>
  <c r="I145" i="23"/>
  <c r="I158" i="23"/>
  <c r="F159" i="23" s="1"/>
  <c r="I159" i="23" s="1"/>
  <c r="I790" i="23"/>
  <c r="I935" i="23"/>
  <c r="I1061" i="23"/>
  <c r="I1062" i="23" s="1"/>
  <c r="I1063" i="23" s="1"/>
  <c r="I1138" i="23"/>
  <c r="I1194" i="23"/>
  <c r="G837" i="22"/>
  <c r="F1244" i="22"/>
  <c r="F1317" i="22"/>
  <c r="F1318" i="22" s="1"/>
  <c r="I4013" i="22"/>
  <c r="F4114" i="22"/>
  <c r="I4114" i="22" s="1"/>
  <c r="F4899" i="22"/>
  <c r="I4899" i="22" s="1"/>
  <c r="I269" i="23"/>
  <c r="I360" i="23"/>
  <c r="I717" i="23"/>
  <c r="F718" i="23" s="1"/>
  <c r="F301" i="22"/>
  <c r="I301" i="22" s="1"/>
  <c r="F1288" i="22"/>
  <c r="G1360" i="22"/>
  <c r="E1489" i="22"/>
  <c r="I4227" i="22"/>
  <c r="I4228" i="22" s="1"/>
  <c r="I4229" i="22" s="1"/>
  <c r="I828" i="23"/>
  <c r="E781" i="22"/>
  <c r="G807" i="22"/>
  <c r="G8" i="22"/>
  <c r="H807" i="22"/>
  <c r="F2236" i="22"/>
  <c r="I2479" i="22"/>
  <c r="F3401" i="22"/>
  <c r="J3407" i="22" s="1"/>
  <c r="J3408" i="22" s="1"/>
  <c r="I308" i="23"/>
  <c r="I348" i="23"/>
  <c r="I431" i="23"/>
  <c r="I750" i="23"/>
  <c r="I837" i="22"/>
  <c r="F488" i="22"/>
  <c r="I807" i="22"/>
  <c r="F1171" i="22"/>
  <c r="H1216" i="22"/>
  <c r="F1289" i="22"/>
  <c r="F1290" i="22" s="1"/>
  <c r="F2384" i="22"/>
  <c r="G2401" i="22" s="1"/>
  <c r="G2402" i="22" s="1"/>
  <c r="I2882" i="22"/>
  <c r="F3453" i="22"/>
  <c r="H3459" i="22" s="1"/>
  <c r="H3460" i="22" s="1"/>
  <c r="I3829" i="22"/>
  <c r="I4207" i="22"/>
  <c r="I4478" i="22"/>
  <c r="I4506" i="22"/>
  <c r="I4805" i="22"/>
  <c r="I227" i="23"/>
  <c r="I240" i="23"/>
  <c r="F241" i="23" s="1"/>
  <c r="I241" i="23" s="1"/>
  <c r="I324" i="23"/>
  <c r="F325" i="23" s="1"/>
  <c r="I325" i="23" s="1"/>
  <c r="I433" i="23"/>
  <c r="I535" i="23"/>
  <c r="I706" i="23"/>
  <c r="I751" i="23"/>
  <c r="I788" i="23"/>
  <c r="I1226" i="23"/>
  <c r="I5" i="22"/>
  <c r="I206" i="22"/>
  <c r="I586" i="22"/>
  <c r="I606" i="22"/>
  <c r="E839" i="22"/>
  <c r="G1171" i="22"/>
  <c r="I1216" i="22"/>
  <c r="G1289" i="22"/>
  <c r="G1290" i="22" s="1"/>
  <c r="F1347" i="22"/>
  <c r="F1348" i="22" s="1"/>
  <c r="F1377" i="22"/>
  <c r="H1377" i="22" s="1"/>
  <c r="I2873" i="22"/>
  <c r="F3375" i="22"/>
  <c r="E3381" i="22" s="1"/>
  <c r="E3382" i="22" s="1"/>
  <c r="I3703" i="22"/>
  <c r="I480" i="23"/>
  <c r="F481" i="23" s="1"/>
  <c r="I648" i="23"/>
  <c r="I669" i="23"/>
  <c r="F511" i="22"/>
  <c r="I511" i="22" s="1"/>
  <c r="I79" i="22"/>
  <c r="I80" i="22" s="1"/>
  <c r="F81" i="22" s="1"/>
  <c r="I81" i="22" s="1"/>
  <c r="I82" i="22" s="1"/>
  <c r="I83" i="22" s="1"/>
  <c r="F4332" i="22"/>
  <c r="I4332" i="22" s="1"/>
  <c r="I4835" i="22"/>
  <c r="I4836" i="22" s="1"/>
  <c r="F4837" i="22" s="1"/>
  <c r="I4837" i="22" s="1"/>
  <c r="I4838" i="22" s="1"/>
  <c r="I4839" i="22" s="1"/>
  <c r="I4840" i="22" s="1"/>
  <c r="I4841" i="22" s="1"/>
  <c r="I161" i="23"/>
  <c r="I322" i="23"/>
  <c r="F323" i="23" s="1"/>
  <c r="I434" i="23"/>
  <c r="I635" i="23"/>
  <c r="I786" i="23"/>
  <c r="I1254" i="23"/>
  <c r="F48" i="22"/>
  <c r="I48" i="22" s="1"/>
  <c r="I49" i="22" s="1"/>
  <c r="I1960" i="22"/>
  <c r="I1961" i="22" s="1"/>
  <c r="D1972" i="22"/>
  <c r="D1973" i="22" s="1"/>
  <c r="F2422" i="22"/>
  <c r="H2433" i="22" s="1"/>
  <c r="H2434" i="22" s="1"/>
  <c r="F105" i="22"/>
  <c r="I105" i="22" s="1"/>
  <c r="I106" i="22" s="1"/>
  <c r="F107" i="22" s="1"/>
  <c r="I107" i="22" s="1"/>
  <c r="I108" i="22" s="1"/>
  <c r="I109" i="22" s="1"/>
  <c r="F1031" i="22"/>
  <c r="I1031" i="22" s="1"/>
  <c r="F748" i="22"/>
  <c r="D919" i="22" s="1"/>
  <c r="D920" i="22" s="1"/>
  <c r="G879" i="22"/>
  <c r="E934" i="22"/>
  <c r="G1056" i="22"/>
  <c r="H1171" i="22"/>
  <c r="I1289" i="22"/>
  <c r="I1290" i="22" s="1"/>
  <c r="G1347" i="22"/>
  <c r="G1348" i="22" s="1"/>
  <c r="H1360" i="22"/>
  <c r="G1487" i="22"/>
  <c r="F1531" i="22"/>
  <c r="F1532" i="22" s="1"/>
  <c r="I3804" i="22"/>
  <c r="I3805" i="22" s="1"/>
  <c r="F3806" i="22" s="1"/>
  <c r="I3806" i="22" s="1"/>
  <c r="I3807" i="22" s="1"/>
  <c r="I3808" i="22" s="1"/>
  <c r="I4384" i="22"/>
  <c r="F4385" i="22"/>
  <c r="I4385" i="22" s="1"/>
  <c r="I754" i="22"/>
  <c r="I539" i="22"/>
  <c r="H691" i="22"/>
  <c r="H692" i="22" s="1"/>
  <c r="H879" i="22"/>
  <c r="H1056" i="22"/>
  <c r="G1084" i="22"/>
  <c r="E1086" i="22"/>
  <c r="G1217" i="22"/>
  <c r="G1218" i="22" s="1"/>
  <c r="H1245" i="22"/>
  <c r="H1246" i="22" s="1"/>
  <c r="H1347" i="22"/>
  <c r="H1348" i="22" s="1"/>
  <c r="F1378" i="22"/>
  <c r="F1379" i="22" s="1"/>
  <c r="F1442" i="22"/>
  <c r="F1455" i="22"/>
  <c r="H1487" i="22"/>
  <c r="F1500" i="22"/>
  <c r="G1531" i="22"/>
  <c r="G1532" i="22" s="1"/>
  <c r="I1655" i="22"/>
  <c r="F2745" i="22"/>
  <c r="H2805" i="22" s="1"/>
  <c r="H2806" i="22" s="1"/>
  <c r="F2877" i="22"/>
  <c r="I2877" i="22" s="1"/>
  <c r="F3555" i="22"/>
  <c r="I3555" i="22" s="1"/>
  <c r="I3556" i="22"/>
  <c r="F1025" i="22"/>
  <c r="F1043" i="22" s="1"/>
  <c r="F1044" i="22" s="1"/>
  <c r="D8" i="22"/>
  <c r="I488" i="22"/>
  <c r="I489" i="22" s="1"/>
  <c r="I597" i="22"/>
  <c r="F598" i="22" s="1"/>
  <c r="I598" i="22" s="1"/>
  <c r="I691" i="22"/>
  <c r="I692" i="22" s="1"/>
  <c r="F890" i="22"/>
  <c r="F1172" i="22"/>
  <c r="F1173" i="22" s="1"/>
  <c r="I1245" i="22"/>
  <c r="I1246" i="22" s="1"/>
  <c r="G1378" i="22"/>
  <c r="G1379" i="22" s="1"/>
  <c r="G1442" i="22"/>
  <c r="D1456" i="22"/>
  <c r="D1457" i="22" s="1"/>
  <c r="I1487" i="22"/>
  <c r="F1501" i="22"/>
  <c r="F1502" i="22" s="1"/>
  <c r="H1531" i="22"/>
  <c r="H1532" i="22" s="1"/>
  <c r="D1543" i="22"/>
  <c r="F1573" i="22"/>
  <c r="D1586" i="22"/>
  <c r="I2236" i="22"/>
  <c r="I2237" i="22" s="1"/>
  <c r="F2267" i="22"/>
  <c r="I2267" i="22" s="1"/>
  <c r="I2268" i="22" s="1"/>
  <c r="F2302" i="22"/>
  <c r="G2312" i="22" s="1"/>
  <c r="G2313" i="22" s="1"/>
  <c r="F2484" i="22"/>
  <c r="D2500" i="22" s="1"/>
  <c r="D2501" i="22" s="1"/>
  <c r="F2555" i="22"/>
  <c r="I2555" i="22" s="1"/>
  <c r="F2692" i="22"/>
  <c r="E2698" i="22" s="1"/>
  <c r="E2699" i="22" s="1"/>
  <c r="F3007" i="22"/>
  <c r="G3016" i="22" s="1"/>
  <c r="G3017" i="22" s="1"/>
  <c r="F3183" i="22"/>
  <c r="K3191" i="22" s="1"/>
  <c r="K3192" i="22" s="1"/>
  <c r="I481" i="23"/>
  <c r="G5" i="22"/>
  <c r="F8" i="22"/>
  <c r="F61" i="22"/>
  <c r="I61" i="22" s="1"/>
  <c r="I588" i="22"/>
  <c r="I880" i="22"/>
  <c r="I881" i="22" s="1"/>
  <c r="D891" i="22"/>
  <c r="D892" i="22" s="1"/>
  <c r="I1057" i="22"/>
  <c r="I1058" i="22" s="1"/>
  <c r="F1085" i="22"/>
  <c r="F1086" i="22" s="1"/>
  <c r="D1098" i="22"/>
  <c r="D1099" i="22" s="1"/>
  <c r="I1442" i="22"/>
  <c r="F1544" i="22"/>
  <c r="F1545" i="22" s="1"/>
  <c r="G1573" i="22"/>
  <c r="F1586" i="22"/>
  <c r="F2601" i="22"/>
  <c r="I2601" i="22" s="1"/>
  <c r="F2602" i="22" s="1"/>
  <c r="I2602" i="22" s="1"/>
  <c r="I2603" i="22" s="1"/>
  <c r="F3211" i="22"/>
  <c r="E3217" i="22" s="1"/>
  <c r="E3218" i="22" s="1"/>
  <c r="F4130" i="22"/>
  <c r="I955" i="23"/>
  <c r="F141" i="22"/>
  <c r="I141" i="22" s="1"/>
  <c r="I142" i="22" s="1"/>
  <c r="I143" i="22" s="1"/>
  <c r="F144" i="22" s="1"/>
  <c r="I144" i="22" s="1"/>
  <c r="I145" i="22" s="1"/>
  <c r="I146" i="22" s="1"/>
  <c r="F278" i="22"/>
  <c r="I278" i="22" s="1"/>
  <c r="E891" i="22"/>
  <c r="E892" i="22" s="1"/>
  <c r="F932" i="22"/>
  <c r="G1085" i="22"/>
  <c r="G1086" i="22" s="1"/>
  <c r="F1098" i="22"/>
  <c r="F1099" i="22" s="1"/>
  <c r="F1216" i="22"/>
  <c r="E1218" i="22"/>
  <c r="G1288" i="22"/>
  <c r="F1346" i="22"/>
  <c r="J1346" i="22" s="1"/>
  <c r="H1573" i="22"/>
  <c r="D1587" i="22"/>
  <c r="D1588" i="22" s="1"/>
  <c r="F1621" i="22"/>
  <c r="K1636" i="22" s="1"/>
  <c r="K1637" i="22" s="1"/>
  <c r="F1798" i="22"/>
  <c r="I1798" i="22" s="1"/>
  <c r="F2012" i="22"/>
  <c r="F2799" i="22"/>
  <c r="I2799" i="22" s="1"/>
  <c r="I2865" i="22"/>
  <c r="I4234" i="22"/>
  <c r="F1073" i="23"/>
  <c r="I1073" i="23" s="1"/>
  <c r="I1074" i="23" s="1"/>
  <c r="I1075" i="23" s="1"/>
  <c r="I8" i="22"/>
  <c r="F22" i="22"/>
  <c r="F1646" i="22" s="1"/>
  <c r="I1646" i="22" s="1"/>
  <c r="I30" i="22"/>
  <c r="I31" i="22" s="1"/>
  <c r="F32" i="22" s="1"/>
  <c r="I32" i="22" s="1"/>
  <c r="I33" i="22" s="1"/>
  <c r="I34" i="22" s="1"/>
  <c r="F390" i="22"/>
  <c r="I390" i="22" s="1"/>
  <c r="I407" i="22"/>
  <c r="F445" i="22"/>
  <c r="I445" i="22" s="1"/>
  <c r="I446" i="22" s="1"/>
  <c r="E703" i="22"/>
  <c r="E881" i="22"/>
  <c r="H1085" i="22"/>
  <c r="H1086" i="22" s="1"/>
  <c r="E1246" i="22"/>
  <c r="F1259" i="22"/>
  <c r="F1260" i="22" s="1"/>
  <c r="F1316" i="22"/>
  <c r="I1346" i="22"/>
  <c r="E1532" i="22"/>
  <c r="E1587" i="22"/>
  <c r="E1588" i="22" s="1"/>
  <c r="I1686" i="22"/>
  <c r="F3630" i="22"/>
  <c r="K3638" i="22" s="1"/>
  <c r="K3639" i="22" s="1"/>
  <c r="I945" i="23"/>
  <c r="F946" i="23" s="1"/>
  <c r="I946" i="23" s="1"/>
  <c r="I947" i="23" s="1"/>
  <c r="I948" i="23" s="1"/>
  <c r="I1050" i="23"/>
  <c r="F2449" i="22"/>
  <c r="H2466" i="22" s="1"/>
  <c r="H2467" i="22" s="1"/>
  <c r="I224" i="22"/>
  <c r="I256" i="22"/>
  <c r="I559" i="22"/>
  <c r="I569" i="22"/>
  <c r="I578" i="22"/>
  <c r="F579" i="22" s="1"/>
  <c r="I579" i="22" s="1"/>
  <c r="I636" i="22"/>
  <c r="F637" i="22" s="1"/>
  <c r="G779" i="22"/>
  <c r="F933" i="22"/>
  <c r="F934" i="22" s="1"/>
  <c r="I1085" i="22"/>
  <c r="I1086" i="22" s="1"/>
  <c r="I1625" i="22"/>
  <c r="I184" i="23"/>
  <c r="I534" i="23"/>
  <c r="I570" i="23"/>
  <c r="I603" i="23"/>
  <c r="I670" i="23"/>
  <c r="I825" i="23"/>
  <c r="I3832" i="22"/>
  <c r="I3833" i="22" s="1"/>
  <c r="F3907" i="22"/>
  <c r="I3907" i="22" s="1"/>
  <c r="I4180" i="22"/>
  <c r="I4181" i="22" s="1"/>
  <c r="I4182" i="22" s="1"/>
  <c r="F4361" i="22"/>
  <c r="I4361" i="22" s="1"/>
  <c r="I4365" i="22" s="1"/>
  <c r="I4548" i="22"/>
  <c r="I447" i="23"/>
  <c r="F448" i="23" s="1"/>
  <c r="I448" i="23" s="1"/>
  <c r="I636" i="23"/>
  <c r="I748" i="23"/>
  <c r="I1225" i="23"/>
  <c r="F3047" i="22"/>
  <c r="I4336" i="22"/>
  <c r="F4337" i="22" s="1"/>
  <c r="I4337" i="22" s="1"/>
  <c r="I4338" i="22" s="1"/>
  <c r="I4401" i="22"/>
  <c r="F4900" i="22"/>
  <c r="I4900" i="22" s="1"/>
  <c r="I5032" i="22"/>
  <c r="I143" i="23"/>
  <c r="I237" i="23"/>
  <c r="I242" i="23"/>
  <c r="F243" i="23" s="1"/>
  <c r="I243" i="23" s="1"/>
  <c r="I267" i="23"/>
  <c r="I364" i="23"/>
  <c r="I390" i="23"/>
  <c r="I391" i="23"/>
  <c r="I569" i="23"/>
  <c r="I789" i="23"/>
  <c r="I898" i="23"/>
  <c r="I899" i="23" s="1"/>
  <c r="I900" i="23" s="1"/>
  <c r="I903" i="23" s="1"/>
  <c r="I909" i="23"/>
  <c r="I911" i="23" s="1"/>
  <c r="I912" i="23" s="1"/>
  <c r="I915" i="23" s="1"/>
  <c r="F916" i="23" s="1"/>
  <c r="I916" i="23" s="1"/>
  <c r="I917" i="23" s="1"/>
  <c r="I918" i="23" s="1"/>
  <c r="I1055" i="23"/>
  <c r="I1056" i="23" s="1"/>
  <c r="I1057" i="23" s="1"/>
  <c r="I1160" i="23"/>
  <c r="I1261" i="23"/>
  <c r="F3871" i="22"/>
  <c r="I3871" i="22" s="1"/>
  <c r="F4076" i="22"/>
  <c r="I4076" i="22" s="1"/>
  <c r="F4300" i="22"/>
  <c r="I4300" i="22" s="1"/>
  <c r="F4721" i="22"/>
  <c r="I4721" i="22" s="1"/>
  <c r="I4722" i="22" s="1"/>
  <c r="I186" i="23"/>
  <c r="I580" i="23"/>
  <c r="F581" i="23" s="1"/>
  <c r="I581" i="23" s="1"/>
  <c r="I705" i="23"/>
  <c r="I855" i="23"/>
  <c r="I856" i="23" s="1"/>
  <c r="I857" i="23" s="1"/>
  <c r="I1014" i="23"/>
  <c r="F1015" i="23" s="1"/>
  <c r="I1015" i="23" s="1"/>
  <c r="I1016" i="23" s="1"/>
  <c r="I1017" i="23" s="1"/>
  <c r="I1246" i="23"/>
  <c r="F1247" i="23" s="1"/>
  <c r="I1247" i="23" s="1"/>
  <c r="I1248" i="23" s="1"/>
  <c r="I1249" i="23" s="1"/>
  <c r="F4044" i="22"/>
  <c r="I4044" i="22" s="1"/>
  <c r="I4046" i="22" s="1"/>
  <c r="F4449" i="22"/>
  <c r="I4449" i="22" s="1"/>
  <c r="I4450" i="22" s="1"/>
  <c r="I4451" i="22" s="1"/>
  <c r="I4556" i="22"/>
  <c r="F4557" i="22" s="1"/>
  <c r="I4557" i="22" s="1"/>
  <c r="I4737" i="22"/>
  <c r="I146" i="23"/>
  <c r="I199" i="23"/>
  <c r="F200" i="23" s="1"/>
  <c r="I200" i="23" s="1"/>
  <c r="I319" i="23"/>
  <c r="I430" i="23"/>
  <c r="I568" i="23"/>
  <c r="I824" i="23"/>
  <c r="I989" i="23"/>
  <c r="I990" i="23" s="1"/>
  <c r="I993" i="23" s="1"/>
  <c r="F994" i="23" s="1"/>
  <c r="I994" i="23" s="1"/>
  <c r="I995" i="23" s="1"/>
  <c r="I996" i="23" s="1"/>
  <c r="I1042" i="23"/>
  <c r="F1043" i="23" s="1"/>
  <c r="I1043" i="23" s="1"/>
  <c r="I1044" i="23" s="1"/>
  <c r="I1045" i="23" s="1"/>
  <c r="I1107" i="23"/>
  <c r="I1278" i="23"/>
  <c r="I1279" i="23" s="1"/>
  <c r="I1280" i="23" s="1"/>
  <c r="F3146" i="22"/>
  <c r="E3152" i="22" s="1"/>
  <c r="E3153" i="22" s="1"/>
  <c r="I3185" i="22"/>
  <c r="F3427" i="22"/>
  <c r="I3427" i="22" s="1"/>
  <c r="F3428" i="22" s="1"/>
  <c r="I3428" i="22" s="1"/>
  <c r="I3429" i="22" s="1"/>
  <c r="F3479" i="22"/>
  <c r="G3485" i="22" s="1"/>
  <c r="G3486" i="22" s="1"/>
  <c r="I3745" i="22"/>
  <c r="I3921" i="22"/>
  <c r="I4400" i="22"/>
  <c r="I4507" i="22"/>
  <c r="F4699" i="22"/>
  <c r="I4799" i="22"/>
  <c r="I4871" i="22"/>
  <c r="I104" i="23"/>
  <c r="I142" i="23"/>
  <c r="I266" i="23"/>
  <c r="I351" i="23"/>
  <c r="I352" i="23"/>
  <c r="I389" i="23"/>
  <c r="I406" i="23"/>
  <c r="F407" i="23" s="1"/>
  <c r="I407" i="23" s="1"/>
  <c r="I442" i="23"/>
  <c r="I546" i="23"/>
  <c r="F547" i="23" s="1"/>
  <c r="I547" i="23" s="1"/>
  <c r="I637" i="23"/>
  <c r="I965" i="23"/>
  <c r="I966" i="23" s="1"/>
  <c r="I969" i="23" s="1"/>
  <c r="F970" i="23" s="1"/>
  <c r="I970" i="23" s="1"/>
  <c r="I971" i="23" s="1"/>
  <c r="I972" i="23" s="1"/>
  <c r="F47" i="23"/>
  <c r="I47" i="23" s="1"/>
  <c r="I51" i="23" s="1"/>
  <c r="D201" i="23"/>
  <c r="I201" i="23" s="1"/>
  <c r="F202" i="23" s="1"/>
  <c r="I202" i="23" s="1"/>
  <c r="D185" i="23"/>
  <c r="I185" i="23" s="1"/>
  <c r="I501" i="23"/>
  <c r="A726" i="23"/>
  <c r="A692" i="23"/>
  <c r="F17" i="23"/>
  <c r="I17" i="23" s="1"/>
  <c r="I21" i="23" s="1"/>
  <c r="D307" i="23"/>
  <c r="I307" i="23" s="1"/>
  <c r="G301" i="23"/>
  <c r="D320" i="23" s="1"/>
  <c r="D471" i="23"/>
  <c r="I471" i="23" s="1"/>
  <c r="G466" i="23"/>
  <c r="D114" i="23"/>
  <c r="I103" i="23"/>
  <c r="F32" i="23"/>
  <c r="I32" i="23" s="1"/>
  <c r="I36" i="23" s="1"/>
  <c r="D365" i="23"/>
  <c r="I365" i="23" s="1"/>
  <c r="F366" i="23" s="1"/>
  <c r="I366" i="23" s="1"/>
  <c r="D350" i="23"/>
  <c r="I350" i="23" s="1"/>
  <c r="F611" i="23"/>
  <c r="F510" i="23"/>
  <c r="F1300" i="23"/>
  <c r="I1300" i="23" s="1"/>
  <c r="F715" i="23"/>
  <c r="F680" i="23"/>
  <c r="F645" i="23"/>
  <c r="I645" i="23" s="1"/>
  <c r="F578" i="23"/>
  <c r="I578" i="23" s="1"/>
  <c r="F579" i="23" s="1"/>
  <c r="I579" i="23" s="1"/>
  <c r="F544" i="23"/>
  <c r="I544" i="23" s="1"/>
  <c r="F545" i="23" s="1"/>
  <c r="I545" i="23" s="1"/>
  <c r="F361" i="23"/>
  <c r="I361" i="23" s="1"/>
  <c r="F279" i="23"/>
  <c r="I279" i="23" s="1"/>
  <c r="F280" i="23" s="1"/>
  <c r="I280" i="23" s="1"/>
  <c r="F1260" i="23"/>
  <c r="I1260" i="23" s="1"/>
  <c r="F114" i="23"/>
  <c r="F238" i="23"/>
  <c r="I238" i="23" s="1"/>
  <c r="F156" i="23"/>
  <c r="I156" i="23" s="1"/>
  <c r="F157" i="23" s="1"/>
  <c r="I157" i="23" s="1"/>
  <c r="F402" i="23"/>
  <c r="F443" i="23"/>
  <c r="I443" i="23" s="1"/>
  <c r="F444" i="23" s="1"/>
  <c r="I444" i="23" s="1"/>
  <c r="F62" i="23"/>
  <c r="I62" i="23" s="1"/>
  <c r="I66" i="23" s="1"/>
  <c r="I323" i="23"/>
  <c r="D404" i="23"/>
  <c r="I404" i="23" s="1"/>
  <c r="F405" i="23" s="1"/>
  <c r="I405" i="23" s="1"/>
  <c r="D393" i="23"/>
  <c r="I393" i="23" s="1"/>
  <c r="I445" i="23"/>
  <c r="F446" i="23" s="1"/>
  <c r="I446" i="23" s="1"/>
  <c r="A251" i="23"/>
  <c r="I310" i="23"/>
  <c r="F320" i="23"/>
  <c r="I349" i="23"/>
  <c r="I401" i="23"/>
  <c r="D500" i="23"/>
  <c r="I500" i="23" s="1"/>
  <c r="G498" i="23"/>
  <c r="D510" i="23" s="1"/>
  <c r="D73" i="23"/>
  <c r="I73" i="23" s="1"/>
  <c r="D116" i="23"/>
  <c r="I116" i="23" s="1"/>
  <c r="F117" i="23" s="1"/>
  <c r="I117" i="23" s="1"/>
  <c r="D311" i="23"/>
  <c r="I311" i="23" s="1"/>
  <c r="I472" i="23"/>
  <c r="G740" i="23"/>
  <c r="D747" i="23" s="1"/>
  <c r="I747" i="23" s="1"/>
  <c r="F936" i="23"/>
  <c r="I936" i="23" s="1"/>
  <c r="I937" i="23" s="1"/>
  <c r="I938" i="23" s="1"/>
  <c r="D118" i="23"/>
  <c r="I118" i="23" s="1"/>
  <c r="F119" i="23" s="1"/>
  <c r="I119" i="23" s="1"/>
  <c r="I502" i="23"/>
  <c r="D512" i="23"/>
  <c r="I512" i="23" s="1"/>
  <c r="F513" i="23" s="1"/>
  <c r="I513" i="23" s="1"/>
  <c r="I787" i="23"/>
  <c r="I1033" i="23"/>
  <c r="A1242" i="23"/>
  <c r="A1251" i="23" s="1"/>
  <c r="A1270" i="23"/>
  <c r="A1276" i="23" s="1"/>
  <c r="D1110" i="23"/>
  <c r="I1110" i="23" s="1"/>
  <c r="F1112" i="23" s="1"/>
  <c r="I1112" i="23" s="1"/>
  <c r="I1113" i="23" s="1"/>
  <c r="I1114" i="23" s="1"/>
  <c r="G1187" i="23"/>
  <c r="D1192" i="23" s="1"/>
  <c r="I1192" i="23" s="1"/>
  <c r="I1303" i="23"/>
  <c r="G383" i="23"/>
  <c r="D402" i="23" s="1"/>
  <c r="I718" i="23"/>
  <c r="I867" i="23"/>
  <c r="I868" i="23" s="1"/>
  <c r="I869" i="23" s="1"/>
  <c r="I977" i="23"/>
  <c r="I978" i="23" s="1"/>
  <c r="I981" i="23" s="1"/>
  <c r="I1001" i="23"/>
  <c r="I1002" i="23" s="1"/>
  <c r="I1005" i="23" s="1"/>
  <c r="F1079" i="23"/>
  <c r="I1079" i="23" s="1"/>
  <c r="I1080" i="23" s="1"/>
  <c r="I1081" i="23" s="1"/>
  <c r="F1092" i="23"/>
  <c r="I1092" i="23" s="1"/>
  <c r="I1093" i="23" s="1"/>
  <c r="I1094" i="23" s="1"/>
  <c r="F1121" i="23"/>
  <c r="I1121" i="23" s="1"/>
  <c r="I1122" i="23" s="1"/>
  <c r="I1123" i="23" s="1"/>
  <c r="G1217" i="23"/>
  <c r="D1224" i="23" s="1"/>
  <c r="I1224" i="23" s="1"/>
  <c r="I1253" i="23"/>
  <c r="F956" i="23"/>
  <c r="I956" i="23" s="1"/>
  <c r="I957" i="23" s="1"/>
  <c r="I958" i="23" s="1"/>
  <c r="F1238" i="23"/>
  <c r="I1238" i="23" s="1"/>
  <c r="I1239" i="23" s="1"/>
  <c r="I1240" i="23" s="1"/>
  <c r="D432" i="23"/>
  <c r="I432" i="23" s="1"/>
  <c r="I1024" i="23"/>
  <c r="F1085" i="23"/>
  <c r="I1085" i="23" s="1"/>
  <c r="I1086" i="23" s="1"/>
  <c r="I1087" i="23" s="1"/>
  <c r="F843" i="23"/>
  <c r="I843" i="23" s="1"/>
  <c r="I844" i="23" s="1"/>
  <c r="I845" i="23" s="1"/>
  <c r="D268" i="23"/>
  <c r="I268" i="23" s="1"/>
  <c r="F861" i="23"/>
  <c r="I861" i="23" s="1"/>
  <c r="I862" i="23" s="1"/>
  <c r="I863" i="23" s="1"/>
  <c r="I1051" i="23"/>
  <c r="D1295" i="23"/>
  <c r="I1295" i="23" s="1"/>
  <c r="D678" i="23"/>
  <c r="D713" i="23"/>
  <c r="G598" i="23"/>
  <c r="D611" i="23" s="1"/>
  <c r="G664" i="23"/>
  <c r="D680" i="23" s="1"/>
  <c r="G700" i="23"/>
  <c r="D715" i="23" s="1"/>
  <c r="F849" i="23"/>
  <c r="I849" i="23" s="1"/>
  <c r="I850" i="23" s="1"/>
  <c r="I851" i="23" s="1"/>
  <c r="D536" i="23"/>
  <c r="I536" i="23" s="1"/>
  <c r="F70" i="22"/>
  <c r="I70" i="22" s="1"/>
  <c r="I71" i="22" s="1"/>
  <c r="I72" i="22" s="1"/>
  <c r="I637" i="22"/>
  <c r="F238" i="22"/>
  <c r="I238" i="22" s="1"/>
  <c r="I239" i="22" s="1"/>
  <c r="F365" i="22"/>
  <c r="I365" i="22" s="1"/>
  <c r="I366" i="22" s="1"/>
  <c r="F132" i="22"/>
  <c r="I132" i="22" s="1"/>
  <c r="I133" i="22" s="1"/>
  <c r="I134" i="22" s="1"/>
  <c r="I156" i="22"/>
  <c r="F166" i="22"/>
  <c r="I166" i="22" s="1"/>
  <c r="I167" i="22" s="1"/>
  <c r="F325" i="22"/>
  <c r="I325" i="22" s="1"/>
  <c r="I329" i="22" s="1"/>
  <c r="I386" i="22"/>
  <c r="I529" i="22"/>
  <c r="F2090" i="22"/>
  <c r="I2090" i="22" s="1"/>
  <c r="F2048" i="22"/>
  <c r="I2048" i="22" s="1"/>
  <c r="F505" i="22"/>
  <c r="I505" i="22" s="1"/>
  <c r="F346" i="22"/>
  <c r="I346" i="22" s="1"/>
  <c r="F411" i="22"/>
  <c r="I411" i="22" s="1"/>
  <c r="I412" i="22" s="1"/>
  <c r="F87" i="22"/>
  <c r="I87" i="22" s="1"/>
  <c r="I88" i="22" s="1"/>
  <c r="I89" i="22" s="1"/>
  <c r="F57" i="22"/>
  <c r="I57" i="22" s="1"/>
  <c r="F16" i="22"/>
  <c r="F114" i="22"/>
  <c r="I114" i="22" s="1"/>
  <c r="I115" i="22" s="1"/>
  <c r="I116" i="22" s="1"/>
  <c r="A213" i="22"/>
  <c r="A231" i="22" s="1"/>
  <c r="A245" i="22"/>
  <c r="F252" i="22"/>
  <c r="I252" i="22" s="1"/>
  <c r="I257" i="22" s="1"/>
  <c r="F427" i="22"/>
  <c r="I427" i="22" s="1"/>
  <c r="I428" i="22" s="1"/>
  <c r="F468" i="22"/>
  <c r="I468" i="22" s="1"/>
  <c r="I469" i="22" s="1"/>
  <c r="H8" i="22"/>
  <c r="H9" i="22" s="1"/>
  <c r="F39" i="22"/>
  <c r="I39" i="22" s="1"/>
  <c r="I40" i="22" s="1"/>
  <c r="F96" i="22"/>
  <c r="I96" i="22" s="1"/>
  <c r="I97" i="22" s="1"/>
  <c r="I98" i="22" s="1"/>
  <c r="F179" i="22"/>
  <c r="I179" i="22" s="1"/>
  <c r="I180" i="22" s="1"/>
  <c r="F202" i="22"/>
  <c r="I202" i="22" s="1"/>
  <c r="F220" i="22"/>
  <c r="I220" i="22" s="1"/>
  <c r="I225" i="22" s="1"/>
  <c r="I618" i="22"/>
  <c r="F659" i="22"/>
  <c r="H1302" i="22"/>
  <c r="H1303" i="22" s="1"/>
  <c r="I1274" i="22"/>
  <c r="I1275" i="22" s="1"/>
  <c r="F1202" i="22"/>
  <c r="F1203" i="22" s="1"/>
  <c r="G1302" i="22"/>
  <c r="G1303" i="22" s="1"/>
  <c r="H1274" i="22"/>
  <c r="H1275" i="22" s="1"/>
  <c r="E1202" i="22"/>
  <c r="E1203" i="22" s="1"/>
  <c r="G1144" i="22"/>
  <c r="G1145" i="22" s="1"/>
  <c r="F1302" i="22"/>
  <c r="F1303" i="22" s="1"/>
  <c r="G1274" i="22"/>
  <c r="G1275" i="22" s="1"/>
  <c r="I1230" i="22"/>
  <c r="I1231" i="22" s="1"/>
  <c r="F1144" i="22"/>
  <c r="F1145" i="22" s="1"/>
  <c r="E1302" i="22"/>
  <c r="E1303" i="22" s="1"/>
  <c r="F1274" i="22"/>
  <c r="F1275" i="22" s="1"/>
  <c r="H1230" i="22"/>
  <c r="H1231" i="22" s="1"/>
  <c r="E1144" i="22"/>
  <c r="E1145" i="22" s="1"/>
  <c r="E1274" i="22"/>
  <c r="E1275" i="22" s="1"/>
  <c r="G1230" i="22"/>
  <c r="G1231" i="22" s="1"/>
  <c r="F1230" i="22"/>
  <c r="F1231" i="22" s="1"/>
  <c r="I1202" i="22"/>
  <c r="I1203" i="22" s="1"/>
  <c r="E1230" i="22"/>
  <c r="E1231" i="22" s="1"/>
  <c r="H1202" i="22"/>
  <c r="H1203" i="22" s="1"/>
  <c r="I1302" i="22"/>
  <c r="I1303" i="22" s="1"/>
  <c r="E1043" i="22"/>
  <c r="E1044" i="22" s="1"/>
  <c r="I1025" i="22"/>
  <c r="I1144" i="22"/>
  <c r="I1145" i="22" s="1"/>
  <c r="I1071" i="22"/>
  <c r="I1072" i="22" s="1"/>
  <c r="H1144" i="22"/>
  <c r="H1145" i="22" s="1"/>
  <c r="H1071" i="22"/>
  <c r="H1072" i="22" s="1"/>
  <c r="I1043" i="22"/>
  <c r="I1044" i="22" s="1"/>
  <c r="G1202" i="22"/>
  <c r="G1203" i="22" s="1"/>
  <c r="G1071" i="22"/>
  <c r="G1072" i="22" s="1"/>
  <c r="H1043" i="22"/>
  <c r="H1044" i="22" s="1"/>
  <c r="F1071" i="22"/>
  <c r="F1072" i="22" s="1"/>
  <c r="G1043" i="22"/>
  <c r="G1044" i="22" s="1"/>
  <c r="G905" i="22"/>
  <c r="F906" i="22"/>
  <c r="E5" i="22"/>
  <c r="E9" i="22" s="1"/>
  <c r="D9" i="22"/>
  <c r="F123" i="22"/>
  <c r="I123" i="22" s="1"/>
  <c r="I124" i="22" s="1"/>
  <c r="I125" i="22" s="1"/>
  <c r="F294" i="22"/>
  <c r="I294" i="22" s="1"/>
  <c r="F316" i="22"/>
  <c r="I316" i="22" s="1"/>
  <c r="I317" i="22" s="1"/>
  <c r="I318" i="22" s="1"/>
  <c r="I626" i="22"/>
  <c r="F627" i="22" s="1"/>
  <c r="I627" i="22" s="1"/>
  <c r="I635" i="22"/>
  <c r="E1071" i="22"/>
  <c r="E1072" i="22" s="1"/>
  <c r="F5" i="22"/>
  <c r="F9" i="22" s="1"/>
  <c r="F1682" i="22" s="1"/>
  <c r="I1682" i="22" s="1"/>
  <c r="F271" i="22"/>
  <c r="I271" i="22" s="1"/>
  <c r="I282" i="22" s="1"/>
  <c r="F665" i="22"/>
  <c r="I665" i="22" s="1"/>
  <c r="E809" i="22"/>
  <c r="I808" i="22"/>
  <c r="I809" i="22" s="1"/>
  <c r="H808" i="22"/>
  <c r="H809" i="22" s="1"/>
  <c r="G808" i="22"/>
  <c r="G809" i="22" s="1"/>
  <c r="F808" i="22"/>
  <c r="F809" i="22" s="1"/>
  <c r="I557" i="22"/>
  <c r="E718" i="22"/>
  <c r="E719" i="22" s="1"/>
  <c r="I766" i="22"/>
  <c r="I767" i="22" s="1"/>
  <c r="G766" i="22"/>
  <c r="G767" i="22" s="1"/>
  <c r="H690" i="22"/>
  <c r="E692" i="22"/>
  <c r="F703" i="22"/>
  <c r="I879" i="22"/>
  <c r="F891" i="22"/>
  <c r="F892" i="22" s="1"/>
  <c r="G932" i="22"/>
  <c r="G933" i="22"/>
  <c r="G934" i="22" s="1"/>
  <c r="E1058" i="22"/>
  <c r="H1084" i="22"/>
  <c r="I690" i="22"/>
  <c r="D704" i="22"/>
  <c r="D705" i="22" s="1"/>
  <c r="F780" i="22"/>
  <c r="F781" i="22" s="1"/>
  <c r="F838" i="22"/>
  <c r="F839" i="22" s="1"/>
  <c r="H932" i="22"/>
  <c r="H933" i="22"/>
  <c r="H934" i="22" s="1"/>
  <c r="I1084" i="22"/>
  <c r="I1417" i="22"/>
  <c r="E704" i="22"/>
  <c r="E705" i="22" s="1"/>
  <c r="G780" i="22"/>
  <c r="G781" i="22" s="1"/>
  <c r="G838" i="22"/>
  <c r="G839" i="22" s="1"/>
  <c r="F880" i="22"/>
  <c r="F881" i="22" s="1"/>
  <c r="I932" i="22"/>
  <c r="I933" i="22"/>
  <c r="I934" i="22" s="1"/>
  <c r="F1057" i="22"/>
  <c r="F1058" i="22" s="1"/>
  <c r="F691" i="22"/>
  <c r="F692" i="22" s="1"/>
  <c r="F704" i="22"/>
  <c r="F705" i="22" s="1"/>
  <c r="H780" i="22"/>
  <c r="H781" i="22" s="1"/>
  <c r="H838" i="22"/>
  <c r="H839" i="22" s="1"/>
  <c r="G880" i="22"/>
  <c r="G881" i="22" s="1"/>
  <c r="D890" i="22"/>
  <c r="J932" i="22"/>
  <c r="J933" i="22"/>
  <c r="J934" i="22" s="1"/>
  <c r="G1057" i="22"/>
  <c r="G1058" i="22" s="1"/>
  <c r="E1159" i="22"/>
  <c r="H1158" i="22"/>
  <c r="H1159" i="22" s="1"/>
  <c r="G1158" i="22"/>
  <c r="G1159" i="22" s="1"/>
  <c r="K932" i="22"/>
  <c r="K933" i="22"/>
  <c r="K934" i="22" s="1"/>
  <c r="D1097" i="22"/>
  <c r="E1097" i="22"/>
  <c r="F1411" i="22"/>
  <c r="I1411" i="22" s="1"/>
  <c r="F690" i="22"/>
  <c r="F1084" i="22"/>
  <c r="I1751" i="22"/>
  <c r="I1752" i="22" s="1"/>
  <c r="H1751" i="22"/>
  <c r="H1752" i="22" s="1"/>
  <c r="G1751" i="22"/>
  <c r="G1752" i="22" s="1"/>
  <c r="F1751" i="22"/>
  <c r="F1752" i="22" s="1"/>
  <c r="E1751" i="22"/>
  <c r="E1752" i="22" s="1"/>
  <c r="I1171" i="22"/>
  <c r="E1173" i="22"/>
  <c r="F1185" i="22"/>
  <c r="F1186" i="22" s="1"/>
  <c r="G1244" i="22"/>
  <c r="G1259" i="22"/>
  <c r="G1260" i="22" s="1"/>
  <c r="H1289" i="22"/>
  <c r="H1290" i="22" s="1"/>
  <c r="G1317" i="22"/>
  <c r="G1318" i="22" s="1"/>
  <c r="G1346" i="22"/>
  <c r="I1347" i="22"/>
  <c r="I1348" i="22" s="1"/>
  <c r="F1392" i="22"/>
  <c r="F1393" i="22"/>
  <c r="F1394" i="22" s="1"/>
  <c r="H1442" i="22"/>
  <c r="E1456" i="22"/>
  <c r="E1457" i="22" s="1"/>
  <c r="J1636" i="22"/>
  <c r="J1637" i="22" s="1"/>
  <c r="K1751" i="22"/>
  <c r="K1752" i="22" s="1"/>
  <c r="F1919" i="22"/>
  <c r="I1919" i="22" s="1"/>
  <c r="F1217" i="22"/>
  <c r="F1218" i="22" s="1"/>
  <c r="H1244" i="22"/>
  <c r="H1317" i="22"/>
  <c r="H1318" i="22" s="1"/>
  <c r="G1392" i="22"/>
  <c r="G1393" i="22"/>
  <c r="G1394" i="22" s="1"/>
  <c r="E1394" i="22"/>
  <c r="E1444" i="22"/>
  <c r="F1456" i="22"/>
  <c r="F1457" i="22" s="1"/>
  <c r="F1844" i="22"/>
  <c r="I1317" i="22"/>
  <c r="I1318" i="22" s="1"/>
  <c r="E1362" i="22"/>
  <c r="H1392" i="22"/>
  <c r="H1393" i="22"/>
  <c r="H1394" i="22" s="1"/>
  <c r="G1172" i="22"/>
  <c r="G1173" i="22" s="1"/>
  <c r="D1184" i="22"/>
  <c r="H1217" i="22"/>
  <c r="H1218" i="22" s="1"/>
  <c r="H1288" i="22"/>
  <c r="G1316" i="22"/>
  <c r="F1361" i="22"/>
  <c r="I1392" i="22"/>
  <c r="I1393" i="22"/>
  <c r="I1394" i="22" s="1"/>
  <c r="F1443" i="22"/>
  <c r="F1444" i="22" s="1"/>
  <c r="L1636" i="22"/>
  <c r="L1637" i="22" s="1"/>
  <c r="I1718" i="22"/>
  <c r="F1769" i="22"/>
  <c r="I1769" i="22" s="1"/>
  <c r="K2025" i="22"/>
  <c r="K2026" i="22" s="1"/>
  <c r="J2025" i="22"/>
  <c r="J2026" i="22" s="1"/>
  <c r="H1157" i="22"/>
  <c r="H1172" i="22"/>
  <c r="H1173" i="22" s="1"/>
  <c r="E1184" i="22"/>
  <c r="F1245" i="22"/>
  <c r="F1246" i="22" s="1"/>
  <c r="F1258" i="22"/>
  <c r="H1316" i="22"/>
  <c r="G1361" i="22"/>
  <c r="G1362" i="22" s="1"/>
  <c r="J1392" i="22"/>
  <c r="J1393" i="22"/>
  <c r="J1394" i="22" s="1"/>
  <c r="G1443" i="22"/>
  <c r="G1444" i="22" s="1"/>
  <c r="D1455" i="22"/>
  <c r="H1530" i="22"/>
  <c r="G1530" i="22"/>
  <c r="F1543" i="22"/>
  <c r="F1530" i="22"/>
  <c r="F1713" i="22"/>
  <c r="I1713" i="22" s="1"/>
  <c r="F1714" i="22" s="1"/>
  <c r="I1714" i="22" s="1"/>
  <c r="I1715" i="22" s="1"/>
  <c r="H1361" i="22"/>
  <c r="H1362" i="22" s="1"/>
  <c r="K1392" i="22"/>
  <c r="K1393" i="22"/>
  <c r="K1394" i="22" s="1"/>
  <c r="H1443" i="22"/>
  <c r="H1444" i="22" s="1"/>
  <c r="D1501" i="22"/>
  <c r="D1502" i="22" s="1"/>
  <c r="H1488" i="22"/>
  <c r="H1489" i="22" s="1"/>
  <c r="G1488" i="22"/>
  <c r="G1489" i="22" s="1"/>
  <c r="F1488" i="22"/>
  <c r="F1489" i="22" s="1"/>
  <c r="E1501" i="22"/>
  <c r="E1502" i="22" s="1"/>
  <c r="F1660" i="22"/>
  <c r="I1660" i="22" s="1"/>
  <c r="F2569" i="22"/>
  <c r="F2570" i="22" s="1"/>
  <c r="I1735" i="22"/>
  <c r="F1736" i="22" s="1"/>
  <c r="I1736" i="22" s="1"/>
  <c r="I1737" i="22" s="1"/>
  <c r="F1886" i="22"/>
  <c r="I1886" i="22" s="1"/>
  <c r="J2751" i="22"/>
  <c r="J2752" i="22" s="1"/>
  <c r="G1960" i="22"/>
  <c r="G1961" i="22" s="1"/>
  <c r="F1972" i="22"/>
  <c r="F1973" i="22" s="1"/>
  <c r="I2012" i="22"/>
  <c r="H2272" i="22"/>
  <c r="H2273" i="22" s="1"/>
  <c r="I1531" i="22"/>
  <c r="I1532" i="22" s="1"/>
  <c r="I1573" i="22"/>
  <c r="E1575" i="22"/>
  <c r="F1587" i="22"/>
  <c r="F1588" i="22" s="1"/>
  <c r="I2100" i="22"/>
  <c r="I2241" i="22"/>
  <c r="I2242" i="22" s="1"/>
  <c r="H2241" i="22"/>
  <c r="H2242" i="22" s="1"/>
  <c r="F2250" i="22"/>
  <c r="F2251" i="22" s="1"/>
  <c r="G2241" i="22"/>
  <c r="G2242" i="22" s="1"/>
  <c r="E2250" i="22"/>
  <c r="E2251" i="22" s="1"/>
  <c r="F2241" i="22"/>
  <c r="F2242" i="22" s="1"/>
  <c r="D2250" i="22"/>
  <c r="D2251" i="22" s="1"/>
  <c r="E2241" i="22"/>
  <c r="E2242" i="22" s="1"/>
  <c r="A2541" i="22"/>
  <c r="A2588" i="22" s="1"/>
  <c r="A2615" i="22" s="1"/>
  <c r="A2642" i="22"/>
  <c r="D1500" i="22"/>
  <c r="D1544" i="22"/>
  <c r="D1545" i="22" s="1"/>
  <c r="H2401" i="22"/>
  <c r="H2402" i="22" s="1"/>
  <c r="L2401" i="22"/>
  <c r="L2402" i="22" s="1"/>
  <c r="K2401" i="22"/>
  <c r="K2402" i="22" s="1"/>
  <c r="J2401" i="22"/>
  <c r="J2402" i="22" s="1"/>
  <c r="I2384" i="22"/>
  <c r="F2385" i="22" s="1"/>
  <c r="I2385" i="22" s="1"/>
  <c r="I2386" i="22" s="1"/>
  <c r="I2387" i="22" s="1"/>
  <c r="I2401" i="22"/>
  <c r="I2402" i="22" s="1"/>
  <c r="E2607" i="22"/>
  <c r="E2608" i="22" s="1"/>
  <c r="L2607" i="22"/>
  <c r="L2608" i="22" s="1"/>
  <c r="K2607" i="22"/>
  <c r="K2608" i="22" s="1"/>
  <c r="J2607" i="22"/>
  <c r="J2608" i="22" s="1"/>
  <c r="I2607" i="22"/>
  <c r="I2608" i="22" s="1"/>
  <c r="H2607" i="22"/>
  <c r="H2608" i="22" s="1"/>
  <c r="G2607" i="22"/>
  <c r="G2608" i="22" s="1"/>
  <c r="F2607" i="22"/>
  <c r="F2608" i="22" s="1"/>
  <c r="F1574" i="22"/>
  <c r="F1575" i="22" s="1"/>
  <c r="I1948" i="22"/>
  <c r="F2170" i="22"/>
  <c r="I2170" i="22" s="1"/>
  <c r="E1972" i="22"/>
  <c r="E1973" i="22" s="1"/>
  <c r="H1960" i="22"/>
  <c r="H1961" i="22" s="1"/>
  <c r="F1960" i="22"/>
  <c r="F1961" i="22" s="1"/>
  <c r="E1960" i="22"/>
  <c r="E1961" i="22" s="1"/>
  <c r="I1952" i="22"/>
  <c r="F2054" i="22"/>
  <c r="F2345" i="22"/>
  <c r="E2433" i="22"/>
  <c r="E2434" i="22" s="1"/>
  <c r="L2433" i="22"/>
  <c r="L2434" i="22" s="1"/>
  <c r="K2433" i="22"/>
  <c r="K2434" i="22" s="1"/>
  <c r="J2433" i="22"/>
  <c r="J2434" i="22" s="1"/>
  <c r="I2433" i="22"/>
  <c r="I2434" i="22" s="1"/>
  <c r="F2096" i="22"/>
  <c r="I2096" i="22" s="1"/>
  <c r="F2312" i="22"/>
  <c r="F2313" i="22" s="1"/>
  <c r="E2312" i="22"/>
  <c r="E2313" i="22" s="1"/>
  <c r="L2312" i="22"/>
  <c r="L2313" i="22" s="1"/>
  <c r="F2324" i="22"/>
  <c r="F2325" i="22" s="1"/>
  <c r="K2312" i="22"/>
  <c r="K2313" i="22" s="1"/>
  <c r="E2324" i="22"/>
  <c r="E2325" i="22" s="1"/>
  <c r="J2312" i="22"/>
  <c r="J2313" i="22" s="1"/>
  <c r="D2324" i="22"/>
  <c r="D2325" i="22" s="1"/>
  <c r="I2312" i="22"/>
  <c r="I2313" i="22" s="1"/>
  <c r="H2312" i="22"/>
  <c r="H2313" i="22" s="1"/>
  <c r="F2655" i="22"/>
  <c r="F3016" i="22"/>
  <c r="F3017" i="22" s="1"/>
  <c r="F3026" i="22"/>
  <c r="F3027" i="22" s="1"/>
  <c r="E3016" i="22"/>
  <c r="E3017" i="22" s="1"/>
  <c r="E3026" i="22"/>
  <c r="E3027" i="22" s="1"/>
  <c r="D3026" i="22"/>
  <c r="D3027" i="22" s="1"/>
  <c r="I3016" i="22"/>
  <c r="I3017" i="22" s="1"/>
  <c r="H3016" i="22"/>
  <c r="H3017" i="22" s="1"/>
  <c r="G2466" i="22"/>
  <c r="G2467" i="22" s="1"/>
  <c r="I2559" i="22"/>
  <c r="F2800" i="22"/>
  <c r="I2800" i="22" s="1"/>
  <c r="I2801" i="22" s="1"/>
  <c r="F2970" i="22"/>
  <c r="F2500" i="22"/>
  <c r="F2501" i="22" s="1"/>
  <c r="E2500" i="22"/>
  <c r="E2501" i="22" s="1"/>
  <c r="F2718" i="22"/>
  <c r="I2718" i="22" s="1"/>
  <c r="H2523" i="22"/>
  <c r="H2524" i="22" s="1"/>
  <c r="I2422" i="22"/>
  <c r="F2423" i="22" s="1"/>
  <c r="I2423" i="22" s="1"/>
  <c r="F2466" i="22"/>
  <c r="F2467" i="22" s="1"/>
  <c r="E2466" i="22"/>
  <c r="E2467" i="22" s="1"/>
  <c r="L2466" i="22"/>
  <c r="L2467" i="22" s="1"/>
  <c r="K2466" i="22"/>
  <c r="K2467" i="22" s="1"/>
  <c r="I2449" i="22"/>
  <c r="J2466" i="22"/>
  <c r="J2467" i="22" s="1"/>
  <c r="I2466" i="22"/>
  <c r="I2467" i="22" s="1"/>
  <c r="F2628" i="22"/>
  <c r="I2628" i="22" s="1"/>
  <c r="F2629" i="22" s="1"/>
  <c r="I2629" i="22" s="1"/>
  <c r="I2630" i="22" s="1"/>
  <c r="F2772" i="22"/>
  <c r="F2836" i="22"/>
  <c r="I2836" i="22" s="1"/>
  <c r="M3106" i="22"/>
  <c r="F3109" i="22"/>
  <c r="F3072" i="22"/>
  <c r="F3162" i="22"/>
  <c r="F3163" i="22" s="1"/>
  <c r="E3162" i="22"/>
  <c r="E3163" i="22" s="1"/>
  <c r="D3162" i="22"/>
  <c r="D3163" i="22" s="1"/>
  <c r="H3152" i="22"/>
  <c r="H3153" i="22" s="1"/>
  <c r="F3152" i="22"/>
  <c r="F3153" i="22" s="1"/>
  <c r="E3459" i="22"/>
  <c r="E3460" i="22" s="1"/>
  <c r="A2861" i="22"/>
  <c r="A2823" i="22"/>
  <c r="A2895" i="22" s="1"/>
  <c r="A2930" i="22"/>
  <c r="F2898" i="22"/>
  <c r="I2898" i="22" s="1"/>
  <c r="I2899" i="22" s="1"/>
  <c r="I2900" i="22" s="1"/>
  <c r="F3044" i="22"/>
  <c r="M3100" i="22"/>
  <c r="F2943" i="22"/>
  <c r="G3152" i="22"/>
  <c r="G3153" i="22" s="1"/>
  <c r="I2870" i="22"/>
  <c r="I2884" i="22"/>
  <c r="A2902" i="22"/>
  <c r="I3007" i="22"/>
  <c r="I3047" i="22"/>
  <c r="I3152" i="22"/>
  <c r="I3153" i="22" s="1"/>
  <c r="F3248" i="22"/>
  <c r="F3249" i="22" s="1"/>
  <c r="E3248" i="22"/>
  <c r="E3249" i="22" s="1"/>
  <c r="L3248" i="22"/>
  <c r="L3249" i="22" s="1"/>
  <c r="K3248" i="22"/>
  <c r="K3249" i="22" s="1"/>
  <c r="H3248" i="22"/>
  <c r="H3249" i="22" s="1"/>
  <c r="G3248" i="22"/>
  <c r="G3249" i="22" s="1"/>
  <c r="J3248" i="22"/>
  <c r="J3249" i="22" s="1"/>
  <c r="I3240" i="22"/>
  <c r="I3485" i="22"/>
  <c r="I3486" i="22" s="1"/>
  <c r="H3485" i="22"/>
  <c r="H3486" i="22" s="1"/>
  <c r="D3495" i="22"/>
  <c r="D3496" i="22" s="1"/>
  <c r="J3217" i="22"/>
  <c r="J3218" i="22" s="1"/>
  <c r="G3217" i="22"/>
  <c r="G3218" i="22" s="1"/>
  <c r="F3217" i="22"/>
  <c r="F3218" i="22" s="1"/>
  <c r="F3269" i="22"/>
  <c r="F3297" i="22"/>
  <c r="I3334" i="22"/>
  <c r="I3183" i="22"/>
  <c r="I3191" i="22"/>
  <c r="I3192" i="22" s="1"/>
  <c r="H3191" i="22"/>
  <c r="H3192" i="22" s="1"/>
  <c r="E3191" i="22"/>
  <c r="E3192" i="22" s="1"/>
  <c r="L3191" i="22"/>
  <c r="L3192" i="22" s="1"/>
  <c r="F3339" i="22"/>
  <c r="K3407" i="22"/>
  <c r="K3408" i="22" s="1"/>
  <c r="I3375" i="22"/>
  <c r="F3376" i="22" s="1"/>
  <c r="I3376" i="22" s="1"/>
  <c r="I3377" i="22" s="1"/>
  <c r="F3517" i="22"/>
  <c r="A3618" i="22"/>
  <c r="A3656" i="22" s="1"/>
  <c r="A3692" i="22" s="1"/>
  <c r="A3467" i="22"/>
  <c r="A3504" i="22" s="1"/>
  <c r="A3542" i="22" s="1"/>
  <c r="A3363" i="22"/>
  <c r="A3389" i="22" s="1"/>
  <c r="A3415" i="22" s="1"/>
  <c r="J3381" i="22"/>
  <c r="J3382" i="22" s="1"/>
  <c r="I3381" i="22"/>
  <c r="I3382" i="22" s="1"/>
  <c r="H3381" i="22"/>
  <c r="H3382" i="22" s="1"/>
  <c r="G3381" i="22"/>
  <c r="G3382" i="22" s="1"/>
  <c r="L3381" i="22"/>
  <c r="L3382" i="22" s="1"/>
  <c r="K3381" i="22"/>
  <c r="K3382" i="22" s="1"/>
  <c r="F3381" i="22"/>
  <c r="F3382" i="22" s="1"/>
  <c r="I3593" i="22"/>
  <c r="F3592" i="22"/>
  <c r="I3592" i="22" s="1"/>
  <c r="J3433" i="22"/>
  <c r="J3434" i="22" s="1"/>
  <c r="I3881" i="22"/>
  <c r="I3882" i="22" s="1"/>
  <c r="I3883" i="22" s="1"/>
  <c r="I3552" i="22"/>
  <c r="F3834" i="22"/>
  <c r="I3834" i="22" s="1"/>
  <c r="I3835" i="22" s="1"/>
  <c r="I3836" i="22" s="1"/>
  <c r="F3972" i="22"/>
  <c r="I3972" i="22" s="1"/>
  <c r="I3974" i="22" s="1"/>
  <c r="F4174" i="22"/>
  <c r="I4174" i="22" s="1"/>
  <c r="I4175" i="22" s="1"/>
  <c r="I4176" i="22" s="1"/>
  <c r="E3712" i="22"/>
  <c r="E3713" i="22" s="1"/>
  <c r="L3712" i="22"/>
  <c r="L3713" i="22" s="1"/>
  <c r="K3712" i="22"/>
  <c r="K3713" i="22" s="1"/>
  <c r="J3712" i="22"/>
  <c r="J3713" i="22" s="1"/>
  <c r="F3721" i="22"/>
  <c r="F3722" i="22" s="1"/>
  <c r="I3712" i="22"/>
  <c r="I3713" i="22" s="1"/>
  <c r="H3712" i="22"/>
  <c r="H3713" i="22" s="1"/>
  <c r="E3721" i="22"/>
  <c r="E3722" i="22" s="1"/>
  <c r="F3712" i="22"/>
  <c r="F3713" i="22" s="1"/>
  <c r="D3721" i="22"/>
  <c r="D3722" i="22" s="1"/>
  <c r="D3684" i="22"/>
  <c r="D3685" i="22" s="1"/>
  <c r="H3674" i="22"/>
  <c r="H3675" i="22" s="1"/>
  <c r="G3674" i="22"/>
  <c r="G3675" i="22" s="1"/>
  <c r="F3674" i="22"/>
  <c r="F3675" i="22" s="1"/>
  <c r="E3674" i="22"/>
  <c r="E3675" i="22" s="1"/>
  <c r="L3674" i="22"/>
  <c r="L3675" i="22" s="1"/>
  <c r="J3674" i="22"/>
  <c r="J3675" i="22" s="1"/>
  <c r="E3684" i="22"/>
  <c r="E3685" i="22" s="1"/>
  <c r="K3674" i="22"/>
  <c r="K3675" i="22" s="1"/>
  <c r="I3630" i="22"/>
  <c r="G3638" i="22"/>
  <c r="G3639" i="22" s="1"/>
  <c r="F4031" i="22"/>
  <c r="I4031" i="22" s="1"/>
  <c r="F4032" i="22" s="1"/>
  <c r="F3684" i="22"/>
  <c r="F3685" i="22" s="1"/>
  <c r="F3973" i="22"/>
  <c r="D3780" i="22"/>
  <c r="I3780" i="22" s="1"/>
  <c r="I3779" i="22"/>
  <c r="I4622" i="22"/>
  <c r="I3707" i="22"/>
  <c r="D3720" i="22" s="1"/>
  <c r="E3843" i="22"/>
  <c r="E3847" i="22" s="1"/>
  <c r="D3843" i="22"/>
  <c r="D3847" i="22" s="1"/>
  <c r="F3853" i="22"/>
  <c r="F3857" i="22" s="1"/>
  <c r="H3843" i="22"/>
  <c r="H3847" i="22" s="1"/>
  <c r="I3843" i="22"/>
  <c r="I3847" i="22" s="1"/>
  <c r="G3843" i="22"/>
  <c r="G3847" i="22" s="1"/>
  <c r="E3853" i="22"/>
  <c r="E3857" i="22" s="1"/>
  <c r="F3843" i="22"/>
  <c r="F3847" i="22" s="1"/>
  <c r="F4192" i="22"/>
  <c r="I4192" i="22" s="1"/>
  <c r="I4193" i="22" s="1"/>
  <c r="I4194" i="22" s="1"/>
  <c r="F4622" i="22"/>
  <c r="H3754" i="22"/>
  <c r="H3755" i="22" s="1"/>
  <c r="D3754" i="22"/>
  <c r="D3755" i="22" s="1"/>
  <c r="J3754" i="22"/>
  <c r="J3755" i="22" s="1"/>
  <c r="I3821" i="22"/>
  <c r="I3822" i="22" s="1"/>
  <c r="F4485" i="22"/>
  <c r="F4148" i="22"/>
  <c r="I4148" i="22" s="1"/>
  <c r="I3668" i="22"/>
  <c r="F3669" i="22" s="1"/>
  <c r="I3669" i="22" s="1"/>
  <c r="I3670" i="22" s="1"/>
  <c r="D3853" i="22"/>
  <c r="D3857" i="22" s="1"/>
  <c r="F4009" i="22"/>
  <c r="I4009" i="22" s="1"/>
  <c r="I4014" i="22" s="1"/>
  <c r="I4667" i="22"/>
  <c r="F3881" i="22"/>
  <c r="F3990" i="22"/>
  <c r="I3990" i="22" s="1"/>
  <c r="F3991" i="22" s="1"/>
  <c r="F3892" i="22"/>
  <c r="I3892" i="22" s="1"/>
  <c r="F3958" i="22"/>
  <c r="I3958" i="22" s="1"/>
  <c r="F3959" i="22" s="1"/>
  <c r="I4116" i="22"/>
  <c r="I4208" i="22"/>
  <c r="I4209" i="22" s="1"/>
  <c r="I4213" i="22"/>
  <c r="I4214" i="22" s="1"/>
  <c r="I4215" i="22" s="1"/>
  <c r="F4240" i="22"/>
  <c r="I4240" i="22" s="1"/>
  <c r="I4241" i="22" s="1"/>
  <c r="I4304" i="22"/>
  <c r="F4466" i="22"/>
  <c r="I4466" i="22" s="1"/>
  <c r="I4467" i="22" s="1"/>
  <c r="I4468" i="22" s="1"/>
  <c r="I4554" i="22"/>
  <c r="F4577" i="22"/>
  <c r="I4577" i="22" s="1"/>
  <c r="I4578" i="22" s="1"/>
  <c r="I4579" i="22" s="1"/>
  <c r="I4730" i="22"/>
  <c r="I3813" i="22"/>
  <c r="A4155" i="22"/>
  <c r="A4172" i="22"/>
  <c r="I4130" i="22"/>
  <c r="I4132" i="22" s="1"/>
  <c r="F4165" i="22"/>
  <c r="I4165" i="22" s="1"/>
  <c r="I3911" i="22"/>
  <c r="F3927" i="22"/>
  <c r="I3927" i="22" s="1"/>
  <c r="F4060" i="22"/>
  <c r="I4060" i="22" s="1"/>
  <c r="F4484" i="22"/>
  <c r="F4097" i="22"/>
  <c r="I4097" i="22" s="1"/>
  <c r="I4099" i="22" s="1"/>
  <c r="F4115" i="22"/>
  <c r="F4459" i="22"/>
  <c r="I4186" i="22"/>
  <c r="I4187" i="22" s="1"/>
  <c r="I4188" i="22" s="1"/>
  <c r="I4220" i="22"/>
  <c r="I4221" i="22" s="1"/>
  <c r="I4222" i="22" s="1"/>
  <c r="I4621" i="22"/>
  <c r="F4660" i="22"/>
  <c r="I4660" i="22" s="1"/>
  <c r="I4661" i="22" s="1"/>
  <c r="I4872" i="22"/>
  <c r="I4873" i="22" s="1"/>
  <c r="F4913" i="22"/>
  <c r="I4913" i="22" s="1"/>
  <c r="F4914" i="22" s="1"/>
  <c r="I4914" i="22" s="1"/>
  <c r="I4915" i="22" s="1"/>
  <c r="F4926" i="22"/>
  <c r="F4962" i="22"/>
  <c r="I4962" i="22" s="1"/>
  <c r="F5033" i="22"/>
  <c r="I5033" i="22" s="1"/>
  <c r="I5034" i="22" s="1"/>
  <c r="I5035" i="22" s="1"/>
  <c r="I4235" i="22"/>
  <c r="I4236" i="22" s="1"/>
  <c r="D4603" i="22"/>
  <c r="I4603" i="22" s="1"/>
  <c r="I4602" i="22"/>
  <c r="I4849" i="22"/>
  <c r="I4850" i="22" s="1"/>
  <c r="I4853" i="22" s="1"/>
  <c r="I4854" i="22" s="1"/>
  <c r="I4941" i="22"/>
  <c r="F4977" i="22"/>
  <c r="I4977" i="22" s="1"/>
  <c r="I4985" i="22" s="1"/>
  <c r="F4402" i="22"/>
  <c r="I4402" i="22" s="1"/>
  <c r="I4403" i="22" s="1"/>
  <c r="D4476" i="22"/>
  <c r="H4473" i="22"/>
  <c r="I4926" i="22"/>
  <c r="I4927" i="22" s="1"/>
  <c r="F4998" i="22"/>
  <c r="I4998" i="22" s="1"/>
  <c r="I5009" i="22" s="1"/>
  <c r="F4430" i="22"/>
  <c r="I4430" i="22" s="1"/>
  <c r="I4431" i="22" s="1"/>
  <c r="I4432" i="22" s="1"/>
  <c r="I4459" i="22"/>
  <c r="I4460" i="22" s="1"/>
  <c r="I4461" i="22" s="1"/>
  <c r="I4477" i="22"/>
  <c r="F4550" i="22"/>
  <c r="I4550" i="22" s="1"/>
  <c r="F4637" i="22"/>
  <c r="I4637" i="22" s="1"/>
  <c r="I4647" i="22" s="1"/>
  <c r="I4648" i="22" s="1"/>
  <c r="I4674" i="22"/>
  <c r="I4676" i="22" s="1"/>
  <c r="F4754" i="22"/>
  <c r="I4754" i="22" s="1"/>
  <c r="I4755" i="22" s="1"/>
  <c r="F4583" i="22"/>
  <c r="I4583" i="22" s="1"/>
  <c r="I4584" i="22" s="1"/>
  <c r="I4585" i="22" s="1"/>
  <c r="I4699" i="22"/>
  <c r="I4770" i="22"/>
  <c r="F4792" i="22"/>
  <c r="I4792" i="22" s="1"/>
  <c r="F4878" i="22"/>
  <c r="I4878" i="22" s="1"/>
  <c r="I4879" i="22" s="1"/>
  <c r="I4880" i="22" s="1"/>
  <c r="I4940" i="22"/>
  <c r="F5020" i="22"/>
  <c r="I5020" i="22" s="1"/>
  <c r="I5024" i="22" s="1"/>
  <c r="I4244" i="22"/>
  <c r="I4245" i="22" s="1"/>
  <c r="I4246" i="22" s="1"/>
  <c r="F4265" i="22"/>
  <c r="I4265" i="22" s="1"/>
  <c r="I4269" i="22" s="1"/>
  <c r="D4612" i="22"/>
  <c r="I4612" i="22" s="1"/>
  <c r="I4611" i="22"/>
  <c r="D4505" i="22"/>
  <c r="F4957" i="22"/>
  <c r="I4957" i="22" s="1"/>
  <c r="I4590" i="22"/>
  <c r="F4592" i="22" s="1"/>
  <c r="I4592" i="22" s="1"/>
  <c r="F4884" i="22"/>
  <c r="I4884" i="22" s="1"/>
  <c r="I4885" i="22" s="1"/>
  <c r="I4886" i="22" s="1"/>
  <c r="I4531" i="22"/>
  <c r="F4533" i="22" s="1"/>
  <c r="I4533" i="22" s="1"/>
  <c r="H23" i="21"/>
  <c r="C16" i="21"/>
  <c r="H16" i="21" s="1"/>
  <c r="J193" i="18"/>
  <c r="J194" i="18" s="1"/>
  <c r="I3754" i="22" l="1"/>
  <c r="I3755" i="22" s="1"/>
  <c r="E3766" i="22"/>
  <c r="E3767" i="22" s="1"/>
  <c r="J3485" i="22"/>
  <c r="J3486" i="22" s="1"/>
  <c r="F3485" i="22"/>
  <c r="F3486" i="22" s="1"/>
  <c r="I2523" i="22"/>
  <c r="I2524" i="22" s="1"/>
  <c r="E2490" i="22"/>
  <c r="E2491" i="22" s="1"/>
  <c r="D2815" i="22"/>
  <c r="D2816" i="22" s="1"/>
  <c r="E2037" i="22"/>
  <c r="E2038" i="22" s="1"/>
  <c r="H794" i="22"/>
  <c r="H795" i="22" s="1"/>
  <c r="E867" i="22"/>
  <c r="E868" i="22" s="1"/>
  <c r="E766" i="22"/>
  <c r="E767" i="22" s="1"/>
  <c r="F2698" i="22"/>
  <c r="F2699" i="22" s="1"/>
  <c r="F794" i="22"/>
  <c r="F795" i="22" s="1"/>
  <c r="I3929" i="22"/>
  <c r="E3754" i="22"/>
  <c r="E3755" i="22" s="1"/>
  <c r="K3485" i="22"/>
  <c r="K3486" i="22" s="1"/>
  <c r="E3495" i="22"/>
  <c r="E3496" i="22" s="1"/>
  <c r="I2692" i="22"/>
  <c r="F2693" i="22" s="1"/>
  <c r="I2693" i="22" s="1"/>
  <c r="G2698" i="22"/>
  <c r="G2699" i="22" s="1"/>
  <c r="I2017" i="22"/>
  <c r="E2751" i="22"/>
  <c r="E2752" i="22" s="1"/>
  <c r="F2037" i="22"/>
  <c r="F2038" i="22" s="1"/>
  <c r="I907" i="22"/>
  <c r="I908" i="22" s="1"/>
  <c r="I748" i="22"/>
  <c r="G867" i="22"/>
  <c r="G868" i="22" s="1"/>
  <c r="I3943" i="22"/>
  <c r="F3754" i="22"/>
  <c r="F3755" i="22" s="1"/>
  <c r="F3495" i="22"/>
  <c r="F3496" i="22" s="1"/>
  <c r="L3485" i="22"/>
  <c r="L3486" i="22" s="1"/>
  <c r="H2490" i="22"/>
  <c r="H2491" i="22" s="1"/>
  <c r="H2698" i="22"/>
  <c r="H2699" i="22" s="1"/>
  <c r="F2805" i="22"/>
  <c r="F2806" i="22" s="1"/>
  <c r="I1719" i="22"/>
  <c r="G2025" i="22"/>
  <c r="G2026" i="22" s="1"/>
  <c r="L2025" i="22"/>
  <c r="L2026" i="22" s="1"/>
  <c r="H718" i="22"/>
  <c r="H719" i="22" s="1"/>
  <c r="E794" i="22"/>
  <c r="E795" i="22" s="1"/>
  <c r="G907" i="22"/>
  <c r="G908" i="22" s="1"/>
  <c r="F919" i="22"/>
  <c r="F920" i="22" s="1"/>
  <c r="F766" i="22"/>
  <c r="F767" i="22" s="1"/>
  <c r="G9" i="22"/>
  <c r="F4387" i="22"/>
  <c r="I4387" i="22" s="1"/>
  <c r="I4391" i="22" s="1"/>
  <c r="E907" i="22"/>
  <c r="E908" i="22" s="1"/>
  <c r="I3739" i="22"/>
  <c r="I3747" i="22" s="1"/>
  <c r="I3479" i="22"/>
  <c r="F3480" i="22" s="1"/>
  <c r="I3480" i="22" s="1"/>
  <c r="I3481" i="22" s="1"/>
  <c r="I2490" i="22"/>
  <c r="I2491" i="22" s="1"/>
  <c r="I2698" i="22"/>
  <c r="I2699" i="22" s="1"/>
  <c r="I2745" i="22"/>
  <c r="F2746" i="22" s="1"/>
  <c r="I2746" i="22" s="1"/>
  <c r="I2747" i="22" s="1"/>
  <c r="H2750" i="22" s="1"/>
  <c r="H2753" i="22" s="1"/>
  <c r="H2025" i="22"/>
  <c r="H2026" i="22" s="1"/>
  <c r="F2025" i="22"/>
  <c r="F2026" i="22" s="1"/>
  <c r="H766" i="22"/>
  <c r="H767" i="22" s="1"/>
  <c r="F867" i="22"/>
  <c r="F868" i="22" s="1"/>
  <c r="E919" i="22"/>
  <c r="E920" i="22" s="1"/>
  <c r="G794" i="22"/>
  <c r="G795" i="22" s="1"/>
  <c r="G3754" i="22"/>
  <c r="G3755" i="22" s="1"/>
  <c r="E3485" i="22"/>
  <c r="E3486" i="22" s="1"/>
  <c r="I2484" i="22"/>
  <c r="F2485" i="22" s="1"/>
  <c r="I2485" i="22" s="1"/>
  <c r="I2486" i="22" s="1"/>
  <c r="H2751" i="22"/>
  <c r="H2752" i="22" s="1"/>
  <c r="I2025" i="22"/>
  <c r="I2026" i="22" s="1"/>
  <c r="I794" i="22"/>
  <c r="I795" i="22" s="1"/>
  <c r="F907" i="22"/>
  <c r="F908" i="22" s="1"/>
  <c r="I867" i="22"/>
  <c r="I868" i="22" s="1"/>
  <c r="D3766" i="22"/>
  <c r="D3767" i="22" s="1"/>
  <c r="D2037" i="22"/>
  <c r="D2038" i="22" s="1"/>
  <c r="G718" i="22"/>
  <c r="G719" i="22" s="1"/>
  <c r="I718" i="22"/>
  <c r="I719" i="22" s="1"/>
  <c r="F76" i="23"/>
  <c r="I76" i="23" s="1"/>
  <c r="F3557" i="22"/>
  <c r="I3563" i="22" s="1"/>
  <c r="I3564" i="22" s="1"/>
  <c r="F3908" i="22"/>
  <c r="F2249" i="22"/>
  <c r="E2240" i="22"/>
  <c r="E2243" i="22" s="1"/>
  <c r="E2249" i="22"/>
  <c r="E2252" i="22" s="1"/>
  <c r="E2253" i="22" s="1"/>
  <c r="E2254" i="22" s="1"/>
  <c r="E2255" i="22" s="1"/>
  <c r="G2240" i="22"/>
  <c r="D2240" i="22"/>
  <c r="D2243" i="22" s="1"/>
  <c r="D2249" i="22"/>
  <c r="F2240" i="22"/>
  <c r="H2240" i="22"/>
  <c r="H2243" i="22" s="1"/>
  <c r="I2240" i="22"/>
  <c r="I2102" i="22"/>
  <c r="K2751" i="22"/>
  <c r="K2752" i="22" s="1"/>
  <c r="F3065" i="22"/>
  <c r="I3065" i="22" s="1"/>
  <c r="I9" i="22"/>
  <c r="L3433" i="22"/>
  <c r="L3434" i="22" s="1"/>
  <c r="I3459" i="22"/>
  <c r="I3460" i="22" s="1"/>
  <c r="I2805" i="22"/>
  <c r="I2806" i="22" s="1"/>
  <c r="J3459" i="22"/>
  <c r="J3460" i="22" s="1"/>
  <c r="E2815" i="22"/>
  <c r="E2816" i="22" s="1"/>
  <c r="F2751" i="22"/>
  <c r="F2752" i="22" s="1"/>
  <c r="G2843" i="22"/>
  <c r="G2844" i="22" s="1"/>
  <c r="E1636" i="22"/>
  <c r="E1637" i="22" s="1"/>
  <c r="I207" i="22"/>
  <c r="F3872" i="22"/>
  <c r="J1347" i="22"/>
  <c r="J1348" i="22" s="1"/>
  <c r="E2533" i="22"/>
  <c r="E2534" i="22" s="1"/>
  <c r="F3459" i="22"/>
  <c r="F3460" i="22" s="1"/>
  <c r="H3638" i="22"/>
  <c r="H3639" i="22" s="1"/>
  <c r="F4045" i="22"/>
  <c r="F1636" i="22"/>
  <c r="F1637" i="22" s="1"/>
  <c r="D2533" i="22"/>
  <c r="D2534" i="22" s="1"/>
  <c r="K3433" i="22"/>
  <c r="K3434" i="22" s="1"/>
  <c r="F2843" i="22"/>
  <c r="F2844" i="22" s="1"/>
  <c r="E3433" i="22"/>
  <c r="E3434" i="22" s="1"/>
  <c r="K3459" i="22"/>
  <c r="K3460" i="22" s="1"/>
  <c r="L2751" i="22"/>
  <c r="L2752" i="22" s="1"/>
  <c r="G2805" i="22"/>
  <c r="G2806" i="22" s="1"/>
  <c r="H2843" i="22"/>
  <c r="H2844" i="22" s="1"/>
  <c r="I3912" i="22"/>
  <c r="F3648" i="22"/>
  <c r="F3649" i="22" s="1"/>
  <c r="E3648" i="22"/>
  <c r="E3649" i="22" s="1"/>
  <c r="J3191" i="22"/>
  <c r="J3192" i="22" s="1"/>
  <c r="K3217" i="22"/>
  <c r="K3218" i="22" s="1"/>
  <c r="I3453" i="22"/>
  <c r="F3454" i="22" s="1"/>
  <c r="I3454" i="22" s="1"/>
  <c r="I3455" i="22" s="1"/>
  <c r="L3458" i="22" s="1"/>
  <c r="L3461" i="22" s="1"/>
  <c r="L3459" i="22"/>
  <c r="L3460" i="22" s="1"/>
  <c r="F2533" i="22"/>
  <c r="F2534" i="22" s="1"/>
  <c r="F2433" i="22"/>
  <c r="F2434" i="22" s="1"/>
  <c r="E2401" i="22"/>
  <c r="E2402" i="22" s="1"/>
  <c r="E2281" i="22"/>
  <c r="E2282" i="22" s="1"/>
  <c r="E2805" i="22"/>
  <c r="E2806" i="22" s="1"/>
  <c r="I2843" i="22"/>
  <c r="I2844" i="22" s="1"/>
  <c r="D2853" i="22"/>
  <c r="D2854" i="22" s="1"/>
  <c r="I1378" i="22"/>
  <c r="I1379" i="22" s="1"/>
  <c r="G1636" i="22"/>
  <c r="G1637" i="22" s="1"/>
  <c r="H1378" i="22"/>
  <c r="H1379" i="22" s="1"/>
  <c r="J1751" i="22"/>
  <c r="J1752" i="22" s="1"/>
  <c r="L3638" i="22"/>
  <c r="L3639" i="22" s="1"/>
  <c r="I3638" i="22"/>
  <c r="I3639" i="22" s="1"/>
  <c r="F2272" i="22"/>
  <c r="F2273" i="22" s="1"/>
  <c r="E3638" i="22"/>
  <c r="E3639" i="22" s="1"/>
  <c r="F3433" i="22"/>
  <c r="F3434" i="22" s="1"/>
  <c r="L3217" i="22"/>
  <c r="L3218" i="22" s="1"/>
  <c r="G3459" i="22"/>
  <c r="G3460" i="22" s="1"/>
  <c r="I3146" i="22"/>
  <c r="F3147" i="22" s="1"/>
  <c r="I3147" i="22" s="1"/>
  <c r="F2523" i="22"/>
  <c r="F2524" i="22" s="1"/>
  <c r="I2517" i="22"/>
  <c r="F2518" i="22" s="1"/>
  <c r="I2518" i="22" s="1"/>
  <c r="G2433" i="22"/>
  <c r="G2434" i="22" s="1"/>
  <c r="F2401" i="22"/>
  <c r="F2402" i="22" s="1"/>
  <c r="G2272" i="22"/>
  <c r="G2273" i="22" s="1"/>
  <c r="F2853" i="22"/>
  <c r="F2854" i="22" s="1"/>
  <c r="F2815" i="22"/>
  <c r="F2816" i="22" s="1"/>
  <c r="G2751" i="22"/>
  <c r="G2752" i="22" s="1"/>
  <c r="E2853" i="22"/>
  <c r="E2854" i="22" s="1"/>
  <c r="H1636" i="22"/>
  <c r="H1637" i="22" s="1"/>
  <c r="F2164" i="22"/>
  <c r="I2164" i="22" s="1"/>
  <c r="I2176" i="22" s="1"/>
  <c r="I2272" i="22"/>
  <c r="I2273" i="22" s="1"/>
  <c r="I715" i="23"/>
  <c r="F716" i="23" s="1"/>
  <c r="I716" i="23" s="1"/>
  <c r="I3433" i="22"/>
  <c r="I3434" i="22" s="1"/>
  <c r="D3648" i="22"/>
  <c r="D3649" i="22" s="1"/>
  <c r="H3433" i="22"/>
  <c r="H3434" i="22" s="1"/>
  <c r="J3638" i="22"/>
  <c r="J3639" i="22" s="1"/>
  <c r="F3186" i="22"/>
  <c r="I3186" i="22" s="1"/>
  <c r="E2523" i="22"/>
  <c r="E2524" i="22" s="1"/>
  <c r="F3638" i="22"/>
  <c r="F3639" i="22" s="1"/>
  <c r="G3433" i="22"/>
  <c r="G3434" i="22" s="1"/>
  <c r="H3217" i="22"/>
  <c r="H3218" i="22" s="1"/>
  <c r="F2281" i="22"/>
  <c r="F2282" i="22" s="1"/>
  <c r="I2751" i="22"/>
  <c r="I2752" i="22" s="1"/>
  <c r="E2843" i="22"/>
  <c r="E2844" i="22" s="1"/>
  <c r="F1814" i="22"/>
  <c r="F1815" i="22" s="1"/>
  <c r="I1636" i="22"/>
  <c r="I1637" i="22" s="1"/>
  <c r="I302" i="22"/>
  <c r="F4812" i="22"/>
  <c r="I4812" i="22" s="1"/>
  <c r="I3708" i="22"/>
  <c r="I4901" i="22"/>
  <c r="F3594" i="22"/>
  <c r="I3594" i="22" s="1"/>
  <c r="F3595" i="22" s="1"/>
  <c r="I3595" i="22" s="1"/>
  <c r="I3596" i="22" s="1"/>
  <c r="I3599" i="22" s="1"/>
  <c r="I4623" i="22"/>
  <c r="G3600" i="22"/>
  <c r="G3601" i="22" s="1"/>
  <c r="E3573" i="22"/>
  <c r="E3574" i="22" s="1"/>
  <c r="E3610" i="22"/>
  <c r="E3611" i="22" s="1"/>
  <c r="I3557" i="22"/>
  <c r="F3558" i="22" s="1"/>
  <c r="I3558" i="22" s="1"/>
  <c r="I3559" i="22" s="1"/>
  <c r="G3563" i="22"/>
  <c r="G3564" i="22" s="1"/>
  <c r="E3600" i="22"/>
  <c r="E3601" i="22" s="1"/>
  <c r="F3573" i="22"/>
  <c r="F3574" i="22" s="1"/>
  <c r="D3573" i="22"/>
  <c r="D3574" i="22" s="1"/>
  <c r="J3563" i="22"/>
  <c r="J3564" i="22" s="1"/>
  <c r="F3563" i="22"/>
  <c r="F3564" i="22" s="1"/>
  <c r="E3563" i="22"/>
  <c r="E3564" i="22" s="1"/>
  <c r="D3610" i="22"/>
  <c r="D3611" i="22" s="1"/>
  <c r="I77" i="23"/>
  <c r="I78" i="23" s="1"/>
  <c r="I79" i="23" s="1"/>
  <c r="G2569" i="22"/>
  <c r="G2570" i="22" s="1"/>
  <c r="G1814" i="22"/>
  <c r="G1815" i="22" s="1"/>
  <c r="F3407" i="22"/>
  <c r="F3408" i="22" s="1"/>
  <c r="F4604" i="22"/>
  <c r="I4604" i="22" s="1"/>
  <c r="G3407" i="22"/>
  <c r="G3408" i="22" s="1"/>
  <c r="D2581" i="22"/>
  <c r="D2582" i="22" s="1"/>
  <c r="E1814" i="22"/>
  <c r="E1815" i="22" s="1"/>
  <c r="D1826" i="22"/>
  <c r="D1827" i="22" s="1"/>
  <c r="L3407" i="22"/>
  <c r="L3408" i="22" s="1"/>
  <c r="H2569" i="22"/>
  <c r="H2570" i="22" s="1"/>
  <c r="H1814" i="22"/>
  <c r="H1815" i="22" s="1"/>
  <c r="D3723" i="22"/>
  <c r="E3407" i="22"/>
  <c r="E3408" i="22" s="1"/>
  <c r="E2581" i="22"/>
  <c r="E2582" i="22" s="1"/>
  <c r="E1826" i="22"/>
  <c r="E1827" i="22" s="1"/>
  <c r="I2302" i="22"/>
  <c r="F2303" i="22" s="1"/>
  <c r="I2303" i="22" s="1"/>
  <c r="I2304" i="22" s="1"/>
  <c r="I2305" i="22" s="1"/>
  <c r="D2320" i="22" s="1"/>
  <c r="D2326" i="22" s="1"/>
  <c r="H3407" i="22"/>
  <c r="H3408" i="22" s="1"/>
  <c r="I2569" i="22"/>
  <c r="I2570" i="22" s="1"/>
  <c r="I1814" i="22"/>
  <c r="I1815" i="22" s="1"/>
  <c r="I1621" i="22"/>
  <c r="I3873" i="22"/>
  <c r="F3874" i="22" s="1"/>
  <c r="I3874" i="22" s="1"/>
  <c r="I3875" i="22" s="1"/>
  <c r="I3876" i="22" s="1"/>
  <c r="I3877" i="22" s="1"/>
  <c r="I3401" i="22"/>
  <c r="F3402" i="22" s="1"/>
  <c r="I3402" i="22" s="1"/>
  <c r="I3403" i="22" s="1"/>
  <c r="D3406" i="22" s="1"/>
  <c r="D3409" i="22" s="1"/>
  <c r="I3407" i="22"/>
  <c r="I3408" i="22" s="1"/>
  <c r="G2243" i="22"/>
  <c r="E2569" i="22"/>
  <c r="E2570" i="22" s="1"/>
  <c r="F2581" i="22"/>
  <c r="F2582" i="22" s="1"/>
  <c r="F1826" i="22"/>
  <c r="F1827" i="22" s="1"/>
  <c r="I62" i="22"/>
  <c r="F4739" i="22"/>
  <c r="I4739" i="22" s="1"/>
  <c r="I4741" i="22" s="1"/>
  <c r="F4742" i="22" s="1"/>
  <c r="I4742" i="22" s="1"/>
  <c r="I4743" i="22" s="1"/>
  <c r="I4744" i="22" s="1"/>
  <c r="I4745" i="22" s="1"/>
  <c r="I402" i="23"/>
  <c r="F403" i="23" s="1"/>
  <c r="I403" i="23" s="1"/>
  <c r="F1262" i="23"/>
  <c r="I1262" i="23" s="1"/>
  <c r="I549" i="23"/>
  <c r="I550" i="23" s="1"/>
  <c r="I510" i="23"/>
  <c r="F511" i="23" s="1"/>
  <c r="I511" i="23" s="1"/>
  <c r="I391" i="22"/>
  <c r="I4944" i="22"/>
  <c r="I4945" i="22" s="1"/>
  <c r="F4452" i="22"/>
  <c r="I4452" i="22" s="1"/>
  <c r="I4453" i="22" s="1"/>
  <c r="I4454" i="22" s="1"/>
  <c r="F904" i="23"/>
  <c r="I904" i="23" s="1"/>
  <c r="I905" i="23" s="1"/>
  <c r="I906" i="23" s="1"/>
  <c r="F646" i="23"/>
  <c r="I646" i="23" s="1"/>
  <c r="I650" i="23" s="1"/>
  <c r="F651" i="23" s="1"/>
  <c r="I651" i="23" s="1"/>
  <c r="I652" i="23" s="1"/>
  <c r="I653" i="23" s="1"/>
  <c r="I654" i="23" s="1"/>
  <c r="I4078" i="22"/>
  <c r="F4079" i="22" s="1"/>
  <c r="I4079" i="22" s="1"/>
  <c r="I4080" i="22" s="1"/>
  <c r="I4081" i="22" s="1"/>
  <c r="I4082" i="22" s="1"/>
  <c r="F4077" i="22"/>
  <c r="I4150" i="22"/>
  <c r="F4149" i="22"/>
  <c r="F50" i="22"/>
  <c r="I50" i="22" s="1"/>
  <c r="I51" i="22" s="1"/>
  <c r="I52" i="22" s="1"/>
  <c r="F4613" i="22"/>
  <c r="I4613" i="22" s="1"/>
  <c r="I4614" i="22" s="1"/>
  <c r="I3992" i="22"/>
  <c r="F3993" i="22" s="1"/>
  <c r="I3993" i="22" s="1"/>
  <c r="I3994" i="22" s="1"/>
  <c r="I3995" i="22" s="1"/>
  <c r="I3996" i="22" s="1"/>
  <c r="I680" i="23"/>
  <c r="F681" i="23" s="1"/>
  <c r="I681" i="23" s="1"/>
  <c r="I320" i="23"/>
  <c r="F321" i="23" s="1"/>
  <c r="I321" i="23" s="1"/>
  <c r="G2490" i="22"/>
  <c r="G2491" i="22" s="1"/>
  <c r="F2490" i="22"/>
  <c r="F2491" i="22" s="1"/>
  <c r="I4824" i="22"/>
  <c r="F4825" i="22" s="1"/>
  <c r="I4825" i="22" s="1"/>
  <c r="I4826" i="22" s="1"/>
  <c r="I2519" i="22"/>
  <c r="D2532" i="22" s="1"/>
  <c r="D2535" i="22" s="1"/>
  <c r="D2281" i="22"/>
  <c r="D2282" i="22" s="1"/>
  <c r="E2272" i="22"/>
  <c r="E2273" i="22" s="1"/>
  <c r="I3187" i="22"/>
  <c r="L3190" i="22" s="1"/>
  <c r="L3193" i="22" s="1"/>
  <c r="H907" i="22"/>
  <c r="H908" i="22" s="1"/>
  <c r="F718" i="22"/>
  <c r="F719" i="22" s="1"/>
  <c r="H867" i="22"/>
  <c r="H868" i="22" s="1"/>
  <c r="G3191" i="22"/>
  <c r="G3192" i="22" s="1"/>
  <c r="F3191" i="22"/>
  <c r="F3192" i="22" s="1"/>
  <c r="I450" i="23"/>
  <c r="I204" i="23"/>
  <c r="F205" i="23" s="1"/>
  <c r="I205" i="23" s="1"/>
  <c r="I4033" i="22"/>
  <c r="I483" i="23"/>
  <c r="I484" i="23" s="1"/>
  <c r="F485" i="23" s="1"/>
  <c r="I485" i="23" s="1"/>
  <c r="I486" i="23" s="1"/>
  <c r="I487" i="23" s="1"/>
  <c r="I3211" i="22"/>
  <c r="F3212" i="22" s="1"/>
  <c r="I3212" i="22" s="1"/>
  <c r="I3213" i="22" s="1"/>
  <c r="I3217" i="22"/>
  <c r="I3218" i="22" s="1"/>
  <c r="F67" i="23"/>
  <c r="I67" i="23" s="1"/>
  <c r="I68" i="23" s="1"/>
  <c r="F362" i="23"/>
  <c r="I362" i="23" s="1"/>
  <c r="I368" i="23" s="1"/>
  <c r="F239" i="23"/>
  <c r="I239" i="23" s="1"/>
  <c r="I245" i="23" s="1"/>
  <c r="F22" i="23"/>
  <c r="I22" i="23" s="1"/>
  <c r="I23" i="23" s="1"/>
  <c r="F37" i="23"/>
  <c r="I37" i="23" s="1"/>
  <c r="I38" i="23" s="1"/>
  <c r="I286" i="23"/>
  <c r="F1115" i="23"/>
  <c r="I1115" i="23" s="1"/>
  <c r="I1116" i="23" s="1"/>
  <c r="I1117" i="23" s="1"/>
  <c r="F551" i="23"/>
  <c r="I551" i="23" s="1"/>
  <c r="I552" i="23" s="1"/>
  <c r="I553" i="23" s="1"/>
  <c r="F1301" i="23"/>
  <c r="I1301" i="23" s="1"/>
  <c r="I1305" i="23" s="1"/>
  <c r="F1006" i="23"/>
  <c r="I1006" i="23" s="1"/>
  <c r="I1007" i="23" s="1"/>
  <c r="I1008" i="23" s="1"/>
  <c r="F1034" i="23"/>
  <c r="I1034" i="23" s="1"/>
  <c r="I1035" i="23" s="1"/>
  <c r="I1036" i="23" s="1"/>
  <c r="F52" i="23"/>
  <c r="I52" i="23" s="1"/>
  <c r="I53" i="23" s="1"/>
  <c r="F982" i="23"/>
  <c r="I982" i="23" s="1"/>
  <c r="I983" i="23" s="1"/>
  <c r="I984" i="23" s="1"/>
  <c r="I611" i="23"/>
  <c r="F1025" i="23"/>
  <c r="I1025" i="23" s="1"/>
  <c r="I1026" i="23" s="1"/>
  <c r="I1027" i="23" s="1"/>
  <c r="I515" i="23"/>
  <c r="I516" i="23" s="1"/>
  <c r="I583" i="23"/>
  <c r="I584" i="23" s="1"/>
  <c r="D714" i="23"/>
  <c r="I714" i="23" s="1"/>
  <c r="I713" i="23"/>
  <c r="I114" i="23"/>
  <c r="F115" i="23" s="1"/>
  <c r="I115" i="23" s="1"/>
  <c r="D679" i="23"/>
  <c r="I679" i="23" s="1"/>
  <c r="I678" i="23"/>
  <c r="I1264" i="23"/>
  <c r="A765" i="23"/>
  <c r="A803" i="23" s="1"/>
  <c r="A841" i="23" s="1"/>
  <c r="A847" i="23"/>
  <c r="A853" i="23" s="1"/>
  <c r="A859" i="23" s="1"/>
  <c r="A865" i="23" s="1"/>
  <c r="A871" i="23" s="1"/>
  <c r="A960" i="23" s="1"/>
  <c r="A1047" i="23" s="1"/>
  <c r="A1059" i="23" s="1"/>
  <c r="A292" i="23"/>
  <c r="A333" i="23"/>
  <c r="I163" i="23"/>
  <c r="F41" i="22"/>
  <c r="I41" i="22" s="1"/>
  <c r="I42" i="22" s="1"/>
  <c r="I43" i="22" s="1"/>
  <c r="I4062" i="22"/>
  <c r="F4061" i="22"/>
  <c r="F4133" i="22"/>
  <c r="I4133" i="22" s="1"/>
  <c r="I4134" i="22" s="1"/>
  <c r="I4135" i="22" s="1"/>
  <c r="I4136" i="22" s="1"/>
  <c r="F4339" i="22"/>
  <c r="I4339" i="22" s="1"/>
  <c r="I4340" i="22" s="1"/>
  <c r="I4341" i="22" s="1"/>
  <c r="I3750" i="22"/>
  <c r="I3756" i="22" s="1"/>
  <c r="E3762" i="22"/>
  <c r="E3768" i="22" s="1"/>
  <c r="H3750" i="22"/>
  <c r="H3756" i="22" s="1"/>
  <c r="D3762" i="22"/>
  <c r="D3768" i="22" s="1"/>
  <c r="G3750" i="22"/>
  <c r="G3756" i="22" s="1"/>
  <c r="F3750" i="22"/>
  <c r="F3756" i="22" s="1"/>
  <c r="E3750" i="22"/>
  <c r="E3756" i="22" s="1"/>
  <c r="J3750" i="22"/>
  <c r="J3756" i="22" s="1"/>
  <c r="D3750" i="22"/>
  <c r="D3756" i="22" s="1"/>
  <c r="K3750" i="22"/>
  <c r="K3756" i="22" s="1"/>
  <c r="J2750" i="22"/>
  <c r="J2753" i="22" s="1"/>
  <c r="F303" i="22"/>
  <c r="I303" i="22" s="1"/>
  <c r="I304" i="22" s="1"/>
  <c r="I305" i="22" s="1"/>
  <c r="I306" i="22" s="1"/>
  <c r="E2606" i="22"/>
  <c r="E2609" i="22" s="1"/>
  <c r="L2606" i="22"/>
  <c r="L2609" i="22" s="1"/>
  <c r="D2606" i="22"/>
  <c r="D2609" i="22" s="1"/>
  <c r="K2606" i="22"/>
  <c r="K2609" i="22" s="1"/>
  <c r="J2606" i="22"/>
  <c r="J2609" i="22" s="1"/>
  <c r="I2606" i="22"/>
  <c r="I2609" i="22" s="1"/>
  <c r="H2606" i="22"/>
  <c r="H2609" i="22" s="1"/>
  <c r="G2606" i="22"/>
  <c r="G2609" i="22" s="1"/>
  <c r="F2606" i="22"/>
  <c r="F2609" i="22" s="1"/>
  <c r="F117" i="22"/>
  <c r="I117" i="22" s="1"/>
  <c r="I118" i="22" s="1"/>
  <c r="I119" i="22" s="1"/>
  <c r="F90" i="22"/>
  <c r="I90" i="22" s="1"/>
  <c r="I91" i="22" s="1"/>
  <c r="I92" i="22" s="1"/>
  <c r="F5010" i="22"/>
  <c r="I5010" i="22" s="1"/>
  <c r="I5011" i="22" s="1"/>
  <c r="I5012" i="22" s="1"/>
  <c r="I5013" i="22" s="1"/>
  <c r="I5014" i="22" s="1"/>
  <c r="F4649" i="22"/>
  <c r="I4649" i="22" s="1"/>
  <c r="I4650" i="22" s="1"/>
  <c r="I4651" i="22" s="1"/>
  <c r="F4624" i="22"/>
  <c r="I4624" i="22" s="1"/>
  <c r="I4625" i="22" s="1"/>
  <c r="I4626" i="22" s="1"/>
  <c r="I4627" i="22" s="1"/>
  <c r="I4628" i="22" s="1"/>
  <c r="F3930" i="22"/>
  <c r="I3930" i="22" s="1"/>
  <c r="I3931" i="22" s="1"/>
  <c r="I3932" i="22" s="1"/>
  <c r="I3933" i="22" s="1"/>
  <c r="E2814" i="22"/>
  <c r="E2817" i="22" s="1"/>
  <c r="F2804" i="22"/>
  <c r="D2814" i="22"/>
  <c r="D2817" i="22" s="1"/>
  <c r="E2804" i="22"/>
  <c r="E2807" i="22" s="1"/>
  <c r="D2804" i="22"/>
  <c r="D2807" i="22" s="1"/>
  <c r="I2804" i="22"/>
  <c r="H2804" i="22"/>
  <c r="H2807" i="22" s="1"/>
  <c r="G2804" i="22"/>
  <c r="G2807" i="22" s="1"/>
  <c r="F2814" i="22"/>
  <c r="F2817" i="22" s="1"/>
  <c r="F1887" i="22"/>
  <c r="I1887" i="22" s="1"/>
  <c r="I1888" i="22" s="1"/>
  <c r="F470" i="22"/>
  <c r="I470" i="22" s="1"/>
  <c r="I471" i="22" s="1"/>
  <c r="I472" i="22" s="1"/>
  <c r="F135" i="22"/>
  <c r="I135" i="22" s="1"/>
  <c r="I136" i="22" s="1"/>
  <c r="I137" i="22" s="1"/>
  <c r="E3216" i="22"/>
  <c r="E3219" i="22" s="1"/>
  <c r="L3216" i="22"/>
  <c r="L3219" i="22" s="1"/>
  <c r="D3216" i="22"/>
  <c r="D3219" i="22" s="1"/>
  <c r="K3216" i="22"/>
  <c r="K3219" i="22" s="1"/>
  <c r="J3216" i="22"/>
  <c r="J3219" i="22" s="1"/>
  <c r="G3216" i="22"/>
  <c r="G3219" i="22" s="1"/>
  <c r="F3216" i="22"/>
  <c r="F3219" i="22" s="1"/>
  <c r="I3216" i="22"/>
  <c r="H3216" i="22"/>
  <c r="H3219" i="22" s="1"/>
  <c r="F3913" i="22"/>
  <c r="I3913" i="22" s="1"/>
  <c r="I3914" i="22" s="1"/>
  <c r="I3915" i="22" s="1"/>
  <c r="I3916" i="22" s="1"/>
  <c r="H3673" i="22"/>
  <c r="H3676" i="22" s="1"/>
  <c r="F3683" i="22"/>
  <c r="F3686" i="22" s="1"/>
  <c r="G3673" i="22"/>
  <c r="G3676" i="22" s="1"/>
  <c r="E3683" i="22"/>
  <c r="E3686" i="22" s="1"/>
  <c r="F3673" i="22"/>
  <c r="F3676" i="22" s="1"/>
  <c r="D3683" i="22"/>
  <c r="D3686" i="22" s="1"/>
  <c r="E3673" i="22"/>
  <c r="E3676" i="22" s="1"/>
  <c r="L3673" i="22"/>
  <c r="L3676" i="22" s="1"/>
  <c r="D3673" i="22"/>
  <c r="D3676" i="22" s="1"/>
  <c r="K3673" i="22"/>
  <c r="K3676" i="22" s="1"/>
  <c r="J3673" i="22"/>
  <c r="J3676" i="22" s="1"/>
  <c r="I3673" i="22"/>
  <c r="I3676" i="22" s="1"/>
  <c r="F1747" i="22"/>
  <c r="F1753" i="22" s="1"/>
  <c r="E1747" i="22"/>
  <c r="E1753" i="22" s="1"/>
  <c r="L1747" i="22"/>
  <c r="L1753" i="22" s="1"/>
  <c r="D1747" i="22"/>
  <c r="D1753" i="22" s="1"/>
  <c r="F1740" i="22"/>
  <c r="I1740" i="22" s="1"/>
  <c r="K1747" i="22"/>
  <c r="K1753" i="22" s="1"/>
  <c r="J1747" i="22"/>
  <c r="I1747" i="22"/>
  <c r="I1753" i="22" s="1"/>
  <c r="H1747" i="22"/>
  <c r="H1753" i="22" s="1"/>
  <c r="G1747" i="22"/>
  <c r="G1753" i="22" s="1"/>
  <c r="F226" i="22"/>
  <c r="I226" i="22" s="1"/>
  <c r="I227" i="22" s="1"/>
  <c r="I228" i="22" s="1"/>
  <c r="I229" i="22" s="1"/>
  <c r="F4526" i="22"/>
  <c r="I4526" i="22" s="1"/>
  <c r="F2922" i="22"/>
  <c r="I2922" i="22" s="1"/>
  <c r="F413" i="22"/>
  <c r="I413" i="22" s="1"/>
  <c r="I414" i="22" s="1"/>
  <c r="I415" i="22" s="1"/>
  <c r="I3894" i="22"/>
  <c r="F3893" i="22"/>
  <c r="L2633" i="22"/>
  <c r="D2633" i="22"/>
  <c r="D2636" i="22" s="1"/>
  <c r="K2633" i="22"/>
  <c r="J2633" i="22"/>
  <c r="I2633" i="22"/>
  <c r="H2633" i="22"/>
  <c r="G2633" i="22"/>
  <c r="F2633" i="22"/>
  <c r="E2633" i="22"/>
  <c r="F4270" i="22"/>
  <c r="I4270" i="22" s="1"/>
  <c r="I4271" i="22" s="1"/>
  <c r="F4151" i="22"/>
  <c r="I4151" i="22" s="1"/>
  <c r="I4152" i="22" s="1"/>
  <c r="I4153" i="22" s="1"/>
  <c r="L3406" i="22"/>
  <c r="L3409" i="22" s="1"/>
  <c r="I2489" i="22"/>
  <c r="I2492" i="22" s="1"/>
  <c r="H2489" i="22"/>
  <c r="H2492" i="22" s="1"/>
  <c r="F2499" i="22"/>
  <c r="F2502" i="22" s="1"/>
  <c r="G2489" i="22"/>
  <c r="G2492" i="22" s="1"/>
  <c r="E2499" i="22"/>
  <c r="E2502" i="22" s="1"/>
  <c r="F2489" i="22"/>
  <c r="F2492" i="22" s="1"/>
  <c r="D2499" i="22"/>
  <c r="D2502" i="22" s="1"/>
  <c r="E2489" i="22"/>
  <c r="E2492" i="22" s="1"/>
  <c r="D2489" i="22"/>
  <c r="D2492" i="22" s="1"/>
  <c r="E2532" i="22"/>
  <c r="E2535" i="22" s="1"/>
  <c r="F2522" i="22"/>
  <c r="F2525" i="22" s="1"/>
  <c r="F2133" i="22"/>
  <c r="I2133" i="22" s="1"/>
  <c r="I2134" i="22" s="1"/>
  <c r="F2105" i="22"/>
  <c r="I2105" i="22" s="1"/>
  <c r="F208" i="22"/>
  <c r="I208" i="22" s="1"/>
  <c r="I209" i="22" s="1"/>
  <c r="I210" i="22" s="1"/>
  <c r="I211" i="22" s="1"/>
  <c r="F347" i="22"/>
  <c r="I347" i="22" s="1"/>
  <c r="I348" i="22" s="1"/>
  <c r="D3599" i="22"/>
  <c r="D3602" i="22" s="1"/>
  <c r="K3190" i="22"/>
  <c r="K3193" i="22" s="1"/>
  <c r="J3190" i="22"/>
  <c r="J3193" i="22" s="1"/>
  <c r="I3190" i="22"/>
  <c r="I3193" i="22" s="1"/>
  <c r="H3190" i="22"/>
  <c r="H3193" i="22" s="1"/>
  <c r="E3190" i="22"/>
  <c r="E3193" i="22" s="1"/>
  <c r="D3190" i="22"/>
  <c r="D3193" i="22" s="1"/>
  <c r="G3190" i="22"/>
  <c r="G3193" i="22" s="1"/>
  <c r="F3190" i="22"/>
  <c r="I2308" i="22"/>
  <c r="I2314" i="22" s="1"/>
  <c r="K2308" i="22"/>
  <c r="K2314" i="22" s="1"/>
  <c r="F73" i="22"/>
  <c r="I73" i="22" s="1"/>
  <c r="I74" i="22" s="1"/>
  <c r="I75" i="22" s="1"/>
  <c r="I4167" i="22"/>
  <c r="F4166" i="22"/>
  <c r="F4015" i="22"/>
  <c r="I4015" i="22" s="1"/>
  <c r="I4016" i="22" s="1"/>
  <c r="I4017" i="22" s="1"/>
  <c r="I4018" i="22" s="1"/>
  <c r="F4964" i="22"/>
  <c r="I4964" i="22" s="1"/>
  <c r="F4965" i="22" s="1"/>
  <c r="I4965" i="22" s="1"/>
  <c r="I4966" i="22" s="1"/>
  <c r="F4100" i="22"/>
  <c r="I4100" i="22" s="1"/>
  <c r="I4101" i="22" s="1"/>
  <c r="I4102" i="22" s="1"/>
  <c r="I4103" i="22" s="1"/>
  <c r="F3975" i="22"/>
  <c r="I3975" i="22" s="1"/>
  <c r="I3976" i="22" s="1"/>
  <c r="I3977" i="22" s="1"/>
  <c r="I3978" i="22" s="1"/>
  <c r="K2397" i="22"/>
  <c r="K2403" i="22" s="1"/>
  <c r="J2397" i="22"/>
  <c r="J2403" i="22" s="1"/>
  <c r="I2397" i="22"/>
  <c r="I2403" i="22" s="1"/>
  <c r="H2397" i="22"/>
  <c r="H2403" i="22" s="1"/>
  <c r="D2397" i="22"/>
  <c r="D2403" i="22" s="1"/>
  <c r="L2397" i="22"/>
  <c r="L2403" i="22" s="1"/>
  <c r="G2397" i="22"/>
  <c r="G2403" i="22" s="1"/>
  <c r="F2397" i="22"/>
  <c r="F2403" i="22" s="1"/>
  <c r="E2397" i="22"/>
  <c r="E2403" i="22" s="1"/>
  <c r="F2390" i="22"/>
  <c r="I2390" i="22" s="1"/>
  <c r="F99" i="22"/>
  <c r="I99" i="22" s="1"/>
  <c r="I100" i="22" s="1"/>
  <c r="I101" i="22" s="1"/>
  <c r="F63" i="22"/>
  <c r="I63" i="22" s="1"/>
  <c r="I64" i="22" s="1"/>
  <c r="I65" i="22" s="1"/>
  <c r="F240" i="22"/>
  <c r="I240" i="22" s="1"/>
  <c r="I241" i="22" s="1"/>
  <c r="I242" i="22" s="1"/>
  <c r="I243" i="22" s="1"/>
  <c r="G3848" i="22"/>
  <c r="G3849" i="22" s="1"/>
  <c r="G3850" i="22" s="1"/>
  <c r="F4305" i="22"/>
  <c r="I4305" i="22" s="1"/>
  <c r="I4306" i="22" s="1"/>
  <c r="F5025" i="22"/>
  <c r="I5025" i="22" s="1"/>
  <c r="I5026" i="22" s="1"/>
  <c r="I5027" i="22" s="1"/>
  <c r="F4366" i="22"/>
  <c r="I4366" i="22" s="1"/>
  <c r="I4367" i="22" s="1"/>
  <c r="A4184" i="22"/>
  <c r="A4190" i="22" s="1"/>
  <c r="A4196" i="22" s="1"/>
  <c r="A4205" i="22" s="1"/>
  <c r="A4211" i="22" s="1"/>
  <c r="A4217" i="22" s="1"/>
  <c r="A4224" i="22" s="1"/>
  <c r="A4231" i="22" s="1"/>
  <c r="A4247" i="22" s="1"/>
  <c r="A4178" i="22"/>
  <c r="F3928" i="22"/>
  <c r="H3848" i="22"/>
  <c r="H3849" i="22" s="1"/>
  <c r="H3850" i="22" s="1"/>
  <c r="L3484" i="22"/>
  <c r="L3487" i="22" s="1"/>
  <c r="I3484" i="22"/>
  <c r="I3487" i="22" s="1"/>
  <c r="E3494" i="22"/>
  <c r="E3497" i="22" s="1"/>
  <c r="F3484" i="22"/>
  <c r="F3487" i="22" s="1"/>
  <c r="F3494" i="22"/>
  <c r="F3497" i="22" s="1"/>
  <c r="D3484" i="22"/>
  <c r="D3487" i="22" s="1"/>
  <c r="D3494" i="22"/>
  <c r="D3497" i="22" s="1"/>
  <c r="K3484" i="22"/>
  <c r="G3484" i="22"/>
  <c r="G3487" i="22" s="1"/>
  <c r="E3484" i="22"/>
  <c r="H3484" i="22"/>
  <c r="H3487" i="22" s="1"/>
  <c r="J3484" i="22"/>
  <c r="J3487" i="22" s="1"/>
  <c r="E3432" i="22"/>
  <c r="E3435" i="22" s="1"/>
  <c r="L3432" i="22"/>
  <c r="L3435" i="22" s="1"/>
  <c r="D3432" i="22"/>
  <c r="D3435" i="22" s="1"/>
  <c r="K3432" i="22"/>
  <c r="K3435" i="22" s="1"/>
  <c r="J3432" i="22"/>
  <c r="J3435" i="22" s="1"/>
  <c r="G3432" i="22"/>
  <c r="G3435" i="22" s="1"/>
  <c r="F3432" i="22"/>
  <c r="F3435" i="22" s="1"/>
  <c r="I3432" i="22"/>
  <c r="I3435" i="22" s="1"/>
  <c r="H3432" i="22"/>
  <c r="H3534" i="22"/>
  <c r="H3535" i="22" s="1"/>
  <c r="I3523" i="22"/>
  <c r="I3524" i="22" s="1"/>
  <c r="E3534" i="22"/>
  <c r="E3535" i="22" s="1"/>
  <c r="F3523" i="22"/>
  <c r="F3524" i="22" s="1"/>
  <c r="J3534" i="22"/>
  <c r="J3535" i="22" s="1"/>
  <c r="K3523" i="22"/>
  <c r="K3524" i="22" s="1"/>
  <c r="I3534" i="22"/>
  <c r="I3535" i="22" s="1"/>
  <c r="L3534" i="22"/>
  <c r="L3535" i="22" s="1"/>
  <c r="K3534" i="22"/>
  <c r="K3535" i="22" s="1"/>
  <c r="G3534" i="22"/>
  <c r="G3535" i="22" s="1"/>
  <c r="F3534" i="22"/>
  <c r="F3535" i="22" s="1"/>
  <c r="L3523" i="22"/>
  <c r="L3524" i="22" s="1"/>
  <c r="G3523" i="22"/>
  <c r="G3524" i="22" s="1"/>
  <c r="E3523" i="22"/>
  <c r="E3524" i="22" s="1"/>
  <c r="I3517" i="22"/>
  <c r="H3523" i="22"/>
  <c r="H3524" i="22" s="1"/>
  <c r="J3523" i="22"/>
  <c r="J3524" i="22" s="1"/>
  <c r="F2450" i="22"/>
  <c r="I2450" i="22" s="1"/>
  <c r="I2451" i="22" s="1"/>
  <c r="I2452" i="22" s="1"/>
  <c r="F3243" i="22"/>
  <c r="I3243" i="22" s="1"/>
  <c r="I3244" i="22" s="1"/>
  <c r="I2424" i="22"/>
  <c r="I2425" i="22" s="1"/>
  <c r="F2837" i="22"/>
  <c r="I2837" i="22" s="1"/>
  <c r="E2066" i="22"/>
  <c r="E2067" i="22" s="1"/>
  <c r="F2079" i="22"/>
  <c r="F2080" i="22" s="1"/>
  <c r="I2066" i="22"/>
  <c r="I2067" i="22" s="1"/>
  <c r="E2079" i="22"/>
  <c r="E2080" i="22" s="1"/>
  <c r="H2066" i="22"/>
  <c r="H2067" i="22" s="1"/>
  <c r="D2079" i="22"/>
  <c r="D2080" i="22" s="1"/>
  <c r="G2066" i="22"/>
  <c r="G2067" i="22" s="1"/>
  <c r="F2066" i="22"/>
  <c r="F2067" i="22" s="1"/>
  <c r="D2244" i="22"/>
  <c r="D2245" i="22" s="1"/>
  <c r="D2246" i="22" s="1"/>
  <c r="F1770" i="22"/>
  <c r="I1770" i="22" s="1"/>
  <c r="I1771" i="22" s="1"/>
  <c r="I1772" i="22" s="1"/>
  <c r="F1799" i="22"/>
  <c r="I1799" i="22" s="1"/>
  <c r="I1800" i="22" s="1"/>
  <c r="A334" i="22"/>
  <c r="A354" i="22" s="1"/>
  <c r="A375" i="22" s="1"/>
  <c r="A396" i="22" s="1"/>
  <c r="A263" i="22"/>
  <c r="A288" i="22" s="1"/>
  <c r="A308" i="22" s="1"/>
  <c r="A313" i="22" s="1"/>
  <c r="A320" i="22" s="1"/>
  <c r="F4561" i="22"/>
  <c r="I4561" i="22" s="1"/>
  <c r="I4566" i="22" s="1"/>
  <c r="F4686" i="22"/>
  <c r="I4686" i="22" s="1"/>
  <c r="I4700" i="22" s="1"/>
  <c r="D4702" i="22" s="1"/>
  <c r="D4708" i="22" s="1"/>
  <c r="F2864" i="22"/>
  <c r="I2864" i="22" s="1"/>
  <c r="F1941" i="22"/>
  <c r="I1941" i="22" s="1"/>
  <c r="I1953" i="22" s="1"/>
  <c r="F2003" i="22"/>
  <c r="I2003" i="22" s="1"/>
  <c r="I2018" i="22" s="1"/>
  <c r="F1615" i="22"/>
  <c r="I1615" i="22" s="1"/>
  <c r="I1627" i="22" s="1"/>
  <c r="F1629" i="22" s="1"/>
  <c r="I1629" i="22" s="1"/>
  <c r="F1984" i="22"/>
  <c r="I1984" i="22" s="1"/>
  <c r="I1995" i="22" s="1"/>
  <c r="F1405" i="22"/>
  <c r="I1405" i="22" s="1"/>
  <c r="I1419" i="22" s="1"/>
  <c r="F1019" i="22"/>
  <c r="I1019" i="22" s="1"/>
  <c r="I1033" i="22" s="1"/>
  <c r="F742" i="22"/>
  <c r="I742" i="22" s="1"/>
  <c r="F653" i="22"/>
  <c r="I653" i="22" s="1"/>
  <c r="F499" i="22"/>
  <c r="I499" i="22" s="1"/>
  <c r="I513" i="22" s="1"/>
  <c r="F367" i="22"/>
  <c r="I367" i="22" s="1"/>
  <c r="I368" i="22" s="1"/>
  <c r="F4392" i="22"/>
  <c r="I4392" i="22" s="1"/>
  <c r="I4393" i="22" s="1"/>
  <c r="F4772" i="22"/>
  <c r="I4772" i="22" s="1"/>
  <c r="I4774" i="22" s="1"/>
  <c r="D3858" i="22"/>
  <c r="D3859" i="22" s="1"/>
  <c r="D3860" i="22" s="1"/>
  <c r="F3631" i="22"/>
  <c r="I3631" i="22" s="1"/>
  <c r="I3632" i="22" s="1"/>
  <c r="F3858" i="22"/>
  <c r="F3859" i="22" s="1"/>
  <c r="F3860" i="22" s="1"/>
  <c r="I3785" i="22"/>
  <c r="I3786" i="22" s="1"/>
  <c r="I3787" i="22" s="1"/>
  <c r="I2976" i="22"/>
  <c r="I2977" i="22" s="1"/>
  <c r="E2986" i="22"/>
  <c r="E2987" i="22" s="1"/>
  <c r="F2976" i="22"/>
  <c r="F2977" i="22" s="1"/>
  <c r="D2986" i="22"/>
  <c r="D2987" i="22" s="1"/>
  <c r="E2976" i="22"/>
  <c r="E2977" i="22" s="1"/>
  <c r="I2970" i="22"/>
  <c r="F2986" i="22"/>
  <c r="F2987" i="22" s="1"/>
  <c r="H2976" i="22"/>
  <c r="H2977" i="22" s="1"/>
  <c r="G2976" i="22"/>
  <c r="G2977" i="22" s="1"/>
  <c r="E2244" i="22"/>
  <c r="E2245" i="22" s="1"/>
  <c r="E2246" i="22" s="1"/>
  <c r="F1362" i="22"/>
  <c r="J1361" i="22"/>
  <c r="J1362" i="22" s="1"/>
  <c r="F2719" i="22"/>
  <c r="I2719" i="22" s="1"/>
  <c r="I2720" i="22" s="1"/>
  <c r="F4433" i="22"/>
  <c r="I4433" i="22" s="1"/>
  <c r="I4434" i="22" s="1"/>
  <c r="I4435" i="22" s="1"/>
  <c r="F3823" i="22"/>
  <c r="I3823" i="22" s="1"/>
  <c r="I3824" i="22" s="1"/>
  <c r="I3825" i="22" s="1"/>
  <c r="F4034" i="22"/>
  <c r="I4034" i="22" s="1"/>
  <c r="I4035" i="22" s="1"/>
  <c r="I4036" i="22" s="1"/>
  <c r="I4037" i="22" s="1"/>
  <c r="D3848" i="22"/>
  <c r="D3849" i="22" s="1"/>
  <c r="D3850" i="22" s="1"/>
  <c r="F3053" i="22"/>
  <c r="F3054" i="22" s="1"/>
  <c r="I3053" i="22"/>
  <c r="I3054" i="22" s="1"/>
  <c r="G3053" i="22"/>
  <c r="G3054" i="22" s="1"/>
  <c r="I3044" i="22"/>
  <c r="E3053" i="22"/>
  <c r="E3054" i="22" s="1"/>
  <c r="H3053" i="22"/>
  <c r="H3054" i="22" s="1"/>
  <c r="E3088" i="22"/>
  <c r="E3089" i="22" s="1"/>
  <c r="D3088" i="22"/>
  <c r="D3089" i="22" s="1"/>
  <c r="H3078" i="22"/>
  <c r="H3079" i="22" s="1"/>
  <c r="F3088" i="22"/>
  <c r="F3089" i="22" s="1"/>
  <c r="I3078" i="22"/>
  <c r="I3079" i="22" s="1"/>
  <c r="G3078" i="22"/>
  <c r="G3079" i="22" s="1"/>
  <c r="E3078" i="22"/>
  <c r="E3079" i="22" s="1"/>
  <c r="I3072" i="22"/>
  <c r="F3078" i="22"/>
  <c r="F3079" i="22" s="1"/>
  <c r="G2778" i="22"/>
  <c r="G2779" i="22" s="1"/>
  <c r="F2778" i="22"/>
  <c r="F2779" i="22" s="1"/>
  <c r="E2778" i="22"/>
  <c r="E2779" i="22" s="1"/>
  <c r="L2778" i="22"/>
  <c r="L2779" i="22" s="1"/>
  <c r="K2778" i="22"/>
  <c r="K2779" i="22" s="1"/>
  <c r="J2778" i="22"/>
  <c r="J2779" i="22" s="1"/>
  <c r="I2772" i="22"/>
  <c r="I2778" i="22"/>
  <c r="I2779" i="22" s="1"/>
  <c r="H2778" i="22"/>
  <c r="H2779" i="22" s="1"/>
  <c r="F2661" i="22"/>
  <c r="F2662" i="22" s="1"/>
  <c r="F2671" i="22"/>
  <c r="F2672" i="22" s="1"/>
  <c r="E2661" i="22"/>
  <c r="E2662" i="22" s="1"/>
  <c r="E2671" i="22"/>
  <c r="E2672" i="22" s="1"/>
  <c r="D2671" i="22"/>
  <c r="D2672" i="22" s="1"/>
  <c r="I2661" i="22"/>
  <c r="I2662" i="22" s="1"/>
  <c r="H2661" i="22"/>
  <c r="H2662" i="22" s="1"/>
  <c r="G2661" i="22"/>
  <c r="G2662" i="22" s="1"/>
  <c r="F2243" i="22"/>
  <c r="A2759" i="22"/>
  <c r="A2957" i="22" s="1"/>
  <c r="A2994" i="22" s="1"/>
  <c r="A3034" i="22" s="1"/>
  <c r="A3061" i="22" s="1"/>
  <c r="A3133" i="22" s="1"/>
  <c r="A2679" i="22"/>
  <c r="A2705" i="22" s="1"/>
  <c r="F2252" i="22"/>
  <c r="L1779" i="22"/>
  <c r="L1780" i="22" s="1"/>
  <c r="K1779" i="22"/>
  <c r="K1780" i="22" s="1"/>
  <c r="J1779" i="22"/>
  <c r="J1780" i="22" s="1"/>
  <c r="I1779" i="22"/>
  <c r="I1780" i="22" s="1"/>
  <c r="H1779" i="22"/>
  <c r="H1780" i="22" s="1"/>
  <c r="G1779" i="22"/>
  <c r="G1780" i="22" s="1"/>
  <c r="F1779" i="22"/>
  <c r="F1780" i="22" s="1"/>
  <c r="E1779" i="22"/>
  <c r="E1780" i="22" s="1"/>
  <c r="F1687" i="22"/>
  <c r="I1687" i="22" s="1"/>
  <c r="I1688" i="22" s="1"/>
  <c r="I4485" i="22"/>
  <c r="F4512" i="22"/>
  <c r="I4512" i="22" s="1"/>
  <c r="F4117" i="22"/>
  <c r="I4117" i="22" s="1"/>
  <c r="I4118" i="22" s="1"/>
  <c r="I4119" i="22" s="1"/>
  <c r="I4120" i="22" s="1"/>
  <c r="I3848" i="22"/>
  <c r="I3849" i="22" s="1"/>
  <c r="I3850" i="22" s="1"/>
  <c r="I4593" i="22"/>
  <c r="F4677" i="22"/>
  <c r="I4677" i="22" s="1"/>
  <c r="I4678" i="22" s="1"/>
  <c r="I4679" i="22" s="1"/>
  <c r="I4680" i="22" s="1"/>
  <c r="F4010" i="22"/>
  <c r="F3944" i="22"/>
  <c r="I3944" i="22" s="1"/>
  <c r="I3945" i="22" s="1"/>
  <c r="I3946" i="22" s="1"/>
  <c r="I3947" i="22" s="1"/>
  <c r="I3960" i="22"/>
  <c r="E3848" i="22"/>
  <c r="E3849" i="22" s="1"/>
  <c r="E3850" i="22" s="1"/>
  <c r="J3380" i="22"/>
  <c r="J3383" i="22" s="1"/>
  <c r="I3380" i="22"/>
  <c r="I3383" i="22" s="1"/>
  <c r="H3380" i="22"/>
  <c r="H3383" i="22" s="1"/>
  <c r="G3380" i="22"/>
  <c r="G3383" i="22" s="1"/>
  <c r="L3380" i="22"/>
  <c r="L3383" i="22" s="1"/>
  <c r="D3380" i="22"/>
  <c r="D3383" i="22" s="1"/>
  <c r="K3380" i="22"/>
  <c r="K3383" i="22" s="1"/>
  <c r="E3380" i="22"/>
  <c r="E3383" i="22" s="1"/>
  <c r="F3380" i="22"/>
  <c r="F3383" i="22" s="1"/>
  <c r="F3011" i="22"/>
  <c r="I3011" i="22" s="1"/>
  <c r="I3012" i="22" s="1"/>
  <c r="G2949" i="22"/>
  <c r="G2950" i="22" s="1"/>
  <c r="J2949" i="22"/>
  <c r="J2950" i="22" s="1"/>
  <c r="I2949" i="22"/>
  <c r="I2950" i="22" s="1"/>
  <c r="H2949" i="22"/>
  <c r="H2950" i="22" s="1"/>
  <c r="E2949" i="22"/>
  <c r="E2950" i="22" s="1"/>
  <c r="L2949" i="22"/>
  <c r="L2950" i="22" s="1"/>
  <c r="K2949" i="22"/>
  <c r="K2950" i="22" s="1"/>
  <c r="F2949" i="22"/>
  <c r="F2950" i="22" s="1"/>
  <c r="G2244" i="22"/>
  <c r="G2245" i="22" s="1"/>
  <c r="G2246" i="22" s="1"/>
  <c r="F1720" i="22"/>
  <c r="I1720" i="22" s="1"/>
  <c r="I1721" i="22" s="1"/>
  <c r="I1722" i="22" s="1"/>
  <c r="I2054" i="22"/>
  <c r="I2060" i="22" s="1"/>
  <c r="E994" i="22"/>
  <c r="E995" i="22" s="1"/>
  <c r="E677" i="22"/>
  <c r="E678" i="22" s="1"/>
  <c r="L677" i="22"/>
  <c r="L678" i="22" s="1"/>
  <c r="K677" i="22"/>
  <c r="K678" i="22" s="1"/>
  <c r="J677" i="22"/>
  <c r="J678" i="22" s="1"/>
  <c r="I994" i="22"/>
  <c r="I995" i="22" s="1"/>
  <c r="I677" i="22"/>
  <c r="I678" i="22" s="1"/>
  <c r="F1006" i="22"/>
  <c r="F1007" i="22" s="1"/>
  <c r="H994" i="22"/>
  <c r="H995" i="22" s="1"/>
  <c r="F730" i="22"/>
  <c r="F731" i="22" s="1"/>
  <c r="H677" i="22"/>
  <c r="H678" i="22" s="1"/>
  <c r="E1006" i="22"/>
  <c r="E1007" i="22" s="1"/>
  <c r="G994" i="22"/>
  <c r="G995" i="22" s="1"/>
  <c r="E730" i="22"/>
  <c r="E731" i="22" s="1"/>
  <c r="G677" i="22"/>
  <c r="G678" i="22" s="1"/>
  <c r="F677" i="22"/>
  <c r="F678" i="22" s="1"/>
  <c r="D1006" i="22"/>
  <c r="D1007" i="22" s="1"/>
  <c r="F994" i="22"/>
  <c r="F995" i="22" s="1"/>
  <c r="D730" i="22"/>
  <c r="D731" i="22" s="1"/>
  <c r="F447" i="22"/>
  <c r="I447" i="22" s="1"/>
  <c r="I448" i="22" s="1"/>
  <c r="I1661" i="22"/>
  <c r="F1664" i="22" s="1"/>
  <c r="I1664" i="22" s="1"/>
  <c r="F157" i="22"/>
  <c r="I157" i="22" s="1"/>
  <c r="I158" i="22" s="1"/>
  <c r="I159" i="22" s="1"/>
  <c r="F4404" i="22"/>
  <c r="I4404" i="22" s="1"/>
  <c r="I4405" i="22" s="1"/>
  <c r="I4406" i="22" s="1"/>
  <c r="F4928" i="22"/>
  <c r="I4928" i="22" s="1"/>
  <c r="I4929" i="22" s="1"/>
  <c r="I4930" i="22" s="1"/>
  <c r="I4931" i="22" s="1"/>
  <c r="I4932" i="22" s="1"/>
  <c r="F4986" i="22"/>
  <c r="I4986" i="22" s="1"/>
  <c r="I4987" i="22" s="1"/>
  <c r="I4988" i="22" s="1"/>
  <c r="I4989" i="22" s="1"/>
  <c r="I4990" i="22" s="1"/>
  <c r="F4946" i="22"/>
  <c r="I4946" i="22" s="1"/>
  <c r="I4947" i="22" s="1"/>
  <c r="I4948" i="22" s="1"/>
  <c r="D4486" i="22"/>
  <c r="I4476" i="22"/>
  <c r="I4605" i="22"/>
  <c r="F3848" i="22"/>
  <c r="F3849" i="22" s="1"/>
  <c r="F3850" i="22" s="1"/>
  <c r="G3306" i="22"/>
  <c r="G3307" i="22" s="1"/>
  <c r="F3306" i="22"/>
  <c r="F3307" i="22" s="1"/>
  <c r="E3306" i="22"/>
  <c r="E3307" i="22" s="1"/>
  <c r="L3306" i="22"/>
  <c r="L3307" i="22" s="1"/>
  <c r="E3316" i="22"/>
  <c r="E3317" i="22" s="1"/>
  <c r="I3306" i="22"/>
  <c r="I3307" i="22" s="1"/>
  <c r="D3316" i="22"/>
  <c r="D3317" i="22" s="1"/>
  <c r="H3306" i="22"/>
  <c r="H3307" i="22" s="1"/>
  <c r="I3297" i="22"/>
  <c r="F3316" i="22"/>
  <c r="F3317" i="22" s="1"/>
  <c r="K3306" i="22"/>
  <c r="K3307" i="22" s="1"/>
  <c r="J3306" i="22"/>
  <c r="J3307" i="22" s="1"/>
  <c r="I2943" i="22"/>
  <c r="I2655" i="22"/>
  <c r="D2252" i="22"/>
  <c r="F2280" i="22"/>
  <c r="F2283" i="22" s="1"/>
  <c r="I2271" i="22"/>
  <c r="I2274" i="22" s="1"/>
  <c r="E2280" i="22"/>
  <c r="E2283" i="22" s="1"/>
  <c r="H2271" i="22"/>
  <c r="H2274" i="22" s="1"/>
  <c r="D2280" i="22"/>
  <c r="G2271" i="22"/>
  <c r="G2274" i="22" s="1"/>
  <c r="F2271" i="22"/>
  <c r="E2271" i="22"/>
  <c r="D2271" i="22"/>
  <c r="D2274" i="22" s="1"/>
  <c r="I1671" i="22"/>
  <c r="I1672" i="22" s="1"/>
  <c r="H1671" i="22"/>
  <c r="H1672" i="22" s="1"/>
  <c r="G1671" i="22"/>
  <c r="G1672" i="22" s="1"/>
  <c r="F1671" i="22"/>
  <c r="F1672" i="22" s="1"/>
  <c r="E1671" i="22"/>
  <c r="E1672" i="22" s="1"/>
  <c r="G1930" i="22"/>
  <c r="G1931" i="22" s="1"/>
  <c r="L1930" i="22"/>
  <c r="L1931" i="22" s="1"/>
  <c r="K1930" i="22"/>
  <c r="K1931" i="22" s="1"/>
  <c r="J1930" i="22"/>
  <c r="J1931" i="22" s="1"/>
  <c r="H1930" i="22"/>
  <c r="H1931" i="22" s="1"/>
  <c r="F1930" i="22"/>
  <c r="F1931" i="22" s="1"/>
  <c r="E1930" i="22"/>
  <c r="E1931" i="22" s="1"/>
  <c r="I1930" i="22"/>
  <c r="I1931" i="22" s="1"/>
  <c r="F3814" i="22"/>
  <c r="I3814" i="22" s="1"/>
  <c r="I3815" i="22" s="1"/>
  <c r="I3816" i="22" s="1"/>
  <c r="I4916" i="22"/>
  <c r="F4098" i="22"/>
  <c r="F4047" i="22"/>
  <c r="I4047" i="22" s="1"/>
  <c r="I4048" i="22" s="1"/>
  <c r="I4049" i="22" s="1"/>
  <c r="I4050" i="22" s="1"/>
  <c r="E3858" i="22"/>
  <c r="E3859" i="22" s="1"/>
  <c r="E3860" i="22" s="1"/>
  <c r="D3724" i="22"/>
  <c r="D3725" i="22" s="1"/>
  <c r="D3726" i="22" s="1"/>
  <c r="A2921" i="22"/>
  <c r="A2908" i="22"/>
  <c r="A2915" i="22" s="1"/>
  <c r="L2634" i="22"/>
  <c r="L2635" i="22" s="1"/>
  <c r="K2634" i="22"/>
  <c r="K2635" i="22" s="1"/>
  <c r="J2634" i="22"/>
  <c r="J2635" i="22" s="1"/>
  <c r="I2634" i="22"/>
  <c r="I2635" i="22" s="1"/>
  <c r="H2634" i="22"/>
  <c r="H2635" i="22" s="1"/>
  <c r="G2634" i="22"/>
  <c r="G2635" i="22" s="1"/>
  <c r="F2634" i="22"/>
  <c r="F2635" i="22" s="1"/>
  <c r="E2634" i="22"/>
  <c r="E2635" i="22" s="1"/>
  <c r="H2724" i="22"/>
  <c r="H2725" i="22" s="1"/>
  <c r="G2724" i="22"/>
  <c r="G2725" i="22" s="1"/>
  <c r="F2724" i="22"/>
  <c r="F2725" i="22" s="1"/>
  <c r="E2724" i="22"/>
  <c r="E2725" i="22" s="1"/>
  <c r="L2724" i="22"/>
  <c r="L2725" i="22" s="1"/>
  <c r="K2724" i="22"/>
  <c r="K2725" i="22" s="1"/>
  <c r="I2724" i="22"/>
  <c r="I2725" i="22" s="1"/>
  <c r="J2724" i="22"/>
  <c r="J2725" i="22" s="1"/>
  <c r="I2694" i="22"/>
  <c r="I2243" i="22"/>
  <c r="F1920" i="22"/>
  <c r="I1920" i="22" s="1"/>
  <c r="I1921" i="22" s="1"/>
  <c r="I1922" i="22" s="1"/>
  <c r="E1604" i="22"/>
  <c r="E1605" i="22" s="1"/>
  <c r="F1560" i="22"/>
  <c r="F1561" i="22" s="1"/>
  <c r="E1560" i="22"/>
  <c r="E1561" i="22" s="1"/>
  <c r="J1517" i="22"/>
  <c r="J1518" i="22" s="1"/>
  <c r="L1560" i="22"/>
  <c r="L1561" i="22" s="1"/>
  <c r="K1560" i="22"/>
  <c r="K1561" i="22" s="1"/>
  <c r="H1517" i="22"/>
  <c r="H1518" i="22" s="1"/>
  <c r="I1604" i="22"/>
  <c r="I1605" i="22" s="1"/>
  <c r="J1560" i="22"/>
  <c r="J1561" i="22" s="1"/>
  <c r="G1517" i="22"/>
  <c r="G1518" i="22" s="1"/>
  <c r="H1604" i="22"/>
  <c r="H1605" i="22" s="1"/>
  <c r="I1560" i="22"/>
  <c r="I1561" i="22" s="1"/>
  <c r="F1517" i="22"/>
  <c r="F1518" i="22" s="1"/>
  <c r="K1517" i="22"/>
  <c r="K1518" i="22" s="1"/>
  <c r="I1474" i="22"/>
  <c r="I1475" i="22" s="1"/>
  <c r="F1429" i="22"/>
  <c r="F1430" i="22" s="1"/>
  <c r="I1333" i="22"/>
  <c r="I1334" i="22" s="1"/>
  <c r="I1517" i="22"/>
  <c r="I1518" i="22" s="1"/>
  <c r="H1474" i="22"/>
  <c r="H1475" i="22" s="1"/>
  <c r="E1429" i="22"/>
  <c r="E1430" i="22" s="1"/>
  <c r="H1333" i="22"/>
  <c r="H1334" i="22" s="1"/>
  <c r="H1560" i="22"/>
  <c r="H1561" i="22" s="1"/>
  <c r="E1517" i="22"/>
  <c r="E1518" i="22" s="1"/>
  <c r="G1474" i="22"/>
  <c r="G1475" i="22" s="1"/>
  <c r="L1429" i="22"/>
  <c r="L1430" i="22" s="1"/>
  <c r="G1333" i="22"/>
  <c r="G1334" i="22" s="1"/>
  <c r="G1560" i="22"/>
  <c r="G1561" i="22" s="1"/>
  <c r="F1474" i="22"/>
  <c r="F1475" i="22" s="1"/>
  <c r="K1429" i="22"/>
  <c r="K1430" i="22" s="1"/>
  <c r="F1333" i="22"/>
  <c r="F1334" i="22" s="1"/>
  <c r="G1604" i="22"/>
  <c r="G1605" i="22" s="1"/>
  <c r="E1474" i="22"/>
  <c r="E1475" i="22" s="1"/>
  <c r="J1429" i="22"/>
  <c r="J1430" i="22" s="1"/>
  <c r="E1333" i="22"/>
  <c r="E1334" i="22" s="1"/>
  <c r="F1604" i="22"/>
  <c r="F1605" i="22" s="1"/>
  <c r="L1474" i="22"/>
  <c r="L1475" i="22" s="1"/>
  <c r="I1429" i="22"/>
  <c r="I1430" i="22" s="1"/>
  <c r="L1333" i="22"/>
  <c r="L1334" i="22" s="1"/>
  <c r="K1474" i="22"/>
  <c r="K1475" i="22" s="1"/>
  <c r="H1429" i="22"/>
  <c r="H1430" i="22" s="1"/>
  <c r="K1333" i="22"/>
  <c r="K1334" i="22" s="1"/>
  <c r="L1517" i="22"/>
  <c r="L1518" i="22" s="1"/>
  <c r="J1474" i="22"/>
  <c r="J1475" i="22" s="1"/>
  <c r="G1429" i="22"/>
  <c r="G1430" i="22" s="1"/>
  <c r="J1333" i="22"/>
  <c r="J1334" i="22" s="1"/>
  <c r="H905" i="22"/>
  <c r="G906" i="22"/>
  <c r="I659" i="22"/>
  <c r="F490" i="22"/>
  <c r="I490" i="22" s="1"/>
  <c r="I491" i="22" s="1"/>
  <c r="I492" i="22" s="1"/>
  <c r="D4513" i="22"/>
  <c r="I4505" i="22"/>
  <c r="F4511" i="22"/>
  <c r="I4511" i="22" s="1"/>
  <c r="I4484" i="22"/>
  <c r="E3720" i="22"/>
  <c r="E3723" i="22" s="1"/>
  <c r="E3711" i="22"/>
  <c r="E3714" i="22" s="1"/>
  <c r="L3711" i="22"/>
  <c r="L3714" i="22" s="1"/>
  <c r="D3711" i="22"/>
  <c r="D3714" i="22" s="1"/>
  <c r="K3711" i="22"/>
  <c r="K3714" i="22" s="1"/>
  <c r="J3711" i="22"/>
  <c r="J3714" i="22" s="1"/>
  <c r="I3711" i="22"/>
  <c r="I3714" i="22" s="1"/>
  <c r="H3711" i="22"/>
  <c r="H3714" i="22" s="1"/>
  <c r="G3711" i="22"/>
  <c r="G3714" i="22" s="1"/>
  <c r="F3720" i="22"/>
  <c r="F3723" i="22" s="1"/>
  <c r="F3711" i="22"/>
  <c r="F3714" i="22" s="1"/>
  <c r="F4131" i="22"/>
  <c r="A3728" i="22"/>
  <c r="A3773" i="22"/>
  <c r="A3792" i="22" s="1"/>
  <c r="A3817" i="22" s="1"/>
  <c r="A3838" i="22" s="1"/>
  <c r="A3862" i="22" s="1"/>
  <c r="A3879" i="22" s="1"/>
  <c r="A3885" i="22" s="1"/>
  <c r="A3900" i="22" s="1"/>
  <c r="A3918" i="22" s="1"/>
  <c r="A3935" i="22" s="1"/>
  <c r="A3949" i="22" s="1"/>
  <c r="A3966" i="22" s="1"/>
  <c r="F3355" i="22"/>
  <c r="F3356" i="22" s="1"/>
  <c r="E3355" i="22"/>
  <c r="E3356" i="22" s="1"/>
  <c r="D3355" i="22"/>
  <c r="D3356" i="22" s="1"/>
  <c r="G3345" i="22"/>
  <c r="G3346" i="22" s="1"/>
  <c r="F3345" i="22"/>
  <c r="F3346" i="22" s="1"/>
  <c r="E3345" i="22"/>
  <c r="E3346" i="22" s="1"/>
  <c r="L3345" i="22"/>
  <c r="L3346" i="22" s="1"/>
  <c r="I3345" i="22"/>
  <c r="I3346" i="22" s="1"/>
  <c r="H3345" i="22"/>
  <c r="H3346" i="22" s="1"/>
  <c r="I3339" i="22"/>
  <c r="K3345" i="22"/>
  <c r="K3346" i="22" s="1"/>
  <c r="J3345" i="22"/>
  <c r="J3346" i="22" s="1"/>
  <c r="H3275" i="22"/>
  <c r="H3276" i="22" s="1"/>
  <c r="I3269" i="22"/>
  <c r="G3275" i="22"/>
  <c r="G3276" i="22" s="1"/>
  <c r="F3275" i="22"/>
  <c r="F3276" i="22" s="1"/>
  <c r="E3275" i="22"/>
  <c r="E3276" i="22" s="1"/>
  <c r="J3275" i="22"/>
  <c r="J3276" i="22" s="1"/>
  <c r="I3275" i="22"/>
  <c r="I3276" i="22" s="1"/>
  <c r="L3275" i="22"/>
  <c r="L3276" i="22" s="1"/>
  <c r="K3275" i="22"/>
  <c r="K3276" i="22" s="1"/>
  <c r="G3458" i="22"/>
  <c r="G3461" i="22" s="1"/>
  <c r="F3115" i="22"/>
  <c r="F3116" i="22" s="1"/>
  <c r="F3125" i="22"/>
  <c r="F3126" i="22" s="1"/>
  <c r="E3115" i="22"/>
  <c r="E3116" i="22" s="1"/>
  <c r="E3125" i="22"/>
  <c r="E3126" i="22" s="1"/>
  <c r="D3125" i="22"/>
  <c r="D3126" i="22" s="1"/>
  <c r="I3115" i="22"/>
  <c r="I3116" i="22" s="1"/>
  <c r="H3115" i="22"/>
  <c r="H3116" i="22" s="1"/>
  <c r="I3109" i="22"/>
  <c r="G3115" i="22"/>
  <c r="G3116" i="22" s="1"/>
  <c r="F1867" i="22"/>
  <c r="F1868" i="22" s="1"/>
  <c r="I1855" i="22"/>
  <c r="I1856" i="22" s="1"/>
  <c r="E1867" i="22"/>
  <c r="E1868" i="22" s="1"/>
  <c r="H1855" i="22"/>
  <c r="H1856" i="22" s="1"/>
  <c r="D1867" i="22"/>
  <c r="D1868" i="22" s="1"/>
  <c r="G1855" i="22"/>
  <c r="G1856" i="22" s="1"/>
  <c r="I1844" i="22"/>
  <c r="F1855" i="22"/>
  <c r="F1856" i="22" s="1"/>
  <c r="E1855" i="22"/>
  <c r="E1856" i="22" s="1"/>
  <c r="F258" i="22"/>
  <c r="I258" i="22" s="1"/>
  <c r="I259" i="22" s="1"/>
  <c r="I260" i="22" s="1"/>
  <c r="I261" i="22" s="1"/>
  <c r="F392" i="22"/>
  <c r="I392" i="22" s="1"/>
  <c r="I393" i="22" s="1"/>
  <c r="I394" i="22" s="1"/>
  <c r="F168" i="22"/>
  <c r="I168" i="22" s="1"/>
  <c r="I169" i="22" s="1"/>
  <c r="I170" i="22" s="1"/>
  <c r="F3073" i="22"/>
  <c r="I3073" i="22" s="1"/>
  <c r="I3074" i="22" s="1"/>
  <c r="F283" i="22"/>
  <c r="I283" i="22" s="1"/>
  <c r="I284" i="22" s="1"/>
  <c r="I285" i="22" s="1"/>
  <c r="I286" i="22" s="1"/>
  <c r="F429" i="22"/>
  <c r="I429" i="22" s="1"/>
  <c r="I430" i="22" s="1"/>
  <c r="G2141" i="22"/>
  <c r="G2142" i="22" s="1"/>
  <c r="E2113" i="22"/>
  <c r="E2114" i="22" s="1"/>
  <c r="F2141" i="22"/>
  <c r="F2142" i="22" s="1"/>
  <c r="E2141" i="22"/>
  <c r="E2142" i="22" s="1"/>
  <c r="L2141" i="22"/>
  <c r="L2142" i="22" s="1"/>
  <c r="F2153" i="22"/>
  <c r="F2154" i="22" s="1"/>
  <c r="K2141" i="22"/>
  <c r="K2142" i="22" s="1"/>
  <c r="F2125" i="22"/>
  <c r="F2126" i="22" s="1"/>
  <c r="I2113" i="22"/>
  <c r="I2114" i="22" s="1"/>
  <c r="E2153" i="22"/>
  <c r="E2154" i="22" s="1"/>
  <c r="J2141" i="22"/>
  <c r="J2142" i="22" s="1"/>
  <c r="E2125" i="22"/>
  <c r="E2126" i="22" s="1"/>
  <c r="H2113" i="22"/>
  <c r="H2114" i="22" s="1"/>
  <c r="D2153" i="22"/>
  <c r="D2154" i="22" s="1"/>
  <c r="I2141" i="22"/>
  <c r="I2142" i="22" s="1"/>
  <c r="D2125" i="22"/>
  <c r="D2126" i="22" s="1"/>
  <c r="G2113" i="22"/>
  <c r="G2114" i="22" s="1"/>
  <c r="F2113" i="22"/>
  <c r="F2114" i="22" s="1"/>
  <c r="H2141" i="22"/>
  <c r="H2142" i="22" s="1"/>
  <c r="D2368" i="22"/>
  <c r="D2369" i="22" s="1"/>
  <c r="G2356" i="22"/>
  <c r="G2357" i="22" s="1"/>
  <c r="I2345" i="22"/>
  <c r="F2356" i="22"/>
  <c r="F2357" i="22" s="1"/>
  <c r="E2356" i="22"/>
  <c r="E2357" i="22" s="1"/>
  <c r="F2368" i="22"/>
  <c r="F2369" i="22" s="1"/>
  <c r="I2356" i="22"/>
  <c r="I2357" i="22" s="1"/>
  <c r="E2368" i="22"/>
  <c r="E2369" i="22" s="1"/>
  <c r="H2356" i="22"/>
  <c r="H2357" i="22" s="1"/>
  <c r="I2219" i="22"/>
  <c r="I2220" i="22" s="1"/>
  <c r="H2219" i="22"/>
  <c r="H2220" i="22" s="1"/>
  <c r="I2203" i="22"/>
  <c r="I2204" i="22" s="1"/>
  <c r="I2187" i="22"/>
  <c r="I2188" i="22" s="1"/>
  <c r="G2219" i="22"/>
  <c r="G2220" i="22" s="1"/>
  <c r="H2203" i="22"/>
  <c r="H2204" i="22" s="1"/>
  <c r="H2187" i="22"/>
  <c r="H2188" i="22" s="1"/>
  <c r="F2219" i="22"/>
  <c r="F2220" i="22" s="1"/>
  <c r="G2203" i="22"/>
  <c r="G2204" i="22" s="1"/>
  <c r="G2187" i="22"/>
  <c r="G2188" i="22" s="1"/>
  <c r="E2219" i="22"/>
  <c r="E2220" i="22" s="1"/>
  <c r="F2203" i="22"/>
  <c r="F2204" i="22" s="1"/>
  <c r="F2187" i="22"/>
  <c r="F2188" i="22" s="1"/>
  <c r="E2187" i="22"/>
  <c r="E2188" i="22" s="1"/>
  <c r="E2203" i="22"/>
  <c r="E2204" i="22" s="1"/>
  <c r="I1902" i="22"/>
  <c r="I1903" i="22" s="1"/>
  <c r="H1902" i="22"/>
  <c r="H1903" i="22" s="1"/>
  <c r="G1902" i="22"/>
  <c r="G1903" i="22" s="1"/>
  <c r="F1902" i="22"/>
  <c r="F1903" i="22" s="1"/>
  <c r="E1902" i="22"/>
  <c r="E1903" i="22" s="1"/>
  <c r="L1902" i="22"/>
  <c r="L1903" i="22" s="1"/>
  <c r="K1902" i="22"/>
  <c r="K1903" i="22" s="1"/>
  <c r="J1902" i="22"/>
  <c r="J1903" i="22" s="1"/>
  <c r="F181" i="22"/>
  <c r="I181" i="22" s="1"/>
  <c r="I182" i="22" s="1"/>
  <c r="F330" i="22"/>
  <c r="I330" i="22" s="1"/>
  <c r="I331" i="22" s="1"/>
  <c r="I332" i="22" s="1"/>
  <c r="F126" i="22"/>
  <c r="I126" i="22" s="1"/>
  <c r="I127" i="22" s="1"/>
  <c r="I128" i="22" s="1"/>
  <c r="H25" i="21"/>
  <c r="E26" i="21" s="1"/>
  <c r="H26" i="21" s="1"/>
  <c r="H27" i="21" s="1"/>
  <c r="H28" i="21" s="1"/>
  <c r="H29" i="21" s="1"/>
  <c r="F2179" i="22" l="1"/>
  <c r="I2179" i="22" s="1"/>
  <c r="F2195" i="22"/>
  <c r="I2195" i="22" s="1"/>
  <c r="F2211" i="22"/>
  <c r="I2211" i="22" s="1"/>
  <c r="E3458" i="22"/>
  <c r="E3461" i="22" s="1"/>
  <c r="K2750" i="22"/>
  <c r="K2753" i="22" s="1"/>
  <c r="F3458" i="22"/>
  <c r="F3461" i="22" s="1"/>
  <c r="F2274" i="22"/>
  <c r="F2807" i="22"/>
  <c r="F2808" i="22" s="1"/>
  <c r="F2809" i="22" s="1"/>
  <c r="F2810" i="22" s="1"/>
  <c r="F2811" i="22" s="1"/>
  <c r="D2750" i="22"/>
  <c r="D2753" i="22" s="1"/>
  <c r="I3458" i="22"/>
  <c r="I3461" i="22" s="1"/>
  <c r="L2750" i="22"/>
  <c r="L2753" i="22" s="1"/>
  <c r="J3458" i="22"/>
  <c r="J3461" i="22" s="1"/>
  <c r="D2283" i="22"/>
  <c r="E2750" i="22"/>
  <c r="E2753" i="22" s="1"/>
  <c r="E2754" i="22" s="1"/>
  <c r="E2755" i="22" s="1"/>
  <c r="E2756" i="22" s="1"/>
  <c r="E2757" i="22" s="1"/>
  <c r="K3458" i="22"/>
  <c r="K3461" i="22" s="1"/>
  <c r="E3487" i="22"/>
  <c r="E3488" i="22" s="1"/>
  <c r="E3489" i="22" s="1"/>
  <c r="E3490" i="22" s="1"/>
  <c r="E3491" i="22" s="1"/>
  <c r="F2750" i="22"/>
  <c r="F2753" i="22" s="1"/>
  <c r="D3458" i="22"/>
  <c r="D3461" i="22" s="1"/>
  <c r="I756" i="22"/>
  <c r="G2750" i="22"/>
  <c r="H3458" i="22"/>
  <c r="H3461" i="22" s="1"/>
  <c r="K3487" i="22"/>
  <c r="K3488" i="22" s="1"/>
  <c r="K3489" i="22" s="1"/>
  <c r="K3490" i="22" s="1"/>
  <c r="K3491" i="22" s="1"/>
  <c r="I2750" i="22"/>
  <c r="I3600" i="22"/>
  <c r="I3601" i="22" s="1"/>
  <c r="J3600" i="22"/>
  <c r="J3601" i="22" s="1"/>
  <c r="H3563" i="22"/>
  <c r="H3564" i="22" s="1"/>
  <c r="L3563" i="22"/>
  <c r="L3564" i="22" s="1"/>
  <c r="K3600" i="22"/>
  <c r="K3601" i="22" s="1"/>
  <c r="K3563" i="22"/>
  <c r="K3564" i="22" s="1"/>
  <c r="L3600" i="22"/>
  <c r="L3601" i="22" s="1"/>
  <c r="H3600" i="22"/>
  <c r="H3601" i="22" s="1"/>
  <c r="F3600" i="22"/>
  <c r="F3601" i="22" s="1"/>
  <c r="F3610" i="22"/>
  <c r="F3611" i="22" s="1"/>
  <c r="L3599" i="22"/>
  <c r="E3406" i="22"/>
  <c r="E3409" i="22" s="1"/>
  <c r="F3193" i="22"/>
  <c r="K3599" i="22"/>
  <c r="K3602" i="22" s="1"/>
  <c r="K3603" i="22" s="1"/>
  <c r="K3604" i="22" s="1"/>
  <c r="K3605" i="22" s="1"/>
  <c r="K3606" i="22" s="1"/>
  <c r="E3599" i="22"/>
  <c r="E3602" i="22" s="1"/>
  <c r="E3603" i="22" s="1"/>
  <c r="E3604" i="22" s="1"/>
  <c r="E3605" i="22" s="1"/>
  <c r="E3606" i="22" s="1"/>
  <c r="G2522" i="22"/>
  <c r="G2525" i="22" s="1"/>
  <c r="G2526" i="22" s="1"/>
  <c r="G2527" i="22" s="1"/>
  <c r="G2528" i="22" s="1"/>
  <c r="G2529" i="22" s="1"/>
  <c r="H3406" i="22"/>
  <c r="H3409" i="22" s="1"/>
  <c r="H3410" i="22" s="1"/>
  <c r="H3411" i="22" s="1"/>
  <c r="H3412" i="22" s="1"/>
  <c r="H3413" i="22" s="1"/>
  <c r="J1753" i="22"/>
  <c r="J1754" i="22" s="1"/>
  <c r="J1755" i="22" s="1"/>
  <c r="J1756" i="22" s="1"/>
  <c r="F3599" i="22"/>
  <c r="D3609" i="22"/>
  <c r="D3612" i="22" s="1"/>
  <c r="H2522" i="22"/>
  <c r="H2525" i="22" s="1"/>
  <c r="F2532" i="22"/>
  <c r="F2535" i="22" s="1"/>
  <c r="F2536" i="22" s="1"/>
  <c r="F2537" i="22" s="1"/>
  <c r="F2538" i="22" s="1"/>
  <c r="F2539" i="22" s="1"/>
  <c r="I3406" i="22"/>
  <c r="I3409" i="22" s="1"/>
  <c r="I3410" i="22" s="1"/>
  <c r="I3411" i="22" s="1"/>
  <c r="I3412" i="22" s="1"/>
  <c r="I3413" i="22" s="1"/>
  <c r="J3599" i="22"/>
  <c r="J3602" i="22" s="1"/>
  <c r="J3603" i="22" s="1"/>
  <c r="J3604" i="22" s="1"/>
  <c r="J3605" i="22" s="1"/>
  <c r="J3606" i="22" s="1"/>
  <c r="G3599" i="22"/>
  <c r="G3602" i="22" s="1"/>
  <c r="I2522" i="22"/>
  <c r="I2525" i="22" s="1"/>
  <c r="I2526" i="22" s="1"/>
  <c r="I2527" i="22" s="1"/>
  <c r="I2528" i="22" s="1"/>
  <c r="I2529" i="22" s="1"/>
  <c r="J3406" i="22"/>
  <c r="J3409" i="22" s="1"/>
  <c r="E3609" i="22"/>
  <c r="E3612" i="22" s="1"/>
  <c r="F3609" i="22"/>
  <c r="D2522" i="22"/>
  <c r="D2525" i="22" s="1"/>
  <c r="D2526" i="22" s="1"/>
  <c r="D2527" i="22" s="1"/>
  <c r="D2528" i="22" s="1"/>
  <c r="D2529" i="22" s="1"/>
  <c r="F3406" i="22"/>
  <c r="F3409" i="22" s="1"/>
  <c r="F3410" i="22" s="1"/>
  <c r="F3411" i="22" s="1"/>
  <c r="F3412" i="22" s="1"/>
  <c r="F3413" i="22" s="1"/>
  <c r="K3406" i="22"/>
  <c r="K3409" i="22" s="1"/>
  <c r="I2807" i="22"/>
  <c r="I2808" i="22" s="1"/>
  <c r="I2809" i="22" s="1"/>
  <c r="I2810" i="22" s="1"/>
  <c r="I2811" i="22" s="1"/>
  <c r="H3599" i="22"/>
  <c r="E2522" i="22"/>
  <c r="E2525" i="22" s="1"/>
  <c r="G3406" i="22"/>
  <c r="G3409" i="22" s="1"/>
  <c r="G2753" i="22"/>
  <c r="H3435" i="22"/>
  <c r="H3436" i="22" s="1"/>
  <c r="H3437" i="22" s="1"/>
  <c r="H3438" i="22" s="1"/>
  <c r="H3439" i="22" s="1"/>
  <c r="I2753" i="22"/>
  <c r="I2754" i="22" s="1"/>
  <c r="I2755" i="22" s="1"/>
  <c r="I2756" i="22" s="1"/>
  <c r="I2757" i="22" s="1"/>
  <c r="I3148" i="22"/>
  <c r="D3161" i="22" s="1"/>
  <c r="D3164" i="22" s="1"/>
  <c r="D3165" i="22" s="1"/>
  <c r="D3166" i="22" s="1"/>
  <c r="D3167" i="22" s="1"/>
  <c r="D3168" i="22" s="1"/>
  <c r="I685" i="23"/>
  <c r="F686" i="23" s="1"/>
  <c r="I686" i="23" s="1"/>
  <c r="I687" i="23" s="1"/>
  <c r="I688" i="23" s="1"/>
  <c r="I689" i="23" s="1"/>
  <c r="D2308" i="22"/>
  <c r="D2314" i="22" s="1"/>
  <c r="D2315" i="22" s="1"/>
  <c r="D2316" i="22" s="1"/>
  <c r="D2317" i="22" s="1"/>
  <c r="E2320" i="22"/>
  <c r="E2326" i="22" s="1"/>
  <c r="F451" i="23"/>
  <c r="I451" i="23" s="1"/>
  <c r="I452" i="23" s="1"/>
  <c r="I453" i="23" s="1"/>
  <c r="I454" i="23" s="1"/>
  <c r="L2308" i="22"/>
  <c r="L2314" i="22" s="1"/>
  <c r="L2315" i="22" s="1"/>
  <c r="L2316" i="22" s="1"/>
  <c r="L2317" i="22" s="1"/>
  <c r="J2308" i="22"/>
  <c r="J2314" i="22" s="1"/>
  <c r="J2315" i="22" s="1"/>
  <c r="J2316" i="22" s="1"/>
  <c r="J2317" i="22" s="1"/>
  <c r="E2308" i="22"/>
  <c r="E2314" i="22" s="1"/>
  <c r="E2315" i="22" s="1"/>
  <c r="E2316" i="22" s="1"/>
  <c r="E2317" i="22" s="1"/>
  <c r="F2320" i="22"/>
  <c r="F2326" i="22" s="1"/>
  <c r="F2327" i="22" s="1"/>
  <c r="F2328" i="22" s="1"/>
  <c r="F2329" i="22" s="1"/>
  <c r="I409" i="23"/>
  <c r="F410" i="23" s="1"/>
  <c r="I410" i="23" s="1"/>
  <c r="E2274" i="22"/>
  <c r="F2308" i="22"/>
  <c r="F2314" i="22" s="1"/>
  <c r="F2315" i="22" s="1"/>
  <c r="F2316" i="22" s="1"/>
  <c r="F2317" i="22" s="1"/>
  <c r="G2308" i="22"/>
  <c r="G2314" i="22" s="1"/>
  <c r="G2315" i="22" s="1"/>
  <c r="G2316" i="22" s="1"/>
  <c r="G2317" i="22" s="1"/>
  <c r="H2308" i="22"/>
  <c r="H2314" i="22" s="1"/>
  <c r="H2315" i="22" s="1"/>
  <c r="H2316" i="22" s="1"/>
  <c r="H2317" i="22" s="1"/>
  <c r="E3161" i="22"/>
  <c r="E3164" i="22" s="1"/>
  <c r="I206" i="23"/>
  <c r="I207" i="23" s="1"/>
  <c r="I208" i="23" s="1"/>
  <c r="I3219" i="22"/>
  <c r="I3220" i="22" s="1"/>
  <c r="I3221" i="22" s="1"/>
  <c r="I3222" i="22" s="1"/>
  <c r="I3223" i="22" s="1"/>
  <c r="I327" i="23"/>
  <c r="F328" i="23" s="1"/>
  <c r="I328" i="23" s="1"/>
  <c r="I720" i="23"/>
  <c r="F721" i="23" s="1"/>
  <c r="I721" i="23" s="1"/>
  <c r="I722" i="23" s="1"/>
  <c r="I723" i="23" s="1"/>
  <c r="I724" i="23" s="1"/>
  <c r="F1142" i="23"/>
  <c r="I1142" i="23" s="1"/>
  <c r="I1144" i="23" s="1"/>
  <c r="F1163" i="23"/>
  <c r="I1163" i="23" s="1"/>
  <c r="I1165" i="23" s="1"/>
  <c r="F1306" i="23"/>
  <c r="I1306" i="23" s="1"/>
  <c r="I1307" i="23" s="1"/>
  <c r="I1308" i="23" s="1"/>
  <c r="I1309" i="23" s="1"/>
  <c r="F1227" i="23"/>
  <c r="I1227" i="23" s="1"/>
  <c r="I1229" i="23" s="1"/>
  <c r="F1195" i="23"/>
  <c r="I1195" i="23" s="1"/>
  <c r="I1197" i="23" s="1"/>
  <c r="F612" i="23"/>
  <c r="I612" i="23" s="1"/>
  <c r="I616" i="23" s="1"/>
  <c r="F246" i="23"/>
  <c r="I246" i="23" s="1"/>
  <c r="I247" i="23" s="1"/>
  <c r="I248" i="23" s="1"/>
  <c r="I249" i="23" s="1"/>
  <c r="I121" i="23"/>
  <c r="I122" i="23" s="1"/>
  <c r="F1265" i="23"/>
  <c r="I1265" i="23" s="1"/>
  <c r="I1266" i="23" s="1"/>
  <c r="I1267" i="23" s="1"/>
  <c r="I1268" i="23" s="1"/>
  <c r="F585" i="23"/>
  <c r="I585" i="23" s="1"/>
  <c r="I586" i="23" s="1"/>
  <c r="I587" i="23" s="1"/>
  <c r="F287" i="23"/>
  <c r="I287" i="23" s="1"/>
  <c r="I288" i="23" s="1"/>
  <c r="I289" i="23" s="1"/>
  <c r="I290" i="23" s="1"/>
  <c r="F517" i="23"/>
  <c r="I517" i="23" s="1"/>
  <c r="I518" i="23" s="1"/>
  <c r="I519" i="23" s="1"/>
  <c r="F833" i="23"/>
  <c r="I833" i="23" s="1"/>
  <c r="I835" i="23" s="1"/>
  <c r="F795" i="23"/>
  <c r="I795" i="23" s="1"/>
  <c r="I797" i="23" s="1"/>
  <c r="F756" i="23"/>
  <c r="I756" i="23" s="1"/>
  <c r="I758" i="23" s="1"/>
  <c r="F369" i="23"/>
  <c r="I369" i="23" s="1"/>
  <c r="I370" i="23" s="1"/>
  <c r="I371" i="23" s="1"/>
  <c r="I372" i="23" s="1"/>
  <c r="F164" i="23"/>
  <c r="I164" i="23" s="1"/>
  <c r="I165" i="23" s="1"/>
  <c r="I166" i="23" s="1"/>
  <c r="I167" i="23" s="1"/>
  <c r="H1775" i="22"/>
  <c r="H1781" i="22" s="1"/>
  <c r="G1775" i="22"/>
  <c r="G1781" i="22" s="1"/>
  <c r="F1775" i="22"/>
  <c r="F1781" i="22" s="1"/>
  <c r="E1775" i="22"/>
  <c r="E1781" i="22" s="1"/>
  <c r="L1775" i="22"/>
  <c r="L1781" i="22" s="1"/>
  <c r="D1775" i="22"/>
  <c r="D1781" i="22" s="1"/>
  <c r="K1775" i="22"/>
  <c r="K1781" i="22" s="1"/>
  <c r="J1775" i="22"/>
  <c r="J1781" i="22" s="1"/>
  <c r="I1775" i="22"/>
  <c r="I1781" i="22" s="1"/>
  <c r="F4368" i="22"/>
  <c r="I4368" i="22" s="1"/>
  <c r="I4369" i="22" s="1"/>
  <c r="I4370" i="22" s="1"/>
  <c r="F4272" i="22"/>
  <c r="I4272" i="22" s="1"/>
  <c r="I4273" i="22" s="1"/>
  <c r="I4274" i="22" s="1"/>
  <c r="H2723" i="22"/>
  <c r="H2726" i="22" s="1"/>
  <c r="G2723" i="22"/>
  <c r="G2726" i="22" s="1"/>
  <c r="F2723" i="22"/>
  <c r="F2726" i="22" s="1"/>
  <c r="E2723" i="22"/>
  <c r="E2726" i="22" s="1"/>
  <c r="L2723" i="22"/>
  <c r="L2726" i="22" s="1"/>
  <c r="D2723" i="22"/>
  <c r="D2726" i="22" s="1"/>
  <c r="K2723" i="22"/>
  <c r="K2726" i="22" s="1"/>
  <c r="J2723" i="22"/>
  <c r="J2726" i="22" s="1"/>
  <c r="I2723" i="22"/>
  <c r="I2726" i="22" s="1"/>
  <c r="F4827" i="22"/>
  <c r="I4827" i="22" s="1"/>
  <c r="I4828" i="22" s="1"/>
  <c r="I4829" i="22" s="1"/>
  <c r="I4830" i="22" s="1"/>
  <c r="F4307" i="22"/>
  <c r="I4307" i="22" s="1"/>
  <c r="I4308" i="22" s="1"/>
  <c r="I4309" i="22" s="1"/>
  <c r="F3247" i="22"/>
  <c r="F3250" i="22" s="1"/>
  <c r="E3247" i="22"/>
  <c r="E3250" i="22" s="1"/>
  <c r="L3247" i="22"/>
  <c r="L3250" i="22" s="1"/>
  <c r="D3247" i="22"/>
  <c r="D3250" i="22" s="1"/>
  <c r="K3247" i="22"/>
  <c r="K3250" i="22" s="1"/>
  <c r="H3247" i="22"/>
  <c r="H3250" i="22" s="1"/>
  <c r="G3247" i="22"/>
  <c r="G3250" i="22" s="1"/>
  <c r="J3247" i="22"/>
  <c r="J3250" i="22" s="1"/>
  <c r="I3247" i="22"/>
  <c r="I3250" i="22" s="1"/>
  <c r="I4969" i="22"/>
  <c r="I4967" i="22"/>
  <c r="I4968" i="22" s="1"/>
  <c r="F1689" i="22"/>
  <c r="I1689" i="22" s="1"/>
  <c r="I1690" i="22" s="1"/>
  <c r="I1691" i="22" s="1"/>
  <c r="F4534" i="22"/>
  <c r="I4534" i="22" s="1"/>
  <c r="J2462" i="22"/>
  <c r="J2468" i="22" s="1"/>
  <c r="I2462" i="22"/>
  <c r="I2468" i="22" s="1"/>
  <c r="H2462" i="22"/>
  <c r="H2468" i="22" s="1"/>
  <c r="G2462" i="22"/>
  <c r="G2468" i="22" s="1"/>
  <c r="F2462" i="22"/>
  <c r="F2468" i="22" s="1"/>
  <c r="E2462" i="22"/>
  <c r="E2468" i="22" s="1"/>
  <c r="F2455" i="22"/>
  <c r="I2455" i="22" s="1"/>
  <c r="L2462" i="22"/>
  <c r="L2468" i="22" s="1"/>
  <c r="K2462" i="22"/>
  <c r="K2468" i="22" s="1"/>
  <c r="D2462" i="22"/>
  <c r="D2468" i="22" s="1"/>
  <c r="E1898" i="22"/>
  <c r="E1904" i="22" s="1"/>
  <c r="L1898" i="22"/>
  <c r="L1904" i="22" s="1"/>
  <c r="D1898" i="22"/>
  <c r="D1904" i="22" s="1"/>
  <c r="F1891" i="22"/>
  <c r="I1891" i="22" s="1"/>
  <c r="K1898" i="22"/>
  <c r="K1904" i="22" s="1"/>
  <c r="J1898" i="22"/>
  <c r="J1904" i="22" s="1"/>
  <c r="I1898" i="22"/>
  <c r="I1904" i="22" s="1"/>
  <c r="H1898" i="22"/>
  <c r="H1904" i="22" s="1"/>
  <c r="G1898" i="22"/>
  <c r="G1904" i="22" s="1"/>
  <c r="F1898" i="22"/>
  <c r="F1904" i="22" s="1"/>
  <c r="F4394" i="22"/>
  <c r="I4394" i="22" s="1"/>
  <c r="I4395" i="22" s="1"/>
  <c r="I4396" i="22" s="1"/>
  <c r="H1926" i="22"/>
  <c r="H1932" i="22" s="1"/>
  <c r="G1926" i="22"/>
  <c r="G1932" i="22" s="1"/>
  <c r="F1926" i="22"/>
  <c r="F1932" i="22" s="1"/>
  <c r="E1926" i="22"/>
  <c r="E1932" i="22" s="1"/>
  <c r="L1926" i="22"/>
  <c r="L1932" i="22" s="1"/>
  <c r="D1926" i="22"/>
  <c r="D1932" i="22" s="1"/>
  <c r="K1926" i="22"/>
  <c r="K1932" i="22" s="1"/>
  <c r="J1926" i="22"/>
  <c r="J1932" i="22" s="1"/>
  <c r="I1926" i="22"/>
  <c r="I1932" i="22" s="1"/>
  <c r="F449" i="22"/>
  <c r="I449" i="22" s="1"/>
  <c r="I450" i="22" s="1"/>
  <c r="I451" i="22" s="1"/>
  <c r="F3025" i="22"/>
  <c r="F3028" i="22" s="1"/>
  <c r="I3015" i="22"/>
  <c r="I3018" i="22" s="1"/>
  <c r="H3015" i="22"/>
  <c r="H3018" i="22" s="1"/>
  <c r="D3025" i="22"/>
  <c r="D3028" i="22" s="1"/>
  <c r="F3015" i="22"/>
  <c r="F3018" i="22" s="1"/>
  <c r="E3015" i="22"/>
  <c r="E3018" i="22" s="1"/>
  <c r="D3015" i="22"/>
  <c r="D3018" i="22" s="1"/>
  <c r="G3015" i="22"/>
  <c r="G3018" i="22" s="1"/>
  <c r="E3025" i="22"/>
  <c r="E3028" i="22" s="1"/>
  <c r="F431" i="22"/>
  <c r="I431" i="22" s="1"/>
  <c r="I432" i="22" s="1"/>
  <c r="I433" i="22" s="1"/>
  <c r="D3384" i="22"/>
  <c r="D3385" i="22" s="1"/>
  <c r="D3386" i="22" s="1"/>
  <c r="D3387" i="22" s="1"/>
  <c r="E3498" i="22"/>
  <c r="E3499" i="22" s="1"/>
  <c r="E3500" i="22" s="1"/>
  <c r="E3501" i="22" s="1"/>
  <c r="K3194" i="22"/>
  <c r="K3195" i="22" s="1"/>
  <c r="K3196" i="22" s="1"/>
  <c r="K3197" i="22" s="1"/>
  <c r="I4567" i="22"/>
  <c r="I4568" i="22" s="1"/>
  <c r="D2818" i="22"/>
  <c r="D2819" i="22" s="1"/>
  <c r="D2820" i="22" s="1"/>
  <c r="D2821" i="22" s="1"/>
  <c r="F2275" i="22"/>
  <c r="F2276" i="22" s="1"/>
  <c r="F2277" i="22" s="1"/>
  <c r="I3488" i="22"/>
  <c r="I3489" i="22" s="1"/>
  <c r="I3490" i="22" s="1"/>
  <c r="I3491" i="22" s="1"/>
  <c r="G3194" i="22"/>
  <c r="G3195" i="22" s="1"/>
  <c r="G3196" i="22" s="1"/>
  <c r="G3197" i="22" s="1"/>
  <c r="D2536" i="22"/>
  <c r="D2537" i="22" s="1"/>
  <c r="D2538" i="22" s="1"/>
  <c r="D2539" i="22" s="1"/>
  <c r="F3677" i="22"/>
  <c r="F3678" i="22" s="1"/>
  <c r="F3679" i="22" s="1"/>
  <c r="F3680" i="22" s="1"/>
  <c r="L2754" i="22"/>
  <c r="L2755" i="22" s="1"/>
  <c r="L2756" i="22" s="1"/>
  <c r="L2757" i="22" s="1"/>
  <c r="F4525" i="22"/>
  <c r="I4525" i="22" s="1"/>
  <c r="I183" i="22"/>
  <c r="F3462" i="22"/>
  <c r="F3463" i="22" s="1"/>
  <c r="F3464" i="22" s="1"/>
  <c r="F3465" i="22" s="1"/>
  <c r="G3715" i="22"/>
  <c r="G3716" i="22" s="1"/>
  <c r="G3717" i="22" s="1"/>
  <c r="E3724" i="22"/>
  <c r="E3725" i="22" s="1"/>
  <c r="E3726" i="22" s="1"/>
  <c r="I2244" i="22"/>
  <c r="I2245" i="22" s="1"/>
  <c r="I2246" i="22" s="1"/>
  <c r="G2275" i="22"/>
  <c r="G2276" i="22" s="1"/>
  <c r="G2277" i="22" s="1"/>
  <c r="F2944" i="22"/>
  <c r="I2944" i="22" s="1"/>
  <c r="I2945" i="22" s="1"/>
  <c r="G3384" i="22"/>
  <c r="G3385" i="22" s="1"/>
  <c r="G3386" i="22" s="1"/>
  <c r="G3387" i="22" s="1"/>
  <c r="F2244" i="22"/>
  <c r="F2245" i="22" s="1"/>
  <c r="F2246" i="22" s="1"/>
  <c r="F1552" i="22"/>
  <c r="I1552" i="22" s="1"/>
  <c r="F1594" i="22"/>
  <c r="I1594" i="22" s="1"/>
  <c r="F1509" i="22"/>
  <c r="I1509" i="22" s="1"/>
  <c r="F1438" i="22"/>
  <c r="F1445" i="22" s="1"/>
  <c r="J1425" i="22"/>
  <c r="J1431" i="22" s="1"/>
  <c r="E1438" i="22"/>
  <c r="E1445" i="22" s="1"/>
  <c r="I1425" i="22"/>
  <c r="I1431" i="22" s="1"/>
  <c r="F1369" i="22"/>
  <c r="I1369" i="22" s="1"/>
  <c r="D1438" i="22"/>
  <c r="D1445" i="22" s="1"/>
  <c r="H1425" i="22"/>
  <c r="H1431" i="22" s="1"/>
  <c r="F1466" i="22"/>
  <c r="I1466" i="22" s="1"/>
  <c r="G1425" i="22"/>
  <c r="G1431" i="22" s="1"/>
  <c r="F1325" i="22"/>
  <c r="I1325" i="22" s="1"/>
  <c r="F1425" i="22"/>
  <c r="F1431" i="22" s="1"/>
  <c r="F1451" i="22"/>
  <c r="F1458" i="22" s="1"/>
  <c r="I1438" i="22"/>
  <c r="I1445" i="22" s="1"/>
  <c r="E1425" i="22"/>
  <c r="E1431" i="22" s="1"/>
  <c r="E1451" i="22"/>
  <c r="E1458" i="22" s="1"/>
  <c r="H1438" i="22"/>
  <c r="H1445" i="22" s="1"/>
  <c r="L1425" i="22"/>
  <c r="L1431" i="22" s="1"/>
  <c r="D1425" i="22"/>
  <c r="D1431" i="22" s="1"/>
  <c r="D1451" i="22"/>
  <c r="D1458" i="22" s="1"/>
  <c r="G1438" i="22"/>
  <c r="G1445" i="22" s="1"/>
  <c r="K1425" i="22"/>
  <c r="K1431" i="22" s="1"/>
  <c r="J3436" i="22"/>
  <c r="J3437" i="22" s="1"/>
  <c r="J3438" i="22" s="1"/>
  <c r="J3439" i="22" s="1"/>
  <c r="G3488" i="22"/>
  <c r="G3489" i="22" s="1"/>
  <c r="G3490" i="22" s="1"/>
  <c r="G3491" i="22" s="1"/>
  <c r="L3488" i="22"/>
  <c r="L3489" i="22" s="1"/>
  <c r="L3490" i="22" s="1"/>
  <c r="L3491" i="22" s="1"/>
  <c r="L2404" i="22"/>
  <c r="L2405" i="22" s="1"/>
  <c r="L2406" i="22" s="1"/>
  <c r="D2327" i="22"/>
  <c r="D2328" i="22" s="1"/>
  <c r="D2329" i="22" s="1"/>
  <c r="D3194" i="22"/>
  <c r="D3195" i="22" s="1"/>
  <c r="D3196" i="22" s="1"/>
  <c r="D3197" i="22" s="1"/>
  <c r="D3613" i="22"/>
  <c r="D3614" i="22" s="1"/>
  <c r="D3615" i="22" s="1"/>
  <c r="D3616" i="22" s="1"/>
  <c r="F2526" i="22"/>
  <c r="F2527" i="22" s="1"/>
  <c r="F2528" i="22" s="1"/>
  <c r="F2529" i="22" s="1"/>
  <c r="E2503" i="22"/>
  <c r="E2504" i="22" s="1"/>
  <c r="E2505" i="22" s="1"/>
  <c r="E2506" i="22" s="1"/>
  <c r="D3410" i="22"/>
  <c r="D3411" i="22" s="1"/>
  <c r="D3412" i="22" s="1"/>
  <c r="D3413" i="22" s="1"/>
  <c r="J2636" i="22"/>
  <c r="I1754" i="22"/>
  <c r="I1755" i="22" s="1"/>
  <c r="I1756" i="22" s="1"/>
  <c r="I3677" i="22"/>
  <c r="I3678" i="22" s="1"/>
  <c r="I3679" i="22" s="1"/>
  <c r="I3680" i="22" s="1"/>
  <c r="E3687" i="22"/>
  <c r="E3688" i="22" s="1"/>
  <c r="E3689" i="22" s="1"/>
  <c r="E3690" i="22" s="1"/>
  <c r="L3220" i="22"/>
  <c r="L3221" i="22" s="1"/>
  <c r="L3222" i="22" s="1"/>
  <c r="L3223" i="22" s="1"/>
  <c r="F2818" i="22"/>
  <c r="F2819" i="22" s="1"/>
  <c r="F2820" i="22" s="1"/>
  <c r="F2821" i="22" s="1"/>
  <c r="E2818" i="22"/>
  <c r="E2819" i="22" s="1"/>
  <c r="E2820" i="22" s="1"/>
  <c r="E2821" i="22" s="1"/>
  <c r="I2610" i="22"/>
  <c r="I2611" i="22" s="1"/>
  <c r="I2612" i="22" s="1"/>
  <c r="I2613" i="22" s="1"/>
  <c r="F3757" i="22"/>
  <c r="F3758" i="22" s="1"/>
  <c r="F3759" i="22" s="1"/>
  <c r="F971" i="22"/>
  <c r="I971" i="22" s="1"/>
  <c r="D975" i="22" s="1"/>
  <c r="D981" i="22" s="1"/>
  <c r="F861" i="22"/>
  <c r="I861" i="22" s="1"/>
  <c r="F790" i="22"/>
  <c r="F796" i="22" s="1"/>
  <c r="E762" i="22"/>
  <c r="E768" i="22" s="1"/>
  <c r="E790" i="22"/>
  <c r="E796" i="22" s="1"/>
  <c r="D762" i="22"/>
  <c r="D768" i="22" s="1"/>
  <c r="F941" i="22"/>
  <c r="I941" i="22" s="1"/>
  <c r="D945" i="22" s="1"/>
  <c r="D951" i="22" s="1"/>
  <c r="F847" i="22"/>
  <c r="I847" i="22" s="1"/>
  <c r="D851" i="22" s="1"/>
  <c r="D855" i="22" s="1"/>
  <c r="D790" i="22"/>
  <c r="D796" i="22" s="1"/>
  <c r="F986" i="22"/>
  <c r="I986" i="22" s="1"/>
  <c r="F899" i="22"/>
  <c r="I899" i="22" s="1"/>
  <c r="I762" i="22"/>
  <c r="I768" i="22" s="1"/>
  <c r="F956" i="22"/>
  <c r="I956" i="22" s="1"/>
  <c r="D960" i="22" s="1"/>
  <c r="D966" i="22" s="1"/>
  <c r="I790" i="22"/>
  <c r="I796" i="22" s="1"/>
  <c r="H762" i="22"/>
  <c r="H768" i="22" s="1"/>
  <c r="H790" i="22"/>
  <c r="H796" i="22" s="1"/>
  <c r="G762" i="22"/>
  <c r="G768" i="22" s="1"/>
  <c r="G790" i="22"/>
  <c r="G796" i="22" s="1"/>
  <c r="F762" i="22"/>
  <c r="F768" i="22" s="1"/>
  <c r="E2842" i="22"/>
  <c r="E2845" i="22" s="1"/>
  <c r="E2852" i="22"/>
  <c r="E2855" i="22" s="1"/>
  <c r="H3488" i="22"/>
  <c r="H3489" i="22" s="1"/>
  <c r="H3490" i="22" s="1"/>
  <c r="H3491" i="22" s="1"/>
  <c r="F4168" i="22"/>
  <c r="I4168" i="22" s="1"/>
  <c r="I4169" i="22" s="1"/>
  <c r="I4170" i="22" s="1"/>
  <c r="D2503" i="22"/>
  <c r="D2504" i="22" s="1"/>
  <c r="D2505" i="22" s="1"/>
  <c r="D2506" i="22" s="1"/>
  <c r="F1822" i="22"/>
  <c r="F1828" i="22" s="1"/>
  <c r="D1810" i="22"/>
  <c r="D1816" i="22" s="1"/>
  <c r="F1803" i="22"/>
  <c r="I1803" i="22" s="1"/>
  <c r="E1822" i="22"/>
  <c r="E1828" i="22" s="1"/>
  <c r="D1822" i="22"/>
  <c r="D1828" i="22" s="1"/>
  <c r="I1810" i="22"/>
  <c r="I1816" i="22" s="1"/>
  <c r="H1810" i="22"/>
  <c r="H1816" i="22" s="1"/>
  <c r="G1810" i="22"/>
  <c r="G1816" i="22" s="1"/>
  <c r="F1810" i="22"/>
  <c r="F1816" i="22" s="1"/>
  <c r="E1810" i="22"/>
  <c r="E1816" i="22" s="1"/>
  <c r="F3724" i="22"/>
  <c r="F3725" i="22" s="1"/>
  <c r="F3726" i="22" s="1"/>
  <c r="F2656" i="22"/>
  <c r="I2656" i="22" s="1"/>
  <c r="I2657" i="22" s="1"/>
  <c r="L3384" i="22"/>
  <c r="L3385" i="22" s="1"/>
  <c r="L3386" i="22" s="1"/>
  <c r="L3387" i="22" s="1"/>
  <c r="G3436" i="22"/>
  <c r="G3437" i="22" s="1"/>
  <c r="G3438" i="22" s="1"/>
  <c r="G3439" i="22" s="1"/>
  <c r="G2404" i="22"/>
  <c r="G2405" i="22" s="1"/>
  <c r="G2406" i="22" s="1"/>
  <c r="G3410" i="22"/>
  <c r="G3411" i="22" s="1"/>
  <c r="G3412" i="22" s="1"/>
  <c r="G3413" i="22" s="1"/>
  <c r="I2636" i="22"/>
  <c r="F1754" i="22"/>
  <c r="F1755" i="22" s="1"/>
  <c r="F1756" i="22" s="1"/>
  <c r="E3757" i="22"/>
  <c r="E3758" i="22" s="1"/>
  <c r="E3759" i="22" s="1"/>
  <c r="I3077" i="22"/>
  <c r="I3080" i="22" s="1"/>
  <c r="D3087" i="22"/>
  <c r="D3090" i="22" s="1"/>
  <c r="E3077" i="22"/>
  <c r="E3080" i="22" s="1"/>
  <c r="D3077" i="22"/>
  <c r="D3080" i="22" s="1"/>
  <c r="F3087" i="22"/>
  <c r="F3090" i="22" s="1"/>
  <c r="H3077" i="22"/>
  <c r="H3080" i="22" s="1"/>
  <c r="F2923" i="22"/>
  <c r="I2923" i="22" s="1"/>
  <c r="I2924" i="22" s="1"/>
  <c r="G3077" i="22"/>
  <c r="G3080" i="22" s="1"/>
  <c r="F3077" i="22"/>
  <c r="F3080" i="22" s="1"/>
  <c r="E3087" i="22"/>
  <c r="E3090" i="22" s="1"/>
  <c r="I3462" i="22"/>
  <c r="I3463" i="22" s="1"/>
  <c r="I3464" i="22" s="1"/>
  <c r="I3465" i="22" s="1"/>
  <c r="H3715" i="22"/>
  <c r="H3716" i="22" s="1"/>
  <c r="H3717" i="22" s="1"/>
  <c r="I905" i="22"/>
  <c r="I906" i="22" s="1"/>
  <c r="H906" i="22"/>
  <c r="H2244" i="22"/>
  <c r="H2245" i="22" s="1"/>
  <c r="H2246" i="22" s="1"/>
  <c r="D2284" i="22"/>
  <c r="D2285" i="22" s="1"/>
  <c r="D2286" i="22" s="1"/>
  <c r="F4606" i="22"/>
  <c r="I4606" i="22" s="1"/>
  <c r="I4607" i="22" s="1"/>
  <c r="I4608" i="22" s="1"/>
  <c r="H3384" i="22"/>
  <c r="H3385" i="22" s="1"/>
  <c r="H3386" i="22" s="1"/>
  <c r="H3387" i="22" s="1"/>
  <c r="F3788" i="22"/>
  <c r="I3788" i="22" s="1"/>
  <c r="I3789" i="22" s="1"/>
  <c r="I3790" i="22" s="1"/>
  <c r="F4527" i="22"/>
  <c r="I4527" i="22" s="1"/>
  <c r="F1996" i="22"/>
  <c r="I1996" i="22" s="1"/>
  <c r="I1997" i="22" s="1"/>
  <c r="I1998" i="22" s="1"/>
  <c r="A435" i="22"/>
  <c r="A417" i="22"/>
  <c r="K3436" i="22"/>
  <c r="K3437" i="22" s="1"/>
  <c r="K3438" i="22" s="1"/>
  <c r="K3439" i="22" s="1"/>
  <c r="D2404" i="22"/>
  <c r="D2405" i="22" s="1"/>
  <c r="D2406" i="22" s="1"/>
  <c r="K2315" i="22"/>
  <c r="K2316" i="22" s="1"/>
  <c r="K2317" i="22" s="1"/>
  <c r="I2315" i="22"/>
  <c r="I2316" i="22" s="1"/>
  <c r="I2317" i="22" s="1"/>
  <c r="L3194" i="22"/>
  <c r="L3195" i="22" s="1"/>
  <c r="L3196" i="22" s="1"/>
  <c r="L3197" i="22" s="1"/>
  <c r="G3603" i="22"/>
  <c r="G3604" i="22" s="1"/>
  <c r="G3605" i="22" s="1"/>
  <c r="G3606" i="22" s="1"/>
  <c r="E2109" i="22"/>
  <c r="E2115" i="22" s="1"/>
  <c r="F2121" i="22"/>
  <c r="F2127" i="22" s="1"/>
  <c r="D2109" i="22"/>
  <c r="D2115" i="22" s="1"/>
  <c r="E2121" i="22"/>
  <c r="E2127" i="22" s="1"/>
  <c r="D2121" i="22"/>
  <c r="D2127" i="22" s="1"/>
  <c r="I2109" i="22"/>
  <c r="I2115" i="22" s="1"/>
  <c r="H2109" i="22"/>
  <c r="H2115" i="22" s="1"/>
  <c r="G2109" i="22"/>
  <c r="G2115" i="22" s="1"/>
  <c r="F2109" i="22"/>
  <c r="F2115" i="22" s="1"/>
  <c r="E2536" i="22"/>
  <c r="E2537" i="22" s="1"/>
  <c r="E2538" i="22" s="1"/>
  <c r="E2539" i="22" s="1"/>
  <c r="G2493" i="22"/>
  <c r="G2494" i="22" s="1"/>
  <c r="G2495" i="22" s="1"/>
  <c r="G2496" i="22" s="1"/>
  <c r="L3410" i="22"/>
  <c r="L3411" i="22" s="1"/>
  <c r="L3412" i="22" s="1"/>
  <c r="L3413" i="22" s="1"/>
  <c r="K2636" i="22"/>
  <c r="J3677" i="22"/>
  <c r="J3678" i="22" s="1"/>
  <c r="J3679" i="22" s="1"/>
  <c r="J3680" i="22" s="1"/>
  <c r="G3677" i="22"/>
  <c r="G3678" i="22" s="1"/>
  <c r="G3679" i="22" s="1"/>
  <c r="G3680" i="22" s="1"/>
  <c r="H3220" i="22"/>
  <c r="H3221" i="22" s="1"/>
  <c r="H3222" i="22" s="1"/>
  <c r="H3223" i="22" s="1"/>
  <c r="E3220" i="22"/>
  <c r="E3221" i="22" s="1"/>
  <c r="E3222" i="22" s="1"/>
  <c r="E3223" i="22" s="1"/>
  <c r="G2808" i="22"/>
  <c r="G2809" i="22" s="1"/>
  <c r="G2810" i="22" s="1"/>
  <c r="G2811" i="22" s="1"/>
  <c r="J2610" i="22"/>
  <c r="J2611" i="22" s="1"/>
  <c r="J2612" i="22" s="1"/>
  <c r="J2613" i="22" s="1"/>
  <c r="F2754" i="22"/>
  <c r="F2755" i="22" s="1"/>
  <c r="F2756" i="22" s="1"/>
  <c r="F2757" i="22" s="1"/>
  <c r="G3757" i="22"/>
  <c r="G3758" i="22" s="1"/>
  <c r="G3759" i="22" s="1"/>
  <c r="F3715" i="22"/>
  <c r="F3716" i="22" s="1"/>
  <c r="F3717" i="22" s="1"/>
  <c r="E2526" i="22"/>
  <c r="E2527" i="22" s="1"/>
  <c r="E2528" i="22" s="1"/>
  <c r="E2529" i="22" s="1"/>
  <c r="H2636" i="22"/>
  <c r="D3687" i="22"/>
  <c r="D3688" i="22" s="1"/>
  <c r="D3689" i="22" s="1"/>
  <c r="D3690" i="22" s="1"/>
  <c r="J3757" i="22"/>
  <c r="J3758" i="22" s="1"/>
  <c r="J3759" i="22" s="1"/>
  <c r="F4775" i="22"/>
  <c r="I4775" i="22" s="1"/>
  <c r="I4776" i="22" s="1"/>
  <c r="I4777" i="22" s="1"/>
  <c r="I4778" i="22" s="1"/>
  <c r="F2493" i="22"/>
  <c r="F2494" i="22" s="1"/>
  <c r="F2495" i="22" s="1"/>
  <c r="F2496" i="22" s="1"/>
  <c r="H1754" i="22"/>
  <c r="H1755" i="22" s="1"/>
  <c r="H1756" i="22" s="1"/>
  <c r="D3220" i="22"/>
  <c r="D3221" i="22" s="1"/>
  <c r="D3222" i="22" s="1"/>
  <c r="D3223" i="22" s="1"/>
  <c r="J3462" i="22"/>
  <c r="J3463" i="22" s="1"/>
  <c r="J3464" i="22" s="1"/>
  <c r="J3465" i="22" s="1"/>
  <c r="I3715" i="22"/>
  <c r="I3716" i="22" s="1"/>
  <c r="I3717" i="22" s="1"/>
  <c r="I2697" i="22"/>
  <c r="I2700" i="22" s="1"/>
  <c r="H2697" i="22"/>
  <c r="H2700" i="22" s="1"/>
  <c r="G2697" i="22"/>
  <c r="G2700" i="22" s="1"/>
  <c r="F2697" i="22"/>
  <c r="F2700" i="22" s="1"/>
  <c r="E2697" i="22"/>
  <c r="E2700" i="22" s="1"/>
  <c r="D2697" i="22"/>
  <c r="D2700" i="22" s="1"/>
  <c r="H2275" i="22"/>
  <c r="H2276" i="22" s="1"/>
  <c r="H2277" i="22" s="1"/>
  <c r="I3384" i="22"/>
  <c r="I3385" i="22" s="1"/>
  <c r="I3386" i="22" s="1"/>
  <c r="I3387" i="22" s="1"/>
  <c r="F1632" i="22"/>
  <c r="F1638" i="22" s="1"/>
  <c r="E1632" i="22"/>
  <c r="E1638" i="22" s="1"/>
  <c r="L1632" i="22"/>
  <c r="L1638" i="22" s="1"/>
  <c r="D1632" i="22"/>
  <c r="D1638" i="22" s="1"/>
  <c r="K1632" i="22"/>
  <c r="K1638" i="22" s="1"/>
  <c r="J1632" i="22"/>
  <c r="J1638" i="22" s="1"/>
  <c r="I1632" i="22"/>
  <c r="I1638" i="22" s="1"/>
  <c r="H1632" i="22"/>
  <c r="H1638" i="22" s="1"/>
  <c r="G1632" i="22"/>
  <c r="G1638" i="22" s="1"/>
  <c r="I2838" i="22"/>
  <c r="D3436" i="22"/>
  <c r="D3437" i="22" s="1"/>
  <c r="D3438" i="22" s="1"/>
  <c r="D3439" i="22" s="1"/>
  <c r="D3498" i="22"/>
  <c r="D3499" i="22" s="1"/>
  <c r="D3500" i="22" s="1"/>
  <c r="D3501" i="22" s="1"/>
  <c r="H2404" i="22"/>
  <c r="H2405" i="22" s="1"/>
  <c r="H2406" i="22" s="1"/>
  <c r="E2327" i="22"/>
  <c r="E2328" i="22" s="1"/>
  <c r="E2329" i="22" s="1"/>
  <c r="E3194" i="22"/>
  <c r="E3195" i="22" s="1"/>
  <c r="E3196" i="22" s="1"/>
  <c r="E3197" i="22" s="1"/>
  <c r="E3613" i="22"/>
  <c r="E3614" i="22" s="1"/>
  <c r="E3615" i="22" s="1"/>
  <c r="E3616" i="22" s="1"/>
  <c r="K2137" i="22"/>
  <c r="K2143" i="22" s="1"/>
  <c r="F2149" i="22"/>
  <c r="F2155" i="22" s="1"/>
  <c r="J2137" i="22"/>
  <c r="J2143" i="22" s="1"/>
  <c r="E2149" i="22"/>
  <c r="E2155" i="22" s="1"/>
  <c r="I2137" i="22"/>
  <c r="I2143" i="22" s="1"/>
  <c r="D2149" i="22"/>
  <c r="D2155" i="22" s="1"/>
  <c r="H2137" i="22"/>
  <c r="H2143" i="22" s="1"/>
  <c r="G2137" i="22"/>
  <c r="G2143" i="22" s="1"/>
  <c r="F2137" i="22"/>
  <c r="F2143" i="22" s="1"/>
  <c r="E2137" i="22"/>
  <c r="E2143" i="22" s="1"/>
  <c r="L2137" i="22"/>
  <c r="L2143" i="22" s="1"/>
  <c r="D2137" i="22"/>
  <c r="D2143" i="22" s="1"/>
  <c r="F2503" i="22"/>
  <c r="F2504" i="22" s="1"/>
  <c r="F2505" i="22" s="1"/>
  <c r="F2506" i="22" s="1"/>
  <c r="E3410" i="22"/>
  <c r="E3411" i="22" s="1"/>
  <c r="E3412" i="22" s="1"/>
  <c r="E3413" i="22" s="1"/>
  <c r="D2637" i="22"/>
  <c r="D2638" i="22" s="1"/>
  <c r="D2639" i="22" s="1"/>
  <c r="D2640" i="22" s="1"/>
  <c r="K1754" i="22"/>
  <c r="K1755" i="22" s="1"/>
  <c r="K1756" i="22" s="1"/>
  <c r="K3677" i="22"/>
  <c r="K3678" i="22" s="1"/>
  <c r="K3679" i="22" s="1"/>
  <c r="K3680" i="22" s="1"/>
  <c r="F3687" i="22"/>
  <c r="F3688" i="22" s="1"/>
  <c r="F3689" i="22" s="1"/>
  <c r="F3690" i="22" s="1"/>
  <c r="H2808" i="22"/>
  <c r="H2809" i="22" s="1"/>
  <c r="H2810" i="22" s="1"/>
  <c r="H2811" i="22" s="1"/>
  <c r="E3165" i="22"/>
  <c r="E3166" i="22" s="1"/>
  <c r="E3167" i="22" s="1"/>
  <c r="E3168" i="22" s="1"/>
  <c r="F3340" i="22"/>
  <c r="I3340" i="22" s="1"/>
  <c r="I3341" i="22" s="1"/>
  <c r="K2610" i="22"/>
  <c r="K2611" i="22" s="1"/>
  <c r="K2612" i="22" s="1"/>
  <c r="K2613" i="22" s="1"/>
  <c r="G2754" i="22"/>
  <c r="G2755" i="22" s="1"/>
  <c r="G2756" i="22" s="1"/>
  <c r="G2757" i="22" s="1"/>
  <c r="D3769" i="22"/>
  <c r="D3770" i="22" s="1"/>
  <c r="D3771" i="22" s="1"/>
  <c r="D2253" i="22"/>
  <c r="D2254" i="22" s="1"/>
  <c r="D2255" i="22" s="1"/>
  <c r="F3961" i="22"/>
  <c r="I3961" i="22" s="1"/>
  <c r="I3962" i="22" s="1"/>
  <c r="I3963" i="22" s="1"/>
  <c r="I3964" i="22" s="1"/>
  <c r="D4709" i="22"/>
  <c r="D4710" i="22" s="1"/>
  <c r="D4711" i="22" s="1"/>
  <c r="F3194" i="22"/>
  <c r="F3195" i="22" s="1"/>
  <c r="F3196" i="22" s="1"/>
  <c r="F3197" i="22" s="1"/>
  <c r="F349" i="22"/>
  <c r="I349" i="22" s="1"/>
  <c r="I350" i="22" s="1"/>
  <c r="I351" i="22" s="1"/>
  <c r="I352" i="22" s="1"/>
  <c r="K3410" i="22"/>
  <c r="K3411" i="22" s="1"/>
  <c r="K3412" i="22" s="1"/>
  <c r="K3413" i="22" s="1"/>
  <c r="E1754" i="22"/>
  <c r="E1755" i="22" s="1"/>
  <c r="E1756" i="22" s="1"/>
  <c r="K3220" i="22"/>
  <c r="K3221" i="22" s="1"/>
  <c r="K3222" i="22" s="1"/>
  <c r="K3223" i="22" s="1"/>
  <c r="G2610" i="22"/>
  <c r="G2611" i="22" s="1"/>
  <c r="G2612" i="22" s="1"/>
  <c r="G2613" i="22" s="1"/>
  <c r="E3715" i="22"/>
  <c r="E3716" i="22" s="1"/>
  <c r="E3717" i="22" s="1"/>
  <c r="H1667" i="22"/>
  <c r="H1673" i="22" s="1"/>
  <c r="G1667" i="22"/>
  <c r="G1673" i="22" s="1"/>
  <c r="F1667" i="22"/>
  <c r="F1673" i="22" s="1"/>
  <c r="E1667" i="22"/>
  <c r="E1673" i="22" s="1"/>
  <c r="D1667" i="22"/>
  <c r="D1673" i="22" s="1"/>
  <c r="I1667" i="22"/>
  <c r="I1673" i="22" s="1"/>
  <c r="F1845" i="22"/>
  <c r="I1845" i="22" s="1"/>
  <c r="I1846" i="22" s="1"/>
  <c r="I1847" i="22" s="1"/>
  <c r="J3715" i="22"/>
  <c r="J3716" i="22" s="1"/>
  <c r="J3717" i="22" s="1"/>
  <c r="E2284" i="22"/>
  <c r="E2285" i="22" s="1"/>
  <c r="E2286" i="22" s="1"/>
  <c r="D4487" i="22"/>
  <c r="I4487" i="22" s="1"/>
  <c r="I4486" i="22"/>
  <c r="F3384" i="22"/>
  <c r="F3385" i="22" s="1"/>
  <c r="F3386" i="22" s="1"/>
  <c r="F3387" i="22" s="1"/>
  <c r="J3384" i="22"/>
  <c r="J3385" i="22" s="1"/>
  <c r="J3386" i="22" s="1"/>
  <c r="J3387" i="22" s="1"/>
  <c r="F2773" i="22"/>
  <c r="I2773" i="22" s="1"/>
  <c r="I2774" i="22" s="1"/>
  <c r="D2777" i="22" s="1"/>
  <c r="F2971" i="22"/>
  <c r="I2971" i="22" s="1"/>
  <c r="I2972" i="22" s="1"/>
  <c r="F370" i="22"/>
  <c r="I370" i="22" s="1"/>
  <c r="I371" i="22" s="1"/>
  <c r="I372" i="22" s="1"/>
  <c r="I373" i="22" s="1"/>
  <c r="F2033" i="22"/>
  <c r="F2039" i="22" s="1"/>
  <c r="J2021" i="22"/>
  <c r="J2027" i="22" s="1"/>
  <c r="D2033" i="22"/>
  <c r="D2039" i="22" s="1"/>
  <c r="H2021" i="22"/>
  <c r="H2027" i="22" s="1"/>
  <c r="G2021" i="22"/>
  <c r="G2027" i="22" s="1"/>
  <c r="F2021" i="22"/>
  <c r="F2027" i="22" s="1"/>
  <c r="E2021" i="22"/>
  <c r="E2027" i="22" s="1"/>
  <c r="I2021" i="22"/>
  <c r="I2027" i="22" s="1"/>
  <c r="E2033" i="22"/>
  <c r="E2039" i="22" s="1"/>
  <c r="D2021" i="22"/>
  <c r="D2027" i="22" s="1"/>
  <c r="L2021" i="22"/>
  <c r="L2027" i="22" s="1"/>
  <c r="K2021" i="22"/>
  <c r="K2027" i="22" s="1"/>
  <c r="L3436" i="22"/>
  <c r="L3437" i="22" s="1"/>
  <c r="L3438" i="22" s="1"/>
  <c r="L3439" i="22" s="1"/>
  <c r="D3488" i="22"/>
  <c r="D3489" i="22" s="1"/>
  <c r="D3490" i="22" s="1"/>
  <c r="D3491" i="22" s="1"/>
  <c r="I2404" i="22"/>
  <c r="I2405" i="22" s="1"/>
  <c r="I2406" i="22" s="1"/>
  <c r="H3194" i="22"/>
  <c r="H3195" i="22" s="1"/>
  <c r="H3196" i="22" s="1"/>
  <c r="H3197" i="22" s="1"/>
  <c r="H2526" i="22"/>
  <c r="H2527" i="22" s="1"/>
  <c r="H2528" i="22" s="1"/>
  <c r="H2529" i="22" s="1"/>
  <c r="H2493" i="22"/>
  <c r="H2494" i="22" s="1"/>
  <c r="H2495" i="22" s="1"/>
  <c r="H2496" i="22" s="1"/>
  <c r="E2636" i="22"/>
  <c r="L2636" i="22"/>
  <c r="F1741" i="22"/>
  <c r="I1741" i="22" s="1"/>
  <c r="I1742" i="22" s="1"/>
  <c r="I1743" i="22" s="1"/>
  <c r="D3677" i="22"/>
  <c r="D3678" i="22" s="1"/>
  <c r="D3679" i="22" s="1"/>
  <c r="D3680" i="22" s="1"/>
  <c r="H3677" i="22"/>
  <c r="H3678" i="22" s="1"/>
  <c r="H3679" i="22" s="1"/>
  <c r="H3680" i="22" s="1"/>
  <c r="F3220" i="22"/>
  <c r="F3221" i="22" s="1"/>
  <c r="F3222" i="22" s="1"/>
  <c r="F3223" i="22" s="1"/>
  <c r="D2183" i="22"/>
  <c r="D2189" i="22" s="1"/>
  <c r="I2183" i="22"/>
  <c r="I2189" i="22" s="1"/>
  <c r="H2183" i="22"/>
  <c r="H2189" i="22" s="1"/>
  <c r="G2183" i="22"/>
  <c r="G2189" i="22" s="1"/>
  <c r="F2183" i="22"/>
  <c r="F2189" i="22" s="1"/>
  <c r="E2183" i="22"/>
  <c r="E2189" i="22" s="1"/>
  <c r="D2610" i="22"/>
  <c r="D2611" i="22" s="1"/>
  <c r="D2612" i="22" s="1"/>
  <c r="D2613" i="22" s="1"/>
  <c r="H2754" i="22"/>
  <c r="H2755" i="22" s="1"/>
  <c r="H2756" i="22" s="1"/>
  <c r="H2757" i="22" s="1"/>
  <c r="H3757" i="22"/>
  <c r="H3758" i="22" s="1"/>
  <c r="H3759" i="22" s="1"/>
  <c r="F4063" i="22"/>
  <c r="I4063" i="22" s="1"/>
  <c r="I4064" i="22" s="1"/>
  <c r="I4065" i="22" s="1"/>
  <c r="I4066" i="22" s="1"/>
  <c r="G3462" i="22"/>
  <c r="G3463" i="22" s="1"/>
  <c r="G3464" i="22" s="1"/>
  <c r="G3465" i="22" s="1"/>
  <c r="L3715" i="22"/>
  <c r="L3716" i="22" s="1"/>
  <c r="L3717" i="22" s="1"/>
  <c r="E2275" i="22"/>
  <c r="E2276" i="22" s="1"/>
  <c r="E2277" i="22" s="1"/>
  <c r="F3436" i="22"/>
  <c r="F3437" i="22" s="1"/>
  <c r="F3438" i="22" s="1"/>
  <c r="F3439" i="22" s="1"/>
  <c r="F2404" i="22"/>
  <c r="F2405" i="22" s="1"/>
  <c r="F2406" i="22" s="1"/>
  <c r="K2429" i="22"/>
  <c r="K2435" i="22" s="1"/>
  <c r="J2429" i="22"/>
  <c r="J2435" i="22" s="1"/>
  <c r="I2429" i="22"/>
  <c r="I2435" i="22" s="1"/>
  <c r="H2429" i="22"/>
  <c r="H2435" i="22" s="1"/>
  <c r="G2429" i="22"/>
  <c r="G2435" i="22" s="1"/>
  <c r="F2429" i="22"/>
  <c r="F2435" i="22" s="1"/>
  <c r="L2429" i="22"/>
  <c r="L2435" i="22" s="1"/>
  <c r="E2429" i="22"/>
  <c r="E2435" i="22" s="1"/>
  <c r="D2429" i="22"/>
  <c r="D2435" i="22" s="1"/>
  <c r="I3637" i="22"/>
  <c r="I3640" i="22" s="1"/>
  <c r="H3637" i="22"/>
  <c r="H3640" i="22" s="1"/>
  <c r="F3647" i="22"/>
  <c r="F3650" i="22" s="1"/>
  <c r="G3637" i="22"/>
  <c r="G3640" i="22" s="1"/>
  <c r="E3647" i="22"/>
  <c r="E3650" i="22" s="1"/>
  <c r="F3637" i="22"/>
  <c r="F3640" i="22" s="1"/>
  <c r="D3647" i="22"/>
  <c r="D3650" i="22" s="1"/>
  <c r="E3637" i="22"/>
  <c r="E3640" i="22" s="1"/>
  <c r="K3637" i="22"/>
  <c r="K3640" i="22" s="1"/>
  <c r="D3637" i="22"/>
  <c r="D3640" i="22" s="1"/>
  <c r="L3637" i="22"/>
  <c r="L3640" i="22" s="1"/>
  <c r="J3637" i="22"/>
  <c r="J3640" i="22" s="1"/>
  <c r="K3462" i="22"/>
  <c r="K3463" i="22" s="1"/>
  <c r="K3464" i="22" s="1"/>
  <c r="K3465" i="22" s="1"/>
  <c r="D3462" i="22"/>
  <c r="D3463" i="22" s="1"/>
  <c r="D3464" i="22" s="1"/>
  <c r="D3465" i="22" s="1"/>
  <c r="K3715" i="22"/>
  <c r="K3716" i="22" s="1"/>
  <c r="K3717" i="22" s="1"/>
  <c r="D4514" i="22"/>
  <c r="I4514" i="22" s="1"/>
  <c r="I4513" i="22"/>
  <c r="I2275" i="22"/>
  <c r="I2276" i="22" s="1"/>
  <c r="I2277" i="22" s="1"/>
  <c r="F3301" i="22"/>
  <c r="I3301" i="22" s="1"/>
  <c r="I3302" i="22" s="1"/>
  <c r="F4615" i="22"/>
  <c r="I4615" i="22" s="1"/>
  <c r="I4616" i="22" s="1"/>
  <c r="I4617" i="22" s="1"/>
  <c r="E3384" i="22"/>
  <c r="E3385" i="22" s="1"/>
  <c r="E3386" i="22" s="1"/>
  <c r="E3387" i="22" s="1"/>
  <c r="F4594" i="22"/>
  <c r="I4594" i="22" s="1"/>
  <c r="I4595" i="22" s="1"/>
  <c r="I4596" i="22" s="1"/>
  <c r="I4597" i="22" s="1"/>
  <c r="I4598" i="22" s="1"/>
  <c r="F634" i="22"/>
  <c r="I634" i="22" s="1"/>
  <c r="I638" i="22" s="1"/>
  <c r="F605" i="22"/>
  <c r="I605" i="22" s="1"/>
  <c r="I609" i="22" s="1"/>
  <c r="F576" i="22"/>
  <c r="I576" i="22" s="1"/>
  <c r="I580" i="22" s="1"/>
  <c r="F624" i="22"/>
  <c r="I624" i="22" s="1"/>
  <c r="I628" i="22" s="1"/>
  <c r="F595" i="22"/>
  <c r="I595" i="22" s="1"/>
  <c r="I599" i="22" s="1"/>
  <c r="F643" i="22"/>
  <c r="I643" i="22" s="1"/>
  <c r="F546" i="22"/>
  <c r="I546" i="22" s="1"/>
  <c r="I550" i="22" s="1"/>
  <c r="F556" i="22"/>
  <c r="I556" i="22" s="1"/>
  <c r="I560" i="22" s="1"/>
  <c r="F536" i="22"/>
  <c r="I536" i="22" s="1"/>
  <c r="I540" i="22" s="1"/>
  <c r="F585" i="22"/>
  <c r="I585" i="22" s="1"/>
  <c r="I589" i="22" s="1"/>
  <c r="F566" i="22"/>
  <c r="I566" i="22" s="1"/>
  <c r="I570" i="22" s="1"/>
  <c r="F526" i="22"/>
  <c r="I526" i="22" s="1"/>
  <c r="I530" i="22" s="1"/>
  <c r="F615" i="22"/>
  <c r="I615" i="22" s="1"/>
  <c r="I619" i="22" s="1"/>
  <c r="F516" i="22"/>
  <c r="I516" i="22" s="1"/>
  <c r="I520" i="22" s="1"/>
  <c r="H1956" i="22"/>
  <c r="H1962" i="22" s="1"/>
  <c r="F1956" i="22"/>
  <c r="F1962" i="22" s="1"/>
  <c r="E1956" i="22"/>
  <c r="E1962" i="22" s="1"/>
  <c r="F1968" i="22"/>
  <c r="F1974" i="22" s="1"/>
  <c r="D1956" i="22"/>
  <c r="D1962" i="22" s="1"/>
  <c r="E1968" i="22"/>
  <c r="E1974" i="22" s="1"/>
  <c r="G1956" i="22"/>
  <c r="G1962" i="22" s="1"/>
  <c r="I1956" i="22"/>
  <c r="I1962" i="22" s="1"/>
  <c r="D1968" i="22"/>
  <c r="D1974" i="22" s="1"/>
  <c r="E3436" i="22"/>
  <c r="E3437" i="22" s="1"/>
  <c r="E3438" i="22" s="1"/>
  <c r="E3439" i="22" s="1"/>
  <c r="F3498" i="22"/>
  <c r="F3499" i="22" s="1"/>
  <c r="F3500" i="22" s="1"/>
  <c r="F3501" i="22" s="1"/>
  <c r="F2391" i="22"/>
  <c r="I2391" i="22" s="1"/>
  <c r="I2392" i="22" s="1"/>
  <c r="I2393" i="22" s="1"/>
  <c r="J2404" i="22"/>
  <c r="J2405" i="22" s="1"/>
  <c r="J2406" i="22" s="1"/>
  <c r="I3194" i="22"/>
  <c r="I3195" i="22" s="1"/>
  <c r="I3196" i="22" s="1"/>
  <c r="I3197" i="22" s="1"/>
  <c r="D2493" i="22"/>
  <c r="D2494" i="22" s="1"/>
  <c r="D2495" i="22" s="1"/>
  <c r="D2496" i="22" s="1"/>
  <c r="I2493" i="22"/>
  <c r="I2494" i="22" s="1"/>
  <c r="I2495" i="22" s="1"/>
  <c r="I2496" i="22" s="1"/>
  <c r="F2636" i="22"/>
  <c r="D1754" i="22"/>
  <c r="D1755" i="22" s="1"/>
  <c r="D1756" i="22" s="1"/>
  <c r="L3677" i="22"/>
  <c r="L3678" i="22" s="1"/>
  <c r="L3679" i="22" s="1"/>
  <c r="L3680" i="22" s="1"/>
  <c r="G3220" i="22"/>
  <c r="G3221" i="22" s="1"/>
  <c r="G3222" i="22" s="1"/>
  <c r="G3223" i="22" s="1"/>
  <c r="D2808" i="22"/>
  <c r="D2809" i="22" s="1"/>
  <c r="D2810" i="22" s="1"/>
  <c r="D2811" i="22" s="1"/>
  <c r="D2199" i="22"/>
  <c r="D2205" i="22" s="1"/>
  <c r="I2199" i="22"/>
  <c r="I2205" i="22" s="1"/>
  <c r="H2199" i="22"/>
  <c r="H2205" i="22" s="1"/>
  <c r="G2199" i="22"/>
  <c r="G2205" i="22" s="1"/>
  <c r="F2199" i="22"/>
  <c r="F2205" i="22" s="1"/>
  <c r="E2199" i="22"/>
  <c r="E2205" i="22" s="1"/>
  <c r="L2610" i="22"/>
  <c r="L2611" i="22" s="1"/>
  <c r="L2612" i="22" s="1"/>
  <c r="L2613" i="22" s="1"/>
  <c r="J2754" i="22"/>
  <c r="J2755" i="22" s="1"/>
  <c r="J2756" i="22" s="1"/>
  <c r="J2757" i="22" s="1"/>
  <c r="K3757" i="22"/>
  <c r="K3758" i="22" s="1"/>
  <c r="K3759" i="22" s="1"/>
  <c r="E3769" i="22"/>
  <c r="E3770" i="22" s="1"/>
  <c r="E3771" i="22" s="1"/>
  <c r="G1754" i="22"/>
  <c r="G1755" i="22" s="1"/>
  <c r="G1756" i="22" s="1"/>
  <c r="D2754" i="22"/>
  <c r="D2755" i="22" s="1"/>
  <c r="D2756" i="22" s="1"/>
  <c r="D2757" i="22" s="1"/>
  <c r="F2346" i="22"/>
  <c r="I2346" i="22" s="1"/>
  <c r="I2347" i="22" s="1"/>
  <c r="I2348" i="22" s="1"/>
  <c r="E3462" i="22"/>
  <c r="E3463" i="22" s="1"/>
  <c r="E3464" i="22" s="1"/>
  <c r="E3465" i="22" s="1"/>
  <c r="F1080" i="22"/>
  <c r="F1087" i="22" s="1"/>
  <c r="D1067" i="22"/>
  <c r="D1073" i="22" s="1"/>
  <c r="G1052" i="22"/>
  <c r="G1059" i="22" s="1"/>
  <c r="E1039" i="22"/>
  <c r="E1045" i="22" s="1"/>
  <c r="E1080" i="22"/>
  <c r="E1087" i="22" s="1"/>
  <c r="F1052" i="22"/>
  <c r="F1059" i="22" s="1"/>
  <c r="D1039" i="22"/>
  <c r="D1045" i="22" s="1"/>
  <c r="E1108" i="22"/>
  <c r="E1115" i="22" s="1"/>
  <c r="D1080" i="22"/>
  <c r="D1087" i="22" s="1"/>
  <c r="E1052" i="22"/>
  <c r="E1059" i="22" s="1"/>
  <c r="F1266" i="22"/>
  <c r="I1266" i="22" s="1"/>
  <c r="D1108" i="22"/>
  <c r="D1115" i="22" s="1"/>
  <c r="I1067" i="22"/>
  <c r="I1073" i="22" s="1"/>
  <c r="D1052" i="22"/>
  <c r="D1059" i="22" s="1"/>
  <c r="D1123" i="22"/>
  <c r="D1130" i="22" s="1"/>
  <c r="H1067" i="22"/>
  <c r="H1073" i="22" s="1"/>
  <c r="I1039" i="22"/>
  <c r="I1045" i="22" s="1"/>
  <c r="F1093" i="22"/>
  <c r="F1100" i="22" s="1"/>
  <c r="I1080" i="22"/>
  <c r="I1087" i="22" s="1"/>
  <c r="G1067" i="22"/>
  <c r="G1073" i="22" s="1"/>
  <c r="H1039" i="22"/>
  <c r="H1045" i="22" s="1"/>
  <c r="F1137" i="22"/>
  <c r="I1137" i="22" s="1"/>
  <c r="E1093" i="22"/>
  <c r="E1100" i="22" s="1"/>
  <c r="H1080" i="22"/>
  <c r="H1087" i="22" s="1"/>
  <c r="F1067" i="22"/>
  <c r="F1073" i="22" s="1"/>
  <c r="I1052" i="22"/>
  <c r="I1059" i="22" s="1"/>
  <c r="G1039" i="22"/>
  <c r="G1045" i="22" s="1"/>
  <c r="F1193" i="22"/>
  <c r="I1193" i="22" s="1"/>
  <c r="G1080" i="22"/>
  <c r="G1087" i="22" s="1"/>
  <c r="E1067" i="22"/>
  <c r="E1073" i="22" s="1"/>
  <c r="F1039" i="22"/>
  <c r="F1045" i="22" s="1"/>
  <c r="D1093" i="22"/>
  <c r="D1100" i="22" s="1"/>
  <c r="H1052" i="22"/>
  <c r="H1059" i="22" s="1"/>
  <c r="H2610" i="22"/>
  <c r="H2611" i="22" s="1"/>
  <c r="H2612" i="22" s="1"/>
  <c r="H2613" i="22" s="1"/>
  <c r="M3109" i="22"/>
  <c r="F3110" i="22"/>
  <c r="I3110" i="22" s="1"/>
  <c r="M3110" i="22" s="1"/>
  <c r="H3462" i="22"/>
  <c r="H3463" i="22" s="1"/>
  <c r="H3464" i="22" s="1"/>
  <c r="H3465" i="22" s="1"/>
  <c r="L3462" i="22"/>
  <c r="L3463" i="22" s="1"/>
  <c r="L3464" i="22" s="1"/>
  <c r="L3465" i="22" s="1"/>
  <c r="F3270" i="22"/>
  <c r="I3270" i="22" s="1"/>
  <c r="I3271" i="22" s="1"/>
  <c r="D3715" i="22"/>
  <c r="D3716" i="22" s="1"/>
  <c r="D3717" i="22" s="1"/>
  <c r="I3562" i="22"/>
  <c r="I3565" i="22" s="1"/>
  <c r="E3572" i="22"/>
  <c r="E3575" i="22" s="1"/>
  <c r="F3562" i="22"/>
  <c r="F3565" i="22" s="1"/>
  <c r="K3562" i="22"/>
  <c r="K3565" i="22" s="1"/>
  <c r="J3562" i="22"/>
  <c r="J3565" i="22" s="1"/>
  <c r="L3562" i="22"/>
  <c r="L3565" i="22" s="1"/>
  <c r="H3562" i="22"/>
  <c r="H3565" i="22" s="1"/>
  <c r="G3562" i="22"/>
  <c r="G3565" i="22" s="1"/>
  <c r="F3572" i="22"/>
  <c r="F3575" i="22" s="1"/>
  <c r="D3572" i="22"/>
  <c r="D3575" i="22" s="1"/>
  <c r="E3562" i="22"/>
  <c r="E3565" i="22" s="1"/>
  <c r="D3562" i="22"/>
  <c r="D3565" i="22" s="1"/>
  <c r="F4917" i="22"/>
  <c r="I4917" i="22" s="1"/>
  <c r="I4918" i="22" s="1"/>
  <c r="I4919" i="22" s="1"/>
  <c r="I4920" i="22" s="1"/>
  <c r="D2275" i="22"/>
  <c r="D2276" i="22" s="1"/>
  <c r="D2277" i="22" s="1"/>
  <c r="F2284" i="22"/>
  <c r="F2285" i="22" s="1"/>
  <c r="F2286" i="22" s="1"/>
  <c r="E2062" i="22"/>
  <c r="E2068" i="22" s="1"/>
  <c r="F2075" i="22"/>
  <c r="F2081" i="22" s="1"/>
  <c r="E2075" i="22"/>
  <c r="E2081" i="22" s="1"/>
  <c r="D2075" i="22"/>
  <c r="D2081" i="22" s="1"/>
  <c r="I2062" i="22"/>
  <c r="I2068" i="22" s="1"/>
  <c r="H2062" i="22"/>
  <c r="H2068" i="22" s="1"/>
  <c r="G2062" i="22"/>
  <c r="G2068" i="22" s="1"/>
  <c r="F2062" i="22"/>
  <c r="F2068" i="22" s="1"/>
  <c r="D2062" i="22"/>
  <c r="D2068" i="22" s="1"/>
  <c r="K3384" i="22"/>
  <c r="K3385" i="22" s="1"/>
  <c r="K3386" i="22" s="1"/>
  <c r="K3387" i="22" s="1"/>
  <c r="F2253" i="22"/>
  <c r="F2254" i="22" s="1"/>
  <c r="F2255" i="22" s="1"/>
  <c r="F3048" i="22"/>
  <c r="I3048" i="22" s="1"/>
  <c r="I3049" i="22" s="1"/>
  <c r="I667" i="22"/>
  <c r="F2878" i="22"/>
  <c r="I2878" i="22" s="1"/>
  <c r="I2879" i="22" s="1"/>
  <c r="F2881" i="22" s="1"/>
  <c r="I2881" i="22" s="1"/>
  <c r="I2889" i="22" s="1"/>
  <c r="F3518" i="22"/>
  <c r="I3518" i="22" s="1"/>
  <c r="I3519" i="22" s="1"/>
  <c r="I3436" i="22"/>
  <c r="I3437" i="22" s="1"/>
  <c r="I3438" i="22" s="1"/>
  <c r="I3439" i="22" s="1"/>
  <c r="J3488" i="22"/>
  <c r="J3489" i="22" s="1"/>
  <c r="J3490" i="22" s="1"/>
  <c r="J3491" i="22" s="1"/>
  <c r="F3488" i="22"/>
  <c r="F3489" i="22" s="1"/>
  <c r="F3490" i="22" s="1"/>
  <c r="F3491" i="22" s="1"/>
  <c r="A4588" i="22"/>
  <c r="A4276" i="22"/>
  <c r="A4311" i="22" s="1"/>
  <c r="E2404" i="22"/>
  <c r="E2405" i="22" s="1"/>
  <c r="E2406" i="22" s="1"/>
  <c r="K2404" i="22"/>
  <c r="K2405" i="22" s="1"/>
  <c r="K2406" i="22" s="1"/>
  <c r="J3194" i="22"/>
  <c r="J3195" i="22" s="1"/>
  <c r="J3196" i="22" s="1"/>
  <c r="J3197" i="22" s="1"/>
  <c r="D3603" i="22"/>
  <c r="D3604" i="22" s="1"/>
  <c r="D3605" i="22" s="1"/>
  <c r="D3606" i="22" s="1"/>
  <c r="E2493" i="22"/>
  <c r="E2494" i="22" s="1"/>
  <c r="E2495" i="22" s="1"/>
  <c r="E2496" i="22" s="1"/>
  <c r="J3410" i="22"/>
  <c r="J3411" i="22" s="1"/>
  <c r="J3412" i="22" s="1"/>
  <c r="J3413" i="22" s="1"/>
  <c r="G2636" i="22"/>
  <c r="F3895" i="22"/>
  <c r="I3895" i="22" s="1"/>
  <c r="I3896" i="22" s="1"/>
  <c r="I3897" i="22" s="1"/>
  <c r="I3898" i="22" s="1"/>
  <c r="L1754" i="22"/>
  <c r="L1755" i="22" s="1"/>
  <c r="L1756" i="22" s="1"/>
  <c r="E3677" i="22"/>
  <c r="E3678" i="22" s="1"/>
  <c r="E3679" i="22" s="1"/>
  <c r="E3680" i="22" s="1"/>
  <c r="J3220" i="22"/>
  <c r="J3221" i="22" s="1"/>
  <c r="J3222" i="22" s="1"/>
  <c r="J3223" i="22" s="1"/>
  <c r="E2808" i="22"/>
  <c r="E2809" i="22" s="1"/>
  <c r="E2810" i="22" s="1"/>
  <c r="E2811" i="22" s="1"/>
  <c r="I2212" i="22"/>
  <c r="I2215" i="22"/>
  <c r="I2221" i="22" s="1"/>
  <c r="H2215" i="22"/>
  <c r="H2221" i="22" s="1"/>
  <c r="G2215" i="22"/>
  <c r="G2221" i="22" s="1"/>
  <c r="F2215" i="22"/>
  <c r="F2221" i="22" s="1"/>
  <c r="E2215" i="22"/>
  <c r="E2221" i="22" s="1"/>
  <c r="D2215" i="22"/>
  <c r="D2221" i="22" s="1"/>
  <c r="F2610" i="22"/>
  <c r="F2611" i="22" s="1"/>
  <c r="F2612" i="22" s="1"/>
  <c r="F2613" i="22" s="1"/>
  <c r="E2610" i="22"/>
  <c r="E2611" i="22" s="1"/>
  <c r="E2612" i="22" s="1"/>
  <c r="E2613" i="22" s="1"/>
  <c r="K2754" i="22"/>
  <c r="K2755" i="22" s="1"/>
  <c r="K2756" i="22" s="1"/>
  <c r="K2757" i="22" s="1"/>
  <c r="D3757" i="22"/>
  <c r="D3758" i="22" s="1"/>
  <c r="D3759" i="22" s="1"/>
  <c r="I3757" i="22"/>
  <c r="I3758" i="22" s="1"/>
  <c r="I3759" i="22" s="1"/>
  <c r="D3151" i="22" l="1"/>
  <c r="D3154" i="22" s="1"/>
  <c r="D3155" i="22" s="1"/>
  <c r="D3156" i="22" s="1"/>
  <c r="D3157" i="22" s="1"/>
  <c r="D3158" i="22" s="1"/>
  <c r="H3151" i="22"/>
  <c r="H3154" i="22" s="1"/>
  <c r="H3155" i="22" s="1"/>
  <c r="H3156" i="22" s="1"/>
  <c r="H3157" i="22" s="1"/>
  <c r="H3158" i="22" s="1"/>
  <c r="L3602" i="22"/>
  <c r="L3603" i="22" s="1"/>
  <c r="L3604" i="22" s="1"/>
  <c r="L3605" i="22" s="1"/>
  <c r="L3606" i="22" s="1"/>
  <c r="I3602" i="22"/>
  <c r="I3603" i="22" s="1"/>
  <c r="I3604" i="22" s="1"/>
  <c r="I3605" i="22" s="1"/>
  <c r="I3606" i="22" s="1"/>
  <c r="F3612" i="22"/>
  <c r="F3613" i="22" s="1"/>
  <c r="F3614" i="22" s="1"/>
  <c r="F3615" i="22" s="1"/>
  <c r="F3616" i="22" s="1"/>
  <c r="F3602" i="22"/>
  <c r="F3603" i="22" s="1"/>
  <c r="F3604" i="22" s="1"/>
  <c r="F3605" i="22" s="1"/>
  <c r="F3606" i="22" s="1"/>
  <c r="H3602" i="22"/>
  <c r="H3603" i="22" s="1"/>
  <c r="H3604" i="22" s="1"/>
  <c r="H3605" i="22" s="1"/>
  <c r="H3606" i="22" s="1"/>
  <c r="F3151" i="22"/>
  <c r="F3154" i="22" s="1"/>
  <c r="F3155" i="22" s="1"/>
  <c r="F3156" i="22" s="1"/>
  <c r="F3157" i="22" s="1"/>
  <c r="F3158" i="22" s="1"/>
  <c r="E3151" i="22"/>
  <c r="E3154" i="22" s="1"/>
  <c r="E3155" i="22" s="1"/>
  <c r="E3156" i="22" s="1"/>
  <c r="E3157" i="22" s="1"/>
  <c r="E3158" i="22" s="1"/>
  <c r="I3151" i="22"/>
  <c r="I3154" i="22" s="1"/>
  <c r="I3155" i="22" s="1"/>
  <c r="I3156" i="22" s="1"/>
  <c r="I3157" i="22" s="1"/>
  <c r="I3158" i="22" s="1"/>
  <c r="G3151" i="22"/>
  <c r="G3154" i="22" s="1"/>
  <c r="G3155" i="22" s="1"/>
  <c r="G3156" i="22" s="1"/>
  <c r="G3157" i="22" s="1"/>
  <c r="G3158" i="22" s="1"/>
  <c r="F3161" i="22"/>
  <c r="F3164" i="22" s="1"/>
  <c r="F3165" i="22" s="1"/>
  <c r="F3166" i="22" s="1"/>
  <c r="F3167" i="22" s="1"/>
  <c r="F3168" i="22" s="1"/>
  <c r="I411" i="23"/>
  <c r="I412" i="23" s="1"/>
  <c r="I413" i="23" s="1"/>
  <c r="I3111" i="22"/>
  <c r="G3114" i="22" s="1"/>
  <c r="G3117" i="22" s="1"/>
  <c r="I329" i="23"/>
  <c r="I330" i="23" s="1"/>
  <c r="I331" i="23" s="1"/>
  <c r="F617" i="23"/>
  <c r="I617" i="23" s="1"/>
  <c r="I618" i="23" s="1"/>
  <c r="I619" i="23" s="1"/>
  <c r="I620" i="23" s="1"/>
  <c r="F1198" i="23"/>
  <c r="I1198" i="23" s="1"/>
  <c r="I1199" i="23" s="1"/>
  <c r="I1200" i="23" s="1"/>
  <c r="I1201" i="23" s="1"/>
  <c r="F1230" i="23"/>
  <c r="I1230" i="23" s="1"/>
  <c r="I1231" i="23" s="1"/>
  <c r="I1232" i="23" s="1"/>
  <c r="I1233" i="23" s="1"/>
  <c r="F759" i="23"/>
  <c r="I759" i="23" s="1"/>
  <c r="I760" i="23" s="1"/>
  <c r="I761" i="23" s="1"/>
  <c r="I762" i="23" s="1"/>
  <c r="F798" i="23"/>
  <c r="I798" i="23" s="1"/>
  <c r="I799" i="23" s="1"/>
  <c r="I800" i="23" s="1"/>
  <c r="I801" i="23" s="1"/>
  <c r="F123" i="23"/>
  <c r="I123" i="23" s="1"/>
  <c r="I124" i="23" s="1"/>
  <c r="I125" i="23" s="1"/>
  <c r="F836" i="23"/>
  <c r="I836" i="23" s="1"/>
  <c r="I837" i="23" s="1"/>
  <c r="I838" i="23" s="1"/>
  <c r="I839" i="23" s="1"/>
  <c r="F1166" i="23"/>
  <c r="I1166" i="23" s="1"/>
  <c r="I1167" i="23" s="1"/>
  <c r="I1168" i="23" s="1"/>
  <c r="I1169" i="23" s="1"/>
  <c r="F1145" i="23"/>
  <c r="I1145" i="23" s="1"/>
  <c r="I1146" i="23" s="1"/>
  <c r="I1147" i="23" s="1"/>
  <c r="I1148" i="23" s="1"/>
  <c r="F2890" i="22"/>
  <c r="I2890" i="22" s="1"/>
  <c r="I2891" i="22" s="1"/>
  <c r="I2892" i="22" s="1"/>
  <c r="I2893" i="22" s="1"/>
  <c r="E1863" i="22"/>
  <c r="E1869" i="22" s="1"/>
  <c r="D1863" i="22"/>
  <c r="D1869" i="22" s="1"/>
  <c r="I1851" i="22"/>
  <c r="I1857" i="22" s="1"/>
  <c r="H1851" i="22"/>
  <c r="H1857" i="22" s="1"/>
  <c r="G1851" i="22"/>
  <c r="G1857" i="22" s="1"/>
  <c r="F1851" i="22"/>
  <c r="F1857" i="22" s="1"/>
  <c r="E1851" i="22"/>
  <c r="E1857" i="22" s="1"/>
  <c r="D1851" i="22"/>
  <c r="D1857" i="22" s="1"/>
  <c r="F1863" i="22"/>
  <c r="F1869" i="22" s="1"/>
  <c r="F4569" i="22"/>
  <c r="I4569" i="22" s="1"/>
  <c r="I4570" i="22" s="1"/>
  <c r="I4571" i="22" s="1"/>
  <c r="K4571" i="22" s="1"/>
  <c r="F3315" i="22"/>
  <c r="F3318" i="22" s="1"/>
  <c r="G3305" i="22"/>
  <c r="G3308" i="22" s="1"/>
  <c r="E3315" i="22"/>
  <c r="E3318" i="22" s="1"/>
  <c r="F3305" i="22"/>
  <c r="F3308" i="22" s="1"/>
  <c r="D3315" i="22"/>
  <c r="D3318" i="22" s="1"/>
  <c r="E3305" i="22"/>
  <c r="E3308" i="22" s="1"/>
  <c r="L3305" i="22"/>
  <c r="L3308" i="22" s="1"/>
  <c r="D3305" i="22"/>
  <c r="D3308" i="22" s="1"/>
  <c r="I3305" i="22"/>
  <c r="I3308" i="22" s="1"/>
  <c r="H3305" i="22"/>
  <c r="H3308" i="22" s="1"/>
  <c r="K3305" i="22"/>
  <c r="K3308" i="22" s="1"/>
  <c r="J3305" i="22"/>
  <c r="J3308" i="22" s="1"/>
  <c r="G3052" i="22"/>
  <c r="G3055" i="22" s="1"/>
  <c r="F3052" i="22"/>
  <c r="F3055" i="22" s="1"/>
  <c r="E3052" i="22"/>
  <c r="E3055" i="22" s="1"/>
  <c r="D3052" i="22"/>
  <c r="D3055" i="22" s="1"/>
  <c r="I3052" i="22"/>
  <c r="I3055" i="22" s="1"/>
  <c r="H3052" i="22"/>
  <c r="H3055" i="22" s="1"/>
  <c r="D3354" i="22"/>
  <c r="D3357" i="22" s="1"/>
  <c r="G3344" i="22"/>
  <c r="G3347" i="22" s="1"/>
  <c r="F3344" i="22"/>
  <c r="F3347" i="22" s="1"/>
  <c r="E3344" i="22"/>
  <c r="E3347" i="22" s="1"/>
  <c r="F3354" i="22"/>
  <c r="F3357" i="22" s="1"/>
  <c r="L3344" i="22"/>
  <c r="L3347" i="22" s="1"/>
  <c r="D3344" i="22"/>
  <c r="D3347" i="22" s="1"/>
  <c r="I3344" i="22"/>
  <c r="I3347" i="22" s="1"/>
  <c r="H3344" i="22"/>
  <c r="H3347" i="22" s="1"/>
  <c r="J3344" i="22"/>
  <c r="J3347" i="22" s="1"/>
  <c r="E3354" i="22"/>
  <c r="E3357" i="22" s="1"/>
  <c r="K3344" i="22"/>
  <c r="K3347" i="22" s="1"/>
  <c r="F2925" i="22"/>
  <c r="I2925" i="22" s="1"/>
  <c r="I2926" i="22" s="1"/>
  <c r="I2927" i="22" s="1"/>
  <c r="I2928" i="22" s="1"/>
  <c r="F2549" i="22"/>
  <c r="I2549" i="22" s="1"/>
  <c r="G2352" i="22"/>
  <c r="G2358" i="22" s="1"/>
  <c r="F2352" i="22"/>
  <c r="F2358" i="22" s="1"/>
  <c r="E2352" i="22"/>
  <c r="E2358" i="22" s="1"/>
  <c r="F2364" i="22"/>
  <c r="F2370" i="22" s="1"/>
  <c r="D2352" i="22"/>
  <c r="D2358" i="22" s="1"/>
  <c r="E2364" i="22"/>
  <c r="E2370" i="22" s="1"/>
  <c r="D2364" i="22"/>
  <c r="D2370" i="22" s="1"/>
  <c r="I2352" i="22"/>
  <c r="I2358" i="22" s="1"/>
  <c r="H2352" i="22"/>
  <c r="H2358" i="22" s="1"/>
  <c r="G2637" i="22"/>
  <c r="G2638" i="22" s="1"/>
  <c r="G2639" i="22" s="1"/>
  <c r="G2640" i="22" s="1"/>
  <c r="D2028" i="22"/>
  <c r="D2029" i="22" s="1"/>
  <c r="D2030" i="22" s="1"/>
  <c r="F2144" i="22"/>
  <c r="F2145" i="22" s="1"/>
  <c r="F2146" i="22" s="1"/>
  <c r="A453" i="22"/>
  <c r="A494" i="22" s="1"/>
  <c r="A648" i="22" s="1"/>
  <c r="A737" i="22" s="1"/>
  <c r="A1014" i="22" s="1"/>
  <c r="A1400" i="22" s="1"/>
  <c r="A1611" i="22" s="1"/>
  <c r="A1643" i="22" s="1"/>
  <c r="A1678" i="22" s="1"/>
  <c r="A1693" i="22" s="1"/>
  <c r="A1697" i="22" s="1"/>
  <c r="A1702" i="22" s="1"/>
  <c r="A1724" i="22" s="1"/>
  <c r="A1758" i="22" s="1"/>
  <c r="A473" i="22"/>
  <c r="G1817" i="22"/>
  <c r="G1818" i="22" s="1"/>
  <c r="G1819" i="22" s="1"/>
  <c r="D1131" i="22"/>
  <c r="D1132" i="22" s="1"/>
  <c r="D1133" i="22" s="1"/>
  <c r="E1963" i="22"/>
  <c r="E1964" i="22" s="1"/>
  <c r="E1965" i="22" s="1"/>
  <c r="F541" i="22"/>
  <c r="I541" i="22" s="1"/>
  <c r="I542" i="22" s="1"/>
  <c r="I543" i="22" s="1"/>
  <c r="F639" i="22"/>
  <c r="I639" i="22" s="1"/>
  <c r="I640" i="22" s="1"/>
  <c r="I641" i="22" s="1"/>
  <c r="D3651" i="22"/>
  <c r="D3652" i="22" s="1"/>
  <c r="D3653" i="22" s="1"/>
  <c r="D3654" i="22" s="1"/>
  <c r="E2436" i="22"/>
  <c r="E2437" i="22" s="1"/>
  <c r="E2438" i="22" s="1"/>
  <c r="G2190" i="22"/>
  <c r="G2191" i="22" s="1"/>
  <c r="G2192" i="22" s="1"/>
  <c r="L2637" i="22"/>
  <c r="L2638" i="22" s="1"/>
  <c r="L2639" i="22" s="1"/>
  <c r="L2640" i="22" s="1"/>
  <c r="K2028" i="22"/>
  <c r="K2029" i="22" s="1"/>
  <c r="K2030" i="22" s="1"/>
  <c r="H2028" i="22"/>
  <c r="H2029" i="22" s="1"/>
  <c r="H2030" i="22" s="1"/>
  <c r="D2780" i="22"/>
  <c r="E2777" i="22"/>
  <c r="D1674" i="22"/>
  <c r="D1675" i="22" s="1"/>
  <c r="D1676" i="22" s="1"/>
  <c r="L2144" i="22"/>
  <c r="L2145" i="22" s="1"/>
  <c r="L2146" i="22" s="1"/>
  <c r="J2144" i="22"/>
  <c r="J2145" i="22" s="1"/>
  <c r="J2146" i="22" s="1"/>
  <c r="K1639" i="22"/>
  <c r="K1640" i="22" s="1"/>
  <c r="K1641" i="22" s="1"/>
  <c r="F2116" i="22"/>
  <c r="F2117" i="22" s="1"/>
  <c r="F2118" i="22" s="1"/>
  <c r="E2116" i="22"/>
  <c r="E2117" i="22" s="1"/>
  <c r="E2118" i="22" s="1"/>
  <c r="F3081" i="22"/>
  <c r="F3082" i="22" s="1"/>
  <c r="F3083" i="22" s="1"/>
  <c r="F3084" i="22" s="1"/>
  <c r="I3081" i="22"/>
  <c r="I3082" i="22" s="1"/>
  <c r="I3083" i="22" s="1"/>
  <c r="I3084" i="22" s="1"/>
  <c r="E1817" i="22"/>
  <c r="E1818" i="22" s="1"/>
  <c r="E1819" i="22" s="1"/>
  <c r="D1817" i="22"/>
  <c r="D1818" i="22" s="1"/>
  <c r="D1819" i="22" s="1"/>
  <c r="E2856" i="22"/>
  <c r="E2857" i="22" s="1"/>
  <c r="E2858" i="22" s="1"/>
  <c r="E2859" i="22" s="1"/>
  <c r="D967" i="22"/>
  <c r="D968" i="22" s="1"/>
  <c r="D969" i="22" s="1"/>
  <c r="E797" i="22"/>
  <c r="E798" i="22" s="1"/>
  <c r="E799" i="22" s="1"/>
  <c r="K1432" i="22"/>
  <c r="K1433" i="22" s="1"/>
  <c r="K1434" i="22" s="1"/>
  <c r="I1446" i="22"/>
  <c r="I1447" i="22" s="1"/>
  <c r="I1448" i="22" s="1"/>
  <c r="H1388" i="22"/>
  <c r="H1395" i="22" s="1"/>
  <c r="G1388" i="22"/>
  <c r="G1395" i="22" s="1"/>
  <c r="F1388" i="22"/>
  <c r="F1395" i="22" s="1"/>
  <c r="I1373" i="22"/>
  <c r="I1380" i="22" s="1"/>
  <c r="E1388" i="22"/>
  <c r="E1395" i="22" s="1"/>
  <c r="H1373" i="22"/>
  <c r="H1380" i="22" s="1"/>
  <c r="L1388" i="22"/>
  <c r="L1395" i="22" s="1"/>
  <c r="D1388" i="22"/>
  <c r="D1395" i="22" s="1"/>
  <c r="G1373" i="22"/>
  <c r="G1380" i="22" s="1"/>
  <c r="K1388" i="22"/>
  <c r="K1395" i="22" s="1"/>
  <c r="F1373" i="22"/>
  <c r="F1380" i="22" s="1"/>
  <c r="J1388" i="22"/>
  <c r="J1395" i="22" s="1"/>
  <c r="E1373" i="22"/>
  <c r="E1380" i="22" s="1"/>
  <c r="I1388" i="22"/>
  <c r="I1395" i="22" s="1"/>
  <c r="D1373" i="22"/>
  <c r="D1380" i="22" s="1"/>
  <c r="F188" i="22"/>
  <c r="I188" i="22" s="1"/>
  <c r="I192" i="22" s="1"/>
  <c r="I193" i="22" s="1"/>
  <c r="I184" i="22"/>
  <c r="D3019" i="22"/>
  <c r="D3020" i="22" s="1"/>
  <c r="D3021" i="22" s="1"/>
  <c r="D3022" i="22" s="1"/>
  <c r="G1933" i="22"/>
  <c r="G1934" i="22" s="1"/>
  <c r="G1935" i="22" s="1"/>
  <c r="J1905" i="22"/>
  <c r="J1906" i="22" s="1"/>
  <c r="J1907" i="22" s="1"/>
  <c r="L2469" i="22"/>
  <c r="L2470" i="22" s="1"/>
  <c r="L2471" i="22" s="1"/>
  <c r="H3251" i="22"/>
  <c r="H3252" i="22" s="1"/>
  <c r="H3253" i="22" s="1"/>
  <c r="H3254" i="22" s="1"/>
  <c r="F2727" i="22"/>
  <c r="F2728" i="22" s="1"/>
  <c r="F2729" i="22" s="1"/>
  <c r="F2730" i="22" s="1"/>
  <c r="J1782" i="22"/>
  <c r="J1783" i="22" s="1"/>
  <c r="J1784" i="22" s="1"/>
  <c r="G1088" i="22"/>
  <c r="G1089" i="22" s="1"/>
  <c r="G1090" i="22" s="1"/>
  <c r="D1975" i="22"/>
  <c r="D1976" i="22" s="1"/>
  <c r="D1977" i="22" s="1"/>
  <c r="E3651" i="22"/>
  <c r="E3652" i="22" s="1"/>
  <c r="E3653" i="22" s="1"/>
  <c r="E3654" i="22" s="1"/>
  <c r="J2028" i="22"/>
  <c r="J2029" i="22" s="1"/>
  <c r="J2030" i="22" s="1"/>
  <c r="K2144" i="22"/>
  <c r="K2145" i="22" s="1"/>
  <c r="K2146" i="22" s="1"/>
  <c r="H2116" i="22"/>
  <c r="H2117" i="22" s="1"/>
  <c r="H2118" i="22" s="1"/>
  <c r="E2222" i="22"/>
  <c r="E2223" i="22" s="1"/>
  <c r="E2224" i="22" s="1"/>
  <c r="G2069" i="22"/>
  <c r="G2070" i="22" s="1"/>
  <c r="G2071" i="22" s="1"/>
  <c r="F3576" i="22"/>
  <c r="F3577" i="22" s="1"/>
  <c r="F3578" i="22" s="1"/>
  <c r="F3579" i="22" s="1"/>
  <c r="I3566" i="22"/>
  <c r="I3567" i="22" s="1"/>
  <c r="I3568" i="22" s="1"/>
  <c r="I3569" i="22" s="1"/>
  <c r="F1046" i="22"/>
  <c r="F1047" i="22" s="1"/>
  <c r="F1048" i="22" s="1"/>
  <c r="E1101" i="22"/>
  <c r="E1102" i="22" s="1"/>
  <c r="E1103" i="22" s="1"/>
  <c r="D1046" i="22"/>
  <c r="D1047" i="22" s="1"/>
  <c r="D1048" i="22" s="1"/>
  <c r="F2206" i="22"/>
  <c r="F2207" i="22" s="1"/>
  <c r="F2208" i="22" s="1"/>
  <c r="F2222" i="22"/>
  <c r="F2223" i="22" s="1"/>
  <c r="F2224" i="22" s="1"/>
  <c r="H2069" i="22"/>
  <c r="H2070" i="22" s="1"/>
  <c r="H2071" i="22" s="1"/>
  <c r="G3566" i="22"/>
  <c r="G3567" i="22" s="1"/>
  <c r="G3568" i="22" s="1"/>
  <c r="G3569" i="22" s="1"/>
  <c r="E1074" i="22"/>
  <c r="E1075" i="22" s="1"/>
  <c r="E1076" i="22" s="1"/>
  <c r="D1060" i="22"/>
  <c r="D1061" i="22" s="1"/>
  <c r="D1062" i="22" s="1"/>
  <c r="F1060" i="22"/>
  <c r="F1061" i="22" s="1"/>
  <c r="F1062" i="22" s="1"/>
  <c r="G2206" i="22"/>
  <c r="G2207" i="22" s="1"/>
  <c r="G2208" i="22" s="1"/>
  <c r="F1963" i="22"/>
  <c r="F1964" i="22" s="1"/>
  <c r="F1965" i="22" s="1"/>
  <c r="F561" i="22"/>
  <c r="I561" i="22" s="1"/>
  <c r="I562" i="22" s="1"/>
  <c r="I563" i="22" s="1"/>
  <c r="F3641" i="22"/>
  <c r="F3642" i="22" s="1"/>
  <c r="F3643" i="22" s="1"/>
  <c r="F3644" i="22" s="1"/>
  <c r="L2436" i="22"/>
  <c r="L2437" i="22" s="1"/>
  <c r="L2438" i="22" s="1"/>
  <c r="H2190" i="22"/>
  <c r="H2191" i="22" s="1"/>
  <c r="H2192" i="22" s="1"/>
  <c r="E2637" i="22"/>
  <c r="E2638" i="22" s="1"/>
  <c r="E2639" i="22" s="1"/>
  <c r="E2640" i="22" s="1"/>
  <c r="L2028" i="22"/>
  <c r="L2029" i="22" s="1"/>
  <c r="L2030" i="22" s="1"/>
  <c r="D2040" i="22"/>
  <c r="D2041" i="22" s="1"/>
  <c r="D2042" i="22" s="1"/>
  <c r="E1674" i="22"/>
  <c r="E1675" i="22" s="1"/>
  <c r="E1676" i="22" s="1"/>
  <c r="E2144" i="22"/>
  <c r="E2145" i="22" s="1"/>
  <c r="E2146" i="22" s="1"/>
  <c r="F2156" i="22"/>
  <c r="F2157" i="22" s="1"/>
  <c r="F2158" i="22" s="1"/>
  <c r="D1639" i="22"/>
  <c r="D1640" i="22" s="1"/>
  <c r="D1641" i="22" s="1"/>
  <c r="K2637" i="22"/>
  <c r="K2638" i="22" s="1"/>
  <c r="K2639" i="22" s="1"/>
  <c r="K2640" i="22" s="1"/>
  <c r="G2116" i="22"/>
  <c r="G2117" i="22" s="1"/>
  <c r="G2118" i="22" s="1"/>
  <c r="G3081" i="22"/>
  <c r="G3082" i="22" s="1"/>
  <c r="G3083" i="22" s="1"/>
  <c r="G3084" i="22" s="1"/>
  <c r="F1817" i="22"/>
  <c r="F1818" i="22" s="1"/>
  <c r="F1819" i="22" s="1"/>
  <c r="F1829" i="22"/>
  <c r="F1830" i="22" s="1"/>
  <c r="F1831" i="22" s="1"/>
  <c r="E2846" i="22"/>
  <c r="E2847" i="22" s="1"/>
  <c r="E2848" i="22" s="1"/>
  <c r="E2849" i="22" s="1"/>
  <c r="I769" i="22"/>
  <c r="I770" i="22" s="1"/>
  <c r="I771" i="22" s="1"/>
  <c r="E769" i="22"/>
  <c r="E770" i="22" s="1"/>
  <c r="E771" i="22" s="1"/>
  <c r="J2637" i="22"/>
  <c r="J2638" i="22" s="1"/>
  <c r="J2639" i="22" s="1"/>
  <c r="J2640" i="22" s="1"/>
  <c r="G1446" i="22"/>
  <c r="G1447" i="22" s="1"/>
  <c r="G1448" i="22" s="1"/>
  <c r="F1459" i="22"/>
  <c r="F1460" i="22" s="1"/>
  <c r="F1461" i="22" s="1"/>
  <c r="I1432" i="22"/>
  <c r="I1433" i="22" s="1"/>
  <c r="I1434" i="22" s="1"/>
  <c r="I4537" i="22"/>
  <c r="I4538" i="22" s="1"/>
  <c r="I4539" i="22" s="1"/>
  <c r="E3019" i="22"/>
  <c r="E3020" i="22" s="1"/>
  <c r="E3021" i="22" s="1"/>
  <c r="E3022" i="22" s="1"/>
  <c r="I1933" i="22"/>
  <c r="I1934" i="22" s="1"/>
  <c r="I1935" i="22" s="1"/>
  <c r="H1933" i="22"/>
  <c r="H1934" i="22" s="1"/>
  <c r="H1935" i="22" s="1"/>
  <c r="K1905" i="22"/>
  <c r="K1906" i="22" s="1"/>
  <c r="K1907" i="22" s="1"/>
  <c r="F2456" i="22"/>
  <c r="I2456" i="22" s="1"/>
  <c r="I2457" i="22" s="1"/>
  <c r="I2458" i="22" s="1"/>
  <c r="K3251" i="22"/>
  <c r="K3252" i="22" s="1"/>
  <c r="K3253" i="22" s="1"/>
  <c r="K3254" i="22" s="1"/>
  <c r="G2727" i="22"/>
  <c r="G2728" i="22" s="1"/>
  <c r="G2729" i="22" s="1"/>
  <c r="G2730" i="22" s="1"/>
  <c r="K1782" i="22"/>
  <c r="K1783" i="22" s="1"/>
  <c r="K1784" i="22" s="1"/>
  <c r="G2222" i="22"/>
  <c r="G2223" i="22" s="1"/>
  <c r="G2224" i="22" s="1"/>
  <c r="I2069" i="22"/>
  <c r="I2070" i="22" s="1"/>
  <c r="I2071" i="22" s="1"/>
  <c r="H1046" i="22"/>
  <c r="H1047" i="22" s="1"/>
  <c r="H1048" i="22" s="1"/>
  <c r="I2190" i="22"/>
  <c r="I2191" i="22" s="1"/>
  <c r="I2192" i="22" s="1"/>
  <c r="L1639" i="22"/>
  <c r="L1640" i="22" s="1"/>
  <c r="L1641" i="22" s="1"/>
  <c r="F797" i="22"/>
  <c r="F798" i="22" s="1"/>
  <c r="F799" i="22" s="1"/>
  <c r="D1459" i="22"/>
  <c r="D1460" i="22" s="1"/>
  <c r="D1461" i="22" s="1"/>
  <c r="F3019" i="22"/>
  <c r="F3020" i="22" s="1"/>
  <c r="F3021" i="22" s="1"/>
  <c r="F3022" i="22" s="1"/>
  <c r="F1892" i="22"/>
  <c r="I1892" i="22" s="1"/>
  <c r="I1893" i="22" s="1"/>
  <c r="I1894" i="22" s="1"/>
  <c r="E2469" i="22"/>
  <c r="E2470" i="22" s="1"/>
  <c r="E2471" i="22" s="1"/>
  <c r="I1694" i="22"/>
  <c r="I1695" i="22" s="1"/>
  <c r="I1699" i="22"/>
  <c r="I1700" i="22" s="1"/>
  <c r="D3251" i="22"/>
  <c r="D3252" i="22" s="1"/>
  <c r="D3253" i="22" s="1"/>
  <c r="D3254" i="22" s="1"/>
  <c r="I2727" i="22"/>
  <c r="I2728" i="22" s="1"/>
  <c r="I2729" i="22" s="1"/>
  <c r="I2730" i="22" s="1"/>
  <c r="D1782" i="22"/>
  <c r="D1783" i="22" s="1"/>
  <c r="D1784" i="22" s="1"/>
  <c r="H2222" i="22"/>
  <c r="H2223" i="22" s="1"/>
  <c r="H2224" i="22" s="1"/>
  <c r="A4343" i="22"/>
  <c r="A4574" i="22" s="1"/>
  <c r="A4580" i="22" s="1"/>
  <c r="A4372" i="22"/>
  <c r="A4398" i="22" s="1"/>
  <c r="D2082" i="22"/>
  <c r="D2083" i="22" s="1"/>
  <c r="D2084" i="22" s="1"/>
  <c r="L3566" i="22"/>
  <c r="L3567" i="22" s="1"/>
  <c r="L3568" i="22" s="1"/>
  <c r="L3569" i="22" s="1"/>
  <c r="E1240" i="22"/>
  <c r="E1247" i="22" s="1"/>
  <c r="H1212" i="22"/>
  <c r="H1219" i="22" s="1"/>
  <c r="G1254" i="22"/>
  <c r="G1261" i="22" s="1"/>
  <c r="D1240" i="22"/>
  <c r="D1247" i="22" s="1"/>
  <c r="G1212" i="22"/>
  <c r="G1219" i="22" s="1"/>
  <c r="E1198" i="22"/>
  <c r="E1204" i="22" s="1"/>
  <c r="F1254" i="22"/>
  <c r="F1261" i="22" s="1"/>
  <c r="I1226" i="22"/>
  <c r="I1232" i="22" s="1"/>
  <c r="F1212" i="22"/>
  <c r="F1219" i="22" s="1"/>
  <c r="D1198" i="22"/>
  <c r="D1204" i="22" s="1"/>
  <c r="E1254" i="22"/>
  <c r="E1261" i="22" s="1"/>
  <c r="H1226" i="22"/>
  <c r="H1232" i="22" s="1"/>
  <c r="E1212" i="22"/>
  <c r="E1219" i="22" s="1"/>
  <c r="D1254" i="22"/>
  <c r="D1261" i="22" s="1"/>
  <c r="I1240" i="22"/>
  <c r="I1247" i="22" s="1"/>
  <c r="G1226" i="22"/>
  <c r="G1232" i="22" s="1"/>
  <c r="D1212" i="22"/>
  <c r="D1219" i="22" s="1"/>
  <c r="H1240" i="22"/>
  <c r="H1247" i="22" s="1"/>
  <c r="F1226" i="22"/>
  <c r="F1232" i="22" s="1"/>
  <c r="I1198" i="22"/>
  <c r="I1204" i="22" s="1"/>
  <c r="G1240" i="22"/>
  <c r="G1247" i="22" s="1"/>
  <c r="E1226" i="22"/>
  <c r="E1232" i="22" s="1"/>
  <c r="H1198" i="22"/>
  <c r="H1204" i="22" s="1"/>
  <c r="D1226" i="22"/>
  <c r="D1232" i="22" s="1"/>
  <c r="F1240" i="22"/>
  <c r="F1247" i="22" s="1"/>
  <c r="G1198" i="22"/>
  <c r="G1204" i="22" s="1"/>
  <c r="I1212" i="22"/>
  <c r="I1219" i="22" s="1"/>
  <c r="F1198" i="22"/>
  <c r="F1204" i="22" s="1"/>
  <c r="G1074" i="22"/>
  <c r="G1075" i="22" s="1"/>
  <c r="G1076" i="22" s="1"/>
  <c r="D1116" i="22"/>
  <c r="D1117" i="22" s="1"/>
  <c r="D1118" i="22" s="1"/>
  <c r="E1046" i="22"/>
  <c r="E1047" i="22" s="1"/>
  <c r="E1048" i="22" s="1"/>
  <c r="I2206" i="22"/>
  <c r="I2207" i="22" s="1"/>
  <c r="I2208" i="22" s="1"/>
  <c r="I1963" i="22"/>
  <c r="I1964" i="22" s="1"/>
  <c r="I1965" i="22" s="1"/>
  <c r="F521" i="22"/>
  <c r="I521" i="22" s="1"/>
  <c r="I522" i="22" s="1"/>
  <c r="I523" i="22" s="1"/>
  <c r="F644" i="22"/>
  <c r="I644" i="22" s="1"/>
  <c r="I645" i="22" s="1"/>
  <c r="I646" i="22" s="1"/>
  <c r="F4515" i="22"/>
  <c r="I4515" i="22" s="1"/>
  <c r="I4517" i="22" s="1"/>
  <c r="J3641" i="22"/>
  <c r="J3642" i="22" s="1"/>
  <c r="J3643" i="22" s="1"/>
  <c r="J3644" i="22" s="1"/>
  <c r="G3641" i="22"/>
  <c r="G3642" i="22" s="1"/>
  <c r="G3643" i="22" s="1"/>
  <c r="G3644" i="22" s="1"/>
  <c r="G2436" i="22"/>
  <c r="G2437" i="22" s="1"/>
  <c r="G2438" i="22" s="1"/>
  <c r="D2190" i="22"/>
  <c r="D2191" i="22" s="1"/>
  <c r="D2192" i="22" s="1"/>
  <c r="E2040" i="22"/>
  <c r="E2041" i="22" s="1"/>
  <c r="E2042" i="22" s="1"/>
  <c r="F2040" i="22"/>
  <c r="F2041" i="22" s="1"/>
  <c r="F2042" i="22" s="1"/>
  <c r="G1674" i="22"/>
  <c r="G1675" i="22" s="1"/>
  <c r="G1676" i="22" s="1"/>
  <c r="G2144" i="22"/>
  <c r="G2145" i="22" s="1"/>
  <c r="G2146" i="22" s="1"/>
  <c r="I2842" i="22"/>
  <c r="I2845" i="22" s="1"/>
  <c r="H2842" i="22"/>
  <c r="H2845" i="22" s="1"/>
  <c r="F2852" i="22"/>
  <c r="F2855" i="22" s="1"/>
  <c r="G2842" i="22"/>
  <c r="G2845" i="22" s="1"/>
  <c r="D2852" i="22"/>
  <c r="D2855" i="22" s="1"/>
  <c r="D2842" i="22"/>
  <c r="D2845" i="22" s="1"/>
  <c r="F2842" i="22"/>
  <c r="F2845" i="22" s="1"/>
  <c r="E1639" i="22"/>
  <c r="E1640" i="22" s="1"/>
  <c r="E1641" i="22" s="1"/>
  <c r="E2701" i="22"/>
  <c r="E2702" i="22" s="1"/>
  <c r="E2703" i="22" s="1"/>
  <c r="E2704" i="22" s="1"/>
  <c r="I2116" i="22"/>
  <c r="I2117" i="22" s="1"/>
  <c r="I2118" i="22" s="1"/>
  <c r="H3081" i="22"/>
  <c r="H3082" i="22" s="1"/>
  <c r="H3083" i="22" s="1"/>
  <c r="H3084" i="22" s="1"/>
  <c r="H1817" i="22"/>
  <c r="H1818" i="22" s="1"/>
  <c r="H1819" i="22" s="1"/>
  <c r="G797" i="22"/>
  <c r="G798" i="22" s="1"/>
  <c r="G799" i="22" s="1"/>
  <c r="E990" i="22"/>
  <c r="E996" i="22" s="1"/>
  <c r="D990" i="22"/>
  <c r="D996" i="22" s="1"/>
  <c r="F1002" i="22"/>
  <c r="F1008" i="22" s="1"/>
  <c r="E1002" i="22"/>
  <c r="E1008" i="22" s="1"/>
  <c r="D1002" i="22"/>
  <c r="D1008" i="22" s="1"/>
  <c r="I990" i="22"/>
  <c r="I996" i="22" s="1"/>
  <c r="H990" i="22"/>
  <c r="H996" i="22" s="1"/>
  <c r="G990" i="22"/>
  <c r="G996" i="22" s="1"/>
  <c r="F990" i="22"/>
  <c r="F996" i="22" s="1"/>
  <c r="E888" i="22"/>
  <c r="E893" i="22" s="1"/>
  <c r="D888" i="22"/>
  <c r="D893" i="22" s="1"/>
  <c r="I877" i="22"/>
  <c r="I882" i="22" s="1"/>
  <c r="I865" i="22"/>
  <c r="I869" i="22" s="1"/>
  <c r="H877" i="22"/>
  <c r="H882" i="22" s="1"/>
  <c r="H865" i="22"/>
  <c r="H869" i="22" s="1"/>
  <c r="G877" i="22"/>
  <c r="G882" i="22" s="1"/>
  <c r="G865" i="22"/>
  <c r="G869" i="22" s="1"/>
  <c r="F877" i="22"/>
  <c r="F882" i="22" s="1"/>
  <c r="F865" i="22"/>
  <c r="F869" i="22" s="1"/>
  <c r="E877" i="22"/>
  <c r="E882" i="22" s="1"/>
  <c r="E865" i="22"/>
  <c r="E869" i="22" s="1"/>
  <c r="D877" i="22"/>
  <c r="D882" i="22" s="1"/>
  <c r="D865" i="22"/>
  <c r="D869" i="22" s="1"/>
  <c r="F888" i="22"/>
  <c r="F893" i="22" s="1"/>
  <c r="D1432" i="22"/>
  <c r="D1433" i="22" s="1"/>
  <c r="D1434" i="22" s="1"/>
  <c r="I1342" i="22"/>
  <c r="I1349" i="22" s="1"/>
  <c r="E1329" i="22"/>
  <c r="E1335" i="22" s="1"/>
  <c r="J1356" i="22"/>
  <c r="J1363" i="22" s="1"/>
  <c r="H1342" i="22"/>
  <c r="H1349" i="22" s="1"/>
  <c r="L1329" i="22"/>
  <c r="L1335" i="22" s="1"/>
  <c r="D1329" i="22"/>
  <c r="D1335" i="22" s="1"/>
  <c r="I1356" i="22"/>
  <c r="I1363" i="22" s="1"/>
  <c r="G1342" i="22"/>
  <c r="G1349" i="22" s="1"/>
  <c r="K1329" i="22"/>
  <c r="K1335" i="22" s="1"/>
  <c r="H1356" i="22"/>
  <c r="H1363" i="22" s="1"/>
  <c r="F1342" i="22"/>
  <c r="F1349" i="22" s="1"/>
  <c r="J1329" i="22"/>
  <c r="J1335" i="22" s="1"/>
  <c r="G1356" i="22"/>
  <c r="G1363" i="22" s="1"/>
  <c r="E1342" i="22"/>
  <c r="E1349" i="22" s="1"/>
  <c r="I1329" i="22"/>
  <c r="I1335" i="22" s="1"/>
  <c r="F1356" i="22"/>
  <c r="F1363" i="22" s="1"/>
  <c r="D1342" i="22"/>
  <c r="D1349" i="22" s="1"/>
  <c r="H1329" i="22"/>
  <c r="H1335" i="22" s="1"/>
  <c r="E1356" i="22"/>
  <c r="E1363" i="22" s="1"/>
  <c r="G1329" i="22"/>
  <c r="G1335" i="22" s="1"/>
  <c r="D1356" i="22"/>
  <c r="D1363" i="22" s="1"/>
  <c r="J1342" i="22"/>
  <c r="J1349" i="22" s="1"/>
  <c r="F1329" i="22"/>
  <c r="F1335" i="22" s="1"/>
  <c r="J1432" i="22"/>
  <c r="J1433" i="22" s="1"/>
  <c r="J1434" i="22" s="1"/>
  <c r="D3029" i="22"/>
  <c r="D3030" i="22" s="1"/>
  <c r="D3031" i="22" s="1"/>
  <c r="D3032" i="22" s="1"/>
  <c r="K1933" i="22"/>
  <c r="K1934" i="22" s="1"/>
  <c r="K1935" i="22" s="1"/>
  <c r="D1905" i="22"/>
  <c r="D1906" i="22" s="1"/>
  <c r="D1907" i="22" s="1"/>
  <c r="F2469" i="22"/>
  <c r="F2470" i="22" s="1"/>
  <c r="F2471" i="22" s="1"/>
  <c r="L3251" i="22"/>
  <c r="L3252" i="22" s="1"/>
  <c r="L3253" i="22" s="1"/>
  <c r="L3254" i="22" s="1"/>
  <c r="J2727" i="22"/>
  <c r="J2728" i="22" s="1"/>
  <c r="J2729" i="22" s="1"/>
  <c r="J2730" i="22" s="1"/>
  <c r="L1782" i="22"/>
  <c r="L1783" i="22" s="1"/>
  <c r="L1784" i="22" s="1"/>
  <c r="F551" i="22"/>
  <c r="I551" i="22" s="1"/>
  <c r="I552" i="22" s="1"/>
  <c r="I553" i="22" s="1"/>
  <c r="F1674" i="22"/>
  <c r="F1675" i="22" s="1"/>
  <c r="F1676" i="22" s="1"/>
  <c r="I928" i="22"/>
  <c r="I935" i="22" s="1"/>
  <c r="F903" i="22"/>
  <c r="F909" i="22" s="1"/>
  <c r="H928" i="22"/>
  <c r="H935" i="22" s="1"/>
  <c r="E903" i="22"/>
  <c r="E909" i="22" s="1"/>
  <c r="G928" i="22"/>
  <c r="G935" i="22" s="1"/>
  <c r="D903" i="22"/>
  <c r="D909" i="22" s="1"/>
  <c r="F928" i="22"/>
  <c r="F935" i="22" s="1"/>
  <c r="E928" i="22"/>
  <c r="E935" i="22" s="1"/>
  <c r="F915" i="22"/>
  <c r="F921" i="22" s="1"/>
  <c r="L928" i="22"/>
  <c r="L935" i="22" s="1"/>
  <c r="D928" i="22"/>
  <c r="D935" i="22" s="1"/>
  <c r="E915" i="22"/>
  <c r="E921" i="22" s="1"/>
  <c r="I903" i="22"/>
  <c r="I909" i="22" s="1"/>
  <c r="K928" i="22"/>
  <c r="K935" i="22" s="1"/>
  <c r="D915" i="22"/>
  <c r="D921" i="22" s="1"/>
  <c r="H903" i="22"/>
  <c r="H909" i="22" s="1"/>
  <c r="J928" i="22"/>
  <c r="J935" i="22" s="1"/>
  <c r="G903" i="22"/>
  <c r="G909" i="22" s="1"/>
  <c r="E1446" i="22"/>
  <c r="E1447" i="22" s="1"/>
  <c r="E1448" i="22" s="1"/>
  <c r="J1933" i="22"/>
  <c r="J1934" i="22" s="1"/>
  <c r="J1935" i="22" s="1"/>
  <c r="H2727" i="22"/>
  <c r="H2728" i="22" s="1"/>
  <c r="H2729" i="22" s="1"/>
  <c r="H2730" i="22" s="1"/>
  <c r="I2222" i="22"/>
  <c r="I2223" i="22" s="1"/>
  <c r="I2224" i="22" s="1"/>
  <c r="A4600" i="22"/>
  <c r="A4609" i="22" s="1"/>
  <c r="A4618" i="22"/>
  <c r="A4630" i="22" s="1"/>
  <c r="H3533" i="22"/>
  <c r="H3536" i="22" s="1"/>
  <c r="I3522" i="22"/>
  <c r="I3525" i="22" s="1"/>
  <c r="E3533" i="22"/>
  <c r="E3536" i="22" s="1"/>
  <c r="F3522" i="22"/>
  <c r="F3525" i="22" s="1"/>
  <c r="J3533" i="22"/>
  <c r="J3536" i="22" s="1"/>
  <c r="K3522" i="22"/>
  <c r="K3525" i="22" s="1"/>
  <c r="I3533" i="22"/>
  <c r="I3536" i="22" s="1"/>
  <c r="D3533" i="22"/>
  <c r="D3536" i="22" s="1"/>
  <c r="L3522" i="22"/>
  <c r="L3525" i="22" s="1"/>
  <c r="J3522" i="22"/>
  <c r="J3525" i="22" s="1"/>
  <c r="H3522" i="22"/>
  <c r="H3525" i="22" s="1"/>
  <c r="G3522" i="22"/>
  <c r="G3525" i="22" s="1"/>
  <c r="G3533" i="22"/>
  <c r="G3536" i="22" s="1"/>
  <c r="F3533" i="22"/>
  <c r="F3536" i="22" s="1"/>
  <c r="L3533" i="22"/>
  <c r="L3536" i="22" s="1"/>
  <c r="K3533" i="22"/>
  <c r="K3536" i="22" s="1"/>
  <c r="E3522" i="22"/>
  <c r="E3525" i="22" s="1"/>
  <c r="D3522" i="22"/>
  <c r="D3525" i="22" s="1"/>
  <c r="E2082" i="22"/>
  <c r="E2083" i="22" s="1"/>
  <c r="E2084" i="22" s="1"/>
  <c r="J3566" i="22"/>
  <c r="J3567" i="22" s="1"/>
  <c r="J3568" i="22" s="1"/>
  <c r="J3569" i="22" s="1"/>
  <c r="H3274" i="22"/>
  <c r="H3277" i="22" s="1"/>
  <c r="G3274" i="22"/>
  <c r="G3277" i="22" s="1"/>
  <c r="F3274" i="22"/>
  <c r="F3277" i="22" s="1"/>
  <c r="E3274" i="22"/>
  <c r="E3277" i="22" s="1"/>
  <c r="J3274" i="22"/>
  <c r="J3277" i="22" s="1"/>
  <c r="I3274" i="22"/>
  <c r="I3277" i="22" s="1"/>
  <c r="L3274" i="22"/>
  <c r="L3277" i="22" s="1"/>
  <c r="K3274" i="22"/>
  <c r="K3277" i="22" s="1"/>
  <c r="D3274" i="22"/>
  <c r="D3277" i="22" s="1"/>
  <c r="G1046" i="22"/>
  <c r="G1047" i="22" s="1"/>
  <c r="G1048" i="22" s="1"/>
  <c r="I1088" i="22"/>
  <c r="I1089" i="22" s="1"/>
  <c r="I1090" i="22" s="1"/>
  <c r="H1298" i="22"/>
  <c r="H1304" i="22" s="1"/>
  <c r="I1270" i="22"/>
  <c r="I1276" i="22" s="1"/>
  <c r="I1312" i="22"/>
  <c r="I1319" i="22" s="1"/>
  <c r="G1298" i="22"/>
  <c r="G1304" i="22" s="1"/>
  <c r="H1270" i="22"/>
  <c r="H1276" i="22" s="1"/>
  <c r="H1312" i="22"/>
  <c r="H1319" i="22" s="1"/>
  <c r="F1298" i="22"/>
  <c r="F1304" i="22" s="1"/>
  <c r="I1284" i="22"/>
  <c r="I1291" i="22" s="1"/>
  <c r="G1270" i="22"/>
  <c r="G1276" i="22" s="1"/>
  <c r="G1312" i="22"/>
  <c r="G1319" i="22" s="1"/>
  <c r="E1298" i="22"/>
  <c r="E1304" i="22" s="1"/>
  <c r="H1284" i="22"/>
  <c r="H1291" i="22" s="1"/>
  <c r="F1270" i="22"/>
  <c r="F1276" i="22" s="1"/>
  <c r="F1312" i="22"/>
  <c r="F1319" i="22" s="1"/>
  <c r="D1298" i="22"/>
  <c r="D1304" i="22" s="1"/>
  <c r="G1284" i="22"/>
  <c r="G1291" i="22" s="1"/>
  <c r="E1270" i="22"/>
  <c r="E1276" i="22" s="1"/>
  <c r="E1312" i="22"/>
  <c r="E1319" i="22" s="1"/>
  <c r="F1284" i="22"/>
  <c r="F1291" i="22" s="1"/>
  <c r="D1270" i="22"/>
  <c r="D1276" i="22" s="1"/>
  <c r="D1312" i="22"/>
  <c r="D1319" i="22" s="1"/>
  <c r="E1284" i="22"/>
  <c r="E1291" i="22" s="1"/>
  <c r="I1298" i="22"/>
  <c r="I1304" i="22" s="1"/>
  <c r="D1284" i="22"/>
  <c r="D1291" i="22" s="1"/>
  <c r="G1060" i="22"/>
  <c r="G1061" i="22" s="1"/>
  <c r="G1062" i="22" s="1"/>
  <c r="D2206" i="22"/>
  <c r="D2207" i="22" s="1"/>
  <c r="D2208" i="22" s="1"/>
  <c r="G1963" i="22"/>
  <c r="G1964" i="22" s="1"/>
  <c r="G1965" i="22" s="1"/>
  <c r="F620" i="22"/>
  <c r="I620" i="22" s="1"/>
  <c r="I621" i="22" s="1"/>
  <c r="I622" i="22" s="1"/>
  <c r="F600" i="22"/>
  <c r="I600" i="22" s="1"/>
  <c r="I601" i="22" s="1"/>
  <c r="I602" i="22" s="1"/>
  <c r="L3641" i="22"/>
  <c r="L3642" i="22" s="1"/>
  <c r="L3643" i="22" s="1"/>
  <c r="L3644" i="22" s="1"/>
  <c r="F3651" i="22"/>
  <c r="F3652" i="22" s="1"/>
  <c r="F3653" i="22" s="1"/>
  <c r="F3654" i="22" s="1"/>
  <c r="H2436" i="22"/>
  <c r="H2437" i="22" s="1"/>
  <c r="H2438" i="22" s="1"/>
  <c r="I2028" i="22"/>
  <c r="I2029" i="22" s="1"/>
  <c r="I2030" i="22" s="1"/>
  <c r="H1674" i="22"/>
  <c r="H1675" i="22" s="1"/>
  <c r="H1676" i="22" s="1"/>
  <c r="H2144" i="22"/>
  <c r="H2145" i="22" s="1"/>
  <c r="H2146" i="22" s="1"/>
  <c r="G1639" i="22"/>
  <c r="G1640" i="22" s="1"/>
  <c r="G1641" i="22" s="1"/>
  <c r="F1639" i="22"/>
  <c r="F1640" i="22" s="1"/>
  <c r="F1641" i="22" s="1"/>
  <c r="F2701" i="22"/>
  <c r="F2702" i="22" s="1"/>
  <c r="F2703" i="22" s="1"/>
  <c r="F2704" i="22" s="1"/>
  <c r="D2128" i="22"/>
  <c r="D2129" i="22" s="1"/>
  <c r="D2130" i="22" s="1"/>
  <c r="F3091" i="22"/>
  <c r="F3092" i="22" s="1"/>
  <c r="F3093" i="22" s="1"/>
  <c r="F3094" i="22" s="1"/>
  <c r="I1817" i="22"/>
  <c r="I1818" i="22" s="1"/>
  <c r="I1819" i="22" s="1"/>
  <c r="G769" i="22"/>
  <c r="G770" i="22" s="1"/>
  <c r="G771" i="22" s="1"/>
  <c r="D797" i="22"/>
  <c r="D798" i="22" s="1"/>
  <c r="D799" i="22" s="1"/>
  <c r="D982" i="22"/>
  <c r="D983" i="22" s="1"/>
  <c r="D984" i="22" s="1"/>
  <c r="L1432" i="22"/>
  <c r="L1433" i="22" s="1"/>
  <c r="L1434" i="22" s="1"/>
  <c r="G1432" i="22"/>
  <c r="G1433" i="22" s="1"/>
  <c r="G1434" i="22" s="1"/>
  <c r="F1446" i="22"/>
  <c r="F1447" i="22" s="1"/>
  <c r="F1448" i="22" s="1"/>
  <c r="H3019" i="22"/>
  <c r="H3020" i="22" s="1"/>
  <c r="H3021" i="22" s="1"/>
  <c r="H3022" i="22" s="1"/>
  <c r="D1933" i="22"/>
  <c r="D1934" i="22" s="1"/>
  <c r="D1935" i="22" s="1"/>
  <c r="F1905" i="22"/>
  <c r="F1906" i="22" s="1"/>
  <c r="F1907" i="22" s="1"/>
  <c r="L1905" i="22"/>
  <c r="L1906" i="22" s="1"/>
  <c r="L1907" i="22" s="1"/>
  <c r="G2469" i="22"/>
  <c r="G2470" i="22" s="1"/>
  <c r="G2471" i="22" s="1"/>
  <c r="E3251" i="22"/>
  <c r="E3252" i="22" s="1"/>
  <c r="E3253" i="22" s="1"/>
  <c r="E3254" i="22" s="1"/>
  <c r="K2727" i="22"/>
  <c r="K2728" i="22" s="1"/>
  <c r="K2729" i="22" s="1"/>
  <c r="K2730" i="22" s="1"/>
  <c r="E1782" i="22"/>
  <c r="E1783" i="22" s="1"/>
  <c r="E1784" i="22" s="1"/>
  <c r="E1088" i="22"/>
  <c r="E1089" i="22" s="1"/>
  <c r="E1090" i="22" s="1"/>
  <c r="F2436" i="22"/>
  <c r="F2437" i="22" s="1"/>
  <c r="F2438" i="22" s="1"/>
  <c r="D3566" i="22"/>
  <c r="D3567" i="22" s="1"/>
  <c r="D3568" i="22" s="1"/>
  <c r="D3569" i="22" s="1"/>
  <c r="F1101" i="22"/>
  <c r="F1102" i="22" s="1"/>
  <c r="F1103" i="22" s="1"/>
  <c r="D1074" i="22"/>
  <c r="D1075" i="22" s="1"/>
  <c r="D1076" i="22" s="1"/>
  <c r="E1975" i="22"/>
  <c r="E1976" i="22" s="1"/>
  <c r="E1977" i="22" s="1"/>
  <c r="F531" i="22"/>
  <c r="I531" i="22" s="1"/>
  <c r="I532" i="22" s="1"/>
  <c r="I533" i="22" s="1"/>
  <c r="F629" i="22"/>
  <c r="I629" i="22" s="1"/>
  <c r="I630" i="22" s="1"/>
  <c r="I631" i="22" s="1"/>
  <c r="D3641" i="22"/>
  <c r="D3642" i="22" s="1"/>
  <c r="D3643" i="22" s="1"/>
  <c r="D3644" i="22" s="1"/>
  <c r="H3641" i="22"/>
  <c r="H3642" i="22" s="1"/>
  <c r="H3643" i="22" s="1"/>
  <c r="H3644" i="22" s="1"/>
  <c r="I2436" i="22"/>
  <c r="I2437" i="22" s="1"/>
  <c r="I2438" i="22" s="1"/>
  <c r="E2028" i="22"/>
  <c r="E2029" i="22" s="1"/>
  <c r="E2030" i="22" s="1"/>
  <c r="D2156" i="22"/>
  <c r="D2157" i="22" s="1"/>
  <c r="D2158" i="22" s="1"/>
  <c r="H1639" i="22"/>
  <c r="H1640" i="22" s="1"/>
  <c r="H1641" i="22" s="1"/>
  <c r="G2701" i="22"/>
  <c r="G2702" i="22" s="1"/>
  <c r="G2703" i="22" s="1"/>
  <c r="G2704" i="22" s="1"/>
  <c r="E2128" i="22"/>
  <c r="E2129" i="22" s="1"/>
  <c r="E2130" i="22" s="1"/>
  <c r="D3081" i="22"/>
  <c r="D3082" i="22" s="1"/>
  <c r="D3083" i="22" s="1"/>
  <c r="D3084" i="22" s="1"/>
  <c r="I2660" i="22"/>
  <c r="I2663" i="22" s="1"/>
  <c r="H2660" i="22"/>
  <c r="H2663" i="22" s="1"/>
  <c r="F2670" i="22"/>
  <c r="F2673" i="22" s="1"/>
  <c r="G2660" i="22"/>
  <c r="G2663" i="22" s="1"/>
  <c r="E2670" i="22"/>
  <c r="E2673" i="22" s="1"/>
  <c r="F2660" i="22"/>
  <c r="F2663" i="22" s="1"/>
  <c r="D2670" i="22"/>
  <c r="D2673" i="22" s="1"/>
  <c r="E2660" i="22"/>
  <c r="E2663" i="22" s="1"/>
  <c r="D2660" i="22"/>
  <c r="D2663" i="22" s="1"/>
  <c r="D1829" i="22"/>
  <c r="D1830" i="22" s="1"/>
  <c r="D1831" i="22" s="1"/>
  <c r="H797" i="22"/>
  <c r="H798" i="22" s="1"/>
  <c r="H799" i="22" s="1"/>
  <c r="D856" i="22"/>
  <c r="D857" i="22" s="1"/>
  <c r="D858" i="22" s="1"/>
  <c r="H1446" i="22"/>
  <c r="H1447" i="22" s="1"/>
  <c r="H1448" i="22" s="1"/>
  <c r="D1496" i="22"/>
  <c r="D1503" i="22" s="1"/>
  <c r="G1483" i="22"/>
  <c r="G1490" i="22" s="1"/>
  <c r="E1483" i="22"/>
  <c r="E1490" i="22" s="1"/>
  <c r="D1483" i="22"/>
  <c r="D1490" i="22" s="1"/>
  <c r="H1483" i="22"/>
  <c r="H1490" i="22" s="1"/>
  <c r="E1470" i="22"/>
  <c r="E1476" i="22" s="1"/>
  <c r="F1483" i="22"/>
  <c r="F1490" i="22" s="1"/>
  <c r="L1470" i="22"/>
  <c r="L1476" i="22" s="1"/>
  <c r="D1470" i="22"/>
  <c r="D1476" i="22" s="1"/>
  <c r="F1167" i="22"/>
  <c r="F1174" i="22" s="1"/>
  <c r="I1153" i="22"/>
  <c r="I1160" i="22" s="1"/>
  <c r="K1470" i="22"/>
  <c r="K1476" i="22" s="1"/>
  <c r="E1167" i="22"/>
  <c r="E1174" i="22" s="1"/>
  <c r="H1153" i="22"/>
  <c r="H1160" i="22" s="1"/>
  <c r="J1470" i="22"/>
  <c r="J1476" i="22" s="1"/>
  <c r="D1167" i="22"/>
  <c r="D1174" i="22" s="1"/>
  <c r="G1153" i="22"/>
  <c r="G1160" i="22" s="1"/>
  <c r="F1496" i="22"/>
  <c r="F1503" i="22" s="1"/>
  <c r="I1470" i="22"/>
  <c r="I1476" i="22" s="1"/>
  <c r="E1496" i="22"/>
  <c r="E1503" i="22" s="1"/>
  <c r="H1470" i="22"/>
  <c r="H1476" i="22" s="1"/>
  <c r="E1153" i="22"/>
  <c r="E1160" i="22" s="1"/>
  <c r="G1470" i="22"/>
  <c r="G1476" i="22" s="1"/>
  <c r="F1180" i="22"/>
  <c r="F1187" i="22" s="1"/>
  <c r="I1167" i="22"/>
  <c r="I1174" i="22" s="1"/>
  <c r="D1153" i="22"/>
  <c r="D1160" i="22" s="1"/>
  <c r="I1483" i="22"/>
  <c r="I1490" i="22" s="1"/>
  <c r="F1470" i="22"/>
  <c r="F1476" i="22" s="1"/>
  <c r="H1167" i="22"/>
  <c r="H1174" i="22" s="1"/>
  <c r="H1140" i="22"/>
  <c r="H1146" i="22" s="1"/>
  <c r="G1167" i="22"/>
  <c r="G1174" i="22" s="1"/>
  <c r="G1140" i="22"/>
  <c r="G1146" i="22" s="1"/>
  <c r="F1140" i="22"/>
  <c r="F1146" i="22" s="1"/>
  <c r="E1180" i="22"/>
  <c r="E1187" i="22" s="1"/>
  <c r="F1153" i="22"/>
  <c r="F1160" i="22" s="1"/>
  <c r="E1140" i="22"/>
  <c r="E1146" i="22" s="1"/>
  <c r="D1180" i="22"/>
  <c r="D1187" i="22" s="1"/>
  <c r="D1140" i="22"/>
  <c r="D1146" i="22" s="1"/>
  <c r="I1140" i="22"/>
  <c r="I1146" i="22" s="1"/>
  <c r="F1513" i="22"/>
  <c r="F1519" i="22" s="1"/>
  <c r="F1539" i="22"/>
  <c r="F1546" i="22" s="1"/>
  <c r="E1539" i="22"/>
  <c r="E1546" i="22" s="1"/>
  <c r="H1526" i="22"/>
  <c r="H1533" i="22" s="1"/>
  <c r="L1513" i="22"/>
  <c r="L1519" i="22" s="1"/>
  <c r="D1513" i="22"/>
  <c r="D1519" i="22" s="1"/>
  <c r="D1539" i="22"/>
  <c r="D1546" i="22" s="1"/>
  <c r="G1526" i="22"/>
  <c r="G1533" i="22" s="1"/>
  <c r="K1513" i="22"/>
  <c r="K1519" i="22" s="1"/>
  <c r="F1526" i="22"/>
  <c r="F1533" i="22" s="1"/>
  <c r="J1513" i="22"/>
  <c r="J1519" i="22" s="1"/>
  <c r="I1526" i="22"/>
  <c r="I1533" i="22" s="1"/>
  <c r="I1513" i="22"/>
  <c r="I1519" i="22" s="1"/>
  <c r="E1526" i="22"/>
  <c r="E1533" i="22" s="1"/>
  <c r="H1513" i="22"/>
  <c r="H1519" i="22" s="1"/>
  <c r="D1526" i="22"/>
  <c r="D1533" i="22" s="1"/>
  <c r="G1513" i="22"/>
  <c r="G1519" i="22" s="1"/>
  <c r="E1513" i="22"/>
  <c r="E1519" i="22" s="1"/>
  <c r="I2948" i="22"/>
  <c r="I2951" i="22" s="1"/>
  <c r="H2948" i="22"/>
  <c r="H2951" i="22" s="1"/>
  <c r="G2948" i="22"/>
  <c r="G2951" i="22" s="1"/>
  <c r="E2948" i="22"/>
  <c r="E2951" i="22" s="1"/>
  <c r="L2948" i="22"/>
  <c r="L2951" i="22" s="1"/>
  <c r="D2948" i="22"/>
  <c r="D2951" i="22" s="1"/>
  <c r="J2948" i="22"/>
  <c r="J2951" i="22" s="1"/>
  <c r="F2948" i="22"/>
  <c r="F2951" i="22" s="1"/>
  <c r="K2948" i="22"/>
  <c r="K2951" i="22" s="1"/>
  <c r="I3019" i="22"/>
  <c r="I3020" i="22" s="1"/>
  <c r="I3021" i="22" s="1"/>
  <c r="I3022" i="22" s="1"/>
  <c r="L1933" i="22"/>
  <c r="L1934" i="22" s="1"/>
  <c r="L1935" i="22" s="1"/>
  <c r="G1905" i="22"/>
  <c r="G1906" i="22" s="1"/>
  <c r="G1907" i="22" s="1"/>
  <c r="E1905" i="22"/>
  <c r="E1906" i="22" s="1"/>
  <c r="E1907" i="22" s="1"/>
  <c r="H2469" i="22"/>
  <c r="H2470" i="22" s="1"/>
  <c r="H2471" i="22" s="1"/>
  <c r="I3251" i="22"/>
  <c r="I3252" i="22" s="1"/>
  <c r="I3253" i="22" s="1"/>
  <c r="I3254" i="22" s="1"/>
  <c r="F3251" i="22"/>
  <c r="F3252" i="22" s="1"/>
  <c r="F3253" i="22" s="1"/>
  <c r="F3254" i="22" s="1"/>
  <c r="D2727" i="22"/>
  <c r="D2728" i="22" s="1"/>
  <c r="D2729" i="22" s="1"/>
  <c r="D2730" i="22" s="1"/>
  <c r="F1782" i="22"/>
  <c r="F1783" i="22" s="1"/>
  <c r="F1784" i="22" s="1"/>
  <c r="H3566" i="22"/>
  <c r="H3567" i="22" s="1"/>
  <c r="H3568" i="22" s="1"/>
  <c r="H3569" i="22" s="1"/>
  <c r="I1074" i="22"/>
  <c r="I1075" i="22" s="1"/>
  <c r="I1076" i="22" s="1"/>
  <c r="H2206" i="22"/>
  <c r="H2207" i="22" s="1"/>
  <c r="H2208" i="22" s="1"/>
  <c r="H1963" i="22"/>
  <c r="H1964" i="22" s="1"/>
  <c r="H1965" i="22" s="1"/>
  <c r="D2701" i="22"/>
  <c r="D2702" i="22" s="1"/>
  <c r="D2703" i="22" s="1"/>
  <c r="D2704" i="22" s="1"/>
  <c r="F769" i="22"/>
  <c r="F770" i="22" s="1"/>
  <c r="F771" i="22" s="1"/>
  <c r="F2082" i="22"/>
  <c r="F2083" i="22" s="1"/>
  <c r="F2084" i="22" s="1"/>
  <c r="K3566" i="22"/>
  <c r="K3567" i="22" s="1"/>
  <c r="K3568" i="22" s="1"/>
  <c r="K3569" i="22" s="1"/>
  <c r="I1060" i="22"/>
  <c r="I1061" i="22" s="1"/>
  <c r="I1062" i="22" s="1"/>
  <c r="E1060" i="22"/>
  <c r="E1061" i="22" s="1"/>
  <c r="E1062" i="22" s="1"/>
  <c r="D2069" i="22"/>
  <c r="D2070" i="22" s="1"/>
  <c r="D2071" i="22" s="1"/>
  <c r="E2069" i="22"/>
  <c r="E2070" i="22" s="1"/>
  <c r="E2071" i="22" s="1"/>
  <c r="E3566" i="22"/>
  <c r="E3567" i="22" s="1"/>
  <c r="E3568" i="22" s="1"/>
  <c r="E3569" i="22" s="1"/>
  <c r="F3566" i="22"/>
  <c r="F3567" i="22" s="1"/>
  <c r="F3568" i="22" s="1"/>
  <c r="F3569" i="22" s="1"/>
  <c r="H1060" i="22"/>
  <c r="H1061" i="22" s="1"/>
  <c r="H1062" i="22" s="1"/>
  <c r="F1074" i="22"/>
  <c r="F1075" i="22" s="1"/>
  <c r="F1076" i="22" s="1"/>
  <c r="I1046" i="22"/>
  <c r="I1047" i="22" s="1"/>
  <c r="I1048" i="22" s="1"/>
  <c r="D1088" i="22"/>
  <c r="D1089" i="22" s="1"/>
  <c r="D1090" i="22" s="1"/>
  <c r="F1088" i="22"/>
  <c r="F1089" i="22" s="1"/>
  <c r="F1090" i="22" s="1"/>
  <c r="D1963" i="22"/>
  <c r="D1964" i="22" s="1"/>
  <c r="D1965" i="22" s="1"/>
  <c r="F571" i="22"/>
  <c r="I571" i="22" s="1"/>
  <c r="I572" i="22" s="1"/>
  <c r="I573" i="22" s="1"/>
  <c r="F581" i="22"/>
  <c r="I581" i="22" s="1"/>
  <c r="I582" i="22" s="1"/>
  <c r="I583" i="22" s="1"/>
  <c r="K3641" i="22"/>
  <c r="K3642" i="22" s="1"/>
  <c r="K3643" i="22" s="1"/>
  <c r="K3644" i="22" s="1"/>
  <c r="I3641" i="22"/>
  <c r="I3642" i="22" s="1"/>
  <c r="I3643" i="22" s="1"/>
  <c r="I3644" i="22" s="1"/>
  <c r="J2436" i="22"/>
  <c r="J2437" i="22" s="1"/>
  <c r="J2438" i="22" s="1"/>
  <c r="E2190" i="22"/>
  <c r="E2191" i="22" s="1"/>
  <c r="E2192" i="22" s="1"/>
  <c r="F2028" i="22"/>
  <c r="F2029" i="22" s="1"/>
  <c r="F2030" i="22" s="1"/>
  <c r="F4488" i="22"/>
  <c r="I4488" i="22" s="1"/>
  <c r="I4491" i="22" s="1"/>
  <c r="I2144" i="22"/>
  <c r="I2145" i="22" s="1"/>
  <c r="I2146" i="22" s="1"/>
  <c r="I1639" i="22"/>
  <c r="I1640" i="22" s="1"/>
  <c r="I1641" i="22" s="1"/>
  <c r="H2701" i="22"/>
  <c r="H2702" i="22" s="1"/>
  <c r="H2703" i="22" s="1"/>
  <c r="H2704" i="22" s="1"/>
  <c r="H2637" i="22"/>
  <c r="H2638" i="22" s="1"/>
  <c r="H2639" i="22" s="1"/>
  <c r="H2640" i="22" s="1"/>
  <c r="D2116" i="22"/>
  <c r="D2117" i="22" s="1"/>
  <c r="D2118" i="22" s="1"/>
  <c r="E3081" i="22"/>
  <c r="E3082" i="22" s="1"/>
  <c r="E3083" i="22" s="1"/>
  <c r="E3084" i="22" s="1"/>
  <c r="E1829" i="22"/>
  <c r="E1830" i="22" s="1"/>
  <c r="E1831" i="22" s="1"/>
  <c r="H769" i="22"/>
  <c r="H770" i="22" s="1"/>
  <c r="H771" i="22" s="1"/>
  <c r="D952" i="22"/>
  <c r="D953" i="22" s="1"/>
  <c r="D954" i="22" s="1"/>
  <c r="E1459" i="22"/>
  <c r="E1460" i="22" s="1"/>
  <c r="E1461" i="22" s="1"/>
  <c r="H1432" i="22"/>
  <c r="H1433" i="22" s="1"/>
  <c r="H1434" i="22" s="1"/>
  <c r="E1600" i="22"/>
  <c r="E1606" i="22" s="1"/>
  <c r="D1600" i="22"/>
  <c r="D1606" i="22" s="1"/>
  <c r="I1600" i="22"/>
  <c r="I1606" i="22" s="1"/>
  <c r="H1600" i="22"/>
  <c r="H1606" i="22" s="1"/>
  <c r="G1600" i="22"/>
  <c r="G1606" i="22" s="1"/>
  <c r="F1600" i="22"/>
  <c r="F1606" i="22" s="1"/>
  <c r="E3029" i="22"/>
  <c r="E3030" i="22" s="1"/>
  <c r="E3031" i="22" s="1"/>
  <c r="E3032" i="22" s="1"/>
  <c r="F3029" i="22"/>
  <c r="F3030" i="22" s="1"/>
  <c r="F3031" i="22" s="1"/>
  <c r="F3032" i="22" s="1"/>
  <c r="E1933" i="22"/>
  <c r="E1934" i="22" s="1"/>
  <c r="E1935" i="22" s="1"/>
  <c r="H1905" i="22"/>
  <c r="H1906" i="22" s="1"/>
  <c r="H1907" i="22" s="1"/>
  <c r="D2469" i="22"/>
  <c r="D2470" i="22" s="1"/>
  <c r="D2471" i="22" s="1"/>
  <c r="I2469" i="22"/>
  <c r="I2470" i="22" s="1"/>
  <c r="I2471" i="22" s="1"/>
  <c r="J3251" i="22"/>
  <c r="J3252" i="22" s="1"/>
  <c r="J3253" i="22" s="1"/>
  <c r="J3254" i="22" s="1"/>
  <c r="L2727" i="22"/>
  <c r="L2728" i="22" s="1"/>
  <c r="L2729" i="22" s="1"/>
  <c r="L2730" i="22" s="1"/>
  <c r="G1782" i="22"/>
  <c r="G1783" i="22" s="1"/>
  <c r="G1784" i="22" s="1"/>
  <c r="F1432" i="22"/>
  <c r="F1433" i="22" s="1"/>
  <c r="F1434" i="22" s="1"/>
  <c r="D2222" i="22"/>
  <c r="D2223" i="22" s="1"/>
  <c r="D2224" i="22" s="1"/>
  <c r="I803" i="22"/>
  <c r="I810" i="22" s="1"/>
  <c r="H775" i="22"/>
  <c r="H782" i="22" s="1"/>
  <c r="E714" i="22"/>
  <c r="E720" i="22" s="1"/>
  <c r="F686" i="22"/>
  <c r="F693" i="22" s="1"/>
  <c r="I673" i="22"/>
  <c r="I679" i="22" s="1"/>
  <c r="H803" i="22"/>
  <c r="H810" i="22" s="1"/>
  <c r="G775" i="22"/>
  <c r="G782" i="22" s="1"/>
  <c r="D714" i="22"/>
  <c r="D720" i="22" s="1"/>
  <c r="E686" i="22"/>
  <c r="E693" i="22" s="1"/>
  <c r="H673" i="22"/>
  <c r="H679" i="22" s="1"/>
  <c r="I833" i="22"/>
  <c r="I840" i="22" s="1"/>
  <c r="E818" i="22"/>
  <c r="E825" i="22" s="1"/>
  <c r="G803" i="22"/>
  <c r="G810" i="22" s="1"/>
  <c r="F775" i="22"/>
  <c r="F782" i="22" s="1"/>
  <c r="F726" i="22"/>
  <c r="F732" i="22" s="1"/>
  <c r="D686" i="22"/>
  <c r="D693" i="22" s="1"/>
  <c r="G673" i="22"/>
  <c r="G679" i="22" s="1"/>
  <c r="H833" i="22"/>
  <c r="H840" i="22" s="1"/>
  <c r="D818" i="22"/>
  <c r="D825" i="22" s="1"/>
  <c r="F803" i="22"/>
  <c r="F810" i="22" s="1"/>
  <c r="E775" i="22"/>
  <c r="E782" i="22" s="1"/>
  <c r="E726" i="22"/>
  <c r="E732" i="22" s="1"/>
  <c r="F699" i="22"/>
  <c r="F706" i="22" s="1"/>
  <c r="F673" i="22"/>
  <c r="F679" i="22" s="1"/>
  <c r="G833" i="22"/>
  <c r="G840" i="22" s="1"/>
  <c r="E803" i="22"/>
  <c r="E810" i="22" s="1"/>
  <c r="D775" i="22"/>
  <c r="D782" i="22" s="1"/>
  <c r="D726" i="22"/>
  <c r="D732" i="22" s="1"/>
  <c r="I714" i="22"/>
  <c r="I720" i="22" s="1"/>
  <c r="E699" i="22"/>
  <c r="E706" i="22" s="1"/>
  <c r="E673" i="22"/>
  <c r="E679" i="22" s="1"/>
  <c r="F833" i="22"/>
  <c r="F840" i="22" s="1"/>
  <c r="D803" i="22"/>
  <c r="D810" i="22" s="1"/>
  <c r="H714" i="22"/>
  <c r="H720" i="22" s="1"/>
  <c r="D699" i="22"/>
  <c r="D706" i="22" s="1"/>
  <c r="I686" i="22"/>
  <c r="I693" i="22" s="1"/>
  <c r="L673" i="22"/>
  <c r="L679" i="22" s="1"/>
  <c r="D673" i="22"/>
  <c r="D679" i="22" s="1"/>
  <c r="E833" i="22"/>
  <c r="E840" i="22" s="1"/>
  <c r="G714" i="22"/>
  <c r="G720" i="22" s="1"/>
  <c r="H686" i="22"/>
  <c r="H693" i="22" s="1"/>
  <c r="K673" i="22"/>
  <c r="K679" i="22" s="1"/>
  <c r="I775" i="22"/>
  <c r="I782" i="22" s="1"/>
  <c r="F714" i="22"/>
  <c r="F720" i="22" s="1"/>
  <c r="G686" i="22"/>
  <c r="G693" i="22" s="1"/>
  <c r="D833" i="22"/>
  <c r="D840" i="22" s="1"/>
  <c r="J673" i="22"/>
  <c r="J679" i="22" s="1"/>
  <c r="F2069" i="22"/>
  <c r="F2070" i="22" s="1"/>
  <c r="F2071" i="22" s="1"/>
  <c r="D3576" i="22"/>
  <c r="D3577" i="22" s="1"/>
  <c r="D3578" i="22" s="1"/>
  <c r="D3579" i="22" s="1"/>
  <c r="E3576" i="22"/>
  <c r="E3577" i="22" s="1"/>
  <c r="E3578" i="22" s="1"/>
  <c r="E3579" i="22" s="1"/>
  <c r="D1101" i="22"/>
  <c r="D1102" i="22" s="1"/>
  <c r="D1103" i="22" s="1"/>
  <c r="H1088" i="22"/>
  <c r="H1089" i="22" s="1"/>
  <c r="H1090" i="22" s="1"/>
  <c r="H1074" i="22"/>
  <c r="H1075" i="22" s="1"/>
  <c r="H1076" i="22" s="1"/>
  <c r="E1116" i="22"/>
  <c r="E1117" i="22" s="1"/>
  <c r="E1118" i="22" s="1"/>
  <c r="E2206" i="22"/>
  <c r="E2207" i="22" s="1"/>
  <c r="E2208" i="22" s="1"/>
  <c r="F2637" i="22"/>
  <c r="F2638" i="22" s="1"/>
  <c r="F2639" i="22" s="1"/>
  <c r="F2640" i="22" s="1"/>
  <c r="F1975" i="22"/>
  <c r="F1976" i="22" s="1"/>
  <c r="F1977" i="22" s="1"/>
  <c r="F590" i="22"/>
  <c r="I590" i="22" s="1"/>
  <c r="I591" i="22" s="1"/>
  <c r="I592" i="22" s="1"/>
  <c r="F610" i="22"/>
  <c r="I610" i="22" s="1"/>
  <c r="I611" i="22" s="1"/>
  <c r="I612" i="22" s="1"/>
  <c r="E3641" i="22"/>
  <c r="E3642" i="22" s="1"/>
  <c r="E3643" i="22" s="1"/>
  <c r="E3644" i="22" s="1"/>
  <c r="D2436" i="22"/>
  <c r="D2437" i="22" s="1"/>
  <c r="D2438" i="22" s="1"/>
  <c r="K2436" i="22"/>
  <c r="K2437" i="22" s="1"/>
  <c r="K2438" i="22" s="1"/>
  <c r="F2190" i="22"/>
  <c r="F2191" i="22" s="1"/>
  <c r="F2192" i="22" s="1"/>
  <c r="G2028" i="22"/>
  <c r="G2029" i="22" s="1"/>
  <c r="G2030" i="22" s="1"/>
  <c r="E2985" i="22"/>
  <c r="E2988" i="22" s="1"/>
  <c r="F2975" i="22"/>
  <c r="F2978" i="22" s="1"/>
  <c r="F2985" i="22"/>
  <c r="F2988" i="22" s="1"/>
  <c r="I2975" i="22"/>
  <c r="I2978" i="22" s="1"/>
  <c r="G2975" i="22"/>
  <c r="G2978" i="22" s="1"/>
  <c r="E2975" i="22"/>
  <c r="E2978" i="22" s="1"/>
  <c r="D2985" i="22"/>
  <c r="D2988" i="22" s="1"/>
  <c r="H2975" i="22"/>
  <c r="H2978" i="22" s="1"/>
  <c r="D2975" i="22"/>
  <c r="D2978" i="22" s="1"/>
  <c r="I1674" i="22"/>
  <c r="I1675" i="22" s="1"/>
  <c r="I1676" i="22" s="1"/>
  <c r="D2144" i="22"/>
  <c r="D2145" i="22" s="1"/>
  <c r="D2146" i="22" s="1"/>
  <c r="E2156" i="22"/>
  <c r="E2157" i="22" s="1"/>
  <c r="E2158" i="22" s="1"/>
  <c r="J1639" i="22"/>
  <c r="J1640" i="22" s="1"/>
  <c r="J1641" i="22" s="1"/>
  <c r="I2701" i="22"/>
  <c r="I2702" i="22" s="1"/>
  <c r="I2703" i="22" s="1"/>
  <c r="I2704" i="22" s="1"/>
  <c r="F2128" i="22"/>
  <c r="F2129" i="22" s="1"/>
  <c r="F2130" i="22" s="1"/>
  <c r="E3091" i="22"/>
  <c r="E3092" i="22" s="1"/>
  <c r="E3093" i="22" s="1"/>
  <c r="E3094" i="22" s="1"/>
  <c r="D3091" i="22"/>
  <c r="D3092" i="22" s="1"/>
  <c r="D3093" i="22" s="1"/>
  <c r="D3094" i="22" s="1"/>
  <c r="I2637" i="22"/>
  <c r="I2638" i="22" s="1"/>
  <c r="I2639" i="22" s="1"/>
  <c r="I2640" i="22" s="1"/>
  <c r="F1804" i="22"/>
  <c r="I1804" i="22" s="1"/>
  <c r="I1805" i="22" s="1"/>
  <c r="I1806" i="22" s="1"/>
  <c r="I797" i="22"/>
  <c r="I798" i="22" s="1"/>
  <c r="I799" i="22" s="1"/>
  <c r="D769" i="22"/>
  <c r="D770" i="22" s="1"/>
  <c r="D771" i="22" s="1"/>
  <c r="E1432" i="22"/>
  <c r="E1433" i="22" s="1"/>
  <c r="E1434" i="22" s="1"/>
  <c r="D1446" i="22"/>
  <c r="D1447" i="22" s="1"/>
  <c r="D1448" i="22" s="1"/>
  <c r="F1569" i="22"/>
  <c r="F1576" i="22" s="1"/>
  <c r="J1556" i="22"/>
  <c r="J1562" i="22" s="1"/>
  <c r="E1569" i="22"/>
  <c r="E1576" i="22" s="1"/>
  <c r="I1556" i="22"/>
  <c r="I1562" i="22" s="1"/>
  <c r="D1569" i="22"/>
  <c r="D1576" i="22" s="1"/>
  <c r="H1556" i="22"/>
  <c r="H1562" i="22" s="1"/>
  <c r="G1556" i="22"/>
  <c r="G1562" i="22" s="1"/>
  <c r="F1556" i="22"/>
  <c r="F1562" i="22" s="1"/>
  <c r="F1582" i="22"/>
  <c r="F1589" i="22" s="1"/>
  <c r="I1569" i="22"/>
  <c r="I1576" i="22" s="1"/>
  <c r="E1556" i="22"/>
  <c r="E1562" i="22" s="1"/>
  <c r="E1582" i="22"/>
  <c r="E1589" i="22" s="1"/>
  <c r="D1582" i="22"/>
  <c r="D1589" i="22" s="1"/>
  <c r="H1569" i="22"/>
  <c r="H1576" i="22" s="1"/>
  <c r="G1569" i="22"/>
  <c r="G1576" i="22" s="1"/>
  <c r="L1556" i="22"/>
  <c r="L1562" i="22" s="1"/>
  <c r="K1556" i="22"/>
  <c r="K1562" i="22" s="1"/>
  <c r="D1556" i="22"/>
  <c r="D1562" i="22" s="1"/>
  <c r="G3019" i="22"/>
  <c r="G3020" i="22" s="1"/>
  <c r="G3021" i="22" s="1"/>
  <c r="G3022" i="22" s="1"/>
  <c r="F1933" i="22"/>
  <c r="F1934" i="22" s="1"/>
  <c r="F1935" i="22" s="1"/>
  <c r="I1905" i="22"/>
  <c r="I1906" i="22" s="1"/>
  <c r="I1907" i="22" s="1"/>
  <c r="K2469" i="22"/>
  <c r="K2470" i="22" s="1"/>
  <c r="K2471" i="22" s="1"/>
  <c r="J2469" i="22"/>
  <c r="J2470" i="22" s="1"/>
  <c r="J2471" i="22" s="1"/>
  <c r="G3251" i="22"/>
  <c r="G3252" i="22" s="1"/>
  <c r="G3253" i="22" s="1"/>
  <c r="G3254" i="22" s="1"/>
  <c r="E2727" i="22"/>
  <c r="E2728" i="22" s="1"/>
  <c r="E2729" i="22" s="1"/>
  <c r="E2730" i="22" s="1"/>
  <c r="I1782" i="22"/>
  <c r="I1783" i="22" s="1"/>
  <c r="I1784" i="22" s="1"/>
  <c r="H1782" i="22"/>
  <c r="H1783" i="22" s="1"/>
  <c r="H1784" i="22" s="1"/>
  <c r="D3124" i="22" l="1"/>
  <c r="D3127" i="22" s="1"/>
  <c r="E3114" i="22"/>
  <c r="E3117" i="22" s="1"/>
  <c r="F3124" i="22"/>
  <c r="F3127" i="22" s="1"/>
  <c r="M3111" i="22"/>
  <c r="F3114" i="22"/>
  <c r="F3117" i="22" s="1"/>
  <c r="H3114" i="22"/>
  <c r="H3117" i="22" s="1"/>
  <c r="I3114" i="22"/>
  <c r="I3117" i="22" s="1"/>
  <c r="E3124" i="22"/>
  <c r="E3127" i="22" s="1"/>
  <c r="E3128" i="22" s="1"/>
  <c r="E3129" i="22" s="1"/>
  <c r="E3130" i="22" s="1"/>
  <c r="E3131" i="22" s="1"/>
  <c r="D3114" i="22"/>
  <c r="D3117" i="22" s="1"/>
  <c r="F4492" i="22"/>
  <c r="I4492" i="22" s="1"/>
  <c r="I4493" i="22" s="1"/>
  <c r="I4494" i="22" s="1"/>
  <c r="I4495" i="22" s="1"/>
  <c r="K680" i="22"/>
  <c r="K681" i="22" s="1"/>
  <c r="K682" i="22" s="1"/>
  <c r="E811" i="22"/>
  <c r="E812" i="22" s="1"/>
  <c r="E813" i="22" s="1"/>
  <c r="H680" i="22"/>
  <c r="H681" i="22" s="1"/>
  <c r="H682" i="22" s="1"/>
  <c r="F1607" i="22"/>
  <c r="F1608" i="22" s="1"/>
  <c r="F1609" i="22" s="1"/>
  <c r="D1534" i="22"/>
  <c r="D1535" i="22" s="1"/>
  <c r="D1536" i="22" s="1"/>
  <c r="I1147" i="22"/>
  <c r="I1148" i="22" s="1"/>
  <c r="I1149" i="22" s="1"/>
  <c r="G1477" i="22"/>
  <c r="G1478" i="22" s="1"/>
  <c r="G1479" i="22" s="1"/>
  <c r="E2664" i="22"/>
  <c r="E2665" i="22" s="1"/>
  <c r="E2666" i="22" s="1"/>
  <c r="E2667" i="22" s="1"/>
  <c r="D1292" i="22"/>
  <c r="D1293" i="22" s="1"/>
  <c r="D1294" i="22" s="1"/>
  <c r="I1292" i="22"/>
  <c r="I1293" i="22" s="1"/>
  <c r="I1294" i="22" s="1"/>
  <c r="H3526" i="22"/>
  <c r="H3527" i="22" s="1"/>
  <c r="H3528" i="22" s="1"/>
  <c r="H3529" i="22" s="1"/>
  <c r="I2846" i="22"/>
  <c r="I2847" i="22" s="1"/>
  <c r="I2848" i="22" s="1"/>
  <c r="I2849" i="22" s="1"/>
  <c r="F1205" i="22"/>
  <c r="F1206" i="22" s="1"/>
  <c r="F1207" i="22" s="1"/>
  <c r="I1205" i="22"/>
  <c r="I1206" i="22" s="1"/>
  <c r="I1207" i="22" s="1"/>
  <c r="H1233" i="22"/>
  <c r="H1234" i="22" s="1"/>
  <c r="H1235" i="22" s="1"/>
  <c r="D1248" i="22"/>
  <c r="D1249" i="22" s="1"/>
  <c r="A4408" i="22"/>
  <c r="A4437" i="22"/>
  <c r="A4456" i="22" s="1"/>
  <c r="K1396" i="22"/>
  <c r="K1397" i="22" s="1"/>
  <c r="K1398" i="22" s="1"/>
  <c r="G1396" i="22"/>
  <c r="G1397" i="22" s="1"/>
  <c r="G1398" i="22" s="1"/>
  <c r="F2777" i="22"/>
  <c r="E2780" i="22"/>
  <c r="F2359" i="22"/>
  <c r="F2360" i="22" s="1"/>
  <c r="F2361" i="22" s="1"/>
  <c r="H3348" i="22"/>
  <c r="H3349" i="22" s="1"/>
  <c r="H3350" i="22" s="1"/>
  <c r="H3351" i="22" s="1"/>
  <c r="D3358" i="22"/>
  <c r="D3359" i="22" s="1"/>
  <c r="D3360" i="22" s="1"/>
  <c r="D3361" i="22" s="1"/>
  <c r="K3309" i="22"/>
  <c r="K3310" i="22" s="1"/>
  <c r="K3311" i="22" s="1"/>
  <c r="K3312" i="22" s="1"/>
  <c r="E3319" i="22"/>
  <c r="E3320" i="22" s="1"/>
  <c r="E3321" i="22" s="1"/>
  <c r="E3322" i="22" s="1"/>
  <c r="F1858" i="22"/>
  <c r="F1859" i="22" s="1"/>
  <c r="F1860" i="22" s="1"/>
  <c r="I1563" i="22"/>
  <c r="I1564" i="22" s="1"/>
  <c r="I1565" i="22" s="1"/>
  <c r="E2989" i="22"/>
  <c r="E2990" i="22" s="1"/>
  <c r="E2991" i="22" s="1"/>
  <c r="E2992" i="22" s="1"/>
  <c r="H721" i="22"/>
  <c r="H722" i="22" s="1"/>
  <c r="H723" i="22" s="1"/>
  <c r="H841" i="22"/>
  <c r="H842" i="22" s="1"/>
  <c r="H843" i="22" s="1"/>
  <c r="H783" i="22"/>
  <c r="H784" i="22" s="1"/>
  <c r="H785" i="22" s="1"/>
  <c r="D2952" i="22"/>
  <c r="D2953" i="22" s="1"/>
  <c r="D2954" i="22" s="1"/>
  <c r="D2955" i="22" s="1"/>
  <c r="G1534" i="22"/>
  <c r="G1535" i="22" s="1"/>
  <c r="G1536" i="22" s="1"/>
  <c r="G1175" i="22"/>
  <c r="G1176" i="22" s="1"/>
  <c r="G1177" i="22" s="1"/>
  <c r="J1477" i="22"/>
  <c r="J1478" i="22" s="1"/>
  <c r="J1479" i="22" s="1"/>
  <c r="F1491" i="22"/>
  <c r="F1492" i="22" s="1"/>
  <c r="F1493" i="22" s="1"/>
  <c r="G1292" i="22"/>
  <c r="G1293" i="22" s="1"/>
  <c r="G1294" i="22" s="1"/>
  <c r="J3278" i="22"/>
  <c r="J3279" i="22" s="1"/>
  <c r="J3280" i="22" s="1"/>
  <c r="J3281" i="22" s="1"/>
  <c r="E3537" i="22"/>
  <c r="E3538" i="22" s="1"/>
  <c r="E3539" i="22" s="1"/>
  <c r="E3540" i="22" s="1"/>
  <c r="D922" i="22"/>
  <c r="D923" i="22" s="1"/>
  <c r="D924" i="22" s="1"/>
  <c r="F936" i="22"/>
  <c r="F937" i="22" s="1"/>
  <c r="F938" i="22" s="1"/>
  <c r="G1336" i="22"/>
  <c r="G1337" i="22" s="1"/>
  <c r="G1338" i="22" s="1"/>
  <c r="J1336" i="22"/>
  <c r="J1337" i="22" s="1"/>
  <c r="J1338" i="22" s="1"/>
  <c r="H1350" i="22"/>
  <c r="H1351" i="22" s="1"/>
  <c r="H1352" i="22" s="1"/>
  <c r="D883" i="22"/>
  <c r="D884" i="22" s="1"/>
  <c r="D885" i="22" s="1"/>
  <c r="H883" i="22"/>
  <c r="H884" i="22" s="1"/>
  <c r="H885" i="22" s="1"/>
  <c r="I997" i="22"/>
  <c r="I998" i="22" s="1"/>
  <c r="I999" i="22" s="1"/>
  <c r="E1563" i="22"/>
  <c r="E1564" i="22" s="1"/>
  <c r="E1565" i="22" s="1"/>
  <c r="E1577" i="22"/>
  <c r="E1578" i="22" s="1"/>
  <c r="E1579" i="22" s="1"/>
  <c r="H2979" i="22"/>
  <c r="H2980" i="22" s="1"/>
  <c r="H2981" i="22" s="1"/>
  <c r="H2982" i="22" s="1"/>
  <c r="H694" i="22"/>
  <c r="H695" i="22" s="1"/>
  <c r="H696" i="22" s="1"/>
  <c r="D811" i="22"/>
  <c r="D812" i="22" s="1"/>
  <c r="D813" i="22" s="1"/>
  <c r="G841" i="22"/>
  <c r="G842" i="22" s="1"/>
  <c r="G843" i="22" s="1"/>
  <c r="G680" i="22"/>
  <c r="G681" i="22" s="1"/>
  <c r="G682" i="22" s="1"/>
  <c r="E694" i="22"/>
  <c r="E695" i="22" s="1"/>
  <c r="E696" i="22" s="1"/>
  <c r="I811" i="22"/>
  <c r="I812" i="22" s="1"/>
  <c r="I813" i="22" s="1"/>
  <c r="G1607" i="22"/>
  <c r="G1608" i="22" s="1"/>
  <c r="G1609" i="22" s="1"/>
  <c r="L2952" i="22"/>
  <c r="L2953" i="22" s="1"/>
  <c r="L2954" i="22" s="1"/>
  <c r="L2955" i="22" s="1"/>
  <c r="H1520" i="22"/>
  <c r="H1521" i="22" s="1"/>
  <c r="H1522" i="22" s="1"/>
  <c r="D1547" i="22"/>
  <c r="D1548" i="22" s="1"/>
  <c r="D1549" i="22" s="1"/>
  <c r="D1147" i="22"/>
  <c r="D1148" i="22" s="1"/>
  <c r="D1149" i="22" s="1"/>
  <c r="H1147" i="22"/>
  <c r="H1148" i="22" s="1"/>
  <c r="H1149" i="22" s="1"/>
  <c r="E1161" i="22"/>
  <c r="E1162" i="22" s="1"/>
  <c r="E1163" i="22" s="1"/>
  <c r="H1161" i="22"/>
  <c r="H1162" i="22" s="1"/>
  <c r="H1163" i="22" s="1"/>
  <c r="E1477" i="22"/>
  <c r="E1478" i="22" s="1"/>
  <c r="E1479" i="22" s="1"/>
  <c r="D2674" i="22"/>
  <c r="D2675" i="22" s="1"/>
  <c r="D2676" i="22" s="1"/>
  <c r="D2677" i="22" s="1"/>
  <c r="I1305" i="22"/>
  <c r="I1306" i="22" s="1"/>
  <c r="I1307" i="22" s="1"/>
  <c r="D1305" i="22"/>
  <c r="D1306" i="22" s="1"/>
  <c r="D1307" i="22" s="1"/>
  <c r="F1305" i="22"/>
  <c r="F1306" i="22" s="1"/>
  <c r="F1307" i="22" s="1"/>
  <c r="E3278" i="22"/>
  <c r="E3279" i="22" s="1"/>
  <c r="E3280" i="22" s="1"/>
  <c r="E3281" i="22" s="1"/>
  <c r="D3526" i="22"/>
  <c r="D3527" i="22" s="1"/>
  <c r="D3528" i="22" s="1"/>
  <c r="D3529" i="22" s="1"/>
  <c r="J3526" i="22"/>
  <c r="J3527" i="22" s="1"/>
  <c r="J3528" i="22" s="1"/>
  <c r="J3529" i="22" s="1"/>
  <c r="I3526" i="22"/>
  <c r="I3527" i="22" s="1"/>
  <c r="I3528" i="22" s="1"/>
  <c r="I3529" i="22" s="1"/>
  <c r="K936" i="22"/>
  <c r="K937" i="22" s="1"/>
  <c r="K938" i="22" s="1"/>
  <c r="D910" i="22"/>
  <c r="D911" i="22" s="1"/>
  <c r="D912" i="22" s="1"/>
  <c r="D3118" i="22"/>
  <c r="D3119" i="22" s="1"/>
  <c r="D3120" i="22" s="1"/>
  <c r="D3121" i="22" s="1"/>
  <c r="E1364" i="22"/>
  <c r="E1365" i="22" s="1"/>
  <c r="E1366" i="22" s="1"/>
  <c r="F1350" i="22"/>
  <c r="F1351" i="22" s="1"/>
  <c r="F1352" i="22" s="1"/>
  <c r="J1364" i="22"/>
  <c r="J1365" i="22" s="1"/>
  <c r="J1366" i="22" s="1"/>
  <c r="E870" i="22"/>
  <c r="E871" i="22" s="1"/>
  <c r="E872" i="22" s="1"/>
  <c r="I870" i="22"/>
  <c r="I871" i="22" s="1"/>
  <c r="I872" i="22" s="1"/>
  <c r="D1009" i="22"/>
  <c r="D1010" i="22" s="1"/>
  <c r="D1011" i="22" s="1"/>
  <c r="F4518" i="22"/>
  <c r="I4518" i="22" s="1"/>
  <c r="I4519" i="22" s="1"/>
  <c r="I4520" i="22" s="1"/>
  <c r="I4521" i="22" s="1"/>
  <c r="I1220" i="22"/>
  <c r="I1221" i="22" s="1"/>
  <c r="F1233" i="22"/>
  <c r="F1234" i="22" s="1"/>
  <c r="F1235" i="22" s="1"/>
  <c r="E1262" i="22"/>
  <c r="E1263" i="22" s="1"/>
  <c r="E1264" i="22" s="1"/>
  <c r="G1262" i="22"/>
  <c r="G1263" i="22" s="1"/>
  <c r="G1264" i="22" s="1"/>
  <c r="G1381" i="22"/>
  <c r="G1382" i="22" s="1"/>
  <c r="G1383" i="22" s="1"/>
  <c r="H1396" i="22"/>
  <c r="H1397" i="22" s="1"/>
  <c r="H1398" i="22" s="1"/>
  <c r="D2781" i="22"/>
  <c r="D2782" i="22" s="1"/>
  <c r="D2783" i="22" s="1"/>
  <c r="D2784" i="22" s="1"/>
  <c r="H2359" i="22"/>
  <c r="H2360" i="22" s="1"/>
  <c r="H2361" i="22" s="1"/>
  <c r="G2359" i="22"/>
  <c r="G2360" i="22" s="1"/>
  <c r="G2361" i="22" s="1"/>
  <c r="I3348" i="22"/>
  <c r="I3349" i="22" s="1"/>
  <c r="I3350" i="22" s="1"/>
  <c r="I3351" i="22" s="1"/>
  <c r="H3056" i="22"/>
  <c r="H3057" i="22" s="1"/>
  <c r="H3058" i="22" s="1"/>
  <c r="H3059" i="22" s="1"/>
  <c r="H3060" i="22" s="1"/>
  <c r="H3309" i="22"/>
  <c r="H3310" i="22" s="1"/>
  <c r="H3311" i="22" s="1"/>
  <c r="H3312" i="22" s="1"/>
  <c r="G3309" i="22"/>
  <c r="G3310" i="22" s="1"/>
  <c r="G3311" i="22" s="1"/>
  <c r="G3312" i="22" s="1"/>
  <c r="G1858" i="22"/>
  <c r="G1859" i="22" s="1"/>
  <c r="G1860" i="22" s="1"/>
  <c r="D694" i="22"/>
  <c r="D695" i="22" s="1"/>
  <c r="D696" i="22" s="1"/>
  <c r="H1175" i="22"/>
  <c r="H1176" i="22" s="1"/>
  <c r="H1177" i="22" s="1"/>
  <c r="H1320" i="22"/>
  <c r="H1321" i="22" s="1"/>
  <c r="H1322" i="22" s="1"/>
  <c r="G3118" i="22"/>
  <c r="G3119" i="22" s="1"/>
  <c r="G3120" i="22" s="1"/>
  <c r="G3121" i="22" s="1"/>
  <c r="H1336" i="22"/>
  <c r="H1337" i="22" s="1"/>
  <c r="H1338" i="22" s="1"/>
  <c r="I883" i="22"/>
  <c r="I884" i="22" s="1"/>
  <c r="I885" i="22" s="1"/>
  <c r="D1205" i="22"/>
  <c r="D1206" i="22" s="1"/>
  <c r="D1207" i="22" s="1"/>
  <c r="I2359" i="22"/>
  <c r="I2360" i="22" s="1"/>
  <c r="I2361" i="22" s="1"/>
  <c r="D3348" i="22"/>
  <c r="D3349" i="22" s="1"/>
  <c r="D3350" i="22" s="1"/>
  <c r="D3351" i="22" s="1"/>
  <c r="H1858" i="22"/>
  <c r="H1859" i="22" s="1"/>
  <c r="H1860" i="22" s="1"/>
  <c r="K1563" i="22"/>
  <c r="K1564" i="22" s="1"/>
  <c r="K1565" i="22" s="1"/>
  <c r="F1590" i="22"/>
  <c r="F1591" i="22" s="1"/>
  <c r="F1592" i="22" s="1"/>
  <c r="F1577" i="22"/>
  <c r="F1578" i="22" s="1"/>
  <c r="F1579" i="22" s="1"/>
  <c r="E2979" i="22"/>
  <c r="E2980" i="22" s="1"/>
  <c r="E2981" i="22" s="1"/>
  <c r="E2982" i="22" s="1"/>
  <c r="J680" i="22"/>
  <c r="J681" i="22" s="1"/>
  <c r="J682" i="22" s="1"/>
  <c r="E841" i="22"/>
  <c r="E842" i="22" s="1"/>
  <c r="E843" i="22" s="1"/>
  <c r="E680" i="22"/>
  <c r="E681" i="22" s="1"/>
  <c r="E682" i="22" s="1"/>
  <c r="F707" i="22"/>
  <c r="F708" i="22" s="1"/>
  <c r="F709" i="22" s="1"/>
  <c r="F733" i="22"/>
  <c r="F734" i="22" s="1"/>
  <c r="F735" i="22" s="1"/>
  <c r="G783" i="22"/>
  <c r="G784" i="22" s="1"/>
  <c r="G785" i="22" s="1"/>
  <c r="I1607" i="22"/>
  <c r="I1608" i="22" s="1"/>
  <c r="I1609" i="22" s="1"/>
  <c r="G2952" i="22"/>
  <c r="G2953" i="22" s="1"/>
  <c r="G2954" i="22" s="1"/>
  <c r="G2955" i="22" s="1"/>
  <c r="I1520" i="22"/>
  <c r="I1521" i="22" s="1"/>
  <c r="I1522" i="22" s="1"/>
  <c r="L1520" i="22"/>
  <c r="L1521" i="22" s="1"/>
  <c r="L1522" i="22" s="1"/>
  <c r="E1147" i="22"/>
  <c r="E1148" i="22" s="1"/>
  <c r="E1149" i="22" s="1"/>
  <c r="F1477" i="22"/>
  <c r="F1478" i="22" s="1"/>
  <c r="F1479" i="22" s="1"/>
  <c r="E1504" i="22"/>
  <c r="E1505" i="22" s="1"/>
  <c r="E1506" i="22" s="1"/>
  <c r="K1477" i="22"/>
  <c r="K1478" i="22" s="1"/>
  <c r="K1479" i="22" s="1"/>
  <c r="D1491" i="22"/>
  <c r="D1492" i="22" s="1"/>
  <c r="D1493" i="22" s="1"/>
  <c r="E2674" i="22"/>
  <c r="E2675" i="22" s="1"/>
  <c r="E2676" i="22" s="1"/>
  <c r="E2677" i="22" s="1"/>
  <c r="D1320" i="22"/>
  <c r="D1321" i="22" s="1"/>
  <c r="D1322" i="22" s="1"/>
  <c r="F1277" i="22"/>
  <c r="F1278" i="22" s="1"/>
  <c r="F1279" i="22" s="1"/>
  <c r="H1277" i="22"/>
  <c r="H1278" i="22" s="1"/>
  <c r="H1279" i="22" s="1"/>
  <c r="G3278" i="22"/>
  <c r="G3279" i="22" s="1"/>
  <c r="G3280" i="22" s="1"/>
  <c r="G3281" i="22" s="1"/>
  <c r="K3537" i="22"/>
  <c r="K3538" i="22" s="1"/>
  <c r="K3539" i="22" s="1"/>
  <c r="K3540" i="22" s="1"/>
  <c r="D3537" i="22"/>
  <c r="D3538" i="22" s="1"/>
  <c r="D3539" i="22" s="1"/>
  <c r="D3540" i="22" s="1"/>
  <c r="A4682" i="22"/>
  <c r="A4746" i="22" s="1"/>
  <c r="A4779" i="22" s="1"/>
  <c r="A4843" i="22"/>
  <c r="A4847" i="22" s="1"/>
  <c r="A4855" i="22" s="1"/>
  <c r="A4862" i="22" s="1"/>
  <c r="A4869" i="22" s="1"/>
  <c r="A4875" i="22" s="1"/>
  <c r="E922" i="22"/>
  <c r="E923" i="22" s="1"/>
  <c r="E924" i="22" s="1"/>
  <c r="E910" i="22"/>
  <c r="E911" i="22" s="1"/>
  <c r="E912" i="22" s="1"/>
  <c r="D3128" i="22"/>
  <c r="D3129" i="22" s="1"/>
  <c r="D3130" i="22" s="1"/>
  <c r="D3131" i="22" s="1"/>
  <c r="F3128" i="22"/>
  <c r="F3129" i="22" s="1"/>
  <c r="F3130" i="22" s="1"/>
  <c r="F3131" i="22" s="1"/>
  <c r="D1350" i="22"/>
  <c r="D1351" i="22" s="1"/>
  <c r="D1352" i="22" s="1"/>
  <c r="K1336" i="22"/>
  <c r="K1337" i="22" s="1"/>
  <c r="K1338" i="22" s="1"/>
  <c r="I1350" i="22"/>
  <c r="I1351" i="22" s="1"/>
  <c r="I1352" i="22" s="1"/>
  <c r="F870" i="22"/>
  <c r="F871" i="22" s="1"/>
  <c r="F872" i="22" s="1"/>
  <c r="D894" i="22"/>
  <c r="D895" i="22" s="1"/>
  <c r="D896" i="22" s="1"/>
  <c r="F1009" i="22"/>
  <c r="F1010" i="22" s="1"/>
  <c r="F1011" i="22" s="1"/>
  <c r="D2846" i="22"/>
  <c r="D2847" i="22" s="1"/>
  <c r="D2848" i="22" s="1"/>
  <c r="D2849" i="22" s="1"/>
  <c r="F1248" i="22"/>
  <c r="F1249" i="22" s="1"/>
  <c r="D1220" i="22"/>
  <c r="D1221" i="22" s="1"/>
  <c r="F1220" i="22"/>
  <c r="F1221" i="22" s="1"/>
  <c r="E1248" i="22"/>
  <c r="E1249" i="22" s="1"/>
  <c r="D1381" i="22"/>
  <c r="D1382" i="22" s="1"/>
  <c r="D1383" i="22" s="1"/>
  <c r="L1396" i="22"/>
  <c r="L1397" i="22" s="1"/>
  <c r="L1398" i="22" s="1"/>
  <c r="D2371" i="22"/>
  <c r="D2372" i="22" s="1"/>
  <c r="D2373" i="22" s="1"/>
  <c r="L3348" i="22"/>
  <c r="L3349" i="22" s="1"/>
  <c r="L3350" i="22" s="1"/>
  <c r="L3351" i="22" s="1"/>
  <c r="D3056" i="22"/>
  <c r="D3057" i="22" s="1"/>
  <c r="D3058" i="22" s="1"/>
  <c r="D3059" i="22" s="1"/>
  <c r="D3060" i="22" s="1"/>
  <c r="D3309" i="22"/>
  <c r="D3310" i="22" s="1"/>
  <c r="D3311" i="22" s="1"/>
  <c r="D3312" i="22" s="1"/>
  <c r="I1858" i="22"/>
  <c r="I1859" i="22" s="1"/>
  <c r="I1860" i="22" s="1"/>
  <c r="E1590" i="22"/>
  <c r="E1591" i="22" s="1"/>
  <c r="E1592" i="22" s="1"/>
  <c r="D2979" i="22"/>
  <c r="D2980" i="22" s="1"/>
  <c r="D2981" i="22" s="1"/>
  <c r="D2982" i="22" s="1"/>
  <c r="D1563" i="22"/>
  <c r="D1564" i="22" s="1"/>
  <c r="D1565" i="22" s="1"/>
  <c r="D721" i="22"/>
  <c r="D722" i="22" s="1"/>
  <c r="D723" i="22" s="1"/>
  <c r="D1188" i="22"/>
  <c r="D1189" i="22" s="1"/>
  <c r="D1190" i="22" s="1"/>
  <c r="H1491" i="22"/>
  <c r="H1492" i="22" s="1"/>
  <c r="H1493" i="22" s="1"/>
  <c r="E1292" i="22"/>
  <c r="E1293" i="22" s="1"/>
  <c r="E1294" i="22" s="1"/>
  <c r="F3278" i="22"/>
  <c r="F3279" i="22" s="1"/>
  <c r="F3280" i="22" s="1"/>
  <c r="F3281" i="22" s="1"/>
  <c r="I910" i="22"/>
  <c r="I911" i="22" s="1"/>
  <c r="I912" i="22" s="1"/>
  <c r="E1336" i="22"/>
  <c r="E1337" i="22" s="1"/>
  <c r="E1338" i="22" s="1"/>
  <c r="F2846" i="22"/>
  <c r="F2847" i="22" s="1"/>
  <c r="F2848" i="22" s="1"/>
  <c r="F2849" i="22" s="1"/>
  <c r="G1205" i="22"/>
  <c r="G1206" i="22" s="1"/>
  <c r="G1207" i="22" s="1"/>
  <c r="D1396" i="22"/>
  <c r="D1397" i="22" s="1"/>
  <c r="D1398" i="22" s="1"/>
  <c r="F2560" i="22"/>
  <c r="I2560" i="22" s="1"/>
  <c r="I2561" i="22" s="1"/>
  <c r="I2562" i="22" s="1"/>
  <c r="F3319" i="22"/>
  <c r="F3320" i="22" s="1"/>
  <c r="F3321" i="22" s="1"/>
  <c r="F3322" i="22" s="1"/>
  <c r="L1563" i="22"/>
  <c r="L1564" i="22" s="1"/>
  <c r="L1565" i="22" s="1"/>
  <c r="F1563" i="22"/>
  <c r="F1564" i="22" s="1"/>
  <c r="F1565" i="22" s="1"/>
  <c r="G2979" i="22"/>
  <c r="G2980" i="22" s="1"/>
  <c r="G2981" i="22" s="1"/>
  <c r="G2982" i="22" s="1"/>
  <c r="D841" i="22"/>
  <c r="D842" i="22" s="1"/>
  <c r="D843" i="22" s="1"/>
  <c r="D680" i="22"/>
  <c r="D681" i="22" s="1"/>
  <c r="D682" i="22" s="1"/>
  <c r="E707" i="22"/>
  <c r="E708" i="22" s="1"/>
  <c r="E709" i="22" s="1"/>
  <c r="E733" i="22"/>
  <c r="E734" i="22" s="1"/>
  <c r="E735" i="22" s="1"/>
  <c r="F783" i="22"/>
  <c r="F784" i="22" s="1"/>
  <c r="F785" i="22" s="1"/>
  <c r="H811" i="22"/>
  <c r="H812" i="22" s="1"/>
  <c r="H813" i="22" s="1"/>
  <c r="D1607" i="22"/>
  <c r="D1608" i="22" s="1"/>
  <c r="D1609" i="22" s="1"/>
  <c r="H2952" i="22"/>
  <c r="H2953" i="22" s="1"/>
  <c r="H2954" i="22" s="1"/>
  <c r="H2955" i="22" s="1"/>
  <c r="I1534" i="22"/>
  <c r="I1535" i="22" s="1"/>
  <c r="I1536" i="22" s="1"/>
  <c r="H1534" i="22"/>
  <c r="H1535" i="22" s="1"/>
  <c r="H1536" i="22" s="1"/>
  <c r="F1161" i="22"/>
  <c r="F1162" i="22" s="1"/>
  <c r="F1163" i="22" s="1"/>
  <c r="I1491" i="22"/>
  <c r="I1492" i="22" s="1"/>
  <c r="I1493" i="22" s="1"/>
  <c r="I1477" i="22"/>
  <c r="I1478" i="22" s="1"/>
  <c r="I1479" i="22" s="1"/>
  <c r="I1161" i="22"/>
  <c r="I1162" i="22" s="1"/>
  <c r="I1163" i="22" s="1"/>
  <c r="E1491" i="22"/>
  <c r="E1492" i="22" s="1"/>
  <c r="E1493" i="22" s="1"/>
  <c r="G2664" i="22"/>
  <c r="G2665" i="22" s="1"/>
  <c r="G2666" i="22" s="1"/>
  <c r="G2667" i="22" s="1"/>
  <c r="D1277" i="22"/>
  <c r="D1278" i="22" s="1"/>
  <c r="D1279" i="22" s="1"/>
  <c r="H1292" i="22"/>
  <c r="H1293" i="22" s="1"/>
  <c r="H1294" i="22" s="1"/>
  <c r="G1305" i="22"/>
  <c r="G1306" i="22" s="1"/>
  <c r="G1307" i="22" s="1"/>
  <c r="D3278" i="22"/>
  <c r="D3279" i="22" s="1"/>
  <c r="D3280" i="22" s="1"/>
  <c r="D3281" i="22" s="1"/>
  <c r="H3278" i="22"/>
  <c r="H3279" i="22" s="1"/>
  <c r="H3280" i="22" s="1"/>
  <c r="H3281" i="22" s="1"/>
  <c r="L3537" i="22"/>
  <c r="L3538" i="22" s="1"/>
  <c r="L3539" i="22" s="1"/>
  <c r="L3540" i="22" s="1"/>
  <c r="I3537" i="22"/>
  <c r="I3538" i="22" s="1"/>
  <c r="I3539" i="22" s="1"/>
  <c r="I3540" i="22" s="1"/>
  <c r="D936" i="22"/>
  <c r="D937" i="22" s="1"/>
  <c r="D938" i="22" s="1"/>
  <c r="H936" i="22"/>
  <c r="H937" i="22" s="1"/>
  <c r="H938" i="22" s="1"/>
  <c r="E3118" i="22"/>
  <c r="E3119" i="22" s="1"/>
  <c r="E3120" i="22" s="1"/>
  <c r="E3121" i="22" s="1"/>
  <c r="F1364" i="22"/>
  <c r="F1365" i="22" s="1"/>
  <c r="F1366" i="22" s="1"/>
  <c r="G1350" i="22"/>
  <c r="G1351" i="22" s="1"/>
  <c r="G1352" i="22" s="1"/>
  <c r="F883" i="22"/>
  <c r="F884" i="22" s="1"/>
  <c r="F885" i="22" s="1"/>
  <c r="E894" i="22"/>
  <c r="E895" i="22" s="1"/>
  <c r="E896" i="22" s="1"/>
  <c r="D997" i="22"/>
  <c r="D998" i="22" s="1"/>
  <c r="D999" i="22" s="1"/>
  <c r="D2856" i="22"/>
  <c r="D2857" i="22" s="1"/>
  <c r="D2858" i="22" s="1"/>
  <c r="D2859" i="22" s="1"/>
  <c r="D1233" i="22"/>
  <c r="D1234" i="22" s="1"/>
  <c r="D1235" i="22" s="1"/>
  <c r="G1233" i="22"/>
  <c r="G1234" i="22" s="1"/>
  <c r="G1235" i="22" s="1"/>
  <c r="I1233" i="22"/>
  <c r="I1234" i="22" s="1"/>
  <c r="I1235" i="22" s="1"/>
  <c r="I1396" i="22"/>
  <c r="I1397" i="22" s="1"/>
  <c r="I1398" i="22" s="1"/>
  <c r="H1381" i="22"/>
  <c r="H1382" i="22" s="1"/>
  <c r="H1383" i="22" s="1"/>
  <c r="E2371" i="22"/>
  <c r="E2372" i="22" s="1"/>
  <c r="E2373" i="22" s="1"/>
  <c r="F3358" i="22"/>
  <c r="F3359" i="22" s="1"/>
  <c r="F3360" i="22" s="1"/>
  <c r="F3361" i="22" s="1"/>
  <c r="E3056" i="22"/>
  <c r="E3057" i="22" s="1"/>
  <c r="E3058" i="22" s="1"/>
  <c r="E3059" i="22" s="1"/>
  <c r="E3060" i="22" s="1"/>
  <c r="L3309" i="22"/>
  <c r="L3310" i="22" s="1"/>
  <c r="L3311" i="22" s="1"/>
  <c r="L3312" i="22" s="1"/>
  <c r="D1870" i="22"/>
  <c r="D1871" i="22" s="1"/>
  <c r="D1872" i="22" s="1"/>
  <c r="I1577" i="22"/>
  <c r="I1578" i="22" s="1"/>
  <c r="I1579" i="22" s="1"/>
  <c r="D2989" i="22"/>
  <c r="D2990" i="22" s="1"/>
  <c r="D2991" i="22" s="1"/>
  <c r="D2992" i="22" s="1"/>
  <c r="G721" i="22"/>
  <c r="G722" i="22" s="1"/>
  <c r="G723" i="22" s="1"/>
  <c r="H1607" i="22"/>
  <c r="H1608" i="22" s="1"/>
  <c r="H1609" i="22" s="1"/>
  <c r="E2952" i="22"/>
  <c r="E2953" i="22" s="1"/>
  <c r="E2954" i="22" s="1"/>
  <c r="E2955" i="22" s="1"/>
  <c r="D1520" i="22"/>
  <c r="D1521" i="22" s="1"/>
  <c r="D1522" i="22" s="1"/>
  <c r="H1477" i="22"/>
  <c r="H1478" i="22" s="1"/>
  <c r="H1479" i="22" s="1"/>
  <c r="F2664" i="22"/>
  <c r="F2665" i="22" s="1"/>
  <c r="F2666" i="22" s="1"/>
  <c r="F2667" i="22" s="1"/>
  <c r="F1320" i="22"/>
  <c r="F1321" i="22" s="1"/>
  <c r="F1322" i="22" s="1"/>
  <c r="E3526" i="22"/>
  <c r="E3527" i="22" s="1"/>
  <c r="E3528" i="22" s="1"/>
  <c r="E3529" i="22" s="1"/>
  <c r="H1364" i="22"/>
  <c r="H1365" i="22" s="1"/>
  <c r="H1366" i="22" s="1"/>
  <c r="E1009" i="22"/>
  <c r="E1010" i="22" s="1"/>
  <c r="E1011" i="22" s="1"/>
  <c r="H1248" i="22"/>
  <c r="H1249" i="22" s="1"/>
  <c r="I3056" i="22"/>
  <c r="I3057" i="22" s="1"/>
  <c r="I3058" i="22" s="1"/>
  <c r="I3059" i="22" s="1"/>
  <c r="I3060" i="22" s="1"/>
  <c r="G1577" i="22"/>
  <c r="G1578" i="22" s="1"/>
  <c r="G1579" i="22" s="1"/>
  <c r="I2979" i="22"/>
  <c r="I2980" i="22" s="1"/>
  <c r="I2981" i="22" s="1"/>
  <c r="I2982" i="22" s="1"/>
  <c r="G694" i="22"/>
  <c r="G695" i="22" s="1"/>
  <c r="G696" i="22" s="1"/>
  <c r="L680" i="22"/>
  <c r="L681" i="22" s="1"/>
  <c r="L682" i="22" s="1"/>
  <c r="I721" i="22"/>
  <c r="I722" i="22" s="1"/>
  <c r="I723" i="22" s="1"/>
  <c r="E783" i="22"/>
  <c r="E784" i="22" s="1"/>
  <c r="E785" i="22" s="1"/>
  <c r="G811" i="22"/>
  <c r="G812" i="22" s="1"/>
  <c r="G813" i="22" s="1"/>
  <c r="I680" i="22"/>
  <c r="I681" i="22" s="1"/>
  <c r="I682" i="22" s="1"/>
  <c r="E1607" i="22"/>
  <c r="E1608" i="22" s="1"/>
  <c r="E1609" i="22" s="1"/>
  <c r="K2952" i="22"/>
  <c r="K2953" i="22" s="1"/>
  <c r="K2954" i="22" s="1"/>
  <c r="K2955" i="22" s="1"/>
  <c r="I2952" i="22"/>
  <c r="I2953" i="22" s="1"/>
  <c r="I2954" i="22" s="1"/>
  <c r="I2955" i="22" s="1"/>
  <c r="J1520" i="22"/>
  <c r="J1521" i="22" s="1"/>
  <c r="J1522" i="22" s="1"/>
  <c r="E1547" i="22"/>
  <c r="E1548" i="22"/>
  <c r="E1549" i="22" s="1"/>
  <c r="E1188" i="22"/>
  <c r="E1189" i="22" s="1"/>
  <c r="E1190" i="22" s="1"/>
  <c r="D1161" i="22"/>
  <c r="D1162" i="22" s="1"/>
  <c r="D1163" i="22" s="1"/>
  <c r="F1504" i="22"/>
  <c r="F1505" i="22" s="1"/>
  <c r="F1506" i="22" s="1"/>
  <c r="F1175" i="22"/>
  <c r="F1176" i="22" s="1"/>
  <c r="F1177" i="22" s="1"/>
  <c r="G1491" i="22"/>
  <c r="G1492" i="22" s="1"/>
  <c r="G1493" i="22" s="1"/>
  <c r="F2674" i="22"/>
  <c r="F2675" i="22" s="1"/>
  <c r="F2676" i="22" s="1"/>
  <c r="F2677" i="22" s="1"/>
  <c r="F1292" i="22"/>
  <c r="F1293" i="22" s="1"/>
  <c r="F1294" i="22" s="1"/>
  <c r="E1305" i="22"/>
  <c r="E1306" i="22" s="1"/>
  <c r="E1307" i="22" s="1"/>
  <c r="I1320" i="22"/>
  <c r="I1321" i="22" s="1"/>
  <c r="I1322" i="22" s="1"/>
  <c r="K3278" i="22"/>
  <c r="K3279" i="22" s="1"/>
  <c r="K3280" i="22" s="1"/>
  <c r="K3281" i="22" s="1"/>
  <c r="F3537" i="22"/>
  <c r="F3538" i="22"/>
  <c r="F3539" i="22" s="1"/>
  <c r="F3540" i="22" s="1"/>
  <c r="K3526" i="22"/>
  <c r="K3527" i="22" s="1"/>
  <c r="K3528" i="22" s="1"/>
  <c r="K3529" i="22" s="1"/>
  <c r="G910" i="22"/>
  <c r="G911" i="22" s="1"/>
  <c r="G912" i="22" s="1"/>
  <c r="L936" i="22"/>
  <c r="L937" i="22" s="1"/>
  <c r="L938" i="22" s="1"/>
  <c r="F910" i="22"/>
  <c r="F911" i="22" s="1"/>
  <c r="F912" i="22" s="1"/>
  <c r="F3118" i="22"/>
  <c r="F3119" i="22" s="1"/>
  <c r="F3120" i="22" s="1"/>
  <c r="F3121" i="22" s="1"/>
  <c r="F1336" i="22"/>
  <c r="F1337" i="22" s="1"/>
  <c r="F1338" i="22" s="1"/>
  <c r="I1336" i="22"/>
  <c r="I1337" i="22" s="1"/>
  <c r="I1338" i="22" s="1"/>
  <c r="I1364" i="22"/>
  <c r="I1365" i="22" s="1"/>
  <c r="I1366" i="22" s="1"/>
  <c r="G870" i="22"/>
  <c r="G871" i="22" s="1"/>
  <c r="G872" i="22" s="1"/>
  <c r="F997" i="22"/>
  <c r="F998" i="22" s="1"/>
  <c r="F999" i="22" s="1"/>
  <c r="E997" i="22"/>
  <c r="E998" i="22" s="1"/>
  <c r="E999" i="22" s="1"/>
  <c r="G2846" i="22"/>
  <c r="G2847" i="22" s="1"/>
  <c r="G2848" i="22" s="1"/>
  <c r="G2849" i="22" s="1"/>
  <c r="H1205" i="22"/>
  <c r="H1206" i="22" s="1"/>
  <c r="H1207" i="22" s="1"/>
  <c r="I1248" i="22"/>
  <c r="I1249" i="22" s="1"/>
  <c r="F1262" i="22"/>
  <c r="F1263" i="22" s="1"/>
  <c r="F1264" i="22" s="1"/>
  <c r="E1381" i="22"/>
  <c r="E1382" i="22" s="1"/>
  <c r="E1383" i="22" s="1"/>
  <c r="E1396" i="22"/>
  <c r="E1397" i="22" s="1"/>
  <c r="E1398" i="22" s="1"/>
  <c r="D2359" i="22"/>
  <c r="D2360" i="22" s="1"/>
  <c r="D2361" i="22" s="1"/>
  <c r="K3348" i="22"/>
  <c r="K3349" i="22" s="1"/>
  <c r="K3350" i="22" s="1"/>
  <c r="K3351" i="22" s="1"/>
  <c r="E3348" i="22"/>
  <c r="E3349" i="22" s="1"/>
  <c r="E3350" i="22" s="1"/>
  <c r="E3351" i="22" s="1"/>
  <c r="F3056" i="22"/>
  <c r="F3057" i="22" s="1"/>
  <c r="F3058" i="22" s="1"/>
  <c r="F3059" i="22" s="1"/>
  <c r="F3060" i="22" s="1"/>
  <c r="E3309" i="22"/>
  <c r="E3310" i="22" s="1"/>
  <c r="E3311" i="22" s="1"/>
  <c r="E3312" i="22" s="1"/>
  <c r="F1870" i="22"/>
  <c r="F1871" i="22" s="1"/>
  <c r="F1872" i="22" s="1"/>
  <c r="E1870" i="22"/>
  <c r="E1871" i="22" s="1"/>
  <c r="E1872" i="22" s="1"/>
  <c r="J1563" i="22"/>
  <c r="J1564" i="22" s="1"/>
  <c r="J1565" i="22" s="1"/>
  <c r="F680" i="22"/>
  <c r="F681" i="22" s="1"/>
  <c r="F682" i="22" s="1"/>
  <c r="E1534" i="22"/>
  <c r="E1535" i="22" s="1"/>
  <c r="E1536" i="22" s="1"/>
  <c r="L3526" i="22"/>
  <c r="L3527" i="22" s="1"/>
  <c r="L3528" i="22" s="1"/>
  <c r="L3529" i="22" s="1"/>
  <c r="G936" i="22"/>
  <c r="G937" i="22" s="1"/>
  <c r="G938" i="22" s="1"/>
  <c r="E883" i="22"/>
  <c r="E884" i="22" s="1"/>
  <c r="E885" i="22" s="1"/>
  <c r="H1220" i="22"/>
  <c r="H1221" i="22" s="1"/>
  <c r="I3309" i="22"/>
  <c r="I3310" i="22" s="1"/>
  <c r="I3311" i="22" s="1"/>
  <c r="I3312" i="22" s="1"/>
  <c r="G1563" i="22"/>
  <c r="G1564" i="22" s="1"/>
  <c r="G1565" i="22" s="1"/>
  <c r="H1577" i="22"/>
  <c r="H1578" i="22" s="1"/>
  <c r="H1579" i="22" s="1"/>
  <c r="H1563" i="22"/>
  <c r="H1564" i="22" s="1"/>
  <c r="H1565" i="22" s="1"/>
  <c r="F2989" i="22"/>
  <c r="F2990" i="22" s="1"/>
  <c r="F2991" i="22" s="1"/>
  <c r="F2992" i="22" s="1"/>
  <c r="F721" i="22"/>
  <c r="F722" i="22" s="1"/>
  <c r="F723" i="22" s="1"/>
  <c r="I694" i="22"/>
  <c r="I695" i="22" s="1"/>
  <c r="I696" i="22" s="1"/>
  <c r="D733" i="22"/>
  <c r="D734" i="22" s="1"/>
  <c r="D735" i="22" s="1"/>
  <c r="F811" i="22"/>
  <c r="F812" i="22" s="1"/>
  <c r="F813" i="22" s="1"/>
  <c r="E826" i="22"/>
  <c r="E827" i="22" s="1"/>
  <c r="E828" i="22" s="1"/>
  <c r="F694" i="22"/>
  <c r="F695" i="22" s="1"/>
  <c r="F696" i="22" s="1"/>
  <c r="F2952" i="22"/>
  <c r="F2953" i="22" s="1"/>
  <c r="F2954" i="22" s="1"/>
  <c r="F2955" i="22" s="1"/>
  <c r="E1520" i="22"/>
  <c r="E1521" i="22" s="1"/>
  <c r="E1522" i="22" s="1"/>
  <c r="F1534" i="22"/>
  <c r="F1535" i="22" s="1"/>
  <c r="F1536" i="22" s="1"/>
  <c r="F1547" i="22"/>
  <c r="F1548" i="22" s="1"/>
  <c r="F1549" i="22" s="1"/>
  <c r="F1147" i="22"/>
  <c r="F1148" i="22" s="1"/>
  <c r="F1149" i="22" s="1"/>
  <c r="I1175" i="22"/>
  <c r="I1176" i="22" s="1"/>
  <c r="I1177" i="22" s="1"/>
  <c r="G1161" i="22"/>
  <c r="G1162" i="22" s="1"/>
  <c r="G1163" i="22" s="1"/>
  <c r="D1477" i="22"/>
  <c r="D1478" i="22" s="1"/>
  <c r="D1479" i="22" s="1"/>
  <c r="D1504" i="22"/>
  <c r="D1505" i="22" s="1"/>
  <c r="D1506" i="22" s="1"/>
  <c r="H2664" i="22"/>
  <c r="H2665" i="22" s="1"/>
  <c r="H2666" i="22" s="1"/>
  <c r="H2667" i="22" s="1"/>
  <c r="E1320" i="22"/>
  <c r="E1321" i="22" s="1"/>
  <c r="E1322" i="22" s="1"/>
  <c r="G1320" i="22"/>
  <c r="G1321" i="22" s="1"/>
  <c r="G1322" i="22" s="1"/>
  <c r="I1277" i="22"/>
  <c r="I1278" i="22" s="1"/>
  <c r="I1279" i="22" s="1"/>
  <c r="L3278" i="22"/>
  <c r="L3279" i="22" s="1"/>
  <c r="L3280" i="22" s="1"/>
  <c r="L3281" i="22" s="1"/>
  <c r="G3537" i="22"/>
  <c r="G3538" i="22" s="1"/>
  <c r="G3539" i="22" s="1"/>
  <c r="G3540" i="22" s="1"/>
  <c r="J3537" i="22"/>
  <c r="J3538" i="22" s="1"/>
  <c r="J3539" i="22" s="1"/>
  <c r="J3540" i="22" s="1"/>
  <c r="J936" i="22"/>
  <c r="J937" i="22" s="1"/>
  <c r="J938" i="22" s="1"/>
  <c r="F922" i="22"/>
  <c r="F923" i="22" s="1"/>
  <c r="F924" i="22" s="1"/>
  <c r="I936" i="22"/>
  <c r="I937" i="22" s="1"/>
  <c r="I938" i="22" s="1"/>
  <c r="H3118" i="22"/>
  <c r="H3119" i="22" s="1"/>
  <c r="H3120" i="22" s="1"/>
  <c r="H3121" i="22" s="1"/>
  <c r="J1350" i="22"/>
  <c r="J1351" i="22" s="1"/>
  <c r="J1352" i="22" s="1"/>
  <c r="E1350" i="22"/>
  <c r="E1351" i="22" s="1"/>
  <c r="E1352" i="22" s="1"/>
  <c r="D1336" i="22"/>
  <c r="D1337" i="22" s="1"/>
  <c r="D1338" i="22" s="1"/>
  <c r="F894" i="22"/>
  <c r="F895" i="22" s="1"/>
  <c r="F896" i="22" s="1"/>
  <c r="G883" i="22"/>
  <c r="G884" i="22" s="1"/>
  <c r="G885" i="22" s="1"/>
  <c r="G997" i="22"/>
  <c r="G998" i="22" s="1"/>
  <c r="G999" i="22" s="1"/>
  <c r="F2856" i="22"/>
  <c r="F2857" i="22" s="1"/>
  <c r="F2858" i="22" s="1"/>
  <c r="F2859" i="22" s="1"/>
  <c r="E1233" i="22"/>
  <c r="E1234" i="22" s="1"/>
  <c r="E1235" i="22" s="1"/>
  <c r="D1262" i="22"/>
  <c r="D1263" i="22" s="1"/>
  <c r="D1264" i="22" s="1"/>
  <c r="E1205" i="22"/>
  <c r="E1206" i="22" s="1"/>
  <c r="E1207" i="22" s="1"/>
  <c r="J1396" i="22"/>
  <c r="J1397" i="22" s="1"/>
  <c r="J1398" i="22" s="1"/>
  <c r="I1381" i="22"/>
  <c r="I1382" i="22" s="1"/>
  <c r="I1383" i="22" s="1"/>
  <c r="F2371" i="22"/>
  <c r="F2372" i="22" s="1"/>
  <c r="F2373" i="22" s="1"/>
  <c r="E3358" i="22"/>
  <c r="E3359" i="22" s="1"/>
  <c r="E3360" i="22" s="1"/>
  <c r="E3361" i="22" s="1"/>
  <c r="F3348" i="22"/>
  <c r="F3349" i="22" s="1"/>
  <c r="F3350" i="22" s="1"/>
  <c r="F3351" i="22" s="1"/>
  <c r="G3056" i="22"/>
  <c r="G3057" i="22" s="1"/>
  <c r="G3058" i="22" s="1"/>
  <c r="G3059" i="22" s="1"/>
  <c r="G3060" i="22" s="1"/>
  <c r="D3319" i="22"/>
  <c r="D3320" i="22" s="1"/>
  <c r="D3321" i="22" s="1"/>
  <c r="D3322" i="22" s="1"/>
  <c r="D1858" i="22"/>
  <c r="D1859" i="22" s="1"/>
  <c r="D1860" i="22" s="1"/>
  <c r="F841" i="22"/>
  <c r="F842" i="22" s="1"/>
  <c r="F843" i="22" s="1"/>
  <c r="E1175" i="22"/>
  <c r="E1176" i="22" s="1"/>
  <c r="E1177" i="22" s="1"/>
  <c r="H3537" i="22"/>
  <c r="H3538" i="22" s="1"/>
  <c r="H3539" i="22" s="1"/>
  <c r="H3540" i="22" s="1"/>
  <c r="D1590" i="22"/>
  <c r="D1591" i="22" s="1"/>
  <c r="D1592" i="22" s="1"/>
  <c r="D1577" i="22"/>
  <c r="D1578" i="22" s="1"/>
  <c r="D1579" i="22" s="1"/>
  <c r="F2979" i="22"/>
  <c r="F2980" i="22" s="1"/>
  <c r="F2981" i="22" s="1"/>
  <c r="F2982" i="22" s="1"/>
  <c r="I783" i="22"/>
  <c r="I784" i="22" s="1"/>
  <c r="I785" i="22" s="1"/>
  <c r="D707" i="22"/>
  <c r="D708" i="22" s="1"/>
  <c r="D709" i="22" s="1"/>
  <c r="D783" i="22"/>
  <c r="D784" i="22" s="1"/>
  <c r="D785" i="22" s="1"/>
  <c r="D826" i="22"/>
  <c r="D827" i="22" s="1"/>
  <c r="D828" i="22" s="1"/>
  <c r="I841" i="22"/>
  <c r="I842" i="22" s="1"/>
  <c r="I843" i="22" s="1"/>
  <c r="E721" i="22"/>
  <c r="E722" i="22" s="1"/>
  <c r="E723" i="22" s="1"/>
  <c r="J2952" i="22"/>
  <c r="J2953" i="22" s="1"/>
  <c r="J2954" i="22" s="1"/>
  <c r="J2955" i="22" s="1"/>
  <c r="G1520" i="22"/>
  <c r="G1521" i="22" s="1"/>
  <c r="G1522" i="22" s="1"/>
  <c r="K1520" i="22"/>
  <c r="K1521" i="22" s="1"/>
  <c r="K1522" i="22" s="1"/>
  <c r="F1520" i="22"/>
  <c r="F1521" i="22" s="1"/>
  <c r="F1522" i="22" s="1"/>
  <c r="G1147" i="22"/>
  <c r="G1148" i="22" s="1"/>
  <c r="G1149" i="22" s="1"/>
  <c r="F1188" i="22"/>
  <c r="F1189" i="22" s="1"/>
  <c r="F1190" i="22" s="1"/>
  <c r="D1175" i="22"/>
  <c r="D1176" i="22" s="1"/>
  <c r="D1177" i="22" s="1"/>
  <c r="L1477" i="22"/>
  <c r="L1478" i="22" s="1"/>
  <c r="L1479" i="22" s="1"/>
  <c r="D2664" i="22"/>
  <c r="D2665" i="22" s="1"/>
  <c r="D2666" i="22" s="1"/>
  <c r="D2667" i="22" s="1"/>
  <c r="I2664" i="22"/>
  <c r="I2665" i="22" s="1"/>
  <c r="I2666" i="22" s="1"/>
  <c r="I2667" i="22" s="1"/>
  <c r="E1277" i="22"/>
  <c r="E1278" i="22" s="1"/>
  <c r="E1279" i="22" s="1"/>
  <c r="G1277" i="22"/>
  <c r="G1278" i="22" s="1"/>
  <c r="G1279" i="22" s="1"/>
  <c r="H1305" i="22"/>
  <c r="H1306" i="22"/>
  <c r="H1307" i="22" s="1"/>
  <c r="I3278" i="22"/>
  <c r="I3279" i="22" s="1"/>
  <c r="I3280" i="22" s="1"/>
  <c r="I3281" i="22" s="1"/>
  <c r="G3526" i="22"/>
  <c r="G3527" i="22" s="1"/>
  <c r="G3528" i="22" s="1"/>
  <c r="G3529" i="22" s="1"/>
  <c r="F3526" i="22"/>
  <c r="F3527" i="22" s="1"/>
  <c r="F3528" i="22" s="1"/>
  <c r="F3529" i="22" s="1"/>
  <c r="H910" i="22"/>
  <c r="H911" i="22" s="1"/>
  <c r="H912" i="22" s="1"/>
  <c r="E936" i="22"/>
  <c r="E937" i="22" s="1"/>
  <c r="E938" i="22" s="1"/>
  <c r="I3118" i="22"/>
  <c r="I3119" i="22" s="1"/>
  <c r="I3120" i="22" s="1"/>
  <c r="I3121" i="22" s="1"/>
  <c r="D1364" i="22"/>
  <c r="D1365" i="22" s="1"/>
  <c r="D1366" i="22" s="1"/>
  <c r="G1364" i="22"/>
  <c r="G1365" i="22" s="1"/>
  <c r="G1366" i="22" s="1"/>
  <c r="L1336" i="22"/>
  <c r="L1337" i="22" s="1"/>
  <c r="L1338" i="22" s="1"/>
  <c r="D870" i="22"/>
  <c r="D871" i="22" s="1"/>
  <c r="D872" i="22" s="1"/>
  <c r="H870" i="22"/>
  <c r="H871" i="22" s="1"/>
  <c r="H872" i="22" s="1"/>
  <c r="H997" i="22"/>
  <c r="H998" i="22"/>
  <c r="H999" i="22" s="1"/>
  <c r="H2846" i="22"/>
  <c r="H2847" i="22" s="1"/>
  <c r="H2848" i="22" s="1"/>
  <c r="H2849" i="22" s="1"/>
  <c r="G1248" i="22"/>
  <c r="G1249" i="22" s="1"/>
  <c r="E1220" i="22"/>
  <c r="E1221" i="22" s="1"/>
  <c r="G1220" i="22"/>
  <c r="G1221" i="22" s="1"/>
  <c r="F1381" i="22"/>
  <c r="F1382" i="22" s="1"/>
  <c r="F1383" i="22" s="1"/>
  <c r="F1396" i="22"/>
  <c r="F1397" i="22" s="1"/>
  <c r="F1398" i="22" s="1"/>
  <c r="E2359" i="22"/>
  <c r="E2360" i="22" s="1"/>
  <c r="E2361" i="22" s="1"/>
  <c r="J3348" i="22"/>
  <c r="J3349" i="22" s="1"/>
  <c r="J3350" i="22" s="1"/>
  <c r="J3351" i="22" s="1"/>
  <c r="G3348" i="22"/>
  <c r="G3349" i="22" s="1"/>
  <c r="G3350" i="22" s="1"/>
  <c r="G3351" i="22" s="1"/>
  <c r="J3309" i="22"/>
  <c r="J3310" i="22" s="1"/>
  <c r="J3311" i="22" s="1"/>
  <c r="J3312" i="22" s="1"/>
  <c r="F3309" i="22"/>
  <c r="F3310" i="22" s="1"/>
  <c r="F3311" i="22" s="1"/>
  <c r="F3312" i="22" s="1"/>
  <c r="E1858" i="22"/>
  <c r="E1859" i="22" s="1"/>
  <c r="E1860" i="22" s="1"/>
  <c r="O696" i="22" l="1"/>
  <c r="F2577" i="22"/>
  <c r="F2583" i="22" s="1"/>
  <c r="D2565" i="22"/>
  <c r="D2571" i="22" s="1"/>
  <c r="E2577" i="22"/>
  <c r="E2583" i="22" s="1"/>
  <c r="D2577" i="22"/>
  <c r="D2583" i="22" s="1"/>
  <c r="I2565" i="22"/>
  <c r="I2571" i="22" s="1"/>
  <c r="H2565" i="22"/>
  <c r="H2571" i="22" s="1"/>
  <c r="G2565" i="22"/>
  <c r="G2571" i="22" s="1"/>
  <c r="F2565" i="22"/>
  <c r="F2571" i="22" s="1"/>
  <c r="E2565" i="22"/>
  <c r="E2571" i="22" s="1"/>
  <c r="P696" i="22"/>
  <c r="A4463" i="22"/>
  <c r="A4469" i="22"/>
  <c r="A4497" i="22" s="1"/>
  <c r="A4523" i="22" s="1"/>
  <c r="A4541" i="22" s="1"/>
  <c r="A4882" i="22" s="1"/>
  <c r="A4888" i="22" s="1"/>
  <c r="A4891" i="22" s="1"/>
  <c r="A4922" i="22" s="1"/>
  <c r="A4934" i="22" s="1"/>
  <c r="A4949" i="22" s="1"/>
  <c r="A4971" i="22" s="1"/>
  <c r="A4992" i="22" s="1"/>
  <c r="N696" i="22"/>
  <c r="E2781" i="22"/>
  <c r="E2782" i="22" s="1"/>
  <c r="E2783" i="22" s="1"/>
  <c r="E2784" i="22" s="1"/>
  <c r="G2777" i="22"/>
  <c r="F2780" i="22"/>
  <c r="E2572" i="22" l="1"/>
  <c r="E2573" i="22" s="1"/>
  <c r="E2574" i="22" s="1"/>
  <c r="G2780" i="22"/>
  <c r="H2777" i="22"/>
  <c r="G2572" i="22"/>
  <c r="G2573" i="22" s="1"/>
  <c r="G2574" i="22" s="1"/>
  <c r="D2584" i="22"/>
  <c r="D2585" i="22" s="1"/>
  <c r="D2586" i="22" s="1"/>
  <c r="F2781" i="22"/>
  <c r="F2782" i="22" s="1"/>
  <c r="F2783" i="22" s="1"/>
  <c r="F2784" i="22" s="1"/>
  <c r="F2584" i="22"/>
  <c r="F2585" i="22" s="1"/>
  <c r="F2586" i="22" s="1"/>
  <c r="F2572" i="22"/>
  <c r="F2573" i="22" s="1"/>
  <c r="F2574" i="22" s="1"/>
  <c r="H2572" i="22"/>
  <c r="H2573" i="22" s="1"/>
  <c r="H2574" i="22" s="1"/>
  <c r="I2572" i="22"/>
  <c r="I2573" i="22" s="1"/>
  <c r="I2574" i="22" s="1"/>
  <c r="E2584" i="22"/>
  <c r="E2585" i="22" s="1"/>
  <c r="E2586" i="22" s="1"/>
  <c r="D2572" i="22"/>
  <c r="D2573" i="22" s="1"/>
  <c r="D2574" i="22" s="1"/>
  <c r="H2780" i="22" l="1"/>
  <c r="I2777" i="22"/>
  <c r="G2781" i="22"/>
  <c r="G2782" i="22" s="1"/>
  <c r="G2783" i="22" s="1"/>
  <c r="G2784" i="22" s="1"/>
  <c r="I2780" i="22" l="1"/>
  <c r="J2777" i="22"/>
  <c r="H2781" i="22"/>
  <c r="H2782" i="22" s="1"/>
  <c r="H2783" i="22" s="1"/>
  <c r="H2784" i="22" s="1"/>
  <c r="J2780" i="22" l="1"/>
  <c r="K2777" i="22"/>
  <c r="I2781" i="22"/>
  <c r="I2782" i="22" s="1"/>
  <c r="I2783" i="22" s="1"/>
  <c r="I2784" i="22" s="1"/>
  <c r="J2781" i="22" l="1"/>
  <c r="J2782" i="22" s="1"/>
  <c r="J2783" i="22" s="1"/>
  <c r="J2784" i="22" s="1"/>
  <c r="K2780" i="22"/>
  <c r="L2777" i="22"/>
  <c r="L2780" i="22" s="1"/>
  <c r="K2781" i="22" l="1"/>
  <c r="K2782" i="22" s="1"/>
  <c r="K2783" i="22" s="1"/>
  <c r="K2784" i="22" s="1"/>
  <c r="L2781" i="22"/>
  <c r="L2782" i="22" s="1"/>
  <c r="L2783" i="22" s="1"/>
  <c r="L2784" i="22" s="1"/>
  <c r="L752" i="12" l="1"/>
  <c r="L753" i="12"/>
  <c r="L754" i="12"/>
  <c r="L755" i="12"/>
  <c r="L725" i="12"/>
  <c r="J183" i="18"/>
  <c r="J184" i="18" s="1"/>
  <c r="J179" i="18"/>
  <c r="J178" i="18"/>
  <c r="J177" i="18"/>
  <c r="J180" i="18" s="1"/>
  <c r="J181" i="18" s="1"/>
  <c r="N754" i="12" l="1"/>
  <c r="M754" i="12"/>
  <c r="M755" i="12"/>
  <c r="N755" i="12"/>
  <c r="N752" i="12"/>
  <c r="M752" i="12"/>
  <c r="M753" i="12"/>
  <c r="N753" i="12"/>
  <c r="J185" i="18"/>
  <c r="J186" i="18" l="1"/>
  <c r="J187" i="18" s="1"/>
  <c r="J188" i="18" s="1"/>
  <c r="J167" i="18"/>
  <c r="J166" i="18"/>
  <c r="J165" i="18"/>
  <c r="J164" i="18"/>
  <c r="J163" i="18"/>
  <c r="J162" i="18"/>
  <c r="J161" i="18"/>
  <c r="J168" i="18" s="1"/>
  <c r="J169" i="18" s="1"/>
  <c r="J157" i="18"/>
  <c r="J156" i="18"/>
  <c r="J155" i="18"/>
  <c r="J154" i="18"/>
  <c r="J145" i="18"/>
  <c r="J146" i="18" s="1"/>
  <c r="J141" i="18"/>
  <c r="J140" i="18"/>
  <c r="J139" i="18"/>
  <c r="J142" i="18" s="1"/>
  <c r="J143" i="18" s="1"/>
  <c r="J130" i="18"/>
  <c r="J131" i="18" s="1"/>
  <c r="J126" i="18"/>
  <c r="J125" i="18"/>
  <c r="J124" i="18"/>
  <c r="J116" i="18"/>
  <c r="J117" i="18" s="1"/>
  <c r="I109" i="18"/>
  <c r="J109" i="18" s="1"/>
  <c r="J107" i="18"/>
  <c r="J104" i="18"/>
  <c r="J105" i="18" s="1"/>
  <c r="J95" i="18"/>
  <c r="J94" i="18"/>
  <c r="J93" i="18"/>
  <c r="A93" i="18"/>
  <c r="J92" i="18"/>
  <c r="J89" i="18"/>
  <c r="J88" i="18"/>
  <c r="J90" i="18" s="1"/>
  <c r="J87" i="18"/>
  <c r="J78" i="18"/>
  <c r="J77" i="18"/>
  <c r="J79" i="18" s="1"/>
  <c r="J76" i="18"/>
  <c r="J74" i="18"/>
  <c r="J73" i="18"/>
  <c r="J75" i="18" s="1"/>
  <c r="J72" i="18"/>
  <c r="J64" i="18"/>
  <c r="J63" i="18"/>
  <c r="J55" i="18"/>
  <c r="J54" i="18"/>
  <c r="J53" i="18"/>
  <c r="J52" i="18"/>
  <c r="J49" i="18"/>
  <c r="J48" i="18"/>
  <c r="J41" i="18"/>
  <c r="J40" i="18"/>
  <c r="J31" i="18"/>
  <c r="J32" i="18" s="1"/>
  <c r="J28" i="18"/>
  <c r="J27" i="18"/>
  <c r="J29" i="18" s="1"/>
  <c r="J20" i="18"/>
  <c r="J21" i="18" s="1"/>
  <c r="J12" i="18"/>
  <c r="J10" i="18"/>
  <c r="J13" i="18" s="1"/>
  <c r="J7" i="18"/>
  <c r="J6" i="18"/>
  <c r="J8" i="18" s="1"/>
  <c r="L699" i="12"/>
  <c r="L722" i="12"/>
  <c r="M722" i="12" s="1"/>
  <c r="L721" i="12"/>
  <c r="M721" i="12" s="1"/>
  <c r="L718" i="12"/>
  <c r="M718" i="12" s="1"/>
  <c r="L715" i="12"/>
  <c r="M715" i="12" s="1"/>
  <c r="L714" i="12"/>
  <c r="M714" i="12" s="1"/>
  <c r="L711" i="12"/>
  <c r="M711" i="12" s="1"/>
  <c r="L708" i="12"/>
  <c r="M708" i="12" s="1"/>
  <c r="L705" i="12"/>
  <c r="M705" i="12" s="1"/>
  <c r="L702" i="12"/>
  <c r="M702" i="12" s="1"/>
  <c r="N699" i="12" l="1"/>
  <c r="J14" i="18"/>
  <c r="J15" i="18" s="1"/>
  <c r="J16" i="18" s="1"/>
  <c r="J17" i="18" s="1"/>
  <c r="J42" i="18"/>
  <c r="J43" i="18" s="1"/>
  <c r="J65" i="18"/>
  <c r="J66" i="18" s="1"/>
  <c r="J67" i="18" s="1"/>
  <c r="J68" i="18" s="1"/>
  <c r="J108" i="18"/>
  <c r="J50" i="18"/>
  <c r="J96" i="18"/>
  <c r="J56" i="18"/>
  <c r="J33" i="18"/>
  <c r="J34" i="18" s="1"/>
  <c r="J35" i="18" s="1"/>
  <c r="J36" i="18" s="1"/>
  <c r="J127" i="18"/>
  <c r="J128" i="18" s="1"/>
  <c r="J132" i="18" s="1"/>
  <c r="J158" i="18"/>
  <c r="J159" i="18" s="1"/>
  <c r="J170" i="18" s="1"/>
  <c r="J171" i="18" s="1"/>
  <c r="J172" i="18" s="1"/>
  <c r="J173" i="18" s="1"/>
  <c r="J110" i="18"/>
  <c r="J111" i="18"/>
  <c r="J80" i="18"/>
  <c r="J97" i="18"/>
  <c r="J147" i="18"/>
  <c r="J22" i="18"/>
  <c r="J23" i="18" s="1"/>
  <c r="M699" i="12"/>
  <c r="N722" i="12"/>
  <c r="N721" i="12"/>
  <c r="N718" i="12"/>
  <c r="N715" i="12"/>
  <c r="N714" i="12"/>
  <c r="N711" i="12"/>
  <c r="N708" i="12"/>
  <c r="N705" i="12"/>
  <c r="N702" i="12"/>
  <c r="G90" i="17"/>
  <c r="G89" i="17"/>
  <c r="G88" i="17"/>
  <c r="G87" i="17"/>
  <c r="G86" i="17"/>
  <c r="G85" i="17"/>
  <c r="G84" i="17"/>
  <c r="G83" i="17"/>
  <c r="G82" i="17"/>
  <c r="G81" i="17"/>
  <c r="G80" i="17"/>
  <c r="G79" i="17"/>
  <c r="G78" i="17"/>
  <c r="G77" i="17"/>
  <c r="G76" i="17"/>
  <c r="G75" i="17"/>
  <c r="G74" i="17"/>
  <c r="G73" i="17"/>
  <c r="G72" i="17"/>
  <c r="G71" i="17"/>
  <c r="G70" i="17"/>
  <c r="G69" i="17"/>
  <c r="G68" i="17"/>
  <c r="G67" i="17"/>
  <c r="G66" i="17"/>
  <c r="G65" i="17"/>
  <c r="G64" i="17"/>
  <c r="G63" i="17"/>
  <c r="G62" i="17"/>
  <c r="G61" i="17"/>
  <c r="G60" i="17"/>
  <c r="G59" i="17"/>
  <c r="G58" i="17"/>
  <c r="G57" i="17"/>
  <c r="G56" i="17"/>
  <c r="G55" i="17"/>
  <c r="G54" i="17"/>
  <c r="G53" i="17"/>
  <c r="G52" i="17"/>
  <c r="G51" i="17"/>
  <c r="G50" i="17"/>
  <c r="G49" i="17"/>
  <c r="G48" i="17"/>
  <c r="G47" i="17"/>
  <c r="G46" i="17"/>
  <c r="G45" i="17"/>
  <c r="G44" i="17"/>
  <c r="G43" i="17"/>
  <c r="G42" i="17"/>
  <c r="G41" i="17"/>
  <c r="G40" i="17"/>
  <c r="G39" i="17"/>
  <c r="G38" i="17"/>
  <c r="G37" i="17"/>
  <c r="G36" i="17"/>
  <c r="G35" i="17"/>
  <c r="G34" i="17"/>
  <c r="G33" i="17"/>
  <c r="G32" i="17"/>
  <c r="G30" i="17"/>
  <c r="G29" i="17"/>
  <c r="G28" i="17"/>
  <c r="G27" i="17"/>
  <c r="G26" i="17"/>
  <c r="G25" i="17"/>
  <c r="G24" i="17"/>
  <c r="G23" i="17"/>
  <c r="G22" i="17"/>
  <c r="G21" i="17"/>
  <c r="G20" i="17"/>
  <c r="G19" i="17"/>
  <c r="G18" i="17"/>
  <c r="G17" i="17"/>
  <c r="G16" i="17"/>
  <c r="G15" i="17"/>
  <c r="G14" i="17"/>
  <c r="G13" i="17"/>
  <c r="G12" i="17"/>
  <c r="G11" i="17"/>
  <c r="G10" i="17"/>
  <c r="G9" i="17"/>
  <c r="G8" i="17"/>
  <c r="G7" i="17"/>
  <c r="G6" i="17"/>
  <c r="G5" i="17"/>
  <c r="G4" i="17"/>
  <c r="G3" i="17"/>
  <c r="K21" i="16"/>
  <c r="K89" i="16"/>
  <c r="M86" i="16"/>
  <c r="M85" i="16"/>
  <c r="M81" i="16"/>
  <c r="L80" i="16"/>
  <c r="L78" i="16"/>
  <c r="L72" i="16"/>
  <c r="L70" i="16"/>
  <c r="K66" i="16"/>
  <c r="L64" i="16"/>
  <c r="L62" i="16"/>
  <c r="L58" i="16"/>
  <c r="L56" i="16"/>
  <c r="L54" i="16"/>
  <c r="L50" i="16"/>
  <c r="L48" i="16"/>
  <c r="L46" i="16"/>
  <c r="M42" i="16"/>
  <c r="G40" i="16"/>
  <c r="K38" i="16"/>
  <c r="M34" i="16"/>
  <c r="G20" i="16"/>
  <c r="G18" i="16"/>
  <c r="K15" i="16"/>
  <c r="G14" i="16"/>
  <c r="G2" i="16"/>
  <c r="G3" i="16"/>
  <c r="G4" i="16"/>
  <c r="G5" i="16"/>
  <c r="G6" i="16"/>
  <c r="G7" i="16"/>
  <c r="G8" i="16"/>
  <c r="G9" i="16"/>
  <c r="G10" i="16"/>
  <c r="G11" i="16"/>
  <c r="G12" i="16"/>
  <c r="G13" i="16"/>
  <c r="G15" i="16"/>
  <c r="G16" i="16"/>
  <c r="G17" i="16"/>
  <c r="G19" i="16"/>
  <c r="G22" i="16"/>
  <c r="G23" i="16"/>
  <c r="G24" i="16"/>
  <c r="G25" i="16"/>
  <c r="G26" i="16"/>
  <c r="G27" i="16"/>
  <c r="G28" i="16"/>
  <c r="G29" i="16"/>
  <c r="M89" i="16"/>
  <c r="L89" i="16"/>
  <c r="G89" i="16"/>
  <c r="K88" i="16"/>
  <c r="G88" i="16"/>
  <c r="M87" i="16"/>
  <c r="L87" i="16"/>
  <c r="K87" i="16"/>
  <c r="G87" i="16"/>
  <c r="L86" i="16"/>
  <c r="K85" i="16"/>
  <c r="G85" i="16"/>
  <c r="M84" i="16"/>
  <c r="L84" i="16"/>
  <c r="K84" i="16"/>
  <c r="G84" i="16"/>
  <c r="M83" i="16"/>
  <c r="L83" i="16"/>
  <c r="K83" i="16"/>
  <c r="G83" i="16"/>
  <c r="L81" i="16"/>
  <c r="K81" i="16"/>
  <c r="M80" i="16"/>
  <c r="K80" i="16"/>
  <c r="G80" i="16"/>
  <c r="M79" i="16"/>
  <c r="L79" i="16"/>
  <c r="K79" i="16"/>
  <c r="G79" i="16"/>
  <c r="M78" i="16"/>
  <c r="K78" i="16"/>
  <c r="M77" i="16"/>
  <c r="L77" i="16"/>
  <c r="K77" i="16"/>
  <c r="G77" i="16"/>
  <c r="M76" i="16"/>
  <c r="L76" i="16"/>
  <c r="K76" i="16"/>
  <c r="G76" i="16"/>
  <c r="M75" i="16"/>
  <c r="L75" i="16"/>
  <c r="K75" i="16"/>
  <c r="G75" i="16"/>
  <c r="K74" i="16"/>
  <c r="M73" i="16"/>
  <c r="L73" i="16"/>
  <c r="K73" i="16"/>
  <c r="G73" i="16"/>
  <c r="M72" i="16"/>
  <c r="K72" i="16"/>
  <c r="G72" i="16"/>
  <c r="M71" i="16"/>
  <c r="L71" i="16"/>
  <c r="K71" i="16"/>
  <c r="G71" i="16"/>
  <c r="M70" i="16"/>
  <c r="K70" i="16"/>
  <c r="M69" i="16"/>
  <c r="L69" i="16"/>
  <c r="K69" i="16"/>
  <c r="G69" i="16"/>
  <c r="M68" i="16"/>
  <c r="L68" i="16"/>
  <c r="K68" i="16"/>
  <c r="G68" i="16"/>
  <c r="M67" i="16"/>
  <c r="L67" i="16"/>
  <c r="K67" i="16"/>
  <c r="G67" i="16"/>
  <c r="L66" i="16"/>
  <c r="M65" i="16"/>
  <c r="L65" i="16"/>
  <c r="K65" i="16"/>
  <c r="G65" i="16"/>
  <c r="M64" i="16"/>
  <c r="K64" i="16"/>
  <c r="M63" i="16"/>
  <c r="L63" i="16"/>
  <c r="K63" i="16"/>
  <c r="G63" i="16"/>
  <c r="M62" i="16"/>
  <c r="G62" i="16"/>
  <c r="M61" i="16"/>
  <c r="L61" i="16"/>
  <c r="K61" i="16"/>
  <c r="G61" i="16"/>
  <c r="M60" i="16"/>
  <c r="L60" i="16"/>
  <c r="K60" i="16"/>
  <c r="G60" i="16"/>
  <c r="M59" i="16"/>
  <c r="L59" i="16"/>
  <c r="K59" i="16"/>
  <c r="G59" i="16"/>
  <c r="M58" i="16"/>
  <c r="M57" i="16"/>
  <c r="L57" i="16"/>
  <c r="K57" i="16"/>
  <c r="G57" i="16"/>
  <c r="M56" i="16"/>
  <c r="K56" i="16"/>
  <c r="M55" i="16"/>
  <c r="L55" i="16"/>
  <c r="K55" i="16"/>
  <c r="G55" i="16"/>
  <c r="M54" i="16"/>
  <c r="G54" i="16"/>
  <c r="M53" i="16"/>
  <c r="L53" i="16"/>
  <c r="K53" i="16"/>
  <c r="G53" i="16"/>
  <c r="M52" i="16"/>
  <c r="L52" i="16"/>
  <c r="K52" i="16"/>
  <c r="G52" i="16"/>
  <c r="M51" i="16"/>
  <c r="L51" i="16"/>
  <c r="K51" i="16"/>
  <c r="G51" i="16"/>
  <c r="M50" i="16"/>
  <c r="M49" i="16"/>
  <c r="L49" i="16"/>
  <c r="K49" i="16"/>
  <c r="G49" i="16"/>
  <c r="M48" i="16"/>
  <c r="K48" i="16"/>
  <c r="M47" i="16"/>
  <c r="L47" i="16"/>
  <c r="K47" i="16"/>
  <c r="G47" i="16"/>
  <c r="M46" i="16"/>
  <c r="G46" i="16"/>
  <c r="M45" i="16"/>
  <c r="L45" i="16"/>
  <c r="K45" i="16"/>
  <c r="G45" i="16"/>
  <c r="M44" i="16"/>
  <c r="L44" i="16"/>
  <c r="K44" i="16"/>
  <c r="G44" i="16"/>
  <c r="M43" i="16"/>
  <c r="L43" i="16"/>
  <c r="K43" i="16"/>
  <c r="G43" i="16"/>
  <c r="M41" i="16"/>
  <c r="L41" i="16"/>
  <c r="K41" i="16"/>
  <c r="G41" i="16"/>
  <c r="M39" i="16"/>
  <c r="L39" i="16"/>
  <c r="K39" i="16"/>
  <c r="G39" i="16"/>
  <c r="M38" i="16"/>
  <c r="L38" i="16"/>
  <c r="M37" i="16"/>
  <c r="L37" i="16"/>
  <c r="K37" i="16"/>
  <c r="G37" i="16"/>
  <c r="M36" i="16"/>
  <c r="L36" i="16"/>
  <c r="K36" i="16"/>
  <c r="G36" i="16"/>
  <c r="M35" i="16"/>
  <c r="L35" i="16"/>
  <c r="K35" i="16"/>
  <c r="G35" i="16"/>
  <c r="L34" i="16"/>
  <c r="G34" i="16"/>
  <c r="M33" i="16"/>
  <c r="L33" i="16"/>
  <c r="K33" i="16"/>
  <c r="G33" i="16"/>
  <c r="M32" i="16"/>
  <c r="L32" i="16"/>
  <c r="K32" i="16"/>
  <c r="G32" i="16"/>
  <c r="G31" i="16"/>
  <c r="M29" i="16"/>
  <c r="L29" i="16"/>
  <c r="K29" i="16"/>
  <c r="M28" i="16"/>
  <c r="L28" i="16"/>
  <c r="K28" i="16"/>
  <c r="M27" i="16"/>
  <c r="L27" i="16"/>
  <c r="K27" i="16"/>
  <c r="M26" i="16"/>
  <c r="L26" i="16"/>
  <c r="K26" i="16"/>
  <c r="M25" i="16"/>
  <c r="L25" i="16"/>
  <c r="K25" i="16"/>
  <c r="M24" i="16"/>
  <c r="L24" i="16"/>
  <c r="K24" i="16"/>
  <c r="M23" i="16"/>
  <c r="L23" i="16"/>
  <c r="K23" i="16"/>
  <c r="M22" i="16"/>
  <c r="L22" i="16"/>
  <c r="K22" i="16"/>
  <c r="M20" i="16"/>
  <c r="L20" i="16"/>
  <c r="K20" i="16"/>
  <c r="M19" i="16"/>
  <c r="L19" i="16"/>
  <c r="K19" i="16"/>
  <c r="M18" i="16"/>
  <c r="L18" i="16"/>
  <c r="K18" i="16"/>
  <c r="M17" i="16"/>
  <c r="L17" i="16"/>
  <c r="K17" i="16"/>
  <c r="M16" i="16"/>
  <c r="L16" i="16"/>
  <c r="K16" i="16"/>
  <c r="L15" i="16"/>
  <c r="M14" i="16"/>
  <c r="L14" i="16"/>
  <c r="K14" i="16"/>
  <c r="M13" i="16"/>
  <c r="L13" i="16"/>
  <c r="K13" i="16"/>
  <c r="M12" i="16"/>
  <c r="L12" i="16"/>
  <c r="K12" i="16"/>
  <c r="M11" i="16"/>
  <c r="L11" i="16"/>
  <c r="K11" i="16"/>
  <c r="M10" i="16"/>
  <c r="L10" i="16"/>
  <c r="K10" i="16"/>
  <c r="M9" i="16"/>
  <c r="L9" i="16"/>
  <c r="K9" i="16"/>
  <c r="M8" i="16"/>
  <c r="L8" i="16"/>
  <c r="K8" i="16"/>
  <c r="M7" i="16"/>
  <c r="L7" i="16"/>
  <c r="K7" i="16"/>
  <c r="M6" i="16"/>
  <c r="L6" i="16"/>
  <c r="K6" i="16"/>
  <c r="M5" i="16"/>
  <c r="L5" i="16"/>
  <c r="K5" i="16"/>
  <c r="M4" i="16"/>
  <c r="L4" i="16"/>
  <c r="K4" i="16"/>
  <c r="M3" i="16"/>
  <c r="L3" i="16"/>
  <c r="K3" i="16"/>
  <c r="M2" i="16"/>
  <c r="L2" i="16"/>
  <c r="K2" i="16"/>
  <c r="K31" i="15"/>
  <c r="G31" i="15"/>
  <c r="K93" i="15"/>
  <c r="G93" i="15"/>
  <c r="J57" i="18" l="1"/>
  <c r="J58" i="18" s="1"/>
  <c r="J59" i="18" s="1"/>
  <c r="J60" i="18" s="1"/>
  <c r="N39" i="16"/>
  <c r="O39" i="16" s="1"/>
  <c r="P39" i="16" s="1"/>
  <c r="G91" i="17"/>
  <c r="J148" i="18"/>
  <c r="J149" i="18" s="1"/>
  <c r="J150" i="18" s="1"/>
  <c r="J98" i="18"/>
  <c r="J99" i="18" s="1"/>
  <c r="J100" i="18" s="1"/>
  <c r="J133" i="18"/>
  <c r="J134" i="18"/>
  <c r="J135" i="18" s="1"/>
  <c r="J81" i="18"/>
  <c r="J82" i="18" s="1"/>
  <c r="J83" i="18" s="1"/>
  <c r="J112" i="18"/>
  <c r="J113" i="18" s="1"/>
  <c r="N49" i="16"/>
  <c r="O49" i="16" s="1"/>
  <c r="P49" i="16" s="1"/>
  <c r="N80" i="16"/>
  <c r="O80" i="16" s="1"/>
  <c r="P80" i="16" s="1"/>
  <c r="N17" i="16"/>
  <c r="O17" i="16" s="1"/>
  <c r="P17" i="16" s="1"/>
  <c r="N73" i="16"/>
  <c r="O73" i="16" s="1"/>
  <c r="P73" i="16" s="1"/>
  <c r="G21" i="16"/>
  <c r="L21" i="16"/>
  <c r="N56" i="16"/>
  <c r="O56" i="16" s="1"/>
  <c r="P56" i="16" s="1"/>
  <c r="N60" i="16"/>
  <c r="O60" i="16" s="1"/>
  <c r="P60" i="16" s="1"/>
  <c r="N41" i="16"/>
  <c r="O41" i="16" s="1"/>
  <c r="P41" i="16" s="1"/>
  <c r="N89" i="16"/>
  <c r="O89" i="16" s="1"/>
  <c r="P89" i="16" s="1"/>
  <c r="N64" i="16"/>
  <c r="O64" i="16" s="1"/>
  <c r="P64" i="16" s="1"/>
  <c r="M15" i="16"/>
  <c r="N15" i="16" s="1"/>
  <c r="O15" i="16" s="1"/>
  <c r="P15" i="16" s="1"/>
  <c r="N35" i="16"/>
  <c r="O35" i="16" s="1"/>
  <c r="P35" i="16" s="1"/>
  <c r="K40" i="16"/>
  <c r="M66" i="16"/>
  <c r="N66" i="16" s="1"/>
  <c r="O66" i="16" s="1"/>
  <c r="P66" i="16" s="1"/>
  <c r="N71" i="16"/>
  <c r="O71" i="16" s="1"/>
  <c r="P71" i="16" s="1"/>
  <c r="L74" i="16"/>
  <c r="N79" i="16"/>
  <c r="O79" i="16" s="1"/>
  <c r="P79" i="16" s="1"/>
  <c r="G81" i="16"/>
  <c r="K82" i="16"/>
  <c r="L85" i="16"/>
  <c r="N85" i="16" s="1"/>
  <c r="O85" i="16" s="1"/>
  <c r="P85" i="16" s="1"/>
  <c r="L88" i="16"/>
  <c r="N72" i="16"/>
  <c r="O72" i="16" s="1"/>
  <c r="P72" i="16" s="1"/>
  <c r="L40" i="16"/>
  <c r="K46" i="16"/>
  <c r="N46" i="16" s="1"/>
  <c r="O46" i="16" s="1"/>
  <c r="P46" i="16" s="1"/>
  <c r="G48" i="16"/>
  <c r="K54" i="16"/>
  <c r="N54" i="16" s="1"/>
  <c r="O54" i="16" s="1"/>
  <c r="P54" i="16" s="1"/>
  <c r="G56" i="16"/>
  <c r="N57" i="16"/>
  <c r="O57" i="16" s="1"/>
  <c r="P57" i="16" s="1"/>
  <c r="K62" i="16"/>
  <c r="N62" i="16" s="1"/>
  <c r="O62" i="16" s="1"/>
  <c r="P62" i="16" s="1"/>
  <c r="G64" i="16"/>
  <c r="N65" i="16"/>
  <c r="O65" i="16" s="1"/>
  <c r="P65" i="16" s="1"/>
  <c r="N68" i="16"/>
  <c r="O68" i="16" s="1"/>
  <c r="P68" i="16" s="1"/>
  <c r="G70" i="16"/>
  <c r="M74" i="16"/>
  <c r="N76" i="16"/>
  <c r="O76" i="16" s="1"/>
  <c r="P76" i="16" s="1"/>
  <c r="G78" i="16"/>
  <c r="L82" i="16"/>
  <c r="M88" i="16"/>
  <c r="N2" i="16"/>
  <c r="O2" i="16" s="1"/>
  <c r="P2" i="16" s="1"/>
  <c r="N4" i="16"/>
  <c r="O4" i="16" s="1"/>
  <c r="P4" i="16" s="1"/>
  <c r="N6" i="16"/>
  <c r="O6" i="16" s="1"/>
  <c r="P6" i="16" s="1"/>
  <c r="K34" i="16"/>
  <c r="N34" i="16" s="1"/>
  <c r="O34" i="16" s="1"/>
  <c r="P34" i="16" s="1"/>
  <c r="M40" i="16"/>
  <c r="G42" i="16"/>
  <c r="N81" i="16"/>
  <c r="O81" i="16" s="1"/>
  <c r="P81" i="16" s="1"/>
  <c r="M82" i="16"/>
  <c r="N84" i="16"/>
  <c r="O84" i="16" s="1"/>
  <c r="P84" i="16" s="1"/>
  <c r="G86" i="16"/>
  <c r="N87" i="16"/>
  <c r="O87" i="16" s="1"/>
  <c r="P87" i="16" s="1"/>
  <c r="G50" i="16"/>
  <c r="G58" i="16"/>
  <c r="N78" i="16"/>
  <c r="O78" i="16" s="1"/>
  <c r="P78" i="16" s="1"/>
  <c r="N33" i="16"/>
  <c r="O33" i="16" s="1"/>
  <c r="P33" i="16" s="1"/>
  <c r="N36" i="16"/>
  <c r="O36" i="16" s="1"/>
  <c r="P36" i="16" s="1"/>
  <c r="G38" i="16"/>
  <c r="K42" i="16"/>
  <c r="G66" i="16"/>
  <c r="N75" i="16"/>
  <c r="O75" i="16" s="1"/>
  <c r="P75" i="16" s="1"/>
  <c r="K86" i="16"/>
  <c r="N86" i="16" s="1"/>
  <c r="O86" i="16" s="1"/>
  <c r="P86" i="16" s="1"/>
  <c r="L42" i="16"/>
  <c r="K50" i="16"/>
  <c r="N50" i="16" s="1"/>
  <c r="O50" i="16" s="1"/>
  <c r="P50" i="16" s="1"/>
  <c r="G74" i="16"/>
  <c r="G82" i="16"/>
  <c r="K58" i="16"/>
  <c r="N58" i="16" s="1"/>
  <c r="O58" i="16" s="1"/>
  <c r="P58" i="16" s="1"/>
  <c r="N3" i="16"/>
  <c r="O3" i="16" s="1"/>
  <c r="P3" i="16" s="1"/>
  <c r="N5" i="16"/>
  <c r="O5" i="16" s="1"/>
  <c r="P5" i="16" s="1"/>
  <c r="N7" i="16"/>
  <c r="O7" i="16" s="1"/>
  <c r="P7" i="16" s="1"/>
  <c r="N9" i="16"/>
  <c r="O9" i="16" s="1"/>
  <c r="P9" i="16" s="1"/>
  <c r="N11" i="16"/>
  <c r="O11" i="16" s="1"/>
  <c r="P11" i="16" s="1"/>
  <c r="N13" i="16"/>
  <c r="O13" i="16" s="1"/>
  <c r="P13" i="16" s="1"/>
  <c r="N77" i="16"/>
  <c r="O77" i="16" s="1"/>
  <c r="P77" i="16" s="1"/>
  <c r="N20" i="16"/>
  <c r="O20" i="16" s="1"/>
  <c r="P20" i="16" s="1"/>
  <c r="N51" i="16"/>
  <c r="O51" i="16" s="1"/>
  <c r="P51" i="16" s="1"/>
  <c r="N61" i="16"/>
  <c r="O61" i="16" s="1"/>
  <c r="P61" i="16" s="1"/>
  <c r="N23" i="16"/>
  <c r="O23" i="16" s="1"/>
  <c r="P23" i="16" s="1"/>
  <c r="N25" i="16"/>
  <c r="O25" i="16" s="1"/>
  <c r="P25" i="16" s="1"/>
  <c r="N27" i="16"/>
  <c r="O27" i="16" s="1"/>
  <c r="P27" i="16" s="1"/>
  <c r="N29" i="16"/>
  <c r="O29" i="16" s="1"/>
  <c r="P29" i="16" s="1"/>
  <c r="N67" i="16"/>
  <c r="O67" i="16" s="1"/>
  <c r="P67" i="16" s="1"/>
  <c r="N38" i="16"/>
  <c r="O38" i="16" s="1"/>
  <c r="P38" i="16" s="1"/>
  <c r="N45" i="16"/>
  <c r="O45" i="16" s="1"/>
  <c r="P45" i="16" s="1"/>
  <c r="N48" i="16"/>
  <c r="O48" i="16" s="1"/>
  <c r="P48" i="16" s="1"/>
  <c r="N53" i="16"/>
  <c r="O53" i="16" s="1"/>
  <c r="P53" i="16" s="1"/>
  <c r="N63" i="16"/>
  <c r="O63" i="16" s="1"/>
  <c r="P63" i="16" s="1"/>
  <c r="N70" i="16"/>
  <c r="O70" i="16" s="1"/>
  <c r="P70" i="16" s="1"/>
  <c r="N8" i="16"/>
  <c r="O8" i="16" s="1"/>
  <c r="P8" i="16" s="1"/>
  <c r="N14" i="16"/>
  <c r="O14" i="16" s="1"/>
  <c r="P14" i="16" s="1"/>
  <c r="N83" i="16"/>
  <c r="O83" i="16" s="1"/>
  <c r="P83" i="16" s="1"/>
  <c r="N43" i="16"/>
  <c r="O43" i="16" s="1"/>
  <c r="P43" i="16" s="1"/>
  <c r="N10" i="16"/>
  <c r="O10" i="16" s="1"/>
  <c r="P10" i="16" s="1"/>
  <c r="N12" i="16"/>
  <c r="O12" i="16" s="1"/>
  <c r="P12" i="16" s="1"/>
  <c r="N16" i="16"/>
  <c r="O16" i="16" s="1"/>
  <c r="P16" i="16" s="1"/>
  <c r="N44" i="16"/>
  <c r="O44" i="16" s="1"/>
  <c r="P44" i="16" s="1"/>
  <c r="N47" i="16"/>
  <c r="O47" i="16" s="1"/>
  <c r="P47" i="16" s="1"/>
  <c r="N55" i="16"/>
  <c r="O55" i="16" s="1"/>
  <c r="P55" i="16" s="1"/>
  <c r="N22" i="16"/>
  <c r="O22" i="16" s="1"/>
  <c r="P22" i="16" s="1"/>
  <c r="N24" i="16"/>
  <c r="O24" i="16" s="1"/>
  <c r="P24" i="16" s="1"/>
  <c r="N26" i="16"/>
  <c r="O26" i="16" s="1"/>
  <c r="P26" i="16" s="1"/>
  <c r="N28" i="16"/>
  <c r="O28" i="16" s="1"/>
  <c r="P28" i="16" s="1"/>
  <c r="N37" i="16"/>
  <c r="O37" i="16" s="1"/>
  <c r="P37" i="16" s="1"/>
  <c r="N52" i="16"/>
  <c r="O52" i="16" s="1"/>
  <c r="P52" i="16" s="1"/>
  <c r="N59" i="16"/>
  <c r="O59" i="16" s="1"/>
  <c r="P59" i="16" s="1"/>
  <c r="N69" i="16"/>
  <c r="O69" i="16" s="1"/>
  <c r="P69" i="16" s="1"/>
  <c r="N18" i="16"/>
  <c r="O18" i="16" s="1"/>
  <c r="P18" i="16" s="1"/>
  <c r="N19" i="16"/>
  <c r="O19" i="16" s="1"/>
  <c r="P19" i="16" s="1"/>
  <c r="N32" i="16"/>
  <c r="O32" i="16" s="1"/>
  <c r="P32" i="16" s="1"/>
  <c r="M21" i="16"/>
  <c r="J33" i="15"/>
  <c r="K33" i="15" s="1"/>
  <c r="J34" i="15"/>
  <c r="K34" i="15" s="1"/>
  <c r="J35" i="15"/>
  <c r="K35" i="15" s="1"/>
  <c r="J36" i="15"/>
  <c r="K36" i="15" s="1"/>
  <c r="J37" i="15"/>
  <c r="K37" i="15" s="1"/>
  <c r="J38" i="15"/>
  <c r="K38" i="15" s="1"/>
  <c r="J39" i="15"/>
  <c r="J40" i="15"/>
  <c r="K40" i="15" s="1"/>
  <c r="J41" i="15"/>
  <c r="K41" i="15" s="1"/>
  <c r="J42" i="15"/>
  <c r="J43" i="15"/>
  <c r="K43" i="15" s="1"/>
  <c r="J44" i="15"/>
  <c r="J45" i="15"/>
  <c r="J46" i="15"/>
  <c r="K46" i="15" s="1"/>
  <c r="J47" i="15"/>
  <c r="J48" i="15"/>
  <c r="K48" i="15" s="1"/>
  <c r="J49" i="15"/>
  <c r="K49" i="15" s="1"/>
  <c r="J50" i="15"/>
  <c r="K50" i="15" s="1"/>
  <c r="J51" i="15"/>
  <c r="K51" i="15" s="1"/>
  <c r="J52" i="15"/>
  <c r="K52" i="15" s="1"/>
  <c r="J53" i="15"/>
  <c r="J54" i="15"/>
  <c r="J55" i="15"/>
  <c r="J56" i="15"/>
  <c r="K56" i="15" s="1"/>
  <c r="J57" i="15"/>
  <c r="K57" i="15" s="1"/>
  <c r="J58" i="15"/>
  <c r="K58" i="15" s="1"/>
  <c r="J59" i="15"/>
  <c r="K59" i="15" s="1"/>
  <c r="J60" i="15"/>
  <c r="K60" i="15" s="1"/>
  <c r="J61" i="15"/>
  <c r="J62" i="15"/>
  <c r="K62" i="15" s="1"/>
  <c r="J63" i="15"/>
  <c r="J64" i="15"/>
  <c r="K64" i="15" s="1"/>
  <c r="J65" i="15"/>
  <c r="K65" i="15" s="1"/>
  <c r="J66" i="15"/>
  <c r="J67" i="15"/>
  <c r="K67" i="15" s="1"/>
  <c r="J68" i="15"/>
  <c r="K68" i="15" s="1"/>
  <c r="J69" i="15"/>
  <c r="J70" i="15"/>
  <c r="K70" i="15" s="1"/>
  <c r="J71" i="15"/>
  <c r="J72" i="15"/>
  <c r="J73" i="15"/>
  <c r="K73" i="15" s="1"/>
  <c r="J74" i="15"/>
  <c r="J75" i="15"/>
  <c r="K75" i="15" s="1"/>
  <c r="J76" i="15"/>
  <c r="J77" i="15"/>
  <c r="J78" i="15"/>
  <c r="K78" i="15" s="1"/>
  <c r="J79" i="15"/>
  <c r="J80" i="15"/>
  <c r="K80" i="15" s="1"/>
  <c r="J81" i="15"/>
  <c r="K81" i="15" s="1"/>
  <c r="J82" i="15"/>
  <c r="K82" i="15" s="1"/>
  <c r="J83" i="15"/>
  <c r="K83" i="15" s="1"/>
  <c r="J84" i="15"/>
  <c r="K84" i="15" s="1"/>
  <c r="J85" i="15"/>
  <c r="J86" i="15"/>
  <c r="J87" i="15"/>
  <c r="J88" i="15"/>
  <c r="K88" i="15" s="1"/>
  <c r="J89" i="15"/>
  <c r="K89" i="15" s="1"/>
  <c r="J32" i="15"/>
  <c r="K32" i="15" s="1"/>
  <c r="K3" i="15"/>
  <c r="K4" i="15"/>
  <c r="K5" i="15"/>
  <c r="K6" i="15"/>
  <c r="K7" i="15"/>
  <c r="K8" i="15"/>
  <c r="K9" i="15"/>
  <c r="K10" i="15"/>
  <c r="K11" i="15"/>
  <c r="K12" i="15"/>
  <c r="K13" i="15"/>
  <c r="K19" i="15"/>
  <c r="K22" i="15"/>
  <c r="K23" i="15"/>
  <c r="K24" i="15"/>
  <c r="K25" i="15"/>
  <c r="K26" i="15"/>
  <c r="K27" i="15"/>
  <c r="K28" i="15"/>
  <c r="K29" i="15"/>
  <c r="K39" i="15"/>
  <c r="K42" i="15"/>
  <c r="K44" i="15"/>
  <c r="K45" i="15"/>
  <c r="K47" i="15"/>
  <c r="K53" i="15"/>
  <c r="K54" i="15"/>
  <c r="K55" i="15"/>
  <c r="K61" i="15"/>
  <c r="K63" i="15"/>
  <c r="K66" i="15"/>
  <c r="K69" i="15"/>
  <c r="K71" i="15"/>
  <c r="K72" i="15"/>
  <c r="K74" i="15"/>
  <c r="K76" i="15"/>
  <c r="K77" i="15"/>
  <c r="K79" i="15"/>
  <c r="K85" i="15"/>
  <c r="K86" i="15"/>
  <c r="K87" i="15"/>
  <c r="K2" i="15"/>
  <c r="J21" i="15"/>
  <c r="K21" i="15" s="1"/>
  <c r="F21" i="15"/>
  <c r="N21" i="15" s="1"/>
  <c r="J20" i="15"/>
  <c r="K20" i="15" s="1"/>
  <c r="J15" i="15"/>
  <c r="K15" i="15" s="1"/>
  <c r="J16" i="15"/>
  <c r="K16" i="15" s="1"/>
  <c r="J17" i="15"/>
  <c r="K17" i="15" s="1"/>
  <c r="J18" i="15"/>
  <c r="K18" i="15" s="1"/>
  <c r="J14" i="15"/>
  <c r="K14" i="15" s="1"/>
  <c r="P2" i="15"/>
  <c r="P3" i="15"/>
  <c r="P4" i="15"/>
  <c r="P5" i="15"/>
  <c r="P6" i="15"/>
  <c r="P7" i="15"/>
  <c r="P8" i="15"/>
  <c r="P9" i="15"/>
  <c r="P10" i="15"/>
  <c r="P11" i="15"/>
  <c r="P12" i="15"/>
  <c r="P13" i="15"/>
  <c r="P14" i="15"/>
  <c r="P15" i="15"/>
  <c r="P16" i="15"/>
  <c r="P17" i="15"/>
  <c r="P18" i="15"/>
  <c r="P19" i="15"/>
  <c r="P20" i="15"/>
  <c r="P22" i="15"/>
  <c r="P23" i="15"/>
  <c r="P24" i="15"/>
  <c r="P25" i="15"/>
  <c r="P26" i="15"/>
  <c r="P27" i="15"/>
  <c r="P28" i="15"/>
  <c r="P29"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N3" i="15"/>
  <c r="O3" i="15"/>
  <c r="N4" i="15"/>
  <c r="O4" i="15"/>
  <c r="N5" i="15"/>
  <c r="O5" i="15"/>
  <c r="N6" i="15"/>
  <c r="O6" i="15"/>
  <c r="N7" i="15"/>
  <c r="O7" i="15"/>
  <c r="N8" i="15"/>
  <c r="O8" i="15"/>
  <c r="N9" i="15"/>
  <c r="O9" i="15"/>
  <c r="N10" i="15"/>
  <c r="O10" i="15"/>
  <c r="N11" i="15"/>
  <c r="O11" i="15"/>
  <c r="N12" i="15"/>
  <c r="O12" i="15"/>
  <c r="N13" i="15"/>
  <c r="O13" i="15"/>
  <c r="N14" i="15"/>
  <c r="O14" i="15"/>
  <c r="N15" i="15"/>
  <c r="O15" i="15"/>
  <c r="N16" i="15"/>
  <c r="O16" i="15"/>
  <c r="N17" i="15"/>
  <c r="O17" i="15"/>
  <c r="N18" i="15"/>
  <c r="O18" i="15"/>
  <c r="N19" i="15"/>
  <c r="O19" i="15"/>
  <c r="N20" i="15"/>
  <c r="O20" i="15"/>
  <c r="O21" i="15"/>
  <c r="N22" i="15"/>
  <c r="O22" i="15"/>
  <c r="N23" i="15"/>
  <c r="O23" i="15"/>
  <c r="N24" i="15"/>
  <c r="O24" i="15"/>
  <c r="N25" i="15"/>
  <c r="O25" i="15"/>
  <c r="N26" i="15"/>
  <c r="O26" i="15"/>
  <c r="N27" i="15"/>
  <c r="O27" i="15"/>
  <c r="N28" i="15"/>
  <c r="O28" i="15"/>
  <c r="N29" i="15"/>
  <c r="O29" i="15"/>
  <c r="N32" i="15"/>
  <c r="O32" i="15"/>
  <c r="N33" i="15"/>
  <c r="O33" i="15"/>
  <c r="N34" i="15"/>
  <c r="O34" i="15"/>
  <c r="N35" i="15"/>
  <c r="O35" i="15"/>
  <c r="N36" i="15"/>
  <c r="O36" i="15"/>
  <c r="N37" i="15"/>
  <c r="O37" i="15"/>
  <c r="N38" i="15"/>
  <c r="O38" i="15"/>
  <c r="N39" i="15"/>
  <c r="O39" i="15"/>
  <c r="N40" i="15"/>
  <c r="O40" i="15"/>
  <c r="N41" i="15"/>
  <c r="O41" i="15"/>
  <c r="N42" i="15"/>
  <c r="O42" i="15"/>
  <c r="N43" i="15"/>
  <c r="O43" i="15"/>
  <c r="N44" i="15"/>
  <c r="O44" i="15"/>
  <c r="N45" i="15"/>
  <c r="O45" i="15"/>
  <c r="N46" i="15"/>
  <c r="O46" i="15"/>
  <c r="N47" i="15"/>
  <c r="O47" i="15"/>
  <c r="N48" i="15"/>
  <c r="O48" i="15"/>
  <c r="N49" i="15"/>
  <c r="O49" i="15"/>
  <c r="N50" i="15"/>
  <c r="O50" i="15"/>
  <c r="N51" i="15"/>
  <c r="O51" i="15"/>
  <c r="N52" i="15"/>
  <c r="O52" i="15"/>
  <c r="N53" i="15"/>
  <c r="O53" i="15"/>
  <c r="N54" i="15"/>
  <c r="O54" i="15"/>
  <c r="N55" i="15"/>
  <c r="O55" i="15"/>
  <c r="N56" i="15"/>
  <c r="O56" i="15"/>
  <c r="N57" i="15"/>
  <c r="O57" i="15"/>
  <c r="N58" i="15"/>
  <c r="O58" i="15"/>
  <c r="N59" i="15"/>
  <c r="O59" i="15"/>
  <c r="N60" i="15"/>
  <c r="O60" i="15"/>
  <c r="N61" i="15"/>
  <c r="O61" i="15"/>
  <c r="N62" i="15"/>
  <c r="O62" i="15"/>
  <c r="N63" i="15"/>
  <c r="O63" i="15"/>
  <c r="N64" i="15"/>
  <c r="O64" i="15"/>
  <c r="N65" i="15"/>
  <c r="O65" i="15"/>
  <c r="N66" i="15"/>
  <c r="O66" i="15"/>
  <c r="N67" i="15"/>
  <c r="O67" i="15"/>
  <c r="N68" i="15"/>
  <c r="O68" i="15"/>
  <c r="N69" i="15"/>
  <c r="O69" i="15"/>
  <c r="N70" i="15"/>
  <c r="O70" i="15"/>
  <c r="N71" i="15"/>
  <c r="O71" i="15"/>
  <c r="N72" i="15"/>
  <c r="O72" i="15"/>
  <c r="N73" i="15"/>
  <c r="O73" i="15"/>
  <c r="N74" i="15"/>
  <c r="O74" i="15"/>
  <c r="N75" i="15"/>
  <c r="O75" i="15"/>
  <c r="N76" i="15"/>
  <c r="O76" i="15"/>
  <c r="N77" i="15"/>
  <c r="O77" i="15"/>
  <c r="N78" i="15"/>
  <c r="O78" i="15"/>
  <c r="N79" i="15"/>
  <c r="O79" i="15"/>
  <c r="N80" i="15"/>
  <c r="O80" i="15"/>
  <c r="N81" i="15"/>
  <c r="O81" i="15"/>
  <c r="N82" i="15"/>
  <c r="O82" i="15"/>
  <c r="N83" i="15"/>
  <c r="O83" i="15"/>
  <c r="N84" i="15"/>
  <c r="O84" i="15"/>
  <c r="N85" i="15"/>
  <c r="O85" i="15"/>
  <c r="N86" i="15"/>
  <c r="O86" i="15"/>
  <c r="N87" i="15"/>
  <c r="O87" i="15"/>
  <c r="N88" i="15"/>
  <c r="O88" i="15"/>
  <c r="N89" i="15"/>
  <c r="O89" i="15"/>
  <c r="O2" i="15"/>
  <c r="N2" i="15"/>
  <c r="L724" i="12"/>
  <c r="L723" i="12"/>
  <c r="G86" i="15"/>
  <c r="G87" i="15"/>
  <c r="G88" i="15"/>
  <c r="G89" i="15"/>
  <c r="G78" i="15"/>
  <c r="G79" i="15"/>
  <c r="G80" i="15"/>
  <c r="G81" i="15"/>
  <c r="G82" i="15"/>
  <c r="G83" i="15"/>
  <c r="G84" i="15"/>
  <c r="G85" i="15"/>
  <c r="G77" i="15"/>
  <c r="G76" i="15"/>
  <c r="G75" i="15"/>
  <c r="G74" i="15"/>
  <c r="G73" i="15"/>
  <c r="G72" i="15"/>
  <c r="G27" i="15"/>
  <c r="G19" i="15"/>
  <c r="G2" i="15"/>
  <c r="G3" i="15"/>
  <c r="G4" i="15"/>
  <c r="G5" i="15"/>
  <c r="G6" i="15"/>
  <c r="G7" i="15"/>
  <c r="G8" i="15"/>
  <c r="G9" i="15"/>
  <c r="G10" i="15"/>
  <c r="G11" i="15"/>
  <c r="G12" i="15"/>
  <c r="G13" i="15"/>
  <c r="G14" i="15"/>
  <c r="G15" i="15"/>
  <c r="G16" i="15"/>
  <c r="G17" i="15"/>
  <c r="G18" i="15"/>
  <c r="G20" i="15"/>
  <c r="G21" i="15"/>
  <c r="G22" i="15"/>
  <c r="G23" i="15"/>
  <c r="G24" i="15"/>
  <c r="G25" i="15"/>
  <c r="G26" i="15"/>
  <c r="G28" i="15"/>
  <c r="G29"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L751" i="12"/>
  <c r="L750" i="12"/>
  <c r="L749" i="12"/>
  <c r="L748" i="12"/>
  <c r="L747" i="12"/>
  <c r="L746" i="12"/>
  <c r="L745" i="12"/>
  <c r="L742" i="12"/>
  <c r="L741" i="12"/>
  <c r="L740" i="12"/>
  <c r="L739" i="12"/>
  <c r="L738" i="12"/>
  <c r="H100" i="12"/>
  <c r="H19" i="3" l="1"/>
  <c r="G19" i="3"/>
  <c r="G20" i="3"/>
  <c r="H20" i="3"/>
  <c r="L757" i="12"/>
  <c r="P21" i="15"/>
  <c r="Q21" i="15" s="1"/>
  <c r="R21" i="15" s="1"/>
  <c r="S21" i="15" s="1"/>
  <c r="N21" i="16"/>
  <c r="O21" i="16" s="1"/>
  <c r="P21" i="16" s="1"/>
  <c r="N82" i="16"/>
  <c r="O82" i="16" s="1"/>
  <c r="P82" i="16" s="1"/>
  <c r="N42" i="16"/>
  <c r="O42" i="16" s="1"/>
  <c r="P42" i="16" s="1"/>
  <c r="G90" i="16"/>
  <c r="N88" i="16"/>
  <c r="O88" i="16" s="1"/>
  <c r="P88" i="16" s="1"/>
  <c r="N40" i="16"/>
  <c r="O40" i="16" s="1"/>
  <c r="P40" i="16" s="1"/>
  <c r="N74" i="16"/>
  <c r="O74" i="16" s="1"/>
  <c r="P74" i="16" s="1"/>
  <c r="Q23" i="15"/>
  <c r="R23" i="15" s="1"/>
  <c r="S23" i="15" s="1"/>
  <c r="Q41" i="15"/>
  <c r="R41" i="15" s="1"/>
  <c r="S41" i="15" s="1"/>
  <c r="Q14" i="15"/>
  <c r="R14" i="15" s="1"/>
  <c r="S14" i="15" s="1"/>
  <c r="Q22" i="15"/>
  <c r="R22" i="15" s="1"/>
  <c r="S22" i="15" s="1"/>
  <c r="Q79" i="15"/>
  <c r="R79" i="15" s="1"/>
  <c r="S79" i="15" s="1"/>
  <c r="Q32" i="15"/>
  <c r="R32" i="15" s="1"/>
  <c r="S32" i="15" s="1"/>
  <c r="K90" i="15"/>
  <c r="Q82" i="15"/>
  <c r="R82" i="15" s="1"/>
  <c r="S82" i="15" s="1"/>
  <c r="Q74" i="15"/>
  <c r="R74" i="15" s="1"/>
  <c r="S74" i="15" s="1"/>
  <c r="Q58" i="15"/>
  <c r="R58" i="15" s="1"/>
  <c r="S58" i="15" s="1"/>
  <c r="Q20" i="15"/>
  <c r="R20" i="15" s="1"/>
  <c r="S20" i="15" s="1"/>
  <c r="Q66" i="15"/>
  <c r="R66" i="15" s="1"/>
  <c r="S66" i="15" s="1"/>
  <c r="Q50" i="15"/>
  <c r="R50" i="15" s="1"/>
  <c r="S50" i="15" s="1"/>
  <c r="Q38" i="15"/>
  <c r="R38" i="15" s="1"/>
  <c r="S38" i="15" s="1"/>
  <c r="Q28" i="15"/>
  <c r="R28" i="15" s="1"/>
  <c r="S28" i="15" s="1"/>
  <c r="Q12" i="15"/>
  <c r="R12" i="15" s="1"/>
  <c r="S12" i="15" s="1"/>
  <c r="Q77" i="15"/>
  <c r="R77" i="15" s="1"/>
  <c r="S77" i="15" s="1"/>
  <c r="Q69" i="15"/>
  <c r="R69" i="15" s="1"/>
  <c r="S69" i="15" s="1"/>
  <c r="Q61" i="15"/>
  <c r="R61" i="15" s="1"/>
  <c r="S61" i="15" s="1"/>
  <c r="Q53" i="15"/>
  <c r="R53" i="15" s="1"/>
  <c r="S53" i="15" s="1"/>
  <c r="Q45" i="15"/>
  <c r="R45" i="15" s="1"/>
  <c r="S45" i="15" s="1"/>
  <c r="Q16" i="15"/>
  <c r="R16" i="15" s="1"/>
  <c r="S16" i="15" s="1"/>
  <c r="Q70" i="15"/>
  <c r="R70" i="15" s="1"/>
  <c r="S70" i="15" s="1"/>
  <c r="Q42" i="15"/>
  <c r="R42" i="15" s="1"/>
  <c r="S42" i="15" s="1"/>
  <c r="Q34" i="15"/>
  <c r="R34" i="15" s="1"/>
  <c r="S34" i="15" s="1"/>
  <c r="Q8" i="15"/>
  <c r="R8" i="15" s="1"/>
  <c r="S8" i="15" s="1"/>
  <c r="Q86" i="15"/>
  <c r="R86" i="15" s="1"/>
  <c r="S86" i="15" s="1"/>
  <c r="Q62" i="15"/>
  <c r="R62" i="15" s="1"/>
  <c r="S62" i="15" s="1"/>
  <c r="Q4" i="15"/>
  <c r="R4" i="15" s="1"/>
  <c r="S4" i="15" s="1"/>
  <c r="Q83" i="15"/>
  <c r="R83" i="15" s="1"/>
  <c r="S83" i="15" s="1"/>
  <c r="Q27" i="15"/>
  <c r="R27" i="15" s="1"/>
  <c r="S27" i="15" s="1"/>
  <c r="Q19" i="15"/>
  <c r="R19" i="15" s="1"/>
  <c r="S19" i="15" s="1"/>
  <c r="Q11" i="15"/>
  <c r="R11" i="15" s="1"/>
  <c r="S11" i="15" s="1"/>
  <c r="Q7" i="15"/>
  <c r="R7" i="15" s="1"/>
  <c r="S7" i="15" s="1"/>
  <c r="Q3" i="15"/>
  <c r="R3" i="15" s="1"/>
  <c r="S3" i="15" s="1"/>
  <c r="Q2" i="15"/>
  <c r="R2" i="15" s="1"/>
  <c r="S2" i="15" s="1"/>
  <c r="Q71" i="15"/>
  <c r="R71" i="15" s="1"/>
  <c r="S71" i="15" s="1"/>
  <c r="Q56" i="15"/>
  <c r="R56" i="15" s="1"/>
  <c r="S56" i="15" s="1"/>
  <c r="Q47" i="15"/>
  <c r="R47" i="15" s="1"/>
  <c r="S47" i="15" s="1"/>
  <c r="Q73" i="15"/>
  <c r="R73" i="15" s="1"/>
  <c r="S73" i="15" s="1"/>
  <c r="Q24" i="15"/>
  <c r="R24" i="15" s="1"/>
  <c r="S24" i="15" s="1"/>
  <c r="Q80" i="15"/>
  <c r="R80" i="15" s="1"/>
  <c r="S80" i="15" s="1"/>
  <c r="Q76" i="15"/>
  <c r="R76" i="15" s="1"/>
  <c r="S76" i="15" s="1"/>
  <c r="Q51" i="15"/>
  <c r="R51" i="15" s="1"/>
  <c r="S51" i="15" s="1"/>
  <c r="Q48" i="15"/>
  <c r="R48" i="15" s="1"/>
  <c r="S48" i="15" s="1"/>
  <c r="Q44" i="15"/>
  <c r="R44" i="15" s="1"/>
  <c r="S44" i="15" s="1"/>
  <c r="Q37" i="15"/>
  <c r="R37" i="15" s="1"/>
  <c r="S37" i="15" s="1"/>
  <c r="Q33" i="15"/>
  <c r="R33" i="15" s="1"/>
  <c r="S33" i="15" s="1"/>
  <c r="Q6" i="15"/>
  <c r="R6" i="15" s="1"/>
  <c r="S6" i="15" s="1"/>
  <c r="Q72" i="15"/>
  <c r="R72" i="15" s="1"/>
  <c r="S72" i="15" s="1"/>
  <c r="Q65" i="15"/>
  <c r="R65" i="15" s="1"/>
  <c r="S65" i="15" s="1"/>
  <c r="Q54" i="15"/>
  <c r="R54" i="15" s="1"/>
  <c r="S54" i="15" s="1"/>
  <c r="Q40" i="15"/>
  <c r="R40" i="15" s="1"/>
  <c r="S40" i="15" s="1"/>
  <c r="Q57" i="15"/>
  <c r="R57" i="15" s="1"/>
  <c r="S57" i="15" s="1"/>
  <c r="Q15" i="15"/>
  <c r="R15" i="15" s="1"/>
  <c r="S15" i="15" s="1"/>
  <c r="Q18" i="15"/>
  <c r="R18" i="15" s="1"/>
  <c r="S18" i="15" s="1"/>
  <c r="Q87" i="15"/>
  <c r="R87" i="15" s="1"/>
  <c r="S87" i="15" s="1"/>
  <c r="Q63" i="15"/>
  <c r="R63" i="15" s="1"/>
  <c r="S63" i="15" s="1"/>
  <c r="Q55" i="15"/>
  <c r="R55" i="15" s="1"/>
  <c r="S55" i="15" s="1"/>
  <c r="Q39" i="15"/>
  <c r="R39" i="15" s="1"/>
  <c r="S39" i="15" s="1"/>
  <c r="Q29" i="15"/>
  <c r="R29" i="15" s="1"/>
  <c r="S29" i="15" s="1"/>
  <c r="Q13" i="15"/>
  <c r="R13" i="15" s="1"/>
  <c r="S13" i="15" s="1"/>
  <c r="Q5" i="15"/>
  <c r="R5" i="15" s="1"/>
  <c r="S5" i="15" s="1"/>
  <c r="Q85" i="15"/>
  <c r="R85" i="15" s="1"/>
  <c r="S85" i="15" s="1"/>
  <c r="Q81" i="15"/>
  <c r="R81" i="15" s="1"/>
  <c r="S81" i="15" s="1"/>
  <c r="Q78" i="15"/>
  <c r="R78" i="15" s="1"/>
  <c r="S78" i="15" s="1"/>
  <c r="Q64" i="15"/>
  <c r="R64" i="15" s="1"/>
  <c r="S64" i="15" s="1"/>
  <c r="Q52" i="15"/>
  <c r="R52" i="15" s="1"/>
  <c r="S52" i="15" s="1"/>
  <c r="Q49" i="15"/>
  <c r="R49" i="15" s="1"/>
  <c r="S49" i="15" s="1"/>
  <c r="Q46" i="15"/>
  <c r="R46" i="15" s="1"/>
  <c r="S46" i="15" s="1"/>
  <c r="Q25" i="15"/>
  <c r="R25" i="15" s="1"/>
  <c r="S25" i="15" s="1"/>
  <c r="Q84" i="15"/>
  <c r="R84" i="15" s="1"/>
  <c r="S84" i="15" s="1"/>
  <c r="Q89" i="15"/>
  <c r="R89" i="15" s="1"/>
  <c r="S89" i="15" s="1"/>
  <c r="Q88" i="15"/>
  <c r="R88" i="15" s="1"/>
  <c r="S88" i="15" s="1"/>
  <c r="Q67" i="15"/>
  <c r="R67" i="15" s="1"/>
  <c r="S67" i="15" s="1"/>
  <c r="Q60" i="15"/>
  <c r="R60" i="15" s="1"/>
  <c r="S60" i="15" s="1"/>
  <c r="Q10" i="15"/>
  <c r="R10" i="15" s="1"/>
  <c r="S10" i="15" s="1"/>
  <c r="Q43" i="15"/>
  <c r="R43" i="15" s="1"/>
  <c r="S43" i="15" s="1"/>
  <c r="Q36" i="15"/>
  <c r="R36" i="15" s="1"/>
  <c r="S36" i="15" s="1"/>
  <c r="Q17" i="15"/>
  <c r="R17" i="15" s="1"/>
  <c r="S17" i="15" s="1"/>
  <c r="Q9" i="15"/>
  <c r="R9" i="15" s="1"/>
  <c r="S9" i="15" s="1"/>
  <c r="Q35" i="15"/>
  <c r="R35" i="15" s="1"/>
  <c r="S35" i="15" s="1"/>
  <c r="Q26" i="15"/>
  <c r="R26" i="15" s="1"/>
  <c r="S26" i="15" s="1"/>
  <c r="Q59" i="15"/>
  <c r="R59" i="15" s="1"/>
  <c r="S59" i="15" s="1"/>
  <c r="Q75" i="15"/>
  <c r="R75" i="15" s="1"/>
  <c r="S75" i="15" s="1"/>
  <c r="Q68" i="15"/>
  <c r="R68" i="15" s="1"/>
  <c r="S68" i="15" s="1"/>
  <c r="G90" i="15"/>
  <c r="K654" i="12"/>
  <c r="K648" i="12"/>
  <c r="P90" i="16" l="1"/>
  <c r="S90" i="15"/>
  <c r="R647" i="12" l="1"/>
  <c r="S647" i="12" s="1"/>
  <c r="M739" i="12" l="1"/>
  <c r="M740" i="12"/>
  <c r="M741" i="12"/>
  <c r="M742" i="12"/>
  <c r="M725" i="12"/>
  <c r="T20" i="12" s="1"/>
  <c r="M738" i="12"/>
  <c r="N739" i="12"/>
  <c r="N740" i="12"/>
  <c r="N741" i="12"/>
  <c r="N742" i="12"/>
  <c r="N725" i="12"/>
  <c r="N738" i="12"/>
  <c r="N724" i="12"/>
  <c r="N723" i="12"/>
  <c r="L735" i="12"/>
  <c r="M724" i="12"/>
  <c r="M723" i="12"/>
  <c r="L729" i="12"/>
  <c r="L730" i="12"/>
  <c r="M730" i="12" s="1"/>
  <c r="L731" i="12"/>
  <c r="M731" i="12" s="1"/>
  <c r="L732" i="12"/>
  <c r="M732" i="12" s="1"/>
  <c r="N735" i="12" l="1"/>
  <c r="U19" i="12" s="1"/>
  <c r="U20" i="12"/>
  <c r="M729" i="12"/>
  <c r="M733" i="12" s="1"/>
  <c r="L733" i="12"/>
  <c r="M735" i="12"/>
  <c r="T19" i="12" s="1"/>
  <c r="N732" i="12"/>
  <c r="N729" i="12"/>
  <c r="N730" i="12"/>
  <c r="N731" i="12"/>
  <c r="G17" i="3" l="1"/>
  <c r="H17" i="3"/>
  <c r="G18" i="3"/>
  <c r="H18" i="3"/>
  <c r="T18" i="12"/>
  <c r="U18" i="12"/>
  <c r="M743" i="12" l="1"/>
  <c r="N743" i="12"/>
  <c r="L743" i="12"/>
  <c r="M736" i="12"/>
  <c r="N736" i="12"/>
  <c r="L736" i="12"/>
  <c r="N733" i="12"/>
  <c r="L696" i="12"/>
  <c r="L695" i="12"/>
  <c r="L691" i="12"/>
  <c r="M691" i="12" s="1"/>
  <c r="L648" i="12"/>
  <c r="N648" i="12" s="1"/>
  <c r="L651" i="12"/>
  <c r="N651" i="12" s="1"/>
  <c r="L654" i="12"/>
  <c r="M654" i="12" s="1"/>
  <c r="L657" i="12"/>
  <c r="N657" i="12" s="1"/>
  <c r="L660" i="12"/>
  <c r="N660" i="12" s="1"/>
  <c r="L661" i="12"/>
  <c r="N661" i="12" s="1"/>
  <c r="L664" i="12"/>
  <c r="N664" i="12" s="1"/>
  <c r="L668" i="12"/>
  <c r="N668" i="12" s="1"/>
  <c r="L669" i="12"/>
  <c r="N669" i="12" s="1"/>
  <c r="L670" i="12"/>
  <c r="N670" i="12" s="1"/>
  <c r="L671" i="12"/>
  <c r="N671" i="12" s="1"/>
  <c r="L672" i="12"/>
  <c r="N672" i="12" s="1"/>
  <c r="L673" i="12"/>
  <c r="N673" i="12" s="1"/>
  <c r="L674" i="12"/>
  <c r="N674" i="12" s="1"/>
  <c r="L675" i="12"/>
  <c r="N675" i="12" s="1"/>
  <c r="L676" i="12"/>
  <c r="N676" i="12" s="1"/>
  <c r="L677" i="12"/>
  <c r="N677" i="12" s="1"/>
  <c r="L678" i="12"/>
  <c r="N678" i="12" s="1"/>
  <c r="L679" i="12"/>
  <c r="N679" i="12" s="1"/>
  <c r="L680" i="12"/>
  <c r="N680" i="12" s="1"/>
  <c r="L681" i="12"/>
  <c r="N681" i="12" s="1"/>
  <c r="L682" i="12"/>
  <c r="N682" i="12" s="1"/>
  <c r="L683" i="12"/>
  <c r="N683" i="12" s="1"/>
  <c r="L684" i="12"/>
  <c r="N684" i="12" s="1"/>
  <c r="L685" i="12"/>
  <c r="N685" i="12" s="1"/>
  <c r="L686" i="12"/>
  <c r="N686" i="12" s="1"/>
  <c r="L687" i="12"/>
  <c r="N687" i="12" s="1"/>
  <c r="L688" i="12"/>
  <c r="N688" i="12" s="1"/>
  <c r="L689" i="12"/>
  <c r="N689" i="12" s="1"/>
  <c r="L690" i="12"/>
  <c r="N690" i="12" s="1"/>
  <c r="M696" i="12" l="1"/>
  <c r="N696" i="12"/>
  <c r="N695" i="12"/>
  <c r="M684" i="12"/>
  <c r="M675" i="12"/>
  <c r="M674" i="12"/>
  <c r="M673" i="12"/>
  <c r="M657" i="12"/>
  <c r="N654" i="12"/>
  <c r="M651" i="12"/>
  <c r="M648" i="12"/>
  <c r="M687" i="12"/>
  <c r="M686" i="12"/>
  <c r="L697" i="12"/>
  <c r="M685" i="12"/>
  <c r="M683" i="12"/>
  <c r="M672" i="12"/>
  <c r="M682" i="12"/>
  <c r="M671" i="12"/>
  <c r="M681" i="12"/>
  <c r="M670" i="12"/>
  <c r="M680" i="12"/>
  <c r="M669" i="12"/>
  <c r="N691" i="12"/>
  <c r="M690" i="12"/>
  <c r="M679" i="12"/>
  <c r="M668" i="12"/>
  <c r="M695" i="12"/>
  <c r="M689" i="12"/>
  <c r="M678" i="12"/>
  <c r="M664" i="12"/>
  <c r="M677" i="12"/>
  <c r="M661" i="12"/>
  <c r="M688" i="12"/>
  <c r="M676" i="12"/>
  <c r="M660" i="12"/>
  <c r="L627" i="12"/>
  <c r="N627" i="12" s="1"/>
  <c r="L631" i="12"/>
  <c r="N631" i="12" s="1"/>
  <c r="L632" i="12"/>
  <c r="N632" i="12" s="1"/>
  <c r="L633" i="12"/>
  <c r="N633" i="12" s="1"/>
  <c r="L634" i="12"/>
  <c r="N634" i="12" s="1"/>
  <c r="L635" i="12"/>
  <c r="N635" i="12" s="1"/>
  <c r="L636" i="12"/>
  <c r="N636" i="12" s="1"/>
  <c r="L637" i="12"/>
  <c r="N637" i="12" s="1"/>
  <c r="L638" i="12"/>
  <c r="N638" i="12" s="1"/>
  <c r="L642" i="12"/>
  <c r="N642" i="12" s="1"/>
  <c r="L626" i="12"/>
  <c r="J751" i="12"/>
  <c r="J750" i="12"/>
  <c r="J749" i="12"/>
  <c r="J748" i="12"/>
  <c r="J747" i="12"/>
  <c r="J746" i="12"/>
  <c r="J745" i="12"/>
  <c r="K620" i="12"/>
  <c r="J620" i="12"/>
  <c r="I620" i="12"/>
  <c r="H620" i="12"/>
  <c r="K617" i="12"/>
  <c r="J617" i="12"/>
  <c r="I617" i="12"/>
  <c r="H617" i="12"/>
  <c r="K614" i="12"/>
  <c r="J614" i="12"/>
  <c r="I614" i="12"/>
  <c r="H614" i="12"/>
  <c r="K610" i="12"/>
  <c r="K611" i="12" s="1"/>
  <c r="L611" i="12" s="1"/>
  <c r="J610" i="12"/>
  <c r="J611" i="12" s="1"/>
  <c r="I610" i="12"/>
  <c r="H610" i="12"/>
  <c r="K607" i="12"/>
  <c r="J607" i="12"/>
  <c r="I607" i="12"/>
  <c r="H607" i="12"/>
  <c r="K604" i="12"/>
  <c r="J604" i="12"/>
  <c r="I604" i="12"/>
  <c r="H604" i="12"/>
  <c r="K600" i="12"/>
  <c r="K601" i="12" s="1"/>
  <c r="L601" i="12" s="1"/>
  <c r="J600" i="12"/>
  <c r="I600" i="12"/>
  <c r="H600" i="12"/>
  <c r="K596" i="12"/>
  <c r="K597" i="12" s="1"/>
  <c r="J596" i="12"/>
  <c r="I596" i="12"/>
  <c r="H596" i="12"/>
  <c r="K592" i="12"/>
  <c r="K593" i="12" s="1"/>
  <c r="L593" i="12" s="1"/>
  <c r="J592" i="12"/>
  <c r="I592" i="12"/>
  <c r="H592" i="12"/>
  <c r="K588" i="12"/>
  <c r="K589" i="12" s="1"/>
  <c r="L589" i="12" s="1"/>
  <c r="J588" i="12"/>
  <c r="I588" i="12"/>
  <c r="H588" i="12"/>
  <c r="K584" i="12"/>
  <c r="K585" i="12" s="1"/>
  <c r="L585" i="12" s="1"/>
  <c r="J584" i="12"/>
  <c r="I584" i="12"/>
  <c r="H584" i="12"/>
  <c r="K581" i="12"/>
  <c r="J581" i="12"/>
  <c r="I581" i="12"/>
  <c r="H581" i="12"/>
  <c r="K578" i="12"/>
  <c r="J578" i="12"/>
  <c r="I578" i="12"/>
  <c r="H578" i="12"/>
  <c r="K575" i="12"/>
  <c r="J575" i="12"/>
  <c r="I575" i="12"/>
  <c r="H575" i="12"/>
  <c r="K572" i="12"/>
  <c r="K571" i="12"/>
  <c r="J571" i="12"/>
  <c r="I571" i="12"/>
  <c r="H571" i="12"/>
  <c r="K568" i="12"/>
  <c r="L568" i="12" s="1"/>
  <c r="K567" i="12"/>
  <c r="L567" i="12" s="1"/>
  <c r="J567" i="12"/>
  <c r="H567" i="12"/>
  <c r="K564" i="12"/>
  <c r="J564" i="12"/>
  <c r="I564" i="12"/>
  <c r="H564" i="12"/>
  <c r="N561" i="12"/>
  <c r="K560" i="12"/>
  <c r="L560" i="12" s="1"/>
  <c r="J560" i="12"/>
  <c r="H560" i="12"/>
  <c r="N558" i="12"/>
  <c r="K557" i="12"/>
  <c r="L557" i="12" s="1"/>
  <c r="J557" i="12"/>
  <c r="H557" i="12"/>
  <c r="N554" i="12"/>
  <c r="K553" i="12"/>
  <c r="L553" i="12" s="1"/>
  <c r="J553" i="12"/>
  <c r="H553" i="12"/>
  <c r="K549" i="12"/>
  <c r="L549" i="12" s="1"/>
  <c r="J549" i="12"/>
  <c r="H549" i="12"/>
  <c r="K546" i="12"/>
  <c r="L546" i="12" s="1"/>
  <c r="J546" i="12"/>
  <c r="H546" i="12"/>
  <c r="N543" i="12"/>
  <c r="K542" i="12"/>
  <c r="L542" i="12" s="1"/>
  <c r="J542" i="12"/>
  <c r="H542" i="12"/>
  <c r="K539" i="12"/>
  <c r="L539" i="12" s="1"/>
  <c r="J539" i="12"/>
  <c r="H539" i="12"/>
  <c r="K536" i="12"/>
  <c r="L536" i="12" s="1"/>
  <c r="J536" i="12"/>
  <c r="H536" i="12"/>
  <c r="K533" i="12"/>
  <c r="L533" i="12" s="1"/>
  <c r="J533" i="12"/>
  <c r="H533" i="12"/>
  <c r="K530" i="12"/>
  <c r="L530" i="12" s="1"/>
  <c r="J530" i="12"/>
  <c r="H530" i="12"/>
  <c r="N527" i="12"/>
  <c r="K526" i="12"/>
  <c r="L526" i="12" s="1"/>
  <c r="J526" i="12"/>
  <c r="H526" i="12"/>
  <c r="K523" i="12"/>
  <c r="L523" i="12" s="1"/>
  <c r="J523" i="12"/>
  <c r="H523" i="12"/>
  <c r="K520" i="12"/>
  <c r="L520" i="12" s="1"/>
  <c r="J520" i="12"/>
  <c r="H520" i="12"/>
  <c r="K517" i="12"/>
  <c r="L517" i="12" s="1"/>
  <c r="J517" i="12"/>
  <c r="H517" i="12"/>
  <c r="K514" i="12"/>
  <c r="L514" i="12" s="1"/>
  <c r="J514" i="12"/>
  <c r="H514" i="12"/>
  <c r="N511" i="12"/>
  <c r="K510" i="12"/>
  <c r="L510" i="12" s="1"/>
  <c r="J510" i="12"/>
  <c r="H510" i="12"/>
  <c r="K507" i="12"/>
  <c r="L507" i="12" s="1"/>
  <c r="J507" i="12"/>
  <c r="H507" i="12"/>
  <c r="N504" i="12"/>
  <c r="K503" i="12"/>
  <c r="L503" i="12" s="1"/>
  <c r="J503" i="12"/>
  <c r="H503" i="12"/>
  <c r="N500" i="12"/>
  <c r="K499" i="12"/>
  <c r="L499" i="12" s="1"/>
  <c r="J499" i="12"/>
  <c r="H499" i="12"/>
  <c r="K496" i="12"/>
  <c r="L496" i="12" s="1"/>
  <c r="J496" i="12"/>
  <c r="H496" i="12"/>
  <c r="K493" i="12"/>
  <c r="L493" i="12" s="1"/>
  <c r="J493" i="12"/>
  <c r="H493" i="12"/>
  <c r="K490" i="12"/>
  <c r="L490" i="12" s="1"/>
  <c r="J490" i="12"/>
  <c r="H490" i="12"/>
  <c r="K488" i="12"/>
  <c r="L488" i="12" s="1"/>
  <c r="J488" i="12"/>
  <c r="H488" i="12"/>
  <c r="K485" i="12"/>
  <c r="L485" i="12" s="1"/>
  <c r="J485" i="12"/>
  <c r="H485" i="12"/>
  <c r="K483" i="12"/>
  <c r="L483" i="12" s="1"/>
  <c r="J483" i="12"/>
  <c r="H483" i="12"/>
  <c r="K480" i="12"/>
  <c r="L480" i="12" s="1"/>
  <c r="J480" i="12"/>
  <c r="H480" i="12"/>
  <c r="K477" i="12"/>
  <c r="L477" i="12" s="1"/>
  <c r="J477" i="12"/>
  <c r="H477" i="12"/>
  <c r="K474" i="12"/>
  <c r="L474" i="12" s="1"/>
  <c r="J474" i="12"/>
  <c r="H474" i="12"/>
  <c r="K471" i="12"/>
  <c r="L471" i="12" s="1"/>
  <c r="J471" i="12"/>
  <c r="H471" i="12"/>
  <c r="K468" i="12"/>
  <c r="L468" i="12" s="1"/>
  <c r="J468" i="12"/>
  <c r="H468" i="12"/>
  <c r="K465" i="12"/>
  <c r="L465" i="12" s="1"/>
  <c r="J465" i="12"/>
  <c r="H465" i="12"/>
  <c r="K463" i="12"/>
  <c r="L463" i="12" s="1"/>
  <c r="J463" i="12"/>
  <c r="H463" i="12"/>
  <c r="N460" i="12"/>
  <c r="K459" i="12"/>
  <c r="L459" i="12" s="1"/>
  <c r="J459" i="12"/>
  <c r="H459" i="12"/>
  <c r="K454" i="12"/>
  <c r="L454" i="12" s="1"/>
  <c r="J454" i="12"/>
  <c r="H454" i="12"/>
  <c r="K451" i="12"/>
  <c r="J451" i="12"/>
  <c r="I451" i="12"/>
  <c r="H451" i="12"/>
  <c r="K448" i="12"/>
  <c r="J448" i="12"/>
  <c r="I448" i="12"/>
  <c r="H448" i="12"/>
  <c r="K445" i="12"/>
  <c r="J445" i="12"/>
  <c r="I445" i="12"/>
  <c r="H445" i="12"/>
  <c r="K437" i="12"/>
  <c r="J437" i="12"/>
  <c r="I437" i="12"/>
  <c r="H437" i="12"/>
  <c r="K434" i="12"/>
  <c r="J434" i="12"/>
  <c r="I434" i="12"/>
  <c r="H434" i="12"/>
  <c r="K442" i="12"/>
  <c r="J442" i="12"/>
  <c r="I442" i="12"/>
  <c r="H442" i="12"/>
  <c r="K431" i="12"/>
  <c r="J431" i="12"/>
  <c r="I431" i="12"/>
  <c r="H431" i="12"/>
  <c r="K428" i="12"/>
  <c r="J428" i="12"/>
  <c r="I428" i="12"/>
  <c r="H428" i="12"/>
  <c r="K423" i="12"/>
  <c r="J423" i="12"/>
  <c r="I423" i="12"/>
  <c r="H423" i="12"/>
  <c r="K420" i="12"/>
  <c r="J420" i="12"/>
  <c r="I420" i="12"/>
  <c r="H420" i="12"/>
  <c r="K417" i="12"/>
  <c r="J417" i="12"/>
  <c r="I417" i="12"/>
  <c r="H417" i="12"/>
  <c r="M414" i="12"/>
  <c r="K413" i="12"/>
  <c r="L413" i="12" s="1"/>
  <c r="J413" i="12"/>
  <c r="H413" i="12"/>
  <c r="K410" i="12"/>
  <c r="L410" i="12" s="1"/>
  <c r="J410" i="12"/>
  <c r="H410" i="12"/>
  <c r="K408" i="12"/>
  <c r="L408" i="12" s="1"/>
  <c r="J408" i="12"/>
  <c r="H408" i="12"/>
  <c r="K405" i="12"/>
  <c r="L405" i="12" s="1"/>
  <c r="J405" i="12"/>
  <c r="H405" i="12"/>
  <c r="K402" i="12"/>
  <c r="L402" i="12" s="1"/>
  <c r="J402" i="12"/>
  <c r="H402" i="12"/>
  <c r="N399" i="12"/>
  <c r="K398" i="12"/>
  <c r="L398" i="12" s="1"/>
  <c r="J398" i="12"/>
  <c r="H398" i="12"/>
  <c r="K395" i="12"/>
  <c r="L395" i="12" s="1"/>
  <c r="J395" i="12"/>
  <c r="H395" i="12"/>
  <c r="M392" i="12"/>
  <c r="K391" i="12"/>
  <c r="L391" i="12" s="1"/>
  <c r="J391" i="12"/>
  <c r="H391" i="12"/>
  <c r="K388" i="12"/>
  <c r="L388" i="12" s="1"/>
  <c r="J388" i="12"/>
  <c r="H388" i="12"/>
  <c r="R385" i="12"/>
  <c r="K385" i="12"/>
  <c r="J385" i="12"/>
  <c r="I385" i="12"/>
  <c r="H385" i="12"/>
  <c r="K382" i="12"/>
  <c r="J382" i="12"/>
  <c r="I382" i="12"/>
  <c r="H382" i="12"/>
  <c r="K379" i="12"/>
  <c r="J379" i="12"/>
  <c r="I379" i="12"/>
  <c r="H379" i="12"/>
  <c r="K375" i="12"/>
  <c r="L375" i="12" s="1"/>
  <c r="J375" i="12"/>
  <c r="H375" i="12"/>
  <c r="K372" i="12"/>
  <c r="L372" i="12" s="1"/>
  <c r="J372" i="12"/>
  <c r="H372" i="12"/>
  <c r="M369" i="12"/>
  <c r="K368" i="12"/>
  <c r="L368" i="12" s="1"/>
  <c r="J368" i="12"/>
  <c r="H368" i="12"/>
  <c r="K365" i="12"/>
  <c r="L365" i="12" s="1"/>
  <c r="J365" i="12"/>
  <c r="H365" i="12"/>
  <c r="K362" i="12"/>
  <c r="L362" i="12" s="1"/>
  <c r="J362" i="12"/>
  <c r="H362" i="12"/>
  <c r="K358" i="12"/>
  <c r="L358" i="12" s="1"/>
  <c r="J358" i="12"/>
  <c r="H358" i="12"/>
  <c r="K356" i="12"/>
  <c r="L356" i="12" s="1"/>
  <c r="J356" i="12"/>
  <c r="H356" i="12"/>
  <c r="K354" i="12"/>
  <c r="L354" i="12" s="1"/>
  <c r="J354" i="12"/>
  <c r="H354" i="12"/>
  <c r="K352" i="12"/>
  <c r="L352" i="12" s="1"/>
  <c r="J352" i="12"/>
  <c r="H352" i="12"/>
  <c r="N349" i="12"/>
  <c r="K348" i="12"/>
  <c r="L348" i="12" s="1"/>
  <c r="J348" i="12"/>
  <c r="H348" i="12"/>
  <c r="K345" i="12"/>
  <c r="L345" i="12" s="1"/>
  <c r="J345" i="12"/>
  <c r="H345" i="12"/>
  <c r="K343" i="12"/>
  <c r="L343" i="12" s="1"/>
  <c r="J343" i="12"/>
  <c r="H343" i="12"/>
  <c r="K340" i="12"/>
  <c r="L340" i="12" s="1"/>
  <c r="J340" i="12"/>
  <c r="H340" i="12"/>
  <c r="K338" i="12"/>
  <c r="L338" i="12" s="1"/>
  <c r="J338" i="12"/>
  <c r="H338" i="12"/>
  <c r="K335" i="12"/>
  <c r="L335" i="12" s="1"/>
  <c r="J335" i="12"/>
  <c r="H335" i="12"/>
  <c r="N332" i="12"/>
  <c r="K331" i="12"/>
  <c r="L331" i="12" s="1"/>
  <c r="J331" i="12"/>
  <c r="H331" i="12"/>
  <c r="K328" i="12"/>
  <c r="L328" i="12" s="1"/>
  <c r="J328" i="12"/>
  <c r="H328" i="12"/>
  <c r="N325" i="12"/>
  <c r="K324" i="12"/>
  <c r="L324" i="12" s="1"/>
  <c r="J324" i="12"/>
  <c r="H324" i="12"/>
  <c r="N321" i="12"/>
  <c r="T320" i="12"/>
  <c r="K320" i="12"/>
  <c r="L320" i="12" s="1"/>
  <c r="J320" i="12"/>
  <c r="H320" i="12"/>
  <c r="N317" i="12"/>
  <c r="K316" i="12"/>
  <c r="L316" i="12" s="1"/>
  <c r="J316" i="12"/>
  <c r="H316" i="12"/>
  <c r="N313" i="12"/>
  <c r="K312" i="12"/>
  <c r="L312" i="12" s="1"/>
  <c r="J312" i="12"/>
  <c r="H312" i="12"/>
  <c r="K310" i="12"/>
  <c r="L310" i="12" s="1"/>
  <c r="J310" i="12"/>
  <c r="H310" i="12"/>
  <c r="K308" i="12"/>
  <c r="L308" i="12" s="1"/>
  <c r="J308" i="12"/>
  <c r="H308" i="12"/>
  <c r="K305" i="12"/>
  <c r="J305" i="12"/>
  <c r="I305" i="12"/>
  <c r="H305" i="12"/>
  <c r="K302" i="12"/>
  <c r="L302" i="12" s="1"/>
  <c r="J302" i="12"/>
  <c r="H302" i="12"/>
  <c r="N299" i="12"/>
  <c r="K298" i="12"/>
  <c r="L298" i="12" s="1"/>
  <c r="J298" i="12"/>
  <c r="H298" i="12"/>
  <c r="N295" i="12"/>
  <c r="K294" i="12"/>
  <c r="L294" i="12" s="1"/>
  <c r="J294" i="12"/>
  <c r="H294" i="12"/>
  <c r="N291" i="12"/>
  <c r="K290" i="12"/>
  <c r="L290" i="12" s="1"/>
  <c r="J290" i="12"/>
  <c r="H290" i="12"/>
  <c r="K286" i="12"/>
  <c r="L286" i="12" s="1"/>
  <c r="J286" i="12"/>
  <c r="H286" i="12"/>
  <c r="K281" i="12"/>
  <c r="L281" i="12" s="1"/>
  <c r="J281" i="12"/>
  <c r="H281" i="12"/>
  <c r="K278" i="12"/>
  <c r="L278" i="12" s="1"/>
  <c r="J278" i="12"/>
  <c r="H278" i="12"/>
  <c r="K275" i="12"/>
  <c r="L275" i="12" s="1"/>
  <c r="J275" i="12"/>
  <c r="H275" i="12"/>
  <c r="K272" i="12"/>
  <c r="L272" i="12" s="1"/>
  <c r="J272" i="12"/>
  <c r="H272" i="12"/>
  <c r="K269" i="12"/>
  <c r="L269" i="12" s="1"/>
  <c r="J269" i="12"/>
  <c r="H269" i="12"/>
  <c r="K266" i="12"/>
  <c r="L266" i="12" s="1"/>
  <c r="J266" i="12"/>
  <c r="H266" i="12"/>
  <c r="K263" i="12"/>
  <c r="L263" i="12" s="1"/>
  <c r="J263" i="12"/>
  <c r="H263" i="12"/>
  <c r="K260" i="12"/>
  <c r="L260" i="12" s="1"/>
  <c r="J260" i="12"/>
  <c r="H260" i="12"/>
  <c r="K258" i="12"/>
  <c r="L258" i="12" s="1"/>
  <c r="J258" i="12"/>
  <c r="H258" i="12"/>
  <c r="K255" i="12"/>
  <c r="L255" i="12" s="1"/>
  <c r="J255" i="12"/>
  <c r="H255" i="12"/>
  <c r="K253" i="12"/>
  <c r="L253" i="12" s="1"/>
  <c r="J253" i="12"/>
  <c r="H253" i="12"/>
  <c r="K250" i="12"/>
  <c r="L250" i="12" s="1"/>
  <c r="J250" i="12"/>
  <c r="H250" i="12"/>
  <c r="K248" i="12"/>
  <c r="L248" i="12" s="1"/>
  <c r="J248" i="12"/>
  <c r="H248" i="12"/>
  <c r="K245" i="12"/>
  <c r="L245" i="12" s="1"/>
  <c r="J245" i="12"/>
  <c r="H245" i="12"/>
  <c r="AD244" i="12"/>
  <c r="L647" i="12"/>
  <c r="K240" i="12"/>
  <c r="L240" i="12" s="1"/>
  <c r="J240" i="12"/>
  <c r="H240" i="12"/>
  <c r="K237" i="12"/>
  <c r="L237" i="12" s="1"/>
  <c r="J237" i="12"/>
  <c r="H237" i="12"/>
  <c r="K234" i="12"/>
  <c r="L234" i="12" s="1"/>
  <c r="J234" i="12"/>
  <c r="H234" i="12"/>
  <c r="K231" i="12"/>
  <c r="L231" i="12" s="1"/>
  <c r="J231" i="12"/>
  <c r="H231" i="12"/>
  <c r="K228" i="12"/>
  <c r="L228" i="12" s="1"/>
  <c r="J228" i="12"/>
  <c r="H228" i="12"/>
  <c r="N225" i="12"/>
  <c r="K224" i="12"/>
  <c r="L224" i="12" s="1"/>
  <c r="J224" i="12"/>
  <c r="H224" i="12"/>
  <c r="K221" i="12"/>
  <c r="L221" i="12" s="1"/>
  <c r="J221" i="12"/>
  <c r="H221" i="12"/>
  <c r="K218" i="12"/>
  <c r="L218" i="12" s="1"/>
  <c r="J218" i="12"/>
  <c r="H218" i="12"/>
  <c r="K215" i="12"/>
  <c r="L215" i="12" s="1"/>
  <c r="J215" i="12"/>
  <c r="H215" i="12"/>
  <c r="K213" i="12"/>
  <c r="L213" i="12" s="1"/>
  <c r="J213" i="12"/>
  <c r="H213" i="12"/>
  <c r="K210" i="12"/>
  <c r="L210" i="12" s="1"/>
  <c r="J210" i="12"/>
  <c r="H210" i="12"/>
  <c r="K208" i="12"/>
  <c r="L208" i="12" s="1"/>
  <c r="J208" i="12"/>
  <c r="H208" i="12"/>
  <c r="K205" i="12"/>
  <c r="L205" i="12" s="1"/>
  <c r="J205" i="12"/>
  <c r="H205" i="12"/>
  <c r="N202" i="12"/>
  <c r="K201" i="12"/>
  <c r="L201" i="12" s="1"/>
  <c r="J201" i="12"/>
  <c r="H201" i="12"/>
  <c r="K198" i="12"/>
  <c r="L198" i="12" s="1"/>
  <c r="J198" i="12"/>
  <c r="H198" i="12"/>
  <c r="K195" i="12"/>
  <c r="L195" i="12" s="1"/>
  <c r="J195" i="12"/>
  <c r="H195" i="12"/>
  <c r="N192" i="12"/>
  <c r="T191" i="12"/>
  <c r="K191" i="12"/>
  <c r="L191" i="12" s="1"/>
  <c r="J191" i="12"/>
  <c r="H191" i="12"/>
  <c r="K189" i="12"/>
  <c r="L189" i="12" s="1"/>
  <c r="J189" i="12"/>
  <c r="H189" i="12"/>
  <c r="K187" i="12"/>
  <c r="L187" i="12" s="1"/>
  <c r="J187" i="12"/>
  <c r="H187" i="12"/>
  <c r="K184" i="12"/>
  <c r="L184" i="12" s="1"/>
  <c r="J184" i="12"/>
  <c r="H184" i="12"/>
  <c r="K181" i="12"/>
  <c r="L181" i="12" s="1"/>
  <c r="J181" i="12"/>
  <c r="H181" i="12"/>
  <c r="K179" i="12"/>
  <c r="L179" i="12" s="1"/>
  <c r="J179" i="12"/>
  <c r="H179" i="12"/>
  <c r="K177" i="12"/>
  <c r="L177" i="12" s="1"/>
  <c r="J177" i="12"/>
  <c r="H177" i="12"/>
  <c r="K174" i="12"/>
  <c r="L174" i="12" s="1"/>
  <c r="J174" i="12"/>
  <c r="H174" i="12"/>
  <c r="K171" i="12"/>
  <c r="J171" i="12"/>
  <c r="I171" i="12"/>
  <c r="H171" i="12"/>
  <c r="K168" i="12"/>
  <c r="L168" i="12" s="1"/>
  <c r="J168" i="12"/>
  <c r="H168" i="12"/>
  <c r="K165" i="12"/>
  <c r="L165" i="12" s="1"/>
  <c r="J165" i="12"/>
  <c r="H165" i="12"/>
  <c r="K162" i="12"/>
  <c r="L162" i="12" s="1"/>
  <c r="J162" i="12"/>
  <c r="H162" i="12"/>
  <c r="M159" i="12"/>
  <c r="K158" i="12"/>
  <c r="L158" i="12" s="1"/>
  <c r="J158" i="12"/>
  <c r="H158" i="12"/>
  <c r="K156" i="12"/>
  <c r="L156" i="12" s="1"/>
  <c r="J156" i="12"/>
  <c r="H156" i="12"/>
  <c r="K152" i="12"/>
  <c r="J152" i="12"/>
  <c r="H152" i="12"/>
  <c r="K149" i="12"/>
  <c r="L149" i="12" s="1"/>
  <c r="J149" i="12"/>
  <c r="H149" i="12"/>
  <c r="K146" i="12"/>
  <c r="J146" i="12"/>
  <c r="I146" i="12"/>
  <c r="H146" i="12"/>
  <c r="K142" i="12"/>
  <c r="J142" i="12"/>
  <c r="I142" i="12"/>
  <c r="H142" i="12"/>
  <c r="K140" i="12"/>
  <c r="J140" i="12"/>
  <c r="I140" i="12"/>
  <c r="H140" i="12"/>
  <c r="K137" i="12"/>
  <c r="J137" i="12"/>
  <c r="I137" i="12"/>
  <c r="H137" i="12"/>
  <c r="K134" i="12"/>
  <c r="J134" i="12"/>
  <c r="I134" i="12"/>
  <c r="H134" i="12"/>
  <c r="K131" i="12"/>
  <c r="J131" i="12"/>
  <c r="I131" i="12"/>
  <c r="H131" i="12"/>
  <c r="K128" i="12"/>
  <c r="J128" i="12"/>
  <c r="I128" i="12"/>
  <c r="H128" i="12"/>
  <c r="K125" i="12"/>
  <c r="J125" i="12"/>
  <c r="I125" i="12"/>
  <c r="H125" i="12"/>
  <c r="K123" i="12"/>
  <c r="L123" i="12" s="1"/>
  <c r="J123" i="12"/>
  <c r="H123" i="12"/>
  <c r="K121" i="12"/>
  <c r="L121" i="12" s="1"/>
  <c r="J121" i="12"/>
  <c r="H121" i="12"/>
  <c r="K118" i="12"/>
  <c r="J118" i="12"/>
  <c r="I118" i="12"/>
  <c r="H118" i="12"/>
  <c r="K116" i="12"/>
  <c r="L116" i="12" s="1"/>
  <c r="J116" i="12"/>
  <c r="H116" i="12"/>
  <c r="K113" i="12"/>
  <c r="J113" i="12"/>
  <c r="I113" i="12"/>
  <c r="H113" i="12"/>
  <c r="K111" i="12"/>
  <c r="L111" i="12" s="1"/>
  <c r="J111" i="12"/>
  <c r="H111" i="12"/>
  <c r="K108" i="12"/>
  <c r="J108" i="12"/>
  <c r="I108" i="12"/>
  <c r="H108" i="12"/>
  <c r="K106" i="12"/>
  <c r="J106" i="12"/>
  <c r="I106" i="12"/>
  <c r="H106" i="12"/>
  <c r="K103" i="12"/>
  <c r="J103" i="12"/>
  <c r="I103" i="12"/>
  <c r="H103" i="12"/>
  <c r="K100" i="12"/>
  <c r="J100" i="12"/>
  <c r="I100" i="12"/>
  <c r="K97" i="12"/>
  <c r="J97" i="12"/>
  <c r="I97" i="12"/>
  <c r="H97" i="12"/>
  <c r="K94" i="12"/>
  <c r="J94" i="12"/>
  <c r="I94" i="12"/>
  <c r="H94" i="12"/>
  <c r="K91" i="12"/>
  <c r="J91" i="12"/>
  <c r="I91" i="12"/>
  <c r="H91" i="12"/>
  <c r="K88" i="12"/>
  <c r="J88" i="12"/>
  <c r="I88" i="12"/>
  <c r="H88" i="12"/>
  <c r="K85" i="12"/>
  <c r="J85" i="12"/>
  <c r="I85" i="12"/>
  <c r="H85" i="12"/>
  <c r="K82" i="12"/>
  <c r="J82" i="12"/>
  <c r="I82" i="12"/>
  <c r="H82" i="12"/>
  <c r="K79" i="12"/>
  <c r="J79" i="12"/>
  <c r="I79" i="12"/>
  <c r="H79" i="12"/>
  <c r="K76" i="12"/>
  <c r="J76" i="12"/>
  <c r="I76" i="12"/>
  <c r="H76" i="12"/>
  <c r="K73" i="12"/>
  <c r="J73" i="12"/>
  <c r="I73" i="12"/>
  <c r="H73" i="12"/>
  <c r="K70" i="12"/>
  <c r="J70" i="12"/>
  <c r="I70" i="12"/>
  <c r="H70" i="12"/>
  <c r="K67" i="12"/>
  <c r="J67" i="12"/>
  <c r="I67" i="12"/>
  <c r="H67" i="12"/>
  <c r="K64" i="12"/>
  <c r="J64" i="12"/>
  <c r="I64" i="12"/>
  <c r="H64" i="12"/>
  <c r="K61" i="12"/>
  <c r="J61" i="12"/>
  <c r="I61" i="12"/>
  <c r="H61" i="12"/>
  <c r="K58" i="12"/>
  <c r="J58" i="12"/>
  <c r="I58" i="12"/>
  <c r="H58" i="12"/>
  <c r="K55" i="12"/>
  <c r="J55" i="12"/>
  <c r="I55" i="12"/>
  <c r="H55" i="12"/>
  <c r="K52" i="12"/>
  <c r="J52" i="12"/>
  <c r="I52" i="12"/>
  <c r="H52" i="12"/>
  <c r="K49" i="12"/>
  <c r="J49" i="12"/>
  <c r="I49" i="12"/>
  <c r="H49" i="12"/>
  <c r="K46" i="12"/>
  <c r="J46" i="12"/>
  <c r="I46" i="12"/>
  <c r="H46" i="12"/>
  <c r="K43" i="12"/>
  <c r="J43" i="12"/>
  <c r="I43" i="12"/>
  <c r="H43" i="12"/>
  <c r="K40" i="12"/>
  <c r="J40" i="12"/>
  <c r="I40" i="12"/>
  <c r="H40" i="12"/>
  <c r="K37" i="12"/>
  <c r="J37" i="12"/>
  <c r="I37" i="12"/>
  <c r="H37" i="12"/>
  <c r="K34" i="12"/>
  <c r="J34" i="12"/>
  <c r="I34" i="12"/>
  <c r="H34" i="12"/>
  <c r="K31" i="12"/>
  <c r="J31" i="12"/>
  <c r="I31" i="12"/>
  <c r="H31" i="12"/>
  <c r="K28" i="12"/>
  <c r="J28" i="12"/>
  <c r="I28" i="12"/>
  <c r="H28" i="12"/>
  <c r="K25" i="12"/>
  <c r="J25" i="12"/>
  <c r="I25" i="12"/>
  <c r="H25" i="12"/>
  <c r="K22" i="12"/>
  <c r="J22" i="12"/>
  <c r="I22" i="12"/>
  <c r="H22" i="12"/>
  <c r="K19" i="12"/>
  <c r="J19" i="12"/>
  <c r="I19" i="12"/>
  <c r="H19" i="12"/>
  <c r="K16" i="12"/>
  <c r="L16" i="12" s="1"/>
  <c r="J16" i="12"/>
  <c r="H16" i="12"/>
  <c r="K13" i="12"/>
  <c r="J13" i="12"/>
  <c r="I13" i="12"/>
  <c r="H13" i="12"/>
  <c r="K10" i="12"/>
  <c r="J10" i="12"/>
  <c r="I10" i="12"/>
  <c r="H10" i="12"/>
  <c r="K7" i="12"/>
  <c r="J7" i="12"/>
  <c r="I7" i="12"/>
  <c r="H7" i="12"/>
  <c r="G16" i="3" l="1"/>
  <c r="H16" i="3"/>
  <c r="L645" i="12"/>
  <c r="L693" i="12"/>
  <c r="L152" i="12"/>
  <c r="N152" i="12" s="1"/>
  <c r="K153" i="12"/>
  <c r="L153" i="12" s="1"/>
  <c r="T17" i="12"/>
  <c r="E5" i="3"/>
  <c r="U17" i="12"/>
  <c r="L100" i="12"/>
  <c r="M100" i="12" s="1"/>
  <c r="L128" i="12"/>
  <c r="N128" i="12" s="1"/>
  <c r="L146" i="12"/>
  <c r="L134" i="12"/>
  <c r="M134" i="12" s="1"/>
  <c r="L140" i="12"/>
  <c r="M140" i="12" s="1"/>
  <c r="L564" i="12"/>
  <c r="L25" i="12"/>
  <c r="M25" i="12" s="1"/>
  <c r="L43" i="12"/>
  <c r="N43" i="12" s="1"/>
  <c r="L55" i="12"/>
  <c r="M55" i="12" s="1"/>
  <c r="L67" i="12"/>
  <c r="M67" i="12" s="1"/>
  <c r="L79" i="12"/>
  <c r="N79" i="12" s="1"/>
  <c r="L91" i="12"/>
  <c r="N91" i="12" s="1"/>
  <c r="L19" i="12"/>
  <c r="M19" i="12" s="1"/>
  <c r="L31" i="12"/>
  <c r="L37" i="12"/>
  <c r="N37" i="12" s="1"/>
  <c r="L49" i="12"/>
  <c r="M49" i="12" s="1"/>
  <c r="L61" i="12"/>
  <c r="M61" i="12" s="1"/>
  <c r="L73" i="12"/>
  <c r="M73" i="12" s="1"/>
  <c r="L85" i="12"/>
  <c r="M85" i="12" s="1"/>
  <c r="L97" i="12"/>
  <c r="N97" i="12" s="1"/>
  <c r="L592" i="12"/>
  <c r="L600" i="12"/>
  <c r="L607" i="12"/>
  <c r="N607" i="12" s="1"/>
  <c r="L22" i="12"/>
  <c r="M22" i="12" s="1"/>
  <c r="L34" i="12"/>
  <c r="L52" i="12"/>
  <c r="M52" i="12" s="1"/>
  <c r="L64" i="12"/>
  <c r="M64" i="12" s="1"/>
  <c r="L70" i="12"/>
  <c r="M70" i="12" s="1"/>
  <c r="L82" i="12"/>
  <c r="M82" i="12" s="1"/>
  <c r="L88" i="12"/>
  <c r="M88" i="12" s="1"/>
  <c r="L305" i="12"/>
  <c r="N305" i="12" s="1"/>
  <c r="L420" i="12"/>
  <c r="N420" i="12" s="1"/>
  <c r="L428" i="12"/>
  <c r="L442" i="12"/>
  <c r="L437" i="12"/>
  <c r="N437" i="12" s="1"/>
  <c r="L28" i="12"/>
  <c r="N28" i="12" s="1"/>
  <c r="L40" i="12"/>
  <c r="M40" i="12" s="1"/>
  <c r="L46" i="12"/>
  <c r="N46" i="12" s="1"/>
  <c r="L58" i="12"/>
  <c r="N58" i="12" s="1"/>
  <c r="L76" i="12"/>
  <c r="M76" i="12" s="1"/>
  <c r="L94" i="12"/>
  <c r="M94" i="12" s="1"/>
  <c r="L103" i="12"/>
  <c r="L108" i="12"/>
  <c r="N108" i="12" s="1"/>
  <c r="L125" i="12"/>
  <c r="M125" i="12" s="1"/>
  <c r="L131" i="12"/>
  <c r="M131" i="12" s="1"/>
  <c r="L137" i="12"/>
  <c r="M137" i="12" s="1"/>
  <c r="L142" i="12"/>
  <c r="M142" i="12" s="1"/>
  <c r="L417" i="12"/>
  <c r="N417" i="12" s="1"/>
  <c r="L423" i="12"/>
  <c r="M423" i="12" s="1"/>
  <c r="L431" i="12"/>
  <c r="M431" i="12" s="1"/>
  <c r="L434" i="12"/>
  <c r="N434" i="12" s="1"/>
  <c r="L445" i="12"/>
  <c r="M445" i="12" s="1"/>
  <c r="L451" i="12"/>
  <c r="N451" i="12" s="1"/>
  <c r="L575" i="12"/>
  <c r="M575" i="12" s="1"/>
  <c r="L581" i="12"/>
  <c r="M581" i="12" s="1"/>
  <c r="L588" i="12"/>
  <c r="N588" i="12" s="1"/>
  <c r="L596" i="12"/>
  <c r="L604" i="12"/>
  <c r="M604" i="12" s="1"/>
  <c r="L610" i="12"/>
  <c r="M610" i="12" s="1"/>
  <c r="L617" i="12"/>
  <c r="M617" i="12" s="1"/>
  <c r="L118" i="12"/>
  <c r="M118" i="12" s="1"/>
  <c r="L171" i="12"/>
  <c r="L379" i="12"/>
  <c r="M379" i="12" s="1"/>
  <c r="L448" i="12"/>
  <c r="M448" i="12" s="1"/>
  <c r="L13" i="12"/>
  <c r="M13" i="12" s="1"/>
  <c r="L382" i="12"/>
  <c r="M382" i="12" s="1"/>
  <c r="L597" i="12"/>
  <c r="M597" i="12" s="1"/>
  <c r="L106" i="12"/>
  <c r="M106" i="12" s="1"/>
  <c r="L284" i="12"/>
  <c r="L571" i="12"/>
  <c r="L562" i="12"/>
  <c r="L578" i="12"/>
  <c r="N578" i="12" s="1"/>
  <c r="L584" i="12"/>
  <c r="N584" i="12" s="1"/>
  <c r="L614" i="12"/>
  <c r="N614" i="12" s="1"/>
  <c r="L620" i="12"/>
  <c r="N620" i="12" s="1"/>
  <c r="L10" i="12"/>
  <c r="M10" i="12" s="1"/>
  <c r="L385" i="12"/>
  <c r="M385" i="12" s="1"/>
  <c r="L113" i="12"/>
  <c r="M113" i="12" s="1"/>
  <c r="L572" i="12"/>
  <c r="N572" i="12" s="1"/>
  <c r="M751" i="12"/>
  <c r="N751" i="12"/>
  <c r="N750" i="12"/>
  <c r="M750" i="12"/>
  <c r="N745" i="12"/>
  <c r="M745" i="12"/>
  <c r="M746" i="12"/>
  <c r="N746" i="12"/>
  <c r="M747" i="12"/>
  <c r="N747" i="12"/>
  <c r="M748" i="12"/>
  <c r="N748" i="12"/>
  <c r="M749" i="12"/>
  <c r="N749" i="12"/>
  <c r="N697" i="12"/>
  <c r="M647" i="12"/>
  <c r="M697" i="12"/>
  <c r="M514" i="12"/>
  <c r="N626" i="12"/>
  <c r="N645" i="12" s="1"/>
  <c r="M526" i="12"/>
  <c r="H624" i="12"/>
  <c r="H759" i="12" s="1"/>
  <c r="M642" i="12"/>
  <c r="M638" i="12"/>
  <c r="M636" i="12"/>
  <c r="M637" i="12"/>
  <c r="M635" i="12"/>
  <c r="M634" i="12"/>
  <c r="M633" i="12"/>
  <c r="M632" i="12"/>
  <c r="N208" i="12"/>
  <c r="M626" i="12"/>
  <c r="M631" i="12"/>
  <c r="M627" i="12"/>
  <c r="M213" i="12"/>
  <c r="N557" i="12"/>
  <c r="N567" i="12"/>
  <c r="M546" i="12"/>
  <c r="N290" i="12"/>
  <c r="M294" i="12"/>
  <c r="M174" i="12"/>
  <c r="M253" i="12"/>
  <c r="M272" i="12"/>
  <c r="N507" i="12"/>
  <c r="N165" i="12"/>
  <c r="M260" i="12"/>
  <c r="M210" i="12"/>
  <c r="N533" i="12"/>
  <c r="N149" i="12"/>
  <c r="M123" i="12"/>
  <c r="M352" i="12"/>
  <c r="M553" i="12"/>
  <c r="N530" i="12"/>
  <c r="M312" i="12"/>
  <c r="M356" i="12"/>
  <c r="M523" i="12"/>
  <c r="M316" i="12"/>
  <c r="N471" i="12"/>
  <c r="M187" i="12"/>
  <c r="M281" i="12"/>
  <c r="M493" i="12"/>
  <c r="N221" i="12"/>
  <c r="N237" i="12"/>
  <c r="M503" i="12"/>
  <c r="M539" i="12"/>
  <c r="M205" i="12"/>
  <c r="M234" i="12"/>
  <c r="M278" i="12"/>
  <c r="N286" i="12"/>
  <c r="N368" i="12"/>
  <c r="M410" i="12"/>
  <c r="M189" i="12"/>
  <c r="M168" i="12"/>
  <c r="N523" i="12"/>
  <c r="N215" i="12"/>
  <c r="M328" i="12"/>
  <c r="M488" i="12"/>
  <c r="M499" i="12"/>
  <c r="M201" i="12"/>
  <c r="N375" i="12"/>
  <c r="M405" i="12"/>
  <c r="M228" i="12"/>
  <c r="N205" i="12"/>
  <c r="N352" i="12"/>
  <c r="N410" i="12"/>
  <c r="N218" i="12"/>
  <c r="M245" i="12"/>
  <c r="N372" i="12"/>
  <c r="N490" i="12"/>
  <c r="M520" i="12"/>
  <c r="M121" i="12"/>
  <c r="M181" i="12"/>
  <c r="M399" i="12"/>
  <c r="M500" i="12"/>
  <c r="N546" i="12"/>
  <c r="N302" i="12"/>
  <c r="N310" i="12"/>
  <c r="M320" i="12"/>
  <c r="N354" i="12"/>
  <c r="N391" i="12"/>
  <c r="N413" i="12"/>
  <c r="M483" i="12"/>
  <c r="N405" i="12"/>
  <c r="N465" i="12"/>
  <c r="N549" i="12"/>
  <c r="M191" i="12"/>
  <c r="M269" i="12"/>
  <c r="M335" i="12"/>
  <c r="M345" i="12"/>
  <c r="N356" i="12"/>
  <c r="N474" i="12"/>
  <c r="N159" i="12"/>
  <c r="M375" i="12"/>
  <c r="N281" i="12"/>
  <c r="N553" i="12"/>
  <c r="M231" i="12"/>
  <c r="N338" i="12"/>
  <c r="N358" i="12"/>
  <c r="M454" i="12"/>
  <c r="M477" i="12"/>
  <c r="M388" i="12"/>
  <c r="N388" i="12"/>
  <c r="N213" i="12"/>
  <c r="N272" i="12"/>
  <c r="N328" i="12"/>
  <c r="M517" i="12"/>
  <c r="N517" i="12"/>
  <c r="N177" i="12"/>
  <c r="N191" i="12"/>
  <c r="M298" i="12"/>
  <c r="M321" i="12"/>
  <c r="M465" i="12"/>
  <c r="N503" i="12"/>
  <c r="M511" i="12"/>
  <c r="N520" i="12"/>
  <c r="N647" i="12"/>
  <c r="U16" i="12" s="1"/>
  <c r="M215" i="12"/>
  <c r="N224" i="12"/>
  <c r="M250" i="12"/>
  <c r="M258" i="12"/>
  <c r="M266" i="12"/>
  <c r="N362" i="12"/>
  <c r="M398" i="12"/>
  <c r="N526" i="12"/>
  <c r="M299" i="12"/>
  <c r="M308" i="12"/>
  <c r="N324" i="12"/>
  <c r="M349" i="12"/>
  <c r="N365" i="12"/>
  <c r="M485" i="12"/>
  <c r="N514" i="12"/>
  <c r="L7" i="12"/>
  <c r="M310" i="12"/>
  <c r="M340" i="12"/>
  <c r="N408" i="12"/>
  <c r="M549" i="12"/>
  <c r="M558" i="12"/>
  <c r="N189" i="12"/>
  <c r="N210" i="12"/>
  <c r="M248" i="12"/>
  <c r="M255" i="12"/>
  <c r="M263" i="12"/>
  <c r="N402" i="12"/>
  <c r="N560" i="12"/>
  <c r="M202" i="12"/>
  <c r="N275" i="12"/>
  <c r="M295" i="12"/>
  <c r="M317" i="12"/>
  <c r="M325" i="12"/>
  <c r="N392" i="12"/>
  <c r="N414" i="12"/>
  <c r="M198" i="12"/>
  <c r="N320" i="12"/>
  <c r="N395" i="12"/>
  <c r="M471" i="12"/>
  <c r="N179" i="12"/>
  <c r="M490" i="12"/>
  <c r="N510" i="12"/>
  <c r="N162" i="12"/>
  <c r="N195" i="12"/>
  <c r="M218" i="12"/>
  <c r="N278" i="12"/>
  <c r="N116" i="12"/>
  <c r="M116" i="12"/>
  <c r="N158" i="12"/>
  <c r="M158" i="12"/>
  <c r="N348" i="12"/>
  <c r="M348" i="12"/>
  <c r="M184" i="12"/>
  <c r="N184" i="12"/>
  <c r="N593" i="12"/>
  <c r="M593" i="12"/>
  <c r="N156" i="12"/>
  <c r="M156" i="12"/>
  <c r="M240" i="12"/>
  <c r="N240" i="12"/>
  <c r="N16" i="12"/>
  <c r="M16" i="12"/>
  <c r="N255" i="12"/>
  <c r="N174" i="12"/>
  <c r="N187" i="12"/>
  <c r="N198" i="12"/>
  <c r="M208" i="12"/>
  <c r="N228" i="12"/>
  <c r="N294" i="12"/>
  <c r="N308" i="12"/>
  <c r="M224" i="12"/>
  <c r="M237" i="12"/>
  <c r="N331" i="12"/>
  <c r="M331" i="12"/>
  <c r="M368" i="12"/>
  <c r="M391" i="12"/>
  <c r="M413" i="12"/>
  <c r="N468" i="12"/>
  <c r="M468" i="12"/>
  <c r="N536" i="12"/>
  <c r="M536" i="12"/>
  <c r="N234" i="12"/>
  <c r="N168" i="12"/>
  <c r="N250" i="12"/>
  <c r="N266" i="12"/>
  <c r="N181" i="12"/>
  <c r="M149" i="12"/>
  <c r="M165" i="12"/>
  <c r="M221" i="12"/>
  <c r="M354" i="12"/>
  <c r="N369" i="12"/>
  <c r="M408" i="12"/>
  <c r="N485" i="12"/>
  <c r="M179" i="12"/>
  <c r="N231" i="12"/>
  <c r="N248" i="12"/>
  <c r="N263" i="12"/>
  <c r="M286" i="12"/>
  <c r="M290" i="12"/>
  <c r="N316" i="12"/>
  <c r="M324" i="12"/>
  <c r="N459" i="12"/>
  <c r="M459" i="12"/>
  <c r="M162" i="12"/>
  <c r="M195" i="12"/>
  <c r="M302" i="12"/>
  <c r="M362" i="12"/>
  <c r="M402" i="12"/>
  <c r="N496" i="12"/>
  <c r="M496" i="12"/>
  <c r="N601" i="12"/>
  <c r="M601" i="12"/>
  <c r="N611" i="12"/>
  <c r="M611" i="12"/>
  <c r="N589" i="12"/>
  <c r="M589" i="12"/>
  <c r="M111" i="12"/>
  <c r="N245" i="12"/>
  <c r="N260" i="12"/>
  <c r="N335" i="12"/>
  <c r="N463" i="12"/>
  <c r="M463" i="12"/>
  <c r="N585" i="12"/>
  <c r="M585" i="12"/>
  <c r="N253" i="12"/>
  <c r="M358" i="12"/>
  <c r="M177" i="12"/>
  <c r="N312" i="12"/>
  <c r="N343" i="12"/>
  <c r="M343" i="12"/>
  <c r="M395" i="12"/>
  <c r="N480" i="12"/>
  <c r="M480" i="12"/>
  <c r="M530" i="12"/>
  <c r="N542" i="12"/>
  <c r="M542" i="12"/>
  <c r="N568" i="12"/>
  <c r="M568" i="12"/>
  <c r="N258" i="12"/>
  <c r="N472" i="12"/>
  <c r="M472" i="12"/>
  <c r="N269" i="12"/>
  <c r="N121" i="12"/>
  <c r="N298" i="12"/>
  <c r="M560" i="12"/>
  <c r="N493" i="12"/>
  <c r="N488" i="12"/>
  <c r="M533" i="12"/>
  <c r="M275" i="12"/>
  <c r="N376" i="12"/>
  <c r="M376" i="12"/>
  <c r="M474" i="12"/>
  <c r="N483" i="12"/>
  <c r="M507" i="12"/>
  <c r="M554" i="12"/>
  <c r="M567" i="12"/>
  <c r="M365" i="12"/>
  <c r="N477" i="12"/>
  <c r="M313" i="12"/>
  <c r="M338" i="12"/>
  <c r="N345" i="12"/>
  <c r="N359" i="12"/>
  <c r="M359" i="12"/>
  <c r="M372" i="12"/>
  <c r="M510" i="12"/>
  <c r="M543" i="12"/>
  <c r="M192" i="12"/>
  <c r="M225" i="12"/>
  <c r="M291" i="12"/>
  <c r="M332" i="12"/>
  <c r="N340" i="12"/>
  <c r="N398" i="12"/>
  <c r="M460" i="12"/>
  <c r="M557" i="12"/>
  <c r="N123" i="12"/>
  <c r="N201" i="12"/>
  <c r="N454" i="12"/>
  <c r="N499" i="12"/>
  <c r="N539" i="12"/>
  <c r="M504" i="12"/>
  <c r="M527" i="12"/>
  <c r="M561" i="12"/>
  <c r="K504" i="2"/>
  <c r="L504" i="2" s="1"/>
  <c r="K505" i="2"/>
  <c r="L505" i="2" s="1"/>
  <c r="K506" i="2"/>
  <c r="L506" i="2" s="1"/>
  <c r="K507" i="2"/>
  <c r="L507" i="2" s="1"/>
  <c r="K508" i="2"/>
  <c r="L508" i="2" s="1"/>
  <c r="K509" i="2"/>
  <c r="L509" i="2" s="1"/>
  <c r="K503" i="2"/>
  <c r="L503" i="2" s="1"/>
  <c r="I504" i="2"/>
  <c r="I505" i="2"/>
  <c r="I506" i="2"/>
  <c r="I507" i="2"/>
  <c r="I508" i="2"/>
  <c r="I509" i="2"/>
  <c r="I503" i="2"/>
  <c r="J473" i="2"/>
  <c r="K473" i="2" s="1"/>
  <c r="H7" i="3" l="1"/>
  <c r="G7" i="3"/>
  <c r="G15" i="3"/>
  <c r="H15" i="3"/>
  <c r="H10" i="3"/>
  <c r="G10" i="3"/>
  <c r="E13" i="3"/>
  <c r="T16" i="12"/>
  <c r="M693" i="12"/>
  <c r="M645" i="12"/>
  <c r="M152" i="12"/>
  <c r="M153" i="12"/>
  <c r="N153" i="12"/>
  <c r="U15" i="12"/>
  <c r="T21" i="12"/>
  <c r="U21" i="12"/>
  <c r="T9" i="12"/>
  <c r="T15" i="12"/>
  <c r="T13" i="12"/>
  <c r="U9" i="12"/>
  <c r="U13" i="12"/>
  <c r="F5" i="3"/>
  <c r="L243" i="12"/>
  <c r="N171" i="12"/>
  <c r="L440" i="12"/>
  <c r="L426" i="12"/>
  <c r="L457" i="12"/>
  <c r="M572" i="12"/>
  <c r="N597" i="12"/>
  <c r="L623" i="12"/>
  <c r="L144" i="12"/>
  <c r="M571" i="12"/>
  <c r="M757" i="12"/>
  <c r="N757" i="12"/>
  <c r="M46" i="12"/>
  <c r="N693" i="12"/>
  <c r="M442" i="12"/>
  <c r="M562" i="12"/>
  <c r="N562" i="12"/>
  <c r="M428" i="12"/>
  <c r="N564" i="12"/>
  <c r="L758" i="12"/>
  <c r="N140" i="12"/>
  <c r="M284" i="12"/>
  <c r="M146" i="12"/>
  <c r="M7" i="12"/>
  <c r="N284" i="12"/>
  <c r="M420" i="12"/>
  <c r="M437" i="12"/>
  <c r="N94" i="12"/>
  <c r="N10" i="12"/>
  <c r="N22" i="12"/>
  <c r="M620" i="12"/>
  <c r="M28" i="12"/>
  <c r="M578" i="12"/>
  <c r="M564" i="12"/>
  <c r="M614" i="12"/>
  <c r="M584" i="12"/>
  <c r="M607" i="12"/>
  <c r="N575" i="12"/>
  <c r="N423" i="12"/>
  <c r="N428" i="12"/>
  <c r="M37" i="12"/>
  <c r="N61" i="12"/>
  <c r="N25" i="12"/>
  <c r="N49" i="12"/>
  <c r="N125" i="12"/>
  <c r="N131" i="12"/>
  <c r="M171" i="12"/>
  <c r="N610" i="12"/>
  <c r="N431" i="12"/>
  <c r="N137" i="12"/>
  <c r="M434" i="12"/>
  <c r="N100" i="12"/>
  <c r="N442" i="12"/>
  <c r="M43" i="12"/>
  <c r="N19" i="12"/>
  <c r="N13" i="12"/>
  <c r="N88" i="12"/>
  <c r="N382" i="12"/>
  <c r="M79" i="12"/>
  <c r="N617" i="12"/>
  <c r="N604" i="12"/>
  <c r="M128" i="12"/>
  <c r="N385" i="12"/>
  <c r="M588" i="12"/>
  <c r="N146" i="12"/>
  <c r="M91" i="12"/>
  <c r="N142" i="12"/>
  <c r="N52" i="12"/>
  <c r="M417" i="12"/>
  <c r="N448" i="12"/>
  <c r="M305" i="12"/>
  <c r="N40" i="12"/>
  <c r="M58" i="12"/>
  <c r="M108" i="12"/>
  <c r="N581" i="12"/>
  <c r="N106" i="12"/>
  <c r="M97" i="12"/>
  <c r="N445" i="12"/>
  <c r="M600" i="12"/>
  <c r="N600" i="12"/>
  <c r="N134" i="12"/>
  <c r="N379" i="12"/>
  <c r="N7" i="12"/>
  <c r="N55" i="12"/>
  <c r="N118" i="12"/>
  <c r="N82" i="12"/>
  <c r="M451" i="12"/>
  <c r="N85" i="12"/>
  <c r="N64" i="12"/>
  <c r="M31" i="12"/>
  <c r="N31" i="12"/>
  <c r="N111" i="12"/>
  <c r="N70" i="12"/>
  <c r="M34" i="12"/>
  <c r="N34" i="12"/>
  <c r="N103" i="12"/>
  <c r="M103" i="12"/>
  <c r="N592" i="12"/>
  <c r="M592" i="12"/>
  <c r="N67" i="12"/>
  <c r="N76" i="12"/>
  <c r="N571" i="12"/>
  <c r="N596" i="12"/>
  <c r="M596" i="12"/>
  <c r="N73" i="12"/>
  <c r="N113" i="12"/>
  <c r="M473" i="2"/>
  <c r="L473" i="2"/>
  <c r="J471" i="2"/>
  <c r="K471" i="2" s="1"/>
  <c r="H9" i="3" l="1"/>
  <c r="G9" i="3"/>
  <c r="H12" i="3"/>
  <c r="G12" i="3"/>
  <c r="H8" i="3"/>
  <c r="G8" i="3"/>
  <c r="H11" i="3"/>
  <c r="G11" i="3"/>
  <c r="H5" i="3"/>
  <c r="G5" i="3"/>
  <c r="F13" i="3"/>
  <c r="H6" i="3"/>
  <c r="G6" i="3"/>
  <c r="H14" i="3"/>
  <c r="G14" i="3"/>
  <c r="M758" i="12"/>
  <c r="T10" i="12"/>
  <c r="U11" i="12"/>
  <c r="U10" i="12"/>
  <c r="T8" i="12"/>
  <c r="U7" i="12"/>
  <c r="U14" i="12"/>
  <c r="T14" i="12"/>
  <c r="T11" i="12"/>
  <c r="U8" i="12"/>
  <c r="T7" i="12"/>
  <c r="L624" i="12"/>
  <c r="L759" i="12" s="1"/>
  <c r="L760" i="12" s="1"/>
  <c r="N758" i="12"/>
  <c r="N243" i="12"/>
  <c r="N440" i="12"/>
  <c r="N457" i="12"/>
  <c r="N623" i="12"/>
  <c r="M426" i="12"/>
  <c r="M440" i="12"/>
  <c r="M623" i="12"/>
  <c r="M457" i="12"/>
  <c r="N426" i="12"/>
  <c r="N144" i="12"/>
  <c r="M144" i="12"/>
  <c r="M243" i="12"/>
  <c r="M471" i="2"/>
  <c r="L471" i="2"/>
  <c r="H124" i="2"/>
  <c r="H140" i="2"/>
  <c r="M624" i="12" l="1"/>
  <c r="M759" i="12" s="1"/>
  <c r="N624" i="12"/>
  <c r="N759" i="12" s="1"/>
  <c r="K436" i="2"/>
  <c r="M436" i="2" s="1"/>
  <c r="K434" i="2"/>
  <c r="M434" i="2" s="1"/>
  <c r="K432" i="2"/>
  <c r="L432" i="2" s="1"/>
  <c r="K426" i="2"/>
  <c r="M426" i="2" s="1"/>
  <c r="K416" i="2"/>
  <c r="M416" i="2" s="1"/>
  <c r="K406" i="2"/>
  <c r="M406" i="2" s="1"/>
  <c r="K402" i="2"/>
  <c r="M402" i="2" s="1"/>
  <c r="K400" i="2"/>
  <c r="M400" i="2" s="1"/>
  <c r="K380" i="2"/>
  <c r="M380" i="2" s="1"/>
  <c r="K372" i="2"/>
  <c r="M372" i="2" s="1"/>
  <c r="K346" i="2"/>
  <c r="M346" i="2" s="1"/>
  <c r="K336" i="2"/>
  <c r="M336" i="2" s="1"/>
  <c r="K332" i="2"/>
  <c r="M332" i="2" s="1"/>
  <c r="K322" i="2"/>
  <c r="M322" i="2" s="1"/>
  <c r="K318" i="2"/>
  <c r="M318" i="2" s="1"/>
  <c r="K312" i="2"/>
  <c r="M312" i="2" s="1"/>
  <c r="K304" i="2"/>
  <c r="M304" i="2" s="1"/>
  <c r="K292" i="2"/>
  <c r="M292" i="2" s="1"/>
  <c r="K288" i="2"/>
  <c r="M288" i="2" s="1"/>
  <c r="K286" i="2"/>
  <c r="M286" i="2" s="1"/>
  <c r="S285" i="2"/>
  <c r="K284" i="2"/>
  <c r="L284" i="2" s="1"/>
  <c r="K282" i="2"/>
  <c r="L282" i="2" s="1"/>
  <c r="K272" i="2"/>
  <c r="L272" i="2" s="1"/>
  <c r="K270" i="2"/>
  <c r="M270" i="2" s="1"/>
  <c r="K268" i="2"/>
  <c r="M268" i="2" s="1"/>
  <c r="K266" i="2"/>
  <c r="M266" i="2" s="1"/>
  <c r="K179" i="2"/>
  <c r="L179" i="2" s="1"/>
  <c r="I178" i="2"/>
  <c r="K163" i="2"/>
  <c r="L163" i="2" s="1"/>
  <c r="K157" i="2"/>
  <c r="L157" i="2" s="1"/>
  <c r="S156" i="2"/>
  <c r="K133" i="2"/>
  <c r="L133" i="2" s="1"/>
  <c r="H275" i="2"/>
  <c r="M432" i="2" l="1"/>
  <c r="L436" i="2"/>
  <c r="L434" i="2"/>
  <c r="L426" i="2"/>
  <c r="L416" i="2"/>
  <c r="L406" i="2"/>
  <c r="L402" i="2"/>
  <c r="L400" i="2"/>
  <c r="L380" i="2"/>
  <c r="L372" i="2"/>
  <c r="L346" i="2"/>
  <c r="L336" i="2"/>
  <c r="L332" i="2"/>
  <c r="L322" i="2"/>
  <c r="L318" i="2"/>
  <c r="L312" i="2"/>
  <c r="L304" i="2"/>
  <c r="L292" i="2"/>
  <c r="L288" i="2"/>
  <c r="L286" i="2"/>
  <c r="M284" i="2"/>
  <c r="M282" i="2"/>
  <c r="M272" i="2"/>
  <c r="L270" i="2"/>
  <c r="L268" i="2"/>
  <c r="L266" i="2"/>
  <c r="M163" i="2"/>
  <c r="M179" i="2"/>
  <c r="M157" i="2"/>
  <c r="M133" i="2"/>
  <c r="U89" i="2"/>
  <c r="T89" i="2"/>
  <c r="K191" i="2"/>
  <c r="Q327" i="2"/>
  <c r="AC228" i="2"/>
  <c r="G8" i="2"/>
  <c r="G10" i="2"/>
  <c r="G12" i="2"/>
  <c r="G14" i="2"/>
  <c r="G16" i="2"/>
  <c r="G18" i="2"/>
  <c r="G20" i="2"/>
  <c r="G22" i="2"/>
  <c r="G24" i="2"/>
  <c r="G26" i="2"/>
  <c r="G28" i="2"/>
  <c r="G30" i="2"/>
  <c r="G32" i="2"/>
  <c r="G34" i="2"/>
  <c r="G36" i="2"/>
  <c r="G38" i="2"/>
  <c r="G40" i="2"/>
  <c r="G42" i="2"/>
  <c r="G44" i="2"/>
  <c r="G46" i="2"/>
  <c r="G48" i="2"/>
  <c r="G50" i="2"/>
  <c r="G52" i="2"/>
  <c r="G54" i="2"/>
  <c r="G56" i="2"/>
  <c r="G58" i="2"/>
  <c r="G60" i="2"/>
  <c r="G62" i="2"/>
  <c r="G64" i="2"/>
  <c r="G66" i="2"/>
  <c r="G68" i="2"/>
  <c r="G70" i="2"/>
  <c r="G72" i="2"/>
  <c r="G74" i="2"/>
  <c r="G76" i="2"/>
  <c r="G78" i="2"/>
  <c r="G80" i="2"/>
  <c r="G82" i="2"/>
  <c r="G84" i="2"/>
  <c r="G86" i="2"/>
  <c r="G88" i="2"/>
  <c r="G90" i="2"/>
  <c r="G92" i="2"/>
  <c r="G94" i="2"/>
  <c r="G96" i="2"/>
  <c r="G98" i="2"/>
  <c r="G100" i="2"/>
  <c r="G124" i="2"/>
  <c r="G126" i="2"/>
  <c r="G128" i="2"/>
  <c r="G130" i="2"/>
  <c r="G132" i="2"/>
  <c r="G134" i="2"/>
  <c r="G136" i="2"/>
  <c r="G138" i="2"/>
  <c r="G140" i="2"/>
  <c r="G142" i="2"/>
  <c r="G144" i="2"/>
  <c r="G146" i="2"/>
  <c r="G148" i="2"/>
  <c r="G150" i="2"/>
  <c r="G152" i="2"/>
  <c r="G154" i="2"/>
  <c r="G156" i="2"/>
  <c r="G158" i="2"/>
  <c r="G160" i="2"/>
  <c r="G162" i="2"/>
  <c r="G164" i="2"/>
  <c r="G166" i="2"/>
  <c r="G168" i="2"/>
  <c r="G170" i="2"/>
  <c r="G230" i="2"/>
  <c r="G232" i="2"/>
  <c r="G234" i="2"/>
  <c r="G236" i="2"/>
  <c r="G238" i="2"/>
  <c r="G240" i="2"/>
  <c r="G242" i="2"/>
  <c r="G244" i="2"/>
  <c r="G246" i="2"/>
  <c r="G248" i="2"/>
  <c r="G250" i="2"/>
  <c r="G252" i="2"/>
  <c r="G254" i="2"/>
  <c r="G256" i="2"/>
  <c r="G172" i="2"/>
  <c r="G174" i="2"/>
  <c r="G176" i="2"/>
  <c r="G178" i="2"/>
  <c r="G180" i="2"/>
  <c r="G182" i="2"/>
  <c r="G184" i="2"/>
  <c r="G186" i="2"/>
  <c r="G188" i="2"/>
  <c r="G265" i="2"/>
  <c r="G267" i="2"/>
  <c r="G269" i="2"/>
  <c r="G271" i="2"/>
  <c r="G273" i="2"/>
  <c r="G275" i="2"/>
  <c r="G277" i="2"/>
  <c r="G279" i="2"/>
  <c r="G281" i="2"/>
  <c r="G283" i="2"/>
  <c r="G285" i="2"/>
  <c r="G287" i="2"/>
  <c r="G289" i="2"/>
  <c r="G291" i="2"/>
  <c r="G293" i="2"/>
  <c r="G295" i="2"/>
  <c r="G297" i="2"/>
  <c r="G299" i="2"/>
  <c r="G301" i="2"/>
  <c r="G303" i="2"/>
  <c r="G305" i="2"/>
  <c r="G307" i="2"/>
  <c r="G309" i="2"/>
  <c r="G311" i="2"/>
  <c r="G313" i="2"/>
  <c r="G315" i="2"/>
  <c r="G317" i="2"/>
  <c r="G319" i="2"/>
  <c r="G321" i="2"/>
  <c r="G323" i="2"/>
  <c r="G325" i="2"/>
  <c r="G327" i="2"/>
  <c r="G329" i="2"/>
  <c r="G331" i="2"/>
  <c r="G333" i="2"/>
  <c r="G335" i="2"/>
  <c r="G337" i="2"/>
  <c r="G339" i="2"/>
  <c r="G341" i="2"/>
  <c r="G343" i="2"/>
  <c r="G345" i="2"/>
  <c r="G347" i="2"/>
  <c r="G349" i="2"/>
  <c r="G351" i="2"/>
  <c r="G353" i="2"/>
  <c r="G355" i="2"/>
  <c r="G357" i="2"/>
  <c r="G359" i="2"/>
  <c r="G361" i="2"/>
  <c r="G363" i="2"/>
  <c r="G365" i="2"/>
  <c r="G367" i="2"/>
  <c r="G369" i="2"/>
  <c r="G371" i="2"/>
  <c r="G373" i="2"/>
  <c r="G375" i="2"/>
  <c r="G377" i="2"/>
  <c r="G379" i="2"/>
  <c r="G381" i="2"/>
  <c r="G383" i="2"/>
  <c r="G385" i="2"/>
  <c r="G387" i="2"/>
  <c r="G389" i="2"/>
  <c r="G391" i="2"/>
  <c r="G393" i="2"/>
  <c r="G395" i="2"/>
  <c r="G397" i="2"/>
  <c r="G399" i="2"/>
  <c r="G401" i="2"/>
  <c r="G403" i="2"/>
  <c r="G405" i="2"/>
  <c r="G407" i="2"/>
  <c r="G409" i="2"/>
  <c r="G411" i="2"/>
  <c r="G413" i="2"/>
  <c r="G415" i="2"/>
  <c r="G417" i="2"/>
  <c r="G419" i="2"/>
  <c r="G421" i="2"/>
  <c r="G423" i="2"/>
  <c r="G425" i="2"/>
  <c r="G427" i="2"/>
  <c r="G429" i="2"/>
  <c r="G431" i="2"/>
  <c r="G433" i="2"/>
  <c r="G435" i="2"/>
  <c r="G468" i="2"/>
  <c r="G470" i="2"/>
  <c r="G472" i="2"/>
  <c r="G474" i="2"/>
  <c r="G476" i="2"/>
  <c r="G478" i="2"/>
  <c r="G480" i="2"/>
  <c r="G482" i="2"/>
  <c r="G484" i="2"/>
  <c r="G486" i="2"/>
  <c r="G488" i="2"/>
  <c r="G490" i="2"/>
  <c r="G492" i="2"/>
  <c r="G494" i="2"/>
  <c r="G496" i="2"/>
  <c r="G498" i="2"/>
  <c r="G500" i="2"/>
  <c r="G6" i="2"/>
  <c r="H6" i="2"/>
  <c r="I6" i="2"/>
  <c r="J6" i="2"/>
  <c r="T6" i="2"/>
  <c r="J500" i="2"/>
  <c r="J403" i="2"/>
  <c r="K403" i="2" s="1"/>
  <c r="J162" i="2"/>
  <c r="K162" i="2" s="1"/>
  <c r="I492" i="2"/>
  <c r="I470" i="2"/>
  <c r="I421" i="2"/>
  <c r="I355" i="2"/>
  <c r="I323" i="2"/>
  <c r="I317" i="2"/>
  <c r="I305" i="2"/>
  <c r="I58" i="2"/>
  <c r="I500" i="2"/>
  <c r="I498" i="2"/>
  <c r="I496" i="2"/>
  <c r="I494" i="2"/>
  <c r="I495" i="2" s="1"/>
  <c r="I490" i="2"/>
  <c r="I488" i="2"/>
  <c r="I486" i="2"/>
  <c r="I484" i="2"/>
  <c r="I482" i="2"/>
  <c r="I480" i="2"/>
  <c r="I478" i="2"/>
  <c r="I476" i="2"/>
  <c r="I474" i="2"/>
  <c r="I472" i="2"/>
  <c r="I468" i="2"/>
  <c r="I435" i="2"/>
  <c r="I433" i="2"/>
  <c r="I431" i="2"/>
  <c r="I429" i="2"/>
  <c r="I427" i="2"/>
  <c r="I425" i="2"/>
  <c r="I423" i="2"/>
  <c r="I419" i="2"/>
  <c r="I417" i="2"/>
  <c r="I415" i="2"/>
  <c r="I413" i="2"/>
  <c r="I411" i="2"/>
  <c r="I409" i="2"/>
  <c r="I407" i="2"/>
  <c r="I405" i="2"/>
  <c r="I403" i="2"/>
  <c r="I401" i="2"/>
  <c r="I399" i="2"/>
  <c r="I397" i="2"/>
  <c r="I395" i="2"/>
  <c r="I393" i="2"/>
  <c r="I391" i="2"/>
  <c r="I389" i="2"/>
  <c r="I387" i="2"/>
  <c r="I385" i="2"/>
  <c r="I383" i="2"/>
  <c r="I381" i="2"/>
  <c r="I379" i="2"/>
  <c r="I377" i="2"/>
  <c r="I375" i="2"/>
  <c r="I373" i="2"/>
  <c r="I371" i="2"/>
  <c r="I369" i="2"/>
  <c r="I367" i="2"/>
  <c r="I365" i="2"/>
  <c r="I363" i="2"/>
  <c r="I361" i="2"/>
  <c r="I359" i="2"/>
  <c r="I357" i="2"/>
  <c r="I353" i="2"/>
  <c r="I351" i="2"/>
  <c r="I349" i="2"/>
  <c r="I347" i="2"/>
  <c r="I345" i="2"/>
  <c r="I343" i="2"/>
  <c r="I341" i="2"/>
  <c r="I339" i="2"/>
  <c r="I337" i="2"/>
  <c r="I335" i="2"/>
  <c r="I333" i="2"/>
  <c r="I331" i="2"/>
  <c r="I329" i="2"/>
  <c r="I327" i="2"/>
  <c r="I325" i="2"/>
  <c r="I321" i="2"/>
  <c r="I319" i="2"/>
  <c r="I315" i="2"/>
  <c r="I313" i="2"/>
  <c r="I311" i="2"/>
  <c r="I309" i="2"/>
  <c r="I307" i="2"/>
  <c r="I303" i="2"/>
  <c r="I301" i="2"/>
  <c r="I299" i="2"/>
  <c r="I297" i="2"/>
  <c r="I295" i="2"/>
  <c r="I293" i="2"/>
  <c r="I291" i="2"/>
  <c r="I289" i="2"/>
  <c r="I287" i="2"/>
  <c r="I285" i="2"/>
  <c r="I283" i="2"/>
  <c r="I281" i="2"/>
  <c r="I279" i="2"/>
  <c r="I277" i="2"/>
  <c r="I275" i="2"/>
  <c r="I273" i="2"/>
  <c r="I271" i="2"/>
  <c r="I269" i="2"/>
  <c r="I267" i="2"/>
  <c r="I265" i="2"/>
  <c r="I188" i="2"/>
  <c r="I186" i="2"/>
  <c r="I184" i="2"/>
  <c r="I182" i="2"/>
  <c r="I180" i="2"/>
  <c r="I176" i="2"/>
  <c r="I174" i="2"/>
  <c r="I172" i="2"/>
  <c r="I256" i="2"/>
  <c r="I254" i="2"/>
  <c r="I252" i="2"/>
  <c r="I250" i="2"/>
  <c r="I248" i="2"/>
  <c r="I246" i="2"/>
  <c r="I244" i="2"/>
  <c r="I242" i="2"/>
  <c r="I240" i="2"/>
  <c r="I238" i="2"/>
  <c r="I236" i="2"/>
  <c r="I234" i="2"/>
  <c r="I232" i="2"/>
  <c r="I230" i="2"/>
  <c r="I170" i="2"/>
  <c r="I168" i="2"/>
  <c r="I166" i="2"/>
  <c r="I164" i="2"/>
  <c r="I162" i="2"/>
  <c r="I160" i="2"/>
  <c r="I158" i="2"/>
  <c r="I156" i="2"/>
  <c r="I154" i="2"/>
  <c r="I152" i="2"/>
  <c r="I150" i="2"/>
  <c r="I148" i="2"/>
  <c r="I146" i="2"/>
  <c r="I144" i="2"/>
  <c r="I142" i="2"/>
  <c r="I140" i="2"/>
  <c r="I138" i="2"/>
  <c r="I136" i="2"/>
  <c r="I134" i="2"/>
  <c r="I132" i="2"/>
  <c r="I130" i="2"/>
  <c r="I128" i="2"/>
  <c r="I126" i="2"/>
  <c r="I124" i="2"/>
  <c r="I100" i="2"/>
  <c r="I98" i="2"/>
  <c r="I96" i="2"/>
  <c r="I94" i="2"/>
  <c r="I92" i="2"/>
  <c r="I90" i="2"/>
  <c r="I88" i="2"/>
  <c r="I86" i="2"/>
  <c r="I84" i="2"/>
  <c r="I82" i="2"/>
  <c r="I80" i="2"/>
  <c r="I78" i="2"/>
  <c r="I76" i="2"/>
  <c r="I74" i="2"/>
  <c r="I72" i="2"/>
  <c r="I70" i="2"/>
  <c r="I68" i="2"/>
  <c r="I66" i="2"/>
  <c r="I64" i="2"/>
  <c r="I62" i="2"/>
  <c r="I60" i="2"/>
  <c r="I56" i="2"/>
  <c r="I54" i="2"/>
  <c r="I52" i="2"/>
  <c r="I50" i="2"/>
  <c r="I48" i="2"/>
  <c r="I46" i="2"/>
  <c r="I44" i="2"/>
  <c r="I42" i="2"/>
  <c r="I40" i="2"/>
  <c r="I38" i="2"/>
  <c r="I36" i="2"/>
  <c r="I34" i="2"/>
  <c r="I32" i="2"/>
  <c r="I30" i="2"/>
  <c r="I28" i="2"/>
  <c r="I26" i="2"/>
  <c r="I24" i="2"/>
  <c r="I22" i="2"/>
  <c r="I20" i="2"/>
  <c r="I18" i="2"/>
  <c r="I16" i="2"/>
  <c r="I14" i="2"/>
  <c r="I12" i="2"/>
  <c r="I10" i="2"/>
  <c r="I8" i="2"/>
  <c r="V89" i="2" l="1"/>
  <c r="L191" i="2"/>
  <c r="M191" i="2"/>
  <c r="L162" i="2"/>
  <c r="L403" i="2"/>
  <c r="M403" i="2"/>
  <c r="M162" i="2"/>
  <c r="K6" i="2"/>
  <c r="U6" i="2"/>
  <c r="V6" i="2" s="1"/>
  <c r="M6" i="2" l="1"/>
  <c r="L6" i="2"/>
  <c r="V625" i="2" l="1"/>
  <c r="U625" i="2"/>
  <c r="M625" i="2"/>
  <c r="V615" i="2"/>
  <c r="U615" i="2"/>
  <c r="M615" i="2"/>
  <c r="V614" i="2"/>
  <c r="U614" i="2"/>
  <c r="M614" i="2"/>
  <c r="S558" i="2"/>
  <c r="V558" i="2" s="1"/>
  <c r="S557" i="2"/>
  <c r="S556" i="2"/>
  <c r="V556" i="2" s="1"/>
  <c r="S555" i="2"/>
  <c r="V555" i="2" s="1"/>
  <c r="M555" i="2"/>
  <c r="S554" i="2"/>
  <c r="V554" i="2" s="1"/>
  <c r="S553" i="2"/>
  <c r="V553" i="2" s="1"/>
  <c r="S549" i="2"/>
  <c r="S547" i="2"/>
  <c r="V547" i="2" s="1"/>
  <c r="S533" i="2"/>
  <c r="V533" i="2" s="1"/>
  <c r="T270" i="2"/>
  <c r="H500" i="2"/>
  <c r="T265" i="2"/>
  <c r="J490" i="2"/>
  <c r="H490" i="2"/>
  <c r="J480" i="2"/>
  <c r="J481" i="2" s="1"/>
  <c r="K481" i="2" s="1"/>
  <c r="H480" i="2"/>
  <c r="T256" i="2"/>
  <c r="J470" i="2"/>
  <c r="U245" i="2"/>
  <c r="T245" i="2"/>
  <c r="J429" i="2"/>
  <c r="K429" i="2" s="1"/>
  <c r="U240" i="2"/>
  <c r="T240" i="2"/>
  <c r="J419" i="2"/>
  <c r="K419" i="2" s="1"/>
  <c r="U235" i="2"/>
  <c r="T235" i="2"/>
  <c r="J409" i="2"/>
  <c r="K409" i="2" s="1"/>
  <c r="U230" i="2"/>
  <c r="T230" i="2"/>
  <c r="J399" i="2"/>
  <c r="K399" i="2" s="1"/>
  <c r="J389" i="2"/>
  <c r="K389" i="2" s="1"/>
  <c r="U186" i="2"/>
  <c r="T186" i="2"/>
  <c r="J379" i="2"/>
  <c r="K379" i="2" s="1"/>
  <c r="U185" i="2"/>
  <c r="T185" i="2"/>
  <c r="J377" i="2"/>
  <c r="K377" i="2" s="1"/>
  <c r="U184" i="2"/>
  <c r="T184" i="2"/>
  <c r="J375" i="2"/>
  <c r="K375" i="2" s="1"/>
  <c r="U183" i="2"/>
  <c r="T183" i="2"/>
  <c r="J373" i="2"/>
  <c r="K373" i="2" s="1"/>
  <c r="U182" i="2"/>
  <c r="T182" i="2"/>
  <c r="J371" i="2"/>
  <c r="K371" i="2" s="1"/>
  <c r="U181" i="2"/>
  <c r="T181" i="2"/>
  <c r="J369" i="2"/>
  <c r="K369" i="2" s="1"/>
  <c r="T176" i="2"/>
  <c r="J359" i="2"/>
  <c r="H359" i="2"/>
  <c r="T171" i="2"/>
  <c r="J349" i="2"/>
  <c r="H349" i="2"/>
  <c r="T166" i="2"/>
  <c r="J339" i="2"/>
  <c r="T161" i="2"/>
  <c r="J329" i="2"/>
  <c r="T156" i="2"/>
  <c r="J319" i="2"/>
  <c r="T151" i="2"/>
  <c r="J309" i="2"/>
  <c r="T146" i="2"/>
  <c r="J299" i="2"/>
  <c r="T141" i="2"/>
  <c r="J289" i="2"/>
  <c r="T136" i="2"/>
  <c r="J279" i="2"/>
  <c r="T135" i="2"/>
  <c r="J277" i="2"/>
  <c r="T134" i="2"/>
  <c r="J275" i="2"/>
  <c r="T133" i="2"/>
  <c r="J273" i="2"/>
  <c r="T132" i="2"/>
  <c r="J271" i="2"/>
  <c r="T131" i="2"/>
  <c r="J269" i="2"/>
  <c r="U85" i="2"/>
  <c r="T85" i="2"/>
  <c r="J184" i="2"/>
  <c r="K184" i="2" s="1"/>
  <c r="U80" i="2"/>
  <c r="T80" i="2"/>
  <c r="J174" i="2"/>
  <c r="K174" i="2" s="1"/>
  <c r="U122" i="2"/>
  <c r="T122" i="2"/>
  <c r="J250" i="2"/>
  <c r="K250" i="2" s="1"/>
  <c r="T96" i="2"/>
  <c r="J240" i="2"/>
  <c r="U91" i="2"/>
  <c r="T91" i="2"/>
  <c r="J230" i="2"/>
  <c r="K230" i="2" s="1"/>
  <c r="T74" i="2"/>
  <c r="U69" i="2"/>
  <c r="T69" i="2"/>
  <c r="J152" i="2"/>
  <c r="K152" i="2" s="1"/>
  <c r="T64" i="2"/>
  <c r="J142" i="2"/>
  <c r="K142" i="2" s="1"/>
  <c r="U59" i="2"/>
  <c r="T59" i="2"/>
  <c r="J132" i="2"/>
  <c r="K132" i="2" s="1"/>
  <c r="T58" i="2"/>
  <c r="J130" i="2"/>
  <c r="K130" i="2" s="1"/>
  <c r="U57" i="2"/>
  <c r="T57" i="2"/>
  <c r="J128" i="2"/>
  <c r="K128" i="2" s="1"/>
  <c r="T56" i="2"/>
  <c r="J126" i="2"/>
  <c r="K126" i="2" s="1"/>
  <c r="U55" i="2"/>
  <c r="T55" i="2"/>
  <c r="J124" i="2"/>
  <c r="K124" i="2" s="1"/>
  <c r="T53" i="2"/>
  <c r="J100" i="2"/>
  <c r="H100" i="2"/>
  <c r="U100" i="2" s="1"/>
  <c r="T48" i="2"/>
  <c r="J90" i="2"/>
  <c r="H90" i="2"/>
  <c r="U43" i="2"/>
  <c r="T43" i="2"/>
  <c r="J80" i="2"/>
  <c r="K80" i="2" s="1"/>
  <c r="T38" i="2"/>
  <c r="J70" i="2"/>
  <c r="H70" i="2"/>
  <c r="T33" i="2"/>
  <c r="J60" i="2"/>
  <c r="H60" i="2"/>
  <c r="U60" i="2" s="1"/>
  <c r="T28" i="2"/>
  <c r="J50" i="2"/>
  <c r="H50" i="2"/>
  <c r="T23" i="2"/>
  <c r="J40" i="2"/>
  <c r="H40" i="2"/>
  <c r="T18" i="2"/>
  <c r="J30" i="2"/>
  <c r="H30" i="2"/>
  <c r="T13" i="2"/>
  <c r="J20" i="2"/>
  <c r="H20" i="2"/>
  <c r="T8" i="2"/>
  <c r="J10" i="2"/>
  <c r="H10" i="2"/>
  <c r="J8" i="2"/>
  <c r="J12" i="2"/>
  <c r="J14" i="2"/>
  <c r="J16" i="2"/>
  <c r="J18" i="2"/>
  <c r="J22" i="2"/>
  <c r="J24" i="2"/>
  <c r="J26" i="2"/>
  <c r="J28" i="2"/>
  <c r="J32" i="2"/>
  <c r="J34" i="2"/>
  <c r="J36" i="2"/>
  <c r="J38" i="2"/>
  <c r="J42" i="2"/>
  <c r="J44" i="2"/>
  <c r="J46" i="2"/>
  <c r="J48" i="2"/>
  <c r="J52" i="2"/>
  <c r="J54" i="2"/>
  <c r="J56" i="2"/>
  <c r="J58" i="2"/>
  <c r="J62" i="2"/>
  <c r="J64" i="2"/>
  <c r="J66" i="2"/>
  <c r="J68" i="2"/>
  <c r="J72" i="2"/>
  <c r="J74" i="2"/>
  <c r="J76" i="2"/>
  <c r="J78" i="2"/>
  <c r="J82" i="2"/>
  <c r="J84" i="2"/>
  <c r="K84" i="2" s="1"/>
  <c r="J86" i="2"/>
  <c r="K86" i="2" s="1"/>
  <c r="J88" i="2"/>
  <c r="J92" i="2"/>
  <c r="J94" i="2"/>
  <c r="J96" i="2"/>
  <c r="J98" i="2"/>
  <c r="J134" i="2"/>
  <c r="K134" i="2" s="1"/>
  <c r="J136" i="2"/>
  <c r="K136" i="2" s="1"/>
  <c r="J138" i="2"/>
  <c r="K138" i="2" s="1"/>
  <c r="J140" i="2"/>
  <c r="K140" i="2" s="1"/>
  <c r="J144" i="2"/>
  <c r="K144" i="2" s="1"/>
  <c r="J146" i="2"/>
  <c r="K146" i="2" s="1"/>
  <c r="J148" i="2"/>
  <c r="K148" i="2" s="1"/>
  <c r="J150" i="2"/>
  <c r="K150" i="2" s="1"/>
  <c r="J154" i="2"/>
  <c r="K154" i="2" s="1"/>
  <c r="J156" i="2"/>
  <c r="J158" i="2"/>
  <c r="K158" i="2" s="1"/>
  <c r="J160" i="2"/>
  <c r="K160" i="2" s="1"/>
  <c r="J164" i="2"/>
  <c r="K164" i="2" s="1"/>
  <c r="J166" i="2"/>
  <c r="K166" i="2" s="1"/>
  <c r="J168" i="2"/>
  <c r="K168" i="2" s="1"/>
  <c r="J170" i="2"/>
  <c r="K170" i="2" s="1"/>
  <c r="J232" i="2"/>
  <c r="J234" i="2"/>
  <c r="J236" i="2"/>
  <c r="J238" i="2"/>
  <c r="J242" i="2"/>
  <c r="J244" i="2"/>
  <c r="K244" i="2" s="1"/>
  <c r="J246" i="2"/>
  <c r="K246" i="2" s="1"/>
  <c r="J248" i="2"/>
  <c r="K248" i="2" s="1"/>
  <c r="J252" i="2"/>
  <c r="K252" i="2" s="1"/>
  <c r="J254" i="2"/>
  <c r="K254" i="2" s="1"/>
  <c r="J256" i="2"/>
  <c r="K256" i="2" s="1"/>
  <c r="J172" i="2"/>
  <c r="K172" i="2" s="1"/>
  <c r="J176" i="2"/>
  <c r="K176" i="2" s="1"/>
  <c r="J178" i="2"/>
  <c r="K178" i="2" s="1"/>
  <c r="J180" i="2"/>
  <c r="K180" i="2" s="1"/>
  <c r="J182" i="2"/>
  <c r="K182" i="2" s="1"/>
  <c r="J186" i="2"/>
  <c r="K186" i="2" s="1"/>
  <c r="J188" i="2"/>
  <c r="K188" i="2" s="1"/>
  <c r="J265" i="2"/>
  <c r="J267" i="2"/>
  <c r="J281" i="2"/>
  <c r="J283" i="2"/>
  <c r="J285" i="2"/>
  <c r="J287" i="2"/>
  <c r="J291" i="2"/>
  <c r="J293" i="2"/>
  <c r="J295" i="2"/>
  <c r="J297" i="2"/>
  <c r="J301" i="2"/>
  <c r="J303" i="2"/>
  <c r="J305" i="2"/>
  <c r="J307" i="2"/>
  <c r="J311" i="2"/>
  <c r="J313" i="2"/>
  <c r="J315" i="2"/>
  <c r="J317" i="2"/>
  <c r="J321" i="2"/>
  <c r="J323" i="2"/>
  <c r="J325" i="2"/>
  <c r="J327" i="2"/>
  <c r="J331" i="2"/>
  <c r="J333" i="2"/>
  <c r="J335" i="2"/>
  <c r="J337" i="2"/>
  <c r="J341" i="2"/>
  <c r="J343" i="2"/>
  <c r="J345" i="2"/>
  <c r="J347" i="2"/>
  <c r="J351" i="2"/>
  <c r="J353" i="2"/>
  <c r="J355" i="2"/>
  <c r="J357" i="2"/>
  <c r="J361" i="2"/>
  <c r="J363" i="2"/>
  <c r="J365" i="2"/>
  <c r="J367" i="2"/>
  <c r="J381" i="2"/>
  <c r="K381" i="2" s="1"/>
  <c r="J383" i="2"/>
  <c r="K383" i="2" s="1"/>
  <c r="J385" i="2"/>
  <c r="K385" i="2" s="1"/>
  <c r="J387" i="2"/>
  <c r="K387" i="2" s="1"/>
  <c r="J391" i="2"/>
  <c r="K391" i="2" s="1"/>
  <c r="J393" i="2"/>
  <c r="K393" i="2" s="1"/>
  <c r="J395" i="2"/>
  <c r="K395" i="2" s="1"/>
  <c r="J397" i="2"/>
  <c r="K397" i="2" s="1"/>
  <c r="J401" i="2"/>
  <c r="K401" i="2" s="1"/>
  <c r="J405" i="2"/>
  <c r="K405" i="2" s="1"/>
  <c r="J407" i="2"/>
  <c r="K407" i="2" s="1"/>
  <c r="J411" i="2"/>
  <c r="K411" i="2" s="1"/>
  <c r="J413" i="2"/>
  <c r="K413" i="2" s="1"/>
  <c r="J415" i="2"/>
  <c r="K415" i="2" s="1"/>
  <c r="J417" i="2"/>
  <c r="K417" i="2" s="1"/>
  <c r="J421" i="2"/>
  <c r="K421" i="2" s="1"/>
  <c r="J423" i="2"/>
  <c r="K423" i="2" s="1"/>
  <c r="J425" i="2"/>
  <c r="K425" i="2" s="1"/>
  <c r="J427" i="2"/>
  <c r="K427" i="2" s="1"/>
  <c r="J431" i="2"/>
  <c r="K431" i="2" s="1"/>
  <c r="J433" i="2"/>
  <c r="K433" i="2" s="1"/>
  <c r="J435" i="2"/>
  <c r="K435" i="2" s="1"/>
  <c r="J468" i="2"/>
  <c r="J472" i="2"/>
  <c r="J474" i="2"/>
  <c r="J476" i="2"/>
  <c r="J478" i="2"/>
  <c r="J482" i="2"/>
  <c r="J483" i="2" s="1"/>
  <c r="K483" i="2" s="1"/>
  <c r="J484" i="2"/>
  <c r="J485" i="2" s="1"/>
  <c r="K485" i="2" s="1"/>
  <c r="J486" i="2"/>
  <c r="J487" i="2" s="1"/>
  <c r="K487" i="2" s="1"/>
  <c r="J488" i="2"/>
  <c r="J489" i="2" s="1"/>
  <c r="K489" i="2" s="1"/>
  <c r="J492" i="2"/>
  <c r="J494" i="2"/>
  <c r="J495" i="2" s="1"/>
  <c r="K495" i="2" s="1"/>
  <c r="J496" i="2"/>
  <c r="J498" i="2"/>
  <c r="V655" i="2"/>
  <c r="U655" i="2"/>
  <c r="V627" i="2"/>
  <c r="U627" i="2"/>
  <c r="M627" i="2"/>
  <c r="V626" i="2"/>
  <c r="U626" i="2"/>
  <c r="M626" i="2"/>
  <c r="V624" i="2"/>
  <c r="U624" i="2"/>
  <c r="M624" i="2"/>
  <c r="V623" i="2"/>
  <c r="U623" i="2"/>
  <c r="M623" i="2"/>
  <c r="V621" i="2"/>
  <c r="U621" i="2"/>
  <c r="M621" i="2"/>
  <c r="V619" i="2"/>
  <c r="U619" i="2"/>
  <c r="M619" i="2"/>
  <c r="V617" i="2"/>
  <c r="U617" i="2"/>
  <c r="M617" i="2"/>
  <c r="V598" i="2"/>
  <c r="U598" i="2"/>
  <c r="M598" i="2"/>
  <c r="V596" i="2"/>
  <c r="U596" i="2"/>
  <c r="M596" i="2"/>
  <c r="V594" i="2"/>
  <c r="U594" i="2"/>
  <c r="M594" i="2"/>
  <c r="V592" i="2"/>
  <c r="U592" i="2"/>
  <c r="M592" i="2"/>
  <c r="V590" i="2"/>
  <c r="U590" i="2"/>
  <c r="M590" i="2"/>
  <c r="V573" i="2"/>
  <c r="U573" i="2"/>
  <c r="M573" i="2"/>
  <c r="M572" i="2"/>
  <c r="V571" i="2"/>
  <c r="U571" i="2"/>
  <c r="M571" i="2"/>
  <c r="V570" i="2"/>
  <c r="U570" i="2"/>
  <c r="M570" i="2"/>
  <c r="V568" i="2"/>
  <c r="U568" i="2"/>
  <c r="M568" i="2"/>
  <c r="V567" i="2"/>
  <c r="U567" i="2"/>
  <c r="M567" i="2"/>
  <c r="V564" i="2"/>
  <c r="U564" i="2"/>
  <c r="M564" i="2"/>
  <c r="V563" i="2"/>
  <c r="U563" i="2"/>
  <c r="M563" i="2"/>
  <c r="V562" i="2"/>
  <c r="U562" i="2"/>
  <c r="M562" i="2"/>
  <c r="V561" i="2"/>
  <c r="U561" i="2"/>
  <c r="M561" i="2"/>
  <c r="V560" i="2"/>
  <c r="U560" i="2"/>
  <c r="M560" i="2"/>
  <c r="M558" i="2"/>
  <c r="V557" i="2"/>
  <c r="M557" i="2"/>
  <c r="M556" i="2"/>
  <c r="M554" i="2"/>
  <c r="M553" i="2"/>
  <c r="V550" i="2"/>
  <c r="U550" i="2"/>
  <c r="M550" i="2"/>
  <c r="V549" i="2"/>
  <c r="M549" i="2"/>
  <c r="M547" i="2"/>
  <c r="V544" i="2"/>
  <c r="U544" i="2"/>
  <c r="M544" i="2"/>
  <c r="V543" i="2"/>
  <c r="U543" i="2"/>
  <c r="M543" i="2"/>
  <c r="V542" i="2"/>
  <c r="U542" i="2"/>
  <c r="M542" i="2"/>
  <c r="V541" i="2"/>
  <c r="U541" i="2"/>
  <c r="M541" i="2"/>
  <c r="V540" i="2"/>
  <c r="U540" i="2"/>
  <c r="M540" i="2"/>
  <c r="V539" i="2"/>
  <c r="U539" i="2"/>
  <c r="M539" i="2"/>
  <c r="V538" i="2"/>
  <c r="U538" i="2"/>
  <c r="M538" i="2"/>
  <c r="V537" i="2"/>
  <c r="U537" i="2"/>
  <c r="M537" i="2"/>
  <c r="V536" i="2"/>
  <c r="U536" i="2"/>
  <c r="M536" i="2"/>
  <c r="M533" i="2"/>
  <c r="V532" i="2"/>
  <c r="U532" i="2"/>
  <c r="T532" i="2"/>
  <c r="M532" i="2"/>
  <c r="T269" i="2"/>
  <c r="H498" i="2"/>
  <c r="T268" i="2"/>
  <c r="H496" i="2"/>
  <c r="T267" i="2"/>
  <c r="H494" i="2"/>
  <c r="T266" i="2"/>
  <c r="H492" i="2"/>
  <c r="T264" i="2"/>
  <c r="H488" i="2"/>
  <c r="T263" i="2"/>
  <c r="H486" i="2"/>
  <c r="T262" i="2"/>
  <c r="H484" i="2"/>
  <c r="T261" i="2"/>
  <c r="H482" i="2"/>
  <c r="T260" i="2"/>
  <c r="H478" i="2"/>
  <c r="T259" i="2"/>
  <c r="H476" i="2"/>
  <c r="T258" i="2"/>
  <c r="H474" i="2"/>
  <c r="T257" i="2"/>
  <c r="H472" i="2"/>
  <c r="T255" i="2"/>
  <c r="H468" i="2"/>
  <c r="U248" i="2"/>
  <c r="T248" i="2"/>
  <c r="U247" i="2"/>
  <c r="T247" i="2"/>
  <c r="U246" i="2"/>
  <c r="T246" i="2"/>
  <c r="U244" i="2"/>
  <c r="T244" i="2"/>
  <c r="U243" i="2"/>
  <c r="T243" i="2"/>
  <c r="U242" i="2"/>
  <c r="T242" i="2"/>
  <c r="U241" i="2"/>
  <c r="T241" i="2"/>
  <c r="U239" i="2"/>
  <c r="T239" i="2"/>
  <c r="U238" i="2"/>
  <c r="T238" i="2"/>
  <c r="U237" i="2"/>
  <c r="T237" i="2"/>
  <c r="U236" i="2"/>
  <c r="T236" i="2"/>
  <c r="U234" i="2"/>
  <c r="T234" i="2"/>
  <c r="U233" i="2"/>
  <c r="T233" i="2"/>
  <c r="U232" i="2"/>
  <c r="T232" i="2"/>
  <c r="U231" i="2"/>
  <c r="T231" i="2"/>
  <c r="U229" i="2"/>
  <c r="T229" i="2"/>
  <c r="U228" i="2"/>
  <c r="T228" i="2"/>
  <c r="U191" i="2"/>
  <c r="T191" i="2"/>
  <c r="U190" i="2"/>
  <c r="T190" i="2"/>
  <c r="U189" i="2"/>
  <c r="T189" i="2"/>
  <c r="U188" i="2"/>
  <c r="T188" i="2"/>
  <c r="U187" i="2"/>
  <c r="T187" i="2"/>
  <c r="T180" i="2"/>
  <c r="H367" i="2"/>
  <c r="T179" i="2"/>
  <c r="H365" i="2"/>
  <c r="T178" i="2"/>
  <c r="H363" i="2"/>
  <c r="T177" i="2"/>
  <c r="H361" i="2"/>
  <c r="T175" i="2"/>
  <c r="H357" i="2"/>
  <c r="T174" i="2"/>
  <c r="H355" i="2"/>
  <c r="T173" i="2"/>
  <c r="H353" i="2"/>
  <c r="T172" i="2"/>
  <c r="H351" i="2"/>
  <c r="T170" i="2"/>
  <c r="H347" i="2"/>
  <c r="T169" i="2"/>
  <c r="T168" i="2"/>
  <c r="T167" i="2"/>
  <c r="T165" i="2"/>
  <c r="T164" i="2"/>
  <c r="T163" i="2"/>
  <c r="T162" i="2"/>
  <c r="T160" i="2"/>
  <c r="H327" i="2"/>
  <c r="T159" i="2"/>
  <c r="H325" i="2"/>
  <c r="T158" i="2"/>
  <c r="H323" i="2"/>
  <c r="T157" i="2"/>
  <c r="T155" i="2"/>
  <c r="T154" i="2"/>
  <c r="T153" i="2"/>
  <c r="T152" i="2"/>
  <c r="T150" i="2"/>
  <c r="T149" i="2"/>
  <c r="T148" i="2"/>
  <c r="T147" i="2"/>
  <c r="T145" i="2"/>
  <c r="T144" i="2"/>
  <c r="T143" i="2"/>
  <c r="T142" i="2"/>
  <c r="T140" i="2"/>
  <c r="T139" i="2"/>
  <c r="T138" i="2"/>
  <c r="T137" i="2"/>
  <c r="T130" i="2"/>
  <c r="T129" i="2"/>
  <c r="U87" i="2"/>
  <c r="T87" i="2"/>
  <c r="U86" i="2"/>
  <c r="T86" i="2"/>
  <c r="U84" i="2"/>
  <c r="T84" i="2"/>
  <c r="U83" i="2"/>
  <c r="T83" i="2"/>
  <c r="T82" i="2"/>
  <c r="U81" i="2"/>
  <c r="T81" i="2"/>
  <c r="U79" i="2"/>
  <c r="T79" i="2"/>
  <c r="U124" i="2"/>
  <c r="T124" i="2"/>
  <c r="U123" i="2"/>
  <c r="T123" i="2"/>
  <c r="T100" i="2"/>
  <c r="U99" i="2"/>
  <c r="T99" i="2"/>
  <c r="T98" i="2"/>
  <c r="T97" i="2"/>
  <c r="T95" i="2"/>
  <c r="T94" i="2"/>
  <c r="T93" i="2"/>
  <c r="T92" i="2"/>
  <c r="T78" i="2"/>
  <c r="U77" i="2"/>
  <c r="T77" i="2"/>
  <c r="T76" i="2"/>
  <c r="U75" i="2"/>
  <c r="T75" i="2"/>
  <c r="U73" i="2"/>
  <c r="T73" i="2"/>
  <c r="T72" i="2"/>
  <c r="T71" i="2"/>
  <c r="U70" i="2"/>
  <c r="T70" i="2"/>
  <c r="T68" i="2"/>
  <c r="U67" i="2"/>
  <c r="T67" i="2"/>
  <c r="T66" i="2"/>
  <c r="U65" i="2"/>
  <c r="T65" i="2"/>
  <c r="U63" i="2"/>
  <c r="T63" i="2"/>
  <c r="T62" i="2"/>
  <c r="U61" i="2"/>
  <c r="T61" i="2"/>
  <c r="T60" i="2"/>
  <c r="T52" i="2"/>
  <c r="H98" i="2"/>
  <c r="U98" i="2" s="1"/>
  <c r="T51" i="2"/>
  <c r="H96" i="2"/>
  <c r="T50" i="2"/>
  <c r="H94" i="2"/>
  <c r="T49" i="2"/>
  <c r="H92" i="2"/>
  <c r="T47" i="2"/>
  <c r="H88" i="2"/>
  <c r="T46" i="2"/>
  <c r="U45" i="2"/>
  <c r="T45" i="2"/>
  <c r="T44" i="2"/>
  <c r="H82" i="2"/>
  <c r="U82" i="2" s="1"/>
  <c r="T42" i="2"/>
  <c r="H78" i="2"/>
  <c r="U78" i="2" s="1"/>
  <c r="T41" i="2"/>
  <c r="H76" i="2"/>
  <c r="U76" i="2" s="1"/>
  <c r="T40" i="2"/>
  <c r="H74" i="2"/>
  <c r="U74" i="2" s="1"/>
  <c r="T39" i="2"/>
  <c r="H72" i="2"/>
  <c r="U72" i="2" s="1"/>
  <c r="T37" i="2"/>
  <c r="H68" i="2"/>
  <c r="U68" i="2" s="1"/>
  <c r="T36" i="2"/>
  <c r="H66" i="2"/>
  <c r="U66" i="2" s="1"/>
  <c r="T35" i="2"/>
  <c r="H64" i="2"/>
  <c r="U64" i="2" s="1"/>
  <c r="T34" i="2"/>
  <c r="H62" i="2"/>
  <c r="U62" i="2" s="1"/>
  <c r="T32" i="2"/>
  <c r="H58" i="2"/>
  <c r="U58" i="2" s="1"/>
  <c r="T31" i="2"/>
  <c r="H56" i="2"/>
  <c r="U56" i="2" s="1"/>
  <c r="T30" i="2"/>
  <c r="H54" i="2"/>
  <c r="T29" i="2"/>
  <c r="H52" i="2"/>
  <c r="T27" i="2"/>
  <c r="H48" i="2"/>
  <c r="T26" i="2"/>
  <c r="H46" i="2"/>
  <c r="U46" i="2" s="1"/>
  <c r="T25" i="2"/>
  <c r="H44" i="2"/>
  <c r="T24" i="2"/>
  <c r="H42" i="2"/>
  <c r="T22" i="2"/>
  <c r="H38" i="2"/>
  <c r="T21" i="2"/>
  <c r="H36" i="2"/>
  <c r="T20" i="2"/>
  <c r="H34" i="2"/>
  <c r="T19" i="2"/>
  <c r="H32" i="2"/>
  <c r="T17" i="2"/>
  <c r="H28" i="2"/>
  <c r="T16" i="2"/>
  <c r="H26" i="2"/>
  <c r="T15" i="2"/>
  <c r="H24" i="2"/>
  <c r="T14" i="2"/>
  <c r="H22" i="2"/>
  <c r="T12" i="2"/>
  <c r="H18" i="2"/>
  <c r="T11" i="2"/>
  <c r="H16" i="2"/>
  <c r="T10" i="2"/>
  <c r="H14" i="2"/>
  <c r="T9" i="2"/>
  <c r="T7" i="2"/>
  <c r="H8" i="2"/>
  <c r="M495" i="2" l="1"/>
  <c r="L495" i="2"/>
  <c r="L489" i="2"/>
  <c r="M489" i="2"/>
  <c r="M487" i="2"/>
  <c r="L487" i="2"/>
  <c r="M485" i="2"/>
  <c r="L485" i="2"/>
  <c r="M483" i="2"/>
  <c r="L483" i="2"/>
  <c r="M481" i="2"/>
  <c r="L481" i="2"/>
  <c r="L138" i="2"/>
  <c r="M138" i="2"/>
  <c r="L415" i="2"/>
  <c r="M415" i="2"/>
  <c r="L383" i="2"/>
  <c r="M383" i="2"/>
  <c r="L254" i="2"/>
  <c r="M254" i="2"/>
  <c r="L166" i="2"/>
  <c r="M166" i="2"/>
  <c r="L136" i="2"/>
  <c r="M136" i="2"/>
  <c r="L80" i="2"/>
  <c r="M80" i="2"/>
  <c r="L126" i="2"/>
  <c r="M126" i="2"/>
  <c r="L142" i="2"/>
  <c r="M142" i="2"/>
  <c r="L373" i="2"/>
  <c r="M373" i="2"/>
  <c r="L389" i="2"/>
  <c r="M389" i="2"/>
  <c r="L429" i="2"/>
  <c r="M429" i="2"/>
  <c r="L256" i="2"/>
  <c r="M256" i="2"/>
  <c r="L413" i="2"/>
  <c r="M413" i="2"/>
  <c r="L381" i="2"/>
  <c r="M381" i="2"/>
  <c r="L252" i="2"/>
  <c r="M252" i="2"/>
  <c r="L164" i="2"/>
  <c r="M164" i="2"/>
  <c r="L134" i="2"/>
  <c r="M134" i="2"/>
  <c r="L411" i="2"/>
  <c r="M411" i="2"/>
  <c r="L248" i="2"/>
  <c r="M248" i="2"/>
  <c r="L160" i="2"/>
  <c r="M160" i="2"/>
  <c r="L407" i="2"/>
  <c r="M407" i="2"/>
  <c r="L246" i="2"/>
  <c r="M246" i="2"/>
  <c r="L158" i="2"/>
  <c r="M158" i="2"/>
  <c r="L128" i="2"/>
  <c r="M128" i="2"/>
  <c r="L152" i="2"/>
  <c r="M152" i="2"/>
  <c r="L250" i="2"/>
  <c r="M250" i="2"/>
  <c r="L375" i="2"/>
  <c r="M375" i="2"/>
  <c r="L399" i="2"/>
  <c r="M399" i="2"/>
  <c r="L435" i="2"/>
  <c r="M435" i="2"/>
  <c r="L405" i="2"/>
  <c r="M405" i="2"/>
  <c r="L188" i="2"/>
  <c r="M188" i="2"/>
  <c r="L244" i="2"/>
  <c r="M244" i="2"/>
  <c r="L385" i="2"/>
  <c r="M385" i="2"/>
  <c r="L433" i="2"/>
  <c r="M433" i="2"/>
  <c r="L401" i="2"/>
  <c r="M401" i="2"/>
  <c r="L186" i="2"/>
  <c r="M186" i="2"/>
  <c r="L154" i="2"/>
  <c r="M154" i="2"/>
  <c r="L417" i="2"/>
  <c r="M417" i="2"/>
  <c r="L431" i="2"/>
  <c r="M431" i="2"/>
  <c r="L397" i="2"/>
  <c r="M397" i="2"/>
  <c r="L182" i="2"/>
  <c r="M182" i="2"/>
  <c r="L150" i="2"/>
  <c r="M150" i="2"/>
  <c r="L130" i="2"/>
  <c r="M130" i="2"/>
  <c r="L174" i="2"/>
  <c r="M174" i="2"/>
  <c r="L369" i="2"/>
  <c r="M369" i="2"/>
  <c r="L377" i="2"/>
  <c r="M377" i="2"/>
  <c r="L409" i="2"/>
  <c r="M409" i="2"/>
  <c r="L427" i="2"/>
  <c r="M427" i="2"/>
  <c r="L395" i="2"/>
  <c r="M395" i="2"/>
  <c r="L180" i="2"/>
  <c r="M180" i="2"/>
  <c r="L148" i="2"/>
  <c r="M148" i="2"/>
  <c r="L86" i="2"/>
  <c r="M86" i="2"/>
  <c r="L425" i="2"/>
  <c r="M425" i="2"/>
  <c r="L393" i="2"/>
  <c r="M393" i="2"/>
  <c r="L178" i="2"/>
  <c r="M178" i="2"/>
  <c r="L146" i="2"/>
  <c r="M146" i="2"/>
  <c r="L84" i="2"/>
  <c r="M84" i="2"/>
  <c r="L423" i="2"/>
  <c r="M423" i="2"/>
  <c r="L391" i="2"/>
  <c r="M391" i="2"/>
  <c r="L176" i="2"/>
  <c r="M176" i="2"/>
  <c r="L144" i="2"/>
  <c r="M144" i="2"/>
  <c r="L124" i="2"/>
  <c r="M124" i="2"/>
  <c r="L132" i="2"/>
  <c r="M132" i="2"/>
  <c r="L230" i="2"/>
  <c r="M230" i="2"/>
  <c r="L184" i="2"/>
  <c r="M184" i="2"/>
  <c r="L371" i="2"/>
  <c r="M371" i="2"/>
  <c r="L379" i="2"/>
  <c r="M379" i="2"/>
  <c r="L419" i="2"/>
  <c r="M419" i="2"/>
  <c r="L168" i="2"/>
  <c r="M168" i="2"/>
  <c r="L421" i="2"/>
  <c r="M421" i="2"/>
  <c r="L387" i="2"/>
  <c r="M387" i="2"/>
  <c r="L172" i="2"/>
  <c r="M172" i="2"/>
  <c r="L170" i="2"/>
  <c r="M170" i="2"/>
  <c r="L140" i="2"/>
  <c r="M140" i="2"/>
  <c r="K315" i="2"/>
  <c r="U23" i="2"/>
  <c r="V23" i="2" s="1"/>
  <c r="K40" i="2"/>
  <c r="K500" i="2"/>
  <c r="K287" i="2"/>
  <c r="U148" i="2"/>
  <c r="V148" i="2" s="1"/>
  <c r="K303" i="2"/>
  <c r="U155" i="2"/>
  <c r="V155" i="2" s="1"/>
  <c r="K317" i="2"/>
  <c r="U163" i="2"/>
  <c r="V163" i="2" s="1"/>
  <c r="K333" i="2"/>
  <c r="K347" i="2"/>
  <c r="K363" i="2"/>
  <c r="K269" i="2"/>
  <c r="U135" i="2"/>
  <c r="V135" i="2" s="1"/>
  <c r="K277" i="2"/>
  <c r="U151" i="2"/>
  <c r="V151" i="2" s="1"/>
  <c r="K309" i="2"/>
  <c r="U171" i="2"/>
  <c r="V171" i="2" s="1"/>
  <c r="K349" i="2"/>
  <c r="U177" i="2"/>
  <c r="V177" i="2" s="1"/>
  <c r="K361" i="2"/>
  <c r="U9" i="2"/>
  <c r="V9" i="2" s="1"/>
  <c r="K12" i="2"/>
  <c r="K26" i="2"/>
  <c r="K42" i="2"/>
  <c r="U31" i="2"/>
  <c r="V31" i="2" s="1"/>
  <c r="K56" i="2"/>
  <c r="K72" i="2"/>
  <c r="U52" i="2"/>
  <c r="V52" i="2" s="1"/>
  <c r="K98" i="2"/>
  <c r="U92" i="2"/>
  <c r="V92" i="2" s="1"/>
  <c r="K232" i="2"/>
  <c r="U261" i="2"/>
  <c r="V261" i="2" s="1"/>
  <c r="K482" i="2"/>
  <c r="U268" i="2"/>
  <c r="V268" i="2" s="1"/>
  <c r="K496" i="2"/>
  <c r="U71" i="2"/>
  <c r="V71" i="2" s="1"/>
  <c r="K156" i="2"/>
  <c r="K24" i="2"/>
  <c r="U260" i="2"/>
  <c r="V260" i="2" s="1"/>
  <c r="K478" i="2"/>
  <c r="U129" i="2"/>
  <c r="V129" i="2" s="1"/>
  <c r="K265" i="2"/>
  <c r="U142" i="2"/>
  <c r="V142" i="2" s="1"/>
  <c r="K291" i="2"/>
  <c r="U149" i="2"/>
  <c r="V149" i="2" s="1"/>
  <c r="K305" i="2"/>
  <c r="U157" i="2"/>
  <c r="V157" i="2" s="1"/>
  <c r="K321" i="2"/>
  <c r="K335" i="2"/>
  <c r="U172" i="2"/>
  <c r="V172" i="2" s="1"/>
  <c r="K351" i="2"/>
  <c r="U179" i="2"/>
  <c r="V179" i="2" s="1"/>
  <c r="K365" i="2"/>
  <c r="U8" i="2"/>
  <c r="V8" i="2" s="1"/>
  <c r="K10" i="2"/>
  <c r="K50" i="2"/>
  <c r="U256" i="2"/>
  <c r="V256" i="2" s="1"/>
  <c r="K470" i="2"/>
  <c r="U10" i="2"/>
  <c r="V10" i="2" s="1"/>
  <c r="K14" i="2"/>
  <c r="K28" i="2"/>
  <c r="U25" i="2"/>
  <c r="V25" i="2" s="1"/>
  <c r="K44" i="2"/>
  <c r="U32" i="2"/>
  <c r="V32" i="2" s="1"/>
  <c r="K58" i="2"/>
  <c r="K74" i="2"/>
  <c r="K234" i="2"/>
  <c r="U255" i="2"/>
  <c r="V255" i="2" s="1"/>
  <c r="K468" i="2"/>
  <c r="U262" i="2"/>
  <c r="V262" i="2" s="1"/>
  <c r="K484" i="2"/>
  <c r="U269" i="2"/>
  <c r="V269" i="2" s="1"/>
  <c r="K498" i="2"/>
  <c r="K90" i="2"/>
  <c r="U132" i="2"/>
  <c r="V132" i="2" s="1"/>
  <c r="K271" i="2"/>
  <c r="K279" i="2"/>
  <c r="K319" i="2"/>
  <c r="U176" i="2"/>
  <c r="V176" i="2" s="1"/>
  <c r="K359" i="2"/>
  <c r="U7" i="2"/>
  <c r="V7" i="2" s="1"/>
  <c r="K8" i="2"/>
  <c r="K267" i="2"/>
  <c r="U143" i="2"/>
  <c r="V143" i="2" s="1"/>
  <c r="K293" i="2"/>
  <c r="K307" i="2"/>
  <c r="U158" i="2"/>
  <c r="V158" i="2" s="1"/>
  <c r="K323" i="2"/>
  <c r="U165" i="2"/>
  <c r="V165" i="2" s="1"/>
  <c r="K337" i="2"/>
  <c r="U173" i="2"/>
  <c r="V173" i="2" s="1"/>
  <c r="K353" i="2"/>
  <c r="K367" i="2"/>
  <c r="K301" i="2"/>
  <c r="U22" i="2"/>
  <c r="V22" i="2" s="1"/>
  <c r="K38" i="2"/>
  <c r="U19" i="2"/>
  <c r="V19" i="2" s="1"/>
  <c r="K32" i="2"/>
  <c r="U26" i="2"/>
  <c r="V26" i="2" s="1"/>
  <c r="K46" i="2"/>
  <c r="U34" i="2"/>
  <c r="V34" i="2" s="1"/>
  <c r="K62" i="2"/>
  <c r="K76" i="2"/>
  <c r="U47" i="2"/>
  <c r="V47" i="2" s="1"/>
  <c r="K88" i="2"/>
  <c r="U94" i="2"/>
  <c r="V94" i="2" s="1"/>
  <c r="K236" i="2"/>
  <c r="U257" i="2"/>
  <c r="V257" i="2" s="1"/>
  <c r="K472" i="2"/>
  <c r="K486" i="2"/>
  <c r="U13" i="2"/>
  <c r="V13" i="2" s="1"/>
  <c r="K20" i="2"/>
  <c r="U33" i="2"/>
  <c r="K60" i="2"/>
  <c r="K480" i="2"/>
  <c r="K331" i="2"/>
  <c r="K54" i="2"/>
  <c r="U137" i="2"/>
  <c r="V137" i="2" s="1"/>
  <c r="K281" i="2"/>
  <c r="U144" i="2"/>
  <c r="V144" i="2" s="1"/>
  <c r="K295" i="2"/>
  <c r="K311" i="2"/>
  <c r="U159" i="2"/>
  <c r="V159" i="2" s="1"/>
  <c r="K325" i="2"/>
  <c r="U167" i="2"/>
  <c r="V167" i="2" s="1"/>
  <c r="K341" i="2"/>
  <c r="K355" i="2"/>
  <c r="U53" i="2"/>
  <c r="V53" i="2" s="1"/>
  <c r="K100" i="2"/>
  <c r="U133" i="2"/>
  <c r="V133" i="2" s="1"/>
  <c r="K273" i="2"/>
  <c r="U141" i="2"/>
  <c r="V141" i="2" s="1"/>
  <c r="K289" i="2"/>
  <c r="U161" i="2"/>
  <c r="V161" i="2" s="1"/>
  <c r="K329" i="2"/>
  <c r="U37" i="2"/>
  <c r="V37" i="2" s="1"/>
  <c r="K68" i="2"/>
  <c r="K16" i="2"/>
  <c r="K18" i="2"/>
  <c r="U20" i="2"/>
  <c r="V20" i="2" s="1"/>
  <c r="K34" i="2"/>
  <c r="K48" i="2"/>
  <c r="K64" i="2"/>
  <c r="K78" i="2"/>
  <c r="U49" i="2"/>
  <c r="V49" i="2" s="1"/>
  <c r="K92" i="2"/>
  <c r="K238" i="2"/>
  <c r="U258" i="2"/>
  <c r="V258" i="2" s="1"/>
  <c r="K474" i="2"/>
  <c r="U264" i="2"/>
  <c r="V264" i="2" s="1"/>
  <c r="K488" i="2"/>
  <c r="U139" i="2"/>
  <c r="V139" i="2" s="1"/>
  <c r="K285" i="2"/>
  <c r="K96" i="2"/>
  <c r="U267" i="2"/>
  <c r="V267" i="2" s="1"/>
  <c r="K494" i="2"/>
  <c r="U138" i="2"/>
  <c r="V138" i="2" s="1"/>
  <c r="K283" i="2"/>
  <c r="K297" i="2"/>
  <c r="U153" i="2"/>
  <c r="V153" i="2" s="1"/>
  <c r="K313" i="2"/>
  <c r="U160" i="2"/>
  <c r="V160" i="2" s="1"/>
  <c r="K327" i="2"/>
  <c r="U168" i="2"/>
  <c r="V168" i="2" s="1"/>
  <c r="K343" i="2"/>
  <c r="K357" i="2"/>
  <c r="K30" i="2"/>
  <c r="U38" i="2"/>
  <c r="V38" i="2" s="1"/>
  <c r="K70" i="2"/>
  <c r="U265" i="2"/>
  <c r="V265" i="2" s="1"/>
  <c r="K490" i="2"/>
  <c r="U169" i="2"/>
  <c r="V169" i="2" s="1"/>
  <c r="K345" i="2"/>
  <c r="U14" i="2"/>
  <c r="V14" i="2" s="1"/>
  <c r="K22" i="2"/>
  <c r="U21" i="2"/>
  <c r="V21" i="2" s="1"/>
  <c r="K36" i="2"/>
  <c r="K52" i="2"/>
  <c r="K66" i="2"/>
  <c r="K82" i="2"/>
  <c r="U50" i="2"/>
  <c r="V50" i="2" s="1"/>
  <c r="K94" i="2"/>
  <c r="U97" i="2"/>
  <c r="V97" i="2" s="1"/>
  <c r="K242" i="2"/>
  <c r="U259" i="2"/>
  <c r="V259" i="2" s="1"/>
  <c r="K476" i="2"/>
  <c r="U266" i="2"/>
  <c r="V266" i="2" s="1"/>
  <c r="K492" i="2"/>
  <c r="U96" i="2"/>
  <c r="V96" i="2" s="1"/>
  <c r="K240" i="2"/>
  <c r="U134" i="2"/>
  <c r="V134" i="2" s="1"/>
  <c r="K275" i="2"/>
  <c r="K299" i="2"/>
  <c r="U166" i="2"/>
  <c r="V166" i="2" s="1"/>
  <c r="K339" i="2"/>
  <c r="V69" i="2"/>
  <c r="V645" i="2"/>
  <c r="V182" i="2"/>
  <c r="V230" i="2"/>
  <c r="U48" i="2"/>
  <c r="V48" i="2" s="1"/>
  <c r="V56" i="2"/>
  <c r="V59" i="2"/>
  <c r="U156" i="2"/>
  <c r="V156" i="2" s="1"/>
  <c r="V186" i="2"/>
  <c r="V57" i="2"/>
  <c r="V64" i="2"/>
  <c r="V181" i="2"/>
  <c r="V91" i="2"/>
  <c r="V80" i="2"/>
  <c r="V245" i="2"/>
  <c r="V43" i="2"/>
  <c r="V55" i="2"/>
  <c r="V58" i="2"/>
  <c r="V183" i="2"/>
  <c r="U28" i="2"/>
  <c r="V28" i="2" s="1"/>
  <c r="V184" i="2"/>
  <c r="V74" i="2"/>
  <c r="V122" i="2"/>
  <c r="V72" i="2"/>
  <c r="V191" i="2"/>
  <c r="U18" i="2"/>
  <c r="V18" i="2" s="1"/>
  <c r="V235" i="2"/>
  <c r="U270" i="2"/>
  <c r="V270" i="2" s="1"/>
  <c r="U645" i="2"/>
  <c r="V247" i="2"/>
  <c r="V85" i="2"/>
  <c r="U146" i="2"/>
  <c r="V146" i="2" s="1"/>
  <c r="V240" i="2"/>
  <c r="V185" i="2"/>
  <c r="U131" i="2"/>
  <c r="V131" i="2" s="1"/>
  <c r="V33" i="2"/>
  <c r="U136" i="2"/>
  <c r="V136" i="2" s="1"/>
  <c r="V243" i="2"/>
  <c r="U555" i="2"/>
  <c r="V234" i="2"/>
  <c r="V78" i="2"/>
  <c r="V63" i="2"/>
  <c r="V238" i="2"/>
  <c r="U36" i="2"/>
  <c r="V36" i="2" s="1"/>
  <c r="V60" i="2"/>
  <c r="U147" i="2"/>
  <c r="V147" i="2" s="1"/>
  <c r="V45" i="2"/>
  <c r="U30" i="2"/>
  <c r="V30" i="2" s="1"/>
  <c r="U41" i="2"/>
  <c r="V41" i="2" s="1"/>
  <c r="V75" i="2"/>
  <c r="V99" i="2"/>
  <c r="V236" i="2"/>
  <c r="V244" i="2"/>
  <c r="U549" i="2"/>
  <c r="U95" i="2"/>
  <c r="V95" i="2" s="1"/>
  <c r="V62" i="2"/>
  <c r="V66" i="2"/>
  <c r="V70" i="2"/>
  <c r="V100" i="2"/>
  <c r="V229" i="2"/>
  <c r="V67" i="2"/>
  <c r="V246" i="2"/>
  <c r="V68" i="2"/>
  <c r="U152" i="2"/>
  <c r="V152" i="2" s="1"/>
  <c r="V79" i="2"/>
  <c r="V83" i="2"/>
  <c r="V87" i="2"/>
  <c r="V189" i="2"/>
  <c r="V231" i="2"/>
  <c r="U557" i="2"/>
  <c r="V46" i="2"/>
  <c r="U533" i="2"/>
  <c r="U42" i="2"/>
  <c r="V42" i="2" s="1"/>
  <c r="U51" i="2"/>
  <c r="V51" i="2" s="1"/>
  <c r="V98" i="2"/>
  <c r="V123" i="2"/>
  <c r="V61" i="2"/>
  <c r="V65" i="2"/>
  <c r="V73" i="2"/>
  <c r="V228" i="2"/>
  <c r="V232" i="2"/>
  <c r="U145" i="2"/>
  <c r="V145" i="2" s="1"/>
  <c r="V81" i="2"/>
  <c r="V241" i="2"/>
  <c r="U35" i="2"/>
  <c r="V35" i="2" s="1"/>
  <c r="U40" i="2"/>
  <c r="V40" i="2" s="1"/>
  <c r="U180" i="2"/>
  <c r="V180" i="2" s="1"/>
  <c r="U11" i="2"/>
  <c r="U16" i="2"/>
  <c r="V77" i="2"/>
  <c r="U93" i="2"/>
  <c r="V93" i="2" s="1"/>
  <c r="V188" i="2"/>
  <c r="U24" i="2"/>
  <c r="V24" i="2" s="1"/>
  <c r="V233" i="2"/>
  <c r="U554" i="2"/>
  <c r="V84" i="2"/>
  <c r="U164" i="2"/>
  <c r="V164" i="2" s="1"/>
  <c r="V237" i="2"/>
  <c r="U547" i="2"/>
  <c r="U12" i="2"/>
  <c r="U17" i="2"/>
  <c r="U29" i="2"/>
  <c r="V29" i="2" s="1"/>
  <c r="V248" i="2"/>
  <c r="U558" i="2"/>
  <c r="U130" i="2"/>
  <c r="V130" i="2" s="1"/>
  <c r="U178" i="2"/>
  <c r="V178" i="2" s="1"/>
  <c r="U170" i="2"/>
  <c r="V170" i="2" s="1"/>
  <c r="U175" i="2"/>
  <c r="V175" i="2" s="1"/>
  <c r="V190" i="2"/>
  <c r="V242" i="2"/>
  <c r="V124" i="2"/>
  <c r="V82" i="2"/>
  <c r="V86" i="2"/>
  <c r="V76" i="2"/>
  <c r="U140" i="2"/>
  <c r="V140" i="2" s="1"/>
  <c r="V187" i="2"/>
  <c r="V239" i="2"/>
  <c r="U154" i="2"/>
  <c r="V154" i="2" s="1"/>
  <c r="V600" i="2"/>
  <c r="U15" i="2"/>
  <c r="U27" i="2"/>
  <c r="V27" i="2" s="1"/>
  <c r="U39" i="2"/>
  <c r="V39" i="2" s="1"/>
  <c r="U44" i="2"/>
  <c r="V44" i="2" s="1"/>
  <c r="U150" i="2"/>
  <c r="V150" i="2" s="1"/>
  <c r="U162" i="2"/>
  <c r="V162" i="2" s="1"/>
  <c r="U174" i="2"/>
  <c r="V174" i="2" s="1"/>
  <c r="U263" i="2"/>
  <c r="V263" i="2" s="1"/>
  <c r="U553" i="2"/>
  <c r="U556" i="2"/>
  <c r="L329" i="2" l="1"/>
  <c r="M329" i="2"/>
  <c r="L271" i="2"/>
  <c r="M271" i="2"/>
  <c r="L94" i="2"/>
  <c r="M94" i="2"/>
  <c r="L283" i="2"/>
  <c r="M283" i="2"/>
  <c r="L92" i="2"/>
  <c r="M92" i="2"/>
  <c r="L311" i="2"/>
  <c r="M311" i="2"/>
  <c r="L44" i="2"/>
  <c r="M44" i="2"/>
  <c r="L351" i="2"/>
  <c r="M351" i="2"/>
  <c r="L72" i="2"/>
  <c r="M72" i="2"/>
  <c r="L287" i="2"/>
  <c r="M287" i="2"/>
  <c r="L297" i="2"/>
  <c r="M297" i="2"/>
  <c r="L46" i="2"/>
  <c r="M46" i="2"/>
  <c r="L309" i="2"/>
  <c r="M309" i="2"/>
  <c r="L299" i="2"/>
  <c r="M299" i="2"/>
  <c r="L70" i="2"/>
  <c r="M70" i="2"/>
  <c r="L289" i="2"/>
  <c r="M289" i="2"/>
  <c r="L295" i="2"/>
  <c r="M295" i="2"/>
  <c r="L486" i="2"/>
  <c r="M486" i="2"/>
  <c r="L32" i="2"/>
  <c r="M32" i="2"/>
  <c r="L307" i="2"/>
  <c r="M307" i="2"/>
  <c r="L90" i="2"/>
  <c r="M90" i="2"/>
  <c r="L24" i="2"/>
  <c r="M24" i="2"/>
  <c r="L56" i="2"/>
  <c r="M56" i="2"/>
  <c r="L277" i="2"/>
  <c r="M277" i="2"/>
  <c r="L500" i="2"/>
  <c r="M500" i="2"/>
  <c r="L339" i="2"/>
  <c r="M339" i="2"/>
  <c r="L275" i="2"/>
  <c r="M275" i="2"/>
  <c r="L82" i="2"/>
  <c r="M82" i="2"/>
  <c r="L494" i="2"/>
  <c r="M494" i="2"/>
  <c r="L78" i="2"/>
  <c r="M78" i="2"/>
  <c r="L472" i="2"/>
  <c r="M472" i="2"/>
  <c r="L293" i="2"/>
  <c r="M293" i="2"/>
  <c r="L498" i="2"/>
  <c r="M498" i="2"/>
  <c r="L28" i="2"/>
  <c r="M28" i="2"/>
  <c r="L335" i="2"/>
  <c r="M335" i="2"/>
  <c r="L156" i="2"/>
  <c r="M156" i="2"/>
  <c r="L40" i="2"/>
  <c r="M40" i="2"/>
  <c r="L66" i="2"/>
  <c r="M66" i="2"/>
  <c r="L30" i="2"/>
  <c r="M30" i="2"/>
  <c r="L64" i="2"/>
  <c r="M64" i="2"/>
  <c r="L273" i="2"/>
  <c r="M273" i="2"/>
  <c r="L281" i="2"/>
  <c r="M281" i="2"/>
  <c r="L38" i="2"/>
  <c r="M38" i="2"/>
  <c r="L14" i="2"/>
  <c r="M14" i="2"/>
  <c r="L321" i="2"/>
  <c r="M321" i="2"/>
  <c r="L42" i="2"/>
  <c r="M42" i="2"/>
  <c r="L269" i="2"/>
  <c r="M269" i="2"/>
  <c r="L238" i="2"/>
  <c r="M238" i="2"/>
  <c r="L240" i="2"/>
  <c r="M240" i="2"/>
  <c r="L52" i="2"/>
  <c r="M52" i="2"/>
  <c r="L357" i="2"/>
  <c r="M357" i="2"/>
  <c r="L96" i="2"/>
  <c r="M96" i="2"/>
  <c r="L48" i="2"/>
  <c r="M48" i="2"/>
  <c r="L236" i="2"/>
  <c r="M236" i="2"/>
  <c r="L267" i="2"/>
  <c r="M267" i="2"/>
  <c r="L484" i="2"/>
  <c r="M484" i="2"/>
  <c r="L496" i="2"/>
  <c r="M496" i="2"/>
  <c r="L26" i="2"/>
  <c r="M26" i="2"/>
  <c r="L363" i="2"/>
  <c r="M363" i="2"/>
  <c r="L315" i="2"/>
  <c r="M315" i="2"/>
  <c r="L20" i="2"/>
  <c r="M20" i="2"/>
  <c r="L36" i="2"/>
  <c r="M36" i="2"/>
  <c r="L343" i="2"/>
  <c r="M343" i="2"/>
  <c r="L285" i="2"/>
  <c r="M285" i="2"/>
  <c r="L34" i="2"/>
  <c r="M34" i="2"/>
  <c r="L100" i="2"/>
  <c r="M100" i="2"/>
  <c r="L54" i="2"/>
  <c r="M54" i="2"/>
  <c r="L301" i="2"/>
  <c r="M301" i="2"/>
  <c r="L8" i="2"/>
  <c r="M8" i="2"/>
  <c r="L470" i="2"/>
  <c r="M470" i="2"/>
  <c r="L305" i="2"/>
  <c r="M305" i="2"/>
  <c r="L12" i="2"/>
  <c r="M12" i="2"/>
  <c r="L347" i="2"/>
  <c r="M347" i="2"/>
  <c r="L492" i="2"/>
  <c r="M492" i="2"/>
  <c r="L331" i="2"/>
  <c r="M331" i="2"/>
  <c r="L88" i="2"/>
  <c r="M88" i="2"/>
  <c r="L367" i="2"/>
  <c r="M367" i="2"/>
  <c r="L468" i="2"/>
  <c r="M468" i="2"/>
  <c r="L482" i="2"/>
  <c r="M482" i="2"/>
  <c r="L333" i="2"/>
  <c r="M333" i="2"/>
  <c r="L22" i="2"/>
  <c r="M22" i="2"/>
  <c r="L327" i="2"/>
  <c r="M327" i="2"/>
  <c r="L488" i="2"/>
  <c r="M488" i="2"/>
  <c r="L18" i="2"/>
  <c r="M18" i="2"/>
  <c r="L355" i="2"/>
  <c r="M355" i="2"/>
  <c r="L480" i="2"/>
  <c r="M480" i="2"/>
  <c r="L353" i="2"/>
  <c r="M353" i="2"/>
  <c r="L359" i="2"/>
  <c r="M359" i="2"/>
  <c r="L50" i="2"/>
  <c r="M50" i="2"/>
  <c r="L291" i="2"/>
  <c r="M291" i="2"/>
  <c r="L361" i="2"/>
  <c r="M361" i="2"/>
  <c r="L476" i="2"/>
  <c r="M476" i="2"/>
  <c r="L16" i="2"/>
  <c r="M16" i="2"/>
  <c r="L341" i="2"/>
  <c r="M341" i="2"/>
  <c r="L76" i="2"/>
  <c r="M76" i="2"/>
  <c r="L234" i="2"/>
  <c r="M234" i="2"/>
  <c r="L10" i="2"/>
  <c r="M10" i="2"/>
  <c r="L232" i="2"/>
  <c r="M232" i="2"/>
  <c r="L317" i="2"/>
  <c r="M317" i="2"/>
  <c r="L490" i="2"/>
  <c r="M490" i="2"/>
  <c r="L323" i="2"/>
  <c r="M323" i="2"/>
  <c r="L478" i="2"/>
  <c r="M478" i="2"/>
  <c r="L345" i="2"/>
  <c r="M345" i="2"/>
  <c r="L313" i="2"/>
  <c r="M313" i="2"/>
  <c r="L474" i="2"/>
  <c r="M474" i="2"/>
  <c r="L68" i="2"/>
  <c r="M68" i="2"/>
  <c r="L60" i="2"/>
  <c r="M60" i="2"/>
  <c r="L62" i="2"/>
  <c r="M62" i="2"/>
  <c r="L337" i="2"/>
  <c r="M337" i="2"/>
  <c r="L319" i="2"/>
  <c r="M319" i="2"/>
  <c r="L74" i="2"/>
  <c r="M74" i="2"/>
  <c r="L265" i="2"/>
  <c r="M265" i="2"/>
  <c r="L349" i="2"/>
  <c r="M349" i="2"/>
  <c r="L242" i="2"/>
  <c r="M242" i="2"/>
  <c r="L325" i="2"/>
  <c r="M325" i="2"/>
  <c r="L279" i="2"/>
  <c r="M279" i="2"/>
  <c r="L58" i="2"/>
  <c r="M58" i="2"/>
  <c r="L365" i="2"/>
  <c r="M365" i="2"/>
  <c r="L98" i="2"/>
  <c r="M98" i="2"/>
  <c r="L303" i="2"/>
  <c r="M303" i="2"/>
  <c r="V12" i="2"/>
  <c r="V17" i="2"/>
  <c r="V16" i="2"/>
  <c r="V15" i="2"/>
  <c r="V11" i="2"/>
  <c r="U600" i="2"/>
  <c r="F21" i="3" l="1"/>
  <c r="H13" i="3" l="1"/>
  <c r="G21" i="3"/>
  <c r="G13" i="3"/>
  <c r="H21" i="3"/>
  <c r="E22" i="3"/>
  <c r="F22" i="3"/>
  <c r="H22" i="3" l="1"/>
  <c r="G22" i="3"/>
  <c r="E23" i="3"/>
  <c r="E24" i="3" s="1"/>
  <c r="F25" i="3"/>
  <c r="F30" i="3"/>
  <c r="F26" i="3"/>
  <c r="F23" i="3"/>
  <c r="F24" i="3" s="1"/>
  <c r="E33" i="3" l="1"/>
  <c r="E36" i="3" s="1"/>
  <c r="G24" i="3"/>
  <c r="H24" i="3"/>
  <c r="F33" i="3"/>
  <c r="H23" i="3"/>
  <c r="G23" i="3"/>
  <c r="F31" i="3"/>
  <c r="F32" i="3" l="1"/>
  <c r="F35" i="3" s="1"/>
  <c r="F36" i="3" l="1"/>
  <c r="G36" i="3" s="1"/>
</calcChain>
</file>

<file path=xl/sharedStrings.xml><?xml version="1.0" encoding="utf-8"?>
<sst xmlns="http://schemas.openxmlformats.org/spreadsheetml/2006/main" count="13091" uniqueCount="2540">
  <si>
    <r>
      <rPr>
        <sz val="12"/>
        <rFont val="Times New Roman"/>
        <family val="1"/>
      </rPr>
      <t xml:space="preserve">SITC of air cooled condensing units with two scroll compressors, air cooled condenser, power panel, vibration isolating pads, stand for ODU, thermostat, etc. of the following capacities. The nominal capacity of the condensing unit shall be as under. Air cooled condensing unit shall have horizontal discharge. All  refrigerant  piping  accessories  sight  glass,  drier,  expansion  valve,  etc. shall  be  supplied  with  the  condensing  units  and  suitable  to  connect  above AHUs. Refrigerant shall be R 407C / R 410A. Necessary thermostat, control wiring,  etc.  shall  be  included.  Derating  of  the  unit  shall  not  be  more  than 15percentage under 45 deg. C ambient temperature. Condensing unit shall be capable of operating up 50 deg. C ambient temperature. </t>
    </r>
    <r>
      <rPr>
        <b/>
        <sz val="12"/>
        <rFont val="Times New Roman"/>
        <family val="1"/>
      </rPr>
      <t xml:space="preserve">8.5 TR capacity </t>
    </r>
    <r>
      <rPr>
        <sz val="12"/>
        <rFont val="Times New Roman"/>
        <family val="1"/>
      </rPr>
      <t>At Gandhi Hospital</t>
    </r>
  </si>
  <si>
    <r>
      <rPr>
        <sz val="12"/>
        <rFont val="Times New Roman"/>
        <family val="1"/>
      </rPr>
      <t>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t>
    </r>
    <r>
      <rPr>
        <b/>
        <sz val="12"/>
        <rFont val="Times New Roman"/>
        <family val="1"/>
      </rPr>
      <t xml:space="preserve">. Liquid Line </t>
    </r>
    <r>
      <rPr>
        <sz val="12"/>
        <rFont val="Times New Roman"/>
        <family val="1"/>
      </rPr>
      <t>at Gandhi Hospital</t>
    </r>
  </si>
  <si>
    <r>
      <rPr>
        <sz val="12"/>
        <rFont val="Times New Roman"/>
        <family val="1"/>
      </rPr>
      <t xml:space="preserve">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 </t>
    </r>
    <r>
      <rPr>
        <b/>
        <sz val="12"/>
        <rFont val="Times New Roman"/>
        <family val="1"/>
      </rPr>
      <t xml:space="preserve">Suction Line </t>
    </r>
    <r>
      <rPr>
        <sz val="12"/>
        <rFont val="Times New Roman"/>
        <family val="1"/>
      </rPr>
      <t>at Gandhi Hospital</t>
    </r>
  </si>
  <si>
    <r>
      <rPr>
        <sz val="12"/>
        <rFont val="Times New Roman"/>
        <family val="1"/>
      </rPr>
      <t xml:space="preserve">SITC  of  CPVC  drain  ping  with  supports,  clamps  and  9  mm  thk.  Nitrile rubber  tube  insulation  of  the  following  sizes.  Insulation  shall  have  factory laminated glass cloth. </t>
    </r>
    <r>
      <rPr>
        <b/>
        <sz val="12"/>
        <rFont val="Times New Roman"/>
        <family val="1"/>
      </rPr>
      <t xml:space="preserve">32mm Dia </t>
    </r>
    <r>
      <rPr>
        <sz val="12"/>
        <rFont val="Times New Roman"/>
        <family val="1"/>
      </rPr>
      <t>at Gandhi Hospital</t>
    </r>
  </si>
  <si>
    <r>
      <rPr>
        <sz val="12"/>
        <rFont val="Times New Roman"/>
        <family val="1"/>
      </rPr>
      <t xml:space="preserve">SITC  of  CPVC  drain  ping  with  supports,  clamps  and  9  mm  thk.  Nitrile rubber  tube  insulation  of  the  following  sizes.  Insulation  shall  have  factory laminated glass cloth. </t>
    </r>
    <r>
      <rPr>
        <b/>
        <sz val="12"/>
        <rFont val="Times New Roman"/>
        <family val="1"/>
      </rPr>
      <t xml:space="preserve">25mm Dia </t>
    </r>
    <r>
      <rPr>
        <sz val="12"/>
        <rFont val="Times New Roman"/>
        <family val="1"/>
      </rPr>
      <t>at Gandhi Hospital</t>
    </r>
  </si>
  <si>
    <r>
      <rPr>
        <sz val="12"/>
        <rFont val="Times New Roman"/>
        <family val="1"/>
      </rP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Times New Roman"/>
        <family val="1"/>
      </rPr>
      <t xml:space="preserve">20G - 1.0 mm </t>
    </r>
    <r>
      <rPr>
        <sz val="12"/>
        <rFont val="Times New Roman"/>
        <family val="1"/>
      </rPr>
      <t>Thick at Gandhi Hospital</t>
    </r>
  </si>
  <si>
    <r>
      <rPr>
        <sz val="12"/>
        <rFont val="Times New Roman"/>
        <family val="1"/>
      </rP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Times New Roman"/>
        <family val="1"/>
      </rPr>
      <t xml:space="preserve">22G - 0.8 mm </t>
    </r>
    <r>
      <rPr>
        <sz val="12"/>
        <rFont val="Times New Roman"/>
        <family val="1"/>
      </rPr>
      <t>Thick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</si>
  <si>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32mm Thick </t>
    </r>
    <r>
      <rPr>
        <sz val="12"/>
        <rFont val="Times New Roman"/>
        <family val="1"/>
      </rPr>
      <t>for Exposed Supply Air duct and finished with UV Protective Paint.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</si>
  <si>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25mm Thick </t>
    </r>
    <r>
      <rPr>
        <sz val="12"/>
        <rFont val="Times New Roman"/>
        <family val="1"/>
      </rPr>
      <t>for Exposed Return Air Duct and finished with UV Protective Paint.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</si>
  <si>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25mm Thick </t>
    </r>
    <r>
      <rPr>
        <sz val="12"/>
        <rFont val="Times New Roman"/>
        <family val="1"/>
      </rPr>
      <t>for Supply air duct running inside the building. at Gandhi Hospital</t>
    </r>
  </si>
  <si>
    <r>
      <rPr>
        <sz val="12"/>
        <rFont val="Times New Roman"/>
        <family val="1"/>
      </rPr>
      <t xml:space="preserve">Supply, laying of Class O Nitrile rubber with factory laminated Glass cloth, all joints shall be covered with self-adhesive tapes </t>
    </r>
    <r>
      <rPr>
        <b/>
        <sz val="12"/>
        <rFont val="Times New Roman"/>
        <family val="1"/>
      </rPr>
      <t xml:space="preserve">19mm Thick </t>
    </r>
    <r>
      <rPr>
        <sz val="12"/>
        <rFont val="Times New Roman"/>
        <family val="1"/>
      </rPr>
      <t>for Return air running inside the building. at Gandhi Hospital</t>
    </r>
  </si>
  <si>
    <r>
      <rPr>
        <sz val="12"/>
        <rFont val="Times New Roman"/>
        <family val="1"/>
      </rPr>
      <t xml:space="preserve">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t>
    </r>
    <r>
      <rPr>
        <b/>
        <sz val="12"/>
        <rFont val="Times New Roman"/>
        <family val="1"/>
      </rPr>
      <t xml:space="preserve">1.5 TR </t>
    </r>
    <r>
      <rPr>
        <sz val="12"/>
        <rFont val="Times New Roman"/>
        <family val="1"/>
      </rPr>
      <t>At Gandhi Hospital</t>
    </r>
  </si>
  <si>
    <r>
      <rPr>
        <sz val="12"/>
        <rFont val="Times New Roman"/>
        <family val="1"/>
      </rPr>
      <t xml:space="preserve">Cassette   Units   :   Supply,   Installation,   Testing   and   Commissioning    of variable    refrigerant    flow   modular    type    indoor    units   wired/wireless remote  suitable  for  R410a  refrigerant  comprising  of  all  accessories  as  per the  specifications.  The  indoor  units  shall  be  suitable  to  work  on  cooling mode.The  minimum  Energy  Efficiency  Ratio  shall  be  as  per   ASHRAE STANDARDS   90.1   -2001     table   6.2.1B.   The  indoor   units     shall   be suitable   for  operation  on  220  plus  or  minus  6percentage  volts,  50Hz,  1 phase  AC power supply. </t>
    </r>
    <r>
      <rPr>
        <b/>
        <sz val="12"/>
        <rFont val="Times New Roman"/>
        <family val="1"/>
      </rPr>
      <t xml:space="preserve">3.0 TR – 4 way </t>
    </r>
    <r>
      <rPr>
        <sz val="12"/>
        <rFont val="Times New Roman"/>
        <family val="1"/>
      </rPr>
      <t>At Gandhi Hospital</t>
    </r>
  </si>
  <si>
    <t>Scrub Station</t>
  </si>
  <si>
    <t>Nos</t>
  </si>
  <si>
    <t>Providing of Factory made prelaminated FPVC (Foamed Polyvinyl Chloride) Door frame of the size 105x40mm with a wall thickness of 10mm made out of extruded rigid FPVC profile mitre joined with 6 Nos. of 50mm long screw. The door frame shall be fixed to the wall by using 80mm long screws through the frame with the help of PVC fasteners of 3 no's to be provided for each vertical member, GI stiffeners of ("U" channel of size 29x9x1mm, 150mm long) -3 no's at hinge point, Frame reinforcement of("U" GI channel of size 46x22x.06mm), Bottom tie rod of ("U" GI channel size of 15x15x1mm) etc. complete as per manufacturers specification for finished item of work. Maximum door frame size: 980 x 2070 including providing of 35mm thick Factory made Prelaminated ABS (Acrolynitrile Butadyne Styrene) Door shutter moulded in in different designs, consisting of all round Frame made out of water proof solid foam PVC bar of size 20x32mm, reinforced by 32x 32mm 2 nos. for vertical made out of LVL (Laminated Veneer Lumber), core material of 32 mm thick high density craft paper honey comb board, sandwiched on both sides with prelaminated ABS sheet thickness of 1.5mm. PVC edge banding of size 0.45mm on the vertical sides. Hardware made out of steel coated butterfly hinges - 3 Nos. for each shutter and ISI make S.S round lock completes for finished item of work. Maximum shutter size of : 910 x 2030 mm</t>
  </si>
  <si>
    <t>Fire Alarm Panel</t>
  </si>
  <si>
    <t>sqm</t>
  </si>
  <si>
    <t>WPC Doors for Toilets</t>
  </si>
  <si>
    <t>Amount as per Agreement Quantity</t>
  </si>
  <si>
    <t>Deviation Amount</t>
  </si>
  <si>
    <t>Amount as per Executed Quantity Amount</t>
  </si>
  <si>
    <t xml:space="preserve">RO with  additional Tank (50 litre capacity) </t>
  </si>
  <si>
    <t>Steel Sink &amp; Table in Autoclave room</t>
  </si>
  <si>
    <t xml:space="preserve">Dress Hangers </t>
  </si>
  <si>
    <t xml:space="preserve">Mirrors </t>
  </si>
  <si>
    <t>Trigas Cylinder</t>
  </si>
  <si>
    <t>O2 gas Cylinder</t>
  </si>
  <si>
    <t>Double Stage Regulator for CO2 cylinder</t>
  </si>
  <si>
    <t>Double Stage Regulator for O2 Cylinder</t>
  </si>
  <si>
    <t>Double Stage Regulator for Trigas cylinder</t>
  </si>
  <si>
    <t xml:space="preserve">Sample Collection Couch </t>
  </si>
  <si>
    <t>Sample Collection Chair</t>
  </si>
  <si>
    <t xml:space="preserve">Desktop Computer </t>
  </si>
  <si>
    <t>Lab Chairs as required</t>
  </si>
  <si>
    <t>Lab Tables as required</t>
  </si>
  <si>
    <t>Patient Beds with</t>
  </si>
  <si>
    <t>Patient Bed side Table</t>
  </si>
  <si>
    <t>Server For Data Storage</t>
  </si>
  <si>
    <t>Nurse Station</t>
  </si>
  <si>
    <t>Cabinet For Medicines</t>
  </si>
  <si>
    <t>Storage Shelves</t>
  </si>
  <si>
    <t>Shoe Rack</t>
  </si>
  <si>
    <t>Sofa</t>
  </si>
  <si>
    <t>Couch / Bed</t>
  </si>
  <si>
    <t>Tv</t>
  </si>
  <si>
    <t>DVD Player</t>
  </si>
  <si>
    <t>Cabinet / Table for Samples Etc</t>
  </si>
  <si>
    <t>Supplementary Items Executed</t>
  </si>
  <si>
    <t>Additional Requirements Of  Doctor</t>
  </si>
  <si>
    <t>Additional Observations</t>
  </si>
  <si>
    <t>Split Air Conditioners</t>
  </si>
  <si>
    <t>Magazine Rack</t>
  </si>
  <si>
    <t>Signage as Required</t>
  </si>
  <si>
    <t>OT Table in Minor OT</t>
  </si>
  <si>
    <t>S</t>
  </si>
  <si>
    <t>Dismantling Reinforced Concrete</t>
  </si>
  <si>
    <t>Cum</t>
  </si>
  <si>
    <t>Dismantling UnReinforced Concrete</t>
  </si>
  <si>
    <t>Dismantling Old Cement Mortor Plaster)</t>
  </si>
  <si>
    <t>Rmt</t>
  </si>
  <si>
    <t>Providing skirting to internal walls to 10 cm height with Double charged / multi charged stain free full
body porcelain vitrified tiles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</si>
  <si>
    <t>Sqm</t>
  </si>
  <si>
    <t xml:space="preserve">Flooring with  16 to 18 mm  thick high polished granite stone slabs black colour as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 , polishing charges and all other taxes on all materials, cost of base coat and overheads &amp; contractors profit complete for finished item of work for platforms (S.S.701 &amp; special) </t>
  </si>
  <si>
    <t>DESCRIPTION</t>
  </si>
  <si>
    <t>Ovum Aspiration Pumps at Gandhi Hospital</t>
  </si>
  <si>
    <t>No</t>
  </si>
  <si>
    <t>IVF Test tube Warmers at Gandhi Hospital</t>
  </si>
  <si>
    <t>DICOM  compatible  fully  digital,  compact,  portable,  Ultrasound  Scan Machine Colour Doppler at Gandhi Hospital</t>
  </si>
  <si>
    <t>Multipurpose Electro hydraulic with manual override mobile OT Table, with divided  leg  section  suitable  for  all  Gynaecological  surgical  procedures, complete with 5cm Mattress and corded handset at Gandhi Hospital</t>
  </si>
  <si>
    <t>LED procedure Lights Double dome at Gandhi Hospital</t>
  </si>
  <si>
    <t>LED procedure Lights Single dome  at Gandhi Hospital</t>
  </si>
  <si>
    <t>IVF Workstation with LAF at Gandhi Hospital</t>
  </si>
  <si>
    <t>IVF Ant vibration Table for procedure at Gandhi Hospital</t>
  </si>
  <si>
    <t>CO2 Incubators at Gandhi Hospital</t>
  </si>
  <si>
    <t>Trigas bench Top Incubators for Human Embryo culture at Gandhi Hospital</t>
  </si>
  <si>
    <t>Trinocular Stereozoom Microscope at Gandhi Hospital</t>
  </si>
  <si>
    <t>ICSI Micro manipulator with Inverted Microscope at Gandhi Hospital</t>
  </si>
  <si>
    <t>IVF Laser System at Gandhi Hospital</t>
  </si>
  <si>
    <t>IVF Thermometer at Gandhi Hospital</t>
  </si>
  <si>
    <t>CO2 Cylinder and Manifold at Gandhi Hospital</t>
  </si>
  <si>
    <t>CO2 and O2 Analyzer at Gandhi Hospital</t>
  </si>
  <si>
    <t>PH Meter at Gandhi Hospital</t>
  </si>
  <si>
    <t>VOC Meter for ART Lab at Gandhi Hospital</t>
  </si>
  <si>
    <t>Sperm Counting Makler Chamber at Gandhi Hospital</t>
  </si>
  <si>
    <t>Binocular Microscope for Semen Analysis at Gandhi Hospital</t>
  </si>
  <si>
    <t>Laminar flow cabinet with Andrology Work station at Gandhi Hospital</t>
  </si>
  <si>
    <t>Clinical Centrifuge machine for Andrology at Gandhi Hospital</t>
  </si>
  <si>
    <t>Dry Incubators at Gandhi Hospital</t>
  </si>
  <si>
    <t>Pipetter and Denudation system at Gandhi Hospital</t>
  </si>
  <si>
    <t>Pharmaceutical Refrigerator at Gandhi Hospital</t>
  </si>
  <si>
    <t>Cryocans with wheels at Gandhi Hospital</t>
  </si>
  <si>
    <t>Defibrillator at Gandhi Hospital</t>
  </si>
  <si>
    <t>7 Para Patient Monitor at Gandhi Hospital</t>
  </si>
  <si>
    <t>Suction machine at Gandhi Hospital</t>
  </si>
  <si>
    <t>Anaesthesia Work station at Gandhi Hospital</t>
  </si>
  <si>
    <t>Autoclave at Gandhi Hospital</t>
  </si>
  <si>
    <t>Operative Hysteroscopy and Resectoscope Set Machine at Gandhi Hospital</t>
  </si>
  <si>
    <t>Operative Laparoscopy Set at Gandhi Hospital</t>
  </si>
  <si>
    <t>Multifunctional Printer at Gandhi Hospital</t>
  </si>
  <si>
    <t>Ultrasound Examination Couch at Gandhi Hospital</t>
  </si>
  <si>
    <t>UPS 20KVA with battery backup at Gandhi Hospital</t>
  </si>
  <si>
    <t>Laptop for Office usage at Gandhi Hospital</t>
  </si>
  <si>
    <t>Reception Table at Gandhi Hospital</t>
  </si>
  <si>
    <t>Reception chair at Gandhi Hospital</t>
  </si>
  <si>
    <t>Filing Cabinet at Gandhi Hospital</t>
  </si>
  <si>
    <t>Patient Seating 3 in 1 model at Gandhi Hospital</t>
  </si>
  <si>
    <t>Consultant Chair at Gandhi Hospital</t>
  </si>
  <si>
    <t>Patient Chair at Gandhi Hospital</t>
  </si>
  <si>
    <t>Small Trolley at Gandhi Hospital</t>
  </si>
  <si>
    <t>Big Trolley at Gandhi Hospital</t>
  </si>
  <si>
    <t>Wall Storage Cabinets at Gandhi Hospital</t>
  </si>
  <si>
    <t>Office Table at Gandhi Hospital</t>
  </si>
  <si>
    <t>Consumables and Media for 100 Cycles at Gandhi Hospital</t>
  </si>
  <si>
    <t>Lot</t>
  </si>
  <si>
    <t>Dismantling,  clearing  away  and  carefully  stacking  useful  materials  for  re- use  and  disposal  of  unserviceable  materials  with  100m  lead  as  directed  by Executive Engineer duly taking actual premeasurements before dismantling including  all  labour  charges,  etc.,  complete.  Brick  Masonry  at  Gandhi Hospital</t>
  </si>
  <si>
    <t>Dismantling  doors,  windows  and  clear  storey  windows,  Ventilators  etc., wood or steel shutters including Chowkhats, architraves, hold fasts and other attachments  etc.,  and  stacking  them  within  100m  lead  including  labour charge etc., and complete for finished item of work. Not exceeding 3 sqm in area: Doors 1.00x2.60M at Gandhi Hospital</t>
  </si>
  <si>
    <t>Dismantling  doors,  windows  and  clear  storey  windows,  Ventilators  etc., wood or steel shutters including Chowkhats, architraves, hold fasts and other attachments  etc.,  and  stacking  them  within  100m  lead  including  labour charge  etc.,  and  complete  for  finished  item  of  work.  Exceeding  3  sqm  in area: Doors 1.50x2.60M at Gandhi Hospital</t>
  </si>
  <si>
    <t>Conveyance of un-useful excavated earth to a distance of 21 KM for disposal including hire charges of T and P, labour charges etc., complete for finished item of work. Dismantled Brick masonry  at Gandhi Hospital</t>
  </si>
  <si>
    <t>Brick masonry for panel walls in superstructure with CM 1:8 prop: Aerated Cellular Autoclaved  Concrete  Blocks  conforming  to  IS:2185  Part-3  -  1984 and IS:6441-1972 of Compressive strength 3 N/mm2  600 x 200 x 200 mm including cost and  conveyance of  all materials like cement, screened  sand, bricks, water etc., to site, including sales and other taxes on all materials and such  as  labour  charges,  like  mixing  cement  mortar,  scaffolding  charges, constructing masonry, lift charges, curing, etc.,complete for finished item of work. TSSS No.501 and 504. 5th Floor at Gandhi Hospital</t>
  </si>
  <si>
    <r>
      <rPr>
        <sz val="12"/>
        <rFont val="Times New Roman"/>
        <family val="1"/>
      </rPr>
      <t>Reinforced  Masonry  for  partition  walls  100  mm  thick  in  CM  1:4  prop. Aerated Cellular Autoclaved Concrete Blocks conforming to IS:2185 Part-3
- 1984 and IS:6441-1972 of Compressive strength 3 N/mm2 600 x 200 x 100 mm and placing 2Nos. of 6mm M.S plain rods in every third layer with free ends  of  the  reinforcement  pegged  into  mortar  joints  of  main  brick  walls where applicable including cost and conveyance of all materials like cement, steel, sans, brick, water etc., to site, including sales and other taxes excluding GST   on   all   materials,   all   operational,   incidents   charges,   constructing masonry, lift charges, curing, complete for finished item of work. TSSS No. of 509.5th Floor at Gandhi Hospital</t>
    </r>
  </si>
  <si>
    <t>Providing Mild steel MS steel bars Fe 250 grade as per IS 432 of different diameters  including  labour  charges  for  straightening,  cutting,  bending  to required sizes and shapes, placing in position with cover blocks of approved materials and size and tying and lap-splicing with binding wire of 18 SWG, forming grills for reinforcement work as per approved designs and drawings, including cost and conveyance of steel bars, including all wastages such as overlaps,  couplings,  chairs,  spacer  bars  including  cost  and  conveyance  of binding  wire,  cover  blocks  and  all  incidental,  operational,  labour  charges such as cutting, bending, placing in position, tying including sales and other taxes on all materials etc. , complete for finished item of work. TSSS No.126 For RBM walls 6mm  dia: 5th Floor at Gandhi Hospital</t>
  </si>
  <si>
    <t>MT</t>
  </si>
  <si>
    <t>Plastering  20mm  thick  in  two  coats  using  screened  sand  with  base  coat  of 16mm  thick  in  CM1:6  and  top  coat  of  4mm  thick  in  CM1:4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complete for finished item of work .SS 901,903and 904 5th Floor at Gandhi Hospital</t>
  </si>
  <si>
    <t>Plastering  12mm  thick  in  two  coats  using  screened  sand  with  base  coat  of 8mm  thick  in  CM  1:6  and  top  coat  of  4mm  thick  in  CM  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and complete for finished item of work. SS 901,903 and 904. 5th Floor at Gandhi Hospital</t>
  </si>
  <si>
    <r>
      <rPr>
        <sz val="12"/>
        <rFont val="Times New Roman"/>
        <family val="1"/>
      </rPr>
      <t>Supply   and   Installing   change   room   Cubicles,   at   Gandhi   Hospital. GENERAL                                                                         SPECIFICATIONS:
Thickness         of         Compact         Laminate:         12         mm         Thick Colour  of  HPL  Boards:  In  Single  Colour,  Size  of  Cubicle  :  As  per  DWG, Door Size for Normal Cubicle : As per DWG, Overall Height Of Cubicle : 2105  mm  Including  bottom  gap  of  100mm,  Accessories:   Manufacturers standard makes of Aluminium, SS Accessories. a Aluminium H Top Rail b SS  Hinges  c  SS  Privacy  Thumb  turn  c/w  Occupancy  Indicator  d  SS  Coat Hook e SS  Door Knob f Aluminium U channel  g Aluminium Door Stopper channel h Rubber  Lining i  SS Screws and PVC Wall Plugs</t>
    </r>
  </si>
  <si>
    <t>Providing and laying screed plain cement concrete as per site condition for floor  bedding  using  high  quality  aggregates  including  base  preparation, compaction,  levelling,  all  lead  and  lifts,  rough  finishing  at  the  top  surface, curing, shuttering if necessary etc., complete as directed . at Gandhi Hospital</t>
  </si>
  <si>
    <r>
      <rPr>
        <sz val="12"/>
        <rFont val="Times New Roman"/>
        <family val="1"/>
      </rPr>
      <t>Supply and fixing powder coated aluminium fully glazed swing door as per the approved drawing with fixed fan light of 500mm height at top door using aluminium sections of 101.60 mm x44.45mm , 3.18 mm thick for frame and door shutter made  of styles , top  and middle  rail of 47.62mm  x  44.45mm,
3.18  mm  thick  and  bottom  rail  of  96.00mm  x  44.45  mm,3.18mm  thick, powder  coating  of  aluminium  sections  25mm  microns  thick,  5  mm  thick plain glass fitted with suitable aluminium glazing clips and rubber beading in fan light portion, double shutters fitted with 5mm thick frosted glass in the top half and 12mm thick Prelaminated particle board One side choice colour and  other  side  balancing  white  lamination  in  the  bottom  half  fitted  with suitable   aluminium   glazing   clips   and   rubber   beading,   as   approved   by Engineer-in-Charge including supply and fixing ISI marked powder coated aluminium fixtures of 2 Nos. tower bolts 10mm bolt IS:204 300mm long, 4 Nos.  aluminium  handles  IS:208  150mm  dia  and  1  Nos.  aldrops  IS:2681 250mm,  1  No.  door  closure,  Al.  Butt  hinges  125mm  long  6Nos  including labour charges for manufacturing door , fixing the door with required No. of screws etc., complete for finished item of work. The Aluminium section used shall  be standard make confirming to IS 1948-1961 and as approved by the
Engineer 1200mmx2100mm at Gandhi Hospital</t>
    </r>
  </si>
  <si>
    <r>
      <rPr>
        <sz val="12"/>
        <rFont val="Times New Roman"/>
        <family val="1"/>
      </rPr>
      <t>Providing,  supplying  and  fixing  of  Fixed  Louvered  Ventilator  made out  of multi chambered uPVC sections 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and Mullion shall be
2.4 mm., including cost and conveyance of all materials, accessories, labour charges for transportation, erection at site etc., complete for finished item of work hinges IS:205 150mm long, 1 No. aldrop IS:2681 300mm long, 1 No. tower bolt IS:204 of 200 mm x 10 mm dia at top, 2 Nos. 150 mm at Gandhi Hospital</t>
    </r>
  </si>
  <si>
    <t>Supply and fixing doors as per drawings with medium teak wood frame of section 100mm x 65 mm and ISI marked flush door shutters of 30 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teak  wood  frame,  flush  shutter including  supply and fixing 6 Nos. MS Z hold fasts of size 300 mm x 40 mm x 5mm including cost of ISI marked Aluminium fixtures of 3 Nos. butt long handles IS:208, 1 No. door stopper and 1 No. rubber bush including fixing the fixtures to door with required number of screws, bolt and nuts including labour charges for fixing the frame in position, fixing the shutter to the frame etc., complete for finished item of work as per APSS 1001 and 1002 The vertical frame of door shall be embedded in flooring for a depth of not less than 10 mm 1000mm x 2100mm at Gandhi Hospital</t>
  </si>
  <si>
    <t>Flooring with soluble salt porcelain vitrified tiles screen printed and polished of  size  600  x  600  mm  and  thickness  between  8  to  10mm  1st  quality conforming  to  IS:  13711,  IS:  13712,  IS:  13630Parts  1  to  15  of  any  colour and  finish  in  all  shades  and  designs  with  borders  and  design  as  per  the approved flooring pattern as directed by the Engineer-In -Charge, laying tiles using  spacers  of  2mm  thick,  set  over  a  base  coat  of  CM  1:8  prop.  12mm thick  using  screened  sand  over  CC  bed  already  laid  or  RCC  roof  slab, including neat cement slurry of honey like consistency spread at the rate 3.3 kgs per Sqm. and jointed neatly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 charge etc., and  complete for finished item of work. TSSS No.701 and 707. 5th Floor at Gandhi Hospital</t>
  </si>
  <si>
    <t>Flooring with non-skid full body ceramic floor tiles of size 300mm x 300mm and  thickness  between  7  -  8mm  1st  quality  conforming  to  IS:  13711,  IS: 13712,  IS:  13630  Part  1  to  15  of  any  colour  and  finish  in  all  shades  and designs  as  approved  by  Engineer-in-charge,  set  over  base  coat  of  cement mortar  1:8,  12mm  thick  using  screened  sand  over  CC  bed  already  laid  or RCC  roof  slab,  including  neat  cement  slurry  of  honey  like  consistency spread  at  the  rate  3.3  Kgs  per  Sqm  and  jointed  neatly  with  white  cement paste to full depth mixed with pigment of matching shade, including cost of all materials like cement, screened sand , water and tiles etc., complete for finished item of work. TSSS No.701 and 707 at Gandhi Hospital</t>
  </si>
  <si>
    <t>Providing  and  fixing  in  true  horizontal  level  14  mm  -  Mineral  Fiber  sheet 595 x 595 Square / Tegular Fissura fine model edge tiles with a Humidity Resistance  of  90percentage  RH,  Average  NRC  0.50,  Light  Reflectance greater  than80percentage,  Thermal  Conductivity  equal  to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etc., complete for finished item of work in 5th floor. at Gandhi Hospital</t>
  </si>
  <si>
    <t>Providing and applying Wall putty of White Cement or Polymer or Cement based of average 1 to 2 mm thickness over plastered surface to prepare the surface even and smooth after thoroughly brushing the surface to remove all dirt and remains of  loose powdered materials,  applying emery paper,  Sand the  surface,  clean  and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etc., complete for finished item of work in 5th floor Internal walls. at Gandhi Hospital</t>
  </si>
  <si>
    <t>Supply  and  application  of  one  coat  water  based  cement  primer  of  interior grade   I  and  two   coats   of  water  based  PU  paint  having  anti-bacterial applications content less than 50 grams/litre for internal walls including cost and  conveyance  of  all  materials  to  site,  sales  and  other  taxes,  incidental, operational  and  all  labour  charges  etc.,  and  complete  for  finished  item  of work in 5th floor. at Gandhi Hospital</t>
  </si>
  <si>
    <t>Painting to old walls with 2 coats of water proof cement paint of shade as approved by the Engineer-In-Charge to give an even shade after thoroughly brushing  the  surface  to  remove  all  dirt  and  remains  of  loose  powdered materials, including cost and conveyance of all materials to work site and all operational,   scaffolding   charges,   incidental,   labour   charges   etc.,   and overheads and contractors profit complete for finished item of work as per SS 912 in 5th floor. at Gandhi Hospital</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</si>
  <si>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 complete for finished item of work at all floor levels. 15.90mm OD pipe at Gandhi Hospital</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</si>
  <si>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fixing,complete for finished item of work at all floor levels. 22.20mm OD pipe at Gandhi Hospital</t>
  </si>
  <si>
    <t>Supplying and fixing of SWR PVC pipes Prince/Sudhakar/ Kisan /Supreme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1326 - 75mm dia at Gandhi Hospital</t>
  </si>
  <si>
    <t>Supplying and fixing of SWR PVC pipes Prince/Sudhakar/Kisan /Supreme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1326- 110mm dia at Gandhi Hospital</t>
  </si>
  <si>
    <t>Supplying  and  fixing  Bronze  Gate/  Globe  valve  as  per  IS  -  778  Class  -  I, Indian  make  heavy  type  including  cost  and  conveyance  of  all  materials  , labour charges , overheads and contractors profit complete for finished item of work. 25mm Nominal bore at Gandhi Hospital</t>
  </si>
  <si>
    <t>Supplying  and  fixing  of  4inches  101.6mm  multi  floor  trap  with  jali  - UPVC/SWR pipe fittings as per site requirements with standard practice for all  floors  including  cost  and  conveyance  of  all  materials  to  site,  labour charges ,etc., complete for finished item of work. at Gandhi Hospital</t>
  </si>
  <si>
    <r>
      <rPr>
        <sz val="12"/>
        <rFont val="Times New Roman"/>
        <family val="1"/>
      </rPr>
      <t>Supplying and fixing Indian make Flat Back  Wash Hand Basin 1st quality conforming  to  IS:2556-Part-4:1972  of  size  550mm  x  400mm  with  32  mm nominal  size  C.P.  Fitting  with  parallel  pipe  thread  conforming  to  IS:2963- 1979 and fitted with 15 mm nominal bore Chromium Plated Pillar Tap of 1st quality   Indian   make   heavy   duty   complete   with   standard   CI   brackets including wooden blocks ,1 No.12.70mm PVC connection with brass union nuts  CP  coated  ,  angle  stop  cock  12.70mm  dia.  first  quality  Indian  make heavy  duty,  30mm  dia.  PVC  flexible  waste  pipe  914.4mm  length  of  1st quality including cost and conveyance of all materials to site, labour charges
, for finished item of work at Gandhi Hospital</t>
    </r>
  </si>
  <si>
    <t>Supply, Installation and commissioning approved make floor mounted Anglo Indian wash down EWC conforming to IS:2556 Part 8-2004 suit with P or S trap  with  dual  flush  porcelain  cistern  fixed  on  wash  down  EWC  with  all internal parts of dual flush cistern, ultra solid seat cover of approved make with  rubber  buffer  and  cap  and  15  mm  angle  stop  cock  and  450  mm  long PVC inter connection  pipe wall flanges all of approved make etc. complete for finished item of work in all respects:  TBSP-E.II-03 at Gandhi Hospital</t>
  </si>
  <si>
    <t>Supplying  and  fixing  Chromium  plated  finish  brass  body  quarter  turn Bibcock cum Health Faucet with 1m long tube and wall hook with necessary fittings etc., complete including cost and conveyance of all materials, labour charges, complete for finished item of work in all floors. at Gandhi Hospital</t>
  </si>
  <si>
    <t>Supplying and fixing CP finish brass soap dish of approved make ISI quality including cost and conveyance of all materials, labour charges for fixing, for finished item of work in all floors at Gandhi Hospital</t>
  </si>
  <si>
    <t>Supplying and fixing TV shape mirror with plastic frame of size 609.6mm x 457.2mm,  plywood  back  with  NP  screws  1st  quality  including  cost  and conveyance of all materials, labour charges, for finished item of work in all floors. at Gandhi Hospital</t>
  </si>
  <si>
    <t>Supplying and fixing of CP finish brass wall mounted towel ring at Gandhi Hospital</t>
  </si>
  <si>
    <t>Supplying and fixing 15 mm brass body CP finish self closing tap push type conforming  to  IS  1711  as  approved  by  the  Engineer-In-Charge  including cost and conveyance of all materials, labour charges, complete for finished item of work in all floors. at Gandhi Hospital</t>
  </si>
  <si>
    <t>Supply  and  installation  of  80mm  thick  double  skin  modular  wall  Panels made of 0.8 mm thick powder coated GI on both the sides, with  40  plus or minus  2  kg/m3  density  PUF  as  infill,  GI  profiles  all  along  the  periphery, flush on both sides with maximum allowable gap of 3- 4mm filled with food grade silicon sealant and placed on cold rolled galvanised bottom tracks with a  recess  to  provide  floor  to  wall  coving  flush  with  the  wall  panel.  This includes  all  required  harware  for  completion  Panels  to  be  covered  with  a protective film to avoid any damages during transportation and installation at Gandhi Hospital</t>
  </si>
  <si>
    <t>Double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300mm X 300mm double glazed view panels at Gandhi Hospital</t>
  </si>
  <si>
    <t>Single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900 X 2100 mm with 300 mm x 300 mm  View panel at Gandhi Hospital</t>
  </si>
  <si>
    <t>Emergency  Fire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2 hours fire rated and panic push bar and accessories etc. at Gandhi Hospital</t>
  </si>
  <si>
    <t>Supply and installation of Extruded Aluminium Coving at Gandhi Hospital</t>
  </si>
  <si>
    <t>Supply,  installation,  Testing  and  Commissioning  of  Static  Pass  Boxes  of Size  450X450mm  with  1.2mm  thick  SS  304  Mat  finish  ,  with  interlock doors, UV light On when doors closed condition. As per clean room standard and requirement. at Gandhi Hospital</t>
  </si>
  <si>
    <r>
      <rPr>
        <sz val="12"/>
        <rFont val="Times New Roman"/>
        <family val="1"/>
      </rPr>
      <t>Supply and laying of ISI 25mm outer dia medium grade with IS:9537-part 3 rigid PVC pipe concealed in wall with all required PVC / Metallic Junction Boxes including masonry work and labour charges etc.,      Makes: Sudhakar
/ Precision /Universal/ Modi / Million Plast. at Gandhi Hospital</t>
    </r>
  </si>
  <si>
    <r>
      <rPr>
        <sz val="12"/>
        <rFont val="Times New Roman"/>
        <family val="1"/>
      </rPr>
      <t>Supply and laying of ISI 25mm outer dia medium grade with IS:9537-part 3 rigid  PVC  pipe  surface  on  wall  with  all  required  PVC  /  Metallic  Junction Boxes including masonry work and labour charges etc.,      Makes: Sudhakar
/ Precision /Universal/ Modi / Million Plast. at Gandhi Hospital</t>
    </r>
  </si>
  <si>
    <r>
      <rPr>
        <sz val="12"/>
        <rFont val="Times New Roman"/>
        <family val="1"/>
      </rPr>
      <t>Wiring with 2 runs of 22/0.3mm 1.5 Sq.mm FRLS / HFFR P.V.C. insulated flexible copper cable ISI MARK in existing pipe with 6A Modular switch, Ceiling rose/BH/SBH Modular switches with cover plate and GI switch box including  all  labour  charges  etc.,  complete.  for  Non-  Residential  Building Makes  of  wires:  Finolex/  RR  Cable/  Havells/  Polycab/  HPL.  Makes  of switches:   -   GM   Four-Five   /   Legrand   Arteor   /   Schneider   Zen      celo
/Honeywell Blenge Plus/Gold Medal curve. at Gandhi Hospital</t>
    </r>
  </si>
  <si>
    <t>Pts</t>
  </si>
  <si>
    <t>Supply  and  fixing  of  6A  ISI  Mark  3/2  pin  Modular  socket  with  6A  1way Modular  switch,  3  Module  box  with  cover  frame  and  GI  switch  box  on common     switch     board     with     connections     etc.,     complete.  Makes of wires: Finolex/ RR Cable/ Havells/ Polycab/ HPL. Makes of switches:  - GM  Four-Five  /  Legrand  Arteor  /  Schneider  Zen  celo  /Honeywell  Blenge Plus/Gold Medal curve. at Gandhi Hospital</t>
  </si>
  <si>
    <r>
      <rPr>
        <sz val="12"/>
        <rFont val="Times New Roman"/>
        <family val="1"/>
      </rPr>
      <t>Supply and fixing of 16A switches - 1Nos and 6/16A 2 in one socket - 1Nos Modular type with cover plate and GI switch box fixing on separate board including     all     labour     charges      etc.,      complete. Makes of switches:
- GM Four-Five / Legrand Arteor / Schneider Zen celo /Honeywell Blenge Plus/Gold Medal curve. at Gandhi Hospital</t>
    </r>
  </si>
  <si>
    <t>Supply  and  fixing  of  16A/6A,  2  in  one  socket  -  2  Nos  with  16A  switch control - 2 Nos modular type with and GI switch box with front cover plate including     all     labour     charges     etc.,     complete.  Makes  of  switches:  - GM  Four-Five  /  Legrand  Arteor  /  Schneider  Zen  celo  /Honeywell  Blenge Plus/Gold Medal curve. at Gandhi Hospital</t>
  </si>
  <si>
    <t>Supply  and  fixing  of  16A/6A,  2  in  one  socket  -  4  Nos  with  16A  switch control - 4 Nos modular type with and GI switch box with front cover plate including     all     labour     charges     etc.,     complete.  Makes  of  switches:  - GM  Four-Five  /  Legrand  Arteor  /  Schneider  Zen  celo  /Honeywell  Blenge Plus/Gold Medal curve. at Gandhi Hospital</t>
  </si>
  <si>
    <t>Supply and run of 1 of 22 /0.3mm 1.5 Sq.mm FRLS / HFFR P.V.C. insulated flexible copper cable in existing conduit pipe for earth continuity including all  labour  charges  etc.,  complete.  Makes  of  wires:  Finolex/  RR  Cable/ Havells/ Polycab/ HPL. at Gandhi Hospital</t>
  </si>
  <si>
    <t>Supply and run of 3 of 2.5 sq.mm 36/0.mm phase neutral and earth FRLS / HFFR  PVC  insulated  flexible  copper  cable  in  existing  conduit  pipe  for individual   lighting   circuits   including   labour   charges   etc.,   complete   as required  for  switch  boards.  Makes  of  wires:  Finolex/  RR  Cable/  Havells/ Polycab/ HPL. at Gandhi Hospital</t>
  </si>
  <si>
    <t>Supply and 3 runs of 4.0 sq mm 56/0.3 mm phase neutral and earth FRLS / HFFR PVC insulated flexible copper cable in existing conduit pipe including labour  charges  etc.,  complete  for  16A  sockets.  Makes  of  wires:  Finolex/ RR Cable/ Havells/ Polycab/ HPL. at Gandhi Hospital</t>
  </si>
  <si>
    <t>Supply  and  run  of  5  of  6.0  Sqmm  90/0.3  mm  3  phases,  neutral  and  earth FRLS  /  HFFR  PVC  insulated  flexible  copper  cable  in  the  existing  conduit pipe for run of mains from Power panel board to TPN DBs with pin   type lugs  and  connections  etc.,  complete.  for  LDBs  Makes  of  wires:  Finolex/ RR Cable/ Havells/ Polycab/ HPL. at Gandhi Hospital</t>
  </si>
  <si>
    <t>Supply and run of 5 of 10.0 Sqmm 140/0.3 mm 3 phases, neutral and earth FRLS  /  HFFR  PVC  insulated  flexible  copper  cable  in  the  existing  conduit pipe for run of mains from Power panel  board to TPN DBs with pin   type lugs    and    connections    etc.,    complete.    for   PDBs   Makes   of   wires: Finolex/ RR Cable/ Havells/ Polycab/ HPL.  at Gandhi Hospital</t>
  </si>
  <si>
    <t>Supply and fixing of DP Metal Enclosure with  IP 20 Protection DB Make with  1  No  20A,  10  KA  DP  MCB  Make:  Legrand  /  Schneider  including internal  connection  and  labour  charges  for  Flush  Mounting  etc.,  complete. Makes: Legrand / Schneider. at Gandhi Hospital</t>
  </si>
  <si>
    <r>
      <rPr>
        <sz val="12"/>
        <rFont val="Times New Roman"/>
        <family val="1"/>
      </rPr>
      <t>Supply and fixing of 4 Way TPN DB Horizontal with IP 43 Protection as per IS:13032  Makes:  Legrand  /  Schneider and  Supply  and  Fixing  of  1  No.,  of 40A  FP  30mA  RCCB  as  incomer  and  12  Nos  6-32  A  10kA  SP  MCBs Makes:  Legrand-DX3  /  Schneider-Acti9  as  out  goings  including  internal
connections  and  labour  charges  for  FLUSH  Mounting  etc.,  complete.  For Lighting DBs at Gandhi Hospital</t>
    </r>
  </si>
  <si>
    <t>Supply and fixing of 8 Way TPN DB Horizontal with IP 43 Protection as per IS:13032  Makes:  Legrand  /  Schneider and  Supply  and  Fixing  of  1  No.,  of 63A  FP  100mA  RCCB  as  incomer  and  24  Nos  6-32  A  10kA  SP  MCBs Makes:  Legrand-DX3  /  Schneider-Acti9  as  out  goings  including  internal connections  and  labour  charges  for  FLUSH  Mounting  etc.,  complete.  For Lighting DBs At Gandhi Hospital</t>
  </si>
  <si>
    <t>Supply and fixing of 8 Way VTPN DB Horizontal with IP 43 Protection as per IS:13032 Makes: Legrand / Schneider and Supply and Fixing of 1 No., of 100A FP 10KA MCB as incomer and 4 Nos 63 A 10kA TP MCBs,     4 Nos 40 A 10kA TP MCBs Makes: Legrand-DX3 / Schneider-Acti9 as out goings including internal connections and labour charges for FLUSH Mounting etc., complete. For UPS MDB DBs At Gandhi Hospital</t>
  </si>
  <si>
    <t>Providing and fixing of 125A 25KA TPN Thermal Magnetic Release Based MCCB and Terminal Spreaders in Existing panel board with 1 No. and 1 Set of  Indication  Lamps,  LED  type,  R,Y,B  and  breaker  ON  ,  OFF,  TRIP  and spring  charged  lamps.  and  replace  with  above  Mentioned  with  required Drilling  Holes,  removing  and  Making  Busbar  connections  etc,  as  required. Makes: Legrand / Schneider/ABB/LandT/CandS At Gandhi Hospital</t>
  </si>
  <si>
    <t>Providing and fixing of 100A 10KA FP MCB and Terminal Spreaders in IP 43  isolator  Box  Making  connections  etc,  as  required.  Makes:  Legrand  / Schneider/ABB/LandT/CandS At Gandhi Hospital</t>
  </si>
  <si>
    <t>Supply, transportation and fixing of 24W edge lit LED Down light Square Housing Made of Aluminum alloy with corrosion resistant powder coat, with high efficiency acrylic wide diffuser Square with Protruded high efficiency diffuser, IP20, with wide operating voltage range, Power factor greater than 0.9, Surge protection: greater than 2KV, System efficacy of greater than100 lumens/watt, CCT: 3000K - 6500K as desired by the department and as per IS,  CRI  greater  than80,  and  THD  is  less  than  15percentage  etc.,  with  BIS Certification.  Makes:  Phillips  /  OSRAM  /  Wipro  /  Crompton  /  Bajaj  / Havells  At Gandhi Hospital</t>
  </si>
  <si>
    <t>Supply  and  Transportation  36W  Edge  lit,  2  feet  x2  feet  600mm  x600mm slim  panel  LED  luminaire  Square  Housing  Made  of  Aluminum  alloy  with corrosion  resistant  powder  coat,  with  high  efficiency  acrylic  wide  diffuser, with  wide  operating  voltage  range,  Power  factor  greater  than  0.9,  Surge protection    greater    than    2KV,    System    efficacy    of    greater    than100 lumens/watt,  CCT:  3000K  -  6500K  as  desired  by  the  department,  CRI greater  than80,  and  THD  is  less  than  15percentage  etc.,  complete.  Makes: Phillips / OSRAM / Wipro / Crompton / Bajaj / Havells At Gandhi Hospital</t>
  </si>
  <si>
    <t>Supply  and  Transportation  42W  Clean  room  Light  fixture,  2  feet  x2  feet 600mm   x600mm   LED   luminaire   CRCA   powder   coated   white   after phosphocreatine treatment provided as standard. with high efficiency acrylic wide diffuser, with wide operating voltage range, Power factor greater than 0.9, Surge protection greater than 2KV, System efficacy of greater than100 lumens/watt,  CCT:  3000K  -  6500K  as  desired  by  the  department,  CRI greater than80,  and THD is less than  15percentage  etc.,  complete. MAKE: OSRAM / Wipro / Crompton / Bajaj / Havells At Gandhi Hospital</t>
  </si>
  <si>
    <r>
      <rPr>
        <sz val="12"/>
        <rFont val="Times New Roman"/>
        <family val="1"/>
      </rPr>
      <t>Supply and fixing of ISI mark batten holder / slanting holder Makes : Anchor
/  Gold  Medal  Olive  /  Million  Zoom  in  lieu  of  ceiling  rose  of  light  point complete with all connections and all labour charges with 5.0W LED Lamp MAKE: OSRAM / Wipro / Crompton / Bajaj / Havells At Gandhi Hospital</t>
    </r>
  </si>
  <si>
    <t>Supply, Transportation of energy efficient fan, 1200 mm sweep, aluminium body, consuming 28 W, BEE 5 star rated, ceiling fan with Brush Less Direct Current BLDCmotor, class of insulation: B, 3 nos blades, 30 cm long down rod, 2 nos canopies, shackle ‘kit, safety rope, copper winding, Power Factor greater  than  0.90,  Service  Value  CMMAV  greater  than  8.5,  Air  delivery minimum 235 CMM,350 RPM tolerance as per IS:374-2019, THD less than 10percentage.  with  remote  or  compatible  to  electronic  step  type  regulator unit for speed control and all remaining accessories including safety pin, nut bolts,   washers,   temperature   rise   equal   to75   degree   Cmax,   insulation resistance  more than  2  mega ohm,  suitable  for  230V,  50  HZ,  single  phase AC  supply,  earthing  etc.,  including  all  standard  accessories  etc.,  complete. Makes : Atomberg Efficio  / Havells /Orient At Gandhi Hospital</t>
  </si>
  <si>
    <t>Supply and fixing of Modular type Stepped electronic regulator Makes : GM Four-Five  /  Legrand  Arteor  /  Schneider Zen  celo  /Honeywell  Blenge Plus/ Cabtree Verna/ Million logus / Gold Medal Curve for sweep AC ceiling fans of 1200mm / 1400mm complete with connections. At Gandhi Hospital</t>
  </si>
  <si>
    <t>Supply and installation of 225mm Light duty exhaust fan with metal blades etc  complete  Makes:  Crompton  /  Havells  Ventilair-DB/  Orient  hill  air.  At Gandhi Hospital</t>
  </si>
  <si>
    <t>SITC of Hot dip galvanized perforated cable tray of 100 mm Wide sizes for to run the cable from DBs to SBs and sockets and AC panel to Units units. All  necessary  supports  and  accessories  are  included.  Cable  tray  for  cables alone shall be included here Thickness shall be 1.6 mm.  At Gandhi Hospital</t>
  </si>
  <si>
    <r>
      <rPr>
        <sz val="12"/>
        <rFont val="Times New Roman"/>
        <family val="1"/>
      </rPr>
      <t>SITC of Hot dip galvanized perforated cable tray of 300 mm Wide sizes for to  run  the  cable  from  Floor  Panel  to  Lab  Panel  and  electrical  room  to  AC panel  and  AC  panel  to  Units.  All  necessary  supports  and  accessories  are
included. Cable tray for cables alone shall be included here Thickness shall be 1.6 mm. At Gandhi Hospital</t>
    </r>
  </si>
  <si>
    <t>Supply and installation of 20KVA 3ph in and 3ph out on line UPS system IGBT    based    rectifier    with    input    power    factor    correction    32    bit microprocessor based with isolation transformers double conversion, SNMP controls, LCD display, Pure sine wave output, with auto static switch three phase  input  /  Three  phase  output  and  modular  structure  for  better  thermal technology / cooling facility, with warranty up to three years.Makes: APC / Numeric / Emerson / Fuji Electric At Gandhi Hospital</t>
  </si>
  <si>
    <t>Supply and fixing of 12V 65 AH SMF battery including wire leads. Makes: Quanta / Racket / Exide. At Gandhi Hospital</t>
  </si>
  <si>
    <t>Supply and providing of UPS  cum battery rack for 20 batteries  At Gandhi Hospital</t>
  </si>
  <si>
    <r>
      <rPr>
        <sz val="12"/>
        <rFont val="Times New Roman"/>
        <family val="1"/>
      </rPr>
      <t>Providing and Fixing maintenance free earthing which consists of G.I. Earth station,   with   600X600X3.15mm   GI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Gandhi Hospital</t>
    </r>
  </si>
  <si>
    <t>Providing  and  Fixing  maintenance  free  earthing  which  consists  of  copper. Earth  station,  with  600X600X3.15mm  Copper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Gandhi Hospital</t>
  </si>
  <si>
    <t>Supply and installation of 50x6 GI flat for body earthing of electrical panel and AC Panel which is laid in 300mm cable tray  At Gandhi Hospital</t>
  </si>
  <si>
    <t>Supply and installation of 25x3 GI flat for body earthing of DBs and Cable tray which is laid in 100mm cable tray At Gandhi Hospital</t>
  </si>
  <si>
    <t>Supply and installation of 25x3 Copper flat for Neutral earthing of UPS and Equipment which is laid in 100mm cable tray At Gandhi Hospital</t>
  </si>
  <si>
    <t>Supply  and  installation  of  4  sqmm  Copper  wire  for  Earthing  of  DBs Equipment  At Gandhi Hospital</t>
  </si>
  <si>
    <t>Supply, Laying and testing of 3.5Cx95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</si>
  <si>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t>Supply, Laying and testing of 3.5CX50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</si>
  <si>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r>
      <rPr>
        <sz val="12"/>
        <rFont val="Times New Roman"/>
        <family val="1"/>
      </rPr>
      <t>Supply,  Laying  and  testing  of  4Cx16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r>
  </si>
  <si>
    <r>
      <rPr>
        <sz val="12"/>
        <rFont val="Times New Roman"/>
        <family val="1"/>
      </rPr>
      <t>Supply,  Laying  and  testing  of  4Cx6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r>
  </si>
  <si>
    <t>Supply, Lying and testing of 4Cx4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 Glostar/Finolex. Make of gland and Lungs: HMI/Commet/Dowell’s at Gandhi Hospital</t>
  </si>
  <si>
    <r>
      <rPr>
        <sz val="12"/>
        <rFont val="Times New Roman"/>
        <family val="1"/>
      </rPr>
      <t>SITC  of  IVF  Center  Main  Panel  Indoor  IP-42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/without detachable  extension  type  structure  with  all  type  of  suitable  switching accessories   and   bus-bar   as   per   load   requirement   of   respective   IVF
equipment’s. Which is  including  Lighting, power DBs  and  UPS  at Gandhi Hospital</t>
    </r>
  </si>
  <si>
    <t>SITC  of  IVF  center  AC  Panel  outdoor  IP-54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 without detachable  extension  type  structure  with  all  type  of  suitable  switching accessories   and   bus-bar   as   per   load   requirement   of   respective   AC equipment’s.  Which  is  including  1nos  AHU’s  stater  with  VFD  by  pass, Heater, ODU and VRF system At Gandhi Hospital</t>
  </si>
  <si>
    <t>Supply and installation of AHUs stater on/off push button station for Remote control for inside IVF center with control wiring from AC panel to on /off push button station with necessary items. at Gandhi Hospital</t>
  </si>
  <si>
    <t>Supply,  installation,  testing  and  commissioning  of  20nos  LAN  points  with cat 6 cable and with suitable network rack and 5nos of telephone points with krone box to existing EPABEX.  at Gandhi Hospital</t>
  </si>
  <si>
    <t>Job</t>
  </si>
  <si>
    <t>Supply,  installation,  testing  and  commissioning  of  1  no  of  Access  control system  with  egress  switch,  Power  Cable,  communication  cable  to  control panel with necessary required items Etc. at Gandhi Hospital</t>
  </si>
  <si>
    <t>Supply,  installation,  testing  and  commissioning  of  Automatic  Fire  Alarm System  which  is  including  30  nos  of  smoke  Detectors  1nos  manual  call point,  1  no  of  Hooter  with  fire  alarm  cable  connected  to  the  existing  fire control panel with necessary Required items etc.. at Gandhi Hospital</t>
  </si>
  <si>
    <t>Supply,  installation,  testing  and  commissioning  of  5nos  IP  Based  CCTV cameras and Cat 6 Cable with NVR system. at Gandhi Hospital</t>
  </si>
  <si>
    <t>Supply,  installation,  testing  and  commissioning  of  Audio  and  video recording of counseling rooms at Gandhi Hospital</t>
  </si>
  <si>
    <t>Supply  and  installation  of  Fire  Extinguishers  of  CO2  4.50  Kg  at  Gandhi Hospital</t>
  </si>
  <si>
    <t>Supply and installation of ceiling mounted Fire Extinguishers of ABC MAP 90, 5.0 Kg stored pressure type at Gandhi Hospital</t>
  </si>
  <si>
    <t>Supply and installation of 2.0 Kg clean agent HCFC 123 Fire Extinguishers at Gandhi Hospital</t>
  </si>
  <si>
    <t>Supply and fixing of Fire escape signage Boards at Gandhi Hospital</t>
  </si>
  <si>
    <t>Supply, transportation and installation of split AC unit 1.5 TR inverter type 3 Star capable of delivering 18000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 Daikin / Thoshiba / O General at Gandhi Hospital</t>
  </si>
  <si>
    <r>
      <rPr>
        <sz val="12"/>
        <rFont val="Times New Roman"/>
        <family val="1"/>
      </rPr>
      <t>Supply, transportation and installation of split AC unit 1.0 TR inverter type minimum 3 Star capable  of delivering 12000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Daikin / Thoshiba
/ O General at Gandhi Hospital</t>
    </r>
  </si>
  <si>
    <r>
      <rPr>
        <sz val="12"/>
        <rFont val="Times New Roman"/>
        <family val="1"/>
      </rPr>
      <t>Modular  Double  skin  floor  mounted  EUROVENT  Certified  Air  Handling Unit 3000CFM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
Crompton Greaves / Siemens ; Filter - Thermodyne / Freudenberg / Ultrafil at Gandhi Hospital</t>
    </r>
  </si>
  <si>
    <t>SITC  of  filter  module  made  out  of  heavy  duty  Aluminium  powder  coated extrusion with minimum of 13G . and to house 610 mm X 610 mm HEPA Filter  at  the  rate  0.3  microns  ,  99.9997,  H-14  Grade,  Filter  loading  from clean room side with bewel gear arrangement damper with access from clean room suitable to  house the following filter sizes pressure drop and Integrity testing   ports   into   room.   Includes   SS   capsule   perforated   diffuser.   This includes  all  required  supports  and  accessories  etc.  Capacity 1000  CFM.  at Gandhi Hospital</t>
  </si>
  <si>
    <t>SITC of Flange type, Flame proof FLP duct heaters of 5 kW capacity  with Mineral Filled AISI SS304/SS321 Sheathed Tubular Heater with GI Helical fins, Tube dia 8.2mm min and Helical Finn dia 25mm min, enclosed in the frame,  FLP  Terminal  box  etc.,  Nickel  Chromium  Inner  Element,  Silicon Sealing to Restrict Moisture pickup, Silver brazed mounting plate etc., and heaters shall be controlled with PID thyrestor controller based on the analog output  signal  of  0-10  V  DC  of  controller  .  And  this  should  have  saftey thermostat and cutouts and air stat etc. all safety controls. The capacities as follows and sizes of the heaters shall be as per the duct sizes and approved drawing. at Gandhi Hospital</t>
  </si>
  <si>
    <t>Aluminium low leakage aerofoil design volume control dampers Suitable for manual and motorised operation At Gandhi Hospital</t>
  </si>
  <si>
    <t>CBRI  approved  16G  GI  Spring  return  actuated  fire  dampers  rated  for  90 minutes with limit switch. At Gandhi Hospital</t>
  </si>
  <si>
    <t>SITC of SS perforated return raiser grilles with 10 microns filters with collar dampers At Gandhi Hospital</t>
  </si>
  <si>
    <t>Extruded  Al.  powder  coated  EXHAUST  /  RETURN  discrete  grilles      At Gandhi Hospital</t>
  </si>
  <si>
    <t>SITC of Collar Dampers made of Al. extrusions with black powder coating for Grilles / Diffusers At Gandhi Hospital</t>
  </si>
  <si>
    <t>SITC  of  Magnehelic  gauges  to  measure  the  room  differential  pressures  in operation  theatres  with  SS  mounting  box,  SS  nozzles,  food  grade  PVC tubing, etc. At Gandhi Hospital</t>
  </si>
  <si>
    <t>SITC of Aluminium powder coated Fresh air and Exhaust Louvers of non- vision type with nylon mosquito net etc.  At Gandhi Hospital</t>
  </si>
  <si>
    <t>Set</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</si>
  <si>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0.8 TR At Gandhi Hospital</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</si>
  <si>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1.0 TR At Gandhi Hospital</t>
  </si>
  <si>
    <t>Supply,    Installation,    Testing    and    Commissioning    of    Hard    copper REFRIGERANT  PIPING  of  16swg  various  sizes  with  necessary  supports, fittings,    interconnecting    the   liquid    and    suction    lines    between   the aircooled outdoor units and the indoor units. The piping  shall  be carried out of  Hard  drawn  copper  pipes  of   type  K   with  soldered  /   brazed   socket fittings.   Isolating  valves   shall   be   provided  to  isolate  each  compressor, strainers, sight glass and any other component requiring proper operation and maintenance.  Both  the  suction  and  liquid  lines  shall  be  insulated  with 19mm  thick  closed  cell  insulation  for  above  25mm  dia  ,  13mm  thick  for pipes  below  25mm  dia  .  The  insulation  finished  with  treated  woven  glass fiber  reinforced  covering  for  inside  Piping  and  including  making  required holes in the wall and re finishing and water tight of holes after laying holes as per the specifications and approved drawings. At Gandhi Hospital</t>
  </si>
  <si>
    <t>Supply,  Installation  ,  Testing  and  Commissioning  of  Refnet  joints  to  be provided in refrigerant pipe line. Material of construction for fittings shall be similar to refrigerant piping. At Gandhi Hospital</t>
  </si>
  <si>
    <t>Supply and Installation of control cum transmission wiring of size 3C x 1.5 Sqmm  copper  wire  to  be  laid  in  heavy  grade  PVC  conduit  including  all fixing and accessories as At Gandhi Hospital</t>
  </si>
  <si>
    <t>Supply and Installation of cabling of size 2C x 1 Sqmm copper wire to be laid in heavy grade PVC conduit including all fixing and accessories as per the approved routing. At Gandhi Hospital</t>
  </si>
  <si>
    <t>SITC  of  Oxygen  Manifold  Emergency  for  1  plus  1  Cylinders,  as         per technical specifications. At Gandhi Hospital</t>
  </si>
  <si>
    <t>SITC  of  Oxygen  Outlets  with  matching  probes,  as  per  HTM-2022/02-01 of UK/NFPA99C of USA as per enclosed technical specifications - Imported At Gandhi Hospital</t>
  </si>
  <si>
    <t>each</t>
  </si>
  <si>
    <r>
      <rPr>
        <sz val="12"/>
        <rFont val="Times New Roman"/>
        <family val="1"/>
      </rPr>
      <t>SITC of Oxygen Flow meter with Humidifier, CE Certified with four digit
number  as  per  enclosed  technical  specifications  -  Imported  At  Gandhi Hospital</t>
    </r>
  </si>
  <si>
    <r>
      <rPr>
        <sz val="12"/>
        <rFont val="Times New Roman"/>
        <family val="1"/>
      </rPr>
      <t xml:space="preserve">SITC  of  Nitrous  Oxide  Manifold  Emergency  for  1  Cylinder,  with  high
pressure  Regulator,  NRV,  tailpipes  etc.  </t>
    </r>
    <r>
      <rPr>
        <sz val="12"/>
        <color rgb="FFBE0000"/>
        <rFont val="Times New Roman"/>
        <family val="1"/>
      </rPr>
      <t xml:space="preserve">as  per  technical  specifications  </t>
    </r>
    <r>
      <rPr>
        <sz val="12"/>
        <rFont val="Times New Roman"/>
        <family val="1"/>
      </rPr>
      <t>At Gandhi Hospital</t>
    </r>
  </si>
  <si>
    <t>SITC  of  N20  Outlets  with  matching  probes,  as  per  HTM-2022/02-01  of UK/NFPA99C  of  USA  as  per  enclosed  technical  specifications  -  Imported At Gandhi Hospital</t>
  </si>
  <si>
    <r>
      <t xml:space="preserve">SITC of C02 Manifold for 2 Cylinders, with high pressure  Regulator, NRV, tailpipes etc. </t>
    </r>
    <r>
      <rPr>
        <sz val="12"/>
        <color rgb="FFBE0000"/>
        <rFont val="Times New Roman"/>
        <family val="1"/>
      </rPr>
      <t xml:space="preserve">as per technical specifications  </t>
    </r>
    <r>
      <rPr>
        <sz val="12"/>
        <rFont val="Times New Roman"/>
        <family val="1"/>
      </rPr>
      <t>At Gandhi Hospital</t>
    </r>
  </si>
  <si>
    <t>SITC   of   C02   Outlets   with   matching   probes,   as   per   HTM-2022102- 01ofUK/NFPA99C   of   USA   as   per   enclosed   technical   specifications   - Imported At Gandhi Hospital</t>
  </si>
  <si>
    <t>SITC of MEDICAL Grade  BS EN:  13348 Kite Marked  12mm COPPER PIPE at Gandhi Hospital</t>
  </si>
  <si>
    <t>SITC of MEDICAL Grade  BS EN:  13348 Kite Marked  15mm COPPER PIPE at Gandhi Hospital</t>
  </si>
  <si>
    <t>SITC of MEDICAL Grade  BS EN:  13348 Kite Marked  22mm COPPER PIPE at Gandhi Hospital</t>
  </si>
  <si>
    <t>SITC of MEDICAL Grade  BS EN:  13348 Kite Marked  28mm COPPER PIPE at Gandhi Hospital</t>
  </si>
  <si>
    <t>SITC of  Touch type LCD Area Alarm and Zonal Valve box- as  per  HTM 2022/02-01/  NFPA99C  as  per  enclosed  technical  specifications  imported for 3 gases at Gandhi Hospital</t>
  </si>
  <si>
    <t>SITC of  Touch type LCD Area Alarm and Zonal Valve box- as  per  HTM 2022/02-01/  NFPA99C  as  per  enclosed  technical  specifications  imported for Master Main Alarm including all Gases at Gandhi Hospital</t>
  </si>
  <si>
    <t>SITC  of    Medical  Line  Valve,    As  per  CE  Certified/UL  Listed,  As  per Technical Specifications- Indian 15mm 0D at Gandhi Hospital</t>
  </si>
  <si>
    <t>SITC  of    Medical  Line  Valve,    As  per  CE  Certified/UL  Listed,  As  per Technical Specifications- Indian 22mm 0D at Gandhi Hospital</t>
  </si>
  <si>
    <t>SITC  of    Medical  Line  Valve,    As  per  CE  Certified/UL  Listed,  As  per Technical Specifications- Indian 28mm 0D at Gandhi Hospital</t>
  </si>
  <si>
    <t>SITC of  Bed Head Panel - as  per  HTM  2022/02-01/  NFPA99C  as  per enclosed technical specifications  at Gandhi Hospital</t>
  </si>
  <si>
    <t>WPC Doors</t>
  </si>
  <si>
    <t>V Board Partiyions</t>
  </si>
  <si>
    <t>Plumbing</t>
  </si>
  <si>
    <t>Main Door</t>
  </si>
  <si>
    <t>MS Grills &amp; Painting</t>
  </si>
  <si>
    <t>Exhaust Fan in Autoclave Room</t>
  </si>
  <si>
    <t>Hysteroscopy Trolley</t>
  </si>
  <si>
    <t>Picture Frames</t>
  </si>
  <si>
    <t>Logo</t>
  </si>
  <si>
    <t>Main Door Signage</t>
  </si>
  <si>
    <t>Lighting For Frames</t>
  </si>
  <si>
    <t xml:space="preserve">Sofa </t>
  </si>
  <si>
    <t>Sofas in Reception as suitable</t>
  </si>
  <si>
    <t xml:space="preserve">Interior work </t>
  </si>
  <si>
    <t>As Per Sanctioned Estimate</t>
  </si>
  <si>
    <t>As Per Working Estimate</t>
  </si>
  <si>
    <t>QTY</t>
  </si>
  <si>
    <t>UNIT</t>
  </si>
  <si>
    <t>RATE</t>
  </si>
  <si>
    <t>AMOUNT RS.</t>
  </si>
  <si>
    <t>Supply and fixing doors as per drawings with medium teak wood frame of section 100mm x 65mm and  ISI marked flush door shutter of 30mm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medium  teak  wood  door  frame,  flush  shutter, including suply and fixing 6 Nos. MS Z hold fasts of size 300mm x 40mm x 5mm including ISI marked Aluminium fixtures 3 Nos. butt hinges IS:205 of 150mm long, 1 No. aldrop IS:2681 250 mm long, 1 No. tower bolt IS:204 of 150 mm x 10mm dia, 2 Nos. 125mm long handles IS:208,1 No. rubber bush including supplying and fixing 1.20mm thick PVC sheet to full height of the shutter  inside  including  labour  charges  for  fixing  the  frame  in  position, fixing the shutter to the frame etc., complete for finished item of work as per APSS  1001  and  1002.  The  vertical  frame  of  door  shall  be  embedded  in flooring  for  depth  of  not  less  than  10mm  750mm  x  2100mm.  at  Gandhi Hospital</t>
  </si>
  <si>
    <t>Supply and installation of 50mm thick double skin   ceiling system made of 0.8 mm thick  Powder Coated GI sheets on both sides,  40  plus or minus  2 kg/m3 density PUF as infill, GI profiles all along the periphery, panels flush towards room side with maximum allowable gap of 3-4mm at panel to panel joints filled with silicon sealant. Ceiling panels are suspended from the RCC slab  by  using  concealed  AL  ceiling  grid  with  tie  rod  and  adjustable  turn buckle arrangement etc. This includes all required hardware for completion. Panels  to  be  covered  with  a  protective  film  to  avoid  any  damages  during transportation and installation at Gandhi Hospital</t>
  </si>
  <si>
    <t>EXCESS</t>
  </si>
  <si>
    <t>LESS</t>
  </si>
  <si>
    <t>REMARKS</t>
  </si>
  <si>
    <r>
      <rPr>
        <b/>
        <sz val="16"/>
        <rFont val="Times New Roman"/>
        <family val="1"/>
      </rPr>
      <t>S.
No</t>
    </r>
  </si>
  <si>
    <t>CIVIL WORKS</t>
  </si>
  <si>
    <t>PLUMBING WORKS</t>
  </si>
  <si>
    <t>EQUIPMENT</t>
  </si>
  <si>
    <t>ELECTRICAL WORKS</t>
  </si>
  <si>
    <t>MGPS</t>
  </si>
  <si>
    <t>fillter</t>
  </si>
  <si>
    <t>Only Primer</t>
  </si>
  <si>
    <t>Supplementary Items</t>
  </si>
  <si>
    <t>For AHU Pedestal</t>
  </si>
  <si>
    <t>Concealed Valves</t>
  </si>
  <si>
    <t>Supply and Installation of control cum transmission wiring of size 4C x 2.5 Sqmm  copper  wire  to  be  laid  in  heavy  grade  PVC  conduit  including  all fixing and accessories as At Gandhi Hospital</t>
  </si>
  <si>
    <t>Supply and Installation of control cum transmission wiring of size 2C x 1.5 Sqmm  copper  wire  to  be  laid  in  heavy  grade  PVC  conduit  including  all fixing and accessories as At Gandhi Hospital</t>
  </si>
  <si>
    <t>CPVC Drain Pipe</t>
  </si>
  <si>
    <t>SITC  of  Magnehelic  gauges  across  pre  and  fine  filter  at  AHUs  including mounting arrangement, SS nozzles, food grade PVC tubing, etc. At Gandhi Hospital</t>
  </si>
  <si>
    <t>Condensing units - VRF/VRV System : Supply, Installation, Nitrogen testing,  Vacuuming  and  Commissioning  of  air  cooled  variable  refrigerant  flow modular   type   condensing   units,   each   comprising   of   multiple   scroll compressors  all  inverter  driven,  full   charge  of  refrigerant  gas   R-410a including additional gas filling , lubricating oil and all accessories as per the specifications.  The  condensing  units  shall  be  suitable  to  work  on  cooling mode.  The  minimum  Energy  Efficiency  Ratio  shall  be  as  per  ASHRAE STANDARDS  90.1  -2001  table  6.2.1B  .  The  COP  of  the  system  shall  be greater   than   4   under   ARI   conditions   for   100percentage   load   .   The condensing  units  shall  be  suitable  for  operation  on  415   plus  or  minus 10percentage volts, 50Hz, 3 phase  AC  power   supply  and ,  outdoor  units to  be  mounted  on  MS  platform  with  suitable  Vibration  Isolation  pads  to avoid vibrations. All the supports and angle base frame structure to be duly black  painted  with  synthetic  epoxy  paint.  the  condensing  units  shall  be  of following capacities: The VRF ODU should be capable of working with total capacity   of   connected   indoor   units   ranging   between   100percentage   to 140percentage  of ODU capacity .  COP minimum 3.5. Make : Daikin / LG  /
O General / Toshiba. 16 HP At Gandhi Hospital</t>
  </si>
  <si>
    <t>Supplying  and  fixing  of  Unplasticised  Poly  Vinyl  Chloride  UPVC  3  track sliding  windows  with  mesh  shutter  –  2-glass  shutters  and  1-mesh  shutter 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and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and  Glazing  bead  shall  be  co- 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includingetc.,  complete  for  finished  item  of
work. at Gandhi Hospital</t>
  </si>
  <si>
    <t>Providing dadooing to walls with glazed full body porcelain wall tiles of size 300  x  600  mm  with  any  type  of  design  texture  such  as  marble  finish, wooden,  bamboo,  stone  finishes  etc.,  scratch  less,  stain  free  and  thickness between  6-8  mm  1st  quality  conforming  to  IS:13711,  IS:13712,  IS:13630 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for finished item of work. 5th Floor at Gandhi Hospital</t>
  </si>
  <si>
    <t>Painting  to  new  wood  work  and  flush  shutters  with  lappam  finish,  over  a primary coat and painting two coats of synthetic enamel paint Grade-II VOC Volatile  Organic  Compound  content  less  than  50  grams/litre  of  approved shade including cost and conveyance of all materials to site cost of primer coat and all labour charges etc. complete including applying sand paper on lappam  coats  for  neat  finish  including  sales  and  other  taxes  on  cost  of  all materials  etc.,  complete  in  all  floors  APSS  No.1200,  1207  and  1211.  at Gandhi Hospital</t>
  </si>
  <si>
    <t>Providing,  laying  of  scratch  proof  PVC/Vinyl  flooring  of  2mm  thickness with proper welded joints air tight, along with leveling compound to match the existing flooring levels as per engineer in charge instructions. Sub floor preparation with self leveling compound. After the sub floor preparation, it should be suitable for ESD flooring. Rate inclusive of sifting of material and labour charges. at Gandhi Hospital</t>
  </si>
  <si>
    <r>
      <rPr>
        <sz val="12"/>
        <rFont val="Times New Roman"/>
        <family val="1"/>
      </rPr>
      <t xml:space="preserve">Supply, installation, testing and commissioning of 16 G GI powder coated suitable  single  person  entry  air  shower  </t>
    </r>
    <r>
      <rPr>
        <sz val="12"/>
        <color rgb="FFBE0000"/>
        <rFont val="Times New Roman"/>
        <family val="1"/>
      </rPr>
      <t>as  per  Technical Specification</t>
    </r>
    <r>
      <rPr>
        <sz val="12"/>
        <rFont val="Times New Roman"/>
        <family val="1"/>
      </rPr>
      <t>s  at Gandhi Hospital</t>
    </r>
  </si>
  <si>
    <t>Supplying and fixing 15 mm brass body CP  finish bib tap of not less than 300  grams  weight  screw  type  full  turn  with   internal/external  threaded connection  conforming  to  IS  8931  as  approved  by  the  Engineer-In-Charge including  cost  and  conveyance  of  all  materials,  labour  charges,  overheads and  contractors  profit  complete  for  finished  item  of  work  in  all  floors.  at Gandhi Hospital</t>
  </si>
  <si>
    <t>AE</t>
  </si>
  <si>
    <t>Providing skirting to internal walls to 10 cm height with Double charged / multi charged stain free full body porcelain vitrified tiles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</si>
  <si>
    <t>Supply and Transportation 56W Clean room Light fixture, 2' x2' (600mm x600mm) LED luminaire CRCA powder coated white after phosphocreatine treatment provided as standard. with high efficiency acrylic wide diffuser, with wide operating voltage range, Power factor &gt; 0.9, Surge protection &gt;2KV, System efficacy of &gt;100 lumens/watt, CCT: 3000K - 6500K as desired by the department, CRI &gt;80, and THD is less than 15% etc., complete. 
MAKE: OSRAM / Wipro / Crompton / Bajaj / Havells</t>
  </si>
  <si>
    <t>Supply and Transportation of 48" ( 1200 mm) High Speed Fan Sweep Celing Fan with all accessories etc., complete. Make Havells S S 390</t>
  </si>
  <si>
    <t>Labour Charges for fixing of 48" Celing fan</t>
  </si>
  <si>
    <t>Supply and fixing of Anchor Fastner</t>
  </si>
  <si>
    <t>Supply &amp; fixing of  2nos6A, 2 in one socket - 2 Nos with 6A switch control - 2 Nos modular type with and GI switch box with front cover plate including all labour charges etc., complete. Makes of switches: -Hooney well Benz Plus</t>
  </si>
  <si>
    <t>Supply and erecting 19/20mm steel tube down rod of one meter length with bolts &amp; nuts duly painted with matching colour of  fan complete</t>
  </si>
  <si>
    <t>Supply and fixing of 15" Heavy Duty Exfan Make Almonard</t>
  </si>
  <si>
    <t>Dress Hangers in Change Rooms</t>
  </si>
  <si>
    <t xml:space="preserve">Mirror of size 450 X 600 mm </t>
  </si>
  <si>
    <t>Supplementary</t>
  </si>
  <si>
    <r>
      <rPr>
        <sz val="9.5"/>
        <rFont val="Arial MT"/>
        <family val="2"/>
      </rPr>
      <t>Set</t>
    </r>
  </si>
  <si>
    <r>
      <rPr>
        <sz val="9.5"/>
        <rFont val="Arial MT"/>
        <family val="2"/>
      </rPr>
      <t>Nos</t>
    </r>
  </si>
  <si>
    <r>
      <rPr>
        <sz val="9.5"/>
        <rFont val="Arial MT"/>
        <family val="2"/>
      </rPr>
      <t>Nos.</t>
    </r>
  </si>
  <si>
    <t xml:space="preserve">REVISED ESTIMATE </t>
  </si>
  <si>
    <t>Supply &amp; Installation of MS Angle for Duct Support, Cable Tray Support and Condensing Unit Stand of size 40 X 40 x 5 mm Thick.</t>
  </si>
  <si>
    <t>Supply &amp; Installation of MS Angle for Duct Support, Cable Tray Support and Condensing Unit Stand of size 25 X 25 x 5 mm Thick.</t>
  </si>
  <si>
    <t>Kg</t>
  </si>
  <si>
    <t>Supply and installation of  Canvas Connections For AHUS</t>
  </si>
  <si>
    <t xml:space="preserve">4C  x 1.5 Sqmm Copper Flexible Cable For Condensing Unit to Electrical Panel </t>
  </si>
  <si>
    <t xml:space="preserve">Supply &amp; installation of 50x6 GI flat for AHU Copper Pipe  which is laid in 300mm cable tray </t>
  </si>
  <si>
    <t>Cryo Can 11 Ltr</t>
  </si>
  <si>
    <t xml:space="preserve">Dismantling of unreinforced cement concrete,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t>
  </si>
  <si>
    <t>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Old Cement Mortor (Plaster)</t>
  </si>
  <si>
    <t>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Reinforced Cement Concrete</t>
  </si>
  <si>
    <r>
      <t xml:space="preserve">Supplying and fixing of 3" (75mm) Nahany trap with jali - </t>
    </r>
    <r>
      <rPr>
        <sz val="12"/>
        <color theme="1"/>
        <rFont val="Times New Roman"/>
        <family val="1"/>
      </rPr>
      <t xml:space="preserve">UPVC/SWR pipe fittings </t>
    </r>
    <r>
      <rPr>
        <b/>
        <sz val="12"/>
        <color theme="1"/>
        <rFont val="Times New Roman"/>
        <family val="1"/>
      </rPr>
      <t xml:space="preserve"> </t>
    </r>
    <r>
      <rPr>
        <sz val="12"/>
        <color theme="1"/>
        <rFont val="Times New Roman"/>
        <family val="1"/>
      </rPr>
      <t>as per site requirements with standard practice  for all floors including cost and conveyance of all materials to site, labour charges , overheads &amp; contractors profit etc., complete for finished item of work.</t>
    </r>
  </si>
  <si>
    <r>
      <t>Supplying and fixing GI pipe Medium Grade properties &amp; weight</t>
    </r>
    <r>
      <rPr>
        <sz val="12"/>
        <color theme="1"/>
        <rFont val="Times New Roman"/>
        <family val="1"/>
      </rPr>
      <t xml:space="preserve">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
    </r>
    <r>
      <rPr>
        <b/>
        <sz val="12"/>
        <color theme="1"/>
        <rFont val="Times New Roman"/>
        <family val="1"/>
      </rPr>
      <t xml:space="preserve">Tata or Zenith </t>
    </r>
    <r>
      <rPr>
        <sz val="12"/>
        <color theme="1"/>
        <rFont val="Times New Roman"/>
        <family val="1"/>
      </rPr>
      <t xml:space="preserve">make or equivalent. </t>
    </r>
  </si>
  <si>
    <r>
      <rPr>
        <b/>
        <u/>
        <sz val="11"/>
        <rFont val="Times New Roman"/>
        <family val="1"/>
      </rPr>
      <t>Fully Automatic Control Panel for Oxygen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Oxygen supply</t>
    </r>
  </si>
  <si>
    <r>
      <rPr>
        <b/>
        <u/>
        <sz val="11"/>
        <rFont val="Times New Roman"/>
        <family val="1"/>
      </rPr>
      <t xml:space="preserve">Trigas Emergency Manifold:
</t>
    </r>
    <r>
      <rPr>
        <sz val="11"/>
        <rFont val="Times New Roman"/>
        <family val="1"/>
      </rPr>
      <t xml:space="preserve">SITC of </t>
    </r>
    <r>
      <rPr>
        <b/>
        <sz val="11"/>
        <rFont val="Times New Roman"/>
        <family val="1"/>
      </rPr>
      <t xml:space="preserve">Emergency Trigas Manifold maximum for 1+1 </t>
    </r>
    <r>
      <rPr>
        <sz val="11"/>
        <rFont val="Times New Roman"/>
        <family val="1"/>
      </rPr>
      <t>D-type Gas Cylinders complete with separate NRVs, tail pipes and brass fittings for each cylinders.</t>
    </r>
  </si>
  <si>
    <r>
      <rPr>
        <b/>
        <u/>
        <sz val="11"/>
        <rFont val="Times New Roman"/>
        <family val="1"/>
      </rPr>
      <t>Fully Automatic Control Panel for Trigas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Nirous Oxide supply.</t>
    </r>
  </si>
  <si>
    <r>
      <rPr>
        <b/>
        <u/>
        <sz val="11"/>
        <rFont val="Times New Roman"/>
        <family val="1"/>
      </rPr>
      <t>Fully Automatic Control Panel for CO2 </t>
    </r>
    <r>
      <rPr>
        <b/>
        <sz val="11"/>
        <rFont val="Times New Roman"/>
        <family val="1"/>
      </rPr>
      <t xml:space="preserve"> </t>
    </r>
    <r>
      <rPr>
        <b/>
        <u/>
        <sz val="11"/>
        <rFont val="Times New Roman"/>
        <family val="1"/>
      </rPr>
      <t xml:space="preserve">System:
</t>
    </r>
    <r>
      <rPr>
        <sz val="11"/>
        <rFont val="Times New Roman"/>
        <family val="1"/>
      </rPr>
      <t>Supply, installation and commissioning of Fully Automatic control panel for unintrupted Nirous Oxide supply.</t>
    </r>
  </si>
  <si>
    <r>
      <rPr>
        <b/>
        <u/>
        <sz val="11"/>
        <rFont val="Times New Roman"/>
        <family val="1"/>
      </rPr>
      <t xml:space="preserve">CO2 Manifold
</t>
    </r>
    <r>
      <rPr>
        <sz val="11"/>
        <rFont val="Times New Roman"/>
        <family val="1"/>
      </rPr>
      <t xml:space="preserve">SITC of </t>
    </r>
    <r>
      <rPr>
        <b/>
        <sz val="11"/>
        <rFont val="Times New Roman"/>
        <family val="1"/>
      </rPr>
      <t xml:space="preserve">EmergencyCO2 Manifold maximum for 2 </t>
    </r>
    <r>
      <rPr>
        <sz val="11"/>
        <rFont val="Times New Roman"/>
        <family val="1"/>
      </rPr>
      <t>D-type Gas Cylinders complete with separate NRVs, Copper tail pipes and brass fittings for each cylinders with double stage double gauge high pressure regulator</t>
    </r>
  </si>
  <si>
    <r>
      <rPr>
        <sz val="11"/>
        <rFont val="Times New Roman"/>
        <family val="1"/>
      </rPr>
      <t xml:space="preserve">SITC of </t>
    </r>
    <r>
      <rPr>
        <b/>
        <sz val="11"/>
        <rFont val="Times New Roman"/>
        <family val="1"/>
      </rPr>
      <t xml:space="preserve">Medical Air-4 Outlet </t>
    </r>
    <r>
      <rPr>
        <sz val="11"/>
        <rFont val="Times New Roman"/>
        <family val="1"/>
      </rPr>
      <t>with matching probe as per HTM-2022/02-01 of UK/ NFPA 99C of USA as per enclosed technical Specification.</t>
    </r>
  </si>
  <si>
    <r>
      <rPr>
        <sz val="11"/>
        <rFont val="Times New Roman"/>
        <family val="1"/>
      </rPr>
      <t xml:space="preserve">12 mm Valve for 12 mm OD Pipe
</t>
    </r>
    <r>
      <rPr>
        <b/>
        <sz val="11"/>
        <rFont val="Times New Roman"/>
        <family val="1"/>
      </rPr>
      <t>Note: New item added</t>
    </r>
  </si>
  <si>
    <t>Patient Beds</t>
  </si>
  <si>
    <t>Bed side Table</t>
  </si>
  <si>
    <t>3-Bay Scrub Station</t>
  </si>
  <si>
    <t>Sample Collection Couch</t>
  </si>
  <si>
    <t>RO</t>
  </si>
  <si>
    <t>CSSD Table with Sink</t>
  </si>
  <si>
    <t>Desktop Computer</t>
  </si>
  <si>
    <t>Writing Board</t>
  </si>
  <si>
    <t>Table for Desktop Computer</t>
  </si>
  <si>
    <t>3-Seater Sofa</t>
  </si>
  <si>
    <t>O2 Gas Cylinder</t>
  </si>
  <si>
    <t>Double Stage Regulator for CO2 Cylinder</t>
  </si>
  <si>
    <t>N2O Gas Cylinder</t>
  </si>
  <si>
    <t>Steel Tables for Equipment</t>
  </si>
  <si>
    <t>Blinds for Windows</t>
  </si>
  <si>
    <t>Name Boards (Room Names)</t>
  </si>
  <si>
    <t>IVF Photos</t>
  </si>
  <si>
    <t>Modular  Double  skin  floor  mounted  EUROVENT  Certified  Air  Handling Unit 3400CFM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
Crompton Greaves / Siemens ; Filter - Thermodyne / Freudenberg / Ultrafil at Gandhi Hospital</t>
  </si>
  <si>
    <t>2.0 Tr Split AC at Reception</t>
  </si>
  <si>
    <r>
      <t>Supply and fixing of ornamental grill made of 25mm x 5mm MS flats</t>
    </r>
    <r>
      <rPr>
        <sz val="12"/>
        <color theme="1"/>
        <rFont val="Arial"/>
        <family val="2"/>
        <charset val="1"/>
      </rPr>
      <t xml:space="preserve"> for fixing in fan light portion and side fixed panels for door cum window as per the approved drawing including cutting the flat to required length, welding,  including cost and conveyance of all materials, labour charges etc., complete for finished otem of work.</t>
    </r>
  </si>
  <si>
    <t>V-Board Partition</t>
  </si>
  <si>
    <t>Equipment</t>
  </si>
  <si>
    <t xml:space="preserve">CIVIL </t>
  </si>
  <si>
    <t>PLUMBING</t>
  </si>
  <si>
    <t>ELECTRICAL</t>
  </si>
  <si>
    <r>
      <rPr>
        <b/>
        <sz val="12"/>
        <color theme="1"/>
        <rFont val="Times New Roman"/>
        <family val="1"/>
      </rPr>
      <t xml:space="preserve">Side Paneling  </t>
    </r>
    <r>
      <rPr>
        <sz val="12"/>
        <color theme="1"/>
        <rFont val="Times New Roman"/>
        <family val="1"/>
      </rPr>
      <t xml:space="preserve">                                                                                                              14mm thick Indoor WPC louvers providing &amp; Fixing full height said 12mm SHERA Board panneling till slab with wooden framing in line and level including fling joints and joint calls and neccesary hardware</t>
    </r>
  </si>
  <si>
    <r>
      <rPr>
        <b/>
        <sz val="12"/>
        <color theme="1"/>
        <rFont val="Times New Roman"/>
        <family val="1"/>
      </rPr>
      <t xml:space="preserve">2 WPC LOUVers Ceiling    </t>
    </r>
    <r>
      <rPr>
        <sz val="12"/>
        <color theme="1"/>
        <rFont val="Times New Roman"/>
        <family val="1"/>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</si>
  <si>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2"/>
        <color theme="1"/>
        <rFont val="Times New Roman"/>
        <family val="1"/>
      </rPr>
      <t>Providing and fixing of wooden box celling</t>
    </r>
    <r>
      <rPr>
        <sz val="12"/>
        <color theme="1"/>
        <rFont val="Times New Roman"/>
        <family val="1"/>
      </rPr>
      <t xml:space="preserve"> at the top of Reception table with Imm thick laminate with wooden framing of BWP 710 Gurjan Ply support from the top slab end to end with neccesary cutouts for lighting and hardware</t>
    </r>
  </si>
  <si>
    <r>
      <rPr>
        <b/>
        <sz val="12"/>
        <color theme="1"/>
        <rFont val="Times New Roman"/>
        <family val="1"/>
      </rPr>
      <t>Back Pannelling with laminate Finish of 1 mm thick</t>
    </r>
    <r>
      <rPr>
        <sz val="12"/>
        <color theme="1"/>
        <rFont val="Times New Roman"/>
        <family val="1"/>
      </rPr>
      <t xml:space="preserve"> Providing &amp; Fixing full height solid 12mm BWF 710 GURIAN PLY Board panneling till slab with wooden framing in line and level including the neccesary hardware and cutouts</t>
    </r>
  </si>
  <si>
    <r>
      <rPr>
        <b/>
        <sz val="12"/>
        <color theme="1"/>
        <rFont val="Times New Roman"/>
        <family val="1"/>
      </rPr>
      <t>Providing and fixing ISI marked Magnetic 25mm Block Board door shutters</t>
    </r>
    <r>
      <rPr>
        <sz val="12"/>
        <color theme="1"/>
        <rFont val="Times New Roman"/>
        <family val="1"/>
      </rPr>
      <t>, core of block board construction with frame of 1st class hard wood and fixing 1 MM laminate on both faces of shutters, including ISI marked Stainless Steel butt hinges with necessary screws and tower bait complete</t>
    </r>
  </si>
  <si>
    <r>
      <rPr>
        <b/>
        <sz val="12"/>
        <color theme="1"/>
        <rFont val="Times New Roman"/>
        <family val="1"/>
      </rPr>
      <t>Providing and fixing PVC frames</t>
    </r>
    <r>
      <rPr>
        <sz val="12"/>
        <color theme="1"/>
        <rFont val="Times New Roman"/>
        <family val="1"/>
      </rPr>
      <t xml:space="preserve"> on the walls for covering the area over DB Boxes with 12 mm PVC sheets in a box section of 60mm thick including neccesary accessories.</t>
    </r>
  </si>
  <si>
    <r>
      <t xml:space="preserve"> Providing and Fixing of </t>
    </r>
    <r>
      <rPr>
        <b/>
        <sz val="12"/>
        <color theme="1"/>
        <rFont val="Times New Roman"/>
        <family val="1"/>
      </rPr>
      <t>(25X25) mm WPC corner L-Patties</t>
    </r>
    <r>
      <rPr>
        <sz val="12"/>
        <color theme="1"/>
        <rFont val="Times New Roman"/>
        <family val="1"/>
      </rPr>
      <t xml:space="preserve"> at the topper edge of the wall tile cladding</t>
    </r>
  </si>
  <si>
    <r>
      <t xml:space="preserve">Providing and Fixing of </t>
    </r>
    <r>
      <rPr>
        <b/>
        <sz val="12"/>
        <color theme="1"/>
        <rFont val="Times New Roman"/>
        <family val="1"/>
      </rPr>
      <t>SS-ROSE GOLD corner &amp; L-Patties</t>
    </r>
    <r>
      <rPr>
        <sz val="12"/>
        <color theme="1"/>
        <rFont val="Times New Roman"/>
        <family val="1"/>
      </rPr>
      <t xml:space="preserve"> at the SIDE edge of the wall tile cladding</t>
    </r>
  </si>
  <si>
    <r>
      <t xml:space="preserve">Providing and fixing of </t>
    </r>
    <r>
      <rPr>
        <b/>
        <sz val="12"/>
        <color theme="1"/>
        <rFont val="Times New Roman"/>
        <family val="1"/>
      </rPr>
      <t>Door Frame panneling with 18mm BWP 710 Gurjan Ply and 8mm thick beeding half rounded on the both sides</t>
    </r>
    <r>
      <rPr>
        <sz val="12"/>
        <color theme="1"/>
        <rFont val="Times New Roman"/>
        <family val="1"/>
      </rPr>
      <t xml:space="preserve"> with 1mm thick laminate Finish with necessary handware and Polishing.</t>
    </r>
  </si>
  <si>
    <t>Providing and fixing the 60mm Thick Box framing as the back support for the name plate installed of 18mm BWP 710 Gurjan and 1mm thick high glossy laminate finish</t>
  </si>
  <si>
    <t>Providing and Fixing of 32mm Double Flush Door with frame 8mm beeding on its edges on four sides with polishing finish and 1 mm thick laminate on the both sides of which including ISI marked Stainless Steel centre lock and butt hinges with necessary screws and tower bolt complete</t>
  </si>
  <si>
    <t>Providing and fixing of Side wall decor Frame for photo hangings panneling with 18mm BWP 710 Gurjan Ply and 8mm thick beeding half rounded on the both sides with 1mm thick laminate finish with necessary hardware and Polishing.</t>
  </si>
  <si>
    <t>Wall Paper supply and fixing</t>
  </si>
  <si>
    <t>Light LOGO supply and fixing</t>
  </si>
  <si>
    <t>Blinds supply and fixing (6'x6')-1 Nos, (3'x3')-1Nos</t>
  </si>
  <si>
    <t>Main LOGO Supply and fixing (Big letter Telugu and English)</t>
  </si>
  <si>
    <r>
      <t xml:space="preserve">POINT WIRING and LIGHT FIXTURES &amp; FITTINGS                             </t>
    </r>
    <r>
      <rPr>
        <sz val="12"/>
        <color rgb="FF000000"/>
        <rFont val="Times New Roman"/>
        <family val="1"/>
      </rPr>
      <t>Providing Point wiring for Light Concealed Type with 2 x 1.0 Sq.mm. Copper. PVC Insulated wire 1.1 KV grade ISI marked in rigid ISI mark PVC conduit minimum 20mm (1.6 mm thick) dia. with necessary accessories and Pannel and Spot LED lights of Havells/Wipro company.</t>
    </r>
  </si>
  <si>
    <t>Proving and fixing Profile lights at wpc Louvers</t>
  </si>
  <si>
    <t>Proving and fixing Track lights at side wall décor frame with 4 fixtures and 2 tracks</t>
  </si>
  <si>
    <t>External Profile light at Name Plate</t>
  </si>
  <si>
    <t>UOM</t>
  </si>
  <si>
    <t>Nos.</t>
  </si>
  <si>
    <t>Rate</t>
  </si>
  <si>
    <r>
      <rPr>
        <b/>
        <sz val="12"/>
        <color theme="1"/>
        <rFont val="Times New Roman"/>
        <family val="1"/>
      </rPr>
      <t xml:space="preserve">2 WPC LOUVers Ceiling    </t>
    </r>
    <r>
      <rPr>
        <sz val="12"/>
        <color theme="1"/>
        <rFont val="Times New Roman"/>
        <family val="1"/>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</si>
  <si>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2"/>
        <color theme="1"/>
        <rFont val="Times New Roman"/>
        <family val="1"/>
      </rPr>
      <t xml:space="preserve">Side Paneling  </t>
    </r>
    <r>
      <rPr>
        <sz val="12"/>
        <color theme="1"/>
        <rFont val="Times New Roman"/>
        <family val="1"/>
      </rPr>
      <t xml:space="preserve">                                                                                                                                     14mm thick Indoor WPC louvers providing &amp; Fixing full height said 12mm SHERA Board panneling till slab with wooden framing in line and level including fling joints and joint calls and neccesary hardware</t>
    </r>
  </si>
  <si>
    <r>
      <rPr>
        <b/>
        <u/>
        <sz val="12"/>
        <rFont val="Times New Roman"/>
        <family val="1"/>
      </rPr>
      <t>Fully Automatic Control Panel for Oxygen </t>
    </r>
    <r>
      <rPr>
        <b/>
        <sz val="12"/>
        <rFont val="Times New Roman"/>
        <family val="1"/>
      </rPr>
      <t xml:space="preserve"> </t>
    </r>
    <r>
      <rPr>
        <b/>
        <u/>
        <sz val="12"/>
        <rFont val="Times New Roman"/>
        <family val="1"/>
      </rPr>
      <t xml:space="preserve">System:
</t>
    </r>
    <r>
      <rPr>
        <sz val="12"/>
        <rFont val="Times New Roman"/>
        <family val="1"/>
      </rPr>
      <t>Supply, installation and commissioning of Fully Automatic control panel for unintrupted Oxygen supply</t>
    </r>
  </si>
  <si>
    <r>
      <rPr>
        <b/>
        <u/>
        <sz val="12"/>
        <rFont val="Times New Roman"/>
        <family val="1"/>
      </rPr>
      <t xml:space="preserve">Trigas Emergency Manifold:
</t>
    </r>
    <r>
      <rPr>
        <sz val="12"/>
        <rFont val="Times New Roman"/>
        <family val="1"/>
      </rPr>
      <t xml:space="preserve">SITC of </t>
    </r>
    <r>
      <rPr>
        <b/>
        <sz val="12"/>
        <rFont val="Times New Roman"/>
        <family val="1"/>
      </rPr>
      <t xml:space="preserve">Emergency Trigas Manifold maximum for 1+1 </t>
    </r>
    <r>
      <rPr>
        <sz val="12"/>
        <rFont val="Times New Roman"/>
        <family val="1"/>
      </rPr>
      <t>D-type Gas Cylinders complete with separate NRVs, tail pipes and brass fittings for each cylinders.</t>
    </r>
  </si>
  <si>
    <r>
      <rPr>
        <b/>
        <u/>
        <sz val="12"/>
        <rFont val="Times New Roman"/>
        <family val="1"/>
      </rPr>
      <t>Fully Automatic Control Panel for Trigas </t>
    </r>
    <r>
      <rPr>
        <b/>
        <sz val="12"/>
        <rFont val="Times New Roman"/>
        <family val="1"/>
      </rPr>
      <t xml:space="preserve"> </t>
    </r>
    <r>
      <rPr>
        <b/>
        <u/>
        <sz val="12"/>
        <rFont val="Times New Roman"/>
        <family val="1"/>
      </rPr>
      <t xml:space="preserve">System:
</t>
    </r>
    <r>
      <rPr>
        <sz val="12"/>
        <rFont val="Times New Roman"/>
        <family val="1"/>
      </rPr>
      <t>Supply, installation and commissioning of Fully Automatic control panel for unintrupted Nirous Oxide supply.</t>
    </r>
  </si>
  <si>
    <r>
      <rPr>
        <b/>
        <u/>
        <sz val="12"/>
        <rFont val="Times New Roman"/>
        <family val="1"/>
      </rPr>
      <t>Fully Automatic Control Panel for CO2 </t>
    </r>
    <r>
      <rPr>
        <b/>
        <sz val="12"/>
        <rFont val="Times New Roman"/>
        <family val="1"/>
      </rPr>
      <t xml:space="preserve"> </t>
    </r>
    <r>
      <rPr>
        <b/>
        <u/>
        <sz val="12"/>
        <rFont val="Times New Roman"/>
        <family val="1"/>
      </rPr>
      <t xml:space="preserve">System:
</t>
    </r>
    <r>
      <rPr>
        <sz val="12"/>
        <rFont val="Times New Roman"/>
        <family val="1"/>
      </rPr>
      <t>Supply, installation and commissioning of Fully Automatic control panel for unintrupted Nirous Oxide supply.</t>
    </r>
  </si>
  <si>
    <r>
      <rPr>
        <b/>
        <u/>
        <sz val="12"/>
        <rFont val="Times New Roman"/>
        <family val="1"/>
      </rPr>
      <t xml:space="preserve">CO2 Manifold
</t>
    </r>
    <r>
      <rPr>
        <sz val="12"/>
        <rFont val="Times New Roman"/>
        <family val="1"/>
      </rPr>
      <t xml:space="preserve">SITC of </t>
    </r>
    <r>
      <rPr>
        <b/>
        <sz val="12"/>
        <rFont val="Times New Roman"/>
        <family val="1"/>
      </rPr>
      <t xml:space="preserve">EmergencyCO2 Manifold maximum for 2 </t>
    </r>
    <r>
      <rPr>
        <sz val="12"/>
        <rFont val="Times New Roman"/>
        <family val="1"/>
      </rPr>
      <t>D-type Gas Cylinders complete with separate NRVs, Copper tail pipes and brass fittings for each cylinders with double stage double gauge high pressure regulator</t>
    </r>
  </si>
  <si>
    <r>
      <rPr>
        <sz val="12"/>
        <rFont val="Times New Roman"/>
        <family val="1"/>
      </rPr>
      <t xml:space="preserve">SITC of </t>
    </r>
    <r>
      <rPr>
        <b/>
        <sz val="12"/>
        <rFont val="Times New Roman"/>
        <family val="1"/>
      </rPr>
      <t xml:space="preserve">Medical Air-4 Outlet </t>
    </r>
    <r>
      <rPr>
        <sz val="12"/>
        <rFont val="Times New Roman"/>
        <family val="1"/>
      </rPr>
      <t>with matching probe as per HTM-2022/02-01 of UK/ NFPA 99C of USA as per enclosed technical Specification.</t>
    </r>
  </si>
  <si>
    <r>
      <rPr>
        <sz val="12"/>
        <rFont val="Times New Roman"/>
        <family val="1"/>
      </rPr>
      <t xml:space="preserve">12 mm Valve for 12 mm OD Pipe
</t>
    </r>
    <r>
      <rPr>
        <b/>
        <sz val="12"/>
        <rFont val="Times New Roman"/>
        <family val="1"/>
      </rPr>
      <t>Note: New item added</t>
    </r>
  </si>
  <si>
    <t>Supply and application of one coat water based cement primer of interior grade I for internal walls including cost and conveyance of all materials to site, sales and other taxes, incidental, operational and all labour charges etc., and complete for finished item of work in 5th floor. at Gandhi Hospital</t>
  </si>
  <si>
    <t>S.No</t>
  </si>
  <si>
    <t>Door Closer for ABS doors</t>
  </si>
  <si>
    <t>MS Grills for windows</t>
  </si>
  <si>
    <t>Door Closer</t>
  </si>
  <si>
    <t>h'</t>
  </si>
  <si>
    <t>OT Table</t>
  </si>
  <si>
    <t>Civil Supplementary Works</t>
  </si>
  <si>
    <t>Plumbing Supplemental Works</t>
  </si>
  <si>
    <t>ELV Works</t>
  </si>
  <si>
    <t>Fire Fighting Works</t>
  </si>
  <si>
    <t>Air Conditioning Works</t>
  </si>
  <si>
    <t>Electrical Supplemental Works</t>
  </si>
  <si>
    <t>Fire Fighting Supplimental Works</t>
  </si>
  <si>
    <t>MGPS WORKs</t>
  </si>
  <si>
    <t>MGPS Supplemental Works</t>
  </si>
  <si>
    <t>Bed side stand P/C</t>
  </si>
  <si>
    <t>Bed side stand SS</t>
  </si>
  <si>
    <t>Corporate Deluxe locker</t>
  </si>
  <si>
    <t>PART-A</t>
  </si>
  <si>
    <t>PART-B</t>
  </si>
  <si>
    <t>Equipment Supplemental Works</t>
  </si>
  <si>
    <t>TOTAL (PART-A)</t>
  </si>
  <si>
    <t>TOTAL (PART-B)</t>
  </si>
  <si>
    <t>GRAND TOTAL</t>
  </si>
  <si>
    <t>TOTAL EXCESS</t>
  </si>
  <si>
    <t>E</t>
  </si>
  <si>
    <t>C</t>
  </si>
  <si>
    <t>P</t>
  </si>
  <si>
    <t>ELV</t>
  </si>
  <si>
    <t>FF</t>
  </si>
  <si>
    <t>AC</t>
  </si>
  <si>
    <t>G</t>
  </si>
  <si>
    <t>ES</t>
  </si>
  <si>
    <t>CS</t>
  </si>
  <si>
    <t>PS</t>
  </si>
  <si>
    <t>FFS</t>
  </si>
  <si>
    <t>ACS</t>
  </si>
  <si>
    <t>GS</t>
  </si>
  <si>
    <t>sanctioned amount</t>
  </si>
  <si>
    <t>workdone amount</t>
  </si>
  <si>
    <t>excess</t>
  </si>
  <si>
    <t>less</t>
  </si>
  <si>
    <t>EQP</t>
  </si>
  <si>
    <t>EQPS</t>
  </si>
  <si>
    <t>Supply and fixing of 12 Way SPN DB Horizontal with IP 43 Protection as per IS:13032 Makes: Legrand and Fixing of 1 No., of 63A FP MCB as incorner and 8 Nos 6-32 A 10KA SP MCBs Makes: Legrand-DX3 as outgoings including internal connections and labour charges for FLUSH Mounting etc., complete. (For UPS DBs)</t>
  </si>
  <si>
    <t>As Per WorkDone Estimate</t>
  </si>
  <si>
    <t xml:space="preserve"> </t>
  </si>
  <si>
    <t>Additonal 2Year warranty 10%</t>
  </si>
  <si>
    <t>Contractor Profit 14</t>
  </si>
  <si>
    <t>Description</t>
  </si>
  <si>
    <t>As per Agreement</t>
  </si>
  <si>
    <t>As per workdone</t>
  </si>
  <si>
    <t>Excess</t>
  </si>
  <si>
    <t>Less</t>
  </si>
  <si>
    <t>Remarks</t>
  </si>
  <si>
    <t>Civil Works</t>
  </si>
  <si>
    <t>Plumbing works</t>
  </si>
  <si>
    <t>Electrical works</t>
  </si>
  <si>
    <t>ELV works</t>
  </si>
  <si>
    <t>Fire Fighting works</t>
  </si>
  <si>
    <t>Air Conditioning works</t>
  </si>
  <si>
    <t>MGPS works</t>
  </si>
  <si>
    <t>Equipment supplimental</t>
  </si>
  <si>
    <t>Civil supplimental works</t>
  </si>
  <si>
    <t>Plumbing supplimental works</t>
  </si>
  <si>
    <t>Electrical supplimental works</t>
  </si>
  <si>
    <t>Fire Fighting supplimental works</t>
  </si>
  <si>
    <t>Air Conditioning supplimental works</t>
  </si>
  <si>
    <t>MGPS supplimental works</t>
  </si>
  <si>
    <t>COMPARITIVE STATEMENT FOR GENERAL ABSTRACT</t>
  </si>
  <si>
    <t>Name of the work: Design, fabrication, establishing &amp; commissioning of In-Vitro Fertility Centers (IVFCs) along with allied services on Turnkey basis at Gandhi Hospital, Secunderabad, MGM Hospital, Warangal &amp; MGMH Petlaburj, Hyd.</t>
  </si>
  <si>
    <t>Labour Cess @ 1% on Basic Price of Revised Estimate</t>
  </si>
  <si>
    <t>NAC @ 0.1% on Basic Price of Revised estimate</t>
  </si>
  <si>
    <t>Provision towards Seniorage Charges on Civil Component</t>
  </si>
  <si>
    <t>Provision towards DMF Charges 30% on Seniorage Charges</t>
  </si>
  <si>
    <t>Provision towards SMFT Charges 2% on seniorage Charges</t>
  </si>
  <si>
    <t>Provision towards Haritha Nidhi</t>
  </si>
  <si>
    <t>Sub total of S.No 14 to 18</t>
  </si>
  <si>
    <t>Provision towards GST 18% on Seniorage Charges</t>
  </si>
  <si>
    <t>Provision towards Engineering Supervision Charges @  4% on RE Value</t>
  </si>
  <si>
    <t>Provision towards Unforseen items and rounding off (LS)</t>
  </si>
  <si>
    <r>
      <t xml:space="preserve">Sub Total (Agreement </t>
    </r>
    <r>
      <rPr>
        <b/>
        <sz val="11"/>
        <color rgb="FF000000"/>
        <rFont val="Arial"/>
        <family val="2"/>
      </rPr>
      <t>Part-A</t>
    </r>
    <r>
      <rPr>
        <sz val="11"/>
        <color rgb="FF000000"/>
        <rFont val="Arial"/>
        <family val="2"/>
      </rPr>
      <t>)</t>
    </r>
  </si>
  <si>
    <r>
      <t xml:space="preserve">Sub Total (Supplimental </t>
    </r>
    <r>
      <rPr>
        <b/>
        <sz val="11"/>
        <color rgb="FF000000"/>
        <rFont val="Arial"/>
        <family val="2"/>
      </rPr>
      <t>Part-B</t>
    </r>
    <r>
      <rPr>
        <sz val="11"/>
        <color rgb="FF000000"/>
        <rFont val="Arial"/>
        <family val="2"/>
      </rPr>
      <t>)</t>
    </r>
  </si>
  <si>
    <t>Total (Part-A+Part-B)</t>
  </si>
  <si>
    <t>Item S.No</t>
  </si>
  <si>
    <t>Item Code</t>
  </si>
  <si>
    <t>Item Name</t>
  </si>
  <si>
    <t>Co-efficients</t>
  </si>
  <si>
    <t>Rates</t>
  </si>
  <si>
    <t>Amount</t>
  </si>
  <si>
    <t>Total Amount</t>
  </si>
  <si>
    <t>Sand (QTY)</t>
  </si>
  <si>
    <t>Metal (QTY)</t>
  </si>
  <si>
    <t>Brick (QTY)</t>
  </si>
  <si>
    <t>Sand</t>
  </si>
  <si>
    <t>Metal</t>
  </si>
  <si>
    <t>Bricks</t>
  </si>
  <si>
    <t>Sand Rate</t>
  </si>
  <si>
    <t>Metal Rate</t>
  </si>
  <si>
    <t>Brick Rate</t>
  </si>
  <si>
    <t>Sand Amount</t>
  </si>
  <si>
    <t>Metal Amount</t>
  </si>
  <si>
    <t>Brick Amount</t>
  </si>
  <si>
    <t>IVF049</t>
  </si>
  <si>
    <t>IVF050</t>
  </si>
  <si>
    <t>IVF051</t>
  </si>
  <si>
    <t>IVF052</t>
  </si>
  <si>
    <t>IVF053</t>
  </si>
  <si>
    <t>IVF054</t>
  </si>
  <si>
    <t>IVF055</t>
  </si>
  <si>
    <t>IVF056</t>
  </si>
  <si>
    <t>IVF057</t>
  </si>
  <si>
    <t>IVF059</t>
  </si>
  <si>
    <t>IVF015</t>
  </si>
  <si>
    <t>IVF016</t>
  </si>
  <si>
    <t>IVF017</t>
  </si>
  <si>
    <t>IVF018</t>
  </si>
  <si>
    <t>Cement</t>
  </si>
  <si>
    <t xml:space="preserve">Sand </t>
  </si>
  <si>
    <t>Proportion</t>
  </si>
  <si>
    <t>V of 1 brick</t>
  </si>
  <si>
    <t>no of bricks</t>
  </si>
  <si>
    <t>v of 1 brick</t>
  </si>
  <si>
    <t>qty</t>
  </si>
  <si>
    <t>mortor qty</t>
  </si>
  <si>
    <t>dry v</t>
  </si>
  <si>
    <t>Brick Masonary</t>
  </si>
  <si>
    <t>Due to Change in size</t>
  </si>
  <si>
    <t>Plumbing Line charges to be added</t>
  </si>
  <si>
    <t>BOQ Rate item no 128</t>
  </si>
  <si>
    <t>IVF - Gandhi Supplementry Items</t>
  </si>
  <si>
    <t>Quatity to be verified</t>
  </si>
  <si>
    <r>
      <t>Supply and fixing of ornamental grill made of 25mm x 5mm MS flats</t>
    </r>
    <r>
      <rPr>
        <sz val="10"/>
        <color theme="1"/>
        <rFont val="Times New Roman"/>
        <family val="1"/>
      </rPr>
      <t xml:space="preserve"> for fixing in fan light portion and side fixed panels for door cum window as per the approved drawing including cutting the flat to required length, welding,  including cost and conveyance of all materials, labour charges etc., complete for finished item of work.</t>
    </r>
  </si>
  <si>
    <r>
      <rPr>
        <b/>
        <sz val="10"/>
        <color theme="1"/>
        <rFont val="Times New Roman"/>
        <family val="1"/>
      </rPr>
      <t xml:space="preserve">Side Paneling  </t>
    </r>
    <r>
      <rPr>
        <sz val="10"/>
        <color theme="1"/>
        <rFont val="Times New Roman"/>
        <family val="1"/>
      </rPr>
      <t xml:space="preserve">                                                                                                              14mm thick Indoor WPC louvers providing &amp; Fixing full height said 12mm SHERA Board panneling till slab with wooden framing in line and level including fling joints and joint calls and neccesary hardware</t>
    </r>
  </si>
  <si>
    <r>
      <rPr>
        <b/>
        <sz val="10"/>
        <color theme="1"/>
        <rFont val="Times New Roman"/>
        <family val="1"/>
      </rPr>
      <t xml:space="preserve">2 WPC LOUVers Ceiling    </t>
    </r>
    <r>
      <rPr>
        <sz val="10"/>
        <color theme="1"/>
        <rFont val="Times New Roman"/>
        <family val="1"/>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</si>
  <si>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0"/>
        <color theme="1"/>
        <rFont val="Times New Roman"/>
        <family val="1"/>
      </rPr>
      <t>Providing and fixing of wooden box celling</t>
    </r>
    <r>
      <rPr>
        <sz val="10"/>
        <color theme="1"/>
        <rFont val="Times New Roman"/>
        <family val="1"/>
      </rPr>
      <t xml:space="preserve"> at the top of Reception table with Imm thick laminate with wooden framing of BWP 710 Gurjan Ply support from the top slab end to end with neccesary cutouts for lighting and hardware</t>
    </r>
  </si>
  <si>
    <r>
      <rPr>
        <b/>
        <sz val="10"/>
        <color theme="1"/>
        <rFont val="Times New Roman"/>
        <family val="1"/>
      </rPr>
      <t>Back Pannelling with laminate Finish of 1 mm thick</t>
    </r>
    <r>
      <rPr>
        <sz val="10"/>
        <color theme="1"/>
        <rFont val="Times New Roman"/>
        <family val="1"/>
      </rPr>
      <t xml:space="preserve"> Providing &amp; Fixing full height solid 12mm BWF 710 GURIAN PLY Board panneling till slab with wooden framing in line and level including the neccesary hardware and cutouts</t>
    </r>
  </si>
  <si>
    <r>
      <rPr>
        <b/>
        <sz val="10"/>
        <color theme="1"/>
        <rFont val="Times New Roman"/>
        <family val="1"/>
      </rPr>
      <t>Providing and fixing ISI marked Magnetic 25mm Block Board door shutters</t>
    </r>
    <r>
      <rPr>
        <sz val="10"/>
        <color theme="1"/>
        <rFont val="Times New Roman"/>
        <family val="1"/>
      </rPr>
      <t>, core of block board construction with frame of 1st class hard wood and fixing 1 MM laminate on both faces of shutters, including ISI marked Stainless Steel butt hinges with necessary screws and tower bait complete</t>
    </r>
  </si>
  <si>
    <r>
      <rPr>
        <b/>
        <sz val="10"/>
        <color theme="1"/>
        <rFont val="Times New Roman"/>
        <family val="1"/>
      </rPr>
      <t>Providing and fixing PVC frames</t>
    </r>
    <r>
      <rPr>
        <sz val="10"/>
        <color theme="1"/>
        <rFont val="Times New Roman"/>
        <family val="1"/>
      </rPr>
      <t xml:space="preserve"> on the walls for covering the area over DB Boxes with 12 mm PVC sheets in a box section of 60mm thick including neccesary accessories.</t>
    </r>
  </si>
  <si>
    <r>
      <t xml:space="preserve"> Providing and Fixing of </t>
    </r>
    <r>
      <rPr>
        <b/>
        <sz val="10"/>
        <color theme="1"/>
        <rFont val="Times New Roman"/>
        <family val="1"/>
      </rPr>
      <t>(25X25) mm WPC corner L-Patties</t>
    </r>
    <r>
      <rPr>
        <sz val="10"/>
        <color theme="1"/>
        <rFont val="Times New Roman"/>
        <family val="1"/>
      </rPr>
      <t xml:space="preserve"> at the topper edge of the wall tile cladding</t>
    </r>
  </si>
  <si>
    <r>
      <t xml:space="preserve">Providing and Fixing of </t>
    </r>
    <r>
      <rPr>
        <b/>
        <sz val="10"/>
        <color theme="1"/>
        <rFont val="Times New Roman"/>
        <family val="1"/>
      </rPr>
      <t>SS-ROSE GOLD corner &amp; L-Patties</t>
    </r>
    <r>
      <rPr>
        <sz val="10"/>
        <color theme="1"/>
        <rFont val="Times New Roman"/>
        <family val="1"/>
      </rPr>
      <t xml:space="preserve"> at the SIDE edge of the wall tile cladding</t>
    </r>
  </si>
  <si>
    <r>
      <t xml:space="preserve">Providing and fixing of </t>
    </r>
    <r>
      <rPr>
        <b/>
        <sz val="10"/>
        <color theme="1"/>
        <rFont val="Times New Roman"/>
        <family val="1"/>
      </rPr>
      <t>Door Frame panneling with 18mm BWP 710 Gurjan Ply and 8mm thick beeding half rounded on the both sides</t>
    </r>
    <r>
      <rPr>
        <sz val="10"/>
        <color theme="1"/>
        <rFont val="Times New Roman"/>
        <family val="1"/>
      </rPr>
      <t xml:space="preserve"> with 1mm thick laminate Finish with necessary handware and Polishing.</t>
    </r>
  </si>
  <si>
    <r>
      <t xml:space="preserve">Supplying and fixing of 3" (75mm) Nahany trap with jali - </t>
    </r>
    <r>
      <rPr>
        <sz val="10"/>
        <color theme="1"/>
        <rFont val="Times New Roman"/>
        <family val="1"/>
      </rPr>
      <t xml:space="preserve">UPVC/SWR pipe fittings </t>
    </r>
    <r>
      <rPr>
        <b/>
        <sz val="10"/>
        <color theme="1"/>
        <rFont val="Times New Roman"/>
        <family val="1"/>
      </rPr>
      <t xml:space="preserve"> </t>
    </r>
    <r>
      <rPr>
        <sz val="10"/>
        <color theme="1"/>
        <rFont val="Times New Roman"/>
        <family val="1"/>
      </rPr>
      <t>as per site requirements with standard practice  for all floors including cost and conveyance of all materials to site, labour charges , overheads &amp; contractors profit etc., complete for finished item of work.</t>
    </r>
  </si>
  <si>
    <r>
      <t>Supplying and fixing GI pipe Medium Grade properties &amp; weight</t>
    </r>
    <r>
      <rPr>
        <sz val="10"/>
        <color theme="1"/>
        <rFont val="Times New Roman"/>
        <family val="1"/>
      </rPr>
      <t xml:space="preserve">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
    </r>
    <r>
      <rPr>
        <b/>
        <sz val="10"/>
        <color theme="1"/>
        <rFont val="Times New Roman"/>
        <family val="1"/>
      </rPr>
      <t xml:space="preserve">Tata or Zenith </t>
    </r>
    <r>
      <rPr>
        <sz val="10"/>
        <color theme="1"/>
        <rFont val="Times New Roman"/>
        <family val="1"/>
      </rPr>
      <t xml:space="preserve">make or equivalent. </t>
    </r>
  </si>
  <si>
    <r>
      <t xml:space="preserve">POINT WIRING and LIGHT FIXTURES &amp; FITTINGS                             </t>
    </r>
    <r>
      <rPr>
        <sz val="10"/>
        <color rgb="FF000000"/>
        <rFont val="Times New Roman"/>
        <family val="1"/>
      </rPr>
      <t>Providing Point wiring for Light Concealed Type with 2 x 1.0 Sq.mm. Copper. PVC Insulated wire 1.1 KV grade ISI marked in rigid ISI mark PVC conduit minimum 20mm (1.6 mm thick) dia. with necessary accessories and Pannel and Spot LED lights of Havells/Wipro company.</t>
    </r>
  </si>
  <si>
    <r>
      <rPr>
        <b/>
        <u/>
        <sz val="10"/>
        <rFont val="Times New Roman"/>
        <family val="1"/>
      </rPr>
      <t>Fully Automatic Control Panel for Oxygen </t>
    </r>
    <r>
      <rPr>
        <b/>
        <sz val="10"/>
        <rFont val="Times New Roman"/>
        <family val="1"/>
      </rPr>
      <t xml:space="preserve"> </t>
    </r>
    <r>
      <rPr>
        <b/>
        <u/>
        <sz val="10"/>
        <rFont val="Times New Roman"/>
        <family val="1"/>
      </rPr>
      <t xml:space="preserve">System:
</t>
    </r>
    <r>
      <rPr>
        <sz val="10"/>
        <rFont val="Times New Roman"/>
        <family val="1"/>
      </rPr>
      <t>Supply, installation and commissioning of Fully Automatic control panel for unintrupted Oxygen supply</t>
    </r>
  </si>
  <si>
    <r>
      <rPr>
        <b/>
        <u/>
        <sz val="10"/>
        <rFont val="Times New Roman"/>
        <family val="1"/>
      </rPr>
      <t xml:space="preserve">Trigas Emergency Manifold:
</t>
    </r>
    <r>
      <rPr>
        <sz val="10"/>
        <rFont val="Times New Roman"/>
        <family val="1"/>
      </rPr>
      <t xml:space="preserve">SITC of </t>
    </r>
    <r>
      <rPr>
        <b/>
        <sz val="10"/>
        <rFont val="Times New Roman"/>
        <family val="1"/>
      </rPr>
      <t xml:space="preserve">Emergency Trigas Manifold maximum for 1+1 </t>
    </r>
    <r>
      <rPr>
        <sz val="10"/>
        <rFont val="Times New Roman"/>
        <family val="1"/>
      </rPr>
      <t>D-type Gas Cylinders complete with separate NRVs, tail pipes and brass fittings for each cylinders.</t>
    </r>
  </si>
  <si>
    <r>
      <rPr>
        <b/>
        <u/>
        <sz val="10"/>
        <rFont val="Times New Roman"/>
        <family val="1"/>
      </rPr>
      <t>Fully Automatic Control Panel for Trigas </t>
    </r>
    <r>
      <rPr>
        <b/>
        <sz val="10"/>
        <rFont val="Times New Roman"/>
        <family val="1"/>
      </rPr>
      <t xml:space="preserve"> </t>
    </r>
    <r>
      <rPr>
        <b/>
        <u/>
        <sz val="10"/>
        <rFont val="Times New Roman"/>
        <family val="1"/>
      </rPr>
      <t xml:space="preserve">System:
</t>
    </r>
    <r>
      <rPr>
        <sz val="10"/>
        <rFont val="Times New Roman"/>
        <family val="1"/>
      </rPr>
      <t>Supply, installation and commissioning of Fully Automatic control panel for unintrupted Nirous Oxide supply.</t>
    </r>
  </si>
  <si>
    <r>
      <rPr>
        <b/>
        <u/>
        <sz val="10"/>
        <rFont val="Times New Roman"/>
        <family val="1"/>
      </rPr>
      <t>Fully Automatic Control Panel for CO2 </t>
    </r>
    <r>
      <rPr>
        <b/>
        <sz val="10"/>
        <rFont val="Times New Roman"/>
        <family val="1"/>
      </rPr>
      <t xml:space="preserve"> </t>
    </r>
    <r>
      <rPr>
        <b/>
        <u/>
        <sz val="10"/>
        <rFont val="Times New Roman"/>
        <family val="1"/>
      </rPr>
      <t xml:space="preserve">System:
</t>
    </r>
    <r>
      <rPr>
        <sz val="10"/>
        <rFont val="Times New Roman"/>
        <family val="1"/>
      </rPr>
      <t>Supply, installation and commissioning of Fully Automatic control panel for unintrupted Nirous Oxide supply.</t>
    </r>
  </si>
  <si>
    <r>
      <rPr>
        <b/>
        <u/>
        <sz val="10"/>
        <rFont val="Times New Roman"/>
        <family val="1"/>
      </rPr>
      <t xml:space="preserve">CO2 Manifold
</t>
    </r>
    <r>
      <rPr>
        <sz val="10"/>
        <rFont val="Times New Roman"/>
        <family val="1"/>
      </rPr>
      <t xml:space="preserve">SITC of </t>
    </r>
    <r>
      <rPr>
        <b/>
        <sz val="10"/>
        <rFont val="Times New Roman"/>
        <family val="1"/>
      </rPr>
      <t xml:space="preserve">EmergencyCO2 Manifold maximum for 2 </t>
    </r>
    <r>
      <rPr>
        <sz val="10"/>
        <rFont val="Times New Roman"/>
        <family val="1"/>
      </rPr>
      <t>D-type Gas Cylinders complete with separate NRVs, Copper tail pipes and brass fittings for each cylinders with double stage double gauge high pressure regulator</t>
    </r>
  </si>
  <si>
    <r>
      <rPr>
        <sz val="10"/>
        <rFont val="Times New Roman"/>
        <family val="1"/>
      </rPr>
      <t xml:space="preserve">SITC of </t>
    </r>
    <r>
      <rPr>
        <b/>
        <sz val="10"/>
        <rFont val="Times New Roman"/>
        <family val="1"/>
      </rPr>
      <t xml:space="preserve">Medical Air-4 Outlet </t>
    </r>
    <r>
      <rPr>
        <sz val="10"/>
        <rFont val="Times New Roman"/>
        <family val="1"/>
      </rPr>
      <t>with matching probe as per HTM-2022/02-01 of UK/ NFPA 99C of USA as per enclosed technical Specification.</t>
    </r>
  </si>
  <si>
    <r>
      <rPr>
        <sz val="10"/>
        <rFont val="Times New Roman"/>
        <family val="1"/>
      </rPr>
      <t xml:space="preserve">12 mm Valve for 12 mm OD Pipe
</t>
    </r>
    <r>
      <rPr>
        <b/>
        <sz val="10"/>
        <rFont val="Times New Roman"/>
        <family val="1"/>
      </rPr>
      <t>Note: New item added</t>
    </r>
  </si>
  <si>
    <t>Quatity to be verified - 175 claimed by janardhan</t>
  </si>
  <si>
    <t>Providing and fixing factory made solid Wood Polymer
Composite (WPC) single extruded Door Frame section of
100*65 MM with encapsulation of 6 MM rigid layer on all
external surfaces. The door frame will have a rebate of
32MM/ 37 MM. The two Vertical members are to be
joined together with the horizontal member using 8x75
MM long MS Star full thread screws to be used with
reverse forward speed control hand drilling machine.
The ready/assembled door frame is fixed to wall using Z
Hand fast 300 MM long hold fast.</t>
  </si>
  <si>
    <t>Supplying and fixing of 24/26 mm thick Wood Plastic
Composite (WPC) Door shutter, comprising of 70% virgin
polymer, 15% wood powder (fiber), and the remaining
15% additives, comprising of virgin PVC polymer of K
value 58-60 (Suspension grade), Calcium carbonate and
natural fibers (wood powder) and non toxic additives
(maximum toxicity index of 12 for 100 gms) having
minimum door density of 650 kg/cum, screw withdrawal
strength 1800N (Face) &amp; 900N (Edge), Modulus of
Elasticity 900N/mm2 and resistance to spread of flame
of Class A category with property of being termite/borer
proof, water/moisture proof and fire retardant and fixed
in position with stainless steel butt hinges of required
size with necessary full body threaded star headed
counter sunk SS screws all as per direction of Engineer -
in- Charge</t>
  </si>
  <si>
    <t>Supply and Transportation 56W Clean room Light fixture, 2' x2' (600mm x600mm) LED luminaire CRCA powder coated white after phosphocreatine treatment provided as standard. with high efficiency acrylic wide diffuser, with wide operating voltage range, Power factor &gt; 0.9, Surge protection &gt;2KV, System efficacy of &gt;100 lumens/watt, CCT: 3000K - 6500K as desired by the department, CRI &gt;80, and THD is less than 15% etc., complete. MAKE: Philips</t>
  </si>
  <si>
    <t>Labour charges for fixing of ceiling fan and regulator including transportation and giving connections with twin core wire etc., complete. 
Makes  :  Finolex  /  RR  Kabel  /  Havells  /  Polycab  /  GM  / Million  /  V-Guard  /  Gold  Medal  /  HPL  / RPG.</t>
  </si>
  <si>
    <t>Supply and fixing of Anchor fastner with fan hook / Providing MS Fan hook with
grouting and cement plastering.</t>
  </si>
  <si>
    <t>Supply,Transportation  of 15" (375mm) ISI, 900 RPM Heavy duty exhaust fan with metallic blades   wiremesh with all accessories etc complete   Makes : Crompton  / Almonard / Havells Turbo Force SP.</t>
  </si>
  <si>
    <t xml:space="preserve">Labour charges for fixing the  exhaust fan in wall with necessary connections and masonary work of making hole, finishing etc., complete. </t>
  </si>
  <si>
    <t>Supply and fixing of 12 Way SPN DB Horizontal with IP 43 Protection as per IS:13032 Makes: Legrand and Supply and Fixing of 1 No., of 63A FP MCB as incomer and 8 Nos 6-32 A 10kA SP MCBs Makes: Legrand-DX3 as out goings including internal connections and labour charges for FLUSH Mounting etc., complete. (For UPS DBs)</t>
  </si>
  <si>
    <t>Supply and fixing of cable  adopteres box with cover for DBs including, massanory work etc., complete.,</t>
  </si>
  <si>
    <t>Electrical Datas  2023-24</t>
  </si>
  <si>
    <t>SSR Item No</t>
  </si>
  <si>
    <t>Qty</t>
  </si>
  <si>
    <t>Unit</t>
  </si>
  <si>
    <t xml:space="preserve">a) Labour charges  </t>
  </si>
  <si>
    <t>Skilled Electrician.</t>
  </si>
  <si>
    <t>day</t>
  </si>
  <si>
    <t xml:space="preserve">Helper (Electrical). </t>
  </si>
  <si>
    <t>Labour for 1 No</t>
  </si>
  <si>
    <t>b) Material</t>
  </si>
  <si>
    <t>ELEC-1.5.5</t>
  </si>
  <si>
    <t xml:space="preserve">Supply of 23 / 0060 twin core twisted / flat heavy Copper wire. </t>
  </si>
  <si>
    <t>Mtr</t>
  </si>
  <si>
    <t>Mtrs</t>
  </si>
  <si>
    <t>Alluminium Flat (As per requirement)</t>
  </si>
  <si>
    <t>As per Price list of Philips</t>
  </si>
  <si>
    <t>a</t>
  </si>
  <si>
    <t xml:space="preserve">Supply and Transportation of  56W Clean room fitting,  2' x 2' (600mm x 600mm) slim panel LED luminaire  </t>
  </si>
  <si>
    <t>Cost of Material</t>
  </si>
  <si>
    <t>Total Cost of Material + Labour Charges</t>
  </si>
  <si>
    <t>Add Contractors Profit</t>
  </si>
  <si>
    <t>Rate per Each</t>
  </si>
  <si>
    <t>As per price list</t>
  </si>
  <si>
    <t>Each</t>
  </si>
  <si>
    <t xml:space="preserve">b) Material </t>
  </si>
  <si>
    <t>1.5.5</t>
  </si>
  <si>
    <t>Cost of Material for fixing fan</t>
  </si>
  <si>
    <t>ELEC-9.1.23</t>
  </si>
  <si>
    <t>Supply and fixing of Anchor fastner with
fan hook / Providing MS Fan hook with
grouting and cement plastering.</t>
  </si>
  <si>
    <t>Supply and fixing of  6 / 10A 1 Way 1 Module Modular Switches - 2 Nos  and 10A 3/2 Pin 2 Module Modular Socket with shutter - 2 Nos Modular type with cover plate  and GI switch box fixing on separate board including all labour charges etc., complete. 
Makes of switches :  Honeywell Blenge Plus</t>
  </si>
  <si>
    <t>a) Labour charges :</t>
  </si>
  <si>
    <t>1.3.1</t>
  </si>
  <si>
    <t>d</t>
  </si>
  <si>
    <t xml:space="preserve">Supply of 6 Module box </t>
  </si>
  <si>
    <t>1.3.2</t>
  </si>
  <si>
    <t>Supply of 6 Modular Cover Frame.</t>
  </si>
  <si>
    <t>1.9.1</t>
  </si>
  <si>
    <t>6 / 10A 1 Way 1 Module Modular Switch</t>
  </si>
  <si>
    <t>10A 3/2 Pin 2 Module Modular Socket with shutter</t>
  </si>
  <si>
    <t>Cost of Material for 1 No</t>
  </si>
  <si>
    <t>5.1.11</t>
  </si>
  <si>
    <t>b</t>
  </si>
  <si>
    <t>Supply of 15" (375mm) ISI, 900 RPM Heavy duty exhaust fan</t>
  </si>
  <si>
    <t>Transportation</t>
  </si>
  <si>
    <t>Labour charges for fixing the  exhaust fan in wall with necessary connections and masonary work of making hole, finishing etc., complete. 
Makes  : Finolex / RR Kabel / Havells / Polycab / GM / Million / V-Guard / Gold Medal / Kundancab / HPL / RPG / Nakoda / Payal / Finecab</t>
  </si>
  <si>
    <t xml:space="preserve">Lineman Electric / Telephone </t>
  </si>
  <si>
    <t xml:space="preserve">Mason Cl- I / Brick layer Cl- I </t>
  </si>
  <si>
    <t xml:space="preserve">Supply of 23 / 0060 twin core twisted / flat heavy Copper wire.  </t>
  </si>
  <si>
    <t>9.4.11</t>
  </si>
  <si>
    <t>Cement.</t>
  </si>
  <si>
    <t>Sundries such as Sand, Bolt, Nuts etc.</t>
  </si>
  <si>
    <t>Supply and fixing of 12 Way SPN DB with IP 43 Protection as per IS:13032   with 1 No 63A FP MCB as Incommer, and 8 Nos of 6-32A SP MCB 10KA, C/D Curve ISI Mark  as out goings, concealing in wall  etc complete.  
DB Makes :Legrand
MCB Makes : Legrand-DX3</t>
  </si>
  <si>
    <t>LABOUR</t>
  </si>
  <si>
    <t>MATERIAL</t>
  </si>
  <si>
    <t>2.16.1</t>
  </si>
  <si>
    <t>f</t>
  </si>
  <si>
    <t>Supply of 12 Way SPN DB</t>
  </si>
  <si>
    <t>ELEC-2.14.1</t>
  </si>
  <si>
    <t>h</t>
  </si>
  <si>
    <t>Supply of 40-63A FP MCB</t>
  </si>
  <si>
    <t xml:space="preserve">Supply of 20A 10KA SP MCB, C/D Curve ISI Mark. </t>
  </si>
  <si>
    <t>ELEC-9.4.11</t>
  </si>
  <si>
    <t xml:space="preserve">Cement. </t>
  </si>
  <si>
    <t>TOTAL COST OF MATERIAL + LABOUR FOR FLUSH MOUNTING</t>
  </si>
  <si>
    <t>FLUSH</t>
  </si>
  <si>
    <t>9.1.21</t>
  </si>
  <si>
    <t>19/20mm steel tube down rod with bolts &amp; nuts for  fan with maching colour.</t>
  </si>
  <si>
    <t>Less cost of fan down rod supplied with new fan of about 9" in length equal to  0.23 Metre at above rate</t>
  </si>
  <si>
    <t>Approved rate in SOTC Gandhi Hospital</t>
  </si>
  <si>
    <t xml:space="preserve">Supply, Transportation and Run of 4core of  2.5 Sqmm copper cable in the existing cable tray/ conduit pipe and labour charges etc., complete. Makes :Polycab  </t>
  </si>
  <si>
    <t xml:space="preserve">b) Labour charges </t>
  </si>
  <si>
    <t>Labour for 100 Mtrs</t>
  </si>
  <si>
    <t>Labour for 1 Mtr</t>
  </si>
  <si>
    <t>a) Material</t>
  </si>
  <si>
    <t>ELEC-1.5.6</t>
  </si>
  <si>
    <t>t</t>
  </si>
  <si>
    <t xml:space="preserve">Supply of 2.5 Sqmm 4 Core PVC / XLPE
Insulated Sheathed Multi Core Bright Annealed Bare Copper Conductor Heavy
Duty Industrial Cables for Voltage Grade upto 1100 Volts as per IS: 694:1990
including all transportation charges etc complete.
Makes :Polycab </t>
  </si>
  <si>
    <t>Cost of Material for 1 Mtrs</t>
  </si>
  <si>
    <t>Rate per Meter</t>
  </si>
  <si>
    <t xml:space="preserve">Supply, Transportation and Run of 2 core of  1.5 Sqmm copper cable in the existing cable tray/ conduit pipe and labour charges etc., complete. 
Makes : Polycab </t>
  </si>
  <si>
    <t>g</t>
  </si>
  <si>
    <t xml:space="preserve">Supply of 1.5 Sqmm 2 Core PVC / XLPE
Insulated Sheathed Multi Core Bright Annealed Bare Copper Conductor Heavy
Duty Industrial Cables for Voltage Grade upto 1100 Volts as per IS: 694:1990
including all transportation charges etc complete.
Makes :Polycab </t>
  </si>
  <si>
    <t>Supply and Fixing of ISI 25mm  outer dia medium grade, with IS:9537 part 3 rigid PVC with all accessories fixing on chromium plated metallic base saddles including all labour charges etc., complete for run of mains.
Makes:-   Sudhakar / Finolex / Modi / VIP / Precision / Universal / Million Plast / Gold /  Polycab / DEC.</t>
  </si>
  <si>
    <t>Labour Rate Per 100 Rm</t>
  </si>
  <si>
    <t>Labour Rate for  1 Mtr</t>
  </si>
  <si>
    <t>kg</t>
  </si>
  <si>
    <t>9.1.2</t>
  </si>
  <si>
    <t>Rawl Plugs</t>
  </si>
  <si>
    <t>1.4.4</t>
  </si>
  <si>
    <t>35mm Screws</t>
  </si>
  <si>
    <t>1.1.11</t>
  </si>
  <si>
    <t>Chromium Plated saddles with base</t>
  </si>
  <si>
    <t>1.2.6</t>
  </si>
  <si>
    <t>Supply of 25mm PVC Junction Boxes Normal.</t>
  </si>
  <si>
    <t>1.2.8</t>
  </si>
  <si>
    <t xml:space="preserve">Supply of 25mm dia 1.5mm thick PVC Bends. </t>
  </si>
  <si>
    <t>1.2.2</t>
  </si>
  <si>
    <t xml:space="preserve">Supply of ISI 25mm outer dia medium grade FRLS with IS:9537 part 3 regid PVC pipe. </t>
  </si>
  <si>
    <t>Material Rate for 100 Mtrs</t>
  </si>
  <si>
    <t>Material Rate for  1 Mtr</t>
  </si>
  <si>
    <t>Supply and laying of ISI 25mm outer dia medium grade with IS:9537-part 3 rigid PVC pipe concealed in wall with all required PVC / Metallic Junction Boxes including masonry work and labour charges etc.,      Makes: Sudhakar
/ Precision /Universal/ Modi / Million Plast. at Gandhi Hospital</t>
  </si>
  <si>
    <t>Supply and fixing of Anchor fastner with fan hook / Providing MS Fan hook with grouting and cement plastering.</t>
  </si>
  <si>
    <t xml:space="preserve">Supply, Transportation and Run of 4 core of  1.5 Sqmm copper cable in the existing cable tray/ conduit pipe and labour charges etc., complete. 
Makes : Polycab </t>
  </si>
  <si>
    <t>c</t>
  </si>
  <si>
    <t>2.0 / 1.8 TR 3 Star capable of delivering 21600 BTU/hr and above with operating
on refrigerant R-32 / R-410
Makes : Daikin / Toshibha / Carrier / Blue
Star / Hitachi or equivalent</t>
  </si>
  <si>
    <t>Supply and installation of 2.2 TR 3 Star capable of delivering 21600 BTU/hr and above with operating on refrigerant R-32 / R-410 with condeser stand, layoing copper pipe of 15mm size of length 15 mt including Nitrile rubber insulation connected with 2.5 sqm x 4 core cable for power supply and equipped with drain pump.
Makes : Daikin / Toshibha / Carrier / BlueStar / Hitachi or equivalent</t>
  </si>
  <si>
    <t>Providing and fixing factory made solid Wood Polymer
Composite (WPC) single extruded Door Frame section of
100*65 MM with encapsulation of 6 MM rigid layer on all external surfaces. The door frame will have a rebate of
32MM/ 37 MM. The two Vertical members are to be
joined together with the horizontal member using 8x75
MM long MS Star full thread screws to be used with
reverse forward speed control hand drilling machine.
The ready/assembled door frame is fixed to wall using Z
Hand fast 300 MM long hold fast.</t>
  </si>
  <si>
    <t>Supplying and fixing of 24/26 mm thick Wood Plastic
Composite (WPC) Door shutter, comprising of 70% virgin polymer, 15% wood powder (fiber), and the remaining 15% additives, comprising of virgin PVC polymer of K value 58-60 (Suspension grade), Calcium carbonate and natural fibers (wood powder) and non toxic additives (maximum toxicity index of 12 for 100 gms) having minimum door density of 650 kg/cum, screw withdrawal
strength 1800N (Face) &amp; 900N (Edge), Modulus of
Elasticity 900N/mm2 and resistance to spread of flame
of Class A category with property of being termite/borer
proof, water/moisture proof and fire retardant and fixed
in position with stainless steel butt hinges of required
size with necessary full body threaded star headed
counter sunk SS screws all as per direction of Engineer -
in- Charge</t>
  </si>
  <si>
    <r>
      <t xml:space="preserve">Supply and fixing of doors </t>
    </r>
    <r>
      <rPr>
        <sz val="10"/>
        <color rgb="FF000000"/>
        <rFont val="Times New Roman"/>
        <family val="1"/>
      </rPr>
      <t>as per approved drawings with</t>
    </r>
    <r>
      <rPr>
        <b/>
        <sz val="10"/>
        <rFont val="Arial"/>
        <family val="2"/>
      </rPr>
      <t xml:space="preserve"> (WPC) single extruded Door Frame section of 100*65 MM</t>
    </r>
    <r>
      <rPr>
        <sz val="10"/>
        <color rgb="FF000000"/>
        <rFont val="Times New Roman"/>
        <family val="1"/>
      </rPr>
      <t xml:space="preserve">  and30mm thick Wood Plastic Composite (WPC) Door shutter, comprising of 70% virgin polymer, 15% wood powder (fiber), and the remaining 15% additives, the door shutter shall be water resistant, fire resistant and termite resistant,with Tensile Strength not less than 170Kgf/cm2 and the door shutters surface finished deco paint including cost and conveyance to site of teak  wood frame,  WPC shutter including  supply and </t>
    </r>
  </si>
  <si>
    <r>
      <t>fixing 6 nos MS Z  hold fasts of size 300 mm x 40 mm x 5mm including cost of ISI marked  brass fixtures of 6 Nos butt hinges (IS:205) 150mm long , 1 No. aldrop (IS:2681) 300mm long, 2 Nos tower bolts- 10mm (IS:204) of 200 mm long at top, 1 No. tower bolt- 10mm bolt (IS:204) 150mm long at bottom, 2 Nos. 150mm long fancy handles (IS:208), 2 Nos door stopper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(8</t>
    </r>
    <r>
      <rPr>
        <b/>
        <sz val="10"/>
        <rFont val="Arial"/>
        <family val="2"/>
      </rPr>
      <t xml:space="preserve">00mm x 2100mm). </t>
    </r>
  </si>
  <si>
    <t>(BLD-CSTN-13-16)</t>
  </si>
  <si>
    <t>Quantity analysis</t>
  </si>
  <si>
    <t>Size :</t>
  </si>
  <si>
    <t>0.80m x 2.10 m</t>
  </si>
  <si>
    <t>Outer frame  -  Vertical</t>
  </si>
  <si>
    <t xml:space="preserve">2 x 2.1 </t>
  </si>
  <si>
    <t>= 4.2 x 0.10 x 0.065  =</t>
  </si>
  <si>
    <t>cum</t>
  </si>
  <si>
    <t>Outer frame  -  Horizontal</t>
  </si>
  <si>
    <t xml:space="preserve"> 1x0.80</t>
  </si>
  <si>
    <t>= 0.80x 0.10 x 0.065   =</t>
  </si>
  <si>
    <t>30 mm thick WPC shutter</t>
  </si>
  <si>
    <t>0.8x 2.10   =</t>
  </si>
  <si>
    <t>Cost analysis</t>
  </si>
  <si>
    <t>Cost of best WPC frame  Vertical As per SSR2023-24 -TBSC-L.I-17</t>
  </si>
  <si>
    <t>Rm</t>
  </si>
  <si>
    <t>Cost of best WPC frame  Horizontal As per SSR2023-24 TBSC-L.I-17</t>
  </si>
  <si>
    <t>Cost of 30 mm thick WPC shutter TBSC-L.I-18</t>
  </si>
  <si>
    <t>Cost of MS powder coated  tower bolt 150mm long  TBSC-P.I-15</t>
  </si>
  <si>
    <t>No.</t>
  </si>
  <si>
    <t>Cost of MS powder coated Butt hinges 150mm long TBSC-P.II-12</t>
  </si>
  <si>
    <t>Cost of MS powder coated aldrop 250mm long         TBSC-P.IV-08</t>
  </si>
  <si>
    <t>Cost of MS powder coated  fancy handle 150mm long TBSC-P.III-07</t>
  </si>
  <si>
    <t>Labour charges for frame work</t>
  </si>
  <si>
    <t>Labour charges for fixing flush door shutter to the frame, fixing the fixtures to the shutter   TBSC-T.I-25</t>
  </si>
  <si>
    <t xml:space="preserve">Add for nails &amp; screws etc. </t>
  </si>
  <si>
    <t>Rate for 4.80 sqm</t>
  </si>
  <si>
    <t>Rate for 1 sqm</t>
  </si>
  <si>
    <t xml:space="preserve"> Or Say</t>
  </si>
  <si>
    <t>Overheads &amp; Contractors Profit @ 13.615%</t>
  </si>
  <si>
    <t>D A T A (SoR 2022-23)</t>
  </si>
  <si>
    <t>CEMENT MORTAR PER CUM</t>
  </si>
  <si>
    <t>720 Kg</t>
  </si>
  <si>
    <t>480 Kg</t>
  </si>
  <si>
    <t>360 Kg</t>
  </si>
  <si>
    <t>288 Kg</t>
  </si>
  <si>
    <t>240 Kg</t>
  </si>
  <si>
    <t>180 Kg</t>
  </si>
  <si>
    <t>CM (1:2)</t>
  </si>
  <si>
    <t>CM (1:3)</t>
  </si>
  <si>
    <t>CM (1:4)</t>
  </si>
  <si>
    <t>CM (1:5)</t>
  </si>
  <si>
    <t>CM (1:6)</t>
  </si>
  <si>
    <t>CM (1:8)</t>
  </si>
  <si>
    <t>Cost of Sand for mortar &amp; Plastering               (1.05 cum)</t>
  </si>
  <si>
    <t>Cost of cement</t>
  </si>
  <si>
    <t>Mazdoor (Unskilled ) for mixing mortar             ( 0.20 Nos.)</t>
  </si>
  <si>
    <t>Rate per Cum</t>
  </si>
  <si>
    <t>20 mm HBG graded metal</t>
  </si>
  <si>
    <t>Arregates 20mm nominal size</t>
  </si>
  <si>
    <t>Arregates 13.20 / 12.50mm nominal size</t>
  </si>
  <si>
    <t>Arregates 10mm nominal size</t>
  </si>
  <si>
    <t>Arregates 6mm nominal size</t>
  </si>
  <si>
    <t>12 mm HBG graded metal</t>
  </si>
  <si>
    <t>DATA</t>
  </si>
  <si>
    <t>Sl. No.</t>
  </si>
  <si>
    <t>Quantity</t>
  </si>
  <si>
    <t>Rate (Rs.)</t>
  </si>
  <si>
    <t>Per Unit</t>
  </si>
  <si>
    <t>Amount (Rs.)</t>
  </si>
  <si>
    <r>
      <t>Dismantling</t>
    </r>
    <r>
      <rPr>
        <sz val="10"/>
        <rFont val="Arial"/>
        <family val="2"/>
        <charset val="1"/>
      </rPr>
      <t xml:space="preserve">,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t>
    </r>
  </si>
  <si>
    <t>a)</t>
  </si>
  <si>
    <t xml:space="preserve">Brick masonry </t>
  </si>
  <si>
    <t xml:space="preserve">(BLD-CSTN-14-9/299) </t>
  </si>
  <si>
    <t>Mazdoor(unskilled)</t>
  </si>
  <si>
    <t>Rate per 1 cum</t>
  </si>
  <si>
    <t>Total Rs.</t>
  </si>
  <si>
    <t>Or Say</t>
  </si>
  <si>
    <t>b)</t>
  </si>
  <si>
    <t xml:space="preserve">Unreinforced cement concrete up to 15cm thickness </t>
  </si>
  <si>
    <t>(BLD-CSTN-14-8/296)</t>
  </si>
  <si>
    <t>c)</t>
  </si>
  <si>
    <t xml:space="preserve">Unreinforced cement concrete more than 15cm thickness </t>
  </si>
  <si>
    <t>(BLD-CSTN-14-8/297)</t>
  </si>
  <si>
    <t>d)</t>
  </si>
  <si>
    <t xml:space="preserve">Reinforced cement concrete </t>
  </si>
  <si>
    <t>(BLD-CSTN-14-8/298)</t>
  </si>
  <si>
    <r>
      <t xml:space="preserve">for cutting steel bars </t>
    </r>
    <r>
      <rPr>
        <b/>
        <sz val="10"/>
        <rFont val="Arial"/>
        <family val="2"/>
        <charset val="1"/>
      </rPr>
      <t>(BLD-CSTN-14-10/300)</t>
    </r>
  </si>
  <si>
    <t>Blacksmith 2nd class</t>
  </si>
  <si>
    <t>Mazdoor(Male)</t>
  </si>
  <si>
    <t>Kadapa slabs or shahabad stone slabs on sand bed</t>
  </si>
  <si>
    <t>Rate as per SSR      TBSC-U.I-11</t>
  </si>
  <si>
    <t>Rate per 10 sqm</t>
  </si>
  <si>
    <t>Rate per 1 sqm</t>
  </si>
  <si>
    <t>f)</t>
  </si>
  <si>
    <t>Stone masonry in cement mortar</t>
  </si>
  <si>
    <t>Rate as per SSR            TBSC-U.I-01</t>
  </si>
  <si>
    <t>g)</t>
  </si>
  <si>
    <t>Pan tiled or Mangalore tiled roof with out roof timbers :</t>
  </si>
  <si>
    <t>Rate as per                    SSR TBSC-U.I-04</t>
  </si>
  <si>
    <t>h)</t>
  </si>
  <si>
    <t>Flat stone in roof or floors including lifting  :</t>
  </si>
  <si>
    <t>Rate as per SSR                TBSC-U.I-03</t>
  </si>
  <si>
    <t>i)</t>
  </si>
  <si>
    <t>Wrought and framed timber in roofs or floors ;</t>
  </si>
  <si>
    <t>Rate as per SSR      S.No.826(BMT-S.06)</t>
  </si>
  <si>
    <t>j)</t>
  </si>
  <si>
    <t>Old lime mortar plaster</t>
  </si>
  <si>
    <t>Rate as per SSR         TBSC-U.I-07</t>
  </si>
  <si>
    <t>k)</t>
  </si>
  <si>
    <t>Old cement mortar plaster</t>
  </si>
  <si>
    <t>Rate as per                 SSR   TBSC-U.I-08</t>
  </si>
  <si>
    <t>l)</t>
  </si>
  <si>
    <t>Clean removal of lime plaster from walls and raking out joints 20mm deep or from terraced roof and raking out joints 100 mm deep</t>
  </si>
  <si>
    <t>Rate as per                      SSR  TBSC-U.I-14</t>
  </si>
  <si>
    <t>m)</t>
  </si>
  <si>
    <t>Clean removal of cement plaster from walls and raking out joint 20 mm deep</t>
  </si>
  <si>
    <t>Rate as per                     SSR  TBSC-U.I-15</t>
  </si>
  <si>
    <r>
      <t>Dismantling doors, windows and clear storey windows, Ventilators etc.,</t>
    </r>
    <r>
      <rPr>
        <sz val="10"/>
        <rFont val="Arial"/>
        <family val="2"/>
        <charset val="1"/>
      </rPr>
      <t xml:space="preserve"> (wood or steel) shutters including Chowkhats, architraves,hold fasts and other attachments etc., and stacking them within 100m lead including labour charge etc., and overheads &amp; contractors profit complete for finished item of work. </t>
    </r>
  </si>
  <si>
    <t>(BLD-CSTN-14-11)</t>
  </si>
  <si>
    <t>Not exceeding 3 sqm in area :</t>
  </si>
  <si>
    <t xml:space="preserve">Details of cost per each : </t>
  </si>
  <si>
    <t>2nd class mason</t>
  </si>
  <si>
    <t>2nd class Blacksmith</t>
  </si>
  <si>
    <t>Cost per each</t>
  </si>
  <si>
    <t>Say</t>
  </si>
  <si>
    <t>Exceeding 3 sqm in area :</t>
  </si>
  <si>
    <r>
      <t>Earth work excavation for foundations</t>
    </r>
    <r>
      <rPr>
        <sz val="10"/>
        <rFont val="Arial"/>
        <family val="2"/>
        <charset val="1"/>
      </rPr>
      <t xml:space="preserve"> </t>
    </r>
    <r>
      <rPr>
        <b/>
        <sz val="10"/>
        <rFont val="Arial"/>
        <family val="2"/>
        <charset val="1"/>
      </rPr>
      <t xml:space="preserve">(Manual Means) of buildings,  septic tank, sump, compound wall  in ordinary soils </t>
    </r>
    <r>
      <rPr>
        <sz val="10"/>
        <rFont val="Arial"/>
        <family val="2"/>
        <charset val="1"/>
      </rPr>
      <t xml:space="preserve">and depositing on bank </t>
    </r>
    <r>
      <rPr>
        <b/>
        <sz val="10"/>
        <rFont val="Arial"/>
        <family val="2"/>
        <charset val="1"/>
      </rPr>
      <t>with an initial lead of 10m and depth up to 3m</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 </t>
    </r>
  </si>
  <si>
    <t>(BLD-CSTN-2-1)</t>
  </si>
  <si>
    <t>Ordinary Soil - Manual Means up to 3m depth</t>
  </si>
  <si>
    <t>Unit : 1 cum</t>
  </si>
  <si>
    <t>Taking output : 10.00 Cum</t>
  </si>
  <si>
    <t>a) Labour</t>
  </si>
  <si>
    <t>Mazdoor ( Unskilled)</t>
  </si>
  <si>
    <t xml:space="preserve">b&amp;c) </t>
  </si>
  <si>
    <t>Cost for 10 cum ( a+b+c)</t>
  </si>
  <si>
    <r>
      <t>Rate per cum</t>
    </r>
    <r>
      <rPr>
        <sz val="10"/>
        <rFont val="Arial"/>
        <family val="2"/>
        <charset val="1"/>
      </rPr>
      <t xml:space="preserve"> (a+b+c) / 10</t>
    </r>
  </si>
  <si>
    <r>
      <t>Earth work excavation for foundations</t>
    </r>
    <r>
      <rPr>
        <sz val="10"/>
        <rFont val="Arial"/>
        <family val="2"/>
        <charset val="1"/>
      </rPr>
      <t xml:space="preserve"> </t>
    </r>
    <r>
      <rPr>
        <b/>
        <sz val="10"/>
        <rFont val="Arial"/>
        <family val="2"/>
        <charset val="1"/>
      </rPr>
      <t xml:space="preserve">(Manual Means) of buildings,  septic tank, sump, compound wall in ordinary soils </t>
    </r>
    <r>
      <rPr>
        <sz val="10"/>
        <rFont val="Arial"/>
        <family val="2"/>
        <charset val="1"/>
      </rPr>
      <t xml:space="preserve">and depositing on bank </t>
    </r>
    <r>
      <rPr>
        <b/>
        <sz val="10"/>
        <rFont val="Arial"/>
        <family val="2"/>
        <charset val="1"/>
      </rPr>
      <t>with an initial lead of 10m and 1m additional lift charges over the initial depth up to 3m</t>
    </r>
    <r>
      <rPr>
        <sz val="10"/>
        <rFont val="Arial"/>
        <family val="2"/>
        <charset val="1"/>
      </rPr>
      <t xml:space="preserve"> including all operational,incidental, labour charges such as shoring, sheeting, planking, strutting etc., and overheads &amp; contractors profit complete for finished item of work excluding dewatering</t>
    </r>
    <r>
      <rPr>
        <b/>
        <sz val="10"/>
        <rFont val="Arial"/>
        <family val="2"/>
        <charset val="1"/>
      </rPr>
      <t xml:space="preserve"> </t>
    </r>
    <r>
      <rPr>
        <sz val="10"/>
        <rFont val="Arial"/>
        <family val="2"/>
        <charset val="1"/>
      </rPr>
      <t>charges etc., as per SS 20 B(APSS 308)</t>
    </r>
  </si>
  <si>
    <t xml:space="preserve"> (BLD-CSTN-2-1&amp; COM-LDLFT-6-66)</t>
  </si>
  <si>
    <t>Rate with initial lead &amp; lift</t>
  </si>
  <si>
    <t>Mazdoor for extra lift ( 1 No. for 60m)</t>
  </si>
  <si>
    <r>
      <t>Earth work excavation for foundations</t>
    </r>
    <r>
      <rPr>
        <sz val="10"/>
        <rFont val="Arial"/>
        <family val="2"/>
        <charset val="1"/>
      </rPr>
      <t xml:space="preserve"> </t>
    </r>
    <r>
      <rPr>
        <b/>
        <sz val="10"/>
        <rFont val="Arial"/>
        <family val="2"/>
        <charset val="1"/>
      </rPr>
      <t xml:space="preserve">(Mechanical Means) for buildings in ordinary soils </t>
    </r>
    <r>
      <rPr>
        <sz val="10"/>
        <rFont val="Arial"/>
        <family val="2"/>
        <charset val="1"/>
      </rPr>
      <t xml:space="preserve">and depositing on bank for all lifts and with an </t>
    </r>
    <r>
      <rPr>
        <b/>
        <sz val="10"/>
        <rFont val="Arial"/>
        <family val="2"/>
        <charset val="1"/>
      </rPr>
      <t>initial lead of 10m and up to 3m depth</t>
    </r>
    <r>
      <rPr>
        <sz val="10"/>
        <rFont val="Arial"/>
        <family val="2"/>
        <charset val="1"/>
      </rPr>
      <t xml:space="preserve">  including all operational, incidental, labour charges such as shoring, sheeting, planking, strutting etc., and overheads &amp; contractors profit complete for finished item of work excluding dewatering charges etc., as per SS 20 B(APSS 308).</t>
    </r>
  </si>
  <si>
    <t>(BLKD-CSTN-2-2)</t>
  </si>
  <si>
    <t>Ordinary Soil - Mechanical Means up to 3m depth</t>
  </si>
  <si>
    <t xml:space="preserve">Taking output : </t>
  </si>
  <si>
    <t>b) Machinery</t>
  </si>
  <si>
    <t>Shovel 0.85 cum 110hp (Part I (I&amp;CAD Works))</t>
  </si>
  <si>
    <t>hours</t>
  </si>
  <si>
    <t>Hour</t>
  </si>
  <si>
    <t>Crew charges   (Part I (I&amp;CAD Works))</t>
  </si>
  <si>
    <t>Add MA on crew charges</t>
  </si>
  <si>
    <t xml:space="preserve">c&amp;d) </t>
  </si>
  <si>
    <t>Cost for 240 cum ( a+b+c+d)</t>
  </si>
  <si>
    <r>
      <t>Rate per 1 cum</t>
    </r>
    <r>
      <rPr>
        <sz val="10"/>
        <rFont val="Arial"/>
        <family val="2"/>
        <charset val="1"/>
      </rPr>
      <t xml:space="preserve"> (a+b+c+d) / 240</t>
    </r>
  </si>
  <si>
    <r>
      <t>Earth work excavation for foundations</t>
    </r>
    <r>
      <rPr>
        <sz val="10"/>
        <rFont val="Arial"/>
        <family val="2"/>
        <charset val="1"/>
      </rPr>
      <t xml:space="preserve"> </t>
    </r>
    <r>
      <rPr>
        <b/>
        <sz val="10"/>
        <rFont val="Arial"/>
        <family val="2"/>
        <charset val="1"/>
      </rPr>
      <t xml:space="preserve">(Mechanical Means) for buildings in ordinary soils </t>
    </r>
    <r>
      <rPr>
        <sz val="10"/>
        <rFont val="Arial"/>
        <family val="2"/>
        <charset val="1"/>
      </rPr>
      <t xml:space="preserve">and depositing on bank for all lifts and with an </t>
    </r>
    <r>
      <rPr>
        <b/>
        <sz val="10"/>
        <rFont val="Arial"/>
        <family val="2"/>
        <charset val="1"/>
      </rPr>
      <t>initial lead of 10m and 3m to 6m depth</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t>
    </r>
  </si>
  <si>
    <t>(BLD-CSTN-2-3)</t>
  </si>
  <si>
    <t>Ordinary Soil - Mechanical Means up to 3m to 6m depth</t>
  </si>
  <si>
    <t>Taking output : 210.00 Cum</t>
  </si>
  <si>
    <t>Cost for 210 cum ( a+b+c+d)</t>
  </si>
  <si>
    <r>
      <t>Rate per 1 cum</t>
    </r>
    <r>
      <rPr>
        <sz val="10"/>
        <rFont val="Arial"/>
        <family val="2"/>
        <charset val="1"/>
      </rPr>
      <t xml:space="preserve"> (a+b+c+d) / 210</t>
    </r>
  </si>
  <si>
    <r>
      <t>Earth work excavation for foundations</t>
    </r>
    <r>
      <rPr>
        <sz val="10"/>
        <rFont val="Arial"/>
        <family val="2"/>
        <charset val="1"/>
      </rPr>
      <t xml:space="preserve"> </t>
    </r>
    <r>
      <rPr>
        <b/>
        <sz val="10"/>
        <rFont val="Arial"/>
        <family val="2"/>
        <charset val="1"/>
      </rPr>
      <t xml:space="preserve">(Manual Means) of buildings in ordinary rock (not requiring blasting) </t>
    </r>
    <r>
      <rPr>
        <sz val="10"/>
        <rFont val="Arial"/>
        <family val="2"/>
        <charset val="1"/>
      </rPr>
      <t xml:space="preserve">and depositing on bank </t>
    </r>
    <r>
      <rPr>
        <b/>
        <sz val="10"/>
        <rFont val="Arial"/>
        <family val="2"/>
        <charset val="1"/>
      </rPr>
      <t>with an initial lead of 10m and depth up to 3m</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t>
    </r>
  </si>
  <si>
    <t>(BLD-CSTN-2-4)</t>
  </si>
  <si>
    <t>Ordinary rock(not requiring blasting) - Manual Means up to 3m depth</t>
  </si>
  <si>
    <t xml:space="preserve"> cum</t>
  </si>
  <si>
    <t xml:space="preserve">(b &amp; c) </t>
  </si>
  <si>
    <r>
      <t>Rate per 1 cum</t>
    </r>
    <r>
      <rPr>
        <sz val="10"/>
        <rFont val="Arial"/>
        <family val="2"/>
        <charset val="1"/>
      </rPr>
      <t xml:space="preserve"> (a+b+c) / 10</t>
    </r>
  </si>
  <si>
    <r>
      <t>Earth work excavation for foundations</t>
    </r>
    <r>
      <rPr>
        <sz val="10"/>
        <rFont val="Arial"/>
        <family val="2"/>
        <charset val="1"/>
      </rPr>
      <t xml:space="preserve"> </t>
    </r>
    <r>
      <rPr>
        <b/>
        <sz val="10"/>
        <rFont val="Arial"/>
        <family val="2"/>
        <charset val="1"/>
      </rPr>
      <t xml:space="preserve">(Mechanical Means) for buildings in ordinary rock (not requiring blasting) </t>
    </r>
    <r>
      <rPr>
        <sz val="10"/>
        <rFont val="Arial"/>
        <family val="2"/>
        <charset val="1"/>
      </rPr>
      <t xml:space="preserve">and depositing on bank for all lifts and with an </t>
    </r>
    <r>
      <rPr>
        <b/>
        <sz val="10"/>
        <rFont val="Arial"/>
        <family val="2"/>
        <charset val="1"/>
      </rPr>
      <t>initial lead of 10m and up to 3m depth</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t>
    </r>
    <r>
      <rPr>
        <b/>
        <sz val="10"/>
        <rFont val="Arial"/>
        <family val="2"/>
        <charset val="1"/>
      </rPr>
      <t xml:space="preserve"> </t>
    </r>
  </si>
  <si>
    <t>(BLKD-CSTN-2-5)</t>
  </si>
  <si>
    <t>Ordinary rock (not requiring blasting)- Mechanical Means up to 3m depth</t>
  </si>
  <si>
    <t>Taking output : 180.00 Cum</t>
  </si>
  <si>
    <t>Cost for 180 cum ( a+b+c+d)</t>
  </si>
  <si>
    <r>
      <t>Rate per 1 cum</t>
    </r>
    <r>
      <rPr>
        <sz val="10"/>
        <rFont val="Arial"/>
        <family val="2"/>
        <charset val="1"/>
      </rPr>
      <t xml:space="preserve"> (a+b+c+d) / 180</t>
    </r>
  </si>
  <si>
    <r>
      <t xml:space="preserve">Earth work excavation for foundations for buildings in hard rock (requiring blasting) </t>
    </r>
    <r>
      <rPr>
        <sz val="10"/>
        <rFont val="Arial"/>
        <family val="2"/>
        <charset val="1"/>
      </rPr>
      <t xml:space="preserve">and depositing on bank for all lifts and with an </t>
    </r>
    <r>
      <rPr>
        <b/>
        <sz val="10"/>
        <rFont val="Arial"/>
        <family val="2"/>
        <charset val="1"/>
      </rPr>
      <t>initial lead of 10m and up to 3m depth</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t>
    </r>
    <r>
      <rPr>
        <b/>
        <sz val="10"/>
        <rFont val="Arial"/>
        <family val="2"/>
        <charset val="1"/>
      </rPr>
      <t xml:space="preserve"> </t>
    </r>
  </si>
  <si>
    <t>(BLKD-CSTN-2-6)  Hard rock (requiring blasting)- up to 3m depth</t>
  </si>
  <si>
    <t>Driller       ( Part I (I&amp;CAD Works) P.15 (I - 23)</t>
  </si>
  <si>
    <t>Blaster        ( Part I (I&amp;CAD Works) P.14 (I - 3)</t>
  </si>
  <si>
    <t>Air compressor 7cmm (diesel)</t>
  </si>
  <si>
    <t>hour</t>
  </si>
  <si>
    <t>Jack hammer/Pneumatic braker</t>
  </si>
  <si>
    <t>Crew charges</t>
  </si>
  <si>
    <t>Air compressor(Part I(I&amp;CAD Works)P.14 (3))</t>
  </si>
  <si>
    <t>Hours</t>
  </si>
  <si>
    <t>c)Material</t>
  </si>
  <si>
    <t>Gelatin 80%    ( M - 104 )</t>
  </si>
  <si>
    <t>Kgs</t>
  </si>
  <si>
    <t>Detonator electric</t>
  </si>
  <si>
    <t>Cost for 10 cum ( a+b+c+d)</t>
  </si>
  <si>
    <r>
      <t>Rate per 1 cum</t>
    </r>
    <r>
      <rPr>
        <sz val="10"/>
        <rFont val="Arial"/>
        <family val="2"/>
        <charset val="1"/>
      </rPr>
      <t xml:space="preserve"> (a+b+c+d) / 10</t>
    </r>
  </si>
  <si>
    <r>
      <t xml:space="preserve">Earth work excavation for foundations for buildings in hard rock (blasting prohibited) </t>
    </r>
    <r>
      <rPr>
        <sz val="10"/>
        <rFont val="Arial"/>
        <family val="2"/>
        <charset val="1"/>
      </rPr>
      <t xml:space="preserve">and depositing on bank for all lifts and with an </t>
    </r>
    <r>
      <rPr>
        <b/>
        <sz val="10"/>
        <rFont val="Arial"/>
        <family val="2"/>
        <charset val="1"/>
      </rPr>
      <t>initial lead of 10m and up to 3m depth</t>
    </r>
    <r>
      <rPr>
        <sz val="10"/>
        <rFont val="Arial"/>
        <family val="2"/>
        <charset val="1"/>
      </rPr>
      <t xml:space="preserve">  including all operational,incidental, labour charges such as shoring, sheeting, planking, strutting etc., and overheads &amp; contractors profit complete for finished item of work excluding dewatering charges etc., as per SS 20 B(APSS 308)</t>
    </r>
    <r>
      <rPr>
        <b/>
        <sz val="10"/>
        <rFont val="Arial"/>
        <family val="2"/>
        <charset val="1"/>
      </rPr>
      <t xml:space="preserve"> </t>
    </r>
  </si>
  <si>
    <t>(BLKD-CSTN-2-7)      Hard rock (blasting prohibited)- up to 3m depth</t>
  </si>
  <si>
    <t xml:space="preserve"> Cum</t>
  </si>
  <si>
    <t>Air compressor</t>
  </si>
  <si>
    <r>
      <t>Conveyance of un-useful excavated earth to a distance of 5 KM for disposal</t>
    </r>
    <r>
      <rPr>
        <sz val="10"/>
        <rFont val="Arial"/>
        <family val="2"/>
        <charset val="1"/>
      </rPr>
      <t xml:space="preserve"> including  hire charges of T &amp; P, labour charges etc., and overheads &amp; contractors profit complete for finished item of work.</t>
    </r>
  </si>
  <si>
    <t>Rate as per SoR</t>
  </si>
  <si>
    <r>
      <t xml:space="preserve">Pre construction Anti termite treatment is a process in which chemical toxic to sub terrain termites is apply/ inject </t>
    </r>
    <r>
      <rPr>
        <sz val="10"/>
        <rFont val="Arial"/>
        <family val="2"/>
        <charset val="1"/>
      </rPr>
      <t>into soil during early stage of building Construction Treatment of soil Beneath the building and around the foundations conduct and chemical use as per BIS - IS 6313 (Part -2) 2013 code specification &amp; CIB RC registered termiticide which creates a continuous chemical barrier beneath the building which kills or repels terminates &amp; impervious to tremite entry Imidacloprid 30.5% SC (IS 63131) dissolve 2.1 Ml/1 liter of water and apply emulsion/solution @ 7.5 Litres/Square meter (Sqm) of internal, external vertical surface of the columns , plinth beams (Back filling) walls and floor junction, external perimeters, along retaining wall @ 5.0 Liters/Sqm of the horizontal surface of basement top surface of the basement filling below flooring bed (Plinth) &amp; @ 2.0 Litres/ Line meter at expansion joints. The substructure of a depth of 500mm around columns &amp; 300mm deep around plinth beams, basements &amp; floor filling area including excavation channel along the wall &amp; rodding etc. cost &amp; Conveyance of all materials to the site, cost of labour for spraying, rodding etc. complete for furnished item of work as per the approval of the Engineer-in-charge(Plinth area measurements will be taken for payment).</t>
    </r>
  </si>
  <si>
    <t>Rate as per S.S.R (TBSC-Q.VI-22)</t>
  </si>
  <si>
    <t>Rate per 1 Sqm</t>
  </si>
  <si>
    <r>
      <t>Filling with carted coarse sand</t>
    </r>
    <r>
      <rPr>
        <sz val="10"/>
        <rFont val="Arial"/>
        <family val="2"/>
        <charset val="1"/>
      </rPr>
      <t xml:space="preserve"> in trenches,sides of foundations and basement with initial lead in layers not exceeding 15cm thick,watering and ramming including cost and conveyance of water to work site and all peraitonal,incidental ,labour charges,hire charges of T&amp;P etc.,  and overheads &amp; contractors profit complete for fnished item of work   (APSS NO.309&amp;310) </t>
    </r>
  </si>
  <si>
    <t>(BLD-CSTN-2-8) &amp; Amendment in page 12 of SoR 2014.15</t>
  </si>
  <si>
    <t>Unit : 1 cum        Taking output = 6 cum</t>
  </si>
  <si>
    <t>Mazdoor ( Unskilled )</t>
  </si>
  <si>
    <t>b) Material :</t>
  </si>
  <si>
    <t>Coarse sand for filling           (RMR Rate)</t>
  </si>
  <si>
    <t>Water</t>
  </si>
  <si>
    <t>Kl</t>
  </si>
  <si>
    <t>Rate per 6 cum</t>
  </si>
  <si>
    <r>
      <t xml:space="preserve">Filling with carted gravel </t>
    </r>
    <r>
      <rPr>
        <sz val="10"/>
        <rFont val="Arial"/>
        <family val="2"/>
        <charset val="1"/>
      </rPr>
      <t>by manual means</t>
    </r>
    <r>
      <rPr>
        <b/>
        <sz val="10"/>
        <rFont val="Arial"/>
        <family val="2"/>
        <charset val="1"/>
      </rPr>
      <t xml:space="preserve"> </t>
    </r>
    <r>
      <rPr>
        <sz val="10"/>
        <rFont val="Arial"/>
        <family val="2"/>
        <charset val="1"/>
      </rPr>
      <t>in trenches, sides of foundations and basement with initial lead in layers not exceeding 15 cm thick, consolidating each deposited layer by watering and ramming including cost and conveyance of water to work site and all operational, incidental, labour charges, hire charges of T &amp; P etc., and overheads &amp; contractors profit complete for fnished item of work. (APSS NO. 309 &amp; 310)</t>
    </r>
  </si>
  <si>
    <t>(BLD-CSTN-2-9)                                                      &amp; Amendments/Modifications in  SoR 2021-22</t>
  </si>
  <si>
    <t>Ordinary Soils (either excavated or carted) - MANUAL MEANS</t>
  </si>
  <si>
    <t>Taking output = 10 cum</t>
  </si>
  <si>
    <t>a Material :</t>
  </si>
  <si>
    <t>Gravel             (RMR Rate)</t>
  </si>
  <si>
    <t>Mate (Crowbar man / Jumper man)</t>
  </si>
  <si>
    <t>Bhisti</t>
  </si>
  <si>
    <t>Water charges @ 1%</t>
  </si>
  <si>
    <t xml:space="preserve">Rate per 10 cum </t>
  </si>
  <si>
    <t>Rate per 10 cum</t>
  </si>
  <si>
    <r>
      <t>Filling with useful available excavated earth</t>
    </r>
    <r>
      <rPr>
        <sz val="10"/>
        <rFont val="Arial"/>
        <family val="2"/>
        <charset val="1"/>
      </rPr>
      <t xml:space="preserve"> by manual means (excluding rock) in trenches, sides of foundations and basement with initial lead in layers not exceeding 15 cm thick, consolidating each deposited layer by watering and ramming including cost and conveyance of water to work site and all operational, incidental, labour charges, hire charges of T &amp; P etc., and overheads &amp; contractors profit complete for finished item of work. (APSS NO. 309 &amp; 310)</t>
    </r>
  </si>
  <si>
    <t>(BLD-CSTN-2-9)                                                      &amp; Amendments/ Modifications in  SoR 2021-22</t>
  </si>
  <si>
    <t>a) Material :</t>
  </si>
  <si>
    <t>Ordinary soils</t>
  </si>
  <si>
    <t>b) Labour</t>
  </si>
  <si>
    <r>
      <t xml:space="preserve">Plain Cement Concrete  (1:4:8) </t>
    </r>
    <r>
      <rPr>
        <sz val="10"/>
        <rFont val="Arial"/>
        <family val="2"/>
        <charset val="1"/>
      </rPr>
      <t>(cement: fine aggregate: Coarse aggregate)</t>
    </r>
    <r>
      <rPr>
        <b/>
        <sz val="10"/>
        <rFont val="Arial"/>
        <family val="2"/>
        <charset val="1"/>
      </rPr>
      <t xml:space="preserve"> for foundations and under flooring bed </t>
    </r>
    <r>
      <rPr>
        <sz val="10"/>
        <rFont val="Arial"/>
        <family val="2"/>
        <charset val="1"/>
      </rPr>
      <t xml:space="preserve">using </t>
    </r>
    <r>
      <rPr>
        <b/>
        <sz val="10"/>
        <rFont val="Arial"/>
        <family val="2"/>
        <charset val="1"/>
      </rPr>
      <t>coarse aggregate 40mm size  hard , machine crushed  granite</t>
    </r>
    <r>
      <rPr>
        <sz val="10"/>
        <rFont val="Arial"/>
        <family val="2"/>
        <charset val="1"/>
      </rPr>
      <t xml:space="preserve"> from approved quarry including cost and conveyance of all materials like cement, sand, coarse aggregate, water etc. to site, including sales &amp; other taxes on all materials and including all charges for machine mixing, laying concrete in foundations and under flooring bed, ramming in 15 cm layers finishing top surface to the required level curing etc., and overheads &amp; contractors profit complete for finished item of work. (APSS No. 402)</t>
    </r>
  </si>
  <si>
    <t xml:space="preserve"> (BLD-CSTN-3-5)</t>
  </si>
  <si>
    <t>A.MATERIALS :</t>
  </si>
  <si>
    <t>Coarse aggregate 40mm</t>
  </si>
  <si>
    <t>Fine aggregate ( Sand )</t>
  </si>
  <si>
    <t>Water (including curing)</t>
  </si>
  <si>
    <t>kl</t>
  </si>
  <si>
    <t>B.MACHINERY :</t>
  </si>
  <si>
    <t>Concrete Mixer 10 / 7 cft (0.2 / 0.8 cum) capacity</t>
  </si>
  <si>
    <t>C.LABOUR :</t>
  </si>
  <si>
    <t>1st class mason</t>
  </si>
  <si>
    <t>Mazdoor (unskilled)</t>
  </si>
  <si>
    <r>
      <t xml:space="preserve">Plain Cement Concrete  (1:5:10) </t>
    </r>
    <r>
      <rPr>
        <sz val="10"/>
        <rFont val="Arial"/>
        <family val="2"/>
        <charset val="1"/>
      </rPr>
      <t>(cement: fine aggregate: Coarse aggregate)</t>
    </r>
    <r>
      <rPr>
        <b/>
        <sz val="10"/>
        <rFont val="Arial"/>
        <family val="2"/>
        <charset val="1"/>
      </rPr>
      <t xml:space="preserve"> for foundations and under flooring bed </t>
    </r>
    <r>
      <rPr>
        <sz val="10"/>
        <rFont val="Arial"/>
        <family val="2"/>
        <charset val="1"/>
      </rPr>
      <t xml:space="preserve">using </t>
    </r>
    <r>
      <rPr>
        <b/>
        <sz val="10"/>
        <rFont val="Arial"/>
        <family val="2"/>
        <charset val="1"/>
      </rPr>
      <t>coarse aggregate 40mm size  hard , machine crushed  granite</t>
    </r>
    <r>
      <rPr>
        <sz val="10"/>
        <rFont val="Arial"/>
        <family val="2"/>
        <charset val="1"/>
      </rPr>
      <t xml:space="preserve"> from approved quarry including cost and conveyance of all materials like cement, sand, coarse aggregate, water etc. to site, sales &amp; other taxes on all materials and including all charges for machine mixing, laying concrete in foundations and under flooring bed, ramming in 15 cm layers finishing top surface to the required level curing etc.,and overheads &amp; contractors profit  complete for finished item of work. (APSS No. 402)</t>
    </r>
  </si>
  <si>
    <t xml:space="preserve"> (BLD-CSTN-3-7)</t>
  </si>
  <si>
    <t>B. MACHINERY :</t>
  </si>
  <si>
    <t>C. LABOUR :</t>
  </si>
  <si>
    <r>
      <t>Random Rubble stone masonry</t>
    </r>
    <r>
      <rPr>
        <sz val="10"/>
        <rFont val="Arial"/>
        <family val="2"/>
        <charset val="1"/>
      </rPr>
      <t xml:space="preserve"> in CM (1:8) prop: (Cement: Screened sand) using hard </t>
    </r>
    <r>
      <rPr>
        <b/>
        <sz val="10"/>
        <rFont val="Arial"/>
        <family val="2"/>
        <charset val="1"/>
      </rPr>
      <t xml:space="preserve">other than granite </t>
    </r>
    <r>
      <rPr>
        <sz val="10"/>
        <rFont val="Arial"/>
        <family val="2"/>
        <charset val="1"/>
      </rPr>
      <t xml:space="preserve"> stones </t>
    </r>
    <r>
      <rPr>
        <b/>
        <sz val="10"/>
        <rFont val="Arial"/>
        <family val="2"/>
        <charset val="1"/>
      </rPr>
      <t xml:space="preserve"> </t>
    </r>
    <r>
      <rPr>
        <sz val="10"/>
        <rFont val="Arial"/>
        <family val="2"/>
        <charset val="1"/>
      </rPr>
      <t xml:space="preserve">carted from approved quarry including cost and conveyance of all materials like cement, screened sand, water, stones etc., from approved quarry, to site, sales &amp; other taxes on all materials  including labour for cutting stones to required size and shape, mixing, of cement, mortar, construction,  curing etc.,and overheads &amp; contractors profit  complete for finished item of work in </t>
    </r>
    <r>
      <rPr>
        <b/>
        <sz val="10"/>
        <rFont val="Arial"/>
        <family val="2"/>
        <charset val="1"/>
      </rPr>
      <t>foundation and basement</t>
    </r>
    <r>
      <rPr>
        <sz val="10"/>
        <rFont val="Arial"/>
        <family val="2"/>
        <charset val="1"/>
      </rPr>
      <t>.</t>
    </r>
    <r>
      <rPr>
        <b/>
        <sz val="10"/>
        <rFont val="Arial"/>
        <family val="2"/>
        <charset val="1"/>
      </rPr>
      <t xml:space="preserve"> </t>
    </r>
    <r>
      <rPr>
        <sz val="10"/>
        <rFont val="Arial"/>
        <family val="2"/>
        <charset val="1"/>
      </rPr>
      <t>(APSS No. 601 &amp; 615)</t>
    </r>
    <r>
      <rPr>
        <b/>
        <sz val="10"/>
        <rFont val="Arial"/>
        <family val="2"/>
        <charset val="1"/>
      </rPr>
      <t xml:space="preserve">   </t>
    </r>
  </si>
  <si>
    <t>( BLD-CSTN-6-13 )</t>
  </si>
  <si>
    <t>Unit = 1 cum</t>
  </si>
  <si>
    <t>A.MATERIALS</t>
  </si>
  <si>
    <t>Rough stone (OTG)</t>
  </si>
  <si>
    <t>Fine aggregate(sand)</t>
  </si>
  <si>
    <t>B) LABOUR</t>
  </si>
  <si>
    <t>Add water charges</t>
  </si>
  <si>
    <r>
      <t>Random Rubble stone masonry</t>
    </r>
    <r>
      <rPr>
        <sz val="10"/>
        <rFont val="Arial"/>
        <family val="2"/>
        <charset val="1"/>
      </rPr>
      <t xml:space="preserve"> in CM (1:8) prop: (Cement: Screened sand) using </t>
    </r>
    <r>
      <rPr>
        <b/>
        <sz val="10"/>
        <rFont val="Arial"/>
        <family val="2"/>
        <charset val="1"/>
      </rPr>
      <t xml:space="preserve">hard granite  stones  </t>
    </r>
    <r>
      <rPr>
        <sz val="10"/>
        <rFont val="Arial"/>
        <family val="2"/>
        <charset val="1"/>
      </rPr>
      <t xml:space="preserve">carted from approved quarry including cost and conveyance of all materials like cement, screened sand, water, stones etc., from approved quarry, to site, sales &amp; other taxes on all materials  including labour for cutting stones to required size and shape, mixing, of cement, mortar, construction,  curing etc.,and overheads &amp; contractors profit  complete for finished item of work in </t>
    </r>
    <r>
      <rPr>
        <b/>
        <sz val="10"/>
        <rFont val="Arial"/>
        <family val="2"/>
        <charset val="1"/>
      </rPr>
      <t>foundation and basement</t>
    </r>
    <r>
      <rPr>
        <sz val="10"/>
        <rFont val="Arial"/>
        <family val="2"/>
        <charset val="1"/>
      </rPr>
      <t>.</t>
    </r>
    <r>
      <rPr>
        <b/>
        <sz val="10"/>
        <rFont val="Arial"/>
        <family val="2"/>
        <charset val="1"/>
      </rPr>
      <t xml:space="preserve"> </t>
    </r>
    <r>
      <rPr>
        <sz val="10"/>
        <rFont val="Arial"/>
        <family val="2"/>
        <charset val="1"/>
      </rPr>
      <t>(APSS No. 601 &amp; 615)</t>
    </r>
    <r>
      <rPr>
        <b/>
        <sz val="10"/>
        <rFont val="Arial"/>
        <family val="2"/>
        <charset val="1"/>
      </rPr>
      <t xml:space="preserve">   </t>
    </r>
  </si>
  <si>
    <t>Rough stone (HBG)</t>
  </si>
  <si>
    <r>
      <t>Plain Cement Concrete (1:3:6) nominal mix using</t>
    </r>
    <r>
      <rPr>
        <sz val="10"/>
        <rFont val="Arial"/>
        <family val="2"/>
        <charset val="1"/>
      </rPr>
      <t xml:space="preserve"> 40mm size machine crushed hard granite metal (coarse aggregate) in (2:1) ratio from approved quarry including cost and conveyance of all materials like cement, fine aggregate (sand), coarse aggregate, water etc. to site, sales &amp; other taxes on all materials, all charges for mixing, laying concrete in position,  curing charges, overheads &amp; contractors profit etc., for finished item of work.
 </t>
    </r>
    <r>
      <rPr>
        <b/>
        <sz val="10"/>
        <rFont val="Arial"/>
        <family val="2"/>
        <charset val="1"/>
      </rPr>
      <t>for footings and basement.</t>
    </r>
  </si>
  <si>
    <t xml:space="preserve"> (BLD-CSTN-3-10 &amp; 11)</t>
  </si>
  <si>
    <t>Unit : 1cum</t>
  </si>
  <si>
    <t>HBG 40mm size metal</t>
  </si>
  <si>
    <t>Water ( including for curing )</t>
  </si>
  <si>
    <t>Crew Charges</t>
  </si>
  <si>
    <t>Mazdoor (Unskilled)</t>
  </si>
  <si>
    <t>Rate for 1 cum</t>
  </si>
  <si>
    <r>
      <t>Plain Cement Concrete (1:3:6) nominal mix using</t>
    </r>
    <r>
      <rPr>
        <sz val="10"/>
        <rFont val="Arial"/>
        <family val="2"/>
        <charset val="1"/>
      </rPr>
      <t xml:space="preserve"> 20mm size machine crushed hard granite metal (coarse aggregate) in (2:1) ratio from approved quarry including cost and conveyance of all materials like cement, fine aggregate (sand), coarse aggregate, water etc. to site, sales &amp; other taxes on all materials, all charges for mixing, laying concrete in position,  curing charges, overheads &amp; contractors profit etc., for finished item of work </t>
    </r>
    <r>
      <rPr>
        <b/>
        <sz val="10"/>
        <rFont val="Arial"/>
        <family val="2"/>
        <charset val="1"/>
      </rPr>
      <t>for footings and basement.</t>
    </r>
  </si>
  <si>
    <t>HBG 20mm size metal</t>
  </si>
  <si>
    <r>
      <t>Supply and placing of the Design Mix Concrete M 25 grade</t>
    </r>
    <r>
      <rPr>
        <sz val="10"/>
        <rFont val="Arial"/>
        <family val="2"/>
        <charset val="1"/>
      </rPr>
      <t xml:space="preserve"> corresponding to IS 456 </t>
    </r>
    <r>
      <rPr>
        <b/>
        <sz val="10"/>
        <rFont val="Arial"/>
        <family val="2"/>
        <charset val="1"/>
      </rPr>
      <t xml:space="preserve">with minimum cement content of 380 kgs per 1 cum of concrete </t>
    </r>
    <r>
      <rPr>
        <sz val="10"/>
        <rFont val="Arial"/>
        <family val="2"/>
        <charset val="1"/>
      </rPr>
      <t>using Concrete Batching Plant with 20mm size graded machine crushed hard granite metal (coarse aggregate - as per IS 383 - 1970 and IS 2386 Part 1 to Part 8) from approved quarry including cost and conveyance of all materials like cement, fine aggregate (sand) coarse aggregate, water etc., to site and sales &amp; other taxes on all materials ,</t>
    </r>
    <r>
      <rPr>
        <b/>
        <sz val="10"/>
        <rFont val="Arial"/>
        <family val="2"/>
        <charset val="1"/>
      </rPr>
      <t xml:space="preserve"> centering using Steel scaffolding pipes , jack props , wallers , Foot plates , brackets , steel centering plates etc., </t>
    </r>
    <r>
      <rPr>
        <sz val="10"/>
        <rFont val="Arial"/>
        <family val="2"/>
        <charset val="1"/>
      </rPr>
      <t>including all operational, incidental and labour charges such as weigh batching, machine mixing, laying concrete, curing etc., and overheads &amp; contractors profit complete but excluding cost of steel and its fabrication charges for finished item of work (APSS No. 402).</t>
    </r>
    <r>
      <rPr>
        <b/>
        <sz val="10"/>
        <rFont val="Arial"/>
        <family val="2"/>
        <charset val="1"/>
      </rPr>
      <t xml:space="preserve"> </t>
    </r>
  </si>
  <si>
    <t>(BLD-CSTN-3-14)</t>
  </si>
  <si>
    <t>FOUNDATIONS , PLINTH , PEDESTALS ( Below Plinth)</t>
  </si>
  <si>
    <t>20mm HBG graded metal</t>
  </si>
  <si>
    <t>B.LABOUR :</t>
  </si>
  <si>
    <t>1st class Mason</t>
  </si>
  <si>
    <t>2nd class Mason</t>
  </si>
  <si>
    <t>Mazdoor (both men&amp;women)</t>
  </si>
  <si>
    <t>C.MACHINERY :</t>
  </si>
  <si>
    <t>Batching plant 0.50 cum</t>
  </si>
  <si>
    <t>Needle vibrator 40mm ( petrol )</t>
  </si>
  <si>
    <t>Water(including for curing)</t>
  </si>
  <si>
    <t>Footings</t>
  </si>
  <si>
    <t>Rate for Design mix M 25</t>
  </si>
  <si>
    <t xml:space="preserve">Hire charges of centering and scaffolding </t>
  </si>
  <si>
    <t>Labour charges                (SoR Pg 116)</t>
  </si>
  <si>
    <t>Column pedestals</t>
  </si>
  <si>
    <t xml:space="preserve">Plinth Beams </t>
  </si>
  <si>
    <t>Base slab 100 mm thick Precast Slab</t>
  </si>
  <si>
    <t>Labour charges</t>
  </si>
  <si>
    <t>Base slab 125 mm thick Precast Slab</t>
  </si>
  <si>
    <t>Base slab 150 mm thick  for Sump/Septic tank</t>
  </si>
  <si>
    <t>e</t>
  </si>
  <si>
    <t>Base slab 200 mm thick for Lift Pit :</t>
  </si>
  <si>
    <t>Base slab 230 mm thick for Sump / Septic tank :</t>
  </si>
  <si>
    <t>Base slab 250 mm thick for Sump / Septic tank :</t>
  </si>
  <si>
    <t>Base slab 300mm thick for Sump / Septic tank :</t>
  </si>
  <si>
    <t>Base slab 400mm thick for Sump / Septic tank :</t>
  </si>
  <si>
    <t>Base slab 500mm thick for Sump / Septic tank :</t>
  </si>
  <si>
    <t>Base slab 600mm thick for Sump / Septic tank :</t>
  </si>
  <si>
    <t>Haunch</t>
  </si>
  <si>
    <r>
      <t>Supply and placing of the Design Mix Concrete M 25 grade</t>
    </r>
    <r>
      <rPr>
        <sz val="10"/>
        <rFont val="Arial"/>
        <family val="2"/>
        <charset val="1"/>
      </rPr>
      <t xml:space="preserve"> corresponding to IS 456 </t>
    </r>
    <r>
      <rPr>
        <b/>
        <sz val="10"/>
        <rFont val="Arial"/>
        <family val="2"/>
        <charset val="1"/>
      </rPr>
      <t xml:space="preserve">with minimum cement content of 380 kgs per 1 cum of concrete </t>
    </r>
    <r>
      <rPr>
        <sz val="10"/>
        <rFont val="Arial"/>
        <family val="2"/>
        <charset val="1"/>
      </rPr>
      <t>using Concrete Batching Plant with 20mm size graded machine crushed hard granite metal (coarse aggregate - as per IS 383 - 1970 and IS 2386 Part 1 to Part 8) from approved quarry including cost and conveyance of all materials like cement, fine aggregate (sand) coarse aggregate, water etc., to site and sales &amp; other taxes on all materials,</t>
    </r>
    <r>
      <rPr>
        <b/>
        <sz val="10"/>
        <rFont val="Arial"/>
        <family val="2"/>
        <charset val="1"/>
      </rPr>
      <t xml:space="preserve"> centering using Casurina Ballies, Bamboos, Wooden Reapers, Runners, Wood Posts, Steel Plates etc.</t>
    </r>
    <r>
      <rPr>
        <sz val="10"/>
        <rFont val="Arial"/>
        <family val="2"/>
        <charset val="1"/>
      </rPr>
      <t>,</t>
    </r>
    <r>
      <rPr>
        <b/>
        <sz val="10"/>
        <rFont val="Arial"/>
        <family val="2"/>
        <charset val="1"/>
      </rPr>
      <t xml:space="preserve"> </t>
    </r>
    <r>
      <rPr>
        <sz val="10"/>
        <rFont val="Arial"/>
        <family val="2"/>
        <charset val="1"/>
      </rPr>
      <t>including all operational, incidental and labour charges such as weigh batching, machine mixing, lifting of concrete manually, laying concrete, curing , overheads &amp; contractors profit etc.,  complete but excluding cost of steel and its fabrication charges for finished item of work (APSS No. 402)</t>
    </r>
    <r>
      <rPr>
        <b/>
        <sz val="10"/>
        <rFont val="Arial"/>
        <family val="2"/>
        <charset val="1"/>
      </rPr>
      <t xml:space="preserve"> </t>
    </r>
  </si>
  <si>
    <t>(BLD-CSTN-3-15)</t>
  </si>
  <si>
    <t>COLUMNS, LINTELS, WATER TANKS, RCC WALL IN BUILDINGS:</t>
  </si>
  <si>
    <t>COLUMNS :
un supported height up to 3.66 m</t>
  </si>
  <si>
    <t xml:space="preserve"> FF (GF)</t>
  </si>
  <si>
    <t>SF</t>
  </si>
  <si>
    <t>TF</t>
  </si>
  <si>
    <t>4F</t>
  </si>
  <si>
    <t>5F</t>
  </si>
  <si>
    <t>6F</t>
  </si>
  <si>
    <t>7F</t>
  </si>
  <si>
    <t>8F</t>
  </si>
  <si>
    <t>9F</t>
  </si>
  <si>
    <t>(i)</t>
  </si>
  <si>
    <t>Lifting by Manual means</t>
  </si>
  <si>
    <t>Rate for other Floors</t>
  </si>
  <si>
    <t xml:space="preserve">Rate as above </t>
  </si>
  <si>
    <t>Labour charges                (SoR Pg 119)</t>
  </si>
  <si>
    <t>Lift charges of materials (Manual)</t>
  </si>
  <si>
    <t>(ii)</t>
  </si>
  <si>
    <t>Lifting by Mechanical means</t>
  </si>
  <si>
    <t>FF (G.F)</t>
  </si>
  <si>
    <t>Lift charges of materials (Winch 35HP Electric) (Part I (I&amp;CAD Works) SoR Pg 35)</t>
  </si>
  <si>
    <t>Crew charges  (Part I (I&amp;CAD Works) SoR Pg 35)</t>
  </si>
  <si>
    <t>LINTELS :</t>
  </si>
  <si>
    <r>
      <t xml:space="preserve">Lift charges of materials </t>
    </r>
    <r>
      <rPr>
        <b/>
        <sz val="10"/>
        <rFont val="Arial"/>
        <family val="2"/>
        <charset val="1"/>
      </rPr>
      <t>(Manual)</t>
    </r>
  </si>
  <si>
    <r>
      <t>Supply and placing of the Design Mix Concrete M 25 grade</t>
    </r>
    <r>
      <rPr>
        <sz val="10"/>
        <rFont val="Arial"/>
        <family val="2"/>
        <charset val="1"/>
      </rPr>
      <t xml:space="preserve"> corresponding to IS 456 </t>
    </r>
    <r>
      <rPr>
        <b/>
        <sz val="10"/>
        <rFont val="Arial"/>
        <family val="2"/>
        <charset val="1"/>
      </rPr>
      <t xml:space="preserve">with minimum cement content of 380 kgs per 1 cum of concrete </t>
    </r>
    <r>
      <rPr>
        <sz val="10"/>
        <rFont val="Arial"/>
        <family val="2"/>
        <charset val="1"/>
      </rPr>
      <t>using Concrete Batching Plant with 20mm size graded machine crushed hard granite metal (coarse aggregate - as per IS 383 - 1970 and IS 2386 Part 1 to Part 8) from approved quarry including cost and conveyance of all materials like cement, fine aggregate (sand) coarse aggregate, water etc., to site and sales &amp; other taxes on all materials,</t>
    </r>
    <r>
      <rPr>
        <b/>
        <sz val="10"/>
        <rFont val="Arial"/>
        <family val="2"/>
        <charset val="1"/>
      </rPr>
      <t xml:space="preserve"> Steel scaffolding pipes, jack Props, Steel Centering Plates,etc.,., </t>
    </r>
    <r>
      <rPr>
        <sz val="10"/>
        <rFont val="Arial"/>
        <family val="2"/>
        <charset val="1"/>
      </rPr>
      <t>including all operational, incidental and labour charges such as weigh batching, machine mixing, lifting of concrete mechanically, laying concrete, curing , overheads &amp; contractors profit etc.,  complete but excluding cost of steel and its fabrication charges for finished item of work (APSS No. 402)</t>
    </r>
    <r>
      <rPr>
        <b/>
        <sz val="10"/>
        <rFont val="Arial"/>
        <family val="2"/>
        <charset val="1"/>
      </rPr>
      <t xml:space="preserve"> </t>
    </r>
  </si>
  <si>
    <t>A)</t>
  </si>
  <si>
    <t>COLUMNS</t>
  </si>
  <si>
    <t>COLUMNS un supported height up to 3.66 m</t>
  </si>
  <si>
    <t>ii)</t>
  </si>
  <si>
    <t>Lift charges of materials (Winch 35HP Electric)       (Part I (I&amp;CAD Works) SoR Pg 35)</t>
  </si>
  <si>
    <t>COLUMNS un supported height up to 4.27 m</t>
  </si>
  <si>
    <t>COLUMNS un supported height up to 4.88 m</t>
  </si>
  <si>
    <t>COLUMNS un supported height up to 5.49 m</t>
  </si>
  <si>
    <t>WATER TANKS, SUMP, LIFT :</t>
  </si>
  <si>
    <t>350mm thick side walls</t>
  </si>
  <si>
    <t>Cost of M 25 design mix</t>
  </si>
  <si>
    <t>150mm thick side walls</t>
  </si>
  <si>
    <t>Lift charges of materials (Winch 35HP Electric)</t>
  </si>
  <si>
    <t>200mm thick side walls</t>
  </si>
  <si>
    <t>Lift charges of materials(Manual)</t>
  </si>
  <si>
    <t>Hire charges of centering and scaffolding</t>
  </si>
  <si>
    <t>Lift charges of materials
 (Winch 35HP Electric)</t>
  </si>
  <si>
    <t>300mm thick side walls</t>
  </si>
  <si>
    <t>325mm thick side walls</t>
  </si>
  <si>
    <t>375mm thick side walls</t>
  </si>
  <si>
    <t>500mm thick side walls</t>
  </si>
  <si>
    <r>
      <t xml:space="preserve">Supply and placing of the Design Mix Concrete M 25 grade </t>
    </r>
    <r>
      <rPr>
        <sz val="10"/>
        <rFont val="Arial"/>
        <family val="2"/>
        <charset val="1"/>
      </rPr>
      <t xml:space="preserve">corresponding to IS 456 with minimum cement content of 380 kgs per 1 cum of concrete using Concrete Batching Plant with 20mm size graded machine crushed hard granite metal(coarse aggregate - as per IS 383 - 1970 and IS 2386 Part 1 to Part 8) from approved quarry including cost and conveyance of all materials like cement, fine aggregate (sand) coarse aggregate, water etc., to site and sales &amp; other taxes on all materials, </t>
    </r>
    <r>
      <rPr>
        <b/>
        <sz val="10"/>
        <rFont val="Arial"/>
        <family val="2"/>
        <charset val="1"/>
      </rPr>
      <t xml:space="preserve">centering using Steel scaffolding pipes, jack props, Steel centering Plates etc., </t>
    </r>
    <r>
      <rPr>
        <sz val="10"/>
        <rFont val="Arial"/>
        <family val="2"/>
        <charset val="1"/>
      </rPr>
      <t xml:space="preserve">including all operational, incidental and labour charges such as weigh batching, machine mixing, lifting of concrete manually / mechanically, laying concrete, curing, overheads &amp; contractors profit etc., complete but excluding cost of steel and its fabrication charges for finished item of work (APSS No. 402). 
</t>
    </r>
  </si>
  <si>
    <t>(BLD-CSTN-3-16)</t>
  </si>
  <si>
    <t>RCC SLABS, BEAMS :</t>
  </si>
  <si>
    <t>Mazdoor (both Men &amp; Women)</t>
  </si>
  <si>
    <t>BEAMS :</t>
  </si>
  <si>
    <t>un supported height up to 3.66 m</t>
  </si>
  <si>
    <t>Lifting by Manual Means</t>
  </si>
  <si>
    <t xml:space="preserve">Labour , lift charges for scaffolding </t>
  </si>
  <si>
    <t>Lift charges ( Page 131 of Std. Data )</t>
  </si>
  <si>
    <t>Lift charges of materials 
(Winch 35HP Electric)</t>
  </si>
  <si>
    <t>un supported height up to 4.27 m</t>
  </si>
  <si>
    <t>un supported height up to 4.88 m</t>
  </si>
  <si>
    <t>un supported height up to 7.93 m</t>
  </si>
  <si>
    <t>Roof Slabs 125mm thick : un supported height up to 3.66 m</t>
  </si>
  <si>
    <t>Lifting by Manual Means for unsupported height 3.66m</t>
  </si>
  <si>
    <t>Labour , lift charges for scaffolding</t>
  </si>
  <si>
    <t>Lifting by Mechanical Means for unsupported height 3.66m</t>
  </si>
  <si>
    <t>(iii)</t>
  </si>
  <si>
    <t>Lifting by Mechanical Means for unsupported height 4.27m</t>
  </si>
  <si>
    <t>Roof Slabs 125mm thick : un supported height up to 4.27 m</t>
  </si>
  <si>
    <t>Roof Slabs 150mm thick :</t>
  </si>
  <si>
    <t>un supported height up to 3.66 m Lifting by Manual</t>
  </si>
  <si>
    <t>un supported height up to 3.66 m Lifting by Mechanical means</t>
  </si>
  <si>
    <t xml:space="preserve"> FF (GL)</t>
  </si>
  <si>
    <t xml:space="preserve">Lift charges for scaffolding </t>
  </si>
  <si>
    <t>Lift charges of materials
(Winch 35HP Electric)</t>
  </si>
  <si>
    <t>un supported height up to 4.27 m Lifting by Manual</t>
  </si>
  <si>
    <t>un supported height up to 4.27 m Lifting by Mechanical means</t>
  </si>
  <si>
    <t>un supported height up to 4.88 m Lifting by Mechanical means</t>
  </si>
  <si>
    <t>Roof Slabs 175mm thick :</t>
  </si>
  <si>
    <t>Lifting by Manual means for unsupported height 4.27m</t>
  </si>
  <si>
    <t>e)</t>
  </si>
  <si>
    <t>Roof Slabs 200mm thick :</t>
  </si>
  <si>
    <t>for un supported height of 3.66 m Lifting by Manual means</t>
  </si>
  <si>
    <t>for un supported height of 4.27 m Lifting by Mechanical</t>
  </si>
  <si>
    <t>Roof Slabs 225mm thick :</t>
  </si>
  <si>
    <t>for un supported height of 4.27 m Lifting by Manual means</t>
  </si>
  <si>
    <r>
      <t>Supply and placing of the Design Mix Concrete M 25 grade</t>
    </r>
    <r>
      <rPr>
        <sz val="10"/>
        <rFont val="Arial"/>
        <family val="2"/>
        <charset val="1"/>
      </rPr>
      <t xml:space="preserve"> corresponding to IS 456 </t>
    </r>
    <r>
      <rPr>
        <b/>
        <sz val="10"/>
        <rFont val="Arial"/>
        <family val="2"/>
        <charset val="1"/>
      </rPr>
      <t>with minimum cement content of 380 kgs per 1 cum of concrete</t>
    </r>
    <r>
      <rPr>
        <sz val="10"/>
        <rFont val="Arial"/>
        <family val="2"/>
        <charset val="1"/>
      </rPr>
      <t xml:space="preserve"> using Concrete Batching Plant with 20mm size graded machine crushed hard granite metal(coarse aggregate - as per IS 383 - 1970 and IS 2386 Part 1 to Part 8) from approved quarry including cost and conveyance of all materials like cement, fine aggregate (sand) coarse aggregate, water etc., to site and sales &amp; other taxes on all materials,</t>
    </r>
    <r>
      <rPr>
        <b/>
        <sz val="10"/>
        <rFont val="Arial"/>
        <family val="2"/>
        <charset val="1"/>
      </rPr>
      <t xml:space="preserve"> centering using Casurina Ballies, Bamboos, Wooden Reapers, Runners, Wood Posts, Wall Plates etc., </t>
    </r>
    <r>
      <rPr>
        <sz val="10"/>
        <rFont val="Arial"/>
        <family val="2"/>
        <charset val="1"/>
      </rPr>
      <t>including all operational, incidental and labour charges such as weigh batching, machine mixing, lifting of concrete manually / mechanically, laying concrete, curing, overheads &amp; contractors profit etc., complete but excluding cost of steel and its fabrication charges for finished item of work (APSS No. 402).</t>
    </r>
    <r>
      <rPr>
        <b/>
        <sz val="10"/>
        <rFont val="Arial"/>
        <family val="2"/>
        <charset val="1"/>
      </rPr>
      <t xml:space="preserve"> </t>
    </r>
  </si>
  <si>
    <t>un supported height up to 3.66m</t>
  </si>
  <si>
    <t>RCC SLABS :</t>
  </si>
  <si>
    <t>Labour, lift charges for scaffolding</t>
  </si>
  <si>
    <t>un supported height up to 3.66 m Lifting by Manual means</t>
  </si>
  <si>
    <t xml:space="preserve">Labour, lift charges for scaffolding </t>
  </si>
  <si>
    <t>for un supported height of 3.66 m</t>
  </si>
  <si>
    <r>
      <t xml:space="preserve">Supply and placing of the Design Mix Concrete M 25 grade </t>
    </r>
    <r>
      <rPr>
        <sz val="10"/>
        <rFont val="Arial"/>
        <family val="2"/>
        <charset val="1"/>
      </rPr>
      <t xml:space="preserve">corresponding to IS 456 with minimum cement content of  </t>
    </r>
    <r>
      <rPr>
        <b/>
        <sz val="10"/>
        <rFont val="Arial"/>
        <family val="2"/>
        <charset val="1"/>
      </rPr>
      <t>380 kgs</t>
    </r>
    <r>
      <rPr>
        <sz val="10"/>
        <rFont val="Arial"/>
        <family val="2"/>
        <charset val="1"/>
      </rPr>
      <t xml:space="preserve"> per 1 cum of concrete using Concrete Batching Plant with 20mm size graded machine crushed hard granite metal (coarse aggregate - as per IS 383 - 1970 and IS 2386 Part 1 to Part 8) from approved quarry including cost and conveyance of all materials like cement, fine aggregate (sand) coarse aggregate, water etc., to site and including sales &amp; other taxes on all materials ,</t>
    </r>
    <r>
      <rPr>
        <b/>
        <sz val="10"/>
        <rFont val="Arial"/>
        <family val="2"/>
        <charset val="1"/>
      </rPr>
      <t xml:space="preserve"> </t>
    </r>
    <r>
      <rPr>
        <sz val="10"/>
        <rFont val="Arial"/>
        <family val="2"/>
        <charset val="1"/>
      </rPr>
      <t>centering using Casurina Ballies , Bamboos , Wooden Reapers , Runners , Wood Posts , Wall Plates etc.,</t>
    </r>
    <r>
      <rPr>
        <b/>
        <sz val="10"/>
        <rFont val="Arial"/>
        <family val="2"/>
        <charset val="1"/>
      </rPr>
      <t xml:space="preserve"> for 60cm wide sun-shades 7.5cm thick at fixed end and 5cm thick at free end</t>
    </r>
    <r>
      <rPr>
        <sz val="10"/>
        <rFont val="Arial"/>
        <family val="2"/>
        <charset val="1"/>
      </rPr>
      <t xml:space="preserve"> with  an average  thickness of  6.25cm including all operational, incidental and labour charges such as weigh batching, machine mixing,  lifting of concrete manually, laying concrete, curing, overheads &amp; contractors profit  complete etc., but excluding cost of steel and its fabrication charges for finished item of work.  
(APSS No. 402, 403 &amp; 903)</t>
    </r>
    <r>
      <rPr>
        <b/>
        <sz val="10"/>
        <rFont val="Arial"/>
        <family val="2"/>
        <charset val="1"/>
      </rPr>
      <t xml:space="preserve"> </t>
    </r>
  </si>
  <si>
    <t>Cost of RCC M 25 design mix</t>
  </si>
  <si>
    <t>Rate per 1 RM</t>
  </si>
  <si>
    <r>
      <t>Plain Cement concrete M25 design mix using concrete batching plant, 12 mm size hard granite machine crushed graded metal (coarse aggregate - as per IS 383 - 1970 and IS 2386 Part 1 to Part 8) from approved quarry, using a minimum quantity of 380 kgs. of cement per 1 cum of concrete including cost and conveyance of  all materials  like cement,  fine aggregate (Sand), coarse aggregate, water etc., to site  including steel centering, shuttering, machine mixing,  lift charges, laying concrete,vibrating, curing, overheads &amp; contrctors profit etc., complete  for finished item of work (APSS No. 402 &amp; 403)</t>
    </r>
    <r>
      <rPr>
        <b/>
        <sz val="10"/>
        <rFont val="Arial"/>
        <family val="2"/>
        <charset val="1"/>
      </rPr>
      <t xml:space="preserve"> for Screed concrete 50mm average thick.</t>
    </r>
  </si>
  <si>
    <t>12mm HBG graded metal</t>
  </si>
  <si>
    <t>Screed Concrete 50 mm thick :</t>
  </si>
  <si>
    <t>4 F</t>
  </si>
  <si>
    <t>5 F</t>
  </si>
  <si>
    <t>6 F</t>
  </si>
  <si>
    <t>Ornamental borders by providing 20 mm thick raised bands of 300 mm wide  in plain cement mortor bands in CM(1:4)   360 Kg including cost and conveyence of all materials, labour charges and scaffolding s etc., curing, overheads &amp; contractors profit etc., complete for finished item of work.</t>
  </si>
  <si>
    <t>(BLD-CSTN-8-17)</t>
  </si>
  <si>
    <t>Unit : 10sqm</t>
  </si>
  <si>
    <t>Cement mortar 1:4</t>
  </si>
  <si>
    <t>B. LABOUR</t>
  </si>
  <si>
    <t>Mason 1st class</t>
  </si>
  <si>
    <t>Mazdoor (unskiled)</t>
  </si>
  <si>
    <t xml:space="preserve">Add water charges 1% </t>
  </si>
  <si>
    <t>Rate per 10 Sqm</t>
  </si>
  <si>
    <t>Cost for 10 metres long and 10 cm wide band</t>
  </si>
  <si>
    <t>Cost for 1 metres long and 10 cm wide band</t>
  </si>
  <si>
    <t>Ornamental borders by providing 20 mm thick raised bands of 230 mm wide  in plain cement mortor bands in CM(1:4)   360 Kg ,including cost and conveyence of all materials, labour charges and scaffolding s etc., curing, overheads &amp; contractors profit etc., complete for finished item of work.</t>
  </si>
  <si>
    <t>Cost for 1 metres long and 23 cm wide band</t>
  </si>
  <si>
    <t>RM</t>
  </si>
  <si>
    <t>Ornamental borders by providing 20 mm thick raised bands of 100 mm wide  in plain cement mortor bands in CM(1:4)   360 Kg ,including cost and conveyence of all materials, labour charges and scaffolding s etc., curing, overheads &amp; contractors profit etc., complete for finished item of work.</t>
  </si>
  <si>
    <r>
      <t>Brick masonry for panel walls 340mm thick in superstructure with CM (1:8) prop: (Cement : Screened sand) using common burnt clay bricks</t>
    </r>
    <r>
      <rPr>
        <sz val="10"/>
        <rFont val="Arial"/>
        <family val="2"/>
        <charset val="1"/>
      </rPr>
      <t xml:space="preserve"> of class as per Table- I of IS:1077-1992, Non- Modular or traditional </t>
    </r>
    <r>
      <rPr>
        <b/>
        <sz val="10"/>
        <rFont val="Arial"/>
        <family val="2"/>
        <charset val="1"/>
      </rPr>
      <t>size 23 x 11 x 7 cms</t>
    </r>
    <r>
      <rPr>
        <sz val="10"/>
        <rFont val="Arial"/>
        <family val="2"/>
        <charset val="1"/>
      </rPr>
      <t xml:space="preserve">  from approved source having minimum crushing strength of 40 Kg/Sqcm. including cost and conveyance of all materials like cement, screened sand, bricks, water etc., to site, including sales &amp; other taxes on all materials and such as labour charges, like mixing cement mortar, scaffolding charges, constructing masonry, lift charges, curing, etc.,and overheads &amp; contractors profit  complete for finished item of work. (APSS No. 501 &amp; 504).</t>
    </r>
  </si>
  <si>
    <t>(BLD-CSTN-5-5)</t>
  </si>
  <si>
    <t>Common burnt clay bricks 23x11x7cms</t>
  </si>
  <si>
    <t>Cum.</t>
  </si>
  <si>
    <t>water charges @ 1%</t>
  </si>
  <si>
    <t>Hire charges for Access Scaffolding</t>
  </si>
  <si>
    <t>Labour charges for scaffolding</t>
  </si>
  <si>
    <r>
      <t>Brick masonry for panel walls in superstructure</t>
    </r>
    <r>
      <rPr>
        <sz val="10"/>
        <rFont val="Arial"/>
        <family val="2"/>
        <charset val="1"/>
      </rPr>
      <t xml:space="preserve"> with CM (1:8) prop: (Cement : Screened sand) </t>
    </r>
    <r>
      <rPr>
        <b/>
        <sz val="10"/>
        <rFont val="Arial"/>
        <family val="2"/>
        <charset val="1"/>
      </rPr>
      <t xml:space="preserve">using common burnt clay bricks </t>
    </r>
    <r>
      <rPr>
        <sz val="10"/>
        <rFont val="Arial"/>
        <family val="2"/>
        <charset val="1"/>
      </rPr>
      <t>of class as per Table- I of IS:1077-1992, Non- Modular or traditional</t>
    </r>
    <r>
      <rPr>
        <b/>
        <sz val="10"/>
        <rFont val="Arial"/>
        <family val="2"/>
        <charset val="1"/>
      </rPr>
      <t xml:space="preserve"> size 23 x 11 x 7 cms </t>
    </r>
    <r>
      <rPr>
        <sz val="10"/>
        <rFont val="Arial"/>
        <family val="2"/>
        <charset val="1"/>
      </rPr>
      <t xml:space="preserve"> from approved source having minimum crushing strength of 40 Kg/Sqcm. including cost and conveyance of all materials like cement, screened sand, bricks, water etc., to site, including sales &amp; other taxes on all materials and such as labour charges, like mixing cement mortar, scaffolding charges, constructing masonry, lift charges, curing, etc.,and overheads &amp; contractors profit  complete for finished item of work. (APSS No. 501 &amp; 504).</t>
    </r>
  </si>
  <si>
    <t>cu.m.</t>
  </si>
  <si>
    <t>Up to basement</t>
  </si>
  <si>
    <t>Rate as worked out above</t>
  </si>
  <si>
    <t>Superstructure :</t>
  </si>
  <si>
    <r>
      <t>Reinforced Brick Masonry for partition walls</t>
    </r>
    <r>
      <rPr>
        <sz val="10"/>
        <rFont val="Arial"/>
        <family val="2"/>
        <charset val="1"/>
      </rPr>
      <t xml:space="preserve"> </t>
    </r>
    <r>
      <rPr>
        <b/>
        <sz val="10"/>
        <rFont val="Arial"/>
        <family val="2"/>
        <charset val="1"/>
      </rPr>
      <t>(11.0 cm thick)</t>
    </r>
    <r>
      <rPr>
        <sz val="10"/>
        <rFont val="Arial"/>
        <family val="2"/>
        <charset val="1"/>
      </rPr>
      <t xml:space="preserve"> in CM (1:4) prop. (Cement : Screened sand) using</t>
    </r>
    <r>
      <rPr>
        <b/>
        <sz val="10"/>
        <rFont val="Arial"/>
        <family val="2"/>
        <charset val="1"/>
      </rPr>
      <t xml:space="preserve"> common burnt clay bricks of </t>
    </r>
    <r>
      <rPr>
        <sz val="10"/>
        <rFont val="Arial"/>
        <family val="2"/>
        <charset val="1"/>
      </rPr>
      <t>class as per Table- I of IS:1077-1992, Non- Modular or traditiona</t>
    </r>
    <r>
      <rPr>
        <b/>
        <sz val="10"/>
        <rFont val="Arial"/>
        <family val="2"/>
        <charset val="1"/>
      </rPr>
      <t xml:space="preserve">l size    23 x 11 x 7 cms </t>
    </r>
    <r>
      <rPr>
        <sz val="10"/>
        <rFont val="Arial"/>
        <family val="2"/>
        <charset val="1"/>
      </rPr>
      <t>from approved source having minimum crushing strength of 40 Kg/Sq.cm and placing 2 Nos. of 6mm M.S plain rods in every third layer with free ends of the reinforcement pegged into mortar joints of main brick walls where applicable including cost and conveyance of all materials like cement, steel, sand, bricks, water etc., to site, including sales &amp; other taxes on all materials, all operational, incidental charges such as labour charges for mixing cement mortar, scaffolding charges, constructing masonry, lift charges, curing, etc., and overheads &amp; contractors profit  but excluding cost of steel and its fabrication charges complete for finished item of work. (APSS No. of 501 &amp; 509).</t>
    </r>
  </si>
  <si>
    <t>(BLD-CSTN-5-12)</t>
  </si>
  <si>
    <t>Unit - 10sqm</t>
  </si>
  <si>
    <r>
      <t>Masonry work</t>
    </r>
    <r>
      <rPr>
        <sz val="10"/>
        <rFont val="Arial"/>
        <family val="2"/>
        <charset val="1"/>
      </rPr>
      <t xml:space="preserve"> </t>
    </r>
    <r>
      <rPr>
        <b/>
        <sz val="10"/>
        <rFont val="Arial"/>
        <family val="2"/>
        <charset val="1"/>
      </rPr>
      <t xml:space="preserve">in CM(1:6) </t>
    </r>
    <r>
      <rPr>
        <sz val="10"/>
        <rFont val="Arial"/>
        <family val="2"/>
        <charset val="1"/>
      </rPr>
      <t>prop  (Cement : Screened sand) in superstructure with</t>
    </r>
    <r>
      <rPr>
        <b/>
        <sz val="10"/>
        <rFont val="Arial"/>
        <family val="2"/>
        <charset val="1"/>
      </rPr>
      <t xml:space="preserve"> fly ash cement / lime solid blocks of size 290mm x 225mm x 140mm </t>
    </r>
    <r>
      <rPr>
        <sz val="10"/>
        <rFont val="Arial"/>
        <family val="2"/>
        <charset val="1"/>
      </rPr>
      <t>from approved source having minimum crushing strength of 50 Kg/Sqcm. including cost and conveyance of all materials like cement, sand, bricks, water etc., to site, including sales &amp; other taxes on all materials and such as labour charges, like mixing cement mortar, scaffolding charges, constructing masonry, lift charges, curing, overheads and contractor profit etc., complete for finished item of work. (APSS No. 501 &amp; 504).</t>
    </r>
  </si>
  <si>
    <t>(BLD-CSTN-5-17)</t>
  </si>
  <si>
    <t>Unit = 1 Cum</t>
  </si>
  <si>
    <t>No of blocks required for 
1 Cum of Masonry</t>
  </si>
  <si>
    <t>B .LABOUR</t>
  </si>
  <si>
    <t>Mason 2nd class</t>
  </si>
  <si>
    <t>Man Mazdoor</t>
  </si>
  <si>
    <t>Woman Mazdoor</t>
  </si>
  <si>
    <t>Rate for Foundation , Basement , Compound wall</t>
  </si>
  <si>
    <t>Rate as above</t>
  </si>
  <si>
    <r>
      <t>Reinforced  Masonry for partition walls</t>
    </r>
    <r>
      <rPr>
        <sz val="10"/>
        <rFont val="Arial"/>
        <family val="2"/>
        <charset val="1"/>
      </rPr>
      <t xml:space="preserve"> (</t>
    </r>
    <r>
      <rPr>
        <b/>
        <sz val="10"/>
        <rFont val="Arial"/>
        <family val="2"/>
        <charset val="1"/>
      </rPr>
      <t>100 mm</t>
    </r>
    <r>
      <rPr>
        <sz val="10"/>
        <rFont val="Arial"/>
        <family val="2"/>
        <charset val="1"/>
      </rPr>
      <t xml:space="preserve"> </t>
    </r>
    <r>
      <rPr>
        <b/>
        <sz val="10"/>
        <rFont val="Arial"/>
        <family val="2"/>
        <charset val="1"/>
      </rPr>
      <t>thick)</t>
    </r>
    <r>
      <rPr>
        <sz val="10"/>
        <rFont val="Arial"/>
        <family val="2"/>
        <charset val="1"/>
      </rPr>
      <t xml:space="preserve"> in CM (1:4) prop.  (Cement : Screened sand) using </t>
    </r>
    <r>
      <rPr>
        <b/>
        <sz val="10"/>
        <rFont val="Arial"/>
        <family val="2"/>
        <charset val="1"/>
      </rPr>
      <t>fly ash cement / lime solid blocks</t>
    </r>
    <r>
      <rPr>
        <sz val="10"/>
        <rFont val="Arial"/>
        <family val="2"/>
        <charset val="1"/>
      </rPr>
      <t xml:space="preserve"> </t>
    </r>
    <r>
      <rPr>
        <b/>
        <sz val="10"/>
        <rFont val="Arial"/>
        <family val="2"/>
        <charset val="1"/>
      </rPr>
      <t>of size 290mm x 100mm x 140mm</t>
    </r>
    <r>
      <rPr>
        <sz val="10"/>
        <rFont val="Arial"/>
        <family val="2"/>
        <charset val="1"/>
      </rPr>
      <t xml:space="preserve"> having minimum compressive strength of 50 Kg/Sq.cmand placing 2 Nos. of 6mm M.S plain rods in every third layer with free ends of the reinforcement pegged into mortar joints of main brick walls where applicable including cost and conveyance of all materials like cement, steel, sand, bricks, water etc., to site, including sales &amp; other taxes on all materials, all operational, incidental charges such as labour charges for mixing cement mortar, scaffolding charges, constructing masonry, lift charges, curing, etc., and overheads &amp; contractors profit  but excluding cost of steel and its fabrication charges complete for finished item of work. (APSS No. of 509) </t>
    </r>
  </si>
  <si>
    <t xml:space="preserve"> (BLD-CSTN-5-12)</t>
  </si>
  <si>
    <t>Flyash lime solid blocks  TBSC-A.II-11</t>
  </si>
  <si>
    <t>Internal walls :</t>
  </si>
  <si>
    <r>
      <t xml:space="preserve">Masonry work in CM (1:6) prop (cement: Screened sand) in super structure with </t>
    </r>
    <r>
      <rPr>
        <b/>
        <sz val="10"/>
        <rFont val="Arial"/>
        <family val="2"/>
        <charset val="1"/>
      </rPr>
      <t>Aerated (Cellular)</t>
    </r>
    <r>
      <rPr>
        <sz val="10"/>
        <rFont val="Arial"/>
        <family val="2"/>
        <charset val="1"/>
      </rPr>
      <t xml:space="preserve"> </t>
    </r>
    <r>
      <rPr>
        <b/>
        <sz val="10"/>
        <rFont val="Arial"/>
        <family val="2"/>
        <charset val="1"/>
      </rPr>
      <t>Autoclaved Concrete Blocks</t>
    </r>
    <r>
      <rPr>
        <sz val="10"/>
        <rFont val="Arial"/>
        <family val="2"/>
        <charset val="1"/>
      </rPr>
      <t xml:space="preserve"> conforming to IS:2185 (Part-3) - 1984 and IS:6441-1972 of Compressive strength 3 N/mm2  </t>
    </r>
    <r>
      <rPr>
        <b/>
        <sz val="10"/>
        <rFont val="Arial"/>
        <family val="2"/>
        <charset val="1"/>
      </rPr>
      <t xml:space="preserve">600x 230 x 200 mm </t>
    </r>
    <r>
      <rPr>
        <sz val="10"/>
        <rFont val="Arial"/>
        <family val="2"/>
        <charset val="1"/>
      </rPr>
      <t>from approved source having minimum crushing strength of 3 N/Sq.m including cost and conveyance of all materials like cement, sand, bricks, water etc., to site, including  sales &amp; other taxes on all materials, all operational, incidental and labour charges such as mixing cement mortar, constructing masonry, scaffolding charges, lift charges, curing, etc., complete but excluding seigniorage charges for finished item of work. (APSS No. 501 &amp; 504).</t>
    </r>
  </si>
  <si>
    <t>Women Mazdoor</t>
  </si>
  <si>
    <r>
      <t xml:space="preserve">Masonry work 100 mm thick in CM (1:4) prop (cement: Screened sand) in </t>
    </r>
    <r>
      <rPr>
        <b/>
        <sz val="10"/>
        <rFont val="Arial"/>
        <family val="2"/>
        <charset val="1"/>
      </rPr>
      <t xml:space="preserve">super structure with Aerated (Cellular) Autoclaved Concrete Blocks </t>
    </r>
    <r>
      <rPr>
        <sz val="10"/>
        <rFont val="Arial"/>
        <family val="2"/>
        <charset val="1"/>
      </rPr>
      <t xml:space="preserve">conforming to IS:2185 (Part-3) - 1984 and IS:6441-1972 of Compressive strength 3 N/mm2 </t>
    </r>
    <r>
      <rPr>
        <b/>
        <sz val="10"/>
        <rFont val="Arial"/>
        <family val="2"/>
        <charset val="1"/>
      </rPr>
      <t xml:space="preserve"> 600x 200 x 100</t>
    </r>
    <r>
      <rPr>
        <sz val="10"/>
        <rFont val="Arial"/>
        <family val="2"/>
        <charset val="1"/>
      </rPr>
      <t xml:space="preserve"> mm from approved source having minimum crushing strength of 3 N/Sq.m including cost and conveyance of all materials like cement, sand, bricks, water etc., to site, including  sales &amp; other taxes on all materials, all operational, incidental and labour charges such as mixing cement mortar, constructing masonry, scaffolding charges, lift charges, curing, etc., complete but excluding seigniorage charges for finished item of work. (APSS No. 501 &amp; 504).</t>
    </r>
  </si>
  <si>
    <t>Flyash lime solid blocks</t>
  </si>
  <si>
    <r>
      <t>Plain Cement Concrete (1:3:6)</t>
    </r>
    <r>
      <rPr>
        <sz val="10"/>
        <rFont val="Arial"/>
        <family val="2"/>
        <charset val="1"/>
      </rPr>
      <t xml:space="preserve"> </t>
    </r>
    <r>
      <rPr>
        <b/>
        <sz val="10"/>
        <rFont val="Arial"/>
        <family val="2"/>
        <charset val="1"/>
      </rPr>
      <t>nominal mix</t>
    </r>
    <r>
      <rPr>
        <sz val="10"/>
        <rFont val="Arial"/>
        <family val="2"/>
        <charset val="1"/>
      </rPr>
      <t xml:space="preserve"> using 20mm size graded machine crushed hard granite metal (coarse aggregate - as per IS 383 - 1970 and IS 2386 Part 1 to Part 8) from approved quarry including cost and conveyance of all materials like cement, fine aggregate(sand), coarse aggregate, water etc. to site, including sales &amp; other taxes on all materials and including all charges for mixing, laying concrete in position, curing etc., &amp; lift charges , and overheads &amp; contractors profit for </t>
    </r>
    <r>
      <rPr>
        <b/>
        <sz val="10"/>
        <rFont val="Arial"/>
        <family val="2"/>
        <charset val="1"/>
      </rPr>
      <t xml:space="preserve">Bed Blocks &amp; Hold Fasts </t>
    </r>
    <r>
      <rPr>
        <sz val="10"/>
        <rFont val="Arial"/>
        <family val="2"/>
        <charset val="1"/>
      </rPr>
      <t>for finished item of work. (APSS No. 402)</t>
    </r>
  </si>
  <si>
    <r>
      <t xml:space="preserve">Plain Cement Concrete M 20 </t>
    </r>
    <r>
      <rPr>
        <sz val="10"/>
        <rFont val="Arial"/>
        <family val="2"/>
        <charset val="1"/>
      </rPr>
      <t>nominal mix using WEIGH BATCHER / MIXER, 20mm size hard granite machine crushed graded metal (coarse aggregate - as per IS 383 - 1970 and IS 2386 Part 1 to Part 8) from approved quarry, using a minimum quantity of 300 kgs. of cement per 1 cum of concrete including cost and conveyance of  all materials  like cement,  fine aggregate (Sand), coarse aggregate, water etc., to site  including steel centering, shuttering, machine mixing,  lift charges, laying concrete,vibrating, curing, overheads &amp; Contractor's profit etc., complete  for finished item of work</t>
    </r>
    <r>
      <rPr>
        <b/>
        <sz val="10"/>
        <rFont val="Arial"/>
        <family val="2"/>
        <charset val="1"/>
      </rPr>
      <t xml:space="preserve"> for coping on top of compound wall</t>
    </r>
    <r>
      <rPr>
        <sz val="10"/>
        <rFont val="Arial"/>
        <family val="2"/>
        <charset val="1"/>
      </rPr>
      <t xml:space="preserve"> (APSS No. 402 &amp; 403). </t>
    </r>
  </si>
  <si>
    <t xml:space="preserve"> (BLD-CSTN-3-11)</t>
  </si>
  <si>
    <r>
      <t xml:space="preserve">Plain Cement Concrete M 20 </t>
    </r>
    <r>
      <rPr>
        <sz val="10"/>
        <rFont val="Arial"/>
        <family val="2"/>
        <charset val="1"/>
      </rPr>
      <t xml:space="preserve">design mix using Concrete Batching Plant, 20mm size hard granite machine crushed graded metal (coarse aggregate - as per IS 383 - 1970 and IS 2386 Part 1 to Part 8) from approved quarry, using a minimum quantity of 330 kgs. of cement per 1 cum of concrete including cost and conveyance of  all materials  like cement,  fine aggregate (Sand), coarse aggregate, water etc., to site  including steel centering, shuttering, machine mixing,  lift charges, laying concrete,vibrating, curing, overheads &amp; Contractor's profit etc., complete  for finished item of work (APSS No. 402 &amp; 403) </t>
    </r>
    <r>
      <rPr>
        <b/>
        <sz val="10"/>
        <rFont val="Arial"/>
        <family val="2"/>
        <charset val="1"/>
      </rPr>
      <t xml:space="preserve">for steps. </t>
    </r>
  </si>
  <si>
    <t>(BLD-CSTN-3-16) Unit : 1cum</t>
  </si>
  <si>
    <t>Cost of M 20 design mix</t>
  </si>
  <si>
    <r>
      <t>Reinforced Cement Concrete M 20 design mix</t>
    </r>
    <r>
      <rPr>
        <sz val="10"/>
        <rFont val="Arial"/>
        <family val="2"/>
        <charset val="1"/>
      </rPr>
      <t xml:space="preserve"> using 12mm size hard granite machine crushed graded metal (coarse aggregate - as per IS 383 - 1970 and IS 2386 Part 1 to Part 8) from approved quarry, using a minimum quantity of 350 kgs. of cement per 1 cum of concrete using Concrete Batching Plant including cost and conveyance of  all materials  like cement,  fine aggregate (Sand), coarse aggregate, water etc., to site including steel centering, shuttering, machine mixing, laying concrete, lift charges, curing etc., and overheads &amp; contractors profit complete  for finished item of work (APSS No. 402 &amp; 403) </t>
    </r>
    <r>
      <rPr>
        <b/>
        <sz val="10"/>
        <rFont val="Arial"/>
        <family val="2"/>
        <charset val="1"/>
      </rPr>
      <t xml:space="preserve">for sill slabs.  </t>
    </r>
  </si>
  <si>
    <t>(BLD-CSTN-3-13 - A)</t>
  </si>
  <si>
    <t>Water (including for curing)</t>
  </si>
  <si>
    <t>Basic cost per 1 cum</t>
  </si>
  <si>
    <r>
      <t>Reinforced Cement Concrete  M 20 design mix</t>
    </r>
    <r>
      <rPr>
        <sz val="10"/>
        <rFont val="Arial"/>
        <family val="2"/>
        <charset val="1"/>
      </rPr>
      <t xml:space="preserve"> using 12mm size hard granite machine crushed graded metal (coarse aggregate - as per IS 383 - 1970 and IS 2386 Part 1 to Part 8) from approved quarry, using a minimum quantity of 350 kgs. of cement per 1 cum of concrete using Concrete Batching Plant including cost and conveyance of  all materials  like cement,  fine aggregate (Sand), coarse aggregate, water etc., to site including steel centering, shuttering,  labour charges such as weigh batching, machine mixing, laying concrete, lift charges, curing etc., and overheads &amp; contractors profit complete  for finished item of work (APSS No. 402 &amp; 403) 
</t>
    </r>
    <r>
      <rPr>
        <b/>
        <sz val="10"/>
        <rFont val="Arial"/>
        <family val="2"/>
        <charset val="1"/>
      </rPr>
      <t xml:space="preserve">for  platforms and shelves.  </t>
    </r>
  </si>
  <si>
    <t>Basic cost per 1cum</t>
  </si>
  <si>
    <t>50mm thick platforms :</t>
  </si>
  <si>
    <t>Hire charges of centering and scaffolding (50% of roof slab)</t>
  </si>
  <si>
    <t>25mm thick shelves :</t>
  </si>
  <si>
    <t>Rate per 1sqm</t>
  </si>
  <si>
    <t>Hire charges of centering and scaffolding (25% of roof slab)</t>
  </si>
  <si>
    <r>
      <t xml:space="preserve">Reinforced Cement Concrete  M 20 design mix </t>
    </r>
    <r>
      <rPr>
        <sz val="10"/>
        <rFont val="Arial"/>
        <family val="2"/>
        <charset val="1"/>
      </rPr>
      <t xml:space="preserve">using 12mm size hard granite machine crushed graded metal (coarse aggregate - as per IS 383 - 1970 and IS 2386 Part 1 to Part 8) from approved quarry, using a minimum quantity of 350 kgs. of cement per 1 cum of concrete using WEIGH BATCHER / MIXER including cost and conveyance of  all materials  like cement,  fine aggregate (Sand), coarse aggregate, water etc., to site including steel centering, shuttering,  labour charges such as weigh batching, machine mixing, laying concrete, lift charges, curing etc., and overheads &amp; contractors profit complete  for finished item of work (APSS No. 402 &amp; 403) </t>
    </r>
    <r>
      <rPr>
        <b/>
        <sz val="10"/>
        <rFont val="Arial"/>
        <family val="2"/>
        <charset val="1"/>
      </rPr>
      <t>for  Platforms &amp; Shelves</t>
    </r>
  </si>
  <si>
    <t>75mm thick platforms :</t>
  </si>
  <si>
    <r>
      <t>Providing Thermo Mechanically Treated (TMT) (Fe -500/500D/550D from Primary producer TATA, SAIL, VSP, JSW &amp;Shyam Steel, Goel Steel, Jindal Panther, X-Vega &amp; Balaji Shakthi as per IS 1786-2008) of different diameters for RCC works</t>
    </r>
    <r>
      <rPr>
        <sz val="10"/>
        <rFont val="Arial"/>
        <family val="2"/>
        <charset val="1"/>
      </rPr>
      <t xml:space="preserve"> , including labour charges for straightening, cutting, bending to required sizes and shapes, placing in position with cover blocks of approved materials and size and tying and lap-splicing with binding wire of 18 SWG, forming grills for reinforcement work as per approved designs and drawings, including cost and conveyance of steel bars, including all wastages such as overlaps, couplings, chairs, spacer bars including cost and conveyance of binding wire, cover blocks and all incidental, operational, labour charges such as cutting, bending, placing in position, tying including sales and other taxes on all materials etc. ,and overheads &amp; contractors profit complete for finished item of work.( APSS No.126)</t>
    </r>
  </si>
  <si>
    <t>(BLD-CSTN-4.2)&amp; Amendment in SoR 2011-12 page No. 392</t>
  </si>
  <si>
    <t>Unit - 1 MT</t>
  </si>
  <si>
    <t>Material</t>
  </si>
  <si>
    <t>TMT bars including 5% for overlaps and wastage</t>
  </si>
  <si>
    <t>Binding wire</t>
  </si>
  <si>
    <r>
      <t xml:space="preserve">Labour </t>
    </r>
    <r>
      <rPr>
        <sz val="10"/>
        <rFont val="Arial"/>
        <family val="2"/>
        <charset val="1"/>
      </rPr>
      <t>for cutting , bending , shifting to site , tying and placing in position</t>
    </r>
  </si>
  <si>
    <t>1st class Blacksmith / Barbender</t>
  </si>
  <si>
    <t>2nd class Blacksmith / Barbender</t>
  </si>
  <si>
    <t>Mazdoor(Unskilled)</t>
  </si>
  <si>
    <t xml:space="preserve">Lift charges ( Page 131 of Std. Data )                                               </t>
  </si>
  <si>
    <t>Rate per 1 MT</t>
  </si>
  <si>
    <t>7 F</t>
  </si>
  <si>
    <t>8 F</t>
  </si>
  <si>
    <t>9 F</t>
  </si>
  <si>
    <r>
      <t xml:space="preserve">Providing Mild steel (MS) steel bars (Fe 250 grade as per IS 432) </t>
    </r>
    <r>
      <rPr>
        <sz val="10"/>
        <rFont val="Arial"/>
        <family val="2"/>
        <charset val="1"/>
      </rPr>
      <t>of different diameters including labour charges for straightening, cutting, bending to required sizes and shapes, placing in position with cover blocks of approved materials and size and tying and lap-splicing with binding wire of 18 SWG, forming grills for reinforcement work as per approved designs and drawings, including cost and conveyance of steel bars, including all wastages such as overlaps, couplings, chairs, spacer bars including cost and conveyance of binding wire, cover blocks and all incidental, operational, labour charges such as cutting, bending, placing in position, tying including sales and other taxes on all materials etc. ,and overheads &amp; contractors profit complete for finished item of work.( APSS No.126)</t>
    </r>
  </si>
  <si>
    <t>Mild steel bars including 5% for overlaps and wastage</t>
  </si>
  <si>
    <t>Labour for cutting , bending , shifting to site , tying and placing in position</t>
  </si>
  <si>
    <t xml:space="preserve">Lift charges ( Page 131 of Std. Data )                                              </t>
  </si>
  <si>
    <r>
      <t xml:space="preserve">Ornamental ceiling plastering 12mm thick in two coats </t>
    </r>
    <r>
      <rPr>
        <sz val="10"/>
        <rFont val="Arial"/>
        <family val="2"/>
        <charset val="1"/>
      </rPr>
      <t xml:space="preserve">using screened sand with base coat of 8mm thick in CM (1:6) and top coat of 4mm thick in CM (1:4) with dubara sponge finishing including cost and conveyance of all materials like cement, sand, water etc., to site, including sales &amp; other taxes on all materials, and all operational, incidental charges on materials and including cost of all labour charges for mixing mortar, finishing, scaffolding, lift charges, curing, including cutting grooves as directed by Engineer-in- harge etc., and overheads &amp; contractors profit complete  for finished item of work. (SS 901,903 &amp; 904) </t>
    </r>
  </si>
  <si>
    <t>(BLD-CSTN-8-3)</t>
  </si>
  <si>
    <t>Unit : 10 sqm</t>
  </si>
  <si>
    <t>Base coat in CM(1:6) , 8mm thick</t>
  </si>
  <si>
    <t xml:space="preserve">Cement </t>
  </si>
  <si>
    <t>Fine aggregate (Sand)</t>
  </si>
  <si>
    <t>Top coat in CM(1:4) , 4mm thick</t>
  </si>
  <si>
    <t>1st Class Mason</t>
  </si>
  <si>
    <t>2nd Class Mason</t>
  </si>
  <si>
    <t xml:space="preserve">Hire charges for Access Scaffolding </t>
  </si>
  <si>
    <r>
      <t>Plastering 12mm thick in two coats</t>
    </r>
    <r>
      <rPr>
        <sz val="10"/>
        <rFont val="Arial"/>
        <family val="2"/>
        <charset val="1"/>
      </rPr>
      <t xml:space="preserve"> using screened sand with base coat of 8mm thick in CM (1:6) and top coat of 4mm thick in CM (1:4) with dubara sponge finishing including cost and conveyance of all materials like cement, sand, water etc., to site, including sales &amp; other taxes on all materials, and all operational, incidental charges on materials and including cost of all labour charges for mixing mortar, finishing, scaffolding, lift charges, curing, including cutting grooves as directed by Engineer-in-charge etc., and overheads &amp; contractors profit complete </t>
    </r>
    <r>
      <rPr>
        <b/>
        <sz val="10"/>
        <rFont val="Arial"/>
        <family val="2"/>
        <charset val="1"/>
      </rPr>
      <t xml:space="preserve"> </t>
    </r>
    <r>
      <rPr>
        <sz val="10"/>
        <rFont val="Arial"/>
        <family val="2"/>
        <charset val="1"/>
      </rPr>
      <t>for</t>
    </r>
    <r>
      <rPr>
        <b/>
        <sz val="10"/>
        <rFont val="Arial"/>
        <family val="2"/>
        <charset val="1"/>
      </rPr>
      <t xml:space="preserve"> </t>
    </r>
    <r>
      <rPr>
        <sz val="10"/>
        <rFont val="Arial"/>
        <family val="2"/>
        <charset val="1"/>
      </rPr>
      <t xml:space="preserve">finished item of work. (SS 901,903 &amp; 904). </t>
    </r>
  </si>
  <si>
    <t>( BLD-CSTN-8-10)</t>
  </si>
  <si>
    <t>Walls in superstructure :</t>
  </si>
  <si>
    <r>
      <t xml:space="preserve">Plastering 12mm thick single coat in CM(1:5) </t>
    </r>
    <r>
      <rPr>
        <sz val="10"/>
        <rFont val="Arial"/>
        <family val="2"/>
        <charset val="1"/>
      </rPr>
      <t xml:space="preserve">using screened sand including cost and conveyance of all materials like cement, sand, water etc., to site, including sales &amp; other taxes on all materials, and all operational, incidental charges on materials and including cost of all labour charges for mixing mortar, finishing, curing as directed by Engineer-in-charge etc., and overheads &amp; contractors profit complete for finished item of work.(SS 901,903 &amp; 904) </t>
    </r>
  </si>
  <si>
    <t>for basement :</t>
  </si>
  <si>
    <r>
      <t xml:space="preserve">Plastering 20mm thick in two coats </t>
    </r>
    <r>
      <rPr>
        <sz val="10"/>
        <rFont val="Arial"/>
        <family val="2"/>
        <charset val="1"/>
      </rPr>
      <t xml:space="preserve">using screened sand with base coat of 16mm thick in CM(1:6) and top coat of 4mm thick in CM(1:4) with dubara sponge finishing including cost and conveyance of all materials like cement, sand, water etc., to site, including sales &amp; other taxes on all materials, and all operational, incidental charges on materials and including cost of all labour charges for mixing mortar, finishing, scaffolding, lift charges, curing, including cutting grooves as directed by Engineer-in-charge etc., and overheads &amp; contractors profit complete for finished item of work .(SS 901,903 &amp; 904). </t>
    </r>
  </si>
  <si>
    <t>(BLD-CSTN-8-9)</t>
  </si>
  <si>
    <t>Base coat in CM(1:6) , 16mm thick</t>
  </si>
  <si>
    <t>Top coat in CM(1:4), 4mm thick</t>
  </si>
  <si>
    <r>
      <t>Plastering 20mm thick single coat in CM(1:5)</t>
    </r>
    <r>
      <rPr>
        <sz val="10"/>
        <rFont val="Arial"/>
        <family val="2"/>
        <charset val="1"/>
      </rPr>
      <t xml:space="preserve"> using screened sand including cost and conveyance of all materials like cement, sand, water etc., to site, including sales &amp; other taxes on all materials, and all operational, incidental charges on materials and including cost of all labour charges for mixing mortar, finishing, curing as directed by Engineer-in-charge etc., and overheads &amp; contractors profit complete for finished item of work .(SS 901,903 &amp; 904)</t>
    </r>
  </si>
  <si>
    <t>(BLD-CSTN-8-8)</t>
  </si>
  <si>
    <r>
      <t>Providing impervious coat</t>
    </r>
    <r>
      <rPr>
        <sz val="10"/>
        <rFont val="Arial"/>
        <family val="2"/>
        <charset val="1"/>
      </rPr>
      <t xml:space="preserve"> to </t>
    </r>
    <r>
      <rPr>
        <b/>
        <sz val="10"/>
        <rFont val="Arial"/>
        <family val="2"/>
        <charset val="1"/>
      </rPr>
      <t xml:space="preserve">exposed RCC roof slab surfaces </t>
    </r>
    <r>
      <rPr>
        <sz val="10"/>
        <rFont val="Arial"/>
        <family val="2"/>
        <charset val="1"/>
      </rPr>
      <t xml:space="preserve">to required slopes with CM (1:3) prop. using screened sand </t>
    </r>
    <r>
      <rPr>
        <b/>
        <sz val="10"/>
        <rFont val="Arial"/>
        <family val="2"/>
        <charset val="1"/>
      </rPr>
      <t xml:space="preserve">20mm thick </t>
    </r>
    <r>
      <rPr>
        <sz val="10"/>
        <rFont val="Arial"/>
        <family val="2"/>
        <charset val="1"/>
      </rPr>
      <t>(average) mixed with integral cement water proofing liquid confirming to IS: 2645-2003 manufactured by reputed manufacturers as approved by Engineer-in-charge at 1 Kg per one bag of cement, laid over roof slab when it is green, finished smooth with a floating coat of neat cement and thread lining at regular intervals of 45cmx45cm including cost and conveyance of all materials like cement, sand, water proofing compound, water etc., to site, including sales &amp; other taxes on all materials and operational, incidental, and labour charges for mixing mortar, laying, lift charges, rendering smooth and thread lining, curing including rounding off junctions of wall and slab etc., and overheads &amp; contractors profit  complete for finished item of work. (APSS No. 901 &amp; 903).</t>
    </r>
  </si>
  <si>
    <t>(BLD-CSTN-10-25)</t>
  </si>
  <si>
    <t>Integral cement waterproofing liquid</t>
  </si>
  <si>
    <t>Ltrs</t>
  </si>
  <si>
    <r>
      <t>Providing impervious coat to exposed RCC roof slab surfaces  of sump, sump side wall,sump bottom slab, in side of septic tank, in sunken slabs etc.</t>
    </r>
    <r>
      <rPr>
        <sz val="10"/>
        <rFont val="Arial"/>
        <family val="2"/>
        <charset val="1"/>
      </rPr>
      <t xml:space="preserve"> to required slopes with </t>
    </r>
    <r>
      <rPr>
        <b/>
        <sz val="10"/>
        <rFont val="Arial"/>
        <family val="2"/>
        <charset val="1"/>
      </rPr>
      <t xml:space="preserve">CM (1:3) prop. </t>
    </r>
    <r>
      <rPr>
        <sz val="10"/>
        <rFont val="Arial"/>
        <family val="2"/>
        <charset val="1"/>
      </rPr>
      <t>using screened sand</t>
    </r>
    <r>
      <rPr>
        <b/>
        <sz val="10"/>
        <rFont val="Arial"/>
        <family val="2"/>
        <charset val="1"/>
      </rPr>
      <t xml:space="preserve"> 12mm thick</t>
    </r>
    <r>
      <rPr>
        <sz val="10"/>
        <rFont val="Arial"/>
        <family val="2"/>
        <charset val="1"/>
      </rPr>
      <t xml:space="preserve">  mixed with integral cement water proofing liquid confirming to IS: 2645-2003 manufactured by reputed manufacturers as approved by Engineer-in-charge at 1 Kg per one bag of cement, laid over roof slab when it is green, finished smooth with a floating coat of neat cement and thread lining at regular intervals of 45cmx45cm where ever necessary including cost and conveyance of all materials like cement, sand, water proofing compound, water etc., to site, including sales &amp; other taxes on all materials and operational, incidental, and labour charges for mixing mortar, laying, lift charges, rendering smooth and thread lining, curing including rounding off junctions of wall and slab etc., and overheads &amp; contractors profit complete for finished item of work. (APSS No. 901 &amp; 903).</t>
    </r>
  </si>
  <si>
    <t>(BLD-CSTN-8-2)</t>
  </si>
  <si>
    <r>
      <t xml:space="preserve">RCM facia 50mm thick in CM (1:3) </t>
    </r>
    <r>
      <rPr>
        <sz val="10"/>
        <rFont val="Arial"/>
        <family val="2"/>
        <charset val="1"/>
      </rPr>
      <t xml:space="preserve">using screened sand for drop walls, fins with rabbit wire mesh &amp; nomianl reinforcement  as directred by Engineer - In - Charge with dubara sponge finishing,including cost and conveyance of all materials to site, sales &amp; othertaxes on all materials,operationals &amp;incidental,cost and conveyance of cement,wire mesh,water to work site,centering,scaffolding and form work,lift charges etc., and overheads &amp; contractors profit complete for finished item of work but excluding cost of steel and its fabrication charges for finished item of work (APSS NO.403&amp;903). </t>
    </r>
  </si>
  <si>
    <t>(BLD-CSTN-8-11)</t>
  </si>
  <si>
    <t>A)MATERIALS</t>
  </si>
  <si>
    <t xml:space="preserve">Rabbit wire mesh </t>
  </si>
  <si>
    <t>Cement  for base coat and plastering</t>
  </si>
  <si>
    <t>Cement  for lumps</t>
  </si>
  <si>
    <t>12mm plastering 2 coats in 1:6 &amp; 1:4 both sides</t>
  </si>
  <si>
    <t>Excluding HYSD steel/mild steel &amp; binding wire</t>
  </si>
  <si>
    <t>B) LABOUR CHARGES</t>
  </si>
  <si>
    <t>Operator concrete mixer</t>
  </si>
  <si>
    <t>C)Machinery :</t>
  </si>
  <si>
    <t xml:space="preserve">Hire charges for Access Scaffolding     </t>
  </si>
  <si>
    <t xml:space="preserve">Labour charges for scaffolding             </t>
  </si>
  <si>
    <r>
      <t>Flooring with</t>
    </r>
    <r>
      <rPr>
        <sz val="10"/>
        <rFont val="Arial"/>
        <family val="2"/>
        <charset val="1"/>
      </rPr>
      <t xml:space="preserve"> </t>
    </r>
    <r>
      <rPr>
        <b/>
        <sz val="10"/>
        <rFont val="Arial"/>
        <family val="2"/>
        <charset val="1"/>
      </rPr>
      <t xml:space="preserve">polished shahabad / Tandur stone slabs of 15mm to 18mm thick </t>
    </r>
    <r>
      <rPr>
        <sz val="10"/>
        <rFont val="Arial"/>
        <family val="2"/>
        <charset val="1"/>
      </rPr>
      <t xml:space="preserve">set over a base coat of CM (1:8) , 12mm thick using screened sand over already laid CC bed / RCC roof slab including neat cement slurry of honey like consistency spread @ 3.3 Kgs  per Sqm  and jointed with neat cement to full depth including cost and conveyance of all materials like cement, sand, water, flooring stones etc. complete including sales &amp; other taxes on  all materials including all labour charges like dressing of flooring stones to the required size, mixing of cement mortar, laying, lift charges , cost of base coat, water charges etc., and overheads &amp; contractors profit complete for finished item of work. (APSS No.703 &amp; 701) </t>
    </r>
  </si>
  <si>
    <t xml:space="preserve">(BLD-CSTN-9-1) </t>
  </si>
  <si>
    <t>Unit = 10 sqm.</t>
  </si>
  <si>
    <t>A. MATERIALS:</t>
  </si>
  <si>
    <t>Polished shahabad stone 15 to 18mm thick</t>
  </si>
  <si>
    <t>Cement for CM (1:8) proportion for base coat</t>
  </si>
  <si>
    <t>Cement for slurry</t>
  </si>
  <si>
    <t>Cement for pointing</t>
  </si>
  <si>
    <t>Sand for CM(1:8)</t>
  </si>
  <si>
    <t>Mazdoor(un skilled)</t>
  </si>
  <si>
    <t>Rate for 10 sqm</t>
  </si>
  <si>
    <t>Rate for other floors</t>
  </si>
  <si>
    <r>
      <t>Flooring with</t>
    </r>
    <r>
      <rPr>
        <sz val="10"/>
        <rFont val="Arial"/>
        <family val="2"/>
        <charset val="1"/>
      </rPr>
      <t xml:space="preserve"> </t>
    </r>
    <r>
      <rPr>
        <b/>
        <sz val="10"/>
        <rFont val="Arial"/>
        <family val="2"/>
        <charset val="1"/>
      </rPr>
      <t xml:space="preserve">Polished black Kadapa slabs 15mm to 18mm thick </t>
    </r>
    <r>
      <rPr>
        <sz val="10"/>
        <rFont val="Arial"/>
        <family val="2"/>
        <charset val="1"/>
      </rPr>
      <t xml:space="preserve">set over a base coat of CM (1:8) , 12mm thick using screened sand over already laid CC bed / RCC roof slab including neat cement slurry of honey like consistency spread @ 3.3 Kgs  per Sqm  and jointed with neat cement to full depth including cost and conveyance of all materials like cement, sand, water, flooring stones etc. complete including sales &amp; other taxes on  all materials including all labour charges like dressing of flooring stones to the required size, mixing of cement mortar, laying, lift charges , cost of base coat, water charges etc., and overheads &amp; contractors profit complete for finished item of work. (APSS No.703 &amp; 701) </t>
    </r>
  </si>
  <si>
    <t>Polished black Kadapa slabs minimum of  15mm thick</t>
  </si>
  <si>
    <r>
      <t>Flooring with non-skid full body ceramic floor tiles</t>
    </r>
    <r>
      <rPr>
        <sz val="10"/>
        <rFont val="Arial"/>
        <family val="2"/>
        <charset val="1"/>
      </rPr>
      <t xml:space="preserve"> </t>
    </r>
    <r>
      <rPr>
        <b/>
        <sz val="10"/>
        <rFont val="Arial"/>
        <family val="2"/>
        <charset val="1"/>
      </rPr>
      <t>of size 300mm x 300mm</t>
    </r>
    <r>
      <rPr>
        <sz val="10"/>
        <rFont val="Arial"/>
        <family val="2"/>
        <charset val="1"/>
      </rPr>
      <t xml:space="preserve"> and thickness between 7 - 8mm 1st quality conforming to IS: 13711, IS: 13712, IS: 13630(Part 1 to 15) of any colour and finish in all shades and designs as approved by  Engineer-in-charge, set over base coat of cement mortar (1:8), 12mm thick using screened sand over CC bed already laid or RCC roof slab, including neat cement slurry of honey like consistency spread @ 3.3 Kgs per Sqm &amp; jointed neatly with white cement paste to full depth mixed with pigment of matching shade, including cost of all materials like cement, screened sand , water and tiles etc., and overheads &amp; contractors profit complete for finished item of work. (APSS No.701 &amp; 707) </t>
    </r>
  </si>
  <si>
    <t>(BLD-CSTN-9-6)</t>
  </si>
  <si>
    <t>Ceramic tiles 7 to 8mm thick (300mm x 300mm)</t>
  </si>
  <si>
    <t>Cement for CM(1:8) proportion for base coat</t>
  </si>
  <si>
    <t>White Cement</t>
  </si>
  <si>
    <t>Rate for 10sqm</t>
  </si>
  <si>
    <r>
      <t xml:space="preserve">Flooring with non-skid full body </t>
    </r>
    <r>
      <rPr>
        <b/>
        <sz val="10"/>
        <rFont val="Arial"/>
        <family val="2"/>
        <charset val="1"/>
      </rPr>
      <t xml:space="preserve">ceramic floor tiles of size 300mm x 300mm and thickness between 7 - 8mm 1st quality </t>
    </r>
    <r>
      <rPr>
        <sz val="10"/>
        <rFont val="Arial"/>
        <family val="2"/>
        <charset val="1"/>
      </rPr>
      <t xml:space="preserve">conforming to IS: 13711, IS: 13712, IS: 13630(Part 1 to 15) of any colour and finish in all shades and designs as approved by  Engineer-in-charge, set over base coat of cement mortar (1:8), 12mm thick using screened sandover CC bed already laid or RCC roof slab, including neat cement slurry of honey like consistency spread @ 3.3 Kgs per Sqm &amp; jointed epoxy emulsion grout/ synthetic /resin adhesive in width of 3-5 mm with Nylonspacers excluding cost of tiles neatly with to full depth mixed with pigment of matching shade, including cost of all materials like cement, screened sand , water and tiles etc., and overheads &amp; contractors profit complete for finished item of work. (In toilets) (APSS No.701 &amp; 707) . </t>
    </r>
  </si>
  <si>
    <t>Cement for CM(1:8)proportion for base coat</t>
  </si>
  <si>
    <t xml:space="preserve">Providing and fixing flooring with full depth jointing and pointing to the Vitrified/ CeramicTile flooring in specified thick for tiles of any sizes with epoxy emulsion grout/ synthetic /resin adhesive in width of 3-5 mm with Nylonspacers excluding cost of tiles. </t>
  </si>
  <si>
    <t>SQM</t>
  </si>
  <si>
    <r>
      <t xml:space="preserve">Flooring with non-skid full body ceramic floor tiles of size 400mm x 400mm </t>
    </r>
    <r>
      <rPr>
        <sz val="10"/>
        <rFont val="Arial"/>
        <family val="2"/>
        <charset val="1"/>
      </rPr>
      <t>and thickness between 7 - 8mm 1st quality conforming to IS: 13711, IS: 13712, IS: 13630(Part 1 to 15) of any colour and finish in all shades and designs with borders and design as per the approved flooring pattern as directed by the Engineer-In -Charge, laying tiles using spacers of 2mm thick, set over base coat of cement mortar (1:8), 12mm thick using screened sand over CC bed already laid or RCC roof slab, including neat cement slurry of honey like consistency spread @ 3.3 Kgs per Sqm &amp; jointed neatly with white cement paste to full depth mixed with pigment of matching shade, including cost of all materials like cement, screened sand , water and tiles etc., and overheads &amp; contractors profit complete for finished item of work. (APSS No.701 &amp; 707)</t>
    </r>
  </si>
  <si>
    <t>Ceramic tiles 7 to 8mm thick 
(400mm x 400mm)</t>
  </si>
  <si>
    <r>
      <t>Flooring with</t>
    </r>
    <r>
      <rPr>
        <sz val="10"/>
        <rFont val="Arial"/>
        <family val="2"/>
        <charset val="1"/>
      </rPr>
      <t xml:space="preserve"> </t>
    </r>
    <r>
      <rPr>
        <b/>
        <sz val="10"/>
        <rFont val="Arial"/>
        <family val="2"/>
        <charset val="1"/>
      </rPr>
      <t xml:space="preserve">soluble salt porcelain vitrified tiles screen printed and polished of size 600 x 600 mm </t>
    </r>
    <r>
      <rPr>
        <sz val="10"/>
        <rFont val="Arial"/>
        <family val="2"/>
        <charset val="1"/>
      </rPr>
      <t xml:space="preserve">and thickness between 8 to 10mm 1st quality conforming to IS: 13711, IS: 13712, IS: 13630(Parts 1 to 15) of any colour and finish in all shades and designs with borders and design as per the approved flooring pattern as directed by the Engineer-In -Charge, laying tiles using spacers of 2mm thick,  set over  a base coat  of CM  (1:8) prop. 12mm thick  using screened sand over CC bed already laid or RCC roof slab , including neat cement slurry   of honey  like consistency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etc.,and overheads &amp; contractors profit complete for finished item of work. (APSS No.701 &amp; 707). </t>
    </r>
  </si>
  <si>
    <t>(BLD-CSTN-9-5)</t>
  </si>
  <si>
    <t xml:space="preserve">Vitrified tiles 8 to 10mm thick of size  600mm x 600mm </t>
  </si>
  <si>
    <r>
      <t>Supply of Double charged / multi charged stain free full body porcelain vitrified tiles with double layer pigment of size 600 x 600 mm and thickness between 8-10 mm 1st quality conforming to IS:15622 - 2017, IS:13630 (Parts 1 to 15) of any colour and finish in all shades and designs</t>
    </r>
    <r>
      <rPr>
        <sz val="10"/>
        <rFont val="Arial"/>
        <family val="2"/>
        <charset val="1"/>
      </rPr>
      <t xml:space="preserve"> with borders and design as per the approved flooring pattern as directed by the Engineer-In -Charge, laying tiles using spacers of 2mm thick,  set over  a base coat  of CM  (1:8) prop. 12mm thick  using screened sand over CC bed already laid or RCC roof slab , including neat cement slurry   of honey  like consistancy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etc.,and overheads &amp; contractors profit complete for finished item of work. (APSS No.701 &amp; 707). </t>
    </r>
  </si>
  <si>
    <r>
      <t>Flooring with</t>
    </r>
    <r>
      <rPr>
        <sz val="10"/>
        <rFont val="Arial"/>
        <family val="2"/>
        <charset val="1"/>
      </rPr>
      <t xml:space="preserve"> </t>
    </r>
    <r>
      <rPr>
        <b/>
        <sz val="10"/>
        <rFont val="Arial"/>
        <family val="2"/>
        <charset val="1"/>
      </rPr>
      <t>Nano polished /stain free soluble salt porcelain vitrified tiles screen printed of size 600 x 600 mm and thickness between 8-10 mm 1st quality conforming to IS:13711, IS:13712, IS:13630 (Parts 1 to 15) of any colour and finish in all shades and designs</t>
    </r>
    <r>
      <rPr>
        <sz val="10"/>
        <rFont val="Arial"/>
        <family val="2"/>
        <charset val="1"/>
      </rPr>
      <t xml:space="preserve"> as per the approved flooring pattern as directed by the Engineer-In -Charge, laying tiles using spacers of 2mm thick,  set over  a base coat  of CM  (1:8) prop. 12mm thick  using screened sand over CC bed already laid or RCC roof slab , including neat cement slurry   of honey  like consistancy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etc.,and overheads &amp; contractors profit complete for finished item of work. (APSS No.701 &amp; 707). </t>
    </r>
  </si>
  <si>
    <r>
      <t>Flooring with</t>
    </r>
    <r>
      <rPr>
        <sz val="10"/>
        <rFont val="Arial"/>
        <family val="2"/>
        <charset val="1"/>
      </rPr>
      <t xml:space="preserve"> digital / polished glazed full body porcelain vitrified tiles with any type of design texture such as marble finish, wooden, bamboo, stone finishes etc., scratch less, stain free and of size 900 x 900 mm and thickness between 9-11 mm 1st quality conforming to IS:13711, IS:13712, IS:13630 (Parts 1 to 15) of any colour and finish in all shades and designs  as per the approved flooring pattern as directed by the Engineer-In -Charge, laying tiles using spacers of 2mm thick,  set over  a base coat  of CM  (1:8) prop. 12mm thick  using screened sand over CC bed already laid or RCC roof slab , including neat cement slurry   of honey  like consistancy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etc.,and overheads &amp; contractors profit complete for finished item of work. (APSS No.701 &amp; 707). </t>
    </r>
  </si>
  <si>
    <t>digital / polished glazed full body
porcelain vitrified tiles with any type of design texture 9 to 11mm thick of size  900mm x 900mm  TBSCC.II-09</t>
  </si>
  <si>
    <t xml:space="preserve">Vaccum dewatering cement concrete flooring 75mm thick  using  M 25 grade design mix corresponding to IS 456 with minimum cement content of 380 kgs per 1 cum of concrete using WEIGH BATCHER / MIXER with 20mm size graded machine crushed hard granite metal (coarse aggregate - as per IS 383 - 1970 and IS 2386 Part 1 to Part 8)  from approved quarry in panels as per drawing / design, laid to proper level and slope including consolidating with power driven mechanical vibrators (both needle &amp; screed vibrators),  dewatering by vacuum process "Tremix" method, floated with neat cement and power troweled to achieve smooth finishing, including MS Shuttering, finishing, rounding of the edges, curing including cost and conveyance of all materials like cement, coarse aggregate, sand etc., to site, centering, shuttering, machine mixing, laying concrete, vibrating, curing, hire charges of all tools and plants, all other incidental and operational charges, labour charges and all taxes exceluding GST etc., complete for finished item of work but excluding cost of steel and its fabrication charges for finished item of work. </t>
  </si>
  <si>
    <t>20mm graded metal</t>
  </si>
  <si>
    <t>Concrete Mixer 10 / 7 cft (0.2 / 0.8 cum)capacity</t>
  </si>
  <si>
    <t>Needle vibrator hire charges</t>
  </si>
  <si>
    <t>Cost of design mix M 25</t>
  </si>
  <si>
    <t>Hire charges of centering</t>
  </si>
  <si>
    <t>Labour charges for centering</t>
  </si>
  <si>
    <t>Vacuum dewatering charges</t>
  </si>
  <si>
    <t>Finishing with power trovel</t>
  </si>
  <si>
    <t>Cutting 4mm x 25mm grooves</t>
  </si>
  <si>
    <t>Filling grooves with bitumen</t>
  </si>
  <si>
    <t xml:space="preserve">Supply  and fixing of Venetian blinds Vertical blinds 100 mm wide with all accessories including cost and conveynace of materials, labour charges  and overheads &amp; contractor profit etc., for complete finished item of work. </t>
  </si>
  <si>
    <t>Cost of material (Rate as per SSR                   Sl.No. 758 - P.No. 138 TBSC-R.I-10)</t>
  </si>
  <si>
    <t>Rate per 1 SQM</t>
  </si>
  <si>
    <t>Supply and fixing  of Aluminium Venetian Blinds horizontal 25.4 mm wide with all accessories. including cost and conveynace of materials, labour charges  and overheads &amp; contractor profit etc., for complete finished item of work.</t>
  </si>
  <si>
    <t>Cost of material (Rate as per SSR                   Sl.No. 756 - P.No. 138 TBSC-R.I-
08)</t>
  </si>
  <si>
    <r>
      <t xml:space="preserve">Roofing with UV resistant multi-wall polycarbonate sheets of any colour 6mm thick  fixed with Aluminium universal glazing </t>
    </r>
    <r>
      <rPr>
        <sz val="10"/>
        <rFont val="Arial"/>
        <family val="2"/>
        <charset val="1"/>
      </rPr>
      <t>set 40 mm wide and as per drawing etc., complete, excluding the cost of purlins, rafters, trusses, aluminium universal glazing set 40mm wide including cost and conveyance of all materials, labour charges, overheads and contractors profit etc., complete for finished item of work in all floors.</t>
    </r>
  </si>
  <si>
    <t>A) Material requirement</t>
  </si>
  <si>
    <t>multi-wall polycarbonate sheets 6.00 mm thick TBSC-D.VI-20</t>
  </si>
  <si>
    <t>Supplying and fixing  Aluminium Universal glazing set 40mm wide  for jointing and fixing Polycarbonate sheets  including cost and conveyance of all materials, labour charges, overheads and contractors profit etc., complete for finished item of work.</t>
  </si>
  <si>
    <t>Cost of Aluminium Universal glazing set 40mm wide Rate  as per TBSC-D.VI-21</t>
  </si>
  <si>
    <r>
      <t>Providing Plinth protection with a bed of 100mm thick PCC(1:5:10) using screened sand</t>
    </r>
    <r>
      <rPr>
        <b/>
        <sz val="10"/>
        <rFont val="Arial"/>
        <family val="2"/>
        <charset val="1"/>
      </rPr>
      <t xml:space="preserve"> ,</t>
    </r>
    <r>
      <rPr>
        <sz val="10"/>
        <rFont val="Arial"/>
        <family val="2"/>
        <charset val="1"/>
      </rPr>
      <t xml:space="preserve">40mm size HB Granite metal and on top of PCC, 20mm thick granolithic concrete flooring with CC(1:1:2) prop.using 6mm to 12mm size graded hard granite machine crushed metal laid monolithically already laid, in alternate panels of size not exceeding 1.5 x 1.5 Mts. and providing 5mm thick glass strips between the pannels and finishing the top surface to required smoothness and slopes including grooves, thread lining as directed by the Engineer - in - charge including cost and conveyance of all materials to site and operational &amp; incidental and labour charges like mixing of cement concrete, laying, curing, lift charges etc., and overheads &amp; contractors profit complete including cost of CC bed for finished item of work. (APSS No.701 &amp; 710). </t>
    </r>
  </si>
  <si>
    <t>Cost of PCC(1:5:10) 100 mm thick</t>
  </si>
  <si>
    <t>Cost of granolithic flooring</t>
  </si>
  <si>
    <t>Sq.m</t>
  </si>
  <si>
    <r>
      <t>Flooring with</t>
    </r>
    <r>
      <rPr>
        <sz val="10"/>
        <rFont val="Arial"/>
        <family val="2"/>
        <charset val="1"/>
      </rPr>
      <t xml:space="preserve"> </t>
    </r>
    <r>
      <rPr>
        <b/>
        <sz val="10"/>
        <rFont val="Arial"/>
        <family val="2"/>
        <charset val="1"/>
      </rPr>
      <t>granite stone tiles 8mm thick</t>
    </r>
    <r>
      <rPr>
        <sz val="10"/>
        <rFont val="Arial"/>
        <family val="2"/>
        <charset val="1"/>
      </rPr>
      <t xml:space="preserve"> (mirror polished of all shades) of 1st quality and of size as approved by  Engineer-in-charge with borders and design as per the approved flooring pattern as directed by the Engineer-In -Charge, laying tiles using spacers of 2mm thick,  set over  a base coat  of CM  (1:8) prop. 12mm thick  using screened sand over CC bed already laid or RCC roof slab , including neat cement slurry   of honey  like consistancy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 and overheads &amp; contractors profit complete for finished item of work. (APSS No.701 &amp; 707) </t>
    </r>
  </si>
  <si>
    <t>(BLD-CSTN-9-9)</t>
  </si>
  <si>
    <t>Granite stone tiles 8mm thick (mirror polished of all shades)</t>
  </si>
  <si>
    <t>Cement for CM(1:8) for base coat</t>
  </si>
  <si>
    <r>
      <t xml:space="preserve">Flooring with 16 to 18mm thick high polished granite stone slabs other than black and regular colours </t>
    </r>
    <r>
      <rPr>
        <sz val="10"/>
        <rFont val="Arial"/>
        <family val="2"/>
        <charset val="1"/>
      </rPr>
      <t xml:space="preserve">(i.e. of shades like paradiso / bala flower / copper silk / laka red / lavender blue) with borders and design as per the pattern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polishing charges  and all other taxes on all materials, cost of base coat and overheads &amp; contractors profit complete for finished item of work (S.S.701 &amp; special) </t>
    </r>
  </si>
  <si>
    <t>(BLD-CSTN-9-7)</t>
  </si>
  <si>
    <t>High polished granite slabs other than black 16 to 18mm thick</t>
  </si>
  <si>
    <t>White cement for jointing</t>
  </si>
  <si>
    <r>
      <t>Flooring with  16 to 18 mm  thick high polished granite stone slabs black colour</t>
    </r>
    <r>
      <rPr>
        <sz val="10"/>
        <rFont val="Arial"/>
        <family val="2"/>
        <charset val="1"/>
      </rPr>
      <t xml:space="preserve"> as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 , polishing charges and all other taxes on all materials, cost of base coat and overheads &amp; contractors profit complete for finished item of work</t>
    </r>
    <r>
      <rPr>
        <b/>
        <sz val="10"/>
        <rFont val="Arial"/>
        <family val="2"/>
        <charset val="1"/>
      </rPr>
      <t xml:space="preserve"> for platforms</t>
    </r>
    <r>
      <rPr>
        <sz val="10"/>
        <rFont val="Arial"/>
        <family val="2"/>
        <charset val="1"/>
      </rPr>
      <t xml:space="preserve"> (S.S.701 &amp; special) </t>
    </r>
  </si>
  <si>
    <t>High polished granite slabs black 16 to 18mm thick</t>
  </si>
  <si>
    <t>Machine cutting charges</t>
  </si>
  <si>
    <t>Half rounding the edges</t>
  </si>
  <si>
    <r>
      <t>Supplying and fixing of 16 to 18 mm  thick High Polished Granite stone slabs black colour as approved by the Engineer-in-Charge of length not less than 2.43 mts</t>
    </r>
    <r>
      <rPr>
        <sz val="10"/>
        <rFont val="Arial"/>
        <family val="2"/>
        <charset val="1"/>
      </rPr>
      <t xml:space="preserve"> set over granite platform and fixing with polymer cementitious additive granite slabs etc., to work site and all operational, incidental labour &amp; lift charges, half rounding the edge , polishing charges and all other taxes exceluding GST on all materials, cost of base coat and overheads &amp; contractors profit complete for finished item of work for platforms (S.S.701 &amp; special)</t>
    </r>
    <r>
      <rPr>
        <b/>
        <sz val="10"/>
        <rFont val="Arial"/>
        <family val="2"/>
        <charset val="1"/>
      </rPr>
      <t xml:space="preserve"> -kitchen granite patti</t>
    </r>
  </si>
  <si>
    <r>
      <t>Polymer cementitious additive for fixing tiles/stones etc</t>
    </r>
    <r>
      <rPr>
        <b/>
        <sz val="10"/>
        <rFont val="Arial"/>
        <family val="2"/>
        <charset val="1"/>
      </rPr>
      <t>TBSC-Q.III-05</t>
    </r>
  </si>
  <si>
    <t>Rate per rmt</t>
  </si>
  <si>
    <r>
      <t xml:space="preserve">Granolithic Concrete flooring 20 mm thick </t>
    </r>
    <r>
      <rPr>
        <sz val="10"/>
        <rFont val="Arial"/>
        <family val="2"/>
        <charset val="1"/>
      </rPr>
      <t>with (1:1:2), using 6mm to 12 mm size hard granite machine crushed metal and screened sand laid over CC bed already laid or RCC roof slab, in alternate panels of size not exceeding 1.50 m x 1.50 m, using glass strips and finishing the top surface to required smoothness and slopes and thread lining including cost of all materials like cement, metal sand and water and overheads &amp; contractors profit complete for finished item of work.</t>
    </r>
    <r>
      <rPr>
        <b/>
        <sz val="10"/>
        <rFont val="Arial"/>
        <family val="2"/>
        <charset val="1"/>
      </rPr>
      <t xml:space="preserve"> </t>
    </r>
    <r>
      <rPr>
        <sz val="10"/>
        <rFont val="Arial"/>
        <family val="2"/>
        <charset val="1"/>
      </rPr>
      <t xml:space="preserve">(APSS No.701 &amp; 710) </t>
    </r>
    <r>
      <rPr>
        <b/>
        <sz val="10"/>
        <rFont val="Arial"/>
        <family val="2"/>
        <charset val="1"/>
      </rPr>
      <t xml:space="preserve"> </t>
    </r>
  </si>
  <si>
    <t>(BLD-CSTN-9-13)</t>
  </si>
  <si>
    <t xml:space="preserve">6mm to 12mm HBG Metal </t>
  </si>
  <si>
    <t>Add for glass strips Rs.80/- (to be discussed)</t>
  </si>
  <si>
    <t>Mason 2nd  class</t>
  </si>
  <si>
    <r>
      <t xml:space="preserve">Flooring with chequered cement concrete heavy duty tiles </t>
    </r>
    <r>
      <rPr>
        <sz val="10"/>
        <rFont val="Arial"/>
        <family val="2"/>
        <charset val="1"/>
      </rPr>
      <t xml:space="preserve">confirming to IS:13801 using aggregates, cement, pigments </t>
    </r>
    <r>
      <rPr>
        <b/>
        <sz val="10"/>
        <rFont val="Arial"/>
        <family val="2"/>
        <charset val="1"/>
      </rPr>
      <t xml:space="preserve">of size 300mm x 300mm and thickness 25mm </t>
    </r>
    <r>
      <rPr>
        <sz val="10"/>
        <rFont val="Arial"/>
        <family val="2"/>
        <charset val="1"/>
      </rPr>
      <t>of any shade as approved by Engineer - In - Charge set over base coat of cement mortar (1:6), 12 mm thick using screened sand over CC bed alredy laid or RCC roof slab including neat cement slurry of honey like consistency spread @ 3.3 kgs per sqm and jointed with neat white cement to full depth mixed with pigment of matching shade including cost and conveyance of all materials like cement, sand, water and tiles etc.,and overheads &amp; contractors profit complete for finished item of work.</t>
    </r>
    <r>
      <rPr>
        <b/>
        <sz val="10"/>
        <rFont val="Arial"/>
        <family val="2"/>
        <charset val="1"/>
      </rPr>
      <t xml:space="preserve"> </t>
    </r>
  </si>
  <si>
    <t>(BLD-CSTN-9-4)</t>
  </si>
  <si>
    <t>Chequred tiles 25mm thick  TBSC-C.VIII-04</t>
  </si>
  <si>
    <t>Cement for CM(1:6) proportion 
for base coat</t>
  </si>
  <si>
    <t>Cement for jointing &amp; pointing</t>
  </si>
  <si>
    <t xml:space="preserve">Sand for CM(1:6) proportion </t>
  </si>
  <si>
    <r>
      <t xml:space="preserve">Flooring with Johnson EnduraTloor tiles-lvory &amp; Terracota </t>
    </r>
    <r>
      <rPr>
        <sz val="10"/>
        <rFont val="Arial"/>
        <family val="2"/>
        <charset val="1"/>
      </rPr>
      <t xml:space="preserve">confirming to IS:13801 using aggregates, cement, pigments </t>
    </r>
    <r>
      <rPr>
        <b/>
        <sz val="10"/>
        <rFont val="Arial"/>
        <family val="2"/>
        <charset val="1"/>
      </rPr>
      <t xml:space="preserve">of size 300mm x 300mm and thickness 10mm </t>
    </r>
    <r>
      <rPr>
        <sz val="10"/>
        <rFont val="Arial"/>
        <family val="2"/>
        <charset val="1"/>
      </rPr>
      <t>of any shade as approved by Engineer-In-Charge set over base coat of cement mortar (1:6), 12 mm thick using screened sand over CC bed alredy laid or RCC roof slab including neat cement slurry of honey like consistency spread @ 3.3 kgs per sqm and jointed with neat white cement to full depth mixed with pigment of matching shade including cost and conveyance of all materials like cement, sand, water and tiles etc.,and overheads &amp; contractors profit complete for finished item of work.</t>
    </r>
    <r>
      <rPr>
        <b/>
        <sz val="10"/>
        <rFont val="Arial"/>
        <family val="2"/>
        <charset val="1"/>
      </rPr>
      <t xml:space="preserve"> </t>
    </r>
  </si>
  <si>
    <t>Johnson EnduraTloor tiles-lvory &amp; Terracota 10mm thick (Quotation)</t>
  </si>
  <si>
    <r>
      <t xml:space="preserve">Providing polished shahabad / Tandur stone slabs of 15mm to 18mm thick </t>
    </r>
    <r>
      <rPr>
        <sz val="10"/>
        <rFont val="Arial"/>
        <family val="2"/>
        <charset val="1"/>
      </rPr>
      <t>in single piece as specified</t>
    </r>
    <r>
      <rPr>
        <b/>
        <sz val="10"/>
        <rFont val="Arial"/>
        <family val="2"/>
        <charset val="1"/>
      </rPr>
      <t xml:space="preserve"> </t>
    </r>
    <r>
      <rPr>
        <sz val="10"/>
        <rFont val="Arial"/>
        <family val="2"/>
        <charset val="1"/>
      </rPr>
      <t xml:space="preserve">set over a base coat of CM (1:5) , 12mm thick using screened sand over already laid CC bed / RCC roof slab including neat cement slurry of honey like consistency spread @ 3.3 Kgs  per Sqm  and jointed with neat cement to full depth including cost and conveyance of all materials like cement, sand, water, flooring stones etc. complete including sales &amp; other taxes on  all materials including all labour charges like dressing of flooring stones to the required size, flat nosing the edges, mixing of cement mortar, laying, lift charges , cost of base coat, water charges etc., and overheads &amp; contractors profit complete for finished item of work.  (APSS No.703 &amp; 701)  
</t>
    </r>
    <r>
      <rPr>
        <b/>
        <sz val="10"/>
        <rFont val="Arial"/>
        <family val="2"/>
        <charset val="1"/>
      </rPr>
      <t>for treads and risers</t>
    </r>
    <r>
      <rPr>
        <sz val="10"/>
        <rFont val="Arial"/>
        <family val="2"/>
        <charset val="1"/>
      </rPr>
      <t>.</t>
    </r>
  </si>
  <si>
    <t>Treads of 0.30m wide :</t>
  </si>
  <si>
    <t>Cement for CM (1:5) proportion for base coat</t>
  </si>
  <si>
    <t>Cement for jointing</t>
  </si>
  <si>
    <t>Sand for CM(1:5)</t>
  </si>
  <si>
    <t>Flat nosing the edges  TBSC-T.I-14</t>
  </si>
  <si>
    <t>Risers of 0.15m height :</t>
  </si>
  <si>
    <t>(BLD-CSTN-9-23)</t>
  </si>
  <si>
    <t>Unit = 10 sqm</t>
  </si>
  <si>
    <t>Cost of shahabad stone slabs</t>
  </si>
  <si>
    <t>Sand for CM(1:5) base coat</t>
  </si>
  <si>
    <t>Cement for CM(1:5) base coat</t>
  </si>
  <si>
    <t>B.LABOUR</t>
  </si>
  <si>
    <r>
      <t xml:space="preserve">Providing Polished black Kadapa slabs 15mm to 18mm thick </t>
    </r>
    <r>
      <rPr>
        <sz val="10"/>
        <rFont val="Arial"/>
        <family val="2"/>
        <charset val="1"/>
      </rPr>
      <t>in single piece as specified</t>
    </r>
    <r>
      <rPr>
        <b/>
        <sz val="10"/>
        <rFont val="Arial"/>
        <family val="2"/>
        <charset val="1"/>
      </rPr>
      <t xml:space="preserve"> </t>
    </r>
    <r>
      <rPr>
        <sz val="10"/>
        <rFont val="Arial"/>
        <family val="2"/>
        <charset val="1"/>
      </rPr>
      <t xml:space="preserve">set over a base coat of CM (1:5) , 12mm thick using screened sand over already laid CC bed / RCC roof slab including neat cement slurry of honey like consistency spread @ 3.3 Kgs  per Sqm  and jointed with neat cement to full depth including cost and conveyance of all materials like cement, sand, water, flooring stones etc. complete including sales &amp; other taxes on  all materials including all labour charges like dressing of flooring stones to the required size, flat nosing the edges, mixing of cement mortar, laying, lift charges , cost of base coat, water charges etc., and overheads &amp; contractors profit complete for finished item of work </t>
    </r>
    <r>
      <rPr>
        <b/>
        <sz val="10"/>
        <rFont val="Arial"/>
        <family val="2"/>
        <charset val="1"/>
      </rPr>
      <t>for treads and risers</t>
    </r>
    <r>
      <rPr>
        <sz val="10"/>
        <rFont val="Arial"/>
        <family val="2"/>
        <charset val="1"/>
      </rPr>
      <t xml:space="preserve">. (APSS No.703 &amp; 701) </t>
    </r>
  </si>
  <si>
    <t xml:space="preserve">Polished black Kadapa slabs minimum of 15mm thick </t>
  </si>
  <si>
    <t>Flat nosing the edges        TBSC-T.I-14</t>
  </si>
  <si>
    <t>(BLD-CSTN-9-21)</t>
  </si>
  <si>
    <t>Cost of Kadapa stone slabs</t>
  </si>
  <si>
    <r>
      <t xml:space="preserve">Providing 16 to 18mm thick high polished granite stone slabs other than black and regular colours </t>
    </r>
    <r>
      <rPr>
        <sz val="10"/>
        <rFont val="Arial"/>
        <family val="2"/>
        <charset val="1"/>
      </rPr>
      <t xml:space="preserve">(i.e. of shades like paradiso / bala flower / copper silk / laka red / lavender blue) with borders and design as per the pattern approved by the Engineer-in-Charge of length not less than 2.43 mts set over base coat of cement mortar (1:5) , 12mm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edges of treads , polishing charges and all other taxes on all materials, cost of base coat and overheads &amp; contractors profit complete for finished item of work 
</t>
    </r>
    <r>
      <rPr>
        <b/>
        <sz val="10"/>
        <rFont val="Arial"/>
        <family val="2"/>
        <charset val="1"/>
      </rPr>
      <t>for treads and risers</t>
    </r>
    <r>
      <rPr>
        <sz val="10"/>
        <rFont val="Arial"/>
        <family val="2"/>
        <charset val="1"/>
      </rPr>
      <t xml:space="preserve"> (S.S.701 &amp; special) </t>
    </r>
  </si>
  <si>
    <t>Cement for CM(1:5) for base coat</t>
  </si>
  <si>
    <t xml:space="preserve">Machine cutting charges </t>
  </si>
  <si>
    <t xml:space="preserve">Half rounding the edges </t>
  </si>
  <si>
    <t>Cost of high polished granite</t>
  </si>
  <si>
    <t>White cement for jointing &amp; pointing TBSC-R.I-01</t>
  </si>
  <si>
    <t>Machine cutting charges    TBSC-T.I-13</t>
  </si>
  <si>
    <t>Man Mazdoor(Beldar)</t>
  </si>
  <si>
    <r>
      <t>Providing</t>
    </r>
    <r>
      <rPr>
        <sz val="10"/>
        <rFont val="Arial"/>
        <family val="2"/>
        <charset val="1"/>
      </rPr>
      <t xml:space="preserve"> </t>
    </r>
    <r>
      <rPr>
        <b/>
        <sz val="10"/>
        <rFont val="Arial"/>
        <family val="2"/>
        <charset val="1"/>
      </rPr>
      <t>skirting to internal walls to 10.00 cm height with Polished Shahabad/Tandur stone slabs 15mm to 18mm thick,</t>
    </r>
    <r>
      <rPr>
        <sz val="10"/>
        <rFont val="Arial"/>
        <family val="2"/>
        <charset val="1"/>
      </rPr>
      <t xml:space="preserve"> length equal to flooring stones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and overheads &amp; contractors profit complete for finished item of work.(APSS No.701 &amp;707) </t>
    </r>
  </si>
  <si>
    <r>
      <t>Providing</t>
    </r>
    <r>
      <rPr>
        <sz val="10"/>
        <rFont val="Arial"/>
        <family val="2"/>
        <charset val="1"/>
      </rPr>
      <t xml:space="preserve"> </t>
    </r>
    <r>
      <rPr>
        <b/>
        <sz val="10"/>
        <rFont val="Arial"/>
        <family val="2"/>
        <charset val="1"/>
      </rPr>
      <t>skirting to internal walls to 10.00 cm height with Polished Kadapa stone slabs 15mm to 18mm thick,</t>
    </r>
    <r>
      <rPr>
        <sz val="10"/>
        <rFont val="Arial"/>
        <family val="2"/>
        <charset val="1"/>
      </rPr>
      <t xml:space="preserve"> length equal to flooring stones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and overheads &amp; contractors profit complete for finished item of work.(APSS No.701 &amp;707) </t>
    </r>
  </si>
  <si>
    <t>(BLD-CSTN-9-22)</t>
  </si>
  <si>
    <r>
      <t>Providing skirting to internal walls</t>
    </r>
    <r>
      <rPr>
        <sz val="10"/>
        <rFont val="Arial"/>
        <family val="2"/>
        <charset val="1"/>
      </rPr>
      <t xml:space="preserve"> up </t>
    </r>
    <r>
      <rPr>
        <b/>
        <sz val="10"/>
        <rFont val="Arial"/>
        <family val="2"/>
        <charset val="1"/>
      </rPr>
      <t xml:space="preserve">to 15 cm height with non-skid full body ceramic floor tiles </t>
    </r>
    <r>
      <rPr>
        <sz val="10"/>
        <rFont val="Arial"/>
        <family val="2"/>
        <charset val="1"/>
      </rPr>
      <t>of thickness between 7 - 8mm 1st quality conforming to IS: 13711, IS: 13712, IS: 13630(Part 1 to 15) of any colour and finish in all shades and designs as approved by  Engineer-in-charge,</t>
    </r>
    <r>
      <rPr>
        <b/>
        <sz val="10"/>
        <rFont val="Arial"/>
        <family val="2"/>
        <charset val="1"/>
      </rPr>
      <t xml:space="preserve"> </t>
    </r>
    <r>
      <rPr>
        <sz val="10"/>
        <rFont val="Arial"/>
        <family val="2"/>
        <charset val="1"/>
      </rPr>
      <t>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overheads &amp; contractors profit complete for finished item of work. (APSS No.701 &amp;707).</t>
    </r>
  </si>
  <si>
    <t>(BLD-CSTN-9-18)</t>
  </si>
  <si>
    <t>Cost of Edge cut Rectified ceramic tiles 8 mm thick</t>
  </si>
  <si>
    <t>White cement for jointing &amp; pointing</t>
  </si>
  <si>
    <r>
      <t>Providing</t>
    </r>
    <r>
      <rPr>
        <sz val="10"/>
        <rFont val="Arial"/>
        <family val="2"/>
        <charset val="1"/>
      </rPr>
      <t xml:space="preserve"> </t>
    </r>
    <r>
      <rPr>
        <b/>
        <sz val="10"/>
        <rFont val="Arial"/>
        <family val="2"/>
        <charset val="1"/>
      </rPr>
      <t>skirting to internal walls to 10 cm height with Double charged / multi charged stain free full
body porcelain vitrified tiles with double layer pigment of size 600 x 600 mm and thickness between 8-10 mm 1</t>
    </r>
    <r>
      <rPr>
        <b/>
        <vertAlign val="superscript"/>
        <sz val="10"/>
        <rFont val="Arial"/>
        <family val="2"/>
        <charset val="1"/>
      </rPr>
      <t>st</t>
    </r>
    <r>
      <rPr>
        <b/>
        <sz val="10"/>
        <rFont val="Arial"/>
        <family val="2"/>
        <charset val="1"/>
      </rPr>
      <t xml:space="preserve"> quality conforming to IS:15622 - 2017, IS:13630 (Parts 1 to 15) of any colour and finish in all shades and designs</t>
    </r>
    <r>
      <rPr>
        <sz val="10"/>
        <rFont val="Arial"/>
        <family val="2"/>
        <charset val="1"/>
      </rPr>
      <t>,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r>
  </si>
  <si>
    <t>(BLD-CSTN-9-20)</t>
  </si>
  <si>
    <t>Cost of vitrified tiles 8-10mm thick</t>
  </si>
  <si>
    <r>
      <t>Providing</t>
    </r>
    <r>
      <rPr>
        <sz val="10"/>
        <rFont val="Arial"/>
        <family val="2"/>
        <charset val="1"/>
      </rPr>
      <t xml:space="preserve"> </t>
    </r>
    <r>
      <rPr>
        <b/>
        <sz val="10"/>
        <rFont val="Arial"/>
        <family val="2"/>
        <charset val="1"/>
      </rPr>
      <t>skirting to internal walls up to 15 cm height with with Nano polished /stain free soluble salt porcelain vitrified tiles screen printed of size 600 x 600 mm and thickness between 8-10 mm 1st quality conforming to IS:13711, IS:13712, IS:13630 (Parts 1 to 15) of any colour and finish in all shades and designs</t>
    </r>
    <r>
      <rPr>
        <sz val="10"/>
        <rFont val="Arial"/>
        <family val="2"/>
        <charset val="1"/>
      </rPr>
      <t>,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r>
  </si>
  <si>
    <r>
      <t>Providing</t>
    </r>
    <r>
      <rPr>
        <sz val="10"/>
        <rFont val="Arial"/>
        <family val="2"/>
        <charset val="1"/>
      </rPr>
      <t xml:space="preserve"> </t>
    </r>
    <r>
      <rPr>
        <b/>
        <sz val="10"/>
        <rFont val="Arial"/>
        <family val="2"/>
        <charset val="1"/>
      </rPr>
      <t xml:space="preserve">skirting to internal walls to 10 cm height  with 8mm thick mirror polished granite tiles </t>
    </r>
    <r>
      <rPr>
        <sz val="10"/>
        <rFont val="Arial"/>
        <family val="2"/>
        <charset val="1"/>
      </rPr>
      <t>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and overheads &amp; contractors profit complete for finished item of work.(APSS No.701 &amp;707)</t>
    </r>
  </si>
  <si>
    <t>Cost of granite tiles 8mm thick</t>
  </si>
  <si>
    <r>
      <t xml:space="preserve">Cladding to internal walls  with 8mm thick mirror polished granite tiles </t>
    </r>
    <r>
      <rPr>
        <sz val="10"/>
        <rFont val="Arial"/>
        <family val="2"/>
        <charset val="1"/>
      </rPr>
      <t>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and overheads &amp; contractors profit complete for finished item of work. (APSS No.701 &amp;707)</t>
    </r>
  </si>
  <si>
    <r>
      <t>Providing</t>
    </r>
    <r>
      <rPr>
        <sz val="10"/>
        <rFont val="Arial"/>
        <family val="2"/>
        <charset val="1"/>
      </rPr>
      <t xml:space="preserve"> </t>
    </r>
    <r>
      <rPr>
        <b/>
        <sz val="10"/>
        <rFont val="Arial"/>
        <family val="2"/>
        <charset val="1"/>
      </rPr>
      <t>skirting to internal walls 15cm height with High Polished Granite  16 to 18 mm thick up to 8'-00 (2.43 M) other than black and regular colours,</t>
    </r>
    <r>
      <rPr>
        <sz val="10"/>
        <rFont val="Arial"/>
        <family val="2"/>
        <charset val="1"/>
      </rPr>
      <t xml:space="preserve"> length equal to flooring slabs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and overheads &amp; contractors profit complete for finished item of work.</t>
    </r>
  </si>
  <si>
    <t>(BLD-CSTN-9-19)</t>
  </si>
  <si>
    <r>
      <t>Providing cladding to walls with High Polished Granite  16 to 18 mm thick up to 8'-00 (2.43 M) other than black and regular colours,</t>
    </r>
    <r>
      <rPr>
        <sz val="10"/>
        <rFont val="Arial"/>
        <family val="2"/>
        <charset val="1"/>
      </rPr>
      <t xml:space="preserve"> length equal to flooring slabs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and overheads &amp; contractors profit complete for finished item of work.</t>
    </r>
  </si>
  <si>
    <r>
      <t>Providing dadooing to walls with  glazed full body porcelain wall tiles of size 300 x 600 mm with any type of design texture such as marble finish, wooden, bamboo, stone finishes etc</t>
    </r>
    <r>
      <rPr>
        <sz val="10"/>
        <rFont val="Arial"/>
        <family val="2"/>
        <charset val="1"/>
      </rPr>
      <t>., scratch less, stain free and thickness between 6-8 mm 1st quality conforming to IS:13711, IS:13712, IS:13630 (Parts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overheads &amp; contractors profit complete for finished item of work.</t>
    </r>
  </si>
  <si>
    <t xml:space="preserve"> (BLD-CSTN-9-18)</t>
  </si>
  <si>
    <t>cost of glazed full body porcelain wall tiles of size 300 x 600 mm</t>
  </si>
  <si>
    <r>
      <t>Providing</t>
    </r>
    <r>
      <rPr>
        <sz val="10"/>
        <rFont val="Arial"/>
        <family val="2"/>
        <charset val="1"/>
      </rPr>
      <t xml:space="preserve"> </t>
    </r>
    <r>
      <rPr>
        <b/>
        <sz val="10"/>
        <rFont val="Arial"/>
        <family val="2"/>
        <charset val="1"/>
      </rPr>
      <t xml:space="preserve">dadooing to walls with glazed full body ceramic tiles </t>
    </r>
    <r>
      <rPr>
        <sz val="10"/>
        <rFont val="Arial"/>
        <family val="2"/>
        <charset val="1"/>
      </rPr>
      <t xml:space="preserve">of any size and thickness between 5 to 7mm 1st quality conforming to IS: 13711, IS: 13712, IS: 13630(Parts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and overheads &amp; contractors profit complete for finished item of work.                  </t>
    </r>
  </si>
  <si>
    <t>Cost of glazed coloured tiles    TBSC-C.VI-02</t>
  </si>
  <si>
    <t>Rate to be verified</t>
  </si>
  <si>
    <t>Lift charges (Page 131 of Std. Data)</t>
  </si>
  <si>
    <r>
      <t>Filling with light weight concrete</t>
    </r>
    <r>
      <rPr>
        <sz val="10"/>
        <rFont val="Arial"/>
        <family val="2"/>
        <charset val="1"/>
      </rPr>
      <t xml:space="preserve"> in Cement Concrete (1:5:10) proportion  using brick jelly for low roofs  including cost and conveyance of  all materials like cement, sand,  brick bats etc., to site including  cost of all labour charges for  laying concrete, ramming,   curing , overheads &amp; contractors profit  etc., complete for finished item of work. (APSS. No. 402)  </t>
    </r>
  </si>
  <si>
    <t>(BLD-CSTN-3-7)</t>
  </si>
  <si>
    <t>Unit: 1 Cum</t>
  </si>
  <si>
    <t>A. Materials :-</t>
  </si>
  <si>
    <t>Cost of brick jelly 20mm size(1/3rd rate)</t>
  </si>
  <si>
    <r>
      <t>Reinforced cement concrete (1:5:10) proportion</t>
    </r>
    <r>
      <rPr>
        <sz val="10"/>
        <rFont val="Arial"/>
        <family val="2"/>
        <charset val="1"/>
      </rPr>
      <t xml:space="preserve"> (Cement: fine aggregates: coarse aggregate) using 40mm size (SS5) hard granite metal (coarse aggregate) from approved quarry  including cost and conveyance of all materials like cement, fine aggregate (sand), coarse aggregate, water etc., to site including centering using Casurina Ballies , Bamboos , Wooden Reapers , Runners , Wood Posts , Wall Plates etc.,</t>
    </r>
    <r>
      <rPr>
        <b/>
        <sz val="10"/>
        <rFont val="Arial"/>
        <family val="2"/>
        <charset val="1"/>
      </rPr>
      <t xml:space="preserve"> </t>
    </r>
    <r>
      <rPr>
        <sz val="10"/>
        <rFont val="Arial"/>
        <family val="2"/>
        <charset val="1"/>
      </rPr>
      <t>shuttering, machine mixing, laying concrete, lifting concrete manually , curing etc., and overheads &amp; contractors profit complete as per drawings but excluding cost of steel and it's fabrication charges for finished item of work  (APSS NO. 402 &amp; 403)</t>
    </r>
    <r>
      <rPr>
        <b/>
        <sz val="10"/>
        <rFont val="Arial"/>
        <family val="2"/>
        <charset val="1"/>
      </rPr>
      <t xml:space="preserve"> for Dummy columns. </t>
    </r>
  </si>
  <si>
    <t>(BLDS-CSTN-3-13)</t>
  </si>
  <si>
    <t>40mm HBG metal</t>
  </si>
  <si>
    <t>Lift charges</t>
  </si>
  <si>
    <r>
      <t xml:space="preserve">Supplying and fixing of </t>
    </r>
    <r>
      <rPr>
        <b/>
        <sz val="10"/>
        <rFont val="Arial"/>
        <family val="2"/>
        <charset val="1"/>
      </rPr>
      <t>stainless steel (grade 304) hand railing</t>
    </r>
    <r>
      <rPr>
        <sz val="10"/>
        <rFont val="Arial"/>
        <family val="2"/>
        <charset val="1"/>
      </rPr>
      <t xml:space="preserve"> as per approved drawing with top rail of 50mm dia pipe and 2mm thick medium class and vertical posts of  25mm dia and 1.6mm thick medium class  2 Nos for each step fixed with base plate of  75mm dia using bonding agent and anchor fastner and welding,  drilling of 25mm dia holes with pneumatic compressor for fixing railing, buffing, polishing all members of the railing  thouroughly, lacquer finishing to present seamless finish including cost and conveyance of all materials, electrodes, welding charges, cost of all consumables, labour charges, overheads &amp; contractors profit etc., complete for finished item of work.</t>
    </r>
  </si>
  <si>
    <t>For a flight length of 4.60 M.</t>
  </si>
  <si>
    <t>Cost of 50mm dia SS pipe (1x4.60)</t>
  </si>
  <si>
    <t>Cost of 25mm dia SS pipe (26x0.90)</t>
  </si>
  <si>
    <t>50.00mm pipe (4.60  x 2.39 Kgs/RM)</t>
  </si>
  <si>
    <t>25mm pipe (23.40x 0.89 Kgs/RM)</t>
  </si>
  <si>
    <t>Cost of stainless steel pipes   TBSC-E.III-01</t>
  </si>
  <si>
    <t>Labour charges for fabrication TBSC-T.I-20</t>
  </si>
  <si>
    <t>Drilling of 25mm dia hole(13 x 0.10)  SSR Pg 143 (ii))</t>
  </si>
  <si>
    <t xml:space="preserve">Base Plate 75mm dia. </t>
  </si>
  <si>
    <t>Add for anchor bars</t>
  </si>
  <si>
    <t>Add for bonding</t>
  </si>
  <si>
    <t>say</t>
  </si>
  <si>
    <t>Supplying and fixing of stainless steel (grade 304) Wall hand railing as per approved drawing with top rail of 50mm dia pipe and 2mm thick medium class and vertical posts of  25mm dia and 1.6mm thick medium class 1 Nos for each step fixed with base plate of 75mm dia using bonding agent and anchor fastner and welding,  drilling of 20mm dia holes with pneumatic compressor for fixing railing, buffing, polishing all members of the railing  thouroughly, lacquer finishing to present seamless finish including cost and conveyance of all materials, electrodes, welding charges, cost of all consumables, labour charges, overheads &amp; contractors profit etc., complete for finished item of work. Around Courtyards &amp; Corridors.</t>
  </si>
  <si>
    <t>Cost of 25mm dia SS pipe (5x0.1)</t>
  </si>
  <si>
    <t>25mm pipe (0.50 x 0.89 Kgs/RM)</t>
  </si>
  <si>
    <t>Cost of stainless steel pipes TBSC-E.III-01</t>
  </si>
  <si>
    <t>Drilling of 20mm dia hole (5 x 0.10)</t>
  </si>
  <si>
    <t>Supplying and fixing of stainless steel (grade 304) 50mm dia pipe and 2mm thick medium class Grip bar along the Ramp flight/Staircase Flight  as per approved drawing including cost and conveyance of all materials to site, buffing charges, polishing charges, overheads &amp; contractors profit etc complete for finished item of work.</t>
  </si>
  <si>
    <t>Cost of 50mm dia stainless steel pipes (2.39 Kgs/RM)</t>
  </si>
  <si>
    <t>Labour charges for fabrication</t>
  </si>
  <si>
    <r>
      <t xml:space="preserve">Providing </t>
    </r>
    <r>
      <rPr>
        <b/>
        <sz val="10"/>
        <rFont val="Arial"/>
        <family val="2"/>
        <charset val="1"/>
      </rPr>
      <t>110 mm Dia ISI marked PVC down water take pipes</t>
    </r>
    <r>
      <rPr>
        <sz val="10"/>
        <rFont val="Arial"/>
        <family val="2"/>
        <charset val="1"/>
      </rPr>
      <t xml:space="preserve"> with socket , 2.5mm thick 4.0 kg/sq.cm pressure of ISI marked including cost of necessary PVC Bends, shoes, iron / PVC clamps and all other accessories and fixing in position including cost and conveyance of all materials, sales &amp; other taxes on materials to site, operational &amp; incidental charges including all labour charges for fixing at site etc., and overheads &amp; contractors profit complete for finished item of work. (APSS No. 1328)</t>
    </r>
  </si>
  <si>
    <t xml:space="preserve">PVC pipe 110mm dia </t>
  </si>
  <si>
    <t>MS Clamps</t>
  </si>
  <si>
    <t>Labour charges for fixing pipes</t>
  </si>
  <si>
    <t>Rate per 6 RM</t>
  </si>
  <si>
    <r>
      <t xml:space="preserve">Providing </t>
    </r>
    <r>
      <rPr>
        <b/>
        <sz val="10"/>
        <rFont val="Arial"/>
        <family val="2"/>
        <charset val="1"/>
      </rPr>
      <t>160 mm Dia ISI marked PVC down water take pipes</t>
    </r>
    <r>
      <rPr>
        <sz val="10"/>
        <rFont val="Arial"/>
        <family val="2"/>
        <charset val="1"/>
      </rPr>
      <t xml:space="preserve"> with socket , 2.5mm thick 4.0 kg/sq.cm pressure of ISI marked including cost of necessary PVC Bends, shoes, iron / PVC clamps and all other accessories and fixing in position including cost and conveyance of all materials, sales &amp; other taxes on materials to site, operational &amp; incidental charges including all labour charges for fixing at site etc., and overheads &amp; contractors profit complete for finished item of work. (APSS No. 1328)</t>
    </r>
  </si>
  <si>
    <r>
      <t>Supply and fixing pre-cast RCC grills of any design of 50mm thick</t>
    </r>
    <r>
      <rPr>
        <sz val="10"/>
        <rFont val="Arial"/>
        <family val="2"/>
        <charset val="1"/>
      </rPr>
      <t xml:space="preserve"> manufactured with M 30 grade concrete using vibro compaction process using jointless FRP moulds to achieve shuttering finish and adequately reinforced as per the design approved by the Engineer-in-Charge  including cost and conveyance of materials to site and labour charges etc., overheads &amp; contractors profit complete for finished item of work.</t>
    </r>
  </si>
  <si>
    <t>Cost of 50mm thick jali</t>
  </si>
  <si>
    <r>
      <t>White washing two coats with white cement to ceiling</t>
    </r>
    <r>
      <rPr>
        <sz val="10"/>
        <rFont val="Arial"/>
        <family val="2"/>
        <charset val="1"/>
      </rPr>
      <t xml:space="preserve"> to give an even shade after thouroughly brushing the surface to remove all dirt and remains of loose powdered materials including cost of all materials, labour charges and incidental such as scaffolding, lift charges etc., and overheads &amp; contractors profit complete for finished item of work in all floors.</t>
    </r>
  </si>
  <si>
    <t>(BLD-CSTN-11-5)</t>
  </si>
  <si>
    <t>White cement   TBSC-R.I-01</t>
  </si>
  <si>
    <t>kgs</t>
  </si>
  <si>
    <t>Painter 1st class</t>
  </si>
  <si>
    <t>Painter 2nd class</t>
  </si>
  <si>
    <t>Sundries including brushes, ladders etc., @ 1%</t>
  </si>
  <si>
    <t xml:space="preserve">Say </t>
  </si>
  <si>
    <r>
      <t>Providing and applying</t>
    </r>
    <r>
      <rPr>
        <b/>
        <sz val="10"/>
        <rFont val="Arial"/>
        <family val="2"/>
        <charset val="1"/>
      </rPr>
      <t xml:space="preserve"> epoxy resin based self levelling Conductive Floor System</t>
    </r>
    <r>
      <rPr>
        <sz val="10"/>
        <rFont val="Arial"/>
        <family val="2"/>
        <charset val="1"/>
      </rPr>
      <t xml:space="preserve"> of 2mm thick Antistatic (ESD) Flooring System comprising of 1 coat of Primer followed by Application of copper tape and 1 layer of SL Conductive Undercoatand 1 layer of SL Conductive Top coat with Compressive strength after 7 days at +30° C: 50  N/mm2 and Flexural strength after 7 days at +30° C: approx. 25N/mm2 and Tensile strength after 7 days at +30° C: 16 N/mm2 with aSurface resistance When measured for surfaceresistance in accordance with BS 2050: 1978 (A-1984) and DIN EN 1081, the static Conductive topping including under coats hall be less than 25kΩ. including overheads &amp;  contractors profit etc., design approved by the Engineer-in-Charge complete finished item of work.     </t>
    </r>
  </si>
  <si>
    <t>Rate as per SSR TBSCQ.VII-11</t>
  </si>
  <si>
    <r>
      <t>Providing and applying Wall putty of White Cement or Polymer or Cement based</t>
    </r>
    <r>
      <rPr>
        <sz val="10"/>
        <rFont val="Arial"/>
        <family val="2"/>
        <charset val="1"/>
      </rPr>
      <t xml:space="preserve"> of average 1 to 2 mm thickness over plastered surface to prepare the surface even and smooth after thoroughly brushing the surface to remove all dirt and remains of loose powdered materials, applying emery paper, Sand the surface, clean &amp;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contractors profit etc., complete for finished item of work in all floors </t>
    </r>
    <r>
      <rPr>
        <b/>
        <sz val="10"/>
        <rFont val="Arial"/>
        <family val="2"/>
        <charset val="1"/>
      </rPr>
      <t>for Internal walls.</t>
    </r>
  </si>
  <si>
    <t xml:space="preserve"> (As per Amendment in SoR 2011-12)</t>
  </si>
  <si>
    <t>Unit = 10 Sqm</t>
  </si>
  <si>
    <t>Wall putty      TBSC-G.I-03</t>
  </si>
  <si>
    <t>Mazdoor</t>
  </si>
  <si>
    <t>Sundries for emery papers, fillers, knife etc., @ 1%</t>
  </si>
  <si>
    <r>
      <t xml:space="preserve">Providing and applying Exterior grade Texture ready mixed paint with sand texture </t>
    </r>
    <r>
      <rPr>
        <sz val="10"/>
        <rFont val="Arial"/>
        <family val="2"/>
        <charset val="1"/>
      </rPr>
      <t xml:space="preserve">added sand particles Acrylic copolymers and mineral compounds, bactericides and various additives of average 2 to 3 mm thickness over plastered surface to prepare the surface even and smooth after thoroughly brushing the surface to remove all dirt and remains of loose powdered materials, applying emery paper, Sand the surface, clean &amp; wipe off loose dust, applying putty/ texture paint filler by putty knife / muslin pad, air dry for      2 - 3 hrs for the surface preparation including cost and conveyance of all materials to work site and all operational, incidental, labour charges, scaffolding charges, overheads and contractors profit etc., complete for finished item of work in all floors </t>
    </r>
    <r>
      <rPr>
        <b/>
        <sz val="10"/>
        <rFont val="Arial"/>
        <family val="2"/>
        <charset val="1"/>
      </rPr>
      <t>for external walls.</t>
    </r>
  </si>
  <si>
    <t>Exterior Texture   TBSC-G.VI-01</t>
  </si>
  <si>
    <r>
      <t xml:space="preserve">Painting to new walls with 2 coats of Acrylic based Oil bound Washable Distemper having VOC content less than 50 grams/litre </t>
    </r>
    <r>
      <rPr>
        <sz val="10"/>
        <rFont val="Arial"/>
        <family val="2"/>
        <charset val="1"/>
      </rPr>
      <t xml:space="preserve"> over promer coat using white cemnt as approved by Engineer-In-Charge, making 3 coats in all to give an even shade after thourughly brushing the surface to remove all dirt and remains of loose powdered materials, including cost and conveyance of all materials to work site and all operational, incidental, labour charges etc., and overheads &amp; contractors profit complete for finished item of work as per APSS 911</t>
    </r>
    <r>
      <rPr>
        <b/>
        <sz val="10"/>
        <rFont val="Arial"/>
        <family val="2"/>
        <charset val="1"/>
      </rPr>
      <t xml:space="preserve"> </t>
    </r>
    <r>
      <rPr>
        <sz val="10"/>
        <rFont val="Arial"/>
        <family val="2"/>
        <charset val="1"/>
      </rPr>
      <t>for internal walls in all floors.</t>
    </r>
    <r>
      <rPr>
        <b/>
        <sz val="10"/>
        <rFont val="Arial"/>
        <family val="2"/>
        <charset val="1"/>
      </rPr>
      <t xml:space="preserve"> </t>
    </r>
  </si>
  <si>
    <t>(BLD-CSTN-12-1)</t>
  </si>
  <si>
    <t>Cost of white cement</t>
  </si>
  <si>
    <t>Cost of washable oil bound distemper</t>
  </si>
  <si>
    <t>Ltr</t>
  </si>
  <si>
    <r>
      <t>Painting to old walls with 2 coats of Acrylic based Oil bound Washable Distemper having VOC content less than 50 grams/litre</t>
    </r>
    <r>
      <rPr>
        <sz val="10"/>
        <rFont val="Arial"/>
        <family val="2"/>
        <charset val="1"/>
      </rPr>
      <t xml:space="preserve"> as approved by Engineer-In-Charge, to give an even shade after thourughly brushing the old surface to remove all dirt and remains of loose powdered materials, including cost and conveyance of all materials to work site and all operational, incidental, labour charges etc., and overheads &amp; contractors profit complete for finished item of work as per APSS 911</t>
    </r>
    <r>
      <rPr>
        <b/>
        <sz val="10"/>
        <rFont val="Arial"/>
        <family val="2"/>
        <charset val="1"/>
      </rPr>
      <t xml:space="preserve"> for internal walls</t>
    </r>
    <r>
      <rPr>
        <sz val="10"/>
        <rFont val="Arial"/>
        <family val="2"/>
        <charset val="1"/>
      </rPr>
      <t xml:space="preserve"> in all floors</t>
    </r>
    <r>
      <rPr>
        <b/>
        <sz val="10"/>
        <rFont val="Arial"/>
        <family val="2"/>
        <charset val="1"/>
      </rPr>
      <t xml:space="preserve">. </t>
    </r>
  </si>
  <si>
    <t>(BLD-CSTN-11-10)</t>
  </si>
  <si>
    <r>
      <t xml:space="preserve">Painting to new walls with 2 coats of water proof cement paint </t>
    </r>
    <r>
      <rPr>
        <sz val="10"/>
        <rFont val="Arial"/>
        <family val="2"/>
        <charset val="1"/>
      </rPr>
      <t xml:space="preserve"> of shade as approved by the Engineer-In-Charge over a base coat of aproved  white cement base coat making 3 coats in all to give an even shade after thourughly brushing the surface to remove all dirt and remains of loose powdered materials, including cost and conveyance of all materials to work site and all operational, incidental, labour charges etc., and overheads &amp; contractors profit complete for finished item of work as per SS 912</t>
    </r>
    <r>
      <rPr>
        <b/>
        <sz val="10"/>
        <rFont val="Arial"/>
        <family val="2"/>
        <charset val="1"/>
      </rPr>
      <t xml:space="preserve"> </t>
    </r>
    <r>
      <rPr>
        <sz val="10"/>
        <rFont val="Arial"/>
        <family val="2"/>
        <charset val="1"/>
      </rPr>
      <t>in all floors</t>
    </r>
  </si>
  <si>
    <t>(BLD-CSTN-12-5)</t>
  </si>
  <si>
    <t xml:space="preserve">Cost of white cement for base coat </t>
  </si>
  <si>
    <t>Water proof cement paint</t>
  </si>
  <si>
    <r>
      <t xml:space="preserve">Painting to old walls with 2 coats of water proof cement paint </t>
    </r>
    <r>
      <rPr>
        <sz val="10"/>
        <rFont val="Arial"/>
        <family val="2"/>
        <charset val="1"/>
      </rPr>
      <t>of shade as approved by the Engineer-In-Charge to give an even shade after thourughly brushing the surface to remove all dirt and remains of loose powdered materials, including cost and conveyance of all materials to work site and all operational, incidental, labour charges etc., and overheads &amp; contractors profit complete for finished item of work as per SS 912 in all floors.</t>
    </r>
  </si>
  <si>
    <t>(BLD-CSTN-12-4)</t>
  </si>
  <si>
    <t>Water proof cement paint     TBSC-G.II-04</t>
  </si>
  <si>
    <r>
      <t xml:space="preserve">Supply &amp; application of one coat water based cement primer of interior grade I and two coats of  acrylic emulsion paint </t>
    </r>
    <r>
      <rPr>
        <sz val="10"/>
        <rFont val="Arial"/>
        <family val="2"/>
        <charset val="1"/>
      </rPr>
      <t>having VOC (Volatile Organic Compound) content less than 50 grams/litre</t>
    </r>
    <r>
      <rPr>
        <b/>
        <sz val="10"/>
        <rFont val="Arial"/>
        <family val="2"/>
        <charset val="1"/>
      </rPr>
      <t xml:space="preserve"> for internal walls</t>
    </r>
    <r>
      <rPr>
        <sz val="10"/>
        <rFont val="Arial"/>
        <family val="2"/>
        <charset val="1"/>
      </rPr>
      <t xml:space="preserve"> including cost and conveyance of all materials to site, sales &amp; other taxes, incidental, operational and all labour charges etc., and overheads &amp; contractors profit complete for finished item of work in all floors.</t>
    </r>
  </si>
  <si>
    <t xml:space="preserve"> (BLD-CSTN-12-2&amp; Amendment in SoR 2011-12)</t>
  </si>
  <si>
    <t>Unit 10 Sqm.</t>
  </si>
  <si>
    <t>A. Materials:-</t>
  </si>
  <si>
    <t xml:space="preserve">Cost of cement primer interior grade I  TBSC-G.I-01 </t>
  </si>
  <si>
    <t>Acrylic emulsion  paint       TBSC-G.III-01</t>
  </si>
  <si>
    <r>
      <t xml:space="preserve">Supply &amp; application of one coat water based cement primer of exterior grade II and two coats of acrylic emulsion paint exterior grade </t>
    </r>
    <r>
      <rPr>
        <sz val="10"/>
        <rFont val="Arial"/>
        <family val="2"/>
        <charset val="1"/>
      </rPr>
      <t>with silicon additives having VOC (Volatile Organic Compound) content less than 50 grams/ liter</t>
    </r>
    <r>
      <rPr>
        <b/>
        <sz val="10"/>
        <rFont val="Arial"/>
        <family val="2"/>
        <charset val="1"/>
      </rPr>
      <t xml:space="preserve"> for exterior walls</t>
    </r>
    <r>
      <rPr>
        <sz val="10"/>
        <rFont val="Arial"/>
        <family val="2"/>
        <charset val="1"/>
      </rPr>
      <t xml:space="preserve"> including cost and conveyance of all materials to site, sales &amp; other taxes, incidental, operational and all labour charges etc., and overheads &amp; contractors profit complete for finished item of work in all floors.</t>
    </r>
  </si>
  <si>
    <t>Cost of cement primer exterior grade II  TBSC-G.I-02</t>
  </si>
  <si>
    <t>Acrylic emulsion  paint     TBSC-G.III-02</t>
  </si>
  <si>
    <r>
      <t>Painting to new wood work and flush shutters with lappam finish</t>
    </r>
    <r>
      <rPr>
        <sz val="10"/>
        <rFont val="Arial"/>
        <family val="2"/>
        <charset val="1"/>
      </rPr>
      <t xml:space="preserve">, </t>
    </r>
    <r>
      <rPr>
        <b/>
        <sz val="10"/>
        <rFont val="Arial"/>
        <family val="2"/>
        <charset val="1"/>
      </rPr>
      <t xml:space="preserve">over a primary coat  and painting two coats of synthetic enamel paint </t>
    </r>
    <r>
      <rPr>
        <sz val="10"/>
        <rFont val="Arial"/>
        <family val="2"/>
        <charset val="1"/>
      </rPr>
      <t>Grade-II VOC (Volatile Organic Compound) content less than 50 grams/litre of approved shade including cost and conveyance of all materials to site cost of primer coat and all labour charges etc. complete including applying sand paper on lappam coats for neat finish including sales &amp; other taxes on cost of all materials etc., and overheads &amp; contractors profit complete  in all floors (APSS No.1200, 1207 &amp; 1211).</t>
    </r>
  </si>
  <si>
    <t>(BLD-CSTN-12-6 &amp; 12-12-195)</t>
  </si>
  <si>
    <t>Cost of Putty for wood work</t>
  </si>
  <si>
    <t>Primer Coat</t>
  </si>
  <si>
    <t>Cost of Wood Primer</t>
  </si>
  <si>
    <t>1st Class Painter</t>
  </si>
  <si>
    <t>2nd Class Painter</t>
  </si>
  <si>
    <t>2 coats of Enamel painting</t>
  </si>
  <si>
    <t>Cost of Synthetic Enamel Paint</t>
  </si>
  <si>
    <t>Sundries including brushes , ladders etc., @ 1%</t>
  </si>
  <si>
    <r>
      <t>Painting to old wood work and flush shutters with two coats of synthetic enamel paint Grade-II</t>
    </r>
    <r>
      <rPr>
        <sz val="10"/>
        <rFont val="Arial"/>
        <family val="2"/>
        <charset val="1"/>
      </rPr>
      <t xml:space="preserve"> VOC (Volatile Organic Compound) content less than 50 grams/litre of approved brand and shade including cost and conveyance of all materials to site and all labour charges etc. complete, sales &amp; other taxes on cost of all materials etc.and overheads &amp; contractors profit complete in all floors (APSS No.1200, 1207 &amp; 1211) .</t>
    </r>
  </si>
  <si>
    <t>(BLD-CSTN-12-12-196)</t>
  </si>
  <si>
    <t>Cost of Synthetic Enamel Paint  TBSC-G.V-02</t>
  </si>
  <si>
    <r>
      <t xml:space="preserve">Painting primer coat on new wood work using red oxide  Iron primer paint grade - 1 </t>
    </r>
    <r>
      <rPr>
        <sz val="10"/>
        <rFont val="Arial"/>
        <family val="2"/>
        <charset val="1"/>
      </rPr>
      <t>of approved brand including cost and conveyance of all materials to site , all labour charges etc., and overheads &amp; contractors profit complete  in all floors.(APSS No. 1201, 1212 &amp; 1207).</t>
    </r>
  </si>
  <si>
    <t>(BLD-CSTN-12-7)</t>
  </si>
  <si>
    <t>Red oxide primer</t>
  </si>
  <si>
    <r>
      <t>Painting</t>
    </r>
    <r>
      <rPr>
        <sz val="10"/>
        <rFont val="Arial"/>
        <family val="2"/>
        <charset val="1"/>
      </rPr>
      <t xml:space="preserve"> </t>
    </r>
    <r>
      <rPr>
        <b/>
        <sz val="10"/>
        <rFont val="Arial"/>
        <family val="2"/>
        <charset val="1"/>
      </rPr>
      <t>two coats with synthetic enamel paint Grade-II VOC (Volatile Organic Compound) content less than 50 grams/litre to new</t>
    </r>
    <r>
      <rPr>
        <sz val="10"/>
        <rFont val="Arial"/>
        <family val="2"/>
        <charset val="1"/>
      </rPr>
      <t xml:space="preserve"> </t>
    </r>
    <r>
      <rPr>
        <b/>
        <sz val="10"/>
        <rFont val="Arial"/>
        <family val="2"/>
        <charset val="1"/>
      </rPr>
      <t>iron work</t>
    </r>
    <r>
      <rPr>
        <sz val="10"/>
        <rFont val="Arial"/>
        <family val="2"/>
        <charset val="1"/>
      </rPr>
      <t xml:space="preserve"> including cost and conveyance of all materials to site, sales &amp; other taxes, incidental, operational and all labour charges etc., and overheads &amp; contractors profit complete for finished item of work in all floors. (SS No. 1201, 1212 &amp; 1207).</t>
    </r>
  </si>
  <si>
    <t>(BLD-CSTN-12-12-197)</t>
  </si>
  <si>
    <t>Cost of Synthetic Enamel Paint TBSC-G.V-02</t>
  </si>
  <si>
    <r>
      <t>Painting</t>
    </r>
    <r>
      <rPr>
        <sz val="10"/>
        <rFont val="Arial"/>
        <family val="2"/>
        <charset val="1"/>
      </rPr>
      <t xml:space="preserve"> </t>
    </r>
    <r>
      <rPr>
        <b/>
        <sz val="10"/>
        <rFont val="Arial"/>
        <family val="2"/>
        <charset val="1"/>
      </rPr>
      <t>two coats with synthetic enamel paint Grade-II VOC (Volatile Organic Compound) content less than 50 grams/litre over primer coat of red oxide to new</t>
    </r>
    <r>
      <rPr>
        <sz val="10"/>
        <rFont val="Arial"/>
        <family val="2"/>
        <charset val="1"/>
      </rPr>
      <t xml:space="preserve"> </t>
    </r>
    <r>
      <rPr>
        <b/>
        <sz val="10"/>
        <rFont val="Arial"/>
        <family val="2"/>
        <charset val="1"/>
      </rPr>
      <t>iron work</t>
    </r>
    <r>
      <rPr>
        <sz val="10"/>
        <rFont val="Arial"/>
        <family val="2"/>
        <charset val="1"/>
      </rPr>
      <t xml:space="preserve"> including cost and conveyance of all materials to site, sales &amp; other taxes, incidental, operational and all labour charges etc., and overheads &amp; contractors profit complete for finished item of work in all floors. (SS No. 1201, 1212 &amp; 1207).</t>
    </r>
  </si>
  <si>
    <t>(BLD-CSTN-12-7 &amp; 12-12-197)</t>
  </si>
  <si>
    <t>for primer coat</t>
  </si>
  <si>
    <t>for enamel painting</t>
  </si>
  <si>
    <r>
      <t>Painting</t>
    </r>
    <r>
      <rPr>
        <sz val="10"/>
        <rFont val="Arial"/>
        <family val="2"/>
        <charset val="1"/>
      </rPr>
      <t xml:space="preserve"> </t>
    </r>
    <r>
      <rPr>
        <b/>
        <sz val="10"/>
        <rFont val="Arial"/>
        <family val="2"/>
        <charset val="1"/>
      </rPr>
      <t xml:space="preserve">two coats with synthetic enamel paint Gr-I </t>
    </r>
    <r>
      <rPr>
        <sz val="10"/>
        <rFont val="Arial"/>
        <family val="2"/>
        <charset val="1"/>
      </rPr>
      <t>having VOC (Volatile Organic Compound) content less than 50 grams/litre</t>
    </r>
    <r>
      <rPr>
        <b/>
        <sz val="10"/>
        <rFont val="Arial"/>
        <family val="2"/>
        <charset val="1"/>
      </rPr>
      <t xml:space="preserve"> to old</t>
    </r>
    <r>
      <rPr>
        <sz val="10"/>
        <rFont val="Arial"/>
        <family val="2"/>
        <charset val="1"/>
      </rPr>
      <t xml:space="preserve"> </t>
    </r>
    <r>
      <rPr>
        <b/>
        <sz val="10"/>
        <rFont val="Arial"/>
        <family val="2"/>
        <charset val="1"/>
      </rPr>
      <t>iron work</t>
    </r>
    <r>
      <rPr>
        <sz val="10"/>
        <rFont val="Arial"/>
        <family val="2"/>
        <charset val="1"/>
      </rPr>
      <t xml:space="preserve"> including cost and conveyance of all materials to site, sales &amp; other taxes, incidental, operational and all labour charges  and overheads &amp; contractors profit etc., complete for finished item of work in all floors. (SS No. 1201, 1212 &amp; 1207).</t>
    </r>
  </si>
  <si>
    <t>(BLD-CSTN-12-12-198)</t>
  </si>
  <si>
    <t>Cost of Synthetic Enamel Paint   TBSC-G.V-01</t>
  </si>
  <si>
    <r>
      <t>Polishing two coats to teak wood doors</t>
    </r>
    <r>
      <rPr>
        <sz val="10"/>
        <rFont val="Arial"/>
        <family val="2"/>
        <charset val="1"/>
      </rPr>
      <t xml:space="preserve"> using </t>
    </r>
    <r>
      <rPr>
        <b/>
        <sz val="10"/>
        <rFont val="Arial"/>
        <family val="2"/>
        <charset val="1"/>
      </rPr>
      <t>French spirit polish</t>
    </r>
    <r>
      <rPr>
        <sz val="10"/>
        <rFont val="Arial"/>
        <family val="2"/>
        <charset val="1"/>
      </rPr>
      <t xml:space="preserve"> of approved brand for new wood work to teak wood frame and shutters including sand papering to smooth surfaces etc. including cost and  conveyance of all materials to site, all labour charges etc., complete for finished item of work  in all floors. </t>
    </r>
  </si>
  <si>
    <t>(BLD-CSTN-12-15)</t>
  </si>
  <si>
    <t>A.Materials</t>
  </si>
  <si>
    <t>French polish</t>
  </si>
  <si>
    <t>cost of spirit</t>
  </si>
  <si>
    <t>B.Labour</t>
  </si>
  <si>
    <t>Sundries for terpentaine, sand paper, putty, wood filler, white woolen cloth, linseed oil, cotton etc., @ 1%</t>
  </si>
  <si>
    <r>
      <t>Supply &amp; applying Melamine Polish Glossy/ Matt finish</t>
    </r>
    <r>
      <rPr>
        <sz val="10"/>
        <rFont val="Arial"/>
        <family val="2"/>
        <charset val="1"/>
      </rPr>
      <t xml:space="preserve"> to the wood works duly cleaning the surface and applying emery paper, Sand the wood with 180 No., emery paper and then with 320 No., emery paper, clean &amp; wipe off loose dust, applying suitable knifing paste filler / wood filler by putty knife / muslin pad, air dry for 2 - 3 hrs, sand with 180 and 320 No., emery paper, apply two component wood sealer, air dry for 24 hrs, Sand with 320 No emery paper, applying one coat of approved spraying thinner (for spraying)/ applying one coat of approved brushing thinner or general purpose thinner (for brushing) and apply (either with spray or brush) two coats of approved brand melamine including cost &amp; labour charges, emery papers, cost of thinner &amp; melamine polish, over heads and contractors profit etc., complete for finished item of work</t>
    </r>
  </si>
  <si>
    <t>Unit : 1 sqm</t>
  </si>
  <si>
    <t>Melamine polish</t>
  </si>
  <si>
    <t>Thinner for Poly Uretene polish</t>
  </si>
  <si>
    <t>Helper</t>
  </si>
  <si>
    <t>Sundries for spraying machine etc., @ 1%</t>
  </si>
  <si>
    <r>
      <t>Supply &amp; applying Poly-Urethane Water Proof Polish Glossy/ Matt finish to the wood works</t>
    </r>
    <r>
      <rPr>
        <sz val="10"/>
        <rFont val="Arial"/>
        <family val="2"/>
        <charset val="1"/>
      </rPr>
      <t xml:space="preserve"> duly cleaning the surface and applying emery paper, Sand the wood with 180 No., emery paper and then with 320 No., emery paper, clean &amp; wipe off loose dust, applying suitable knifing paste filler / wood filler by putty knife / muslin pad, air dry for 2 - 3 hrs, sand with 180 and 320 No., emery paper, applying two component wood sealer, after the surface preparation applying one coat of approved spraying PU thinner (for spraying) / applying one coat of approved brushing PU thinner or general purpose thinner (for brushing) and apply one coat of PU by brush or spray, air-dry overnight, Sand again with 180 No. emery paper and removing dust, applying second coat of PU, air drying for 4 - 6 Hrs, Sand with 320 No emery paper, and applying (either with spray or brush) two coats of approved brand PU including cost &amp; labour charges, emery papers, cost of thinner &amp; Poly-Urethane Water Proof Polish, over heads and contracors profit etc., complete for finished item of work</t>
    </r>
  </si>
  <si>
    <t>Poly-Urethene polish Interior grade TBSC-G.VII-02</t>
  </si>
  <si>
    <t>Thinner for Poly Uretene polish                  TBSC-G.I-14</t>
  </si>
  <si>
    <r>
      <t xml:space="preserve">Supply &amp; fixing of Rolling shutter </t>
    </r>
    <r>
      <rPr>
        <sz val="10"/>
        <rFont val="Arial"/>
        <family val="2"/>
        <charset val="1"/>
      </rPr>
      <t>made of 80 x 1.25</t>
    </r>
    <r>
      <rPr>
        <b/>
        <sz val="10"/>
        <rFont val="Arial"/>
        <family val="2"/>
        <charset val="1"/>
      </rPr>
      <t xml:space="preserve"> </t>
    </r>
    <r>
      <rPr>
        <sz val="10"/>
        <rFont val="Arial"/>
        <family val="2"/>
        <charset val="1"/>
      </rPr>
      <t>mm machine rolled CRCA  laths, interlocked together through their entire length and jointed together at the ends by end-locks, mounted on specially designed pipe shaft of 50mm dia nominal bore MS B class pipe with brackets, plates, guide channels, stoppers, bottom locking plates and arrangements for inside &amp; outside locking with push-pull operations including cost of hood cover and springs complete, painted with one coat of approved steel primer, locks, ball bearings, all accessories etc., overheads &amp; contractors profit complete for finished item of work as per special spn: 1108</t>
    </r>
  </si>
  <si>
    <t>Rate as per SSR       TBSC-E.I-01</t>
  </si>
  <si>
    <r>
      <t>Supplying &amp; fixing collapsible steel shutters</t>
    </r>
    <r>
      <rPr>
        <sz val="10"/>
        <rFont val="Arial"/>
        <family val="2"/>
        <charset val="1"/>
      </rPr>
      <t xml:space="preserve"> with vertical, double channel of 20 x10x2 mm of 100 mm centre ,Bracers with flat iron 40x40x6 mm with 38 mm dia steel pulleys, the top, bottom and side vertical frames of the collapsible gate with 65x65mmx8mm MS Angle and middle guide rail at site height with 65mmx8mm MS flat for the pulleys to guide and fixed with necessary hold fasts, bolts, nuts, rivets, locking arrangements, stoppers, handles, all accessories all fixtures and painted with one coat of approved steel primer etc., overheads &amp; contractors profit complete for finished item of work as per special spn 1105</t>
    </r>
  </si>
  <si>
    <t>Rate as per SSR  TBSC-E.I-02</t>
  </si>
  <si>
    <t>Providing specialized polysulphide sealant treatment to the expansion joints (Size : 25mm x 12mm) including cost and conveyance of all materials to site, all incidental, operational, labour charges etc.overheads &amp; contractors profit complete for finished item of work as per approved drawing for all floors duly  a]. Chipping and removing of existing covering on expansion joints b]. Cleaning of the surface from dirt, dust and other contaminations c].Application of one coat of - High performance specially designed SBR latex polymer based bonding agent d]. Providing and application of Acrylic Polymer modified instatement concrete /mortar to the damaged edges of joint and making the groove. e]. Providing and fixing of masking tape on top of the joint both sides f]. Providing and fixing of Back up support material of Backer rod to leave the depth of 12mm on the joint g]. Providing and application of one coat of polysulphide primer on inner edges of Joint. h]. Providing and application of Two part Polysulphide sealant to a width of 25mm and 12mm depth with putty knife and neat finish i]. Removing of masking tape and providing and application of two coats of Acrylic elastomeric cementitious coating.</t>
  </si>
  <si>
    <t>Rate as per SSR   TBSC-Q.VII-07</t>
  </si>
  <si>
    <r>
      <t xml:space="preserve">Providing and fixing of Expansion joint filler board for buildings, columns, beams and slabs 25 mm thick </t>
    </r>
    <r>
      <rPr>
        <sz val="10"/>
        <rFont val="Arial"/>
        <family val="2"/>
        <charset val="1"/>
      </rPr>
      <t xml:space="preserve">including cost and conveyance of all materials to site, all incidental, operational, labour charges etc.overheads &amp; contractors profit complete for finished item of work as per approved drawing for all floors </t>
    </r>
  </si>
  <si>
    <t>Rate as per SSR</t>
  </si>
  <si>
    <r>
      <t xml:space="preserve">Providing and fixing of 24 gauge alluminium sheet over expansion joint </t>
    </r>
    <r>
      <rPr>
        <sz val="10"/>
        <rFont val="Arial"/>
        <family val="2"/>
        <charset val="1"/>
      </rPr>
      <t>groove of width 15cm fixed to walls / columns at one edge and resting over the other block walls/columns concealing expansion joint with slotted holes for free edge of aluminium sheet to facilitate free movement of aluminium sheet over the finished surface of expansion joint and wall face using sheet metal screws with nylon receiver complete including cost and conveyance of all materials to site, all incidental, operational, labour charges , overheads &amp; contractors profit etc., complete for finished item of work as per approved drawing (for all floors for vertical joints and bottom of slab)</t>
    </r>
  </si>
  <si>
    <t>Cost of aluminium sheet 24 gauge 
TBSC-R.I-23</t>
  </si>
  <si>
    <t xml:space="preserve">Add for labour charges including cost of nails, making holes to wall and in aluminium sheet  etc.   </t>
  </si>
  <si>
    <r>
      <t>Supplying and fixing aluminium composite cladding</t>
    </r>
    <r>
      <rPr>
        <sz val="10"/>
        <rFont val="Arial"/>
        <family val="2"/>
        <charset val="1"/>
      </rPr>
      <t xml:space="preserve"> </t>
    </r>
    <r>
      <rPr>
        <b/>
        <sz val="10"/>
        <rFont val="Arial"/>
        <family val="2"/>
        <charset val="1"/>
      </rPr>
      <t>4mm thick</t>
    </r>
    <r>
      <rPr>
        <sz val="10"/>
        <rFont val="Arial"/>
        <family val="2"/>
        <charset val="1"/>
      </rPr>
      <t xml:space="preserve"> of approved make </t>
    </r>
    <r>
      <rPr>
        <b/>
        <sz val="10"/>
        <rFont val="Arial"/>
        <family val="2"/>
        <charset val="1"/>
      </rPr>
      <t>with skin material 0.25 mm thick</t>
    </r>
    <r>
      <rPr>
        <sz val="10"/>
        <rFont val="Arial"/>
        <family val="2"/>
        <charset val="1"/>
      </rPr>
      <t xml:space="preserve"> aluminium sheet cover material natural polyethylene aluminium cladding panel fixed with extruded aluminium basis frame (50x25x1.5mm) angle cleats, weather sealants, rivets, GI brackets all as approved, using suitable bolts on structural steel work including necessary accessories complete in all respects including all scaffolding and labour charges , overheads &amp; contractors profit complete for finished item of work but excluding cost of structural steel fabrication if any. </t>
    </r>
  </si>
  <si>
    <t>Rate as per SSR   TBSC-R.I-18</t>
  </si>
  <si>
    <r>
      <t>Supplying and fixing aluminium composite cladding</t>
    </r>
    <r>
      <rPr>
        <sz val="10"/>
        <rFont val="Arial"/>
        <family val="2"/>
        <charset val="1"/>
      </rPr>
      <t xml:space="preserve"> </t>
    </r>
    <r>
      <rPr>
        <b/>
        <sz val="10"/>
        <rFont val="Arial"/>
        <family val="2"/>
        <charset val="1"/>
      </rPr>
      <t>4mm thick</t>
    </r>
    <r>
      <rPr>
        <sz val="10"/>
        <rFont val="Arial"/>
        <family val="2"/>
        <charset val="1"/>
      </rPr>
      <t xml:space="preserve"> of approved make </t>
    </r>
    <r>
      <rPr>
        <b/>
        <sz val="10"/>
        <rFont val="Arial"/>
        <family val="2"/>
        <charset val="1"/>
      </rPr>
      <t>with skin material 0.50 mm thick</t>
    </r>
    <r>
      <rPr>
        <sz val="10"/>
        <rFont val="Arial"/>
        <family val="2"/>
        <charset val="1"/>
      </rPr>
      <t xml:space="preserve"> aluminium sheet cover material natural polyethylene aluminium cladding panel fixed with extruded aluminium basis frame (50x25x1.5mm) angle cleats, weather sealants, rivets, GI brackets all as approved, using suitable bolts on structural steel work including necessary accessories complete in all respects including all scaffolding and labour charges , overheads &amp; contractors profit etc., complete for finished item of work but excluding cost of structural steel fabrication if any.</t>
    </r>
  </si>
  <si>
    <t>Rate as per SSR   TBSC-R.I-19</t>
  </si>
  <si>
    <t xml:space="preserve">Providing and Fixing Structural Glazing fabricated from Roll formed sections made of Pre-painted Steel / Powder coated (Base steel as per IS 513 of ‘D’ quality, galvanized as per IS 277 with Zinc of 120 Gm/Sqm) with total coated thickness of 0.72mm. The glass holding section made of 304 grade stainless steel of 0.6mm thick as per the design requirement &amp; calculations as given in IS: 875. Primer coat with epoxy primer of 5 – 7 microns thick, finish painted with a polyester paint of 12-16 microns thick and back coated with Alkyd backer of 5-7 microns or powder coated with pure polyester powder up to 50-60 microns thick. The vertical section should be of 50mm x100mm x 0.72mm, 33mm x 58mm x 0.72mm for frame horizontal section, stiffener section should be 48mm x 98mm x 1mm, cover pros sections should be of 20mm x 58mm x 0.58mm, Glass holding section should be of 37mm x 37mm &amp; 37mm x 18mm. Including 5mm thick Ocean Blue reflective glass. Brackets made of CRCA powder coated/Electroplated should be used to connect </t>
  </si>
  <si>
    <t>vertical to horizontal, vertical to slab, to fix verticals at top &amp; bottom as per site requirement. Gasket made of Ethyl Propylene Diamine Monomer. Natural cure, with Good U.V. Resistance Silicon to be used. Wall fixing of sections to concrete/masonry wall should be with self-expanding cap &amp; screws. The rate is inclusive of cost and conveyance of all materials to site, all labour charges, incidental charges, cost of all consumables etc. and scaffolding charges, form work , overheads &amp; contractors profit etc., complete for finished item of work in all floors.</t>
  </si>
  <si>
    <t>Rate as per SSR  TBSC-N.II-01</t>
  </si>
  <si>
    <r>
      <t>Providing and Fixing Top Hung shutters in Structural Glazing</t>
    </r>
    <r>
      <rPr>
        <sz val="10"/>
        <rFont val="Arial"/>
        <family val="2"/>
        <charset val="1"/>
      </rPr>
      <t xml:space="preserve"> fabricated from Roll formed sections made of Pre-painted Steel / Powder coated (Base steel as per IS 513 of ‘D’ quality, galvanized as per IS 277 with Zinc of 120 Gm/Sqm) with total coated thickness of 0.72mm.  The glass holding section made of 304 grade stainless steel of 0.6mm thick.  Galvanized steel sections are to be used as stiffeners inside the colour coated steel/powder coated sections as per the design requirement.  Design calculations are made to suit wind pressures as given in IS 875.  Primer coat with epoxy primer of 5-7 microns thick and back coated with Alkyd backer of 5-7 microns or powder coated with pure polyester powder up to 50-60  microns  thick.  The outer frame should be of 20mm x 58mm x 0.6mm, Shutter section should be of 58mm x 33mm x 0.72 mm, stiffener section should be 56mm x 31mm x 1mm.  EARL Bihari Hinges – 2 Nos for each shutter and Aluminium Stays – 2 Nos. for each shutter, Aluminium Handle – 1 no. for each </t>
    </r>
  </si>
  <si>
    <t>shutter. The rate is inclusive of cost and conveyance of all materials to site, all labour charges,  incidental charges, cost of all consumables etc. and scaffolding charges, form work, overheads &amp; contractor profit etc. complete for finished item of work in all floors.</t>
  </si>
  <si>
    <t>Rate as per SSR TBSC-N.II-02</t>
  </si>
  <si>
    <r>
      <t>Supply and fixing of curtain Glazing made of pre painted steel</t>
    </r>
    <r>
      <rPr>
        <sz val="10"/>
        <rFont val="Arial"/>
        <family val="2"/>
        <charset val="1"/>
      </rPr>
      <t xml:space="preserve"> (base steel as per IS 513 of 0.6 mm thick D   quality, galvanized as per IS 277 with Zinc of 120 GSM) Primer coated with epoxy primer of 5-7 microns thick, finish painted with a polyester paint of 12- 16 microns thick and back coated with 5-7 microns thick alkyd backer. Section for outer frame should be 46 x 52 mm, section for mullion should be 46 x 70 mm and section for beading should be 18 x 25 mm. The Glazing should be paneled with 5 mm thick plain float Glass with Ethyl Propylene diameine Monomer (EPDM) Gaskets. The sections are to be cut to length, mitre joined with corner bracket. Centre mullions are to be fixed suing mullion cap. Handle made of high grade Aluminium powder coated and nylon receiver. Gaskets made of Ethyl propylene Diamine Monomer (EPDM) Corner brackets made of CRCA with zinc phosphating. Mullion caps made of Glass filled nylon. The above frames should be fixed to the concrete / masonry wall be means of self expanding screws,overheads &amp; contractor profit etc., complete for finished item in all floors.</t>
    </r>
  </si>
  <si>
    <t>Fixed Glazing 2'-0" x 2'-0" (609.6x609.6mm) and 2'-0" x 3'-0" (609.6x914.4mm) grid outer frames section size of 46 x 52 mm</t>
  </si>
  <si>
    <t>Rate as per SSR  TBSC-N.I-01</t>
  </si>
  <si>
    <t>Fixed Glazing 3'-0" x 3'-0" (914.4x914.4mm), 3'-0" x 4'-0" (914.4x1219.2mm)   grid outer frames section size of 46 x 52 mm</t>
  </si>
  <si>
    <t>Rate as per SSR  TBSC-N.I-02</t>
  </si>
  <si>
    <t>Providing and fixing perforated wall panels channeled wood works panels/ sheets of width 192 mm, thickness of 15 mm and length 2400 mm made of a moisture resistant fibre board substrate with a laminated facing as per the approved shade/ species &amp; finish and a melamine balancing layer on the reverse side, with a special perforation pattern of helm holtz fluted perforation with consecutive 3 mm wide grooves followed by 21 mm of visible surface with edges of panel shall be tongue and groove fitting to fix special clips for installation and seamless finish, the back of the panel shall have hot pressed acoustic fleece to absorb noice/ sound absorbing to achieve NRC of 0.5 as per ASTM C423 and humidity resistance with minimum sag resistance of RH70, and a fire rating class of 2 as per Part 7 of BS 476.</t>
  </si>
  <si>
    <t>Rate as per SSR  TBSC-K.III-02</t>
  </si>
  <si>
    <r>
      <t>Providing and fixing in true horizontal level 14 mm - Mineral Fiber sheet 595 x 595</t>
    </r>
    <r>
      <rPr>
        <sz val="10"/>
        <rFont val="Arial"/>
        <family val="2"/>
        <charset val="1"/>
      </rPr>
      <t xml:space="preserve"> (Square / Tegular) Fissura fine model edge tiles with a Humidity Resistance of 90% RH,Average NRC 0.50, Light Reflectance &gt;80%, Thermal Conductivity λ=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overheads &amp; contractor profit etc., complete for finished item of work in all floor in all floors.</t>
    </r>
  </si>
  <si>
    <t>(BLD-CSTN-10-33 &amp; vide Page No. 391 of SoR 2011-12)</t>
  </si>
  <si>
    <t>Unit 1 Sqm</t>
  </si>
  <si>
    <t>14mm Mineral Fiber sheet 600 x 600 TBSC-K.I-05</t>
  </si>
  <si>
    <t>Hotdipped GI Angle - Precoated - Grid - 19mmx19mmX0.7mm   TBSC-K.II-08</t>
  </si>
  <si>
    <t>Polyster painted GI - T section - 1200mm -  24x32mm and 24x25mm (sub-cross Tee) TBSC-K.II-09&amp;10</t>
  </si>
  <si>
    <t>Polyster painted GI-T Section - 300mm - 24mm x 27mm  TBSC-K.II-11</t>
  </si>
  <si>
    <t>GI Rod - prestraightened - 2.0mm dia -Connecting Rod TBSC-K.II-24</t>
  </si>
  <si>
    <t>6mm Nylon Rawl Plug TBSC-K.II-15</t>
  </si>
  <si>
    <t>B) Labour charges</t>
  </si>
  <si>
    <t>1st Class Carpenter</t>
  </si>
  <si>
    <t>2nd Class Carpenter</t>
  </si>
  <si>
    <t>Power Saw cutter - Hand Operated - Operator</t>
  </si>
  <si>
    <t>Power Drill - Hand Operated - Operator</t>
  </si>
  <si>
    <t xml:space="preserve">                                                                                                     </t>
  </si>
  <si>
    <t>Unskilled Mazdoor</t>
  </si>
  <si>
    <t>C) Machinery</t>
  </si>
  <si>
    <t>Power Saw cutter - Hand Operated - Hire Charges  TBSC-S.I-02</t>
  </si>
  <si>
    <t>Power Drill - Hand Operated - Hire Charges   TBSC-S.I-03</t>
  </si>
  <si>
    <t>Scaffolding charges  1%</t>
  </si>
  <si>
    <t>Basic Cost per 1 sqm</t>
  </si>
  <si>
    <r>
      <t>Supplying and fixing Gyp Board Suspended regular single layer false ceiling</t>
    </r>
    <r>
      <rPr>
        <sz val="10"/>
        <rFont val="Arial"/>
        <family val="2"/>
        <charset val="1"/>
      </rPr>
      <t xml:space="preserve"> (GS-MFSC-4.1) using 12.5 mm thick Gyp Board conforming to IS 2095 - 1993 fixing to Gyp steel GI perimeter channels of size 20 mm x 27 mm x 30 mm(web) of 0.55 mm thick along the perimeter of ceiling screw fixed to brick work/ partition at 610 mm c/c and suspending the frame work using Intermediate channels (45 mm x 15mm x 15mm x 0.9 mm) from soffit at 1220 mm c/c with ceiling angle (25 mm x 10 mm x 0.55 mm) fixed with GI Cleat and steel expansion fasteners &amp; connecting clip to the ceiling channels (with knurled web of 51.5 mm x 26 mm x 10.5 mm x 0.55 mm) fixed in direction perpendicular to the intermediate channel at 457 mm c/c and fixing the 12.5 mm tapered edge Gypboard with 25 mm drywall screws at 230 mm c/c &amp; jointing and finishing using joint compound and paper tape to have a flush look including filling the tapered &amp; square edges with jointing compound, two coats of drywall topcoa including overheads and contractor profit etc., complete for finished item of work</t>
    </r>
  </si>
  <si>
    <t>(BLD-CSTN-10-31 &amp; vide Page No. 389 of SoR 2011-12)</t>
  </si>
  <si>
    <t>Unit - 1 Sqm</t>
  </si>
  <si>
    <t>A) Material requirement as per India Gypsum 12.5mm Gypboard</t>
  </si>
  <si>
    <t>1219mm x 1829mm size Boards 
TBSC-K.I-03</t>
  </si>
  <si>
    <t>GI Ceiling Angle - 25mm x 10mm x 0.5mm   TBSC-K.II-01</t>
  </si>
  <si>
    <t>GI Ceiling section - 51.5mm x 26mm x 10.5mm x 0.55mm thick TBSC-K.II-02</t>
  </si>
  <si>
    <t>Intermediate channel - 45mm x 15mm x 15mm x 0.9mm TBSC-K.II-03</t>
  </si>
  <si>
    <t>Perimeter channel - 20mm x 27mm x 30mm (web) of 0.55mm thick 
TBSC-K.II-04</t>
  </si>
  <si>
    <t>Connecting Clips    TBSC-K.II-14</t>
  </si>
  <si>
    <t>Rawl Plug           TBSC-K.II-15</t>
  </si>
  <si>
    <t>Soffit Cleats TBSC-K.II-17</t>
  </si>
  <si>
    <t>Drywall screws - 25mm TBSC-K.II-18</t>
  </si>
  <si>
    <t>Jointing Compound  TBSC-K.II-19</t>
  </si>
  <si>
    <t>Kgs.</t>
  </si>
  <si>
    <t>Kg.</t>
  </si>
  <si>
    <t>Jointing Paper tape TBSC-K.II-20</t>
  </si>
  <si>
    <t>Drywall top coat TBSC-K.II-21</t>
  </si>
  <si>
    <t>B) Labour Charges</t>
  </si>
  <si>
    <t xml:space="preserve">Power Drill - Hand Operated - Hire Charges   </t>
  </si>
  <si>
    <t>TBSC-S.I-03</t>
  </si>
  <si>
    <t>Scaffolding charges 1%</t>
  </si>
  <si>
    <r>
      <t>Supplying and fixing Gyp board  Fine line Grid false ceiling</t>
    </r>
    <r>
      <rPr>
        <sz val="10"/>
        <rFont val="Arial"/>
        <family val="2"/>
        <charset val="1"/>
      </rPr>
      <t xml:space="preserve"> (GS-FLC-4.6)using </t>
    </r>
    <r>
      <rPr>
        <b/>
        <sz val="10"/>
        <rFont val="Arial"/>
        <family val="2"/>
        <charset val="1"/>
      </rPr>
      <t>12.5mm thick Gyp Board</t>
    </r>
    <r>
      <rPr>
        <sz val="10"/>
        <rFont val="Arial"/>
        <family val="2"/>
        <charset val="1"/>
      </rPr>
      <t xml:space="preserve"> sheet tiles of size 595mm x 595mm conforming to IS 2095 - 1992 fixing to Gyp steel precoated GI wall angle of size 25mm x 25mm x 0.70mm thick along the perimeter of ceiling screw fixed to brick work / partition at 610mm center to center and suspending the frame work using precoated GI Tee section (24mm x 38mm x 0.7mm) from soffit at 1220mm center to center fixed with GI Soffit Cleat, rawl plugs and steel expansion fasteners &amp; connecting clip to the GI Tee section with 4mm dia GI rod with galvanised spring steel level clip of PVC unversal holding clips system at 1200mm center to center and fixing the 12.5mm Gypboard sheet tiles of size 595mm x 595mm and finishing two coats of drywall top coat, overheads and contractor profit complete for finished item of work in all floors.</t>
    </r>
  </si>
  <si>
    <t>(BLD-CSTN-10-32 &amp; vide Page No. 390 of SoR 2011-12)</t>
  </si>
  <si>
    <t>A) Material requirement as per India Gypsum</t>
  </si>
  <si>
    <t>12.5mm Gypboard Tiles</t>
  </si>
  <si>
    <t>595mm x 595mm TBSC-K.I-01</t>
  </si>
  <si>
    <t>GI Angle - Precoated - 25mm x 25mm  x0.7mm   TBSC-K.II-05</t>
  </si>
  <si>
    <t xml:space="preserve">GI pre coated - T section - 3600mm long - 24mm x 38mm x 0.7mm thick TBSC-K.II-07 </t>
  </si>
  <si>
    <t>GI Rod - 4mm dia - Connecting Rod  TBSC-K.II-23</t>
  </si>
  <si>
    <t>Universal Holding Clips TBSC-K.II-22</t>
  </si>
  <si>
    <t>Drywall Top coat   TBSC-K.II-21</t>
  </si>
  <si>
    <t xml:space="preserve">Power Saw cutter - Hand Operated - Hire Charges </t>
  </si>
  <si>
    <t xml:space="preserve">Power Drill - Hand Operated - Hire Charges </t>
  </si>
  <si>
    <t>Scaffolding charges @ 1%</t>
  </si>
  <si>
    <t>Basic Cost per 1 Sqm</t>
  </si>
  <si>
    <r>
      <t>Providing and fixing in true horizontal level 14 mm - Mineral Fiber</t>
    </r>
    <r>
      <rPr>
        <sz val="10"/>
        <rFont val="Arial"/>
        <family val="2"/>
        <charset val="1"/>
      </rPr>
      <t xml:space="preserve"> sheet 600 x 600 (Square / Tegular) edge tiles with a Humidity Resistance of 90% RH,Average NRC 0.50, Light Reflectance &gt;80%, Thermal Conductivity λ=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overheads &amp; contractor profit etc., complete for finished item of work in all floor in all floors.</t>
    </r>
  </si>
  <si>
    <t>14mm Mineral Fiber sheet 600 x 600  TBSC-K.I- 05</t>
  </si>
  <si>
    <t xml:space="preserve">Hotdipped GI Angle - Precoated - Grid - 19mmx19mmX0.7mm </t>
  </si>
  <si>
    <t xml:space="preserve">Polyster painted GI - T section - 1200mm -  24x32mm and 24x25mm (sub-cross Tee) </t>
  </si>
  <si>
    <t>Polyster painted GI-T Section - 300mm - 24mm x 27mm</t>
  </si>
  <si>
    <t xml:space="preserve">GI Rod - prestraightened - 2.0mm dia -Connecting Rod </t>
  </si>
  <si>
    <t xml:space="preserve">6mm Nylon Rawl Plug </t>
  </si>
  <si>
    <t>Power Saw cutter - Hand Operated - Hire Charges</t>
  </si>
  <si>
    <r>
      <t>Providing and fixing Thermocole False ceiling</t>
    </r>
    <r>
      <rPr>
        <sz val="10"/>
        <rFont val="Arial"/>
        <family val="2"/>
        <charset val="1"/>
      </rPr>
      <t xml:space="preserve"> in true horizontal level 600mm x 600mm using 12mm thick Thermocole sheet, anodized Aluminium Tee sections of size 24.50mm x 24.0mm x 2.4mm in grid with cross tee of size 24mm x 24.5mm at every 600mm center to center and anodised aluminium wall angle of size 24mm x 24mm fixed to periphery of the wall and the above grid is suspended at every 1200mm center to center in both directions using 2.0mm thick GI wire for finished of size 600mm x 600mm including cost and conveyance of all materials and labour charges such as cutting , fixing of standing of frame work exposing roof complete for finished item of work in all floors. (The rate is inclusive of overheads &amp; contractor profit).</t>
    </r>
  </si>
  <si>
    <t>(BLD-CSTN-10-34 &amp; vide Page No. 392 of SoR 2011-12)</t>
  </si>
  <si>
    <t>12mm Thermocole sheet  TBSC-K.I-24</t>
  </si>
  <si>
    <t>Aluminium angle - 24mmx 24mm  
TBSC-K.II-12</t>
  </si>
  <si>
    <t>Anodised Aluminium T section - 24mm x 24.5mm x 2.4mm TBSC-K.II-13</t>
  </si>
  <si>
    <t>GI rod-prestraightened 2.0mm dia. - Connecting rod   TBSC-K.II-24</t>
  </si>
  <si>
    <t>Rawl plugs    TBSC-K.II-15</t>
  </si>
  <si>
    <r>
      <t>Supplying and fixing 50mm dia nominal bore</t>
    </r>
    <r>
      <rPr>
        <sz val="10"/>
        <rFont val="Arial"/>
        <family val="2"/>
        <charset val="1"/>
      </rPr>
      <t xml:space="preserve"> Medium Grade properties &amp; weight as per IS 1239 ISI mark </t>
    </r>
    <r>
      <rPr>
        <b/>
        <sz val="10"/>
        <rFont val="Arial"/>
        <family val="2"/>
        <charset val="1"/>
      </rPr>
      <t>MS Tube</t>
    </r>
    <r>
      <rPr>
        <sz val="10"/>
        <rFont val="Arial"/>
        <family val="2"/>
        <charset val="1"/>
      </rPr>
      <t xml:space="preserve">  for fixing of GI Sheet including cost and conveyance of all materials to work site and all operational, incidental, labour charges , overheads &amp; contractors profit for finished item of work.etc., complete for finished item of work in all floors for stair case head room roof.</t>
    </r>
  </si>
  <si>
    <t>Cost of MS Tube  TBSC-E.I-15</t>
  </si>
  <si>
    <t>Labour charges for fabrication 
TBSC-T.I-16</t>
  </si>
  <si>
    <t>Labour charges for fixing  TBSC-T.I-17</t>
  </si>
  <si>
    <r>
      <t>Roofing with corrugated G.I sheets 0.80mm thick</t>
    </r>
    <r>
      <rPr>
        <sz val="10"/>
        <rFont val="Arial"/>
        <family val="2"/>
        <charset val="1"/>
      </rPr>
      <t xml:space="preserve"> fixed with G.I ‘J’ bolts &amp; nuts 8 mm dia with bitumen &amp; G.I limpet washers filled with white lead &amp; including a coat of approved steel primer and two coats of approved paint on over lapping of sheets complete (up to a pitch of 600) etc., complete, excluding the cost of purlins, rafters, trusses including cost and conveyance of all materials , labour charges , overheads and contractors profit etc., complete for finished item of work in all floors.</t>
    </r>
  </si>
  <si>
    <t>G.I corrugated 0.80 mm thick sheets TBSC-D.VI-04</t>
  </si>
  <si>
    <t>G.I scam bolts &amp; nuts 2 x 27 (laps) x 17 = 884    TBSC-D.VI-14</t>
  </si>
  <si>
    <t>G.I ‘J’ bolts 8 mm dia 2 x 5 x 27 sheets x 3 nos = 810 nos. with washers or srews, if wooden battens used. TBSC-D.VI-16</t>
  </si>
  <si>
    <t>Limpet washers (for scam &amp; ‘J’ bolts) 884 + 810 = 1694    TBSC-D.VI-18</t>
  </si>
  <si>
    <t>Bitumen washers  TBSC-D.VI-19</t>
  </si>
  <si>
    <t>Zinc cromate yellow paint  TBSC-G.I-06</t>
  </si>
  <si>
    <t>Ready mixed paint    TBSC-G.V-01</t>
  </si>
  <si>
    <t>For roofing</t>
  </si>
  <si>
    <t>Carpenter II class</t>
  </si>
  <si>
    <t>Man mazdoor (beldar)</t>
  </si>
  <si>
    <t>For primer painting one coat</t>
  </si>
  <si>
    <t>Mazdoor (coolie)</t>
  </si>
  <si>
    <t>For two coats of painting to over laps</t>
  </si>
  <si>
    <t>Mazdor (coolie)</t>
  </si>
  <si>
    <t>Supplying and fixing of Pre-painted Galvalume Trapezoidal Pro Roofing sheets with 0.50mm thickness, Coating: Alu-Zinc coating AZ150 GSM. Tensile Strength: 550 MPA. Paint coating: Regular Modified Polyester painting. Painting Thickness (Top): 18 to 20 Microns, (Bottom): 5 to 7 Microns. Sheet Width: 1.020, Length: Maximum 12 Meters with Regular Range Colours fixed with G.I ‘J’ bolts &amp; nuts 8 mm dia with bitumen &amp; G.I limpet washers filled with white lead &amp; including a coat of approved steel primer and two coats of approved paint on over lapping of sheets complete (up to a pitch of 600)  etc., complete, excluding the cost of purlins, rafters, trusses including cost and conveyance of all materials , labour charges , overheads and contractors profit etc., complete for finished item of work in all floors.</t>
  </si>
  <si>
    <t>Galvalume sheet 0.50mm thick 
TBSC-D.VI-05</t>
  </si>
  <si>
    <t>G.I scam bolts &amp; nuts 2 x 27 (laps) x 17 = 884  TBSC-D.VI-14</t>
  </si>
  <si>
    <t>G.I ‘J’ bolts 8 mm dia 2 x 5 x 27 sheets x 3 nos = 810 nos. with washers or srews, if wooden battens used.  TBSC-D.VI-16</t>
  </si>
  <si>
    <t>Limpet washers (for scam &amp; ‘J’ bolts)   TBSC-D.VI-18</t>
  </si>
  <si>
    <r>
      <t>Supply and delivery of encapsulated plastic steps</t>
    </r>
    <r>
      <rPr>
        <sz val="10"/>
        <rFont val="Arial"/>
        <family val="2"/>
        <charset val="1"/>
      </rPr>
      <t xml:space="preserve"> manufactured as per companies standard specification including cost of materials packing as per companiess standards, loading, transportation, unloading and stacking at site of work , and taxes such as complete sales tax,C.E.D and others etc., as applicable  including  labour charges for fixing etc. complete for finished item of work.</t>
    </r>
  </si>
  <si>
    <t>Rate as per S.S.R. S.No.29-II</t>
  </si>
  <si>
    <t>Rate per each</t>
  </si>
  <si>
    <t>Supplying &amp; fixing 602 x 602 mm CI man hole frame and cover (light weight) 30 Kgs including cost and conveyance and labour charges for fixing, overheads and contractor profit etc., complete for finished item of work</t>
  </si>
  <si>
    <t>Rate as per SoR TBSP-B.II-10</t>
  </si>
  <si>
    <r>
      <t>Supply and fixing ornamental</t>
    </r>
    <r>
      <rPr>
        <sz val="10"/>
        <rFont val="Arial"/>
        <family val="2"/>
        <charset val="1"/>
      </rPr>
      <t xml:space="preserve"> </t>
    </r>
    <r>
      <rPr>
        <b/>
        <sz val="10"/>
        <rFont val="Arial"/>
        <family val="2"/>
        <charset val="1"/>
      </rPr>
      <t>MS Main gate</t>
    </r>
    <r>
      <rPr>
        <sz val="10"/>
        <rFont val="Arial"/>
        <family val="2"/>
        <charset val="1"/>
      </rPr>
      <t xml:space="preserve"> of size 9mts x 3.75 mts ( average height) i.e., varying from 3mts to 4.50 mts at centre as per the approved drawing using MS Angle of 75mm x 75mm x 6mm alround for frame and 63mm x 6mm MS Flats in 6 rows horizontally, 25mm MS Square bars at 125mm c/c and CI Spikes 9" long on top and 6" long CI spikes in the middle in two rows including 6 Nos of Pin clamps fixed in RCC Columns, 2 Nos of MS aldrops 450 mm Long ( special ) welded at the the centre on each side, 2 Nos of MS tower bolts 450mm Long ( special )and providing brass emblem on emboseed cover in the centre of the two leaves and fixing 2 Nos. of rollers per each leaf including  cost and conveyance of all materials,fabrication charges , welding charges, incidental charges and all labour charges, over heads and contractor profit etc., complete for finsihed item of work.</t>
    </r>
  </si>
  <si>
    <t>MS Angle 75mm x 75mm x 6mm</t>
  </si>
  <si>
    <t>Kgs/RM</t>
  </si>
  <si>
    <t>MS Flat 63 x 6mm</t>
  </si>
  <si>
    <t>25mm MS Square Rods</t>
  </si>
  <si>
    <t>CI Spokes 9" Long-2kg/each-38 Nos and 6' long  1 kg / each 76 nos</t>
  </si>
  <si>
    <t>Cost Analysis</t>
  </si>
  <si>
    <t>Cost of MS Angles</t>
  </si>
  <si>
    <t>Cost of MS Flats</t>
  </si>
  <si>
    <t>Cost of MS Square Bars</t>
  </si>
  <si>
    <t>Cost of CI spikes</t>
  </si>
  <si>
    <t>Pin clamps for fixing gate to columns</t>
  </si>
  <si>
    <t>MS Aldrop 450mm long ( Special )</t>
  </si>
  <si>
    <t>MS Tower bolts 450 mm long (Special )</t>
  </si>
  <si>
    <t>LS for brass emblem and embossed cover</t>
  </si>
  <si>
    <t>Add for  Red Oxide painting to gate</t>
  </si>
  <si>
    <t>Applying Black paint</t>
  </si>
  <si>
    <t>Labour charges for fixing</t>
  </si>
  <si>
    <t>Add cost of rollers</t>
  </si>
  <si>
    <t>LS</t>
  </si>
  <si>
    <t>Add for conveyance to work spot</t>
  </si>
  <si>
    <t>Rate for 33.75 sqm</t>
  </si>
  <si>
    <r>
      <t>Supply and fixing ornamental</t>
    </r>
    <r>
      <rPr>
        <sz val="10"/>
        <rFont val="Arial"/>
        <family val="2"/>
        <charset val="1"/>
      </rPr>
      <t xml:space="preserve"> </t>
    </r>
    <r>
      <rPr>
        <b/>
        <sz val="10"/>
        <rFont val="Arial"/>
        <family val="2"/>
        <charset val="1"/>
      </rPr>
      <t xml:space="preserve">MS Wicket gate </t>
    </r>
    <r>
      <rPr>
        <sz val="10"/>
        <rFont val="Arial"/>
        <family val="2"/>
        <charset val="1"/>
      </rPr>
      <t>Size 1.50m x 3.00m as per the approved drawing using 75mm x 75mm x 6mm MS angle alround for frame and 63mm x 6mm MS flats in 6 rows horizontally, 25mm MS square vertical bars at 125mm c /c and CI spikes 9" long at the top and 6" long spikes in two rows in the middle, 3 Nos of Pin clamps fixed in RCC columns, providing 2 Nos.of MS powder coated aldrops 300mm long including  cost all taxes and conveyance of all materials,fabrication charges welding charges incidental charges all labour charges, overheads and contractor profit etc., complete for finsihed item of work.</t>
    </r>
  </si>
  <si>
    <t>MS Flat 80x6mm</t>
  </si>
  <si>
    <t>25mm MS Square bars</t>
  </si>
  <si>
    <t>CI Spokes 9" Long-2kg/each-12 Nos</t>
  </si>
  <si>
    <t>CI Spokes 6" Long-1kg/each-24 Nos</t>
  </si>
  <si>
    <t>Cost of MS  Flats</t>
  </si>
  <si>
    <t>Cost of MS  square bars</t>
  </si>
  <si>
    <t xml:space="preserve">MS Aldrop 300mm long </t>
  </si>
  <si>
    <t>MS pin clamps for fixing gate</t>
  </si>
  <si>
    <t>Add for  Red Oxide painting to gate(50%)</t>
  </si>
  <si>
    <t>Applying Black paint (50%)</t>
  </si>
  <si>
    <t>Rate for 4.50 Sqm</t>
  </si>
  <si>
    <t>Rate for 1 Sqm</t>
  </si>
  <si>
    <r>
      <t xml:space="preserve">Providing cattle trap </t>
    </r>
    <r>
      <rPr>
        <sz val="10"/>
        <rFont val="Arial"/>
        <family val="2"/>
        <charset val="1"/>
      </rPr>
      <t>including cost of excavation of trap pit and laying 100 mm hick PCC (1:5:10) prop bed in 1:50 slope using 40 mm HB Granite metal including constructing 230 mm thick walls alround and middle in PCC M20 Design mix using 20 mm HBG graded metal, 325 mm average height over the bed and duly fixing 7 nos of ISLB 125 x 75 @ 11.9 kg/mt at 470 mm centre to centre and welding 25 mm dia HYSD bars duly inserted in GI B class pipe 50 mm dia (13 nos in all) over ISLB @ 80 mm centre to centre  25 mm dia MS small pieces of 0.15 m length for pedestrains (76 nos in all) and including plastering the exposed faces of walls and base in CM 1:5 prop 20 mm thick in single coat duly  maintaining 1:50 slope including providing 200mm dia SWG drain pipe to be connected to the nearest valley to drain off the collected water inside the trap including cost and conveyance of all materials, to site, all labour charges including cutting, welding of bars to (ISLB) RS joists, curing centering, over heads and contractor profit etc., complete for finished item of work as per the approved drawing.</t>
    </r>
  </si>
  <si>
    <t>for Cattle trap of size 3.74mx1.45m</t>
  </si>
  <si>
    <t>Earth work excavation</t>
  </si>
  <si>
    <t>PCC (1:5:10)</t>
  </si>
  <si>
    <t>PCC M 20 nominal mix for wall around 0.45 M</t>
  </si>
  <si>
    <t>Cost of 25mm dia MS bars</t>
  </si>
  <si>
    <t>RS joints 125mm x 75mm @ 11.90 Kgs</t>
  </si>
  <si>
    <t>Structural steel</t>
  </si>
  <si>
    <t>20mm thick plastering</t>
  </si>
  <si>
    <t>50mm dia GI pipe 'B' class</t>
  </si>
  <si>
    <t xml:space="preserve">Labour charges for making suitable arrangement for drainage etc and transportation to site </t>
  </si>
  <si>
    <t>Rate per 5.423 Sqm</t>
  </si>
  <si>
    <t>Cement concrete pavement</t>
  </si>
  <si>
    <r>
      <t xml:space="preserve">Construction of  un-reinforced, plain cement concrete pavement, thickness as per design, over a prepared sub base, with 43 grade cement or any other type as per Clause 1501.2.2 M30 (Grade) Cement component not less than 350Kgs / cum, coarse and fine aggregates conforming to IS:383, maximum in a concrete mixer of not less than 0.2 cum capacity and appropriate weigh batcher using approved mix design, laid in approved fixed side form work (steel channel, laying and fixing of 125 micron thick polythene film, wedges, steel plates including levelling the form work as per drawing), spreading the concrete with shovels, rakes, compacted using needle, scareed and plate vibrators and finished in continuous operation including provision of contraction and expansion, construction joints, admixtures as approved, curing of concrete slabs for 14- days, curing compound (where specified) and water finishing to lines and grade as per drawing and Technical Specification Clause 1501 MORD. </t>
    </r>
    <r>
      <rPr>
        <b/>
        <sz val="10"/>
        <rFont val="Arial"/>
        <family val="2"/>
        <charset val="1"/>
      </rPr>
      <t xml:space="preserve"> including cost &amp; conveyance of all material, labour, over heads and contractors profit complete as directed by the Engineer in Charge.</t>
    </r>
  </si>
  <si>
    <t>Taking output = 75 cum (172.50 t)</t>
  </si>
  <si>
    <t>(100 x 3.75 x 0.200)</t>
  </si>
  <si>
    <t>A. LABOUR:</t>
  </si>
  <si>
    <t>Mate</t>
  </si>
  <si>
    <t>-</t>
  </si>
  <si>
    <t>Mason (1st Class)</t>
  </si>
  <si>
    <t>Mason (2nd class)</t>
  </si>
  <si>
    <t>Mazdoor (Skilled)</t>
  </si>
  <si>
    <t>B. MACHINERY</t>
  </si>
  <si>
    <t>Concrete mixer 0.28 / 0.4 cum capacity (6 mixers) with weigh batcher and suitable capacity calibrated water tank</t>
  </si>
  <si>
    <t>Hr.</t>
  </si>
  <si>
    <t xml:space="preserve">Needle Vibrator </t>
  </si>
  <si>
    <t>Water tanker  6 kl capacity</t>
  </si>
  <si>
    <t>C. MATERIALS:</t>
  </si>
  <si>
    <t>Crushed stone coarse aggregates, grading will be as per Clause 1501.2.4.1 (Table 1500.1) of specifications @ 0.90 cum/cum of concrete</t>
  </si>
  <si>
    <t>20 mm Graded</t>
  </si>
  <si>
    <t>Sand as per IS:383 and confirming of clause 1500.2.4.2 @ 0.45cum/cum of concrete</t>
  </si>
  <si>
    <t>Cement @ 350 KG/cum of concrete</t>
  </si>
  <si>
    <t>water including curing</t>
  </si>
  <si>
    <t>high performance expansion joint filler board conforming to IS: 1838 - 20 mm THICK (4x3.75x0.100 = 1.5 sqm) VP No. 311, Sl No. 74 of bld. SSR 2013-14</t>
  </si>
  <si>
    <t>Sub Total =</t>
  </si>
  <si>
    <t>D) Formwork @ 3% of (a+b+c)</t>
  </si>
  <si>
    <t>Cost for 75 cum= A+B+C+D+E+F</t>
  </si>
  <si>
    <t>Rate per cum= (A+B+C+D+E+F)/75</t>
  </si>
  <si>
    <t>Rate per 1Cum</t>
  </si>
  <si>
    <r>
      <t xml:space="preserve">Drilling holes in hard granite or sheet rock </t>
    </r>
    <r>
      <rPr>
        <sz val="10"/>
        <rFont val="Arial"/>
        <family val="2"/>
        <charset val="1"/>
      </rPr>
      <t xml:space="preserve"> with uising Pneumatic Compressor 20mm dia as applicable  including  labour charges etc. complete for finished item of work  as directed by the Engineer-in-Charge .</t>
    </r>
  </si>
  <si>
    <t>Rate as per S.S.R. S.</t>
  </si>
  <si>
    <r>
      <t>Grouting the holes with neat cement slurry excluding cost of steel</t>
    </r>
    <r>
      <rPr>
        <sz val="10"/>
        <rFont val="Arial"/>
        <family val="2"/>
        <charset val="1"/>
      </rPr>
      <t xml:space="preserve"> 20mm dia as applicable  including  labour charges etc. complete for finished item of work  as directed by the Engineer-in-Charge .</t>
    </r>
  </si>
  <si>
    <r>
      <t xml:space="preserve">Supplying and fabricating, erecting and fixing in position tabular trusses </t>
    </r>
    <r>
      <rPr>
        <sz val="10"/>
        <rFont val="Arial"/>
        <family val="2"/>
        <charset val="1"/>
      </rPr>
      <t xml:space="preserve">of approved design with M.S tube conforming to I.S-1161 specifications including roof frame work consisting of rafters,ties struts and purlins including cost of foundations bolts, cleats, bearings plates,etc.,complete as per the sketch  enclosed and including cost of  primary coat with red oxide paint including cost and conveyance of all materials, labour charges for erecting &amp; fixing all structural steel works  erecting in position and fixing by using chain pulley blocks, Derek pole arrangements and cranes etc., complete in position, labour charges for fabrication, all incidental charges, overheads and contractor profit etc., complete for finished item of work as directed by the Engineer-in-Charge </t>
    </r>
  </si>
  <si>
    <t>Cost of MS tube  TBSC-E.I-15</t>
  </si>
  <si>
    <t>Labour charges for fabrication TBSC-T.I-18</t>
  </si>
  <si>
    <t>Labour charges for fixing TBSC-T.I-19</t>
  </si>
  <si>
    <t>Rate per KG</t>
  </si>
  <si>
    <t>Or Say KG</t>
  </si>
  <si>
    <t xml:space="preserve">Supplying, fabricating, hoisting,erecting in position structural steel works comprising of trusses, lattice girders, brackets, column, bracing, rafters and other connected works with necessary joints, channels, angles, I-section, plates, bolts and nuts, washers as showin in the detailed approved drawings including cutting, welding, hoisting and painting redoxide primer one coat before erection including cost and conveyance of all materials, labour charges for fabrication erection at site work for all heights etc., complete as directed by the Engineer-in-Charge. </t>
  </si>
  <si>
    <t>Cost of Structural steel</t>
  </si>
  <si>
    <t>Labour charges for fabrication TBSC-T.I-16</t>
  </si>
  <si>
    <t>Labour charges for fixing TBSC-T.I-17</t>
  </si>
  <si>
    <t>Supplying and Fixing M.S. Chequered Plates of 10mm thickness with MS angles of approved sizes for cable trenches wherever required, at all levels, etc, complete, as per standard specifications / approved detailed drawings and as directed by engineer-in-charge including painting with synthetic enamel paint two coats over a primary coat of red oxide including cost and conveynace of all materials &amp;  labour charges overheads and contractor profit etc., complete for finished item of work</t>
  </si>
  <si>
    <t>Cost of Chequered plate</t>
  </si>
  <si>
    <r>
      <t xml:space="preserve">Supplying and fabricating, erecting and fixing in position trusses </t>
    </r>
    <r>
      <rPr>
        <sz val="10"/>
        <rFont val="Arial"/>
        <family val="2"/>
        <charset val="1"/>
      </rPr>
      <t xml:space="preserve">of approved design with structural steel other than MS circular tubes including roof frame work consisting of rafters, ties struts and purlins including cost of foundations bolts, cleats, bearings plates,etc.,complete as per the sketch  enclosed and including cost of  primary coat with red oxide paint including cost and conveyance of all materials, labour charges for erecting &amp; fixing all structural steel works  erecting in position and fixing by using chain pulley blocks, Derek pole arrangements and cranes etc., complete in position, labour charges for fabrication, all incidental charges, overheads and contractor profit etc., complete for finished item of work as directed by the Engineer-in-Charge </t>
    </r>
  </si>
  <si>
    <t>RBR-SBBS-12</t>
  </si>
  <si>
    <r>
      <t>Construction of</t>
    </r>
    <r>
      <rPr>
        <sz val="10"/>
        <rFont val="Arial"/>
        <family val="2"/>
        <charset val="1"/>
      </rPr>
      <t xml:space="preserve"> </t>
    </r>
    <r>
      <rPr>
        <b/>
        <sz val="10"/>
        <rFont val="Arial"/>
        <family val="2"/>
        <charset val="1"/>
      </rPr>
      <t>Granular sub-base by providing HBG material confirming to Grading - III of MORT &amp; H Table 400-2</t>
    </r>
    <r>
      <rPr>
        <sz val="10"/>
        <rFont val="Arial"/>
        <family val="2"/>
        <charset val="1"/>
      </rPr>
      <t xml:space="preserve"> including cost, seigniorage charges and conveyance of all material to woek site and spreading in uniform layers with motor grader or by approved means, on prepared surface mixing by mix place method with Rotavator/ approved means, at OMC and compacting with vibratory roller to achieve the desired density etc., complete for finished item of work as per MoRT&amp; H specification 401 (4th revision) and as directed by the Engineer- in - charge (Payment will be made based on levels for finished item of work) </t>
    </r>
  </si>
  <si>
    <t>Taking output : 300 cum</t>
  </si>
  <si>
    <t>Mazdoor skilled</t>
  </si>
  <si>
    <t>Mazdoor unskilled</t>
  </si>
  <si>
    <t>Vibratory roller 8T</t>
  </si>
  <si>
    <t>hr</t>
  </si>
  <si>
    <t>Water tanker 6 KL</t>
  </si>
  <si>
    <t>Tractor with grader @ 25cum per hour</t>
  </si>
  <si>
    <t>Tractor with Rotavator</t>
  </si>
  <si>
    <t>c) Material</t>
  </si>
  <si>
    <t xml:space="preserve">Coarse graded Granular sub base material as per Table 400-2 of MORT &amp;H  9.5mm to4.75mm @ 66%         (Av rate of 9.5-11.2mm , 5-7mm &amp; 2.36-5mm) </t>
  </si>
  <si>
    <t>Coarse graded Granular sub-base Material 9.5 mm to 4.75 MM @ 66%</t>
  </si>
  <si>
    <t>Coarse graded Granular sub-base Material 2.36 mm @ 34
&amp; below</t>
  </si>
  <si>
    <t>Basic rate per 1cum GSB</t>
  </si>
  <si>
    <t>Total</t>
  </si>
  <si>
    <t xml:space="preserve">Rate per 1 cum  </t>
  </si>
  <si>
    <t>Page 95 of MoRT&amp;H SDB</t>
  </si>
  <si>
    <t>Unit = cum</t>
  </si>
  <si>
    <t xml:space="preserve">Taking output = 300 cum </t>
  </si>
  <si>
    <t>A) Labour</t>
  </si>
  <si>
    <t xml:space="preserve">Mazdoor </t>
  </si>
  <si>
    <t>B) Machinery</t>
  </si>
  <si>
    <t>Motor grader 3.35M Blade @50 cum/Hr</t>
  </si>
  <si>
    <t>Vibratory roller 8 - 10 tonne</t>
  </si>
  <si>
    <t>Water tanker 6 KL capacity</t>
  </si>
  <si>
    <t>C)Material</t>
  </si>
  <si>
    <t>Coarse graded Granular sub-base material as per Table 400-1 of MORT&amp;H</t>
  </si>
  <si>
    <t>45mm-9.50 IRC &amp; MORT&amp;H HBG/HBG Chips @ 35%</t>
  </si>
  <si>
    <t>(Av. Of 40-45, 25-27, 19-22mm, 12-14mm, 9.5-11.2mm )</t>
  </si>
  <si>
    <t>9.5mm to 4.75mm @ 25% 
(Av. rate of 9.5-11.2mm , 5-7mm &amp; 2.36 - 5mm HBG M/C metal)</t>
  </si>
  <si>
    <t>2.36mm and below @40%
(Rate of 2.36mm &amp; below HBG metal)</t>
  </si>
  <si>
    <t>(E) Total of (A) + (B)+( C)+(D)</t>
  </si>
  <si>
    <t>Cost per 300 cum (E) + (F)</t>
  </si>
  <si>
    <t>Plain Cement Concrete M 20 design mix using WEIGH BATCHER / MIXER, 20mm size hard granite machine crushed graded metal (coarse aggregate - as per IS 383 - 1970 and IS 2386 Part 1 to Part 8) from approved quarry, using a minimum quantity of 350 kgs. of cement per 1 cum of concrete including cost and conveyance of  all materials  like cement,  fine aggregate (Sand), coarse aggregate, water etc., to site  including steel centering, shuttering, machine mixing,  lift charges, laying concrete,vibrating, curing, overheads &amp; contrctors profit etc., complete  for finished item of work (APSS No. 402 &amp; 403) for Kerb stone.</t>
  </si>
  <si>
    <t>(BLD-CSTN-3-11)</t>
  </si>
  <si>
    <t>Overheads&amp;Contractors Profit @13.615%</t>
  </si>
  <si>
    <t>Providing, Laying, Spreading and compacting graded HBG/HBG crushed stone aggregate to Wet Mix macadem specification including cost of all materials and including premixing the material with water at OMC in Mechanical mix plant carriage of mixed material by tipper to site , laying in uniform layers with paver in   base courses on well prepared surface and compacting with Vibratory roller to acheive the desired density etc., as directed by the Engineer-in-Charge and as per MoRT&amp;H specification.406 (5th revision) for finished item of work. (Payment based on levels for finished item of work)</t>
  </si>
  <si>
    <t>Page 110,111 of MoRT&amp;H SDB</t>
  </si>
  <si>
    <t xml:space="preserve">Taking output = 225 cum </t>
  </si>
  <si>
    <t>Wet mix plant of 60 tonne hr. capacity</t>
  </si>
  <si>
    <t>Electric generator 125 KVA</t>
  </si>
  <si>
    <t xml:space="preserve">Front end loader 1 cum capacity </t>
  </si>
  <si>
    <t>Mechanical Paver finisher</t>
  </si>
  <si>
    <t>45 to 22.40mm IRC&amp;MoRT&amp;H HBG M/C metal@ 30%</t>
  </si>
  <si>
    <t>(Av. Of 40-45, 25-27, 19-22mm )</t>
  </si>
  <si>
    <t>22.4 to 2.36mm IRC&amp;MoRT&amp;H HBG M/C metal@40%</t>
  </si>
  <si>
    <t>(Av. Of 19-22mm, 12-14mm, 9.5-11.2mm, 5-7mm,  2.36  - 5mm )</t>
  </si>
  <si>
    <t>2.36mm to 75 micron @ 30% (2.36mm &amp; below)</t>
  </si>
  <si>
    <t>D)Over head charges @</t>
  </si>
  <si>
    <t>Add for Over head charges on (A)+(B)+( C)</t>
  </si>
  <si>
    <t>(F) Add Contractors Profit at 10% on (E)</t>
  </si>
  <si>
    <t>Cost per 225 cum (E) + (F)</t>
  </si>
  <si>
    <t>RBR-CCPV-5</t>
  </si>
  <si>
    <t>Construction of  un-reinforced, dowel jointed at expansion and construction joint only, plain cement concrete pavement, thickness as per design, over a prepared sub base, with 43 grade cement or any other type as per Clause 1501.2.2 M30 (Grade), coarse and fine aggregates conforming to IS : 383, maximum in a concrete mixer of not less than 0.2 cum capacity and appropeiate weigh batcher using approved mix design, laid in approved fixed side formwork (steel channel, laying and fixing of 125 mictron thick polythene film, wedges, steel plates including levelling the formwork as per drawing), spreading the concrete with sholvels, rakes, compacted using needle, scareed and plate vibrators and finished in continuous operation including provision of contraction and expansion, construction joints, applying debonding strips, primer, sealant, dowel bars, near approaches to bridge / culvert and construction joints, admixtures as approved, curing of concrete slabs for 14- days, curing compound (where specified) and water finishing to lines and grade as per drawing  and Technical Specification Clause 1501 MORD.</t>
  </si>
  <si>
    <r>
      <t>a)</t>
    </r>
    <r>
      <rPr>
        <b/>
        <sz val="10"/>
        <rFont val="Arial"/>
        <family val="2"/>
        <charset val="1"/>
      </rPr>
      <t>  Labour</t>
    </r>
  </si>
  <si>
    <t>Mason  1st Class</t>
  </si>
  <si>
    <t xml:space="preserve">Surveyor  </t>
  </si>
  <si>
    <t>Mazdoor ( semi skilled)</t>
  </si>
  <si>
    <t>Blacksmith for cutting of dowel bars including removal of burrs, fabrications &amp; fixing of dowel bars.</t>
  </si>
  <si>
    <t>crew charges</t>
  </si>
  <si>
    <t xml:space="preserve">Needle vibrator hire charges </t>
  </si>
  <si>
    <t>Screed vibrator  hire charges (Sl.No.47 of I&amp;CAD Hire charges)</t>
  </si>
  <si>
    <t>Plate vibrator (Sl.No.45 0f Hire charges)</t>
  </si>
  <si>
    <t>Concrete joint cutting machine for initial &amp; final cuts- hire charges  (Sl.No.33 of Hire charges)</t>
  </si>
  <si>
    <t>Water tanker  6 kl capacity)</t>
  </si>
  <si>
    <t xml:space="preserve">Air Compressor </t>
  </si>
  <si>
    <r>
      <t xml:space="preserve">Crushed stone coarse aggregates, grading will be as per Clause 1501.2.4.1 (Table 1500.1) of specifications @ 0.90 cum/cum of concrete </t>
    </r>
    <r>
      <rPr>
        <b/>
        <sz val="10"/>
        <rFont val="Arial"/>
        <family val="2"/>
        <charset val="1"/>
      </rPr>
      <t>(25 mm &amp; 12.5 mm blending)</t>
    </r>
  </si>
  <si>
    <t>Sand as per IS:383 and conforming to Clause 1500.2.4.2 @ 0.45 cum/cum of concrete</t>
  </si>
  <si>
    <t xml:space="preserve">Cement  </t>
  </si>
  <si>
    <t xml:space="preserve"> Polythene sheet 125 micron</t>
  </si>
  <si>
    <t>Mild steel dowel bar 25 mm dia of grade S 240. 500 mm long 20 Nos. at culvert/bridge slab and at construction joint including 5 per cent wastage.</t>
  </si>
  <si>
    <t>(4 x 20 x 0.500) + 5 per cent wastage = 42 m @ 2.80 kg per m = 117.6 kg.</t>
  </si>
  <si>
    <t>Bituminous sealant 800 ml per joint for 23 joints  TBSC-Q.VI-15</t>
  </si>
  <si>
    <t>litre</t>
  </si>
  <si>
    <t>Jute rope 12 mm dia including 5 per cent wastage</t>
  </si>
  <si>
    <t>m</t>
  </si>
  <si>
    <t>Polythene sheathing, covering 2/3rd dowel bars (20x23) and tight fit including 5 per cent wastage</t>
  </si>
  <si>
    <t>Plasticizer 0.5 per cent by weight of cement(TBSC-Q.I-01)</t>
  </si>
  <si>
    <t>Water for curing</t>
  </si>
  <si>
    <t>Joint filler board 20 mm thick as per IS:1838 TBSC-Q.VIII-02</t>
  </si>
  <si>
    <t xml:space="preserve">Total </t>
  </si>
  <si>
    <t>d) Formwork @ 3% of (a+b+c)</t>
  </si>
  <si>
    <t>Cost for 75  cum = a+b+c+d+e+f</t>
  </si>
  <si>
    <t>Rate per 1 cum = (a+b+c+d+e+f)/75</t>
  </si>
  <si>
    <r>
      <t xml:space="preserve">Supplying and fabricating, erecting and fixing in steel works like Window Grills, Compound Wall Grills, Iron Doors, Windows including cost of welding rods, power charges </t>
    </r>
    <r>
      <rPr>
        <sz val="10"/>
        <rFont val="Arial"/>
        <family val="2"/>
        <charset val="1"/>
      </rPr>
      <t xml:space="preserve">of approved design and including  cost and conveyance of all materials, labour charges for erecting &amp; fixing all structural steel works  erecting in position and fixing etc., complete in position, labour charges for fabrication, all incidental charges, overheads and contractor profit etc., complete for finished item of work as directed by the Engineer-in-Charge </t>
    </r>
  </si>
  <si>
    <t xml:space="preserve">Cutting of holes for beams, slabs and walls for plumbing lines including cost and conveyance of all materials to site, labour charges, overheads &amp; contractors profit complete for finished item of work at all floor levels. (APSS No. 1302  1319 &amp; 1326) </t>
  </si>
  <si>
    <t>As per approved quotation</t>
  </si>
  <si>
    <t>Rate per 1 each</t>
  </si>
  <si>
    <t>Supply and fixing of wire mesh(chiken mesh) at joint of RCC and brick work(internal and external walls) area with nails overheads &amp; contractors profit etc.,  complete</t>
  </si>
  <si>
    <t>Rabbit wire mesh (chicken mesh) of not less than 30 gauge -TBSC-E.I-12</t>
  </si>
  <si>
    <t>Labour charges for fixing of chiken mesh(as per quotation)</t>
  </si>
  <si>
    <r>
      <t xml:space="preserve">Drilling holes of 25 mm dia and 800mm deep in hard rock or sheet rock </t>
    </r>
    <r>
      <rPr>
        <sz val="10"/>
        <rFont val="Arial"/>
        <family val="2"/>
        <charset val="1"/>
      </rPr>
      <t>with pneumatic compressor and placing of 20mm dia Tor steel bars and grouting the holes in CM(1:2) prop. excluding cost of steel and its fabrication charges but including cost and conveyance of all materials and labour charges etc.,and overheads &amp; contractors profit  complete  for finished item of work.</t>
    </r>
  </si>
  <si>
    <t>Unit : 1RM</t>
  </si>
  <si>
    <t>Drilling holes  as per item Sl No.143, item No. 7 b II) (R&amp;B)</t>
  </si>
  <si>
    <r>
      <t xml:space="preserve">Grouting the holes with neat cement slurry </t>
    </r>
    <r>
      <rPr>
        <sz val="10"/>
        <rFont val="Arial"/>
        <family val="2"/>
        <charset val="1"/>
      </rPr>
      <t>excluding cost of steel but including cost and conveyance of all materials and labour charges etc.,and overheads &amp; contractors profit  complete  for finished item of work</t>
    </r>
  </si>
  <si>
    <t>Drilling holes  as per item Sl No.146, item No. 8 II) (R&amp;B)</t>
  </si>
  <si>
    <t>Clearing Juliflora (Prosafis) jungle including up-rooting and removing of Juliflora stumps including all labour charges.</t>
  </si>
  <si>
    <t>Basic rate as per item No.112.d</t>
  </si>
  <si>
    <t xml:space="preserve">Providing and fixing of PVC water stopper bars(230mm width x 10mm thick) for buildings, beams and slabs  including cost and conveyance of all materials to site, all incidental, operational, labour charges etc.overheads &amp; contractors profit complete for finished item of work as per approved drawing for all floors </t>
  </si>
  <si>
    <r>
      <t xml:space="preserve">Supply and application of epoxy flooring </t>
    </r>
    <r>
      <rPr>
        <sz val="10"/>
        <rFont val="Arial"/>
        <family val="2"/>
        <charset val="1"/>
      </rPr>
      <t xml:space="preserve">of light green or light blue colour </t>
    </r>
    <r>
      <rPr>
        <b/>
        <sz val="10"/>
        <rFont val="Arial"/>
        <family val="2"/>
        <charset val="1"/>
      </rPr>
      <t>in Operation Theatres</t>
    </r>
    <r>
      <rPr>
        <sz val="10"/>
        <rFont val="Arial"/>
        <family val="2"/>
        <charset val="1"/>
      </rPr>
      <t xml:space="preserve"> </t>
    </r>
    <r>
      <rPr>
        <b/>
        <sz val="10"/>
        <rFont val="Arial"/>
        <family val="2"/>
        <charset val="1"/>
      </rPr>
      <t>and labour rooms</t>
    </r>
    <r>
      <rPr>
        <sz val="10"/>
        <rFont val="Arial"/>
        <family val="2"/>
        <charset val="1"/>
      </rPr>
      <t xml:space="preserve"> - SIKA Epoxy seamless joint free finish with 3mm thickness and anti slip &amp; water washable chemical resistance durable and non particle shedding with attractive  finishing including cost and conveyance of all materials and all labour charges, overheads and contractor profit etc., complete for finished item of work.</t>
    </r>
  </si>
  <si>
    <t>Rate as per quote</t>
  </si>
  <si>
    <r>
      <t>Supply and application of epoxy coving</t>
    </r>
    <r>
      <rPr>
        <sz val="10"/>
        <rFont val="Arial"/>
        <family val="2"/>
        <charset val="1"/>
      </rPr>
      <t xml:space="preserve"> with SIKA brand with 50mmx50mm width at the corners of the all walls </t>
    </r>
    <r>
      <rPr>
        <b/>
        <sz val="10"/>
        <rFont val="Arial"/>
        <family val="2"/>
        <charset val="1"/>
      </rPr>
      <t xml:space="preserve">in  Operation Theatres, labour rooms  </t>
    </r>
    <r>
      <rPr>
        <sz val="10"/>
        <rFont val="Arial"/>
        <family val="2"/>
        <charset val="1"/>
      </rPr>
      <t xml:space="preserve">including cost and conveyance of all materials and labour charges, overheads and contractor profit  etc., complete for finished item of work . </t>
    </r>
  </si>
  <si>
    <t>Rate approved</t>
  </si>
  <si>
    <r>
      <t xml:space="preserve">Providing and applying water proof wall putty of white cement </t>
    </r>
    <r>
      <rPr>
        <sz val="10"/>
        <rFont val="Arial"/>
        <family val="2"/>
        <charset val="1"/>
      </rPr>
      <t xml:space="preserve">or polymer or cement based of average 1 to 2 mm thickness over plastered surface to prepare the surface even and smooth after thoroughly brushing the surface to remove all dirt and remains of loose powdered materials, applying emery paper, Sand the surface, clean &amp; wipe off loose dust, applying knifing paste filler by putty knife / muslin pad, air dry for 2 - 3 hrs, sand with 180 and 320 No., emery paper for the surface preparation, </t>
    </r>
    <r>
      <rPr>
        <b/>
        <sz val="10"/>
        <rFont val="Arial"/>
        <family val="2"/>
        <charset val="1"/>
      </rPr>
      <t>applying one coat of cement primer of interior grade-1 and two coats of poy-urethane paint (</t>
    </r>
    <r>
      <rPr>
        <sz val="10"/>
        <rFont val="Arial"/>
        <family val="2"/>
        <charset val="1"/>
      </rPr>
      <t>MRF)</t>
    </r>
    <r>
      <rPr>
        <b/>
        <sz val="10"/>
        <rFont val="Arial"/>
        <family val="2"/>
        <charset val="1"/>
      </rPr>
      <t xml:space="preserve"> of light green or light blue colour with 1mm thickness</t>
    </r>
    <r>
      <rPr>
        <sz val="10"/>
        <rFont val="Arial"/>
        <family val="2"/>
        <charset val="1"/>
      </rPr>
      <t xml:space="preserve"> with anti fungal and anti bacterial chemical resistance durable and non particle shedding including cost and conveyance of all materials to work site and all operational, incidental, labour charges, over heads and contractors profit etc., complete for finished item of work in all floors</t>
    </r>
    <r>
      <rPr>
        <b/>
        <sz val="10"/>
        <rFont val="Arial"/>
        <family val="2"/>
        <charset val="1"/>
      </rPr>
      <t xml:space="preserve"> for internal walls and ceiling of Operation Theatre and  labour rooms.</t>
    </r>
  </si>
  <si>
    <t>wall putty</t>
  </si>
  <si>
    <t>primer coat</t>
  </si>
  <si>
    <t xml:space="preserve">Cost of cement primer interior grade I </t>
  </si>
  <si>
    <t>poly-urethane paint 2 coats</t>
  </si>
  <si>
    <t>Cost of poly-urethane Paint</t>
  </si>
  <si>
    <t>Total (a+b+c)</t>
  </si>
  <si>
    <r>
      <t>Supplying and fixing of</t>
    </r>
    <r>
      <rPr>
        <sz val="10"/>
        <rFont val="Arial"/>
        <family val="2"/>
        <charset val="1"/>
      </rPr>
      <t xml:space="preserve"> </t>
    </r>
    <r>
      <rPr>
        <b/>
        <sz val="10"/>
        <rFont val="Arial"/>
        <family val="2"/>
        <charset val="1"/>
      </rPr>
      <t>stainless steel (grade 304) railing</t>
    </r>
    <r>
      <rPr>
        <sz val="10"/>
        <rFont val="Arial"/>
        <family val="2"/>
        <charset val="1"/>
      </rPr>
      <t xml:space="preserve"> </t>
    </r>
    <r>
      <rPr>
        <b/>
        <sz val="10"/>
        <rFont val="Arial"/>
        <family val="2"/>
        <charset val="1"/>
      </rPr>
      <t xml:space="preserve">for ramp </t>
    </r>
    <r>
      <rPr>
        <sz val="10"/>
        <rFont val="Arial"/>
        <family val="2"/>
        <charset val="1"/>
      </rPr>
      <t>as per approved drawing with top rail of 50mm dia pipe and 2mm thick medium class fixed in to wall with 25mm dia pipe of 0.30m length @ 1m centre to centre and welding, buffing, polishing all members of the railing  thouroughly  , lacquer finishing to present seamless finish including cost and conveyance of all materials, electrodes, welding charges, cost of all consumables, labour charges , overheads &amp; contractors profit etc., complete for finished item of work.</t>
    </r>
  </si>
  <si>
    <t>For a flight length of 10.0 M.</t>
  </si>
  <si>
    <t>Cost of 50mm dia SS pipe (1x10)</t>
  </si>
  <si>
    <t>Cost of 25mm dia SS pipe (9x0.3)</t>
  </si>
  <si>
    <t>50.00mm pipe (10  x 2.39 Kgs/RM)</t>
  </si>
  <si>
    <t>25mm pipe (2.7x 0.89 Kgs/RM)</t>
  </si>
  <si>
    <t xml:space="preserve">Drilling of 25mm dia hole(9 x 0.10) </t>
  </si>
  <si>
    <r>
      <t>Providing 3.0 metre high chain link fencing</t>
    </r>
    <r>
      <rPr>
        <sz val="10"/>
        <rFont val="Arial"/>
        <family val="2"/>
        <charset val="1"/>
      </rPr>
      <t xml:space="preserve"> with angle iron posts 60 mm x 40 mm x 5 mm at 3 metre center to center with 0.60 metre embedded in PCC 1:4:8 cement concrete, 0.15m gap above ground level, with corner- end and every 10th post to be strutted, provided with Hot dipped Galvanized Iron Chain link mesh 8 gauge and fixed to iron posts by unequal angle 45 x 30 x 5 mm at three levels with  nuts and bolts and welded consumables etc., painting with two coats of enamel paint over primer coat, making the required gate openings etc including cost and conveyance of all materials, over heads &amp; contractors profits complete in all respects. (MORTH Suggestive )</t>
    </r>
  </si>
  <si>
    <t>Worked out as per RBR-TSRA-16 (iv)</t>
  </si>
  <si>
    <t>Unit = Running metre</t>
  </si>
  <si>
    <t>Taking output = 30 m</t>
  </si>
  <si>
    <t>a)     Labour</t>
  </si>
  <si>
    <t>Welder</t>
  </si>
  <si>
    <t>MS angle iron 60 mm x 40 mm x 5 mm, 11nos x (3.0+0.15+0.60)m = 39.60 metres in length @ 4.4 kg per metre</t>
  </si>
  <si>
    <t>ii) 3 nos of Unequal angles 45 x 30 x 5 mm @ 2.8kg/m</t>
  </si>
  <si>
    <t>iii)Hot dipped Galvanised Iron Chain link mesh 8 gauge - (4.0 mm) as per IS: 2721-1979: 2"x2" (50 mm x 50 mm) - 8 Gauge</t>
  </si>
  <si>
    <t>Add 2.5 per cent  of cost of material for drilling holes in angles,  flats,  splitting angle at bottom,  nuts and bolts and welded consumables</t>
  </si>
  <si>
    <t>d) Painting</t>
  </si>
  <si>
    <t>Synthetic enamel Painting two coats over priming coat on exposed surface of angle iron posts</t>
  </si>
  <si>
    <t>e&amp;f) Overheads &amp; Contractors Profit</t>
  </si>
  <si>
    <t>Cost for 30 metre = a+b+c+d+e+f</t>
  </si>
  <si>
    <t xml:space="preserve">Rate per metre = (a+b+c+d+e+f)/30 </t>
  </si>
  <si>
    <t>Rate per 1 RMT</t>
  </si>
  <si>
    <t>rate per Sqm</t>
  </si>
  <si>
    <r>
      <t xml:space="preserve">Construction of embankment with approved materials deposited at site </t>
    </r>
    <r>
      <rPr>
        <sz val="10"/>
        <rFont val="Arial"/>
        <family val="2"/>
        <charset val="1"/>
      </rPr>
      <t>from roadway cutting and excavation from drain and foundation of other structures depositing the soil on the embankment, spreading soil, breaking clods, sectioning, grading and consolidation with 8 to 10 Tonnes Vibratory Road Roller @ OMC to meet requirement of table 300-2 of MoRT&amp;H, including  all hire and operational charges of T&amp;P  , complete for finished item of work as per MoRT&amp;H specification 305 (5</t>
    </r>
    <r>
      <rPr>
        <vertAlign val="superscript"/>
        <sz val="10"/>
        <rFont val="Arial"/>
        <family val="2"/>
        <charset val="1"/>
      </rPr>
      <t>th</t>
    </r>
    <r>
      <rPr>
        <sz val="10"/>
        <rFont val="Arial"/>
        <family val="2"/>
        <charset val="1"/>
      </rPr>
      <t xml:space="preserve"> revision)  (Payment will be made based on level for finished item of work). </t>
    </r>
  </si>
  <si>
    <t>Taking output : 100 cum</t>
  </si>
  <si>
    <t>Dozer D80</t>
  </si>
  <si>
    <t>Motor grader</t>
  </si>
  <si>
    <t>Water tanker</t>
  </si>
  <si>
    <t>Vibratory Roller</t>
  </si>
  <si>
    <t>C) Material</t>
  </si>
  <si>
    <t>Cost of water</t>
  </si>
  <si>
    <t>kL</t>
  </si>
  <si>
    <t>Cost for 100 cum ( a+b+c+d)</t>
  </si>
  <si>
    <t>Rate per cum (a+b+c+d) / 100</t>
  </si>
  <si>
    <t>Rate per 1cum</t>
  </si>
  <si>
    <r>
      <t>Construction of embankment with material obtained from borrow pits</t>
    </r>
    <r>
      <rPr>
        <sz val="10"/>
        <rFont val="Arial"/>
        <family val="2"/>
        <charset val="1"/>
      </rPr>
      <t xml:space="preserve"> depositing the soil on the embankment, spreading soil, breaking clods, sectioning, grading and consolidation with 8 to 10 Tonnes Vibratory Road Roller @ OMC to meet requirement of table 300-2 of MoRT&amp;H, including  all hire and operational charges of T&amp;P  , complete for finished item of work as per MoRT&amp;H specification 305 (5</t>
    </r>
    <r>
      <rPr>
        <vertAlign val="superscript"/>
        <sz val="10"/>
        <rFont val="Arial"/>
        <family val="2"/>
        <charset val="1"/>
      </rPr>
      <t>th</t>
    </r>
    <r>
      <rPr>
        <sz val="10"/>
        <rFont val="Arial"/>
        <family val="2"/>
        <charset val="1"/>
      </rPr>
      <t xml:space="preserve"> revision)  (Payment will be made based on level for finished item of work). </t>
    </r>
  </si>
  <si>
    <t>Hydraulic Excavator 1 cum bucket capacity @ 60 cum per hour</t>
  </si>
  <si>
    <t>Tipper 10 tonne capacity 
(5 km Lead considered)</t>
  </si>
  <si>
    <t>160 x L</t>
  </si>
  <si>
    <t>t.kM</t>
  </si>
  <si>
    <t>Dozer D50</t>
  </si>
  <si>
    <t>Compensation for earth taken from Private land</t>
  </si>
  <si>
    <r>
      <t>Carting of Debris (Dismantled material dumped at a identified location)</t>
    </r>
    <r>
      <rPr>
        <sz val="10"/>
        <rFont val="Arial"/>
        <family val="2"/>
        <charset val="1"/>
      </rPr>
      <t xml:space="preserve"> carting out the same from identified location at Hospital premises by the Engineering Officials and conveyance for disposal to out side at a distance of 5 KM from Municipal limits, including  hire charges of T &amp; P, labour charges etc., and overheads &amp; contractors profit complete for finished item of work.</t>
    </r>
  </si>
  <si>
    <t>Labour:</t>
  </si>
  <si>
    <t>B)</t>
  </si>
  <si>
    <r>
      <t xml:space="preserve">Conveyance charges for Lead upto </t>
    </r>
    <r>
      <rPr>
        <b/>
        <sz val="10"/>
        <rFont val="Arial"/>
        <family val="2"/>
        <charset val="1"/>
      </rPr>
      <t xml:space="preserve">21.0Kms </t>
    </r>
    <r>
      <rPr>
        <sz val="10"/>
        <rFont val="Arial"/>
        <family val="2"/>
        <charset val="1"/>
      </rPr>
      <t>by Machinery</t>
    </r>
  </si>
  <si>
    <t>Upto 5 Km</t>
  </si>
  <si>
    <t>From 6 Km to 21 Km</t>
  </si>
  <si>
    <t xml:space="preserve">Supply of UV resistant multi-wall polycarbonate sheets for roofing of any colour - 6 mm thick  with all required accessories of all materials etc., including cost &amp; conveyance of all Labour Charges etc., complete finished item of work </t>
  </si>
  <si>
    <t>Rate as per SSR  -2022-23; S.No.TBSC-D.VI-20</t>
  </si>
  <si>
    <t>Rate per 1 Ltr</t>
  </si>
  <si>
    <t>JOINERY DATA</t>
  </si>
  <si>
    <t>COMMON SoR 2022-23</t>
  </si>
  <si>
    <t>Labour charges for wrought and put up (BLD-CSTN-13-1)</t>
  </si>
  <si>
    <t>1st class carpenter</t>
  </si>
  <si>
    <t>2nd class carpenter</t>
  </si>
  <si>
    <t>Labour charges per 1 cum</t>
  </si>
  <si>
    <t>Labour charges for aluminium doors ( S.No.11 of Page No. 396 of SoR 2011-12 )</t>
  </si>
  <si>
    <t>Power Saw Cutter -Hand Operated -Operator</t>
  </si>
  <si>
    <t>Power Drill -Hand Operated -Operator</t>
  </si>
  <si>
    <t>Non-technical work inspector</t>
  </si>
  <si>
    <t>Machinery</t>
  </si>
  <si>
    <t xml:space="preserve">Power Saw Cutter -Hand Operated -Hire charges </t>
  </si>
  <si>
    <t>Hrs</t>
  </si>
  <si>
    <t>Power Drill -Hand Operated -Hire charges</t>
  </si>
  <si>
    <t>Power charges for Motors 1%</t>
  </si>
  <si>
    <t>Labour charges per 1 sqm</t>
  </si>
  <si>
    <t>Labour charges for aluminium sliding windows ( S.No.10 of Page No. 395 of SoR 2011-12 )</t>
  </si>
  <si>
    <t>C.Machinery</t>
  </si>
  <si>
    <t xml:space="preserve">Power Drill -Hand Operated -Hire charges </t>
  </si>
  <si>
    <t>Labour charges for aluminium partitions partly glazed ( S.No.8 of Page No. 394 of SoR 2011-12 )</t>
  </si>
  <si>
    <t>Labour charges for aluminium casement windows ( S.No.9 of Page No. 394 of SoR 2011-12 )</t>
  </si>
  <si>
    <r>
      <t>Supply and fixing of ornamental grill made of 25mm x 5mm MS flats</t>
    </r>
    <r>
      <rPr>
        <sz val="10"/>
        <rFont val="Arial"/>
        <family val="2"/>
        <charset val="1"/>
      </rPr>
      <t xml:space="preserve"> for fixing in fan light portion and side fixed panels for door cum window as per the approved drawing including cutting the flat to required length, welding,  including cost and conveyance of all materials, labour charges etc., complete for finished otem of work.</t>
    </r>
  </si>
  <si>
    <t>for grill of size 535mm x 435mm</t>
  </si>
  <si>
    <t>MS flats: 4(0.535+0.435)+4x0.1+2x0.38</t>
  </si>
  <si>
    <t>1 Kg/Rm</t>
  </si>
  <si>
    <t>Cost of MS flats</t>
  </si>
  <si>
    <t>Labour charges for fabrication              TBSC-T.I-16</t>
  </si>
  <si>
    <t>labour charges for fixing in position    TBSC-T.I-17</t>
  </si>
  <si>
    <t>Rate per 0.2327 Sqm</t>
  </si>
  <si>
    <r>
      <t xml:space="preserve">Supply and fixing of two shutter main door cum fixed window </t>
    </r>
    <r>
      <rPr>
        <sz val="10"/>
        <rFont val="Arial"/>
        <family val="2"/>
        <charset val="1"/>
      </rPr>
      <t>as per approved drawing with</t>
    </r>
    <r>
      <rPr>
        <b/>
        <sz val="10"/>
        <rFont val="Arial"/>
        <family val="2"/>
        <charset val="1"/>
      </rPr>
      <t xml:space="preserve"> best teak wood</t>
    </r>
    <r>
      <rPr>
        <sz val="10"/>
        <rFont val="Arial"/>
        <family val="2"/>
        <charset val="1"/>
      </rPr>
      <t xml:space="preserve"> frame of section 150mm x 100 mm with fixed fan light of 500mm at top and fixed panels of 600mm width at sides fixed with 12mm thick Tinted - Bronze/Green glass using 12mm x 12mm teak wood beading and fixing ornamental grill made of 25mm x 5mm MS flats as per the approved drawing in fan light portion and fixed panels and 1st class teak wood  top and middle rails &amp; styles of section 120mm x 35mm, bottom rail of size 150mm x 35mm and 12mm thick plain float glass for shutter  with ornamental etching including cost and conveyance to </t>
    </r>
  </si>
  <si>
    <r>
      <t xml:space="preserve">site of teak  wood frame,  shutters, glass including  supply and fixing  6 nos MS Zhold fasts of size 300 mm x 40 mm x 5mm including cost of ISI marked brass fixtures of 8 Nos butt hinges(IS:205) 250mm long ,  1 No. aldrop (IS:2681) 450mm long, 3 Nos tower bolts- 10mm (IS:204) of 200 mm long , 2 Nos 450 mm long fancy handles, 2 Nos door stoppers  including fixing the fixtures to door with required number of screws, bolt and nuts including labour charges for fixing the frame in position, fixing the shutters to the frame, fixing glass in fan light portion etc., including overheads &amp; contractors profit complete for finished item of work as per APSS 1001 &amp; 1002 (The vertical frame of door shall be embedded in flooring for a depth of not less than 40 mm) </t>
    </r>
    <r>
      <rPr>
        <b/>
        <sz val="10"/>
        <rFont val="Arial"/>
        <family val="2"/>
        <charset val="1"/>
      </rPr>
      <t>(3000mmX2600mm)</t>
    </r>
  </si>
  <si>
    <t xml:space="preserve">Size :  </t>
  </si>
  <si>
    <t>3.00m x 2.60m  =</t>
  </si>
  <si>
    <t>2x3.00 + 2x2.60+2x2.10</t>
  </si>
  <si>
    <t>= 15.40 RM x 0.15 x 0.10=</t>
  </si>
  <si>
    <t>Best teak wood frame up to 2m long for outer frame</t>
  </si>
  <si>
    <t>3x0.50+4x0.60</t>
  </si>
  <si>
    <t>= 3.90 RM x 0.15 x 0.10  =</t>
  </si>
  <si>
    <t>Shutter styles</t>
  </si>
  <si>
    <t>2 x 2 x 2.00</t>
  </si>
  <si>
    <t>= 8.00 RM x 0.12 x 0.035  =</t>
  </si>
  <si>
    <t>Top and middle rail</t>
  </si>
  <si>
    <t>2 x 2 x 0.80</t>
  </si>
  <si>
    <t>= 3.20 RM x 0.12 x 0.035  =</t>
  </si>
  <si>
    <t>Bottom rail</t>
  </si>
  <si>
    <t xml:space="preserve">2 x 0.80 </t>
  </si>
  <si>
    <t>= 1.60 RM x 0.15 x 0.035  =</t>
  </si>
  <si>
    <t>12 mm thick tinted glass fan light portion</t>
  </si>
  <si>
    <t>2x0.5x0.4+2x0.75x0.4  =</t>
  </si>
  <si>
    <t>12 mm thick tinted glass side fixed panels</t>
  </si>
  <si>
    <t>2x0.5x1.1+2x0.5x0.7   =</t>
  </si>
  <si>
    <t>12 mm thick plain float glass</t>
  </si>
  <si>
    <t>2x0.56x1.61                   =</t>
  </si>
  <si>
    <t>Teak wood beading</t>
  </si>
  <si>
    <t>Fan light portion</t>
  </si>
  <si>
    <t>2x2(0.50+0.40)+2x2(0.75+0.40)=</t>
  </si>
  <si>
    <t>Side fixed panels</t>
  </si>
  <si>
    <t>2x2(0.50+1.1)+2x2x(0.5+0.7) =</t>
  </si>
  <si>
    <t>Shutter portion</t>
  </si>
  <si>
    <t>2x2(0.56+1.61)  =</t>
  </si>
  <si>
    <t xml:space="preserve">Cost of best TW frame  2 m to 3m length </t>
  </si>
  <si>
    <t xml:space="preserve">Cost of best TW frame up to 2 m length </t>
  </si>
  <si>
    <t>Cost of 12mm thick tinted glass            TBSC-F.III-06</t>
  </si>
  <si>
    <t>Cost of 12mm thick plain float glass      TBSC-F.I-06</t>
  </si>
  <si>
    <t>Cost of teak wood beading                              ( Non SSR)</t>
  </si>
  <si>
    <t>Cost of 250mm long brass butt hinges    ( Non SSR)</t>
  </si>
  <si>
    <t>Cost of 450mm long brass fancy handles TBSC-P.III-11</t>
  </si>
  <si>
    <t>Cost of 450mm long brass heavy duty aldrop TBSC-P.IV-03</t>
  </si>
  <si>
    <t>Cost of 200mm long brass tower bolts         TBSC-P.I-03</t>
  </si>
  <si>
    <t>Cost of brass door stoppers                   TBSC-P.IX-01</t>
  </si>
  <si>
    <t>Cost of Z hold fasts                       TBSC-P.IX-08</t>
  </si>
  <si>
    <t>Labour charges for fixing glass              TBSC-T.I-26</t>
  </si>
  <si>
    <t>Labour charges for glass designing work( Etching work) 
TBSC-T.I-22</t>
  </si>
  <si>
    <t>Add for screws and nails</t>
  </si>
  <si>
    <t>Rate for 7.80 Sqm</t>
  </si>
  <si>
    <r>
      <t xml:space="preserve">Supply and fixing of doors </t>
    </r>
    <r>
      <rPr>
        <sz val="10"/>
        <rFont val="Arial"/>
        <family val="2"/>
        <charset val="1"/>
      </rPr>
      <t>as per approved drawings with</t>
    </r>
    <r>
      <rPr>
        <b/>
        <sz val="10"/>
        <rFont val="Arial"/>
        <family val="2"/>
        <charset val="1"/>
      </rPr>
      <t xml:space="preserve"> best teak wood </t>
    </r>
    <r>
      <rPr>
        <sz val="10"/>
        <rFont val="Arial"/>
        <family val="2"/>
        <charset val="1"/>
      </rPr>
      <t xml:space="preserve">frame of section 100mm x 65 mm with fixed fan light of 500mm at the top fixed with 4mm thick pin headed glass using 12mmx12mm Teak Wood beading and 2 Nos. of 10mm MS Square bars and ISI marked flush door shutter of </t>
    </r>
    <r>
      <rPr>
        <b/>
        <sz val="10"/>
        <rFont val="Arial"/>
        <family val="2"/>
        <charset val="1"/>
      </rPr>
      <t>35mm thick</t>
    </r>
    <r>
      <rPr>
        <sz val="10"/>
        <rFont val="Arial"/>
        <family val="2"/>
        <charset val="1"/>
      </rPr>
      <t xml:space="preserve"> </t>
    </r>
    <r>
      <rPr>
        <b/>
        <sz val="10"/>
        <rFont val="Arial"/>
        <family val="2"/>
        <charset val="1"/>
      </rPr>
      <t>double shutters</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t>
    </r>
  </si>
  <si>
    <r>
      <t>all sides including cost and conveyance to site of teak  wood  frame, flush shutter including  supply and fixing 6 nos MS Z  hold fasts of size 300 mm x 40 mm x 5mm including cost of ISI marked  brass fixtures of 6 Nos butt hinges (IS:205) 150mm long ,  1 No. aldrop (IS:2681) 300mm long, 2 Nos tower bolts- 10mm  (IS:204) of 200 mm long at top, 1 No. tower bolt- 10mm bolt (IS:204) 150mm long at bottom, 2 Nos. 150mm long fancy handles (IS:208) , 2 Nos door stopper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2000mm x 2600mm). </t>
    </r>
  </si>
  <si>
    <t>2.00m x 2.60 m</t>
  </si>
  <si>
    <t xml:space="preserve">2 x 2.61 </t>
  </si>
  <si>
    <t xml:space="preserve">= 5.22 x 0.10 x 0.065  = </t>
  </si>
  <si>
    <t>2 x 2.00 + 0.50</t>
  </si>
  <si>
    <t xml:space="preserve">= 4.50 x 0.10 x 0.065 </t>
  </si>
  <si>
    <t xml:space="preserve">4 mm thick pin headed glass </t>
  </si>
  <si>
    <t>2 x 1.00 x 0.50</t>
  </si>
  <si>
    <t xml:space="preserve">Teak wood beading </t>
  </si>
  <si>
    <t xml:space="preserve"> 2 x 2 (1.00+0.50)</t>
  </si>
  <si>
    <t>35 mm thick flush shutter</t>
  </si>
  <si>
    <t>2 x 0.95 x 2.05</t>
  </si>
  <si>
    <t>10 mm MS square bars</t>
  </si>
  <si>
    <t>2 x 2.00 x 0.785</t>
  </si>
  <si>
    <t>Cost of 4 mm thick pin headed glass    TBSC-F.II-01</t>
  </si>
  <si>
    <t>Cost of TW beading                                   ( Non SSR)</t>
  </si>
  <si>
    <t>Cost of 35 mm thick flush shutter         TBSC-L.II-06</t>
  </si>
  <si>
    <t>Cost of MS Z hold fasts                           TBSC-P.IX-08</t>
  </si>
  <si>
    <t>Cost of brass tower bolt 200mm long    TBSC-P.I-03</t>
  </si>
  <si>
    <t>Cost of brass tower bolt 150mm long  TBSC-P.I-02</t>
  </si>
  <si>
    <t>Cost of brass Butt hinges 150mm long TBSC-P.II-04</t>
  </si>
  <si>
    <t>Cost of brass aldrop 300mm long         TBSC-P.IV-01</t>
  </si>
  <si>
    <t>Cost of brass  fancy handle 150mm long TBSC-P.III-07</t>
  </si>
  <si>
    <t>Cost of brass door stopper                    TBSC-P.IX-01</t>
  </si>
  <si>
    <t>Cost of rubber bush                                 TBSC-P.IX-04</t>
  </si>
  <si>
    <t>Cost of 10mm MS square bars</t>
  </si>
  <si>
    <t>Labour charges for fixing glass    TBSC-T.I-26</t>
  </si>
  <si>
    <t>Rate for 5.20 sqm</t>
  </si>
  <si>
    <r>
      <t xml:space="preserve">Supply and fixing of doors </t>
    </r>
    <r>
      <rPr>
        <sz val="10"/>
        <rFont val="Arial"/>
        <family val="2"/>
        <charset val="1"/>
      </rPr>
      <t>as per approved drawings with</t>
    </r>
    <r>
      <rPr>
        <b/>
        <sz val="10"/>
        <rFont val="Arial"/>
        <family val="2"/>
        <charset val="1"/>
      </rPr>
      <t xml:space="preserve"> Medium teak wood </t>
    </r>
    <r>
      <rPr>
        <sz val="10"/>
        <rFont val="Arial"/>
        <family val="2"/>
        <charset val="1"/>
      </rPr>
      <t xml:space="preserve">frame of section 100mm x 65 mm with fixed fan light of 500mm at the top fixed with 4mm thick pin headed glass using 12mm x 12mm Teak Wood beading and 2 Nos. of 10mm MS Square bars and ISI marked flush door shutter of </t>
    </r>
    <r>
      <rPr>
        <b/>
        <sz val="10"/>
        <rFont val="Arial"/>
        <family val="2"/>
        <charset val="1"/>
      </rPr>
      <t>35mm thick</t>
    </r>
    <r>
      <rPr>
        <sz val="10"/>
        <rFont val="Arial"/>
        <family val="2"/>
        <charset val="1"/>
      </rPr>
      <t xml:space="preserve"> </t>
    </r>
    <r>
      <rPr>
        <b/>
        <sz val="10"/>
        <rFont val="Arial"/>
        <family val="2"/>
        <charset val="1"/>
      </rPr>
      <t>double shutters</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t>
    </r>
  </si>
  <si>
    <r>
      <t>fixing 6 nos MS Z  hold fasts of size 300 mm x 40 mm x 5mm including cost of ISI marked  brass fixtures of 6 Nos butt hinges (IS:205) 150mm long , 1 No. aldrop (IS:2681) 300mm long, 2 Nos tower bolts- 10mm (IS:204) of 200 mm long at top, 1 No. tower bolt- 10mm bolt (IS:204) 150mm long at bottom, 2 Nos. 150mm long fancy handles (IS:208), 2 Nos door stopper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2000mm x 2600mm). </t>
    </r>
  </si>
  <si>
    <t xml:space="preserve"> =5.22*0.1*0.065</t>
  </si>
  <si>
    <t>= 4.50 x 0.10 x 0.065   =</t>
  </si>
  <si>
    <t>2 x 1.00 x 0.5  =</t>
  </si>
  <si>
    <t xml:space="preserve"> 2 x 2 (1.00+0.50)   =</t>
  </si>
  <si>
    <t>2 x 0.95 x 2.05   =</t>
  </si>
  <si>
    <t>2 x 2.00 x 0.785   =</t>
  </si>
  <si>
    <r>
      <t xml:space="preserve">Supply and fixing of doors </t>
    </r>
    <r>
      <rPr>
        <sz val="10"/>
        <rFont val="Arial"/>
        <family val="2"/>
        <charset val="1"/>
      </rPr>
      <t>as per approved drawings with</t>
    </r>
    <r>
      <rPr>
        <b/>
        <sz val="10"/>
        <rFont val="Arial"/>
        <family val="2"/>
        <charset val="1"/>
      </rPr>
      <t xml:space="preserve"> medium teak wood </t>
    </r>
    <r>
      <rPr>
        <sz val="10"/>
        <rFont val="Arial"/>
        <family val="2"/>
        <charset val="1"/>
      </rPr>
      <t>frame of section 100mm x 65 mm with</t>
    </r>
    <r>
      <rPr>
        <b/>
        <sz val="10"/>
        <rFont val="Arial"/>
        <family val="2"/>
        <charset val="1"/>
      </rPr>
      <t xml:space="preserve"> fixed fan light </t>
    </r>
    <r>
      <rPr>
        <sz val="10"/>
        <rFont val="Arial"/>
        <family val="2"/>
        <charset val="1"/>
      </rPr>
      <t xml:space="preserve">of 500mm at the top fixed with 4mm thick pin headed glass using 12mm x 12mm Teak Wood beading and 2 Nos. of 10mm MS Square bars and ISI marked flush door shutter of </t>
    </r>
    <r>
      <rPr>
        <b/>
        <sz val="10"/>
        <rFont val="Arial"/>
        <family val="2"/>
        <charset val="1"/>
      </rPr>
      <t>30mm thick</t>
    </r>
    <r>
      <rPr>
        <sz val="10"/>
        <rFont val="Arial"/>
        <family val="2"/>
        <charset val="1"/>
      </rPr>
      <t xml:space="preserve"> </t>
    </r>
    <r>
      <rPr>
        <b/>
        <sz val="10"/>
        <rFont val="Arial"/>
        <family val="2"/>
        <charset val="1"/>
      </rPr>
      <t>double shutters</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t>
    </r>
  </si>
  <si>
    <r>
      <t>fixing 6 Nos. MS Z  hold fasts of size 300 mm x 40 mm x 5mm including cost of ISI marked Aluminium fixtures of 6 Nos. butt hinges (IS:205) 150mm long, 1 No. aldrop (IS:2681) 300mm long, 2 Nos. tower bolts - 10mm  (IS:204) of 200 mm long at top,  2 Nos. 150mm long handles (IS:208), 2 Nos. door stoppers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t>
    </r>
    <r>
      <rPr>
        <b/>
        <sz val="10"/>
        <rFont val="Arial"/>
        <family val="2"/>
        <charset val="1"/>
      </rPr>
      <t xml:space="preserve"> (1800mm x 2600mm) </t>
    </r>
  </si>
  <si>
    <t>1.80m x 2.60m</t>
  </si>
  <si>
    <t xml:space="preserve">= 5.22 x 0.10 x 0.065 </t>
  </si>
  <si>
    <t>2 x 1.80 + 0.50</t>
  </si>
  <si>
    <t xml:space="preserve">= 4.10 x 0.10 x 0.065 </t>
  </si>
  <si>
    <t>2x0.9 x 0.50</t>
  </si>
  <si>
    <t xml:space="preserve"> 2 x 2 (0.90+0.50)</t>
  </si>
  <si>
    <t>30 mm thick flush shutter</t>
  </si>
  <si>
    <t>2 x 0.85 x 2.05</t>
  </si>
  <si>
    <t>2 x 1.80 x 0.785</t>
  </si>
  <si>
    <t>Cost of medium TW frame  2 m to 3m length</t>
  </si>
  <si>
    <t>Cost of medium TW frame up to 2 m length</t>
  </si>
  <si>
    <t>rm</t>
  </si>
  <si>
    <t>Cost of 30 mm thick flush shutter            TBSC-L.II-05</t>
  </si>
  <si>
    <t>Cost of Z hold fasts                                     TBSC-P.IX-08</t>
  </si>
  <si>
    <t>Cost of Alumimium tower bolt 200mm long TBSC-P.I-09</t>
  </si>
  <si>
    <t>Cost of Alumimium butt hinges 150mm long 
TBSC-P.II-08</t>
  </si>
  <si>
    <t>Cost of Alumimium aldrop 300mm long    TBSC-P.IV-06</t>
  </si>
  <si>
    <t>Cost of Alumimium handle 150mm long    TBSC-P.III-04</t>
  </si>
  <si>
    <t>Cost of Alumimium door stopper                TBSC-P.IX-03</t>
  </si>
  <si>
    <t>Cost of rubber bush                                        TBSC-P.IX-04</t>
  </si>
  <si>
    <t>Rate for 4.68 sqm</t>
  </si>
  <si>
    <r>
      <t xml:space="preserve">Supply and fixing of doors </t>
    </r>
    <r>
      <rPr>
        <sz val="10"/>
        <rFont val="Arial"/>
        <family val="2"/>
        <charset val="1"/>
      </rPr>
      <t>as per approved drawings with</t>
    </r>
    <r>
      <rPr>
        <b/>
        <sz val="10"/>
        <rFont val="Arial"/>
        <family val="2"/>
        <charset val="1"/>
      </rPr>
      <t xml:space="preserve"> medium teak wood</t>
    </r>
    <r>
      <rPr>
        <sz val="10"/>
        <rFont val="Arial"/>
        <family val="2"/>
        <charset val="1"/>
      </rPr>
      <t xml:space="preserve"> frame of section 100mm x 65 mm with </t>
    </r>
    <r>
      <rPr>
        <b/>
        <sz val="10"/>
        <rFont val="Arial"/>
        <family val="2"/>
        <charset val="1"/>
      </rPr>
      <t>split type fan light of 500mm at the top</t>
    </r>
    <r>
      <rPr>
        <sz val="10"/>
        <rFont val="Arial"/>
        <family val="2"/>
        <charset val="1"/>
      </rPr>
      <t xml:space="preserve"> fixed with 4mm thick pin headed glass using 12mm x 12mm Teak Wood beading and 2 Nos. of 10mm MS Square bars and ISI marked flush door shutter of</t>
    </r>
    <r>
      <rPr>
        <b/>
        <sz val="10"/>
        <rFont val="Arial"/>
        <family val="2"/>
        <charset val="1"/>
      </rPr>
      <t xml:space="preserve"> 30mm thick</t>
    </r>
    <r>
      <rPr>
        <sz val="10"/>
        <rFont val="Arial"/>
        <family val="2"/>
        <charset val="1"/>
      </rPr>
      <t xml:space="preserve"> </t>
    </r>
    <r>
      <rPr>
        <b/>
        <sz val="10"/>
        <rFont val="Arial"/>
        <family val="2"/>
        <charset val="1"/>
      </rPr>
      <t>double shutters</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t>
    </r>
  </si>
  <si>
    <r>
      <t>all sides, including cost and conveyance to site  of teak  wood frame, flush shutter including  supply and fixing 6 Nos. MS Z hold fasts of size 300 mm x 40 mm x 5mm including cost of ISI marked Aluminium fixtures of 6 Nos. butt hinges (IS:205) 150mm long, 1 No. aldrop  (IS:2681) 300mm long, 2 Nos. tower bolts (IS:204) of 200 mm x 10 mm dia at top, 2 Nos. 150mm long handles (IS:208), 2 Nos. door stoppers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t>
    </r>
    <r>
      <rPr>
        <b/>
        <sz val="10"/>
        <rFont val="Arial"/>
        <family val="2"/>
        <charset val="1"/>
      </rPr>
      <t xml:space="preserve"> (1500mm x 2600mm) </t>
    </r>
  </si>
  <si>
    <t>1.50m x 2.60m</t>
  </si>
  <si>
    <t>= 5.22 x 0.10 x 0.065   =</t>
  </si>
  <si>
    <t>2 x 1.50 + 0.50</t>
  </si>
  <si>
    <t xml:space="preserve">= 3.50 x 0.10 x 0.065   = </t>
  </si>
  <si>
    <t>2 x 0.75 x 0.5    =</t>
  </si>
  <si>
    <t xml:space="preserve"> 2 x 2 (0.75+ 0.50)  =</t>
  </si>
  <si>
    <t>2 x 0.70 x 2.05    =</t>
  </si>
  <si>
    <t>2 x 1.50 x 0.785  =</t>
  </si>
  <si>
    <t xml:space="preserve">Cost of medium TW frame  2 m to 3m length </t>
  </si>
  <si>
    <t>Cost of TW beading (Non SSR)</t>
  </si>
  <si>
    <t>Cost of 30 mm thick flush shutter TBSC-L.II-05</t>
  </si>
  <si>
    <t>Cost of Z hold fasts TBSC-P.IX-08</t>
  </si>
  <si>
    <t>Labour charges for fixing glass  TBSC-T.I-26</t>
  </si>
  <si>
    <t>Rate for 3.90 sqm</t>
  </si>
  <si>
    <r>
      <t xml:space="preserve">Supply and fixing of doors </t>
    </r>
    <r>
      <rPr>
        <sz val="10"/>
        <rFont val="Arial"/>
        <family val="2"/>
        <charset val="1"/>
      </rPr>
      <t>as per approved drawings with</t>
    </r>
    <r>
      <rPr>
        <b/>
        <sz val="10"/>
        <rFont val="Arial"/>
        <family val="2"/>
        <charset val="1"/>
      </rPr>
      <t xml:space="preserve"> medium teak wood</t>
    </r>
    <r>
      <rPr>
        <sz val="10"/>
        <rFont val="Arial"/>
        <family val="2"/>
        <charset val="1"/>
      </rPr>
      <t xml:space="preserve"> frame of section 100mm x 65 mm with </t>
    </r>
    <r>
      <rPr>
        <b/>
        <sz val="10"/>
        <rFont val="Arial"/>
        <family val="2"/>
        <charset val="1"/>
      </rPr>
      <t>split type fan light of 500mm at the top</t>
    </r>
    <r>
      <rPr>
        <sz val="10"/>
        <rFont val="Arial"/>
        <family val="2"/>
        <charset val="1"/>
      </rPr>
      <t xml:space="preserve"> fixed with 4mm thick pin headed glass using 12mm x 12mm Teak Wood beading and 2 Nos. of 10mm MS Square bars and ISI marked flush door shutter of</t>
    </r>
    <r>
      <rPr>
        <b/>
        <sz val="10"/>
        <rFont val="Arial"/>
        <family val="2"/>
        <charset val="1"/>
      </rPr>
      <t xml:space="preserve"> 30mm thick</t>
    </r>
    <r>
      <rPr>
        <sz val="10"/>
        <rFont val="Arial"/>
        <family val="2"/>
        <charset val="1"/>
      </rPr>
      <t xml:space="preserve"> </t>
    </r>
    <r>
      <rPr>
        <b/>
        <sz val="10"/>
        <rFont val="Arial"/>
        <family val="2"/>
        <charset val="1"/>
      </rPr>
      <t>double shutters</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t>
    </r>
  </si>
  <si>
    <r>
      <t xml:space="preserve">on all sides, including cost and conveyance to site of teak  wood frame, flush shutter including  supply and fixing 6 Nos. MS Z hold fasts of size 300 mm x 40 mm x 5mm including cost of ISI marked Aluminium fixtures of 6 Nos. butt hinges (IS:205) 150mm long, 1 No. aldrop  (IS:2681) 300mm long, 2 Nos. tower bolts (IS:204) of 200 mm x 10 mm dia at top, 2 Nos. 150mm long handles (IS:208), 2 Nos. door stoppers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(1500mm x 2400mm) </t>
    </r>
  </si>
  <si>
    <t>1.50m x 2.40m</t>
  </si>
  <si>
    <t xml:space="preserve">2 x 2.41 </t>
  </si>
  <si>
    <t>= 4.82 x 0.10 x 0.065   =</t>
  </si>
  <si>
    <t>2 x 1.50 + 0.3</t>
  </si>
  <si>
    <t>= 3.50 x 0.10 x 0.065     =</t>
  </si>
  <si>
    <t>2 x 0.75 x 0.30    =</t>
  </si>
  <si>
    <t xml:space="preserve"> 2 x 2 (0.75+0.3)    =</t>
  </si>
  <si>
    <t>2 x 0.70 x 2.05       =</t>
  </si>
  <si>
    <t>2 x 1.50 x 0.785    =</t>
  </si>
  <si>
    <r>
      <t xml:space="preserve">on all sides, including cost and conveyance to site of teak  wood frame, flush shutter including  supply and fixing 6 Nos. MS Z hold fasts of size 300 mm x 40 mm x 5mm including cost of ISI marked Aluminium fixtures of 6 Nos. butt hinges (IS:205) 150mm long, 1 No. aldrop (IS:2681) 300mm long, 2 Nos. tower bolts (IS:204) of 200 mm x 10 mm dia at top,  2 Nos. 150mm long handles (IS:208), 2 Nos. door stoppers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(1200mm x 2600mm) </t>
    </r>
  </si>
  <si>
    <t>1.20m x 2.60m</t>
  </si>
  <si>
    <t>2 x 1.20 + 0.50</t>
  </si>
  <si>
    <t>= 2.90 x 0.10 x 0.065   =</t>
  </si>
  <si>
    <t>2x0.6 x 0.5  =</t>
  </si>
  <si>
    <t>2 x 2 (0.6 + 0.50)   =</t>
  </si>
  <si>
    <t>2 x 0.55 x 2.05   =</t>
  </si>
  <si>
    <t>2 x 1.20 x 0.785   =</t>
  </si>
  <si>
    <t>Labour charges for fixing flush door shutter to the frame ,  fixing the fixtures to the shutter TBSC-T.I-25</t>
  </si>
  <si>
    <t>Rate for 3.12 sqm</t>
  </si>
  <si>
    <r>
      <t>Supply and fixing of</t>
    </r>
    <r>
      <rPr>
        <sz val="10"/>
        <rFont val="Arial"/>
        <family val="2"/>
        <charset val="1"/>
      </rPr>
      <t xml:space="preserve"> </t>
    </r>
    <r>
      <rPr>
        <b/>
        <sz val="10"/>
        <rFont val="Arial"/>
        <family val="2"/>
        <charset val="1"/>
      </rPr>
      <t>doors</t>
    </r>
    <r>
      <rPr>
        <sz val="10"/>
        <rFont val="Arial"/>
        <family val="2"/>
        <charset val="1"/>
      </rPr>
      <t xml:space="preserve"> as per approved drawings with</t>
    </r>
    <r>
      <rPr>
        <b/>
        <sz val="10"/>
        <rFont val="Arial"/>
        <family val="2"/>
        <charset val="1"/>
      </rPr>
      <t xml:space="preserve"> medium teak wood</t>
    </r>
    <r>
      <rPr>
        <sz val="10"/>
        <rFont val="Arial"/>
        <family val="2"/>
        <charset val="1"/>
      </rPr>
      <t xml:space="preserve"> frame of section 100mm x 65 mm </t>
    </r>
    <r>
      <rPr>
        <b/>
        <sz val="10"/>
        <rFont val="Arial"/>
        <family val="2"/>
        <charset val="1"/>
      </rPr>
      <t>with split type fan ligh</t>
    </r>
    <r>
      <rPr>
        <sz val="10"/>
        <rFont val="Arial"/>
        <family val="2"/>
        <charset val="1"/>
      </rPr>
      <t xml:space="preserve">t of 500mm at the top fixed with 4mm thick pin headed glass using 12mm x 12mm Teak Wood beading and 2 Nos. of 10mm MS Square bars and ISI marked flush door shutter of </t>
    </r>
    <r>
      <rPr>
        <b/>
        <sz val="10"/>
        <rFont val="Arial"/>
        <family val="2"/>
        <charset val="1"/>
      </rPr>
      <t>30mm thick</t>
    </r>
    <r>
      <rPr>
        <sz val="10"/>
        <rFont val="Arial"/>
        <family val="2"/>
        <charset val="1"/>
      </rPr>
      <t xml:space="preserve"> </t>
    </r>
    <r>
      <rPr>
        <b/>
        <sz val="10"/>
        <rFont val="Arial"/>
        <family val="2"/>
        <charset val="1"/>
      </rPr>
      <t>single shutter</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t>
    </r>
  </si>
  <si>
    <r>
      <t xml:space="preserve">fixing 6 Nos. MS Z hold fasts of size 300 mm x 40 mm x 5mm including cost of ISI marked Aluminium fixtures of 3 Nos. butt hinges (IS:205) 150mm long,  1 No. aldrop (IS:2681) 300mm long, 1 No. tower bolt (IS:204) of 200 mm x 10 mm dia at top, 2 Nos. 150mm long handles (IS:208), 1 No. door stopper and 1 No. rubber bush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(1000mm x 2600mm). </t>
    </r>
  </si>
  <si>
    <t>1.00m x 2.60m</t>
  </si>
  <si>
    <t>2 x 1.00</t>
  </si>
  <si>
    <t xml:space="preserve">= 2.00 x 0.10 x 0.065 </t>
  </si>
  <si>
    <t>1.00 x 0.50</t>
  </si>
  <si>
    <t xml:space="preserve"> 2 x (1+ 0.50)</t>
  </si>
  <si>
    <t>1 x 0.90 x 2.05</t>
  </si>
  <si>
    <t>2 x 1.00 x 0.785</t>
  </si>
  <si>
    <t>Rate for 2.60 sqm</t>
  </si>
  <si>
    <r>
      <t>Supply and fixing of</t>
    </r>
    <r>
      <rPr>
        <sz val="10"/>
        <rFont val="Arial"/>
        <family val="2"/>
        <charset val="1"/>
      </rPr>
      <t xml:space="preserve"> </t>
    </r>
    <r>
      <rPr>
        <b/>
        <sz val="10"/>
        <rFont val="Arial"/>
        <family val="2"/>
        <charset val="1"/>
      </rPr>
      <t>doors</t>
    </r>
    <r>
      <rPr>
        <sz val="10"/>
        <rFont val="Arial"/>
        <family val="2"/>
        <charset val="1"/>
      </rPr>
      <t xml:space="preserve"> as per approved drawings with</t>
    </r>
    <r>
      <rPr>
        <b/>
        <sz val="10"/>
        <rFont val="Arial"/>
        <family val="2"/>
        <charset val="1"/>
      </rPr>
      <t xml:space="preserve"> medium teak wood</t>
    </r>
    <r>
      <rPr>
        <sz val="10"/>
        <rFont val="Arial"/>
        <family val="2"/>
        <charset val="1"/>
      </rPr>
      <t xml:space="preserve"> frame of section 100mm x 65 mm </t>
    </r>
    <r>
      <rPr>
        <b/>
        <sz val="10"/>
        <rFont val="Arial"/>
        <family val="2"/>
        <charset val="1"/>
      </rPr>
      <t>with split type fan ligh</t>
    </r>
    <r>
      <rPr>
        <sz val="10"/>
        <rFont val="Arial"/>
        <family val="2"/>
        <charset val="1"/>
      </rPr>
      <t xml:space="preserve">t of 500mm at the top fixed with 4mm thick pin headed glass using 12mm x 12mm Teak Wood beading and 2 Nos. of 10mm MS Square bars and ISI marked flush door shutter of </t>
    </r>
    <r>
      <rPr>
        <b/>
        <sz val="10"/>
        <rFont val="Arial"/>
        <family val="2"/>
        <charset val="1"/>
      </rPr>
      <t>30mm thick</t>
    </r>
    <r>
      <rPr>
        <sz val="10"/>
        <rFont val="Arial"/>
        <family val="2"/>
        <charset val="1"/>
      </rPr>
      <t xml:space="preserve"> </t>
    </r>
    <r>
      <rPr>
        <b/>
        <sz val="10"/>
        <rFont val="Arial"/>
        <family val="2"/>
        <charset val="1"/>
      </rPr>
      <t>single shutter</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fixing 6 Nos. MS Z hold fasts of size 300 mm x 40 mm x 5mm including cost of ISI marked Aluminium </t>
    </r>
  </si>
  <si>
    <r>
      <t xml:space="preserve">fixtures of   3 Nos. butt hinges (IS:205) 150mm long , 1 No. aldrop (IS:2681) 300mm long, 1 No. tower bolt (IS:204) of 200 mm x 10 mm dia at top, 2 Nos. 150mm long handles (IS:208), 1 No. door stopper and 1 No. rubber bush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(900mm x 2600mm) </t>
    </r>
  </si>
  <si>
    <t>0.90m x 2.60m</t>
  </si>
  <si>
    <t>2 x 0.90</t>
  </si>
  <si>
    <t>= 1.80 x 0.10 x 0.065  =</t>
  </si>
  <si>
    <t>0.90 x 0.50  =</t>
  </si>
  <si>
    <t xml:space="preserve"> 2 x (0.90+0.50)  =</t>
  </si>
  <si>
    <t>1 x 0.80 x 2.05  =</t>
  </si>
  <si>
    <t>2 x 0.90 x 0.785  =</t>
  </si>
  <si>
    <t>Rate for 2.34 sqm</t>
  </si>
  <si>
    <r>
      <t xml:space="preserve">Supply and fixing doors </t>
    </r>
    <r>
      <rPr>
        <sz val="10"/>
        <rFont val="Arial"/>
        <family val="2"/>
        <charset val="1"/>
      </rPr>
      <t xml:space="preserve">as per drawings with </t>
    </r>
    <r>
      <rPr>
        <b/>
        <sz val="10"/>
        <rFont val="Arial"/>
        <family val="2"/>
        <charset val="1"/>
      </rPr>
      <t>medium teak wood</t>
    </r>
    <r>
      <rPr>
        <sz val="10"/>
        <rFont val="Arial"/>
        <family val="2"/>
        <charset val="1"/>
      </rPr>
      <t xml:space="preserve"> frame of section 100mm x 65 mm and  ISI marked flush door shutters of </t>
    </r>
    <r>
      <rPr>
        <b/>
        <sz val="10"/>
        <rFont val="Arial"/>
        <family val="2"/>
        <charset val="1"/>
      </rPr>
      <t xml:space="preserve">30 mm thick double shutters </t>
    </r>
    <r>
      <rPr>
        <sz val="10"/>
        <rFont val="Arial"/>
        <family val="2"/>
        <charset val="1"/>
      </rPr>
      <t xml:space="preserve">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t>
    </r>
  </si>
  <si>
    <r>
      <t xml:space="preserve">shutter including  supply and fixing 6 Nos. MS Z hold fasts of size 300 mm x 40 mm x 5mm including cost of ISI marked Aluminium fixtures of 6 Nos. butt hinges (IS:205) 150mm long, 1 No. aldrop (IS:2681) 300mm long, 2 Nos. tower bolts (IS:204) of 200 mm x 10 mm dia at top, 2 Nos. 150 mm long handles (IS:208), 2 Nos. door stoppers and 2 Nos. rubber bushes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 </t>
    </r>
    <r>
      <rPr>
        <b/>
        <sz val="10"/>
        <rFont val="Arial"/>
        <family val="2"/>
        <charset val="1"/>
      </rPr>
      <t>(2000mm x 2100mm)</t>
    </r>
  </si>
  <si>
    <t xml:space="preserve"> (BLD-CSTN-13-16)</t>
  </si>
  <si>
    <t>2.00m x 2.10m</t>
  </si>
  <si>
    <t xml:space="preserve">2 x 2.11 </t>
  </si>
  <si>
    <t>= 4.22 x 0.10 x 0.065 =</t>
  </si>
  <si>
    <t>1 x 2.00</t>
  </si>
  <si>
    <t>= 2.00 x 0.10 x 0.065 =</t>
  </si>
  <si>
    <t>2 x 0.95 x 2.05=</t>
  </si>
  <si>
    <t>Labour charges for fixing flush door shutter to the frame ,  fixing the fixtures to the shutter       TBSC-T.I-25</t>
  </si>
  <si>
    <t>Rate for 4.20 sqm</t>
  </si>
  <si>
    <r>
      <t xml:space="preserve">Supply and fixing doors </t>
    </r>
    <r>
      <rPr>
        <sz val="10"/>
        <rFont val="Arial"/>
        <family val="2"/>
        <charset val="1"/>
      </rPr>
      <t xml:space="preserve">as per drawings with </t>
    </r>
    <r>
      <rPr>
        <b/>
        <sz val="10"/>
        <rFont val="Arial"/>
        <family val="2"/>
        <charset val="1"/>
      </rPr>
      <t>medium teak wood</t>
    </r>
    <r>
      <rPr>
        <sz val="10"/>
        <rFont val="Arial"/>
        <family val="2"/>
        <charset val="1"/>
      </rPr>
      <t xml:space="preserve"> frame of section 100mm x 65 mm and  ISI marked flush door shutters of </t>
    </r>
    <r>
      <rPr>
        <b/>
        <sz val="10"/>
        <rFont val="Arial"/>
        <family val="2"/>
        <charset val="1"/>
      </rPr>
      <t xml:space="preserve">30 mm thick double shutters </t>
    </r>
    <r>
      <rPr>
        <sz val="10"/>
        <rFont val="Arial"/>
        <family val="2"/>
        <charset val="1"/>
      </rPr>
      <t xml:space="preserve">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t>
    </r>
  </si>
  <si>
    <r>
      <t>supply and fixing 6 Nos. MS Z hold fasts of size 300 mm x 40 mm x 5mm including cost of ISI marked Aluminium fixtures of 6 Nos. butt hinges (IS:205)150mm long, 1 No. aldrop (IS:2681) 300mm long, 2 Nos. tower bolts (IS:204) of  200 mm x 10 mm dia at top, 2 Nos. 150 mm long handles (IS:208), 2 Nos. door stoppers and 2 Nos. rubber bushes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t>
    </r>
    <r>
      <rPr>
        <b/>
        <sz val="10"/>
        <rFont val="Arial"/>
        <family val="2"/>
        <charset val="1"/>
      </rPr>
      <t xml:space="preserve"> (1800mm x 2100mm)</t>
    </r>
  </si>
  <si>
    <t>1.80m x 2.10m</t>
  </si>
  <si>
    <t>1 x 1.80</t>
  </si>
  <si>
    <t xml:space="preserve">= 1.80 x 0.10 x 0.065= </t>
  </si>
  <si>
    <t>2 x 0.85 x 2.05 =</t>
  </si>
  <si>
    <t>Rate for 3.78 sqm</t>
  </si>
  <si>
    <r>
      <t xml:space="preserve">Supply and fixing doors </t>
    </r>
    <r>
      <rPr>
        <sz val="10"/>
        <rFont val="Arial"/>
        <family val="2"/>
        <charset val="1"/>
      </rPr>
      <t xml:space="preserve">as per drawings with </t>
    </r>
    <r>
      <rPr>
        <b/>
        <sz val="10"/>
        <rFont val="Arial"/>
        <family val="2"/>
        <charset val="1"/>
      </rPr>
      <t>medium teak wood</t>
    </r>
    <r>
      <rPr>
        <sz val="10"/>
        <rFont val="Arial"/>
        <family val="2"/>
        <charset val="1"/>
      </rPr>
      <t xml:space="preserve"> frame of section 100mm x 65 mm and  ISI marked flush door shutters of </t>
    </r>
    <r>
      <rPr>
        <b/>
        <sz val="10"/>
        <rFont val="Arial"/>
        <family val="2"/>
        <charset val="1"/>
      </rPr>
      <t xml:space="preserve">30 mm thick double shutters </t>
    </r>
    <r>
      <rPr>
        <sz val="10"/>
        <rFont val="Arial"/>
        <family val="2"/>
        <charset val="1"/>
      </rPr>
      <t xml:space="preserve">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t>
    </r>
  </si>
  <si>
    <r>
      <t xml:space="preserve">shutter including  supply and fixing 6 Nos. MS Z hold fasts of size 300 mm x 40 mm x 5mm including cost of ISI marked Aluminium fixtures of 6 Nos. butt hinges (IS:205) 150mm long, 1 No. aldrop (IS:2681) 300mm long, 2 Nos. tower bolts (IS:204) of 200 mm x 10 mm dia at top, 2 Nos. 150 mm long handles (IS:208), 2 Nos. door stoppers and 2 Nos. rubber bushes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(1500mm x 2100mm) </t>
    </r>
  </si>
  <si>
    <t>1.50m x 2.10m</t>
  </si>
  <si>
    <t xml:space="preserve">= 4.22 x 0.10 x 0.065 </t>
  </si>
  <si>
    <t>1 x 1.50</t>
  </si>
  <si>
    <t xml:space="preserve">= 1.50 x 0.10 x 0.065 </t>
  </si>
  <si>
    <t>2 x 0.70 x 2.05</t>
  </si>
  <si>
    <t>Rate for 3.15 sqm</t>
  </si>
  <si>
    <r>
      <t xml:space="preserve">Supply and fixing doors </t>
    </r>
    <r>
      <rPr>
        <sz val="10"/>
        <rFont val="Arial"/>
        <family val="2"/>
        <charset val="1"/>
      </rPr>
      <t xml:space="preserve">as per drawings with </t>
    </r>
    <r>
      <rPr>
        <b/>
        <sz val="10"/>
        <rFont val="Arial"/>
        <family val="2"/>
        <charset val="1"/>
      </rPr>
      <t>medium teak wood</t>
    </r>
    <r>
      <rPr>
        <sz val="10"/>
        <rFont val="Arial"/>
        <family val="2"/>
        <charset val="1"/>
      </rPr>
      <t xml:space="preserve"> frame of section 100mm x 65 mm and  ISI marked flush door shutters  of </t>
    </r>
    <r>
      <rPr>
        <b/>
        <sz val="10"/>
        <rFont val="Arial"/>
        <family val="2"/>
        <charset val="1"/>
      </rPr>
      <t xml:space="preserve">30 mm thick double shutters </t>
    </r>
    <r>
      <rPr>
        <sz val="10"/>
        <rFont val="Arial"/>
        <family val="2"/>
        <charset val="1"/>
      </rPr>
      <t xml:space="preserve">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t>
    </r>
  </si>
  <si>
    <r>
      <t>shutter including  supply and fixing 6 Nos. MS Z hold fasts of size 300 mm x 40 mm x 5mm including cost of ISI marked Aluminium fixtures of 6 Nos. butt hinges (IS:205) 150mm long, 1 No. aldrop (IS:2681) 300mm long, 2 Nos. tower bolts (IS:204) of 200 mm x 10 mm dia at top, 2 Nos. 150 mm long handles (IS:208), 2 Nos. door stoppers and 2 Nos. rubber bushes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t>
    </r>
    <r>
      <rPr>
        <b/>
        <sz val="10"/>
        <rFont val="Arial"/>
        <family val="2"/>
        <charset val="1"/>
      </rPr>
      <t xml:space="preserve"> (1200mm x 2100mm). </t>
    </r>
  </si>
  <si>
    <t>1.20m x 2.10m</t>
  </si>
  <si>
    <t>1 x 1.20</t>
  </si>
  <si>
    <t xml:space="preserve">= 1.20 x 0.10 x 0.065 </t>
  </si>
  <si>
    <t>2 x 0.55 x 2.05</t>
  </si>
  <si>
    <t xml:space="preserve">Cost of medium TW frame below 2 m length </t>
  </si>
  <si>
    <t>Rate for 2.52 sqm</t>
  </si>
  <si>
    <r>
      <t xml:space="preserve">Supply and fixing doors </t>
    </r>
    <r>
      <rPr>
        <sz val="10"/>
        <rFont val="Arial"/>
        <family val="2"/>
        <charset val="1"/>
      </rPr>
      <t xml:space="preserve">as per drawings with </t>
    </r>
    <r>
      <rPr>
        <b/>
        <sz val="10"/>
        <rFont val="Arial"/>
        <family val="2"/>
        <charset val="1"/>
      </rPr>
      <t xml:space="preserve">medium teak wood frame </t>
    </r>
    <r>
      <rPr>
        <sz val="10"/>
        <rFont val="Arial"/>
        <family val="2"/>
        <charset val="1"/>
      </rPr>
      <t xml:space="preserve">of section 100mm x 65 mm and  ISI marked flush door shutters of </t>
    </r>
    <r>
      <rPr>
        <b/>
        <sz val="10"/>
        <rFont val="Arial"/>
        <family val="2"/>
        <charset val="1"/>
      </rPr>
      <t xml:space="preserve">30 mm thick single shutter </t>
    </r>
    <r>
      <rPr>
        <sz val="10"/>
        <rFont val="Arial"/>
        <family val="2"/>
        <charset val="1"/>
      </rPr>
      <t xml:space="preserve">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t>
    </r>
  </si>
  <si>
    <r>
      <t xml:space="preserve">fixing 6 Nos. MS Z hold fasts of size 300 mm x 40 mm x 5mm including cost of ISI marked Aluminium fixtures of 3 Nos. butt hinges (IS:205) 150mm long, 1 No. aldrop (IS:2681) 300mm long, 1 No. tower bolt (IS:204) of 200 mm x 10 mm dia at top, 2 Nos. 150 mm long handles (IS:208), 1 No. door stopper and 1 No. rubber bush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(1000mm x 2100mm) </t>
    </r>
  </si>
  <si>
    <t>1.00m x 2.10m</t>
  </si>
  <si>
    <t>1 x 1.00</t>
  </si>
  <si>
    <t xml:space="preserve">= 1.00 x 0.10 x 0.065 </t>
  </si>
  <si>
    <t xml:space="preserve"> 0.90 x 2.05</t>
  </si>
  <si>
    <t xml:space="preserve">Cost of medium TW frame up to 2 m length </t>
  </si>
  <si>
    <t>Rate for 2.10 sqm</t>
  </si>
  <si>
    <r>
      <t xml:space="preserve">Supply and fixing doors </t>
    </r>
    <r>
      <rPr>
        <sz val="10"/>
        <rFont val="Arial"/>
        <family val="2"/>
        <charset val="1"/>
      </rPr>
      <t xml:space="preserve">as per drawings with </t>
    </r>
    <r>
      <rPr>
        <b/>
        <sz val="10"/>
        <rFont val="Arial"/>
        <family val="2"/>
        <charset val="1"/>
      </rPr>
      <t xml:space="preserve">medium teak wood frame </t>
    </r>
    <r>
      <rPr>
        <sz val="10"/>
        <rFont val="Arial"/>
        <family val="2"/>
        <charset val="1"/>
      </rPr>
      <t xml:space="preserve">of section 100mm x 65 mm and  ISI marked flush door shutters of </t>
    </r>
    <r>
      <rPr>
        <b/>
        <sz val="10"/>
        <rFont val="Arial"/>
        <family val="2"/>
        <charset val="1"/>
      </rPr>
      <t>30 mm thick single shutter</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t>
    </r>
  </si>
  <si>
    <r>
      <t xml:space="preserve">fixing 6 Nos. MS Z hold fasts of size 300 mm x 40 mm x 5mm including cost of ISI marked Aluminium fixtures of 3 Nos. butt hinges (IS:205) 150mm long, 1 No. aldrop (IS:2681) 300mm long, 1 No. tower bolt (IS:204) of 200 mm x 10 mm dia at top, 2 Nos. 150 mm long handles (IS:208), 1 No. door stopper and 1 No. rubber bush  including fixing the  fixtures to door with required number of screws, bolt and nuts including labour charges for fixing the frame in position, fixing the shutter to the frame etc, including overheads &amp; contractors profit complete for finished item of work as per APSS 1001 &amp; 1002 (The vertical frame of door shall be embedded in flooring for a depth of not less than 10 mm) 
</t>
    </r>
    <r>
      <rPr>
        <b/>
        <sz val="10"/>
        <rFont val="Arial"/>
        <family val="2"/>
        <charset val="1"/>
      </rPr>
      <t xml:space="preserve">(900mm x 2100mm). </t>
    </r>
  </si>
  <si>
    <t>0.90m x 2.10m</t>
  </si>
  <si>
    <t>1 x 0.90</t>
  </si>
  <si>
    <t xml:space="preserve">= 0.90 x 0.10 x 0.065 </t>
  </si>
  <si>
    <t xml:space="preserve"> 0.80 x 2.05</t>
  </si>
  <si>
    <t>Rate for 1.89 sqm</t>
  </si>
  <si>
    <r>
      <t>Supply and fixing doors</t>
    </r>
    <r>
      <rPr>
        <sz val="10"/>
        <rFont val="Arial"/>
        <family val="2"/>
        <charset val="1"/>
      </rPr>
      <t xml:space="preserve"> as per drawings with</t>
    </r>
    <r>
      <rPr>
        <b/>
        <sz val="10"/>
        <rFont val="Arial"/>
        <family val="2"/>
        <charset val="1"/>
      </rPr>
      <t xml:space="preserve"> medium teak wood</t>
    </r>
    <r>
      <rPr>
        <sz val="10"/>
        <rFont val="Arial"/>
        <family val="2"/>
        <charset val="1"/>
      </rPr>
      <t xml:space="preserve"> frame of section 100mm x 65mm and ISI marked flush door shutter of </t>
    </r>
    <r>
      <rPr>
        <b/>
        <sz val="10"/>
        <rFont val="Arial"/>
        <family val="2"/>
        <charset val="1"/>
      </rPr>
      <t>30mm thick single shutter</t>
    </r>
    <r>
      <rPr>
        <sz val="10"/>
        <rFont val="Arial"/>
        <family val="2"/>
        <charset val="1"/>
      </rPr>
      <t xml:space="preserve">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medium teak wood door  frame, flush shutter, including suply and fixing 6 Nos. MS Z  hold fasts of size 300mm x 40mm x 5mm including ISI marked Aluminium fixtures 3 Nos. butt hinges (IS:205) of 150mm long, 1 No. aldrop (IS:2681) 250 mm long,  </t>
    </r>
  </si>
  <si>
    <r>
      <t xml:space="preserve">1 No. tower bolt (IS:204) of 150 mm x 10mm dia, 2 Nos. 125mm long handles (IS:208),1 No. rubber bush including supplying and fixing 1.20mm thick PVC sheet to full height of the shutter  inside including labour charges for fixing the frame in position, fixing the shutter to the frame etc., including overheads &amp; contractors profit complete for finished item of work as per APSS 1001 &amp; 1002. (The vertical frame of door shall be embedded in flooring  for deth of not less than 10mm) </t>
    </r>
    <r>
      <rPr>
        <b/>
        <sz val="10"/>
        <rFont val="Arial"/>
        <family val="2"/>
        <charset val="1"/>
      </rPr>
      <t>(800mm x 2100mm).</t>
    </r>
  </si>
  <si>
    <t>0.80m x 2.10m</t>
  </si>
  <si>
    <t>1 x 0.80</t>
  </si>
  <si>
    <t xml:space="preserve">= 0.80 x 0.10 x 0.065 </t>
  </si>
  <si>
    <t xml:space="preserve"> 0.70 x 2.05</t>
  </si>
  <si>
    <t>Cost of Z hold fasts                             TBSC-P.IX-08</t>
  </si>
  <si>
    <t>Cost of Aluminium tower bolt 150mm long TBSC-P.I-08</t>
  </si>
  <si>
    <t>Cost of Aluminium butt hinges 150mm longTBSC-P.II-08</t>
  </si>
  <si>
    <t>Cost of Aluminium aldrop 250mm long TBSC-P.IV-05</t>
  </si>
  <si>
    <t>Cost of Aluminium handle 125mm long TBSC-P.III-03</t>
  </si>
  <si>
    <t>Cost of rubber bush                                   TBSC-P.IX-04</t>
  </si>
  <si>
    <t>Cost of 1.20mm thick PVC sheet</t>
  </si>
  <si>
    <t>Cost of Fevicol &amp; labour charges for fixing PVC sheet</t>
  </si>
  <si>
    <t>Rate for 1.68 sqm</t>
  </si>
  <si>
    <r>
      <t xml:space="preserve">1 No. tower bolt (IS:204) of 150 mm x 10mm dia, 2 Nos. 125mm long handles (IS:208),1 No. rubber bush including supplying and fixing 1.20mm thick PVC sheet to full height of the shutter  inside including labour charges for fixing the frame in position, fixing the shutter to the frame etc., including overheads &amp; contractors profit complete for finished item of work as per APSS 1001 &amp; 1002. (The vertical frame of door shall be embedded in flooring  for deth of not less than 10mm) </t>
    </r>
    <r>
      <rPr>
        <b/>
        <sz val="10"/>
        <rFont val="Arial"/>
        <family val="2"/>
        <charset val="1"/>
      </rPr>
      <t>(750mm x 2100mm).</t>
    </r>
  </si>
  <si>
    <t>0.75m x 2.10m</t>
  </si>
  <si>
    <t>1 x 0.75</t>
  </si>
  <si>
    <t xml:space="preserve">= 0.75 x 0.10 x 0.065 </t>
  </si>
  <si>
    <t xml:space="preserve"> 0.65 x 2.05</t>
  </si>
  <si>
    <t>cost of Fevicol &amp; labour charges for fixing PVC sheet</t>
  </si>
  <si>
    <t xml:space="preserve">Labour charges for fixing flush door shutter to the frame ,  fixing the fixtures to the shutter </t>
  </si>
  <si>
    <r>
      <t>Supply and fixing</t>
    </r>
    <r>
      <rPr>
        <sz val="10"/>
        <rFont val="Arial"/>
        <family val="2"/>
        <charset val="1"/>
      </rPr>
      <t xml:space="preserve"> </t>
    </r>
    <r>
      <rPr>
        <b/>
        <sz val="10"/>
        <rFont val="Arial"/>
        <family val="2"/>
        <charset val="1"/>
      </rPr>
      <t>powder coated aluminium fully glazed swing door</t>
    </r>
    <r>
      <rPr>
        <sz val="10"/>
        <rFont val="Arial"/>
        <family val="2"/>
        <charset val="1"/>
      </rPr>
      <t xml:space="preserve">  as per the approved drawing with fixed fan light of 500mm height at top  door using aluminium sections of 101.60 mmm x 44.45mm , 3.18 mm thick for frame and door shutter made of styles , top and middle rail of 47.62mm  x 44.45mm , 3.18 mm thick and bottom rail of 114.30mm x 44.45 mm , 3.18mm thick,powder coating of alluminium sections 25mm microns thick, 5 mm thick plain float glass fitted with suitable aluminium glazing clips and rubber beading in fan light portion, </t>
    </r>
    <r>
      <rPr>
        <b/>
        <sz val="10"/>
        <rFont val="Arial"/>
        <family val="2"/>
        <charset val="1"/>
      </rPr>
      <t>double shutters fitted with 5mm thick frosted / ground glass in the top half and 12mm thick prelaminated particle board</t>
    </r>
    <r>
      <rPr>
        <sz val="10"/>
        <rFont val="Arial"/>
        <family val="2"/>
        <charset val="1"/>
      </rPr>
      <t xml:space="preserve"> </t>
    </r>
    <r>
      <rPr>
        <b/>
        <sz val="10"/>
        <rFont val="Arial"/>
        <family val="2"/>
        <charset val="1"/>
      </rPr>
      <t xml:space="preserve">(One side choice colour and other side balancing white lamnation) in the bottom half </t>
    </r>
    <r>
      <rPr>
        <sz val="10"/>
        <rFont val="Arial"/>
        <family val="2"/>
        <charset val="1"/>
      </rPr>
      <t xml:space="preserve"> fitted with suitable aluminium glazing clips and rubber beading,shutters mounted on double action hydraulic floor spring of approved brand manufacture IS : 6315 marked , Hardwyn make M-3000 for doors including cost of cutting floors as </t>
    </r>
  </si>
  <si>
    <r>
      <t xml:space="preserve">required , embedding in floors and SS cover plates with brass pivot and sigle piece MS Sheet outer box with slide plate etc.complete          (Weight Capacity up to 130 Kgs) as approved by Engineer-in-Charge  including supply and fixing  ISI marked  powder coated aluminium fixtures  of 4 Nos.tower bolts 10mm bolt (IS:204) 300mm long , 4 Nos.alluminium handles (IS:208) 150mm dia and 2  Nos. aldrops (IS:2681) 300mm long including labour charges for manufacturing door , fixing the door with required No. of screws  etc., including overheads &amp; contractors profit complete for finished  item of  work. (The Aluminium section used shall be standard make confirming to IS 1948 – 1961) and as approved  by the Engineer) </t>
    </r>
    <r>
      <rPr>
        <b/>
        <sz val="10"/>
        <rFont val="Arial"/>
        <family val="2"/>
        <charset val="1"/>
      </rPr>
      <t xml:space="preserve">(2000mm x 2600mm). </t>
    </r>
  </si>
  <si>
    <t>(BLD-CSTN-13-31)</t>
  </si>
  <si>
    <t>2.00m x 2.60m</t>
  </si>
  <si>
    <t>Outer frame (101.60 x 44.45, 3.18mm thick)</t>
  </si>
  <si>
    <t xml:space="preserve"> 2 x 2.00 + 2 x 2.60 </t>
  </si>
  <si>
    <t>Mullions (101.60 x 44.45, 3.18mm thick)</t>
  </si>
  <si>
    <t xml:space="preserve">  1 x 0.50 </t>
  </si>
  <si>
    <t>= 9.70 RM @ 2.404 Kgs / RM</t>
  </si>
  <si>
    <t>Shutters, styles and rails(47.62mm  x 44.45mm , 3.18 mm thick)</t>
  </si>
  <si>
    <t>4 x 2.10 + 2 x 2 x 1.00</t>
  </si>
  <si>
    <t>= 12.40 RM @1.501 Kgs/ RM</t>
  </si>
  <si>
    <t>Bottom rails (114.30 x 44.45. 3.18mm thick)</t>
  </si>
  <si>
    <t>= 2.00 RM @ 2.646 Kgs / RM</t>
  </si>
  <si>
    <t>Glazing clips</t>
  </si>
  <si>
    <t xml:space="preserve">2 x 2 x 2(1.00+0.50) + 2 x 2 x 2 (1.00+1.20) + 2 x 2 x 2 (1.00+ 0.90) </t>
  </si>
  <si>
    <t>= 44.80 RM @ 0.101 Kgs /RM</t>
  </si>
  <si>
    <t>5mm thick plain glass</t>
  </si>
  <si>
    <t>sqm.</t>
  </si>
  <si>
    <t>5mm thick ground glass</t>
  </si>
  <si>
    <t>2 x 1.00 x 1.20</t>
  </si>
  <si>
    <t>12mm thick prelaminated paticle board</t>
  </si>
  <si>
    <t>2 x 1.00 x 0.90</t>
  </si>
  <si>
    <t>Rubber beading</t>
  </si>
  <si>
    <t>2 x 2(1.00+0.50)+2 x 2 (1.00+1.20)</t>
  </si>
  <si>
    <t>A.Material :</t>
  </si>
  <si>
    <t>Cost of powder coated Al. sections     TBSC-R.I-03</t>
  </si>
  <si>
    <t>Cost of 5mm thick plain glass               TBSC-F.I-02</t>
  </si>
  <si>
    <t>5mm thick ground glass                       TBSC-F.IV-02</t>
  </si>
  <si>
    <t>12mm thick prelaminated paticle boardTBSC-H.III-48</t>
  </si>
  <si>
    <t>Cost of rubber beading                             TBSC-R.I-11</t>
  </si>
  <si>
    <t>Cost of floor springs                              TBSC-P.VII-03</t>
  </si>
  <si>
    <t>Cost of  Al. tower bolts 300mm             TBSC-P.I-11</t>
  </si>
  <si>
    <t>Cost of  Al. round handles 150mm dia.</t>
  </si>
  <si>
    <t>Cost of Al. aldrops 300mm                   TBSC-P.IV-06</t>
  </si>
  <si>
    <t xml:space="preserve">B.Labour charges </t>
  </si>
  <si>
    <t xml:space="preserve">Add for Screws, Nails, Nuts, Bolts etc., </t>
  </si>
  <si>
    <t xml:space="preserve">Rate per  5.20 Sqm: </t>
  </si>
  <si>
    <t xml:space="preserve">Rate per 1 Sqm: </t>
  </si>
  <si>
    <r>
      <t>Supply and fixing</t>
    </r>
    <r>
      <rPr>
        <sz val="10"/>
        <rFont val="Arial"/>
        <family val="2"/>
        <charset val="1"/>
      </rPr>
      <t xml:space="preserve">  </t>
    </r>
    <r>
      <rPr>
        <b/>
        <sz val="10"/>
        <rFont val="Arial"/>
        <family val="2"/>
        <charset val="1"/>
      </rPr>
      <t>powder coated aluminium fully glazed swing door</t>
    </r>
    <r>
      <rPr>
        <sz val="10"/>
        <rFont val="Arial"/>
        <family val="2"/>
        <charset val="1"/>
      </rPr>
      <t xml:space="preserve">  as per the approved drawing with fixed fan light of 500mm height at top  door using aluminium sections of 101.60 mmm x 44.45mm , 3.18 mm thick for frame and door shutter made of styles , top and middle rail of 47.62mm  x 44.45mm , 3.18 mm thick and bottom rail of 114.30mm x 44.45 mm , 3.18mm thick,powder coating of alluminium sections 25mm microns thick, 5 mm thick plain float glass fitted with suitable aluminium glazing clips and rubber beading in fan light portion, </t>
    </r>
    <r>
      <rPr>
        <b/>
        <sz val="10"/>
        <rFont val="Arial"/>
        <family val="2"/>
        <charset val="1"/>
      </rPr>
      <t>double shutters fitted with 5mm thick frosted / ground glass in the top half and 12mm thick prelaminated particle board</t>
    </r>
    <r>
      <rPr>
        <sz val="10"/>
        <rFont val="Arial"/>
        <family val="2"/>
        <charset val="1"/>
      </rPr>
      <t xml:space="preserve"> </t>
    </r>
    <r>
      <rPr>
        <b/>
        <sz val="10"/>
        <rFont val="Arial"/>
        <family val="2"/>
        <charset val="1"/>
      </rPr>
      <t xml:space="preserve">(One side choice colour and other side balancing white lamnation) in the bottom half </t>
    </r>
    <r>
      <rPr>
        <sz val="10"/>
        <rFont val="Arial"/>
        <family val="2"/>
        <charset val="1"/>
      </rPr>
      <t xml:space="preserve"> fitted with suitable aluminium glazing clips and rubber beading,shutters mounted on double action hydraulic floor spring of approved brand manufacture IS : 6315 marked , Hardwyn make M-3000 for doors including cost of cutting floors as required, embedding in floors </t>
    </r>
  </si>
  <si>
    <r>
      <t xml:space="preserve">and SS cover plates with brass pivot and sigle piece MS Sheet outer box with slide plate etc.complete( Weight Capacity up to 130 Kgs )  as approved by Engineer-in-Charge  including supply and fixing  ISI marked  powder coated aluminium fixtures  of 4 Nos.tower bolts 10mm bolt (IS:204) 300mm long , 4 Nos.alluminium handles (IS:208) 150mm dia and 2  Nos. aldrops (IS:2681) 300mm long including labour charges for manufacturing door , fixing the door with required No. of screws  etc., including overheads &amp; contractors profit complete for finished  item of  work. (The Aluminium section used shall be standard make confirming to IS 1948 – 1961) and as approved  by the Engineer) </t>
    </r>
    <r>
      <rPr>
        <b/>
        <sz val="10"/>
        <rFont val="Arial"/>
        <family val="2"/>
        <charset val="1"/>
      </rPr>
      <t xml:space="preserve">(1800mm x 2600mm). </t>
    </r>
  </si>
  <si>
    <t xml:space="preserve"> 2 x 1.80 + 2 x 2.60 </t>
  </si>
  <si>
    <t>= 9.30 RM @ 2.404 Kgs / RM</t>
  </si>
  <si>
    <t>4 x 2.10 + 2 x 2 x 0.90</t>
  </si>
  <si>
    <t>= 12.00 RM @1.501 Kgs/ RM</t>
  </si>
  <si>
    <t>= 1.80 RM @ 2.646 Kgs / RM</t>
  </si>
  <si>
    <t>2 x 2 x 2(0.90+0.50) +2 x 2 x 2(0.90+1.20) + 2 x 2 x 2 (0.90+ 0.90) =</t>
  </si>
  <si>
    <t>= 42.40 RM @ 0.101 Kgs /RM</t>
  </si>
  <si>
    <t>2 x 0.90 x 0.50</t>
  </si>
  <si>
    <t>2 x 0.90 x 1.20</t>
  </si>
  <si>
    <t>2 x 0.90 x 0.90</t>
  </si>
  <si>
    <t>2 x 2(0.90+0.50)+2 x 2(0.90+1.20)   =</t>
  </si>
  <si>
    <t>Cost of Al. aldrops 300mm                 TBSC-P.IV-06</t>
  </si>
  <si>
    <t xml:space="preserve">Rate per  4.68 Sqm: </t>
  </si>
  <si>
    <r>
      <t>Supply and fixing</t>
    </r>
    <r>
      <rPr>
        <sz val="10"/>
        <rFont val="Arial"/>
        <family val="2"/>
        <charset val="1"/>
      </rPr>
      <t xml:space="preserve">  </t>
    </r>
    <r>
      <rPr>
        <b/>
        <sz val="10"/>
        <rFont val="Arial"/>
        <family val="2"/>
        <charset val="1"/>
      </rPr>
      <t>powder coated aluminium fully glazed swing door</t>
    </r>
    <r>
      <rPr>
        <sz val="10"/>
        <rFont val="Arial"/>
        <family val="2"/>
        <charset val="1"/>
      </rPr>
      <t xml:space="preserve">  as per the approved drawing with fixed fan light of 500mm height at top  door using aluminium sections of 101.60 mm x 44.45mm, 3.18 mm thick for frame and door shutter made of styles, top and middle rail of 47.62mm  x 44.45mm, 3.18 mm thick and bottom rail of 114.30mm x 44.45 mm, 3.18mm thick,powder coating of alluminium sections 25mm microns thick, 5 mm thick plain float glass fitted with suitable aluminium glazing clips and rubber beading in fan light portion, </t>
    </r>
    <r>
      <rPr>
        <b/>
        <sz val="10"/>
        <rFont val="Arial"/>
        <family val="2"/>
        <charset val="1"/>
      </rPr>
      <t>double shutters fitted with 5mm thick frosted / ground glass in the top half and 12mm thick prelaminated particle board</t>
    </r>
    <r>
      <rPr>
        <sz val="10"/>
        <rFont val="Arial"/>
        <family val="2"/>
        <charset val="1"/>
      </rPr>
      <t xml:space="preserve"> </t>
    </r>
    <r>
      <rPr>
        <b/>
        <sz val="10"/>
        <rFont val="Arial"/>
        <family val="2"/>
        <charset val="1"/>
      </rPr>
      <t xml:space="preserve">(One side choice colour and other side balancing white lamnation) in the bottom half </t>
    </r>
    <r>
      <rPr>
        <sz val="10"/>
        <rFont val="Arial"/>
        <family val="2"/>
        <charset val="1"/>
      </rPr>
      <t xml:space="preserve"> fitted with suitable aluminium glazing clips and rubber beading,shutters mounted on double action hydraulic floor spring of approved brand manufacture IS : 6315 marked , Hardwyn make M-3000 for doors including cost of cutting floors </t>
    </r>
  </si>
  <si>
    <r>
      <t xml:space="preserve">as required, embedding in floors and SS cover plates with brass pivot and sigle piece MS Sheet outer box with slide plate etc.complete (Weight Capacity up to 130 Kgs)  as approved by Engineer-in-Charge  including supply and fixing  ISI marked  powder coated aluminium fixtures  of 4 Nos.tower bolts 10mm bolt (IS:204) 300mm long, 4 Nos. alluminium handles (IS:208) 150mm dia and 2  Nos. aldrops (IS:2681) 300mm long including labour charges for manufacturing door, fixing the door with required No. of screws  etc., including overheads &amp; contractors profit complete for finished  item of  work. (The Aluminium section used shall be standard make confirming to IS 1948–1961) and as approved  by the Engineer) </t>
    </r>
    <r>
      <rPr>
        <b/>
        <sz val="10"/>
        <rFont val="Arial"/>
        <family val="2"/>
        <charset val="1"/>
      </rPr>
      <t>(1500mm x 2600mm).</t>
    </r>
  </si>
  <si>
    <t xml:space="preserve"> (BLD-CSTN-13-31)</t>
  </si>
  <si>
    <t xml:space="preserve"> 2 x 1.50 + 2 x 2.60   = </t>
  </si>
  <si>
    <t xml:space="preserve">  1 x 0.50   =</t>
  </si>
  <si>
    <t>= 8.70 RM @ 2.404 Kgs / RM</t>
  </si>
  <si>
    <t>4 x 2.10 + 2 x 2 x 0.75 =</t>
  </si>
  <si>
    <t>= 11.40 RM @1.501 Kgs/ RM</t>
  </si>
  <si>
    <t>2 x 0.75  =</t>
  </si>
  <si>
    <t>= 1.50 RM @ 2.646 Kgs / RM</t>
  </si>
  <si>
    <t>2 x 2 x 2(0.75+0.50) +     2 x 2 x 2(0.75+1.20) + 2 x 2 x 2(0.75+0.90)  =38.80</t>
  </si>
  <si>
    <t>= 38.80 RM @ 0.101 Kgs /RM =</t>
  </si>
  <si>
    <t>2 x 0.75 x 0.50  =</t>
  </si>
  <si>
    <t>2 x 0.75 x 1.20  =</t>
  </si>
  <si>
    <t>2 x 0.75 x 0.90  =</t>
  </si>
  <si>
    <t>2 x 2(0.75+0.50)+2 x 2 (0.75 + 1.20) =</t>
  </si>
  <si>
    <t>12mm thick prelaminated paticle board TBSC-H.III-48</t>
  </si>
  <si>
    <t>Cost of rubber beading                        TBSC-R.I-11</t>
  </si>
  <si>
    <t xml:space="preserve">Rate per  3.90 Sqm: </t>
  </si>
  <si>
    <r>
      <t>Providing &amp; Fixing of Scientific Doors with metal door frames and door shutters made of galvanize steel</t>
    </r>
    <r>
      <rPr>
        <sz val="10"/>
        <rFont val="Arial"/>
        <family val="2"/>
        <charset val="1"/>
      </rPr>
      <t xml:space="preserve"> (base steel as per IS 513 of 0.58 mm thick D quality, galvanized as per IS 277 with Zinc of 120 GSM) coated with Zinc Phosphate Primer to receive any paint on site or finished with Thermosetting Polyurethane paint of Aliphatic Grade providing high levels of scratch resistance and durability/Epoxy polyester powder for powder coating paint thickness 50-60 microns (Dry film thickness) outer frame section of 100 x 58 mm x 1.2 mm thick, shutter section of 0.80 mm thick galvanized steel sheet pressed (roll formed) for 46mm thick fully flush, double skin door shell seam joints at stile edges, in-fill of honeycomb kraft paper used to give the required rigidity and effective acoustic insulation with 6” Tower bolt – 1 No., 6” D handles – 2 Nos., 10” Aldrop – 1 No., Butt Hinges – 3 Nos, Mortise Lock of approved quality – 1 No, frames fixed to the concrete/masonry wall by means of self expanding screws including overheads and contractor profit etc.,complete for finished item of work</t>
    </r>
    <r>
      <rPr>
        <b/>
        <sz val="10"/>
        <rFont val="Arial"/>
        <family val="2"/>
        <charset val="1"/>
      </rPr>
      <t xml:space="preserve"> for Single leaf Door.
</t>
    </r>
  </si>
  <si>
    <t>Rate as per SSR                          TBSC-L.III-19</t>
  </si>
  <si>
    <r>
      <t xml:space="preserve">Providing &amp; Fixing of Scientific Doors with metal door frames and door shutters made of galvanize steel  </t>
    </r>
    <r>
      <rPr>
        <sz val="10"/>
        <rFont val="Arial"/>
        <family val="2"/>
        <charset val="1"/>
      </rPr>
      <t xml:space="preserve">(base steel as per IS 513 of 0.58 mm thick D quality, galvanized as per IS 277 with Zinc of 120 GSM) coated with Zinc Phosphate Primer to receive any paint on site or finished with Thermosetting Polyurethane paint of Aliphatic Grade providing high levels of scratch resistance and durability/Epoxy polyester powder for powder coating paint thickness 50-60 microns (Dry film thickness) outer frame section of 100 x 58 mm x 1.2 mm thick, shutter section of 0.80 mm thick galvanized steel sheet pressed (roll formed) for 46mm thick fully flush, double skin door shell seam joints at stile edges, in-fill of honeycomb kraft paper used to give the required rigidity and effective acoustic insulation with 6” Tower bolt – 2 Nos., 6” D handles – 2 Nos., 10” Aldrop – 1 No., Butt Hinges – 6 Nos, Mortise Lock ofapproved quality – 1 No, frames fixed to the concrete/masonry wall by means of self expanding screws including overheads and contractor profit etc., complete for finished item of work </t>
    </r>
    <r>
      <rPr>
        <b/>
        <sz val="10"/>
        <rFont val="Arial"/>
        <family val="2"/>
        <charset val="1"/>
      </rPr>
      <t xml:space="preserve">for Double leaf Door
</t>
    </r>
  </si>
  <si>
    <r>
      <t>Supplying and fixing of Unplasticised Poly Vinyl Chloride (UPVC) sliding doors three track</t>
    </r>
    <r>
      <rPr>
        <sz val="10"/>
        <rFont val="Arial"/>
        <family val="2"/>
        <charset val="1"/>
      </rPr>
      <t xml:space="preserve"> - two glass shutters sliding and one mesh shutter sliding- 95 -Series duly manufactured using UPVC reinforced profiles of (108 mm x 45 mm)/(95.50 mm x 60 mm) x 2.0 mm for outer frames, (75 mm x 39 mm)/(66 mm x 42 mm) x 2.0 mm for sliding door shutter frames capable of mounting single glazing system, structurally reinforced with hot dip galvanized up to 50 microns of minimum thickness of 1.2 mm prefabricated &amp; welded through fusion welding the window sash shall be fitted with 5 mm thick clear float glass of reputed make and mesh shutter shall be made of (48.5 mm x 30 mm))/(50 mm x 26.5 mm) x 2.0 mm UPVC profile section and fitted with nylon/polymer mesh and rollers/pulley duly fixed with TPV Gaskets/ EPDM weathering seal resistant accessories like clipping locking system made of aluminium 1 No., per set of sashes and the system is to be installed at the site using anchor fasteners, silicon rubber sealant, easy glazing/ deglazing at site etc., including cost and conveyance of all materials, accessories, labour charges for transportation, erection at site with templates for casement sizing, overheads and contractors profit etc., complete for finished item of work</t>
    </r>
  </si>
  <si>
    <t>Rate as per SSR                                   TBSC-L.III-10</t>
  </si>
  <si>
    <t>Providing and Fixing Pre painted Steel Sliding Windows / Doors - 3 track sliding window /doors shutter with mesh shutter – (2 - glass shutters and 1 - mesh shutter) fabricated from Roll formed sections made of galvanized Steel colour coated/powder coated (Base Steel as per IS 513 ‘D’ quality, galvanized as per IS 277 with zinc of 120 GM/Sq.mtr) with total coated thickness of 0.58mm. Primer coat with epoxy primer of 5-7 microns thick, finish painted with a polyester paint of 12-16 microns thick and back coated with Alkyd backer of 5-7 microns or powder coated with pure polyester powder up to 50-60 microns thick. Section for external frame should be of 44 x 107mm .Section for glass shutter and mesh shutter in case of door should be of 35 x 67 mm Section for euro groove should be 25 x 31mm (Aluminium/ Plastic) (in case of window sections should be 35 x 49 mm and 25 x 24 mm and 30 x 41 mm) and Lap Strip should be of 39 x 41mm (30 x 41 mm &amp; Touch lock for window ) (Aluminium/ Plastic. The doors/ windows should be panelled with 5mm thick plain float glass. Corner bracket for internal and external frame made of glass filled nylon. Gaskets are to be made of Ethyl Propylene Diamine Monomer (EPDM).The sections are to be cut to length, joined and assembled by means of corner bracket. The above frames should be fixed to the concrete/masonry walls by means of self expanding brackets &amp; screws including 10mm square guard bars with 6” pitch (152.4mm) (in case of windows only) and all Taxes complete for finished item of work.</t>
  </si>
  <si>
    <t>Rate as per SSR                               TBSC-M.II-13</t>
  </si>
  <si>
    <r>
      <t xml:space="preserve">Supplying and fixing of Unplasticised Poly Vinyl Chloride (UPVC) openable doors with openable shutters </t>
    </r>
    <r>
      <rPr>
        <sz val="10"/>
        <rFont val="Arial"/>
        <family val="2"/>
        <charset val="1"/>
      </rPr>
      <t xml:space="preserve">duly manufactured using UPVC reinforced profiles (Composition of profile shall consists a minimum of 5.5 PHR of TiO2 and not more than 12PHR of CaCo3 for every 100 parts of PVC resin) of 60mm x 55 mm x 2.40 mm for outer frames, 74 mm x 60mm x 2.40 mm for mullion sections as per the need and 102 mm x 60 mm x 2.40 mm for openable shutter frame capable of mounting single glazing system structurally reinforced with hot dip galvanized up to 50 microns of minimum thickness of 1.2 mm prefabricated &amp; welded through fusion welding the door sash shall be fitted with 6 mm thick clear float glass of reputed make duly fixed with Grey colour TPV Gaskets for sash &amp; Glazing bead shall be coextruded with Grey colour soft PVC.System shall be provided with 4 no’s of 3D Hinges for each shutter and multipoint locking with keys.with raiser wedges for smooth operation and the system is to be installed at the site using anchor fasteners, silicon rubber sealant, easy glazing/ deglazing at site etc., including cost and conveyance of all materials, accessories, labour charges for transportation, erection at site including overheads and contractors profit etc., complete for finished item of work
 </t>
    </r>
  </si>
  <si>
    <t>Rate as per SSR   TBSC-L.III-12</t>
  </si>
  <si>
    <r>
      <t xml:space="preserve">Providing &amp; Fixing of Open able Windows with Flymesh made of pre-painted steel </t>
    </r>
    <r>
      <rPr>
        <sz val="10"/>
        <rFont val="Arial"/>
        <family val="2"/>
        <charset val="1"/>
      </rPr>
      <t>as per IS 513 of 0.58mm thick galvanized as per IS 277 finish painted with a polyester paint and the section for outer frame of 72 x 55mm, centre mullion of 72 x 50mm, section for fixed glass beading section of 12 x 12 mm and section for shutters of 48 x 25 mm and outer frame &amp; mullion sections with rebate for glazed shutters, fly mesh and a 20 mm provision for guard bars/grills and fly mesh shutter section of 20 x 40 mm, stay, handles, latch 2Nos of heavy duty stainless steel pivot hinges per shutter and panelled with 4mm thick pin headed glass and S.S. Mesh for fly mesh shutter (304 grade), fitted using rubber gaskets including fixing the windows in the concrete/masonry wall by means of self expanding screws, including 10mm Square guard bars with 6” (152.4mm) pitch , complete including overheads and contractor profit etc., complete for finished item of work.</t>
    </r>
  </si>
  <si>
    <t xml:space="preserve">Centre fixed both side openable shutter window : 1800mm x1800mm with fixed fan light of 500mm at top : </t>
  </si>
  <si>
    <t>Window portion                           TBSC-M.I-11</t>
  </si>
  <si>
    <t>Fan light portion                           TBSC-N.I-02</t>
  </si>
  <si>
    <t>Rate per 3.24 sqm</t>
  </si>
  <si>
    <t>Deduct cost of 5mm plain glass              TBSC-F.I-02</t>
  </si>
  <si>
    <t>Add cost of 4mm thick pin headed glass  TBSC-F.II-01</t>
  </si>
  <si>
    <t xml:space="preserve">Centre fixed both side openable shutter window 1500mm x1800mm with fixed fan light of 500mm at top : </t>
  </si>
  <si>
    <t>Window portion                            TBSC-M.I-10</t>
  </si>
  <si>
    <t>Fan light portion                            TBSC-N.I-02</t>
  </si>
  <si>
    <t>Rate per 2.70 sqm</t>
  </si>
  <si>
    <t>Double shutter window  1200x1800 with fixed fan light of 500mm at top :</t>
  </si>
  <si>
    <t>Window portion                       TBSC-M.I-09</t>
  </si>
  <si>
    <t>Fan light portion                      TBSC-N.I-02</t>
  </si>
  <si>
    <t>Rate per 2.16 sqm</t>
  </si>
  <si>
    <t>Double shutter window  900x1800 with fixed fan light of 500mm at top :</t>
  </si>
  <si>
    <t>Rate per 1.62 sqm</t>
  </si>
  <si>
    <t>Centre fixed both side openable shutter window 1800mmx1300mm :</t>
  </si>
  <si>
    <t>Window portion            TBSC-M.I-11</t>
  </si>
  <si>
    <t>Centre fixed both side openable shutter window 1500mmx1300mm :</t>
  </si>
  <si>
    <t>Window portion                           TBSC-M.I-10</t>
  </si>
  <si>
    <t>Double shutter window  1200mmx1300mm :</t>
  </si>
  <si>
    <t>Window portion                TBSC-M.I-09</t>
  </si>
  <si>
    <t>Double shutter window  900mmx1300mm:</t>
  </si>
  <si>
    <t>Window portion                  TBSC-M.I-09</t>
  </si>
  <si>
    <r>
      <t xml:space="preserve">Supply and fixing of pre-painted steel casement/openable windows </t>
    </r>
    <r>
      <rPr>
        <sz val="10"/>
        <rFont val="Arial"/>
        <family val="2"/>
        <charset val="1"/>
      </rPr>
      <t xml:space="preserve">base steel as per IS 513 of - 0.58mm thick 'D quality, galvanized as per IS 277, finish painted with a polyester paint, section for outer frame of 46 x 52 mm section for shutter of 46 x 46mm section for mullion 46 x 70 mm, and section for  beading 18 x 25 mm panelled with 5 mm thick plain float glass fitted with EPDM gaskets, handle made of high grade aluminium powder coated frames fixed to the concrete /masonry wall by means of self expanding screws including 10 mm square guard bars @ 150 mm pitch including overheads &amp;  contractors profit etc., complete for finished item of work.   </t>
    </r>
  </si>
  <si>
    <t>WINDOWS</t>
  </si>
  <si>
    <t>Centre fixed both side openable shutter window 1800x1800 with fixed fan light of 500mm at top :</t>
  </si>
  <si>
    <t>Window portion                               TBSC-M.I-04</t>
  </si>
  <si>
    <t>Fan light portion                               TBSC-N.I-02</t>
  </si>
  <si>
    <t>Centre fixed both side openable shutter window 1500x1800 with fixed fan light of 500mm at top :</t>
  </si>
  <si>
    <t>Double shutter window 1200x1800 with fixed fan light of 500mm at top :</t>
  </si>
  <si>
    <t>Window portion                                         TBSC-M.I-02</t>
  </si>
  <si>
    <t>Window portion                                     TBSC-M.I-02</t>
  </si>
  <si>
    <t>Fan light portion                                     TBSC-N.I-02</t>
  </si>
  <si>
    <t xml:space="preserve">Centre fixed both side openable shutter window 1800mmx1300mm : </t>
  </si>
  <si>
    <t>Rate as per SSR                                                         TBSC-M.I-04</t>
  </si>
  <si>
    <t xml:space="preserve">Centre fixed both side openable shutter window 1500mmx1300mm : </t>
  </si>
  <si>
    <t xml:space="preserve">Double shutter window 1200mmx1300mm : </t>
  </si>
  <si>
    <t xml:space="preserve">Double shutter window 900mmx1300mm : </t>
  </si>
  <si>
    <r>
      <t xml:space="preserve">Supply and fixing of pre-painted steel top hung ventilators </t>
    </r>
    <r>
      <rPr>
        <sz val="10"/>
        <rFont val="Arial"/>
        <family val="2"/>
        <charset val="1"/>
      </rPr>
      <t>made of pre-painted steel as per IS 513 of-0.58 mm thick 'D quality, galvanized as per IS 277, finish painted with a polyester paint &amp; 4 mm pinhead glass for ventilators with EPDM Gasket with handle made of high grade aluminium powder coated and nylon receiver, corner brackets made of CRCA with Zinc Phosphate, Mullion caps made of glass filled nylon, frames fixed to the concrete /masonry wall by means of self expanding screws including 10 mm square guard bars with 6 pitch complete for finished item of work including overheads &amp;  contractors profit etc., complete for finished item of work</t>
    </r>
  </si>
  <si>
    <r>
      <t xml:space="preserve">Top Hung </t>
    </r>
    <r>
      <rPr>
        <sz val="10"/>
        <rFont val="Arial"/>
        <family val="2"/>
        <charset val="1"/>
      </rPr>
      <t>2 '-0 x 2'-0 (609.6x609.6mm) outer frame section size of 46mm x 52 mm shutter frame section size of 46mm x 46 mm and (ii) Ventilators: Top Hung 4 '-0 x 2'-0 (1219.2x609.6mm) outer frame section size of 46 x 52 m shutter frame section size of 46 x 46 mm Mullion section size of 46 x 70 mm and (iii) Ventilators: Top Hung 4 '-0 x 3'-0 (1219.2x914.4mm) outer frame section size of 46 x 52m m shutter frame section size of 46 x 46 mm Mullion section size of 46 x 70 mm</t>
    </r>
  </si>
  <si>
    <r>
      <t xml:space="preserve">Rate as per SoR                                 </t>
    </r>
    <r>
      <rPr>
        <sz val="10"/>
        <rFont val="Arial"/>
        <family val="2"/>
        <charset val="1"/>
      </rPr>
      <t xml:space="preserve"> TBSC-M.III-01</t>
    </r>
  </si>
  <si>
    <r>
      <t xml:space="preserve">Fixed louvers </t>
    </r>
    <r>
      <rPr>
        <sz val="10"/>
        <rFont val="Arial"/>
        <family val="2"/>
        <charset val="1"/>
      </rPr>
      <t>2'-0 x 2'-0 (609.6 x 609.6mm) (Box section) outer frame section size of 33 x 56 mm and (ii) Ventilators: Fixed louvers 4'-0 x 2'-0 (1219.2 x 609.6 mm) (Box section) outer frame section size of 33 x 56 mm Mullion section size of 33 x 56 mm and (iii) Ventilators: Fixed louvers 4'-0 x 3'-0 (1219.2 x 914.4 mm) (Box section) outer frame section size of 33 x 56 mm Mullion section size of 33 x 56 mm</t>
    </r>
  </si>
  <si>
    <r>
      <t xml:space="preserve">Rate as per SoR                           </t>
    </r>
    <r>
      <rPr>
        <sz val="10"/>
        <rFont val="Arial"/>
        <family val="2"/>
        <charset val="1"/>
      </rPr>
      <t xml:space="preserve"> TBSC-M.III-02</t>
    </r>
  </si>
  <si>
    <r>
      <t xml:space="preserve">SSupplying and fixing of Unplasticised Poly Vinyl Chloride (UPVC) 2 Track–2 Panel Sliding windows  </t>
    </r>
    <r>
      <rPr>
        <sz val="10"/>
        <rFont val="Arial"/>
        <family val="2"/>
        <charset val="1"/>
      </rPr>
      <t>duly manufactured using UPVC reinforced profiles (Composition of profile shall consists a minimum of 5.5 PHR of TiO2 and not more than 12 PHR of CaCo3 for every 100 parts of PVC resin) of (62mm x 60 mm)/(60 mm x 45 mm) x 2.20 mm for outer frames, (66 mm x 38 mm)/(58 mm x 39 mm) x 2.20 mm for sliding shutter frames capable of mounting single glazing system, structurally reinforced with hot dip galvanized up to 50 microns of minimum thickness of 1.0/1.2 mm prefabricated &amp; welded through fusion welding. The window sash shall be fitted with 5 mm thick clear float glass of reputed make duly fixed with Grey colour TPV Gasket for sash &amp; Glazing bead shall be co-extruded with Grey colour soft PVC. System shall have single point locking with Touch Lock and the system is to be installed at the site using anchor fasteners, silicon rubber sealant, easy glazing/ deglazing at site etc., including cost and conveyance of all materials, accessories, labour charges for transportation, erection at site including overheads and contractors profit etc., complete for finished item of work.</t>
    </r>
  </si>
  <si>
    <t>Rate as per SSR                               TBSC-M.II-09</t>
  </si>
  <si>
    <r>
      <t xml:space="preserve">Supplying and fixing of Unplasticised Poly Vinyl Chloride (UPVC) 3 track sliding windows with mesh shutter – (2-glass shutters and 1-mesh shutter) </t>
    </r>
    <r>
      <rPr>
        <sz val="10"/>
        <rFont val="Arial"/>
        <family val="2"/>
        <charset val="1"/>
      </rPr>
      <t>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&amp;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&amp; Glazing bead shall be co-extruded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  overheads and contractors profit etc.,  complete for finished item of work</t>
    </r>
  </si>
  <si>
    <t>Rate as per SSR                                       TBSC-M.II-11</t>
  </si>
  <si>
    <r>
      <t xml:space="preserve">Supplying and fixing of Unplasticised Poly Vinyl Chloride (UPVC) casement windows openable shutters </t>
    </r>
    <r>
      <rPr>
        <sz val="10"/>
        <color indexed="10"/>
        <rFont val="Arial"/>
        <family val="2"/>
        <charset val="1"/>
      </rPr>
      <t>duly manufactured using UPVC reinforced profiles (Composition of profile shall consists aminimum of 5.5 PHR of TiO2 and not more than 12PHR of CaCo3 for every 100 parts of PVC resin) of 60mm x 55 mm x 2.40 mm for outer frames, 74 mm x 60mm x 2.40 mm for mullion sections for two or more openable shutters 75 mm x 60 mm x 2.40 mm for openable shutter frame capable of mounting single glazing system structurally reinforced with hot dip galvanized up to 50 microns of minimum thickness of 1.0/1.2 mm prefabricated &amp; welded through fusion welding. The window sash shall be fitted with 5 mm thick clear float glass of reputed make duly fixed with Grey colour TPV Gasket for sash &amp; Glazing bead shall be co-extruded with Grey colour soft PVC and accessories for casement window – friction hinges of stainless steel grade 304/430- 2 Nos., per sash, handle with zamak alloy casting 1 No. per sash, multipoint locking system suitably concealed 1 No., per sash provided with raiser wedges for smooth operation and the system is to be installed at the site using anchor fasteners, silicon rubber sealant, easy glazing/ deglazing at site etc., including cost and conveyance of all materials, accessories, labour charges for transportation, erection at site including  overheads and contractor profit etc., complete for finished item of work</t>
    </r>
  </si>
  <si>
    <t>In Circle office data 4mm thick pin headed glass used</t>
  </si>
  <si>
    <t>Rate as per SSR                                  TBSC-M.I-24</t>
  </si>
  <si>
    <r>
      <rPr>
        <b/>
        <sz val="10"/>
        <color indexed="8"/>
        <rFont val="Arial"/>
        <family val="2"/>
        <charset val="1"/>
      </rPr>
      <t xml:space="preserve">Providing, supplying &amp; fixing of Fixed Louvered Ventilator made out of multi chambered uPVC sections </t>
    </r>
    <r>
      <rPr>
        <sz val="10"/>
        <color indexed="8"/>
        <rFont val="Arial"/>
        <family val="2"/>
        <charset val="1"/>
      </rPr>
      <t>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&amp; Mullion shall be 2.4 mm., including cost and conveyance of all materials, accessories, labour charges for transportation, erection at site including</t>
    </r>
    <r>
      <rPr>
        <b/>
        <sz val="10"/>
        <color indexed="8"/>
        <rFont val="Arial"/>
        <family val="2"/>
        <charset val="1"/>
      </rPr>
      <t xml:space="preserve"> </t>
    </r>
    <r>
      <rPr>
        <sz val="10"/>
        <color indexed="8"/>
        <rFont val="Arial"/>
        <family val="2"/>
        <charset val="1"/>
      </rPr>
      <t>overheads and contractor profit etc., complete for finished item of work</t>
    </r>
  </si>
  <si>
    <t>Rate as per SSR                       TBSC-M.III-07</t>
  </si>
  <si>
    <r>
      <rPr>
        <b/>
        <sz val="10"/>
        <color indexed="10"/>
        <rFont val="Arial"/>
        <family val="2"/>
        <charset val="1"/>
      </rPr>
      <t xml:space="preserve">Providing, supplying &amp; fixing of Top hung Ventilator with Exhaust Fan provision </t>
    </r>
    <r>
      <rPr>
        <sz val="10"/>
        <color indexed="10"/>
        <rFont val="Arial"/>
        <family val="2"/>
        <charset val="1"/>
      </rPr>
      <t>made out of multi chambered uPVC sections with TPV Gasket for sash &amp; Glazing bead shall be co-extruded with Grey colour soft PVC and reinforced with Galvanized Iron profiles throughout the window. The outer frame having a overall size of 60mm x 55 mm x 2.40 mm with reinforcement of 1 mm thickness, Mullion with overall size of 74 mm x 60 mm x 2.40 mm with reinforcement of 1 mm thickness and Sash with overall size of 75 mm x 60 mm x 2.40 mm with reinforcement of 1.0/1.2 mm thickness. (Composition of profile shall consists a minimum of 5.5 PHR of TiO2 and not more than 12 PHR of CaCo3 for every 100 parts of PVC resin).Glazing bead for fixing of glass shall be of size 34 x 20 mm coextruded with soft PVC gasket. Ventilator shall be provided with 4.5 mm Pin Head glass, standard hardware, single point locking using cockspur handle and friction stays. Wall thickness of frame, mullion and sash shall be 2.4mm.,including cost and conveyance of all materials,accessories, labour charges for transportation, erection at site including overheads and contractor profit etc., complete for finished item of work</t>
    </r>
  </si>
  <si>
    <t>Rate as per SSR                                TBSC-M.III-08</t>
  </si>
  <si>
    <r>
      <rPr>
        <b/>
        <sz val="10"/>
        <color indexed="10"/>
        <rFont val="Arial"/>
        <family val="2"/>
        <charset val="1"/>
      </rPr>
      <t>Supplying and fixing of 7.5mm thick Aluminium Grill (as approved by the department) 3.58 Kg/Sqm</t>
    </r>
    <r>
      <rPr>
        <sz val="10"/>
        <color indexed="10"/>
        <rFont val="Arial"/>
        <family val="2"/>
        <charset val="1"/>
      </rPr>
      <t xml:space="preserve"> including cost and conveyance of all materials, accessories, labour charges for transportation, erection at site, overheads and contractor profit etc., complete for finished item of work</t>
    </r>
  </si>
  <si>
    <t>Rate as per SSR                                    TBSC-R.I-24</t>
  </si>
  <si>
    <t xml:space="preserve">Supplying and fixing of  to windows / in open court yards using 25mm x 6mm MS flat alround and 10mm MS square bars horizontally at 125mm centre to centre and vertically at 300mm centre to centre including fixing with 4 Nos of MS  Z holdfasts (2 on each side) duly making cutting brick masonry, fixing and making to original surface neatly and painting grill with one coat of red oxide primer including cost all taxes and conveyance of all materials including cutting, bending, welding including all operational charges and all labour charges etc., complete for finished item of work. </t>
  </si>
  <si>
    <t>For1.80mx1.40m size</t>
  </si>
  <si>
    <t>Quantity  Anailysis</t>
  </si>
  <si>
    <t>Cost of 25mm x 6mm MS flat alround</t>
  </si>
  <si>
    <t>2 ( 1.80+ 1.40 )</t>
  </si>
  <si>
    <t>6.40 RM @ 1.80 Kgs/RM</t>
  </si>
  <si>
    <t>Cost of 10mm M.S square bars @0.785 kg /RM</t>
  </si>
  <si>
    <t>Vertical bars  6</t>
  </si>
  <si>
    <t>17 x 1.40</t>
  </si>
  <si>
    <t xml:space="preserve">Horizontal bars    13 </t>
  </si>
  <si>
    <t>13 x 1.80</t>
  </si>
  <si>
    <t>Cost of 10mm MS squre bars                 (RMR)</t>
  </si>
  <si>
    <t>Cost of  25X 6mm MS Flat                  (RMR)</t>
  </si>
  <si>
    <t>Cost of MS Z hold fasts</t>
  </si>
  <si>
    <t>Labour charges for fabrication of steel   TBSC-T.I-16</t>
  </si>
  <si>
    <t>Labour charges for fixing                            TBSC-T.I-17</t>
  </si>
  <si>
    <t>Rate per 3.06 Sqm</t>
  </si>
  <si>
    <r>
      <rPr>
        <b/>
        <sz val="10"/>
        <color indexed="10"/>
        <rFont val="Arial"/>
        <family val="2"/>
        <charset val="1"/>
      </rPr>
      <t xml:space="preserve">Providing and Fixing Pre painted Steel Sliding Window 2 Track-2 Panel Sliding Window </t>
    </r>
    <r>
      <rPr>
        <sz val="10"/>
        <color indexed="10"/>
        <rFont val="Arial"/>
        <family val="2"/>
        <charset val="1"/>
      </rPr>
      <t xml:space="preserve">fabricated from Roll formed sections made of galvanized Steel colour coated/powder coated (Base Steel as per IS 513 ‘D’ quality, galvanized as per IS 277 with zinc of 120 GM/Sq.mtr) with total coated thickness of 0.58mm. Primer coat with epoxy primer of 5-7microns thick, finish painted with a polyester paint of 12-16 microns thick and back coated with Alkydbacker of 5-7 microns or powder coated with purepolyester powder up to 50-60 microns thick. Sectionfor external frame should be of 59x44mm, Section for shutter should be of 35x50mm. The windows should be paneled with 5mm thick plain float glass. Corner bracket for internal and external frame made of glass filled nylon. Gaskets are to be made of EthylPropylene Diamine Monomer (EPDM).The sections are to be cut to length, joined and assembled by means of corner bracket. The above frames should be fixed to the concrete/masonry walls by means of self expanding brackets &amp; screws including 10mm square guard bars with 6” pitch (152.4mm) including overheads &amp;  contractors profit etc., complete finished item of work.      </t>
    </r>
  </si>
  <si>
    <t>Rate as per SSR                                   TBSC-M.II-01</t>
  </si>
  <si>
    <r>
      <rPr>
        <b/>
        <sz val="10"/>
        <color indexed="10"/>
        <rFont val="Arial"/>
        <family val="2"/>
        <charset val="1"/>
      </rPr>
      <t>Supply and fixing</t>
    </r>
    <r>
      <rPr>
        <sz val="10"/>
        <color indexed="10"/>
        <rFont val="Arial"/>
        <family val="2"/>
        <charset val="1"/>
      </rPr>
      <t xml:space="preserve"> </t>
    </r>
    <r>
      <rPr>
        <b/>
        <sz val="10"/>
        <color indexed="10"/>
        <rFont val="Arial"/>
        <family val="2"/>
        <charset val="1"/>
      </rPr>
      <t>powder coated alimunium fully</t>
    </r>
    <r>
      <rPr>
        <sz val="10"/>
        <color indexed="10"/>
        <rFont val="Arial"/>
        <family val="2"/>
        <charset val="1"/>
      </rPr>
      <t xml:space="preserve"> </t>
    </r>
    <r>
      <rPr>
        <b/>
        <sz val="10"/>
        <color indexed="10"/>
        <rFont val="Arial"/>
        <family val="2"/>
        <charset val="1"/>
      </rPr>
      <t>glazed 2 shutter windows with fixed panel in between openable shutters</t>
    </r>
    <r>
      <rPr>
        <sz val="10"/>
        <color indexed="10"/>
        <rFont val="Arial"/>
        <family val="2"/>
        <charset val="1"/>
      </rPr>
      <t xml:space="preserve"> as per approved drawings using anodized aluminium sections of 38.50mm x 33mm , 3mm thick for outer frame,  59mm(3mm) x 33mm(2.5mm) x 30mm(3mm) for  mullions and 38.5mm x 33mm , 3mm thick for shutter frame , powder coating of alluminium sections 25mm microns thick and fixing   5 mm thick plain glass fitted with suitable aluminium galzing clips and rubber beading including supplying and fixing powder coated aluminium adjustable frictional stay hinges (2 Nos. per shutter), handle with lock (1 No. per shutter) including cost and conveyance to site of powder coated aluminium sections,  glass, rubber beading, fixtures etc., including labour charges for manufacturing window, fixing in position using wooden blocks and sheet metal screws, etc., complete for finished item of work in all floors. (The aluminium sections used shall be standard make confirming to IS 1948-1961 and as approved by the Engineer and fixtures shall be of ISI marked) </t>
    </r>
    <r>
      <rPr>
        <b/>
        <sz val="10"/>
        <color indexed="10"/>
        <rFont val="Arial"/>
        <family val="2"/>
        <charset val="1"/>
      </rPr>
      <t>(1800mm x 1300mm).</t>
    </r>
  </si>
  <si>
    <t>1.80m x 1.30m</t>
  </si>
  <si>
    <t>1) Outer frame  ( 38.50mm x 33mm,   3mm thick )</t>
  </si>
  <si>
    <t>2 ( 1.80 + 1.30 )</t>
  </si>
  <si>
    <t>6.20 RM @ 0.775 Kgs / RM</t>
  </si>
  <si>
    <t>2) Mullions[59mm (3mm) x 33mm (2.50mm) x 30mm (3mm) ]</t>
  </si>
  <si>
    <t>2 x 1.30</t>
  </si>
  <si>
    <t>2.60 RM @ 1.123 Kgs / RM</t>
  </si>
  <si>
    <t>3) Shutters Z Section (38.50mm x 33mm x 3mm thick</t>
  </si>
  <si>
    <t xml:space="preserve">3x2(0.60 +1.30) </t>
  </si>
  <si>
    <t>= 11.40 RM @ 0.663 Kgs/ RM</t>
  </si>
  <si>
    <t>4) Glazing clips</t>
  </si>
  <si>
    <t>3x2(0.60+1.30)</t>
  </si>
  <si>
    <t xml:space="preserve">= 11.40 RM @ 0.101 Kgs /RM  </t>
  </si>
  <si>
    <t>Cost of powder coated  Al. sections        TBSC-R.I-03</t>
  </si>
  <si>
    <t>Cost of 5mm thick plain glass                   TBSC-F.I-02</t>
  </si>
  <si>
    <t>sq.m.</t>
  </si>
  <si>
    <t>Cost of rubber beading                               TBSC-R.I-11</t>
  </si>
  <si>
    <t>Cost of Al. friction stay hinges                TBSC-P.II-15</t>
  </si>
  <si>
    <t>Cost of Al. lock with handle                       Non SSR</t>
  </si>
  <si>
    <t>Sqm.</t>
  </si>
  <si>
    <t xml:space="preserve">Add for Screws, Nails,  etc., </t>
  </si>
  <si>
    <t xml:space="preserve">Rate per 2.34 Sqm: </t>
  </si>
  <si>
    <r>
      <rPr>
        <b/>
        <sz val="10"/>
        <color indexed="10"/>
        <rFont val="Arial"/>
        <family val="2"/>
        <charset val="1"/>
      </rPr>
      <t>Supply and fixing</t>
    </r>
    <r>
      <rPr>
        <sz val="10"/>
        <color indexed="10"/>
        <rFont val="Arial"/>
        <family val="2"/>
        <charset val="1"/>
      </rPr>
      <t xml:space="preserve"> </t>
    </r>
    <r>
      <rPr>
        <b/>
        <sz val="10"/>
        <color indexed="10"/>
        <rFont val="Arial"/>
        <family val="2"/>
        <charset val="1"/>
      </rPr>
      <t>powder coated alimunium fully</t>
    </r>
    <r>
      <rPr>
        <sz val="10"/>
        <color indexed="10"/>
        <rFont val="Arial"/>
        <family val="2"/>
        <charset val="1"/>
      </rPr>
      <t xml:space="preserve"> </t>
    </r>
    <r>
      <rPr>
        <b/>
        <sz val="10"/>
        <color indexed="10"/>
        <rFont val="Arial"/>
        <family val="2"/>
        <charset val="1"/>
      </rPr>
      <t xml:space="preserve">glazed top hung ventilators </t>
    </r>
    <r>
      <rPr>
        <sz val="10"/>
        <color indexed="10"/>
        <rFont val="Arial"/>
        <family val="2"/>
        <charset val="1"/>
      </rPr>
      <t>fixed with 5mm thick plain glass using suitable alluminium glazing clips and rubber beading as per approved drawings using anodized aluminium sections of 38.50mm x 33mm , 3mm thick for outer frame,  59mm (3mm) x 33mm(2.5mm) x 30mm(3mm) for  mullions shutters z section of 38.50mmx33mm,3mm thick,powder coating of all alluminium sections 25mm microns thick, including cost and conveyance to site of powder coated aluminium sections,  glass, rubber beading, fixtures etc., including labour charges for manufacturing window, fixing in position using wooden blocks and sheet metal screws, etc., complete for finished item of work.  (The aluminium sections used shall be standard make confirming to IS 1948-1961 and as approved by the Engineer and fixtures shall be of ISI marked)</t>
    </r>
    <r>
      <rPr>
        <b/>
        <sz val="10"/>
        <color indexed="10"/>
        <rFont val="Arial"/>
        <family val="2"/>
        <charset val="1"/>
      </rPr>
      <t xml:space="preserve"> 
(900mm x 500mm). </t>
    </r>
  </si>
  <si>
    <t>0.90mx 0.50m</t>
  </si>
  <si>
    <t>2 ( 0.90 + 0.50 )</t>
  </si>
  <si>
    <t>= 2.80 RM @ 0.775 Kgs / RM</t>
  </si>
  <si>
    <t>2) Shutters Z Section (38.50mm x 33mm x 3mm thick</t>
  </si>
  <si>
    <t>2x2(0.45+0.50)</t>
  </si>
  <si>
    <t>= 3.80 RM @ 0.663 Kgs / RM</t>
  </si>
  <si>
    <t>3) Glazing clips</t>
  </si>
  <si>
    <t xml:space="preserve">= 3.80 RM @ 0.101 Kgs /RM.  </t>
  </si>
  <si>
    <t>Cost of powder coated  Al. sections       TBSC-R.I-03</t>
  </si>
  <si>
    <t xml:space="preserve">Add for Screws, Nails, Nuts, Bolts </t>
  </si>
  <si>
    <t xml:space="preserve">Rate per 0.45 Sqm </t>
  </si>
  <si>
    <t xml:space="preserve">Rate per 1 Sqm </t>
  </si>
  <si>
    <r>
      <rPr>
        <b/>
        <sz val="10"/>
        <color indexed="10"/>
        <rFont val="Arial"/>
        <family val="2"/>
        <charset val="1"/>
      </rPr>
      <t>Supply and fixing</t>
    </r>
    <r>
      <rPr>
        <sz val="10"/>
        <color indexed="10"/>
        <rFont val="Arial"/>
        <family val="2"/>
        <charset val="1"/>
      </rPr>
      <t xml:space="preserve">  </t>
    </r>
    <r>
      <rPr>
        <b/>
        <sz val="10"/>
        <color indexed="10"/>
        <rFont val="Arial"/>
        <family val="2"/>
        <charset val="1"/>
      </rPr>
      <t xml:space="preserve">powder coated alimunium sliding window </t>
    </r>
    <r>
      <rPr>
        <sz val="10"/>
        <color indexed="10"/>
        <rFont val="Arial"/>
        <family val="2"/>
        <charset val="1"/>
      </rPr>
      <t xml:space="preserve"> with fixed fan light at top as per approved drawings with all required accessories such as stoppers,bolts,weather stripping etc. for all sizes and sections in accordance with approved drawings and as per IS 1948-1961 with top section of window of size 62mm x 32mm ,1.47mm thick, window side  frames of size 61.85mm x 31.75mm,1.50mm thick and bottom frame size 61.85mm x 31.75mm,1.50mm thick sloping outwards for drainage and fixed and sliding shutters with bottom,sides and top with section of 40mm x 18mm ,1.70mm thick,inter locking section 40mm x 28mm x 18mm,1.60mm thick inter locked for weather scaling and mounted on nylon rollers of lift type  and fan light top &amp;side</t>
    </r>
  </si>
  <si>
    <r>
      <rPr>
        <sz val="10"/>
        <color indexed="10"/>
        <rFont val="Arial"/>
        <family val="2"/>
        <charset val="1"/>
      </rPr>
      <t xml:space="preserve">ections of size 63.50mmx38.10mm,1.53mm thick, powder coating of all alluminium sections 25mm microns thick and fixing 5mm thick plain glass  in fan light and for shutters fitted with  alluminium glazing clips and rubber beading including cost and conveyance to site of powder coated aluminium sections,  glass, rubber beading, fixtures etc., including labour  charges for manufacturing window, fixing in position using wooden blocks and sheet metal screws, overheads &amp; contractors profit etc., complete for finished item of work.  (The aluminium sections used shall be standard make confirming to IS 1948-1961 and as approved by the Engineer and fixtures shall be of ISI marked)  </t>
    </r>
    <r>
      <rPr>
        <b/>
        <sz val="10"/>
        <color indexed="10"/>
        <rFont val="Arial"/>
        <family val="2"/>
        <charset val="1"/>
      </rPr>
      <t>(1800mm x 1800mm).</t>
    </r>
  </si>
  <si>
    <t>(BLD-CSTN-13-30 &amp; S.No.10 of SoR , page 395)</t>
  </si>
  <si>
    <t>Size</t>
  </si>
  <si>
    <t>1.80m x 1.80m</t>
  </si>
  <si>
    <t>Window frame</t>
  </si>
  <si>
    <t>bottom : (8932)</t>
  </si>
  <si>
    <t>1.80m    x</t>
  </si>
  <si>
    <t>sides : (8931)</t>
  </si>
  <si>
    <t>2 x 1.30m    x</t>
  </si>
  <si>
    <t>top : (8992)</t>
  </si>
  <si>
    <t>1.80m         x</t>
  </si>
  <si>
    <t>fan light sides &amp; top(4687)     2x0.50+</t>
  </si>
  <si>
    <t>(1.80+2 x 0.50) x</t>
  </si>
  <si>
    <t>Window shutters</t>
  </si>
  <si>
    <t>bottom : (8603)</t>
  </si>
  <si>
    <t>3 x 0.60m      x</t>
  </si>
  <si>
    <t>plain sides &amp; top : (8604)</t>
  </si>
  <si>
    <t>3 (1.30+0.60)</t>
  </si>
  <si>
    <t>x        0.522</t>
  </si>
  <si>
    <t>sides inter locking : (8602)</t>
  </si>
  <si>
    <t>3 x 1.30m    x</t>
  </si>
  <si>
    <t>3x2(0.60+0.50)+3x2x(0.60+1.30)=</t>
  </si>
  <si>
    <t xml:space="preserve">= 18.00 RM @ 0.101 Kgs /RM  </t>
  </si>
  <si>
    <t xml:space="preserve">Rate per 3.06 Sqm: </t>
  </si>
  <si>
    <r>
      <t>Supply and fixing</t>
    </r>
    <r>
      <rPr>
        <sz val="10"/>
        <color indexed="10"/>
        <rFont val="Arial"/>
        <family val="2"/>
        <charset val="1"/>
      </rPr>
      <t xml:space="preserve"> </t>
    </r>
    <r>
      <rPr>
        <b/>
        <sz val="10"/>
        <color indexed="10"/>
        <rFont val="Arial"/>
        <family val="2"/>
        <charset val="1"/>
      </rPr>
      <t xml:space="preserve">powder coated alimunium sliding window </t>
    </r>
    <r>
      <rPr>
        <sz val="10"/>
        <color indexed="10"/>
        <rFont val="Arial"/>
        <family val="2"/>
        <charset val="1"/>
      </rPr>
      <t xml:space="preserve"> with fixed fan light at top as per approved drawings with all required accessories such as stoppers,bolts,weather stripping etc. for all sizes and sections in accordance with approved drawings and as per IS 1948-1961 with top section of window of size 62mm x 32mm ,1.47mm thick, window side  frames of size 61.85mm x 31.75mm,1.50mm thick and bottom frame size 61.85mm x 31.75mm,1.50mm thick sloping outwards for drainage and fixed and sliding shutters with bottom,sides and top with section of 40mm x 18mm ,1.70mm thick,inter locking section 40mm x 28mm x 18mm,1.60mm thick inter locked for weather scaling and mounted on nylon rollers of lift type and fan light top &amp;side sections of size 63.50mmx38.10mm,1.53mm thick, powder coating of all alluminium sections 25mm microns thick </t>
    </r>
  </si>
  <si>
    <r>
      <t xml:space="preserve">and fixing 5mm thick plain glass in fan light and 5mm thick ground glass for shutters fitted with alluminium glazing clips and rubber beading, powder coating of all alluminium sections 25mm microns thick including cost and conveyance to site of powder coated aluminium sections,  glass, rubber beading , fixtures etc., including labour charges for manufacturing window, fixing in position using wooden blocks and sheet metal screws, overheads &amp; contractors profit etc., complete for finished item of work.  (The aluminium sections used shall be standard make confirming to IS 1948-1961 and as approved by the Engineer and fixtures shall be of ISI marked) 
</t>
    </r>
    <r>
      <rPr>
        <b/>
        <sz val="10"/>
        <color indexed="10"/>
        <rFont val="Arial"/>
        <family val="2"/>
        <charset val="1"/>
      </rPr>
      <t>(1200mm x 1800mm)</t>
    </r>
  </si>
  <si>
    <t>1.20m x 1.80m</t>
  </si>
  <si>
    <t>bottom : (20830)</t>
  </si>
  <si>
    <t>1.20 m        x</t>
  </si>
  <si>
    <t>sides : (20829)</t>
  </si>
  <si>
    <t>2 x 1.30m   x</t>
  </si>
  <si>
    <t>top : (20888)</t>
  </si>
  <si>
    <t>fan light sides&amp;top(4687)     2x0.50+</t>
  </si>
  <si>
    <t xml:space="preserve">1.20+2x 0.50  </t>
  </si>
  <si>
    <t>3 x 0.40m       x</t>
  </si>
  <si>
    <t xml:space="preserve"> plain sides &amp; top : (8604)</t>
  </si>
  <si>
    <t>3 (1.30+0.40)x</t>
  </si>
  <si>
    <t>3 x 1.30m   x</t>
  </si>
  <si>
    <t>3x2(0.40+0.50)+3x2x(0.40+1.30)</t>
  </si>
  <si>
    <t xml:space="preserve">= 15.60 RM @ 0.101 Kgs /RM  </t>
  </si>
  <si>
    <t xml:space="preserve">Cost of powder coated  Al. sections </t>
  </si>
  <si>
    <t>Cost of 5mm thick plain glass             TBSC-F.I-02</t>
  </si>
  <si>
    <t>Cost of rubber beading                         TBSC-R.I-11</t>
  </si>
  <si>
    <t xml:space="preserve">Rate per 2.16 Sqm: </t>
  </si>
  <si>
    <r>
      <rPr>
        <b/>
        <sz val="10"/>
        <color indexed="10"/>
        <rFont val="Arial"/>
        <family val="2"/>
        <charset val="1"/>
      </rPr>
      <t xml:space="preserve">Supply and fixing of Cement Bonded Prelaminated Particle Board aluminum glazed partitions </t>
    </r>
    <r>
      <rPr>
        <sz val="10"/>
        <color indexed="10"/>
        <rFont val="Arial"/>
        <family val="2"/>
        <charset val="1"/>
      </rPr>
      <t>using 10mm Cement Bonded Prelaminated Particle Board and 5.00mm thick plain glass to full height. Using with Cement Bonded Prelaminated Particle Board to a height of 0.91 meter at bottom panel and remaining height with glass and aluminum sections anodized to 12 to 15 microns and of sections of size 37mm x 62mm and 1.5mm thickness with one meter centre to centre duly fixed with clip beading on both sides including fixing the frame to pillars by M.S. flats, bolts and nuts including cost and conveyance of all materials etc., complete as directed during execution  including overheads &amp; contractors profit etc., complete for finished item of work</t>
    </r>
  </si>
  <si>
    <t>Rate as per SSR                                TBSC-K.IV-13</t>
  </si>
  <si>
    <t>Supplying and fixing of Unplasticised Poly Vinyl Chloride (UPVC) Fixed Glazing - 56 series duly manufactured using UPVC reinforced profiles of 60 mm x 56 mm x 2.25 mm for outer frames and the mullion sections are of 60 mm x 70 mm x 2.25 mm frames are structurally reinforced with hot dip galvanized up to 50 microns of minimum thickness of 1.2 mm the sash shall be fitted with 4 mm thick pinheaded glass of reputed make duly fixed with EPDM weathering seal resistant including cost and conveyance of all materials, accessories, labour charges for transportation, erection at site with templates for casement sizing scaffolding including overheads and contractor profit etc., complete for finished item of work.</t>
  </si>
  <si>
    <t>Rate as per SoR                                             TBSC-N.I-04</t>
  </si>
  <si>
    <r>
      <rPr>
        <b/>
        <sz val="10"/>
        <color indexed="10"/>
        <rFont val="Arial"/>
        <family val="2"/>
        <charset val="1"/>
      </rPr>
      <t>Supplying and fixing of two shutter cupboards</t>
    </r>
    <r>
      <rPr>
        <sz val="10"/>
        <color indexed="10"/>
        <rFont val="Arial"/>
        <family val="2"/>
        <charset val="1"/>
      </rPr>
      <t xml:space="preserve"> as per drawing with medium teak wood frames of size 75mm x 40mm and MDF Board Interior grade both sides laminated 18mm thick for shutters with 18mm x 12mm  teak wood beading alround and  supplying and fixing powder coated MS fixtures  3 Nos. butt hinges of size 100mm long(for each shutter), tower bolt 2 Nos. of 100mm x 10mm, 2 Nos of handles 100mm long and standard locking arrangements for shutters including cost and conveyance of all materials to site, labour charges, over heads and contractor profit etc., complete for finished item of work.</t>
    </r>
  </si>
  <si>
    <t>For Cup board of size 1.20m x 1.80m</t>
  </si>
  <si>
    <t>Cost of medium teak wood frame           TBSC-D.I-01</t>
  </si>
  <si>
    <t>MDF Board Interior - BSL 18mm thick TBSC-H.III-43</t>
  </si>
  <si>
    <t xml:space="preserve"> Sqm</t>
  </si>
  <si>
    <t>Powder coated butt hinges 100mm longTBSC-P.II-10</t>
  </si>
  <si>
    <t>Powder coated tower bolts 100mm long TBSC-P.I-14</t>
  </si>
  <si>
    <t>Powder coated handles 100mm long  Non SSR items</t>
  </si>
  <si>
    <t>Teak wood beading 18mm x 12mm      Non SSR items</t>
  </si>
  <si>
    <t>Cupboard locks                                          Non SSR items</t>
  </si>
  <si>
    <t>Labour charges for shutters and fixing fixtures</t>
  </si>
  <si>
    <t>Add LS for Screws, Nails etc.</t>
  </si>
  <si>
    <t>Rate per 2.16 Sqm</t>
  </si>
  <si>
    <t xml:space="preserve">Refixing of MS gate with all required accessories of all materials etc., including cost &amp; conveyance of all materials etc., complete finished item of work </t>
  </si>
  <si>
    <t>Rate as per SSR  TBSC-T.I-55</t>
  </si>
  <si>
    <t>Providing of Factory made prelaminated FPVC (Foamed Polyvinyl Chloride) Door frame of the size 105x40mm with a wall thickness of 10mm made out of extruded rigid FPVC profile mitre joined with 6 Nos. of 50mm long screw. The door frame shall be fixed to the wall by using 80mm long screws through the frame with the help of PVC fasteners of 3 no's to be provided for each
vertical member, GI stiffeners of ("U" channel of size 29x9x1mm, 150mm long) -3 no's at hinge point, Frame reinforcement of("U" GI channel of size 46x22x.06mm),Bottom tie rod of ("U" GI channel size of 15x15x1mm) etc. complete as per manufacturers specification for finished item of work. Maximum door frame size : 980 x 2070 including providing of 35mm thick Factory made
Prelaminated ABS (Acrylonitrile Butadiene Styrene) Door shutter moulded in different designs, consisting of all round Frame made out of water proof solid foam PVC bar of size 20x32mm, reinforced by 32x 32mm - 2 nos. for vertical made out of LVL (Laminated Veneer Lumber),
core material of 32 mm thick high density craft paper honey comb board, sandwiched on both sides with prelaminated ABS sheet thickness of 1.5mm . PVC edge banding of size 0.45mm on the vertical sides. Hardware made out of steel coated butterfly hinges - 3 Nos. for each shutter and ISI make S.S round lock completes for finished item of work. Maximum shutter size of : 910 x 2030 mm</t>
  </si>
  <si>
    <t>Rate as per SSR -2022-23 -    TBSC-L.III-28</t>
  </si>
  <si>
    <t>Providing, Fabricating and fixing full height V-board partitions of overall thickness of 75mm Partition frame work to be formed out of 50 X 25mm aluminium frame work placed vertically and horizontally at required centre to centre and cross braced with floor and ceiling channels. The cross bracing channels shall be provided also at above and below the partition framework and to be secured to floor at bottom and to any nearest structural member using galvanized metal screws and wooden / PVC rawl plugs. Partition framework to be cladded with 12.5mm thick tapered edge board on both sides of the partition in line and level fixed with drywall screws @ 300mm c/c with staggered joints to avoid through joints and finished with proprietary supplied jointing tape and compound.</t>
  </si>
  <si>
    <t>Fowler Two Function Bed with ABS Panel, ABS Side Railings, Wheels, Mattress Pillow, &amp; Bed Fixing IV Road Features (Knee rest &amp; Backrest) Size-L,84, W-42, H-24. The finished bed must be rust proof, pre-treated and treated with epoxy polyester antimicrobial powder coated to increase the bacteriostatic property. The bed must be quoted with washable cover of lasting quality. The mattress should be made of high-density PU foam of 100 mm thickness.</t>
  </si>
  <si>
    <t>Corporate Deluxe Locker with SS 304 grade Top of size 508 x 406 x 762 mm having 1 drawer and an adequate storage space with openable door with SS handle. Equipped with wheels for easy movement.</t>
  </si>
  <si>
    <t>Bed side stand with full SS 304 grade constructionof size 406 x 203 x 762 mm equipped with SS Handles on top for carrying.</t>
  </si>
  <si>
    <t>Bed side stand with full GI Powder coated constructionof size 406 x 203 x 762 mm equipped with powder coated handles on top for carrying.</t>
  </si>
  <si>
    <t xml:space="preserve">Bed side Table with ABS Plastic body construction having 1 drawer and an adequated space with openable door with handle of size </t>
  </si>
  <si>
    <t>SITC  of  CPVC  drain  ping  with  supports,  clamps   of  the  following  size. 25mm Dia at Gandhi Hospital</t>
  </si>
  <si>
    <t>Supply, Installation and Commissioning of Addressable fire alarm Panel which consists of display board which will have 160 Character Display with Touch key pad, Mother board which will have ARM CORTEX M3 32 Bit Processor, Inbuilt RS-485 Networking Circuit for peer to peer networking, Inbuilt USB 2.0 Port for upload and download the Configuration tools, Two inbuilt programmable inputs, Two inbuilt NAC's, and Three Programmable Relays, and 4 Loop Card circuits. power Supply, Installation and Commissioning Board which will have SMPS fully protected board, which its operates on 120 to 220V AC ‡ 10% with 50/60 Hz, battery backup 24V DC with built-in charger. the panel have IP-50 rating Optional: for BMS integration thru MODBUS converter, Graphical Software, Software for TCP/IP Module, provision for GSM based Auto dialler, provision for printer thru compatible module, Approval: UL Listed, Make: Ravel</t>
  </si>
  <si>
    <t>Supply and installation of Stainless Steel 304 grade CSSD Rectangular Working table of size 1200x480x1050 mm with inbuilt sink of size 450x380x300 mm equipped with jali at bottom to stop any large particles entering into the drain to avoid drain clog. The table to be designed with raised front section and provision of SS sheet at foot level of the table forming a flat surface for storing/placing of items. The table to be of ready to use with all necessary fittings.</t>
  </si>
  <si>
    <t>3-Bay Surgical Scrub Station/Sink to be provided for use in the OT complex providing for pre-procedural scrub up with minimum three bay sink combination as suitable. The Scrub Station shall be made of Stainless Steel of 304 grade sheet with minimum thickness of 1.5mm and designed as per the high aesthetics of the theatre complex. Shall have smoothened surfaces &amp; corners. The scrub sink shall be provided with a front access panel which shall be easily removed for access to the water-controlled valve, waste connections, stoppers &amp; strainers. The Scrub station should be equipped with two foot operated and one elbow operated mechanisms. Shall have provision for fresh water and waste water piping ready for connections.</t>
  </si>
  <si>
    <t>Supply of Sample collection bed of size 1850x620x700 mm, featuring plain design equipped with 1 drawer and storage space with openable door type with SS-304 grade handles positioned at head side of the bed. The material of construction of the bed to be of Powder coated GI for entire body. All the legs of the bed to be capped with nylon bushes. The finished bed must be rust proof, pre-treated and treated with epoxy polyester antimicrobial powder coated to increase the bacteriostatic property. The bed must be quoted with washable cover of lasting quality. The mattress should be made of high-density PU foam of 100 mm thickness.</t>
  </si>
  <si>
    <t>Supply of a Sample collection chair of size 800x580x700 mm, meeting medical standards, featuring adjustable height and tilt padded armrests, and durable upholstery, suitable for comfortable patient positioning during blood donation or phlebotomy procedures. The chair is made from mild steel with good finish. The chair to be of easy to manoeuvre and transport and of light weight.</t>
  </si>
  <si>
    <t>SS-304 working table of size 685x685x762 mm with I type support inner frame SS-304 pipe of size 40x40x1.5 mm, and top with 1.5 mm thick SS-304 sheet. All four legs equipped with adjustable nylone bushes.</t>
  </si>
  <si>
    <t>SS-304 working table of size 457x457x762 mm with I type support inner frame SS-304 pipe of size 40x40x1.5 mm, and top with 1.5 mm thick SS-304 sheet. All four legs equipped with adjustable nylone bushes.</t>
  </si>
  <si>
    <t>SS-304 working table of size 610x610x762 mm with I type support inner frame SS-304 pipe of size 40x40x1.5 mm, and top with 1.5 mm thick SS-304 sheet. All four legs equipped with adjustable nylone bushes.</t>
  </si>
  <si>
    <t>SS-304 working table of size 660x610x762 mm with I type support inner frame SS-304 pipe of size 40x40x1.5 mm, and top with 1.5 mm thick SS-304 sheet. All four legs equipped with adjustable nylone bushes.</t>
  </si>
  <si>
    <t>Writing board made of Pressed wood coated with melamine surface. It has 900mm writing surface height, 1200mm writing surface wide, and 11mm deep, suitable for working on dry wipe board markers. It has an aluminium frame with dark grey plastic corner caps and maker tray. It is enabled with an easy wall mounting with a concealed slot system. It can be mounted either horizontally or vertically. IT consists of a complete mounting set, marker tray, and a board marker</t>
  </si>
  <si>
    <t>Providing MDF 18 mm thick wooden table of size 900x450 mm with 1 drawer at right side of the table. The table includes keyboard tray. Bottom equipped with nylone bushes for floor protection and easy movement.</t>
  </si>
  <si>
    <t>Condensing units - VRF/VRV System : Supply, Installation, Nitrogen testing,  Vacuuming  and  Commissioning  of  air  cooled  variable  refrigerant  flow modular   type   condensing   units,   each   comprising   of   multiple   scroll compressors  all  inverter  driven,  full   charge  of  refrigerant  gas   R-410a including additional gas filling , lubricating oil and all accessories as per the specifications.  The  condensing  units  shall  be  suitable  to  work  on  cooling mode.  The  minimum  Energy  Efficiency  Ratio  shall  be  as  per  ASHRAE STANDARDS  90.1  -2001  table  6.2.1B  .  The  COP  of  the  system  shall  be greater   than   4   under   ARI   conditions   for   100percentage   load   .   The condensing  units  shall  be  suitable  for  operation  on  415   plus  or  minus 10percentage volts, 50Hz, 3 phase  AC  power   supply  and ,  outdoor  units to  be  mounted  on  MS  platform  with  suitable  Vibration  Isolation  pads  to avoid vibrations. All the supports and angle base frame structure to be duly black  painted  with  synthetic  epoxy  paint.  the  condensing  units  shall  be  of following capacities: The VRF ODU should be capable of working with total capacity   of   connected   indoor   units   ranging   between   100percentage   to 140percentage  of ODU capacity .  COP minimum 3.5. Make : Daikin / LG  /O General / Toshiba. 16 HP At Gandhi Hospital</t>
  </si>
  <si>
    <t>Name Plates (Room Names) as approved by the Engineer In-charge.</t>
  </si>
  <si>
    <t>Supply and fixing of High Quality IVF Procedural photos placed between two transparent acrylic boards fixed with studs at four corners to the PVC frame placed on DBs.</t>
  </si>
  <si>
    <t>Supply and fixing of Wall paper as approved by the Engineer In-charge.</t>
  </si>
  <si>
    <t>Supply and fixing of Main IVF logo with LED arcylic board fixed with LEDs inside and electrical connections as approved by the Engineer In-charge.</t>
  </si>
  <si>
    <t>Supply and fixing of Main Entrance LED 3D Arcylic letter board fixed with LEDs inside and electrical connections as approved by the Engineer In-charge.</t>
  </si>
  <si>
    <t>Providing and fixing Aluminium Extruded Section Body Tubular Type Hydraulic Door Closer (IS: 3564) with double speed adjustment with
necessary accessories and screws etc. complete.
Make: Haffele</t>
  </si>
  <si>
    <t>The item executed as per agreement quantity</t>
  </si>
  <si>
    <t xml:space="preserve">ommitted as per site condition. </t>
  </si>
  <si>
    <t>As per the site condition &amp; floor plans approved, the Qty. exceeded and to be approved as AE</t>
  </si>
  <si>
    <t>A.E</t>
  </si>
  <si>
    <t>Supply, installation, testing and commissioning of 16 G GI powder coated suitable  single  person  entry  air  shower  as  per  Technical Specifications  at Gandhi Hospital</t>
  </si>
  <si>
    <t>As per the site condition the Qty. exceeded and to be approved as AE</t>
  </si>
  <si>
    <t>The dismantiling work was taken up as per approved floor plan drawings and in contingent with the main work and hence to be approved as supplemental item.</t>
  </si>
  <si>
    <t>SITC  of  Nitrous  Oxide  Manifold  Emergency  for  1  Cylinder,  with  high
pressure  Regulator,  NRV,  tailpipes  etc.  as  per  technical  specifications  At Gandhi Hospital</t>
  </si>
  <si>
    <t>Supply   and   Installing   change   room   Cubicles,   at   Gandhi   Hospital. GENERAL                                                                         SPECIFICATIONS:
Thickness         of         Compact         Laminate:         12         mm         Thick Colour  of  HPL  Boards:  In  Single  Colour,  Size  of  Cubicle  :  As  per  DWG, Door Size for Normal Cubicle : As per DWG, Overall Height Of Cubicle : 2105  mm  Including  bottom  gap  of  100mm,  Accessories:   Manufacturers standard makes of Aluminium, SS Accessories. a Aluminium H Top Rail b SS  Hinges  c  SS  Privacy  Thumb  turn  c/w  Occupancy  Indicator  d  SS  Coat Hook e SS  Door Knob f Aluminium U channel  g Aluminium Door Stopper channel h Rubber  Lining i  SS Screws and PVC Wall Plugs</t>
  </si>
  <si>
    <t>Providing,  supplying  and  fixing  of  Fixed  Louvered  Ventilator  made out  of multi chambered uPVC sections 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and Mullion shall be
2.4 mm., including cost and conveyance of all materials, accessories, labour charges for transportation, erection at site etc., complete for finished item of work hinges IS:205 150mm long, 1 No. aldrop IS:2681 300mm long, 1 No. tower bolt IS:204 of 200 mm x 10 mm dia at top, 2 Nos. 150 mm at Gandhi Hospital</t>
  </si>
  <si>
    <t>Supplying and fixing Indian make Flat Back  Wash Hand Basin 1st quality conforming  to  IS:2556-Part-4:1972  of  size  550mm  x  400mm  with  32  mm nominal  size  C.P.  Fitting  with  parallel  pipe  thread  conforming  to  IS:2963- 1979 and fitted with 15 mm nominal bore Chromium Plated Pillar Tap of 1st quality   Indian   make   heavy   duty   complete   with   standard   CI   brackets including wooden blocks ,1 No.12.70mm PVC connection with brass union nuts  CP  coated  ,  angle  stop  cock  12.70mm  dia.  first  quality  Indian  make heavy  duty,  30mm  dia.  PVC  flexible  waste  pipe  914.4mm  length  of  1st quality including cost and conveyance of all materials to site, labour charges
, for finished item of work at Gandhi Hospital</t>
  </si>
  <si>
    <t>Supply and laying of ISI 25mm outer dia medium grade with IS:9537-part 3 rigid  PVC  pipe  surface  on  wall  with  all  required  PVC  /  Metallic  Junction Boxes including masonry work and labour charges etc.,      Makes: Sudhakar
/ Precision /Universal/ Modi / Million Plast. at Gandhi Hospital</t>
  </si>
  <si>
    <t>Wiring with 2 runs of 22/0.3mm 1.5 Sq.mm FRLS / HFFR P.V.C. insulated flexible copper cable ISI MARK in existing pipe with 6A Modular switch, Ceiling rose/BH/SBH Modular switches with cover plate and GI switch box including  all  labour  charges  etc.,  complete.  for  Non-  Residential  Building Makes  of  wires:  Finolex/  RR  Cable/  Havells/  Polycab/  HPL.  Makes  of switches:   -   GM   Four-Five   /   Legrand   Arteor   /   Schneider   Zen      celo
/Honeywell Blenge Plus/Gold Medal curve. at Gandhi Hospital</t>
  </si>
  <si>
    <t>Supply and fixing of 16A switches - 1Nos and 6/16A 2 in one socket - 1Nos Modular type with cover plate and GI switch box fixing on separate board including     all     labour     charges      etc.,      complete. Makes of switches:
- GM Four-Five / Legrand Arteor / Schneider Zen celo /Honeywell Blenge Plus/Gold Medal curve. at Gandhi Hospital</t>
  </si>
  <si>
    <t>Supply and fixing of 4 Way TPN DB Horizontal with IP 43 Protection as per IS:13032  Makes:  Legrand  /  Schneider and  Supply  and  Fixing  of  1  No.,  of 40A  FP  30mA  RCCB  as  incomer  and  12  Nos  6-32  A  10kA  SP  MCBs Makes:  Legrand-DX3  /  Schneider-Acti9  as  out  goings  including  internal
connections  and  labour  charges  for  FLUSH  Mounting  etc.,  complete.  For Lighting DBs at Gandhi Hospital</t>
  </si>
  <si>
    <t>Supply and fixing of ISI mark batten holder / slanting holder Makes : Anchor
/  Gold  Medal  Olive  /  Million  Zoom  in  lieu  of  ceiling  rose  of  light  point complete with all connections and all labour charges with 5.0W LED Lamp MAKE: OSRAM / Wipro / Crompton / Bajaj / Havells At Gandhi Hospital</t>
  </si>
  <si>
    <t>SITC of Hot dip galvanized perforated cable tray of 300 mm Wide sizes for to  run  the  cable  from  Floor  Panel  to  Lab  Panel  and  electrical  room  to  AC panel  and  AC  panel  to  Units.  All  necessary  supports  and  accessories  are
included. Cable tray for cables alone shall be included here Thickness shall be 1.6 mm. At Gandhi Hospital</t>
  </si>
  <si>
    <t>Providing and Fixing maintenance free earthing which consists of G.I. Earth station,   with   600X600X3.15mm   GI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Gandhi Hospital</t>
  </si>
  <si>
    <t>Supply,  Laying  and  testing  of  4Cx16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</si>
  <si>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t>Supply,  Laying  and  testing  of  4Cx6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KEI/Universal/Glostar/Finolex Make of gland and Lungs: HMI/Commet/Dowell’s At Gandhi Hospital</t>
  </si>
  <si>
    <t>SITC  of  IVF  Center  Main  Panel  Indoor  IP-42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/without detachable  extension  type  structure  with  all  type  of  suitable  switching accessories   and   bus-bar   as   per   load   requirement   of   respective   IVF
equipment’s. Which is  including  Lighting, power DBs  and  UPS  at Gandhi Hospital</t>
  </si>
  <si>
    <t>Supply, transportation and installation of split AC unit 1.0 TR inverter type minimum 3 Star capable  of delivering 12000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Daikin / Thoshiba
/ O General at Gandhi Hospital</t>
  </si>
  <si>
    <t>Modular  Double  skin  floor  mounted  EUROVENT  Certified  Air  Handling Unit 3000CFM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
Crompton Greaves / Siemens ; Filter - Thermodyne / Freudenberg / Ultrafil at Gandhi Hospital</t>
  </si>
  <si>
    <t>SITC of Oxygen Flow meter with Humidifier, CE Certified with four digit
number  as  per  enclosed  technical  specifications  -  Imported  At  Gandhi Hospital</t>
  </si>
  <si>
    <t>SITC of C02 Manifold for 2 Cylinders, with high pressure  Regulator, NRV, tailpipes etc. as per technical specifications  At Gandhi Hospital</t>
  </si>
  <si>
    <t>Supply of a 3-seater sofa upholstered with PU leather, with a high-quality finish. The sofa shall feature a kiln-dried hardwood frame for durability, reinforced with corner blocks for stability. The seat cushions to be constructed with high-density foam padding for comfort and resilience, while the backrests shall feature a combination of foam and fiberfill for optimal support. The sofa arms shall be padded for additional comfort, with sleek wooden or metal legs providing sturdy support. The leather upholstery shall be treated for resistance to stains and spills, ensuring longevity and ease of care. The dimensions of the sofa shall be suitable to accommodate three individuals comfortably, with ample seating space and ergonomic design considerations.</t>
  </si>
  <si>
    <t>Supply and fixing of Dress Hangers of size 450mm length with 8 Nos hooks, each capped with plastic protective cap (in change rooms).</t>
  </si>
  <si>
    <t>Supplying and fixing Rectangular Mirror Frameless of size
457 .2 mm x 609.6 mm (in change rooms).</t>
  </si>
  <si>
    <t>Cost of best WPC frame  Vertical As per SSR2022-23 -TBSC-L.I-17</t>
  </si>
  <si>
    <t>Cost of best WPC frame  Horizontal As per SSR2022-23 TBSC-L.I-17</t>
  </si>
  <si>
    <t>1938 nos bricks</t>
  </si>
  <si>
    <t>Partition walls</t>
  </si>
  <si>
    <t>Plastering 20 mm</t>
  </si>
  <si>
    <t>Plastering 12 mm</t>
  </si>
  <si>
    <t>Ratio</t>
  </si>
  <si>
    <t>cement</t>
  </si>
  <si>
    <t>sand</t>
  </si>
  <si>
    <t>T sand qty</t>
  </si>
  <si>
    <t>GST @ 18%</t>
  </si>
  <si>
    <t>Supply and fixing powder coated aluminium fully glazed swing door as per the approved drawing with fixed fan light of 500mm height at top door using aluminium sections of 101.60 mm x44.45mm , 3.18 mm thick for frame and door shutter made  of styles , top  and middle  rail of 47.62mm  x  44.45mm, 3.18  mm  thick  and  bottom  rail  of  96.00mm  x  44.45  mm,3.18mm  thick, powder  coating  of  aluminium  sections  25mm  microns  thick,  5  mm  thick plain glass fitted with suitable aluminium glazing clips and rubber beading in fan light portion, double shutters fitted with 5mm thick frosted glass in the top half and 12mm thick Prelaminated particle board One side choice colour and  other  side  balancing  white  lamination  in  the  bottom  half  fitted  with suitable   aluminium   glazing   clips   and   rubber   beading,   as   approved   by Engineer-in-Charge including supply and fixing ISI marked powder coated aluminium fixtures of 2 Nos. tower bolts 10mm bolt IS:204 300mm long, 4 Nos.  aluminium  handles  IS:208  150mm  dia  and  1  Nos.  aldrops  IS:2681 250mm,  1  No.  door  closure,  Al.  Butt  hinges  125mm  long  6Nos  including labour charges for manufacturing door , fixing the door with required No. of screws etc., complete for finished item of work. The Aluminium section used shall  be standard make confirming to IS 1948-1961 and as approved by the Engineer 1200mmx2100mm at Gandhi Hospital</t>
  </si>
  <si>
    <t>Cost of Stainless Steel 10mm  tower bolt 150mm long (IS:15833)  TBSC-P.I-21</t>
  </si>
  <si>
    <t>Cost of  Stainless Steel aldrop 250mm long         TBSC-P.IV-11</t>
  </si>
  <si>
    <t>Cost of Stainless steel handle 150mm long TBSC-P.III-17</t>
  </si>
  <si>
    <t>Providing and fixing factory made solid Wood Polymer Composite (WPC) single extruded Door Frame section of 100*65 MM with encapsulation of 6 MM rigid layer on all external surfaces. The door frame will have a rebate of 32MM/ 37 MM. The two Vertical members are to be joined together with the horizontal member using 8x75 MM long MS Star full thread screws to be used with reverse forward speed control hand drilling machine. The ready/assembled door frame is fixed to wall using Z Hand fast 300 MM long hold fast. Supplying and fixing of 28/30 mm thick Wood Plastic Composite (WPC) Door shutter, comprising of 70% virgin polymer, 15% wood powder (fiber), and the remaining 15% additives, comprising of virgin PVC polymer of K value 58-60 (Suspension grade), Calcium carbonate and natural fibers (wood powder) and non toxic additives (maximum toxicity index of 12 for 100 gms) having minimum door density of 650 kg/cum, screw withdrawal strength 1800N (Face) &amp; 900N (Edge), Modulus of Elasticity 900N/mm2 and resistance to spread of flame of Class A category with property of being termite/borer poof, water/moisture proof and fire retardant and fixed in position with stainless steel butt hinges of required size with necessary full body threaded star headed counter sunk SS screws all as per direction of Engineer -in- Charge (SS butt hinges and SS screws shall be paid separately)</t>
  </si>
  <si>
    <t>Supply and fixing of Powder coated GI stand with 4 nos height adjustable racks of size 670x410x1570 mm connected to two big rods of rectangular hollow section type supported with 4 legs with wheels with brakes to restrict movement/easy movement. Equipped with frame for holding a cylinder. A lockable box type space to be provided at bottom rack.</t>
  </si>
  <si>
    <r>
      <t xml:space="preserve">SITC of air cooled condensing units with two scroll compressors, air cooled condenser, power panel, vibration isolating pads, stand for ODU, thermostat, etc. of the following capacities. The nominal capacity of the condensing unit shall be as under. Air cooled condensing unit shall have horizontal discharge. All  refrigerant  piping  accessories  sight  glass,  drier,  expansion  valve,  etc. shall  be  supplied  with  the  condensing  units  and  suitable  to  connect  above AHUs. Refrigerant shall be R 407C / R 410A. Necessary thermostat, control wiring,  etc.  shall  be  included.  Derating  of  the  unit  shall  not  be  more  than 15percentage under 45 deg. C ambient temperature. Condensing unit shall be capable of operating up 50 deg. C ambient temperature. </t>
    </r>
    <r>
      <rPr>
        <b/>
        <sz val="12"/>
        <rFont val="Arial"/>
        <family val="2"/>
      </rPr>
      <t xml:space="preserve">8.5 TR capacity </t>
    </r>
    <r>
      <rPr>
        <sz val="12"/>
        <rFont val="Arial"/>
        <family val="2"/>
      </rPr>
      <t>At Gandhi Hospital</t>
    </r>
  </si>
  <si>
    <r>
      <t>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t>
    </r>
    <r>
      <rPr>
        <b/>
        <sz val="12"/>
        <rFont val="Arial"/>
        <family val="2"/>
      </rPr>
      <t xml:space="preserve">. Liquid Line </t>
    </r>
    <r>
      <rPr>
        <sz val="12"/>
        <rFont val="Arial"/>
        <family val="2"/>
      </rPr>
      <t>at Gandhi Hospital</t>
    </r>
  </si>
  <si>
    <r>
      <t xml:space="preserve">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 </t>
    </r>
    <r>
      <rPr>
        <b/>
        <sz val="12"/>
        <rFont val="Arial"/>
        <family val="2"/>
      </rPr>
      <t xml:space="preserve">Suction Line </t>
    </r>
    <r>
      <rPr>
        <sz val="12"/>
        <rFont val="Arial"/>
        <family val="2"/>
      </rPr>
      <t>at Gandhi Hospital</t>
    </r>
  </si>
  <si>
    <r>
      <t xml:space="preserve">SITC  of  CPVC  drain  ping  with  supports,  clamps  and  9  mm  thk.  Nitrile rubber  tube  insulation  of  the  following  sizes.  Insulation  shall  have  factory laminated glass cloth. </t>
    </r>
    <r>
      <rPr>
        <b/>
        <sz val="12"/>
        <rFont val="Arial"/>
        <family val="2"/>
      </rPr>
      <t xml:space="preserve">32mm Dia </t>
    </r>
    <r>
      <rPr>
        <sz val="12"/>
        <rFont val="Arial"/>
        <family val="2"/>
      </rPr>
      <t>at Gandhi Hospital</t>
    </r>
  </si>
  <si>
    <r>
      <t xml:space="preserve">SITC  of  CPVC  drain  ping  with  supports,  clamps  and  9  mm  thk.  Nitrile rubber  tube  insulation  of  the  following  sizes.  Insulation  shall  have  factory laminated glass cloth. </t>
    </r>
    <r>
      <rPr>
        <b/>
        <sz val="12"/>
        <rFont val="Arial"/>
        <family val="2"/>
      </rPr>
      <t xml:space="preserve">25mm Dia </t>
    </r>
    <r>
      <rPr>
        <sz val="12"/>
        <rFont val="Arial"/>
        <family val="2"/>
      </rPr>
      <t>at Gandhi Hospital</t>
    </r>
  </si>
  <si>
    <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Arial"/>
        <family val="2"/>
      </rPr>
      <t xml:space="preserve">20G - 1.0 mm </t>
    </r>
    <r>
      <rPr>
        <sz val="12"/>
        <rFont val="Arial"/>
        <family val="2"/>
      </rPr>
      <t>Thick at Gandhi Hospital</t>
    </r>
  </si>
  <si>
    <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Arial"/>
        <family val="2"/>
      </rPr>
      <t xml:space="preserve">22G - 0.8 mm </t>
    </r>
    <r>
      <rPr>
        <sz val="12"/>
        <rFont val="Arial"/>
        <family val="2"/>
      </rPr>
      <t>Thick at Gandhi Hospital</t>
    </r>
  </si>
  <si>
    <r>
      <t xml:space="preserve">Supply, laying of Class O Nitrile rubber with factory laminated Glass cloth, all joints shall be covered with self-adhesive tapes </t>
    </r>
    <r>
      <rPr>
        <b/>
        <sz val="12"/>
        <rFont val="Arial"/>
        <family val="2"/>
      </rPr>
      <t xml:space="preserve">32mm Thick </t>
    </r>
    <r>
      <rPr>
        <sz val="12"/>
        <rFont val="Arial"/>
        <family val="2"/>
      </rPr>
      <t>for Exposed Supply Air duct and finished with UV Protective Paint. at Gandhi Hospital</t>
    </r>
  </si>
  <si>
    <r>
      <t xml:space="preserve">Supply, laying of Class O Nitrile rubber with factory laminated Glass cloth, all joints shall be covered with self-adhesive tapes </t>
    </r>
    <r>
      <rPr>
        <b/>
        <sz val="12"/>
        <rFont val="Arial"/>
        <family val="2"/>
      </rPr>
      <t xml:space="preserve">25mm Thick </t>
    </r>
    <r>
      <rPr>
        <sz val="12"/>
        <rFont val="Arial"/>
        <family val="2"/>
      </rPr>
      <t>for Exposed Return Air Duct and finished with UV Protective Paint. at Gandhi Hospital</t>
    </r>
  </si>
  <si>
    <r>
      <t xml:space="preserve">Supply, laying of Class O Nitrile rubber with factory laminated Glass cloth, all joints shall be covered with self-adhesive tapes </t>
    </r>
    <r>
      <rPr>
        <b/>
        <sz val="12"/>
        <rFont val="Arial"/>
        <family val="2"/>
      </rPr>
      <t xml:space="preserve">25mm Thick </t>
    </r>
    <r>
      <rPr>
        <sz val="12"/>
        <rFont val="Arial"/>
        <family val="2"/>
      </rPr>
      <t>for Supply air duct running inside the building. at Gandhi Hospital</t>
    </r>
  </si>
  <si>
    <r>
      <t xml:space="preserve">Supply, laying of Class O Nitrile rubber with factory laminated Glass cloth, all joints shall be covered with self-adhesive tapes </t>
    </r>
    <r>
      <rPr>
        <b/>
        <sz val="12"/>
        <rFont val="Arial"/>
        <family val="2"/>
      </rPr>
      <t xml:space="preserve">19mm Thick </t>
    </r>
    <r>
      <rPr>
        <sz val="12"/>
        <rFont val="Arial"/>
        <family val="2"/>
      </rPr>
      <t>for Return air running inside the building. at Gandhi Hospital</t>
    </r>
  </si>
  <si>
    <r>
      <t xml:space="preserve">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t>
    </r>
    <r>
      <rPr>
        <b/>
        <sz val="12"/>
        <rFont val="Arial"/>
        <family val="2"/>
      </rPr>
      <t xml:space="preserve">1.5 TR </t>
    </r>
    <r>
      <rPr>
        <sz val="12"/>
        <rFont val="Arial"/>
        <family val="2"/>
      </rPr>
      <t>At Gandhi Hospital</t>
    </r>
  </si>
  <si>
    <r>
      <t xml:space="preserve">Cassette   Units   :   Supply,   Installation,   Testing   and   Commissioning    of variable    refrigerant    flow   modular    type    indoor    units   wired/wireless remote  suitable  for  R410a  refrigerant  comprising  of  all  accessories  as  per the  specifications.  The  indoor  units  shall  be  suitable  to  work  on  cooling mode.The  minimum  Energy  Efficiency  Ratio  shall  be  as  per   ASHRAE STANDARDS   90.1   -2001     table   6.2.1B.   The  indoor   units     shall   be suitable   for  operation  on  220  plus  or  minus  6percentage  volts,  50Hz,  1 phase  AC power supply. </t>
    </r>
    <r>
      <rPr>
        <b/>
        <sz val="12"/>
        <rFont val="Arial"/>
        <family val="2"/>
      </rPr>
      <t xml:space="preserve">3.0 TR – 4 way </t>
    </r>
    <r>
      <rPr>
        <sz val="12"/>
        <rFont val="Arial"/>
        <family val="2"/>
      </rPr>
      <t>At Gandhi Hospital</t>
    </r>
  </si>
  <si>
    <r>
      <t>50 LPH storage type RO of dimensions 525 x 425 x 1450 mm (WxDxH) of approx. weight 75Kg consists of 4 nos of 80 GPD 3-layer Thin Film Composite (TFC) membrane with 0.0001-micron pore size which can prevent TDS, heavy metals and equipped with 6 stage purification process which reduces pesticides in the water for reducing scale formation when water is heated. The RO should take min input pressure of 0.6 kg/cm2, 2000 ppm of TDS in Water, 500 ppm of Hardness, 6.5 to 8.5 PH of water which can give output of 20 to 25 % recovery in purified water and can run on 230V AC, 50 Hz supply with operating temp of 5</t>
    </r>
    <r>
      <rPr>
        <vertAlign val="superscript"/>
        <sz val="12"/>
        <rFont val="Arial"/>
        <family val="2"/>
      </rPr>
      <t>o</t>
    </r>
    <r>
      <rPr>
        <sz val="12"/>
        <rFont val="Arial"/>
        <family val="2"/>
      </rPr>
      <t>C to 45</t>
    </r>
    <r>
      <rPr>
        <vertAlign val="superscript"/>
        <sz val="12"/>
        <rFont val="Arial"/>
        <family val="2"/>
      </rPr>
      <t>o</t>
    </r>
    <r>
      <rPr>
        <sz val="12"/>
        <rFont val="Arial"/>
        <family val="2"/>
      </rPr>
      <t>C.</t>
    </r>
  </si>
  <si>
    <r>
      <rPr>
        <b/>
        <sz val="12"/>
        <rFont val="Arial"/>
        <family val="2"/>
      </rPr>
      <t xml:space="preserve">Side Paneling  </t>
    </r>
    <r>
      <rPr>
        <sz val="12"/>
        <rFont val="Arial"/>
        <family val="2"/>
      </rPr>
      <t xml:space="preserve">                                                                                                              14mm thick Indoor WPC louvers providing &amp; Fixing full height said 12mm SHERA Board panneling till slab with wooden framing in line and level including fling joints and joint calls and neccesary hardware</t>
    </r>
  </si>
  <si>
    <r>
      <rPr>
        <b/>
        <sz val="12"/>
        <rFont val="Arial"/>
        <family val="2"/>
      </rPr>
      <t xml:space="preserve">2 WPC LOUVers Ceiling    </t>
    </r>
    <r>
      <rPr>
        <sz val="12"/>
        <rFont val="Arial"/>
        <family val="2"/>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</si>
  <si>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2"/>
        <rFont val="Arial"/>
        <family val="2"/>
      </rPr>
      <t>Providing and fixing of wooden box celling</t>
    </r>
    <r>
      <rPr>
        <sz val="12"/>
        <rFont val="Arial"/>
        <family val="2"/>
      </rPr>
      <t xml:space="preserve"> at the top of Reception table with Imm thick laminate with wooden framing of BWP 710 Gurjan Ply support from the top slab end to end with neccesary cutouts for lighting and hardware</t>
    </r>
  </si>
  <si>
    <r>
      <rPr>
        <b/>
        <sz val="12"/>
        <rFont val="Arial"/>
        <family val="2"/>
      </rPr>
      <t>Back Pannelling with laminate Finish of 1 mm thick</t>
    </r>
    <r>
      <rPr>
        <sz val="12"/>
        <rFont val="Arial"/>
        <family val="2"/>
      </rPr>
      <t xml:space="preserve"> Providing &amp; Fixing full height solid 12mm BWF 710 GURIAN PLY Board panneling till slab with wooden framing in line and level including the neccesary hardware and cutouts</t>
    </r>
  </si>
  <si>
    <r>
      <rPr>
        <b/>
        <sz val="12"/>
        <rFont val="Arial"/>
        <family val="2"/>
      </rPr>
      <t>Providing and fixing ISI marked Magnetic 25mm Block Board door shutters</t>
    </r>
    <r>
      <rPr>
        <sz val="12"/>
        <rFont val="Arial"/>
        <family val="2"/>
      </rPr>
      <t>, core of block board construction with frame of 1st class hard wood and fixing 1 MM laminate on both faces of shutters, including ISI marked Stainless Steel butt hinges with necessary screws and tower bait complete</t>
    </r>
  </si>
  <si>
    <r>
      <rPr>
        <b/>
        <sz val="12"/>
        <rFont val="Arial"/>
        <family val="2"/>
      </rPr>
      <t>Providing and fixing PVC frames</t>
    </r>
    <r>
      <rPr>
        <sz val="12"/>
        <rFont val="Arial"/>
        <family val="2"/>
      </rPr>
      <t xml:space="preserve"> on the walls for covering the area over DB Boxes with 12 mm PVC sheets in a box section of 60mm thick including neccesary accessories.</t>
    </r>
  </si>
  <si>
    <r>
      <t xml:space="preserve"> Providing and Fixing of </t>
    </r>
    <r>
      <rPr>
        <b/>
        <sz val="12"/>
        <rFont val="Arial"/>
        <family val="2"/>
      </rPr>
      <t>(25X25) mm WPC corner L-Patties</t>
    </r>
    <r>
      <rPr>
        <sz val="12"/>
        <rFont val="Arial"/>
        <family val="2"/>
      </rPr>
      <t xml:space="preserve"> at the topper edge of the wall tile cladding</t>
    </r>
  </si>
  <si>
    <r>
      <t xml:space="preserve">Providing and Fixing of </t>
    </r>
    <r>
      <rPr>
        <b/>
        <sz val="12"/>
        <rFont val="Arial"/>
        <family val="2"/>
      </rPr>
      <t>SS-ROSE GOLD corner &amp; L-Patties</t>
    </r>
    <r>
      <rPr>
        <sz val="12"/>
        <rFont val="Arial"/>
        <family val="2"/>
      </rPr>
      <t xml:space="preserve"> at the SIDE edge of the wall tile cladding</t>
    </r>
  </si>
  <si>
    <r>
      <t xml:space="preserve">Providing and fixing of </t>
    </r>
    <r>
      <rPr>
        <b/>
        <sz val="12"/>
        <rFont val="Arial"/>
        <family val="2"/>
      </rPr>
      <t>Door Frame panneling with 18mm BWP 710 Gurjan Ply and 8mm thick beeding half rounded on the both sides</t>
    </r>
    <r>
      <rPr>
        <sz val="12"/>
        <rFont val="Arial"/>
        <family val="2"/>
      </rPr>
      <t xml:space="preserve"> with 1mm thick laminate Finish with necessary handware and Polishing.</t>
    </r>
  </si>
  <si>
    <r>
      <t xml:space="preserve">Supplying and fixing of 3" (75mm) Nahany trap with jali - UPVC/SWR pipe fittings </t>
    </r>
    <r>
      <rPr>
        <b/>
        <sz val="12"/>
        <rFont val="Arial"/>
        <family val="2"/>
      </rPr>
      <t xml:space="preserve"> </t>
    </r>
    <r>
      <rPr>
        <sz val="12"/>
        <rFont val="Arial"/>
        <family val="2"/>
      </rPr>
      <t>as per site requirements with standard practice  for all floors including cost and conveyance of all materials to site, labour charges , overheads &amp; contractors profit etc., complete for finished item of work.</t>
    </r>
  </si>
  <si>
    <r>
      <t xml:space="preserve">Supplying and fixing GI pipe Medium Grade properties &amp; weight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
    </r>
    <r>
      <rPr>
        <b/>
        <sz val="12"/>
        <rFont val="Arial"/>
        <family val="2"/>
      </rPr>
      <t xml:space="preserve">Tata or Zenith </t>
    </r>
    <r>
      <rPr>
        <sz val="12"/>
        <rFont val="Arial"/>
        <family val="2"/>
      </rPr>
      <t xml:space="preserve">make or equivalent. </t>
    </r>
  </si>
  <si>
    <r>
      <t xml:space="preserve">POINT WIRING and LIGHT FIXTURES &amp; FITTINGS                             </t>
    </r>
    <r>
      <rPr>
        <sz val="12"/>
        <rFont val="Arial"/>
        <family val="2"/>
      </rPr>
      <t>Providing Point wiring for Light Concealed Type with 2 x 1.0 Sq.mm. Copper. PVC Insulated wire 1.1 KV grade ISI marked in rigid ISI mark PVC conduit minimum 20mm (1.6 mm thick) dia. with necessary accessories and Pannel and Spot LED lights of Havells/Wipro company.</t>
    </r>
  </si>
  <si>
    <r>
      <rPr>
        <b/>
        <u/>
        <sz val="12"/>
        <rFont val="Arial"/>
        <family val="2"/>
      </rPr>
      <t>Fully Automatic Control Panel for Oxygen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Oxygen supply</t>
    </r>
  </si>
  <si>
    <r>
      <rPr>
        <b/>
        <u/>
        <sz val="12"/>
        <rFont val="Arial"/>
        <family val="2"/>
      </rPr>
      <t xml:space="preserve">Trigas Emergency Manifold:
</t>
    </r>
    <r>
      <rPr>
        <sz val="12"/>
        <rFont val="Arial"/>
        <family val="2"/>
      </rPr>
      <t xml:space="preserve">SITC of </t>
    </r>
    <r>
      <rPr>
        <b/>
        <sz val="12"/>
        <rFont val="Arial"/>
        <family val="2"/>
      </rPr>
      <t xml:space="preserve">Emergency Trigas Manifold maximum for 1+1 </t>
    </r>
    <r>
      <rPr>
        <sz val="12"/>
        <rFont val="Arial"/>
        <family val="2"/>
      </rPr>
      <t>D-type Gas Cylinders complete with separate NRVs, tail pipes and brass fittings for each cylinders.</t>
    </r>
  </si>
  <si>
    <r>
      <rPr>
        <b/>
        <u/>
        <sz val="12"/>
        <rFont val="Arial"/>
        <family val="2"/>
      </rPr>
      <t>Fully Automatic Control Panel for Trigas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Nirous Oxide supply.</t>
    </r>
  </si>
  <si>
    <r>
      <rPr>
        <b/>
        <u/>
        <sz val="12"/>
        <rFont val="Arial"/>
        <family val="2"/>
      </rPr>
      <t>Fully Automatic Control Panel for CO2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Nirous Oxide supply.</t>
    </r>
  </si>
  <si>
    <r>
      <rPr>
        <b/>
        <u/>
        <sz val="12"/>
        <rFont val="Arial"/>
        <family val="2"/>
      </rPr>
      <t xml:space="preserve">CO2 Manifold
</t>
    </r>
    <r>
      <rPr>
        <sz val="12"/>
        <rFont val="Arial"/>
        <family val="2"/>
      </rPr>
      <t xml:space="preserve">SITC of </t>
    </r>
    <r>
      <rPr>
        <b/>
        <sz val="12"/>
        <rFont val="Arial"/>
        <family val="2"/>
      </rPr>
      <t xml:space="preserve">EmergencyCO2 Manifold maximum for 2 </t>
    </r>
    <r>
      <rPr>
        <sz val="12"/>
        <rFont val="Arial"/>
        <family val="2"/>
      </rPr>
      <t>D-type Gas Cylinders complete with separate NRVs, Copper tail pipes and brass fittings for each cylinders with double stage double gauge high pressure regulator</t>
    </r>
  </si>
  <si>
    <r>
      <t xml:space="preserve">SITC of </t>
    </r>
    <r>
      <rPr>
        <b/>
        <sz val="12"/>
        <rFont val="Arial"/>
        <family val="2"/>
      </rPr>
      <t xml:space="preserve">Medical Air-4 Outlet </t>
    </r>
    <r>
      <rPr>
        <sz val="12"/>
        <rFont val="Arial"/>
        <family val="2"/>
      </rPr>
      <t>with matching probe as per HTM-2022/02-01 of UK/ NFPA 99C of USA as per enclosed technical Specification.</t>
    </r>
  </si>
  <si>
    <r>
      <t xml:space="preserve">12 mm Valve for 12 mm OD Pipe
</t>
    </r>
    <r>
      <rPr>
        <b/>
        <sz val="12"/>
        <rFont val="Arial"/>
        <family val="2"/>
      </rPr>
      <t>Note: New item added</t>
    </r>
  </si>
  <si>
    <r>
      <t xml:space="preserve">Supply and installation of 46.7 liter size </t>
    </r>
    <r>
      <rPr>
        <b/>
        <sz val="12"/>
        <rFont val="Arial"/>
        <family val="2"/>
      </rPr>
      <t>CO2</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</si>
  <si>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O2</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</si>
  <si>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Trigas</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</si>
  <si>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N2O</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</si>
  <si>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t xml:space="preserve">As Per Agreement </t>
  </si>
  <si>
    <t>Air Conditioning Supplimental Works</t>
  </si>
  <si>
    <t>As per the instructions of TSMSIDC officials In view of sterlity required for IVFC Scientific doors were proposed on site visit dated MoM:01.08.2023 ABS doors were proposed hence qty not utilised</t>
  </si>
  <si>
    <t>Quantity is not utilised as per site conditions</t>
  </si>
  <si>
    <t>The qty is not utilised as per site condition which has existing lines hence savings</t>
  </si>
  <si>
    <t>The qty is utilised as per site condition and hence savings</t>
  </si>
  <si>
    <t>Sub total of S.No 22 to 25</t>
  </si>
  <si>
    <t>Supply and fixing of FP Metal Enclosure with IP 20 Protection DB Make with 1 No 63A, 10 KA FP MCB including internal connection and labour charges for Flush Mounting etc.,complete. 
Makes of Enclousure : Legrand MCB Makes : Legrand-DX3</t>
  </si>
  <si>
    <t>Supply of Venetian blinds Vertical blinds 100 mm wide with all accessories.</t>
  </si>
  <si>
    <t>V.P  07 MB No 10</t>
  </si>
  <si>
    <r>
      <rPr>
        <b/>
        <sz val="12"/>
        <rFont val="Arial"/>
        <family val="2"/>
      </rPr>
      <t>S.
No</t>
    </r>
  </si>
  <si>
    <t>Iob</t>
  </si>
  <si>
    <t>AHU shed with provision for fencing, door with lock- key arrangement shall be provided with Framework vertically made of MS Square Pipe frame: 2 Inches X 2 Inches, 16Gauge M S Fencing with wire mesh: ½ inch X ½inch. Supporting Structure M S Angle: 50 X 5mm GI pre-coated corrugated profile roof sheet: 0.5 mm thick duly supported with JHook 10 SWG with provision of door with lock and key AHU Shed with fencing should be duly enamel painted and with anti-rust coating from both sides.</t>
  </si>
  <si>
    <t>Reinforced  Masonry  for  partition  walls  100  mm  thick  in  CM  1:4  prop. Aerated Cellular Autoclaved Concrete Blocks conforming to IS:2185 Part-3- 1984 and IS:6441-1972 of Compressive strength 3 N/mm2 600 x 200 x 100 mm and placing 2Nos. of 6mm M.S plain rods in every third layer with free ends  of  the  reinforcement  pegged  into  mortar  joints  of  main  brick  walls where applicable including cost and conveyance of all materials like cement, steel, sans, brick, water etc., to site, including sales and other taxes excluding GST   on   all   materials,   all   operational,   incidents   charges,   constructing masonry, lift charges, curing, complete for finished item of work. TSSS No. of 509.5th Floor at Gandhi Hospital</t>
  </si>
  <si>
    <t>V.P No 03 MB No 01</t>
  </si>
  <si>
    <t>V.P No 04 MB No 01</t>
  </si>
  <si>
    <t>V.P 05 MB NO 01</t>
  </si>
  <si>
    <t>V.P 08 MB NO 01</t>
  </si>
  <si>
    <t>V.P 11 MB NO 01</t>
  </si>
  <si>
    <t>V.P No 15 MB No 01</t>
  </si>
  <si>
    <t>V.P 16 MB NO 01</t>
  </si>
  <si>
    <t>V.P 18 MB NO 01</t>
  </si>
  <si>
    <t>V.P 20 MB NO 01</t>
  </si>
  <si>
    <t>V.P 21 MB NO 01</t>
  </si>
  <si>
    <t>V.P 02 MB NO 01</t>
  </si>
  <si>
    <t>V.P 01 MB NO 03</t>
  </si>
  <si>
    <t>V.P 09 MB NO 03</t>
  </si>
  <si>
    <t>V.P 11 MB NO 03</t>
  </si>
  <si>
    <t>V.P 18 MB NO 03</t>
  </si>
  <si>
    <t>V.P 19 MB NO 03</t>
  </si>
  <si>
    <t>V.P 21 MB NO 03</t>
  </si>
  <si>
    <t>V.P 22 MB NO 03</t>
  </si>
  <si>
    <t>V.P 23 MB NO 03</t>
  </si>
  <si>
    <t>V.P 25 MB NO 03</t>
  </si>
  <si>
    <t>V.P 26 MB NO 03</t>
  </si>
  <si>
    <t>V.P 01 MB NO 07</t>
  </si>
  <si>
    <t>V.P 02 MB NO 07</t>
  </si>
  <si>
    <t>V.P 03 MB NO 07</t>
  </si>
  <si>
    <t>V.P 25 MB NO 03, V.P 03 MB NO 07</t>
  </si>
  <si>
    <t>V.P 04 MB NO 07</t>
  </si>
  <si>
    <t>V.P 05 MB NO 07</t>
  </si>
  <si>
    <t>V.P 03 MB NO 03, V.P 05 MB NO 07</t>
  </si>
  <si>
    <t>V.P 14 MB NO 03, V.P 06 MB NO 07</t>
  </si>
  <si>
    <t>V.P 12 MB NO 03, V.P 06 MB NO 07</t>
  </si>
  <si>
    <t>V.P 08 MB NO 03, V.P 06 MB NO 07</t>
  </si>
  <si>
    <t>V.P 18 MB NO 03, V.P 07 MB NO 07</t>
  </si>
  <si>
    <t>Supply and run of 3 of 2.5 sq.mm 36/0.3mm phase neutral and earth FRLS / HFFR  PVC  insulated  flexible  copper  cable  in  existing  conduit  pipe  for individual   lighting   circuits   including   labour   charges   etc.,   complete   as required  for  switch  boards.  Makes  of  wires:  Finolex/  RR  Cable/  Havells/ Polycab/ HPL. at Gandhi Hospital</t>
  </si>
  <si>
    <t>V.P 12 MB NO 03, V.P 07 MB NO 07</t>
  </si>
  <si>
    <t>V.P 07 MB NO 07</t>
  </si>
  <si>
    <t>V.P 08 MB NO 07</t>
  </si>
  <si>
    <t>V.P 09 MB NO 07</t>
  </si>
  <si>
    <t>V.P 10 MB NO 07</t>
  </si>
  <si>
    <t>V.P 01 MB NO 05</t>
  </si>
  <si>
    <t>V.P 02 MB NO 05</t>
  </si>
  <si>
    <t>V.P 03 MB NO 05</t>
  </si>
  <si>
    <t>V.P 04 MB NO 05</t>
  </si>
  <si>
    <t>V.P 05 MB NO 05</t>
  </si>
  <si>
    <t>V.P 06 MB NO 05</t>
  </si>
  <si>
    <t>V.P 07 MB NO 05</t>
  </si>
  <si>
    <t>V.P 08 MB NO 05</t>
  </si>
  <si>
    <t>V.P 01 MB NO 01, V.P 01 MB NO 09</t>
  </si>
  <si>
    <t>V.P 06 MB NO 01, V.P 01 MB NO 09</t>
  </si>
  <si>
    <t>V.P 02 MB NO 09</t>
  </si>
  <si>
    <t>V.P 03 MB NO 09</t>
  </si>
  <si>
    <t>V.P 09 MB NO 09</t>
  </si>
  <si>
    <t>V.P 14 MB NO 09</t>
  </si>
  <si>
    <t>V.P 16 MB NO 09</t>
  </si>
  <si>
    <t>V.P 17 MB NO 09</t>
  </si>
  <si>
    <t>V.P 19 MB NO 09</t>
  </si>
  <si>
    <t>V.P 20 MB NO 09</t>
  </si>
  <si>
    <t>V.P 06 MB NO 05, V.P 20 MB NO 09</t>
  </si>
  <si>
    <t>V.P 21 MB NO 09</t>
  </si>
  <si>
    <t>V.P 22 MB NO 09</t>
  </si>
  <si>
    <t>V.P 23 MB NO 09</t>
  </si>
  <si>
    <t>V.P 24 MB NO 09</t>
  </si>
  <si>
    <t>V.P 25 MB NO 09</t>
  </si>
  <si>
    <t>V.P 26 MB NO 09</t>
  </si>
  <si>
    <t>V.P 27 MB NO 09</t>
  </si>
  <si>
    <t>V.P 28 MB NO 09</t>
  </si>
  <si>
    <t>V.P 29 MB NO 09</t>
  </si>
  <si>
    <t>V.P 30 MB NO 09</t>
  </si>
  <si>
    <t>V.P 31 MB NO 09</t>
  </si>
  <si>
    <t>V.P 32 MB NO 09</t>
  </si>
  <si>
    <t>V.P 33 MB NO 09</t>
  </si>
  <si>
    <t>V.P 34 MB NO 09</t>
  </si>
  <si>
    <t>V.P 35 MB NO 09</t>
  </si>
  <si>
    <t>Supply and placing of the Design mix concrete M25 grade corresponding to IS 456:2000 with min cement content of 380 kgs per 1 cum of concrete using Weigh Batecher/Concrete mixer with 20 mm graded machine crushed hard granite metal (coarse aggregate - as per part 1 to part8) from approved quarry including cost and conveyance of all materials cement, fine aggregate etc.</t>
  </si>
  <si>
    <t>VP No 10 MB No 01</t>
  </si>
  <si>
    <t>The Multipurpose Electro Hydraulic Mobile OT Table is designed for gynecological surgical procedures, featuring a wide range of adjustments for optimal patient positioning. It offers precise control with movement controls at the side of the table and a wired remote control handset and features like S. S. Arm Rest, Anaesthetic Screen, Lithotomy Leg Holders with Stirr-Ups, Leather Wristlets, Padded Leg Rest, Anti-static mattress, and an additional Poly-urethane mattress. Built with a Stainless Steel 304 frame and bottom, it ensures durability. The table top, reinforced with three-section stainless steel and radiolucent capabilities, allows for comprehensive patient support. Its flexibility includes 360° rotation, adjustable Trendelenburg, Reversed Trendelenburg, Head Section, Back Section, and Leg Section. Physical specifications include a 1900 mm x 525 mm top with an elevation range of 640mm to 1040mm, supporting patients up to 140 kg. Environmental considerations ensure operational efficiency in various conditions.</t>
  </si>
  <si>
    <t>This work is takenup as per the instructions of Enduser.</t>
  </si>
  <si>
    <t>This work is takenup as it is necessary to mainitain sterility for medical &amp; paramedical personel</t>
  </si>
  <si>
    <t>This work is takenup as per the instructions of Enduser for ICMR</t>
  </si>
  <si>
    <t>AS per the meeting held with TSMSIDC officials, To maitain VOC in Fertility center wooden doors are replaced with ABS doors Lr.no____</t>
  </si>
  <si>
    <t>This work is executed to perform seemlees performance for autoclave</t>
  </si>
  <si>
    <t>This work is executed to as per the TSMSIDC officials in lieu of reception table (___)</t>
  </si>
  <si>
    <t>This work is exectued as per site conditions</t>
  </si>
  <si>
    <t>This work is executed as per the instructions of Enduser.</t>
  </si>
  <si>
    <t>This work is executed as per the instructions of Enduser &amp; TSMSIDC Officials.</t>
  </si>
  <si>
    <t>This work is takenup as per the instructions of TSMSIDC Officials.</t>
  </si>
  <si>
    <t>AS per the meeting held with TSMSIDC officials, To maitain VOC in Fertility center wooden doors are replaced with WPC doors Lr.no____</t>
  </si>
  <si>
    <t>This work is executed as per Site Conditions</t>
  </si>
  <si>
    <t>This work is executed as per the instructions of Enduser &amp; TSMSIDC officials.</t>
  </si>
  <si>
    <t>This work is executed as per the Necessity of medical gases in IVF Center under the instructions of Enduser.</t>
  </si>
  <si>
    <t>This work is takenup as safety measure for AHU's</t>
  </si>
  <si>
    <t>This work is executed as per the instructions of TSMSIDC Officials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</si>
</sst>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0.0"/>
    <numFmt numFmtId="165" formatCode="_ * #,##0_ ;_ * \-#,##0_ ;_ * &quot;-&quot;??_ ;_ @_ "/>
    <numFmt numFmtId="166" formatCode="0.000"/>
    <numFmt numFmtId="167" formatCode="0.000%"/>
    <numFmt numFmtId="168" formatCode="0.00000"/>
    <numFmt numFmtId="169" formatCode="0.00&quot;  &quot;"/>
    <numFmt numFmtId="170" formatCode="0.0000"/>
    <numFmt numFmtId="171" formatCode="0.000000"/>
    <numFmt numFmtId="172" formatCode="0.00;[Red]0.00"/>
    <numFmt numFmtId="173" formatCode="0.00\ ;\(0.00\)"/>
    <numFmt numFmtId="174" formatCode="&quot;x  &quot;0.00"/>
    <numFmt numFmtId="175" formatCode="&quot;= &quot;0.00"/>
    <numFmt numFmtId="176" formatCode="0\ ;\(0\)"/>
    <numFmt numFmtId="177" formatCode="0.000\ ;\(0.000\)"/>
    <numFmt numFmtId="178" formatCode="0.00;[Red]\-0.00"/>
    <numFmt numFmtId="179" formatCode="@*-"/>
    <numFmt numFmtId="180" formatCode="@* \-"/>
  </numFmts>
  <fonts count="90">
    <font>
      <sz val="10"/>
      <color rgb="FF000000"/>
      <name val="Times New Roman"/>
      <charset val="204"/>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name val="Times New Roman"/>
      <family val="1"/>
    </font>
    <font>
      <sz val="12"/>
      <color rgb="FFBE0000"/>
      <name val="Times New Roman"/>
      <family val="1"/>
    </font>
    <font>
      <b/>
      <sz val="12"/>
      <name val="Times New Roman"/>
      <family val="1"/>
    </font>
    <font>
      <b/>
      <sz val="12"/>
      <color rgb="FF000000"/>
      <name val="Times New Roman"/>
      <family val="1"/>
    </font>
    <font>
      <sz val="10"/>
      <color rgb="FF000000"/>
      <name val="Times New Roman"/>
      <family val="1"/>
    </font>
    <font>
      <sz val="10"/>
      <name val="Arial"/>
      <family val="2"/>
    </font>
    <font>
      <sz val="12"/>
      <color rgb="FF000000"/>
      <name val="Times New Roman"/>
      <family val="1"/>
    </font>
    <font>
      <b/>
      <u/>
      <sz val="12"/>
      <name val="Times New Roman"/>
      <family val="1"/>
    </font>
    <font>
      <sz val="12"/>
      <color theme="1"/>
      <name val="Times New Roman"/>
      <family val="1"/>
    </font>
    <font>
      <b/>
      <u/>
      <sz val="16"/>
      <name val="Times New Roman"/>
      <family val="1"/>
    </font>
    <font>
      <sz val="16"/>
      <color rgb="FF000000"/>
      <name val="Times New Roman"/>
      <family val="1"/>
    </font>
    <font>
      <b/>
      <sz val="16"/>
      <name val="Times New Roman"/>
      <family val="1"/>
    </font>
    <font>
      <b/>
      <sz val="10"/>
      <color theme="1"/>
      <name val="Arial"/>
      <family val="2"/>
      <charset val="1"/>
    </font>
    <font>
      <b/>
      <sz val="12"/>
      <color theme="1"/>
      <name val="Arial"/>
      <family val="2"/>
      <charset val="1"/>
    </font>
    <font>
      <sz val="12"/>
      <color theme="1"/>
      <name val="Arial"/>
      <family val="2"/>
    </font>
    <font>
      <b/>
      <sz val="14"/>
      <name val="Times New Roman"/>
      <family val="1"/>
    </font>
    <font>
      <sz val="10"/>
      <color theme="1"/>
      <name val="Arial"/>
      <family val="2"/>
    </font>
    <font>
      <sz val="12"/>
      <color theme="1"/>
      <name val="Cambria"/>
      <family val="1"/>
      <scheme val="major"/>
    </font>
    <font>
      <sz val="9.5"/>
      <name val="Arial MT"/>
      <family val="2"/>
    </font>
    <font>
      <sz val="9.5"/>
      <name val="Arial MT"/>
    </font>
    <font>
      <sz val="11"/>
      <color rgb="FF000000"/>
      <name val="Times New Roman"/>
      <family val="1"/>
    </font>
    <font>
      <b/>
      <sz val="14"/>
      <color rgb="FF000000"/>
      <name val="Times New Roman"/>
      <family val="1"/>
    </font>
    <font>
      <sz val="11"/>
      <color theme="1"/>
      <name val="Cambria"/>
      <family val="1"/>
      <scheme val="major"/>
    </font>
    <font>
      <b/>
      <sz val="16"/>
      <color rgb="FF000000"/>
      <name val="Times New Roman"/>
      <family val="1"/>
    </font>
    <font>
      <b/>
      <sz val="12"/>
      <color theme="1"/>
      <name val="Times New Roman"/>
      <family val="1"/>
    </font>
    <font>
      <b/>
      <u/>
      <sz val="11"/>
      <name val="Times New Roman"/>
      <family val="1"/>
    </font>
    <font>
      <b/>
      <sz val="11"/>
      <name val="Times New Roman"/>
      <family val="1"/>
    </font>
    <font>
      <sz val="11"/>
      <name val="Times New Roman"/>
      <family val="1"/>
    </font>
    <font>
      <sz val="12"/>
      <color theme="1"/>
      <name val="Arial"/>
      <family val="2"/>
      <charset val="1"/>
    </font>
    <font>
      <b/>
      <sz val="10"/>
      <color rgb="FF000000"/>
      <name val="Times New Roman"/>
      <family val="1"/>
    </font>
    <font>
      <sz val="11"/>
      <color theme="1"/>
      <name val="Arial"/>
      <family val="2"/>
    </font>
    <font>
      <b/>
      <sz val="11"/>
      <color rgb="FF000000"/>
      <name val="Arial"/>
      <family val="2"/>
    </font>
    <font>
      <sz val="11"/>
      <color rgb="FF000000"/>
      <name val="Arial"/>
      <family val="2"/>
    </font>
    <font>
      <b/>
      <u/>
      <sz val="11"/>
      <color rgb="FF000000"/>
      <name val="Arial"/>
      <family val="2"/>
    </font>
    <font>
      <b/>
      <sz val="11"/>
      <color theme="1"/>
      <name val="Calibri"/>
      <family val="2"/>
      <scheme val="minor"/>
    </font>
    <font>
      <b/>
      <sz val="12"/>
      <color theme="1"/>
      <name val="Calibri"/>
      <family val="2"/>
      <scheme val="minor"/>
    </font>
    <font>
      <sz val="10"/>
      <color rgb="FF000000"/>
      <name val="Times New Roman"/>
      <family val="1"/>
    </font>
    <font>
      <sz val="10"/>
      <color theme="1"/>
      <name val="Times New Roman"/>
      <family val="1"/>
    </font>
    <font>
      <sz val="10"/>
      <name val="Times New Roman"/>
      <family val="1"/>
    </font>
    <font>
      <b/>
      <sz val="10"/>
      <color theme="1"/>
      <name val="Times New Roman"/>
      <family val="1"/>
    </font>
    <font>
      <b/>
      <u/>
      <sz val="10"/>
      <name val="Times New Roman"/>
      <family val="1"/>
    </font>
    <font>
      <b/>
      <sz val="10"/>
      <name val="Times New Roman"/>
      <family val="1"/>
    </font>
    <font>
      <sz val="10"/>
      <color rgb="FFFF0000"/>
      <name val="Times New Roman"/>
      <family val="1"/>
    </font>
    <font>
      <sz val="11"/>
      <name val="Cambria"/>
      <family val="1"/>
      <scheme val="major"/>
    </font>
    <font>
      <b/>
      <sz val="11"/>
      <name val="Cambria"/>
      <family val="1"/>
      <scheme val="major"/>
    </font>
    <font>
      <sz val="11"/>
      <color rgb="FF000000"/>
      <name val="Cambria"/>
      <family val="1"/>
      <scheme val="major"/>
    </font>
    <font>
      <b/>
      <sz val="14"/>
      <color theme="1"/>
      <name val="Cambria"/>
      <family val="1"/>
      <scheme val="major"/>
    </font>
    <font>
      <b/>
      <u/>
      <sz val="11"/>
      <name val="Cambria"/>
      <family val="1"/>
      <scheme val="major"/>
    </font>
    <font>
      <b/>
      <sz val="10"/>
      <name val="Arial"/>
      <family val="2"/>
    </font>
    <font>
      <b/>
      <u/>
      <sz val="10"/>
      <name val="Arial"/>
      <family val="2"/>
    </font>
    <font>
      <sz val="11"/>
      <color indexed="8"/>
      <name val="Calibri"/>
      <family val="2"/>
    </font>
    <font>
      <sz val="11"/>
      <name val="Times New Roman"/>
      <family val="1"/>
      <charset val="1"/>
    </font>
    <font>
      <sz val="11"/>
      <color rgb="FF000000"/>
      <name val="Calibri"/>
      <family val="2"/>
      <scheme val="minor"/>
    </font>
    <font>
      <sz val="10"/>
      <name val="Helv"/>
      <charset val="204"/>
    </font>
    <font>
      <b/>
      <sz val="10"/>
      <name val="Arial"/>
      <family val="2"/>
      <charset val="1"/>
    </font>
    <font>
      <sz val="10"/>
      <name val="Arial"/>
      <family val="2"/>
      <charset val="1"/>
    </font>
    <font>
      <sz val="10"/>
      <color indexed="12"/>
      <name val="Arial"/>
      <family val="2"/>
      <charset val="1"/>
    </font>
    <font>
      <b/>
      <u/>
      <sz val="10"/>
      <name val="Arial"/>
      <family val="2"/>
      <charset val="1"/>
    </font>
    <font>
      <sz val="10"/>
      <color indexed="8"/>
      <name val="Arial"/>
      <family val="2"/>
      <charset val="1"/>
    </font>
    <font>
      <sz val="10"/>
      <color indexed="10"/>
      <name val="Arial"/>
      <family val="2"/>
      <charset val="1"/>
    </font>
    <font>
      <b/>
      <sz val="10"/>
      <color indexed="8"/>
      <name val="Arial"/>
      <family val="2"/>
      <charset val="1"/>
    </font>
    <font>
      <b/>
      <vertAlign val="superscript"/>
      <sz val="10"/>
      <name val="Arial"/>
      <family val="2"/>
      <charset val="1"/>
    </font>
    <font>
      <sz val="10"/>
      <color indexed="62"/>
      <name val="Arial"/>
      <family val="2"/>
      <charset val="1"/>
    </font>
    <font>
      <vertAlign val="superscript"/>
      <sz val="10"/>
      <name val="Arial"/>
      <family val="2"/>
      <charset val="1"/>
    </font>
    <font>
      <sz val="11"/>
      <name val="Calibri"/>
      <family val="2"/>
      <charset val="1"/>
    </font>
    <font>
      <sz val="11"/>
      <name val="Cambria"/>
      <family val="2"/>
      <charset val="1"/>
    </font>
    <font>
      <b/>
      <sz val="10"/>
      <color indexed="10"/>
      <name val="Arial"/>
      <family val="2"/>
      <charset val="1"/>
    </font>
    <font>
      <b/>
      <sz val="12"/>
      <color rgb="FF000000"/>
      <name val="Arial"/>
      <family val="2"/>
    </font>
    <font>
      <sz val="12"/>
      <color rgb="FF000000"/>
      <name val="Arial"/>
      <family val="2"/>
    </font>
    <font>
      <sz val="12"/>
      <name val="Arial"/>
      <family val="2"/>
    </font>
    <font>
      <b/>
      <sz val="16"/>
      <color rgb="FF000000"/>
      <name val="Arial"/>
      <family val="2"/>
    </font>
    <font>
      <b/>
      <sz val="16"/>
      <name val="Arial"/>
      <family val="2"/>
    </font>
    <font>
      <b/>
      <u/>
      <sz val="16"/>
      <name val="Arial"/>
      <family val="2"/>
    </font>
    <font>
      <b/>
      <sz val="12"/>
      <name val="Arial"/>
      <family val="2"/>
    </font>
    <font>
      <b/>
      <u/>
      <sz val="12"/>
      <name val="Arial"/>
      <family val="2"/>
    </font>
    <font>
      <b/>
      <i/>
      <u/>
      <sz val="12"/>
      <name val="Arial"/>
      <family val="2"/>
    </font>
    <font>
      <b/>
      <i/>
      <u/>
      <sz val="14"/>
      <name val="Arial"/>
      <family val="2"/>
    </font>
    <font>
      <b/>
      <sz val="10"/>
      <color theme="1"/>
      <name val="Arial"/>
      <family val="2"/>
    </font>
    <font>
      <b/>
      <sz val="12"/>
      <color theme="1"/>
      <name val="Arial"/>
      <family val="2"/>
    </font>
    <font>
      <vertAlign val="superscript"/>
      <sz val="12"/>
      <name val="Arial"/>
      <family val="2"/>
    </font>
    <font>
      <sz val="10"/>
      <color rgb="FF000000"/>
      <name val="Arial"/>
      <family val="2"/>
    </font>
    <font>
      <sz val="11"/>
      <name val="Arial"/>
      <family val="2"/>
    </font>
    <font>
      <sz val="11"/>
      <color rgb="FFFF0000"/>
      <name val="Arial"/>
      <family val="2"/>
    </font>
    <font>
      <sz val="9.5"/>
      <name val="Arial"/>
      <family val="2"/>
    </font>
    <font>
      <b/>
      <sz val="14"/>
      <color rgb="FF000000"/>
      <name val="Arial"/>
      <family val="2"/>
    </font>
  </fonts>
  <fills count="3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00B0F0"/>
        <bgColor indexed="64"/>
      </patternFill>
    </fill>
    <fill>
      <patternFill patternType="solid">
        <fgColor theme="0"/>
        <bgColor indexed="64"/>
      </patternFill>
    </fill>
    <fill>
      <patternFill patternType="solid">
        <fgColor rgb="FF92D050"/>
        <bgColor indexed="64"/>
      </patternFill>
    </fill>
    <fill>
      <patternFill patternType="solid">
        <fgColor rgb="FF7030A0"/>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0"/>
        <bgColor indexed="33"/>
      </patternFill>
    </fill>
    <fill>
      <patternFill patternType="solid">
        <fgColor indexed="9"/>
        <bgColor indexed="33"/>
      </patternFill>
    </fill>
    <fill>
      <patternFill patternType="solid">
        <fgColor theme="0"/>
        <bgColor indexed="51"/>
      </patternFill>
    </fill>
    <fill>
      <patternFill patternType="solid">
        <fgColor indexed="34"/>
        <bgColor indexed="51"/>
      </patternFill>
    </fill>
    <fill>
      <patternFill patternType="solid">
        <fgColor theme="0"/>
        <bgColor indexed="60"/>
      </patternFill>
    </fill>
    <fill>
      <patternFill patternType="solid">
        <fgColor theme="0"/>
        <bgColor indexed="34"/>
      </patternFill>
    </fill>
    <fill>
      <patternFill patternType="solid">
        <fgColor indexed="51"/>
        <bgColor indexed="34"/>
      </patternFill>
    </fill>
    <fill>
      <patternFill patternType="solid">
        <fgColor indexed="13"/>
        <bgColor indexed="51"/>
      </patternFill>
    </fill>
    <fill>
      <patternFill patternType="solid">
        <fgColor indexed="55"/>
        <bgColor indexed="24"/>
      </patternFill>
    </fill>
    <fill>
      <patternFill patternType="solid">
        <fgColor theme="0"/>
        <bgColor indexed="17"/>
      </patternFill>
    </fill>
    <fill>
      <patternFill patternType="solid">
        <fgColor theme="0"/>
        <bgColor indexed="53"/>
      </patternFill>
    </fill>
    <fill>
      <patternFill patternType="solid">
        <fgColor theme="0"/>
        <bgColor indexed="35"/>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auto="1"/>
      </left>
      <right style="thin">
        <color auto="1"/>
      </right>
      <top style="hair">
        <color auto="1"/>
      </top>
      <bottom style="hair">
        <color auto="1"/>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hair">
        <color indexed="8"/>
      </right>
      <top/>
      <bottom style="hair">
        <color indexed="8"/>
      </bottom>
      <diagonal/>
    </border>
    <border>
      <left style="hair">
        <color indexed="8"/>
      </left>
      <right style="hair">
        <color indexed="8"/>
      </right>
      <top/>
      <bottom style="hair">
        <color indexed="8"/>
      </bottom>
      <diagonal/>
    </border>
    <border>
      <left/>
      <right style="hair">
        <color indexed="8"/>
      </right>
      <top style="hair">
        <color indexed="8"/>
      </top>
      <bottom style="hair">
        <color indexed="8"/>
      </bottom>
      <diagonal/>
    </border>
    <border>
      <left style="hair">
        <color indexed="8"/>
      </left>
      <right style="hair">
        <color indexed="8"/>
      </right>
      <top style="hair">
        <color indexed="8"/>
      </top>
      <bottom style="hair">
        <color indexed="8"/>
      </bottom>
      <diagonal/>
    </border>
    <border>
      <left style="thin">
        <color indexed="8"/>
      </left>
      <right/>
      <top style="double">
        <color indexed="8"/>
      </top>
      <bottom/>
      <diagonal/>
    </border>
    <border>
      <left style="thin">
        <color indexed="8"/>
      </left>
      <right style="thin">
        <color indexed="8"/>
      </right>
      <top/>
      <bottom style="thin">
        <color indexed="8"/>
      </bottom>
      <diagonal/>
    </border>
  </borders>
  <cellStyleXfs count="60">
    <xf numFmtId="0" fontId="0" fillId="0" borderId="0"/>
    <xf numFmtId="43" fontId="9" fillId="0" borderId="0" applyFont="0" applyFill="0" applyBorder="0" applyAlignment="0" applyProtection="0"/>
    <xf numFmtId="0" fontId="10" fillId="0" borderId="0"/>
    <xf numFmtId="0" fontId="10" fillId="0" borderId="0"/>
    <xf numFmtId="0" fontId="4" fillId="0" borderId="0"/>
    <xf numFmtId="43" fontId="4" fillId="0" borderId="0" applyFont="0" applyFill="0" applyBorder="0" applyAlignment="0" applyProtection="0"/>
    <xf numFmtId="0" fontId="10" fillId="0" borderId="0"/>
    <xf numFmtId="43" fontId="4" fillId="0" borderId="0" applyFont="0" applyFill="0" applyBorder="0" applyAlignment="0" applyProtection="0"/>
    <xf numFmtId="0" fontId="32" fillId="0" borderId="0"/>
    <xf numFmtId="0" fontId="4" fillId="0" borderId="0"/>
    <xf numFmtId="0" fontId="3" fillId="0" borderId="0"/>
    <xf numFmtId="43" fontId="3" fillId="0" borderId="0" applyFont="0" applyFill="0" applyBorder="0" applyAlignment="0" applyProtection="0"/>
    <xf numFmtId="0" fontId="3" fillId="0" borderId="0"/>
    <xf numFmtId="9" fontId="41" fillId="0" borderId="0" applyFont="0" applyFill="0" applyBorder="0" applyAlignment="0" applyProtection="0"/>
    <xf numFmtId="0" fontId="2" fillId="0" borderId="0"/>
    <xf numFmtId="0" fontId="10" fillId="0" borderId="0"/>
    <xf numFmtId="0" fontId="55" fillId="0" borderId="0"/>
    <xf numFmtId="0" fontId="10" fillId="0" borderId="0"/>
    <xf numFmtId="0" fontId="32" fillId="0" borderId="0"/>
    <xf numFmtId="0" fontId="10" fillId="0" borderId="0"/>
    <xf numFmtId="0" fontId="32" fillId="0" borderId="0"/>
    <xf numFmtId="0" fontId="10" fillId="0" borderId="0"/>
    <xf numFmtId="0" fontId="9" fillId="0" borderId="0"/>
    <xf numFmtId="0" fontId="2" fillId="0" borderId="0"/>
    <xf numFmtId="0" fontId="2" fillId="0" borderId="0"/>
    <xf numFmtId="0" fontId="32" fillId="0" borderId="0"/>
    <xf numFmtId="0" fontId="32" fillId="0" borderId="0"/>
    <xf numFmtId="0" fontId="10" fillId="0" borderId="0"/>
    <xf numFmtId="0" fontId="32" fillId="0" borderId="0"/>
    <xf numFmtId="0" fontId="56" fillId="0" borderId="0"/>
    <xf numFmtId="0" fontId="32" fillId="0" borderId="0"/>
    <xf numFmtId="0" fontId="32" fillId="0" borderId="0"/>
    <xf numFmtId="0" fontId="10" fillId="0" borderId="0"/>
    <xf numFmtId="0" fontId="10" fillId="0" borderId="0"/>
    <xf numFmtId="0" fontId="2" fillId="0" borderId="0"/>
    <xf numFmtId="0" fontId="2" fillId="0" borderId="0"/>
    <xf numFmtId="0" fontId="2" fillId="0" borderId="0"/>
    <xf numFmtId="0" fontId="2" fillId="0" borderId="0"/>
    <xf numFmtId="0" fontId="10" fillId="0" borderId="0"/>
    <xf numFmtId="0" fontId="55" fillId="0" borderId="0"/>
    <xf numFmtId="0" fontId="32" fillId="0" borderId="0"/>
    <xf numFmtId="0" fontId="10" fillId="0" borderId="0"/>
    <xf numFmtId="0" fontId="10" fillId="0" borderId="0"/>
    <xf numFmtId="0" fontId="10" fillId="0" borderId="0"/>
    <xf numFmtId="0" fontId="10" fillId="0" borderId="0"/>
    <xf numFmtId="0" fontId="32" fillId="0" borderId="0"/>
    <xf numFmtId="0" fontId="2" fillId="0" borderId="0"/>
    <xf numFmtId="0" fontId="2" fillId="0" borderId="0"/>
    <xf numFmtId="0" fontId="32" fillId="0" borderId="0">
      <alignment vertical="center"/>
    </xf>
    <xf numFmtId="0" fontId="32" fillId="0" borderId="0"/>
    <xf numFmtId="0" fontId="32" fillId="0" borderId="0"/>
    <xf numFmtId="0" fontId="10" fillId="0" borderId="0"/>
    <xf numFmtId="0" fontId="57" fillId="0" borderId="0"/>
    <xf numFmtId="9" fontId="10" fillId="0" borderId="0" applyFont="0" applyFill="0" applyBorder="0" applyAlignment="0" applyProtection="0"/>
    <xf numFmtId="9" fontId="32" fillId="0" borderId="0" applyFont="0" applyFill="0" applyBorder="0" applyAlignment="0" applyProtection="0"/>
    <xf numFmtId="9" fontId="2" fillId="0" borderId="0" applyFont="0" applyFill="0" applyBorder="0" applyAlignment="0" applyProtection="0"/>
    <xf numFmtId="0" fontId="58" fillId="0" borderId="0"/>
    <xf numFmtId="9" fontId="56" fillId="0" borderId="0"/>
    <xf numFmtId="0" fontId="1" fillId="0" borderId="0"/>
    <xf numFmtId="43" fontId="1" fillId="0" borderId="0" applyFont="0" applyFill="0" applyBorder="0" applyAlignment="0" applyProtection="0"/>
  </cellStyleXfs>
  <cellXfs count="1364">
    <xf numFmtId="0" fontId="0" fillId="0" borderId="0" xfId="0" applyAlignment="1">
      <alignment horizontal="left" vertical="top"/>
    </xf>
    <xf numFmtId="0" fontId="5" fillId="0" borderId="1" xfId="0" applyFont="1" applyBorder="1" applyAlignment="1">
      <alignment horizontal="left" vertical="top" wrapText="1"/>
    </xf>
    <xf numFmtId="0" fontId="5" fillId="0" borderId="1" xfId="0" applyFont="1" applyBorder="1" applyAlignment="1">
      <alignment horizontal="center" vertical="center" wrapText="1"/>
    </xf>
    <xf numFmtId="0" fontId="11" fillId="0" borderId="0" xfId="0" applyFont="1" applyAlignment="1">
      <alignment horizontal="left" vertical="top"/>
    </xf>
    <xf numFmtId="0" fontId="11" fillId="0" borderId="1" xfId="0" applyFont="1" applyBorder="1" applyAlignment="1">
      <alignment horizontal="left" vertical="top" wrapText="1"/>
    </xf>
    <xf numFmtId="43"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11" fillId="0" borderId="1" xfId="0" applyFont="1" applyBorder="1" applyAlignment="1">
      <alignment horizontal="center" vertical="center" wrapText="1"/>
    </xf>
    <xf numFmtId="0" fontId="11" fillId="0" borderId="1" xfId="0" applyFont="1" applyBorder="1" applyAlignment="1">
      <alignment horizontal="left" vertical="top"/>
    </xf>
    <xf numFmtId="4" fontId="11" fillId="0" borderId="1" xfId="0" applyNumberFormat="1" applyFont="1" applyBorder="1" applyAlignment="1">
      <alignment horizontal="center" vertical="center"/>
    </xf>
    <xf numFmtId="4" fontId="11" fillId="0" borderId="0" xfId="0" applyNumberFormat="1" applyFont="1" applyAlignment="1">
      <alignment horizontal="center" vertical="center"/>
    </xf>
    <xf numFmtId="0" fontId="11" fillId="0" borderId="0" xfId="0" applyFont="1" applyAlignment="1">
      <alignment horizontal="center" vertical="top"/>
    </xf>
    <xf numFmtId="0" fontId="11" fillId="0" borderId="1" xfId="0" applyFont="1" applyBorder="1" applyAlignment="1">
      <alignment horizontal="center" vertical="top"/>
    </xf>
    <xf numFmtId="4" fontId="8" fillId="0" borderId="1" xfId="0" applyNumberFormat="1" applyFont="1" applyBorder="1" applyAlignment="1">
      <alignment horizontal="center" vertical="center"/>
    </xf>
    <xf numFmtId="0" fontId="8" fillId="0" borderId="0" xfId="0" applyFont="1" applyAlignment="1">
      <alignment horizontal="left" vertical="top"/>
    </xf>
    <xf numFmtId="0" fontId="8" fillId="0" borderId="1" xfId="0" applyFont="1" applyBorder="1" applyAlignment="1">
      <alignment horizontal="center" vertical="center" wrapText="1"/>
    </xf>
    <xf numFmtId="2" fontId="11" fillId="0" borderId="1" xfId="0" applyNumberFormat="1" applyFont="1" applyBorder="1" applyAlignment="1">
      <alignment horizontal="center" vertical="center"/>
    </xf>
    <xf numFmtId="0" fontId="11" fillId="0" borderId="5" xfId="0" applyFont="1" applyBorder="1" applyAlignment="1">
      <alignment horizontal="center" vertical="top"/>
    </xf>
    <xf numFmtId="0" fontId="11" fillId="2" borderId="1" xfId="0" applyFont="1" applyFill="1" applyBorder="1" applyAlignment="1">
      <alignment horizontal="left" vertical="top"/>
    </xf>
    <xf numFmtId="0" fontId="5" fillId="3" borderId="1" xfId="0" applyFont="1" applyFill="1" applyBorder="1" applyAlignment="1">
      <alignment horizontal="left" vertical="top" wrapText="1"/>
    </xf>
    <xf numFmtId="0" fontId="7" fillId="0" borderId="1" xfId="0" applyFont="1" applyBorder="1" applyAlignment="1">
      <alignment horizontal="center" vertical="center" wrapText="1"/>
    </xf>
    <xf numFmtId="0" fontId="11" fillId="0" borderId="0" xfId="0" applyFont="1" applyAlignment="1">
      <alignment horizontal="left" vertical="top" wrapText="1"/>
    </xf>
    <xf numFmtId="0" fontId="11" fillId="0" borderId="0" xfId="0" applyFont="1" applyAlignment="1">
      <alignment horizontal="center" vertical="center"/>
    </xf>
    <xf numFmtId="43" fontId="11" fillId="0" borderId="0" xfId="0" applyNumberFormat="1" applyFont="1" applyAlignment="1">
      <alignment horizontal="center" vertical="center"/>
    </xf>
    <xf numFmtId="0" fontId="15" fillId="0" borderId="1" xfId="0" applyFont="1" applyBorder="1" applyAlignment="1">
      <alignment horizontal="center" vertical="center" wrapText="1"/>
    </xf>
    <xf numFmtId="4" fontId="11" fillId="0" borderId="1" xfId="1" applyNumberFormat="1" applyFont="1" applyFill="1" applyBorder="1" applyAlignment="1">
      <alignment horizontal="center" vertical="center" wrapText="1"/>
    </xf>
    <xf numFmtId="0" fontId="5" fillId="2" borderId="1" xfId="0" applyFont="1" applyFill="1" applyBorder="1" applyAlignment="1">
      <alignment horizontal="left" vertical="top" wrapText="1"/>
    </xf>
    <xf numFmtId="0" fontId="5" fillId="2" borderId="1" xfId="0" applyFont="1" applyFill="1" applyBorder="1" applyAlignment="1">
      <alignment horizontal="center" vertical="center" wrapText="1"/>
    </xf>
    <xf numFmtId="4" fontId="11" fillId="2" borderId="1" xfId="1" applyNumberFormat="1" applyFont="1" applyFill="1" applyBorder="1" applyAlignment="1">
      <alignment horizontal="center" vertical="center" wrapText="1"/>
    </xf>
    <xf numFmtId="0" fontId="11" fillId="2" borderId="0" xfId="0" applyFont="1" applyFill="1" applyAlignment="1">
      <alignment horizontal="left" vertical="top"/>
    </xf>
    <xf numFmtId="0" fontId="11" fillId="4" borderId="1" xfId="0" applyFont="1" applyFill="1" applyBorder="1" applyAlignment="1">
      <alignment horizontal="left" vertical="top"/>
    </xf>
    <xf numFmtId="0" fontId="11" fillId="4" borderId="0" xfId="0" applyFont="1" applyFill="1" applyAlignment="1">
      <alignment horizontal="left" vertical="top"/>
    </xf>
    <xf numFmtId="43" fontId="11" fillId="4" borderId="0" xfId="0" applyNumberFormat="1" applyFont="1" applyFill="1" applyAlignment="1">
      <alignment horizontal="center" vertical="center"/>
    </xf>
    <xf numFmtId="0" fontId="8" fillId="4" borderId="1" xfId="0" applyFont="1" applyFill="1" applyBorder="1" applyAlignment="1">
      <alignment horizontal="left" vertical="top"/>
    </xf>
    <xf numFmtId="0" fontId="8" fillId="4" borderId="0" xfId="0" applyFont="1" applyFill="1" applyAlignment="1">
      <alignment horizontal="left" vertical="top"/>
    </xf>
    <xf numFmtId="0" fontId="11" fillId="3" borderId="1" xfId="0" applyFont="1" applyFill="1" applyBorder="1" applyAlignment="1">
      <alignment horizontal="left" vertical="top"/>
    </xf>
    <xf numFmtId="0" fontId="11" fillId="3" borderId="0" xfId="0" applyFont="1" applyFill="1" applyAlignment="1">
      <alignment horizontal="left" vertical="top"/>
    </xf>
    <xf numFmtId="43" fontId="11" fillId="3" borderId="0" xfId="0" applyNumberFormat="1" applyFont="1" applyFill="1" applyAlignment="1">
      <alignment horizontal="center" vertical="center"/>
    </xf>
    <xf numFmtId="0" fontId="8" fillId="0" borderId="5" xfId="0" applyFont="1" applyBorder="1" applyAlignment="1">
      <alignment horizontal="center" vertical="center" wrapText="1"/>
    </xf>
    <xf numFmtId="43" fontId="11" fillId="0" borderId="5" xfId="0" applyNumberFormat="1" applyFont="1" applyBorder="1" applyAlignment="1">
      <alignment horizontal="center" vertical="center"/>
    </xf>
    <xf numFmtId="0" fontId="11" fillId="0" borderId="5" xfId="0" applyFont="1" applyBorder="1" applyAlignment="1">
      <alignment horizontal="left" vertical="top"/>
    </xf>
    <xf numFmtId="0" fontId="8" fillId="0" borderId="2" xfId="0" applyFont="1" applyBorder="1" applyAlignment="1">
      <alignment horizontal="center" vertical="center" wrapText="1"/>
    </xf>
    <xf numFmtId="43" fontId="11" fillId="0" borderId="2" xfId="0" applyNumberFormat="1" applyFont="1" applyBorder="1" applyAlignment="1">
      <alignment horizontal="center" vertical="center"/>
    </xf>
    <xf numFmtId="0" fontId="12" fillId="0" borderId="6" xfId="0" applyFont="1" applyBorder="1" applyAlignment="1">
      <alignment vertical="top" wrapText="1"/>
    </xf>
    <xf numFmtId="0" fontId="11" fillId="0" borderId="6" xfId="0" applyFont="1" applyBorder="1" applyAlignment="1">
      <alignment horizontal="left" vertical="top"/>
    </xf>
    <xf numFmtId="43" fontId="11" fillId="2" borderId="5" xfId="0" applyNumberFormat="1" applyFont="1" applyFill="1" applyBorder="1" applyAlignment="1">
      <alignment horizontal="center" vertical="center"/>
    </xf>
    <xf numFmtId="43" fontId="11" fillId="2" borderId="1" xfId="0" applyNumberFormat="1" applyFont="1" applyFill="1" applyBorder="1" applyAlignment="1">
      <alignment horizontal="center" vertical="center"/>
    </xf>
    <xf numFmtId="43" fontId="11" fillId="2" borderId="2" xfId="0" applyNumberFormat="1" applyFont="1" applyFill="1" applyBorder="1" applyAlignment="1">
      <alignment horizontal="center" vertical="center"/>
    </xf>
    <xf numFmtId="0" fontId="11" fillId="6" borderId="1" xfId="0" applyFont="1" applyFill="1" applyBorder="1" applyAlignment="1">
      <alignment horizontal="left" vertical="top"/>
    </xf>
    <xf numFmtId="43" fontId="11" fillId="6" borderId="5" xfId="0" applyNumberFormat="1" applyFont="1" applyFill="1" applyBorder="1" applyAlignment="1">
      <alignment horizontal="center" vertical="center"/>
    </xf>
    <xf numFmtId="43" fontId="11" fillId="6" borderId="1" xfId="0" applyNumberFormat="1" applyFont="1" applyFill="1" applyBorder="1" applyAlignment="1">
      <alignment horizontal="center" vertical="center"/>
    </xf>
    <xf numFmtId="43" fontId="11" fillId="6" borderId="2" xfId="0" applyNumberFormat="1" applyFont="1" applyFill="1" applyBorder="1" applyAlignment="1">
      <alignment horizontal="center" vertical="center"/>
    </xf>
    <xf numFmtId="0" fontId="11" fillId="6" borderId="0" xfId="0" applyFont="1" applyFill="1" applyAlignment="1">
      <alignment horizontal="left" vertical="top"/>
    </xf>
    <xf numFmtId="0" fontId="11" fillId="7" borderId="1" xfId="0" applyFont="1" applyFill="1" applyBorder="1" applyAlignment="1">
      <alignment horizontal="left" vertical="top"/>
    </xf>
    <xf numFmtId="43" fontId="11" fillId="7" borderId="0" xfId="0" applyNumberFormat="1" applyFont="1" applyFill="1" applyAlignment="1">
      <alignment horizontal="center" vertical="center"/>
    </xf>
    <xf numFmtId="0" fontId="11" fillId="7" borderId="0" xfId="0" applyFont="1" applyFill="1" applyAlignment="1">
      <alignment horizontal="left" vertical="top"/>
    </xf>
    <xf numFmtId="43" fontId="11" fillId="4" borderId="5" xfId="0" applyNumberFormat="1" applyFont="1" applyFill="1" applyBorder="1" applyAlignment="1">
      <alignment horizontal="center" vertical="center"/>
    </xf>
    <xf numFmtId="43" fontId="11" fillId="4" borderId="1" xfId="0" applyNumberFormat="1" applyFont="1" applyFill="1" applyBorder="1" applyAlignment="1">
      <alignment horizontal="center" vertical="center"/>
    </xf>
    <xf numFmtId="43" fontId="11" fillId="4" borderId="2" xfId="0" applyNumberFormat="1" applyFont="1" applyFill="1" applyBorder="1" applyAlignment="1">
      <alignment horizontal="center" vertical="center"/>
    </xf>
    <xf numFmtId="0" fontId="8" fillId="0" borderId="1" xfId="0" applyFont="1" applyBorder="1" applyAlignment="1">
      <alignment horizontal="left" vertical="top" wrapText="1"/>
    </xf>
    <xf numFmtId="0" fontId="11" fillId="2" borderId="1" xfId="0" applyFont="1" applyFill="1" applyBorder="1" applyAlignment="1">
      <alignment horizontal="left" vertical="top" wrapText="1"/>
    </xf>
    <xf numFmtId="0" fontId="11" fillId="0" borderId="1" xfId="0" applyFont="1" applyBorder="1" applyAlignment="1">
      <alignment vertical="top" wrapText="1"/>
    </xf>
    <xf numFmtId="0" fontId="11" fillId="2" borderId="1" xfId="0" applyFont="1" applyFill="1" applyBorder="1" applyAlignment="1">
      <alignment horizontal="center" vertical="top"/>
    </xf>
    <xf numFmtId="0" fontId="11" fillId="0" borderId="1" xfId="0" applyFont="1" applyBorder="1" applyAlignment="1">
      <alignment horizontal="center" vertical="top" wrapText="1"/>
    </xf>
    <xf numFmtId="1" fontId="11" fillId="0" borderId="1" xfId="0" applyNumberFormat="1" applyFont="1" applyBorder="1" applyAlignment="1">
      <alignment horizontal="center" vertical="center" wrapText="1" shrinkToFit="1"/>
    </xf>
    <xf numFmtId="4" fontId="11" fillId="0" borderId="1" xfId="0" applyNumberFormat="1" applyFont="1" applyBorder="1" applyAlignment="1">
      <alignment horizontal="center" vertical="center" wrapText="1" shrinkToFit="1"/>
    </xf>
    <xf numFmtId="4" fontId="11" fillId="0" borderId="1" xfId="0" applyNumberFormat="1" applyFont="1" applyBorder="1" applyAlignment="1">
      <alignment horizontal="center" vertical="center" wrapText="1"/>
    </xf>
    <xf numFmtId="1" fontId="11" fillId="2" borderId="1" xfId="0" applyNumberFormat="1" applyFont="1" applyFill="1" applyBorder="1" applyAlignment="1">
      <alignment horizontal="center" vertical="center" wrapText="1" shrinkToFit="1"/>
    </xf>
    <xf numFmtId="4" fontId="11" fillId="2" borderId="1" xfId="0" applyNumberFormat="1" applyFont="1" applyFill="1" applyBorder="1" applyAlignment="1">
      <alignment horizontal="center" vertical="center" wrapText="1" shrinkToFit="1"/>
    </xf>
    <xf numFmtId="4" fontId="11" fillId="2" borderId="1" xfId="0" applyNumberFormat="1" applyFont="1" applyFill="1" applyBorder="1" applyAlignment="1">
      <alignment horizontal="center" vertical="center" wrapText="1"/>
    </xf>
    <xf numFmtId="2" fontId="11" fillId="0" borderId="1" xfId="0" applyNumberFormat="1" applyFont="1" applyBorder="1" applyAlignment="1">
      <alignment horizontal="center" vertical="center" wrapText="1" shrinkToFit="1"/>
    </xf>
    <xf numFmtId="164" fontId="11" fillId="0" borderId="1" xfId="0" applyNumberFormat="1" applyFont="1" applyBorder="1" applyAlignment="1">
      <alignment horizontal="center" vertical="center" wrapText="1" shrinkToFit="1"/>
    </xf>
    <xf numFmtId="0" fontId="8" fillId="0" borderId="1" xfId="0" applyFont="1" applyBorder="1" applyAlignment="1">
      <alignment horizontal="right" vertical="top" wrapText="1"/>
    </xf>
    <xf numFmtId="2" fontId="11" fillId="0" borderId="1" xfId="0" applyNumberFormat="1" applyFont="1" applyBorder="1" applyAlignment="1">
      <alignment horizontal="left" vertical="top" wrapText="1"/>
    </xf>
    <xf numFmtId="2" fontId="7" fillId="0" borderId="1" xfId="0" applyNumberFormat="1" applyFont="1" applyBorder="1" applyAlignment="1">
      <alignment horizontal="center" vertical="center" wrapText="1"/>
    </xf>
    <xf numFmtId="2" fontId="11" fillId="0" borderId="1" xfId="0" applyNumberFormat="1" applyFont="1" applyBorder="1" applyAlignment="1">
      <alignment horizontal="center" vertical="top" wrapText="1"/>
    </xf>
    <xf numFmtId="2" fontId="11" fillId="2" borderId="1" xfId="0" applyNumberFormat="1" applyFont="1" applyFill="1" applyBorder="1" applyAlignment="1">
      <alignment horizontal="center" vertical="center" wrapText="1" shrinkToFit="1"/>
    </xf>
    <xf numFmtId="2" fontId="11" fillId="0" borderId="1" xfId="0" applyNumberFormat="1" applyFont="1" applyBorder="1" applyAlignment="1">
      <alignment horizontal="center" vertical="center" wrapText="1"/>
    </xf>
    <xf numFmtId="2" fontId="11" fillId="2" borderId="1" xfId="0" applyNumberFormat="1" applyFont="1" applyFill="1" applyBorder="1" applyAlignment="1">
      <alignment horizontal="center" vertical="center" wrapText="1"/>
    </xf>
    <xf numFmtId="2" fontId="11" fillId="0" borderId="0" xfId="0" applyNumberFormat="1" applyFont="1" applyAlignment="1">
      <alignment horizontal="left" vertical="top"/>
    </xf>
    <xf numFmtId="2" fontId="11" fillId="5" borderId="1" xfId="0" applyNumberFormat="1" applyFont="1" applyFill="1" applyBorder="1" applyAlignment="1">
      <alignment horizontal="center" vertical="center" wrapText="1" shrinkToFit="1"/>
    </xf>
    <xf numFmtId="0" fontId="20"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7" fillId="0" borderId="1" xfId="2" applyFont="1" applyBorder="1" applyAlignment="1">
      <alignment vertical="center" wrapText="1"/>
    </xf>
    <xf numFmtId="0" fontId="21" fillId="0" borderId="1" xfId="2" applyFont="1" applyBorder="1" applyAlignment="1">
      <alignment horizontal="center" vertical="center" wrapText="1"/>
    </xf>
    <xf numFmtId="0" fontId="18" fillId="0" borderId="1" xfId="2" applyFont="1" applyBorder="1" applyAlignment="1">
      <alignment vertical="center" wrapText="1"/>
    </xf>
    <xf numFmtId="0" fontId="12" fillId="0" borderId="7" xfId="0" applyFont="1" applyBorder="1" applyAlignment="1">
      <alignment vertical="top" wrapText="1"/>
    </xf>
    <xf numFmtId="0" fontId="7" fillId="0" borderId="5" xfId="0" applyFont="1" applyBorder="1" applyAlignment="1">
      <alignment horizontal="center" vertical="center" wrapText="1"/>
    </xf>
    <xf numFmtId="0" fontId="11" fillId="2" borderId="5" xfId="0" applyFont="1" applyFill="1" applyBorder="1" applyAlignment="1">
      <alignment horizontal="left" vertical="top"/>
    </xf>
    <xf numFmtId="0" fontId="11" fillId="0" borderId="1" xfId="0" applyFont="1" applyBorder="1" applyAlignment="1">
      <alignment horizontal="left" vertical="center" wrapText="1"/>
    </xf>
    <xf numFmtId="0" fontId="13" fillId="0" borderId="1" xfId="2" applyFont="1" applyBorder="1" applyAlignment="1">
      <alignment vertical="center" wrapText="1"/>
    </xf>
    <xf numFmtId="0" fontId="19" fillId="0" borderId="1" xfId="2" applyFont="1" applyBorder="1" applyAlignment="1">
      <alignment horizontal="center" vertical="center" wrapText="1"/>
    </xf>
    <xf numFmtId="0" fontId="13" fillId="0" borderId="1" xfId="2" applyFont="1" applyBorder="1" applyAlignment="1">
      <alignment horizontal="left" vertical="top" wrapText="1"/>
    </xf>
    <xf numFmtId="0" fontId="11" fillId="3" borderId="1" xfId="0" applyFont="1" applyFill="1" applyBorder="1" applyAlignment="1">
      <alignment horizontal="left" vertical="top" wrapText="1"/>
    </xf>
    <xf numFmtId="1" fontId="11" fillId="3" borderId="1" xfId="0" applyNumberFormat="1" applyFont="1" applyFill="1" applyBorder="1" applyAlignment="1">
      <alignment horizontal="center" vertical="center" wrapText="1" shrinkToFit="1"/>
    </xf>
    <xf numFmtId="0" fontId="5" fillId="3" borderId="1" xfId="0" applyFont="1" applyFill="1" applyBorder="1" applyAlignment="1">
      <alignment horizontal="center" vertical="center" wrapText="1"/>
    </xf>
    <xf numFmtId="4" fontId="11" fillId="3" borderId="1" xfId="1" applyNumberFormat="1" applyFont="1" applyFill="1" applyBorder="1" applyAlignment="1">
      <alignment horizontal="center" vertical="center" wrapText="1"/>
    </xf>
    <xf numFmtId="4" fontId="11" fillId="3" borderId="1" xfId="0" applyNumberFormat="1" applyFont="1" applyFill="1" applyBorder="1" applyAlignment="1">
      <alignment horizontal="center" vertical="center" wrapText="1" shrinkToFit="1"/>
    </xf>
    <xf numFmtId="2" fontId="11" fillId="3" borderId="1" xfId="0" applyNumberFormat="1" applyFont="1" applyFill="1" applyBorder="1" applyAlignment="1">
      <alignment horizontal="center" vertical="center" wrapText="1" shrinkToFit="1"/>
    </xf>
    <xf numFmtId="4" fontId="11" fillId="3" borderId="1" xfId="0" applyNumberFormat="1" applyFont="1" applyFill="1" applyBorder="1" applyAlignment="1">
      <alignment horizontal="center" vertical="center" wrapText="1"/>
    </xf>
    <xf numFmtId="0" fontId="13" fillId="0" borderId="1" xfId="0" applyFont="1" applyBorder="1" applyAlignment="1">
      <alignment vertical="top" wrapText="1"/>
    </xf>
    <xf numFmtId="0" fontId="5" fillId="0" borderId="1" xfId="0" applyFont="1" applyBorder="1" applyAlignment="1">
      <alignment vertical="center" wrapText="1"/>
    </xf>
    <xf numFmtId="0" fontId="13" fillId="0" borderId="1" xfId="0" applyFont="1" applyBorder="1" applyAlignment="1">
      <alignment vertical="center" wrapText="1"/>
    </xf>
    <xf numFmtId="0" fontId="5" fillId="0" borderId="1" xfId="3" applyFont="1" applyBorder="1" applyAlignment="1">
      <alignment vertical="top" wrapText="1"/>
    </xf>
    <xf numFmtId="0" fontId="0" fillId="0" borderId="1" xfId="0" applyBorder="1" applyAlignment="1">
      <alignment vertical="top" wrapText="1"/>
    </xf>
    <xf numFmtId="0" fontId="11" fillId="0" borderId="1" xfId="0" applyFont="1" applyBorder="1" applyAlignment="1">
      <alignment vertical="center"/>
    </xf>
    <xf numFmtId="0" fontId="0" fillId="0" borderId="1" xfId="0" applyBorder="1" applyAlignment="1">
      <alignment vertical="center"/>
    </xf>
    <xf numFmtId="0" fontId="27" fillId="0" borderId="1" xfId="0" applyFont="1" applyBorder="1" applyAlignment="1">
      <alignment vertical="center" wrapText="1"/>
    </xf>
    <xf numFmtId="0" fontId="22" fillId="0" borderId="1" xfId="0" applyFont="1" applyBorder="1" applyAlignment="1">
      <alignment horizontal="center" vertical="center" wrapText="1"/>
    </xf>
    <xf numFmtId="4" fontId="11" fillId="0" borderId="1" xfId="0" applyNumberFormat="1" applyFont="1" applyBorder="1" applyAlignment="1">
      <alignment horizontal="left" vertical="top" wrapText="1"/>
    </xf>
    <xf numFmtId="2" fontId="11" fillId="0" borderId="1" xfId="0" applyNumberFormat="1" applyFont="1" applyBorder="1" applyAlignment="1">
      <alignment horizontal="left" vertical="top"/>
    </xf>
    <xf numFmtId="0" fontId="26" fillId="0" borderId="1" xfId="0" applyFont="1" applyBorder="1" applyAlignment="1">
      <alignment horizontal="center" vertical="center" wrapText="1"/>
    </xf>
    <xf numFmtId="0" fontId="25" fillId="0" borderId="1" xfId="0" applyFont="1" applyBorder="1" applyAlignment="1">
      <alignment horizontal="left" vertical="top" wrapText="1"/>
    </xf>
    <xf numFmtId="0" fontId="24" fillId="0" borderId="1" xfId="0" applyFont="1" applyBorder="1" applyAlignment="1">
      <alignment horizontal="center" vertical="center" wrapText="1"/>
    </xf>
    <xf numFmtId="4" fontId="11" fillId="0" borderId="1" xfId="0" applyNumberFormat="1" applyFont="1" applyBorder="1" applyAlignment="1">
      <alignment horizontal="center" vertical="top" wrapText="1"/>
    </xf>
    <xf numFmtId="0" fontId="11" fillId="0" borderId="2" xfId="0" applyFont="1" applyBorder="1" applyAlignment="1">
      <alignment vertical="center"/>
    </xf>
    <xf numFmtId="0" fontId="13" fillId="0" borderId="1" xfId="0" applyFont="1" applyBorder="1" applyAlignment="1">
      <alignment horizontal="left" vertical="center"/>
    </xf>
    <xf numFmtId="0" fontId="11" fillId="8" borderId="1" xfId="0" applyFont="1" applyFill="1" applyBorder="1" applyAlignment="1">
      <alignment horizontal="left" vertical="top"/>
    </xf>
    <xf numFmtId="0" fontId="8" fillId="8" borderId="1" xfId="0" applyFont="1" applyFill="1" applyBorder="1" applyAlignment="1">
      <alignment horizontal="left" vertical="top" wrapText="1"/>
    </xf>
    <xf numFmtId="0" fontId="11" fillId="8" borderId="1" xfId="0" applyFont="1" applyFill="1" applyBorder="1" applyAlignment="1">
      <alignment horizontal="center" vertical="center"/>
    </xf>
    <xf numFmtId="2" fontId="11" fillId="8" borderId="1" xfId="0" applyNumberFormat="1" applyFont="1" applyFill="1" applyBorder="1" applyAlignment="1">
      <alignment horizontal="center" vertical="center"/>
    </xf>
    <xf numFmtId="1" fontId="11" fillId="8" borderId="1" xfId="0" applyNumberFormat="1" applyFont="1" applyFill="1" applyBorder="1" applyAlignment="1">
      <alignment horizontal="center" vertical="center" shrinkToFit="1"/>
    </xf>
    <xf numFmtId="0" fontId="11" fillId="8" borderId="2" xfId="0" applyFont="1" applyFill="1" applyBorder="1" applyAlignment="1">
      <alignment horizontal="center" vertical="center"/>
    </xf>
    <xf numFmtId="4" fontId="11" fillId="8" borderId="1" xfId="0" applyNumberFormat="1" applyFont="1" applyFill="1" applyBorder="1" applyAlignment="1">
      <alignment horizontal="center" vertical="center"/>
    </xf>
    <xf numFmtId="0" fontId="11" fillId="8" borderId="5" xfId="0" applyFont="1" applyFill="1" applyBorder="1" applyAlignment="1">
      <alignment horizontal="left" vertical="top"/>
    </xf>
    <xf numFmtId="0" fontId="11" fillId="8" borderId="2" xfId="0" applyFont="1" applyFill="1" applyBorder="1" applyAlignment="1">
      <alignment horizontal="left" vertical="top"/>
    </xf>
    <xf numFmtId="0" fontId="11" fillId="8" borderId="0" xfId="0" applyFont="1" applyFill="1" applyAlignment="1">
      <alignment horizontal="left" vertical="top"/>
    </xf>
    <xf numFmtId="1" fontId="11" fillId="8" borderId="1" xfId="0" applyNumberFormat="1" applyFont="1" applyFill="1" applyBorder="1" applyAlignment="1">
      <alignment horizontal="right" vertical="top" shrinkToFit="1"/>
    </xf>
    <xf numFmtId="0" fontId="5" fillId="8" borderId="1" xfId="0" applyFont="1" applyFill="1" applyBorder="1" applyAlignment="1">
      <alignment horizontal="left" vertical="top" wrapText="1"/>
    </xf>
    <xf numFmtId="2" fontId="11" fillId="8" borderId="1" xfId="0" applyNumberFormat="1" applyFont="1" applyFill="1" applyBorder="1" applyAlignment="1">
      <alignment horizontal="center" vertical="center" shrinkToFit="1"/>
    </xf>
    <xf numFmtId="1" fontId="11" fillId="8" borderId="1" xfId="0" applyNumberFormat="1" applyFont="1" applyFill="1" applyBorder="1" applyAlignment="1">
      <alignment horizontal="center" vertical="center"/>
    </xf>
    <xf numFmtId="0" fontId="5" fillId="8" borderId="2" xfId="0" applyFont="1" applyFill="1" applyBorder="1" applyAlignment="1">
      <alignment horizontal="center" vertical="center" wrapText="1"/>
    </xf>
    <xf numFmtId="0" fontId="5" fillId="8" borderId="1" xfId="0" applyFont="1" applyFill="1" applyBorder="1" applyAlignment="1">
      <alignment horizontal="center" vertical="center" wrapText="1"/>
    </xf>
    <xf numFmtId="43" fontId="11" fillId="8" borderId="1" xfId="1" applyFont="1" applyFill="1" applyBorder="1" applyAlignment="1">
      <alignment horizontal="center" vertical="center" wrapText="1"/>
    </xf>
    <xf numFmtId="43" fontId="11" fillId="8" borderId="5" xfId="0" applyNumberFormat="1" applyFont="1" applyFill="1" applyBorder="1" applyAlignment="1">
      <alignment horizontal="center" vertical="center"/>
    </xf>
    <xf numFmtId="43" fontId="11" fillId="8" borderId="1" xfId="0" applyNumberFormat="1" applyFont="1" applyFill="1" applyBorder="1" applyAlignment="1">
      <alignment horizontal="center" vertical="center"/>
    </xf>
    <xf numFmtId="0" fontId="11" fillId="8" borderId="1" xfId="0" applyFont="1" applyFill="1" applyBorder="1" applyAlignment="1">
      <alignment horizontal="center" vertical="top"/>
    </xf>
    <xf numFmtId="0" fontId="11" fillId="8" borderId="0" xfId="0" applyFont="1" applyFill="1" applyAlignment="1">
      <alignment horizontal="left" vertical="top" wrapText="1"/>
    </xf>
    <xf numFmtId="0" fontId="11" fillId="8" borderId="5" xfId="0" applyFont="1" applyFill="1" applyBorder="1" applyAlignment="1">
      <alignment horizontal="center" vertical="center"/>
    </xf>
    <xf numFmtId="0" fontId="11" fillId="8" borderId="1" xfId="0" applyFont="1" applyFill="1" applyBorder="1" applyAlignment="1">
      <alignment horizontal="left" vertical="top" wrapText="1"/>
    </xf>
    <xf numFmtId="0" fontId="11" fillId="8" borderId="1" xfId="0" applyFont="1" applyFill="1" applyBorder="1" applyAlignment="1">
      <alignment horizontal="center"/>
    </xf>
    <xf numFmtId="0" fontId="11" fillId="8" borderId="0" xfId="0" applyFont="1" applyFill="1" applyAlignment="1">
      <alignment horizontal="center" vertical="center"/>
    </xf>
    <xf numFmtId="2" fontId="11" fillId="8" borderId="0" xfId="0" applyNumberFormat="1" applyFont="1" applyFill="1" applyAlignment="1">
      <alignment horizontal="center" vertical="center"/>
    </xf>
    <xf numFmtId="0" fontId="11" fillId="8" borderId="5" xfId="0" applyFont="1" applyFill="1" applyBorder="1" applyAlignment="1">
      <alignment horizontal="center" vertical="top"/>
    </xf>
    <xf numFmtId="0" fontId="13" fillId="8" borderId="2" xfId="2" applyFont="1" applyFill="1" applyBorder="1" applyAlignment="1">
      <alignment horizontal="left" vertical="top" wrapText="1"/>
    </xf>
    <xf numFmtId="0" fontId="13" fillId="8" borderId="4" xfId="2" applyFont="1" applyFill="1" applyBorder="1" applyAlignment="1">
      <alignment horizontal="center" vertical="top" wrapText="1"/>
    </xf>
    <xf numFmtId="2" fontId="13" fillId="8" borderId="4" xfId="2" applyNumberFormat="1" applyFont="1" applyFill="1" applyBorder="1" applyAlignment="1">
      <alignment horizontal="center" vertical="top" wrapText="1"/>
    </xf>
    <xf numFmtId="2" fontId="13" fillId="8" borderId="4" xfId="2" applyNumberFormat="1" applyFont="1" applyFill="1" applyBorder="1" applyAlignment="1">
      <alignment horizontal="center" vertical="center" wrapText="1"/>
    </xf>
    <xf numFmtId="0" fontId="13" fillId="8" borderId="2" xfId="2" applyFont="1" applyFill="1" applyBorder="1" applyAlignment="1">
      <alignment horizontal="center" vertical="center" wrapText="1"/>
    </xf>
    <xf numFmtId="0" fontId="13" fillId="8" borderId="1" xfId="2" applyFont="1" applyFill="1" applyBorder="1" applyAlignment="1">
      <alignment horizontal="center" vertical="center" wrapText="1"/>
    </xf>
    <xf numFmtId="0" fontId="13" fillId="8" borderId="0" xfId="2" applyFont="1" applyFill="1" applyAlignment="1">
      <alignment horizontal="left" vertical="top" wrapText="1"/>
    </xf>
    <xf numFmtId="0" fontId="13" fillId="8" borderId="0" xfId="2" applyFont="1" applyFill="1" applyAlignment="1">
      <alignment horizontal="center" vertical="top" wrapText="1"/>
    </xf>
    <xf numFmtId="2" fontId="13" fillId="8" borderId="0" xfId="2" applyNumberFormat="1" applyFont="1" applyFill="1" applyAlignment="1">
      <alignment horizontal="center" vertical="top" wrapText="1"/>
    </xf>
    <xf numFmtId="2" fontId="13" fillId="8" borderId="0" xfId="2" applyNumberFormat="1" applyFont="1" applyFill="1" applyAlignment="1">
      <alignment horizontal="center" vertical="center" wrapText="1"/>
    </xf>
    <xf numFmtId="165" fontId="13" fillId="8" borderId="1" xfId="1" applyNumberFormat="1" applyFont="1" applyFill="1" applyBorder="1" applyAlignment="1">
      <alignment horizontal="center" vertical="center" wrapText="1"/>
    </xf>
    <xf numFmtId="0" fontId="11" fillId="8" borderId="0" xfId="0" applyFont="1" applyFill="1" applyAlignment="1">
      <alignment horizontal="center" vertical="top"/>
    </xf>
    <xf numFmtId="2" fontId="11" fillId="8" borderId="0" xfId="0" applyNumberFormat="1" applyFont="1" applyFill="1" applyAlignment="1">
      <alignment horizontal="center" vertical="top"/>
    </xf>
    <xf numFmtId="2" fontId="11" fillId="8" borderId="2" xfId="0" applyNumberFormat="1" applyFont="1" applyFill="1" applyBorder="1" applyAlignment="1">
      <alignment horizontal="center" vertical="center"/>
    </xf>
    <xf numFmtId="0" fontId="11" fillId="8" borderId="1" xfId="0" applyFont="1" applyFill="1" applyBorder="1" applyAlignment="1">
      <alignment wrapText="1"/>
    </xf>
    <xf numFmtId="2" fontId="11" fillId="8" borderId="1" xfId="0" applyNumberFormat="1" applyFont="1" applyFill="1" applyBorder="1" applyAlignment="1">
      <alignment horizontal="center"/>
    </xf>
    <xf numFmtId="0" fontId="11" fillId="8" borderId="3" xfId="0" applyFont="1" applyFill="1" applyBorder="1" applyAlignment="1">
      <alignment horizontal="center"/>
    </xf>
    <xf numFmtId="0" fontId="11" fillId="8" borderId="3" xfId="0" applyFont="1" applyFill="1" applyBorder="1" applyAlignment="1">
      <alignment wrapText="1"/>
    </xf>
    <xf numFmtId="2" fontId="11" fillId="8" borderId="3" xfId="0" applyNumberFormat="1" applyFont="1" applyFill="1" applyBorder="1" applyAlignment="1">
      <alignment horizontal="center"/>
    </xf>
    <xf numFmtId="2" fontId="11" fillId="8" borderId="3" xfId="0" applyNumberFormat="1" applyFont="1" applyFill="1" applyBorder="1" applyAlignment="1">
      <alignment horizontal="center" vertical="center"/>
    </xf>
    <xf numFmtId="0" fontId="8" fillId="8" borderId="2" xfId="0" applyFont="1" applyFill="1" applyBorder="1" applyAlignment="1">
      <alignment horizontal="left" vertical="top"/>
    </xf>
    <xf numFmtId="0" fontId="8" fillId="8" borderId="1" xfId="0" applyFont="1" applyFill="1" applyBorder="1" applyAlignment="1">
      <alignment horizontal="center"/>
    </xf>
    <xf numFmtId="2" fontId="8" fillId="8" borderId="1" xfId="0" applyNumberFormat="1" applyFont="1" applyFill="1" applyBorder="1" applyAlignment="1">
      <alignment horizontal="center"/>
    </xf>
    <xf numFmtId="2" fontId="8" fillId="8" borderId="1" xfId="0" applyNumberFormat="1" applyFont="1" applyFill="1" applyBorder="1" applyAlignment="1">
      <alignment horizontal="center" vertical="center"/>
    </xf>
    <xf numFmtId="1" fontId="8" fillId="8" borderId="1" xfId="0" applyNumberFormat="1" applyFont="1" applyFill="1" applyBorder="1" applyAlignment="1">
      <alignment horizontal="center" vertical="center" shrinkToFit="1"/>
    </xf>
    <xf numFmtId="0" fontId="8" fillId="8" borderId="2" xfId="0" applyFont="1" applyFill="1" applyBorder="1" applyAlignment="1">
      <alignment horizontal="center" vertical="center"/>
    </xf>
    <xf numFmtId="0" fontId="8" fillId="8" borderId="1" xfId="0" applyFont="1" applyFill="1" applyBorder="1" applyAlignment="1">
      <alignment horizontal="center" vertical="center"/>
    </xf>
    <xf numFmtId="4" fontId="8" fillId="8" borderId="1" xfId="0" applyNumberFormat="1" applyFont="1" applyFill="1" applyBorder="1" applyAlignment="1">
      <alignment horizontal="center" vertical="center"/>
    </xf>
    <xf numFmtId="0" fontId="8" fillId="8" borderId="5" xfId="0" applyFont="1" applyFill="1" applyBorder="1" applyAlignment="1">
      <alignment horizontal="center" vertical="center"/>
    </xf>
    <xf numFmtId="43" fontId="8" fillId="8" borderId="1" xfId="0" applyNumberFormat="1" applyFont="1" applyFill="1" applyBorder="1" applyAlignment="1">
      <alignment horizontal="center" vertical="center"/>
    </xf>
    <xf numFmtId="43" fontId="8" fillId="8" borderId="2" xfId="0" applyNumberFormat="1" applyFont="1" applyFill="1" applyBorder="1" applyAlignment="1">
      <alignment horizontal="center" vertical="center"/>
    </xf>
    <xf numFmtId="0" fontId="8" fillId="8" borderId="1" xfId="0" applyFont="1" applyFill="1" applyBorder="1" applyAlignment="1">
      <alignment horizontal="center" vertical="top"/>
    </xf>
    <xf numFmtId="0" fontId="8" fillId="8" borderId="1" xfId="0" applyFont="1" applyFill="1" applyBorder="1" applyAlignment="1">
      <alignment horizontal="left" vertical="top"/>
    </xf>
    <xf numFmtId="0" fontId="11" fillId="8" borderId="2" xfId="0" applyFont="1" applyFill="1" applyBorder="1" applyAlignment="1">
      <alignment horizontal="center"/>
    </xf>
    <xf numFmtId="0" fontId="11" fillId="8" borderId="1" xfId="0" applyFont="1" applyFill="1" applyBorder="1" applyAlignment="1">
      <alignment horizontal="left" wrapText="1"/>
    </xf>
    <xf numFmtId="0" fontId="11" fillId="8" borderId="1" xfId="0" applyFont="1" applyFill="1" applyBorder="1" applyAlignment="1">
      <alignment vertical="top" wrapText="1"/>
    </xf>
    <xf numFmtId="2" fontId="11" fillId="8" borderId="1" xfId="0" applyNumberFormat="1" applyFont="1" applyFill="1" applyBorder="1" applyAlignment="1">
      <alignment horizontal="center" vertical="top"/>
    </xf>
    <xf numFmtId="0" fontId="8" fillId="8" borderId="0" xfId="0" applyFont="1" applyFill="1" applyAlignment="1">
      <alignment horizontal="left" vertical="top"/>
    </xf>
    <xf numFmtId="2" fontId="8" fillId="8" borderId="1" xfId="0" applyNumberFormat="1" applyFont="1" applyFill="1" applyBorder="1" applyAlignment="1">
      <alignment horizontal="center" vertical="top"/>
    </xf>
    <xf numFmtId="0" fontId="13" fillId="0" borderId="1" xfId="0" applyFont="1" applyBorder="1" applyAlignment="1">
      <alignment horizontal="left" vertical="center" wrapText="1"/>
    </xf>
    <xf numFmtId="0" fontId="34" fillId="0" borderId="1" xfId="0" applyFont="1" applyBorder="1" applyAlignment="1">
      <alignment horizontal="center" vertical="center"/>
    </xf>
    <xf numFmtId="0" fontId="26" fillId="0" borderId="1" xfId="0" applyFont="1" applyBorder="1" applyAlignment="1">
      <alignment horizontal="center" vertical="center"/>
    </xf>
    <xf numFmtId="0" fontId="0" fillId="0" borderId="1" xfId="0" applyBorder="1" applyAlignment="1">
      <alignment horizontal="left" vertical="top"/>
    </xf>
    <xf numFmtId="0" fontId="0" fillId="0" borderId="1" xfId="0" applyBorder="1" applyAlignment="1">
      <alignment horizontal="center" vertical="center"/>
    </xf>
    <xf numFmtId="0" fontId="0" fillId="0" borderId="0" xfId="0" applyAlignment="1">
      <alignment horizontal="center" vertical="center"/>
    </xf>
    <xf numFmtId="4" fontId="11" fillId="0" borderId="1" xfId="1" applyNumberFormat="1" applyFont="1" applyFill="1" applyBorder="1" applyAlignment="1">
      <alignment horizontal="left" vertical="center" wrapText="1"/>
    </xf>
    <xf numFmtId="0" fontId="17" fillId="0" borderId="1" xfId="2" applyFont="1" applyBorder="1" applyAlignment="1">
      <alignment horizontal="center" vertical="center" wrapText="1"/>
    </xf>
    <xf numFmtId="0" fontId="18" fillId="0" borderId="1" xfId="2" applyFont="1" applyBorder="1" applyAlignment="1">
      <alignment horizontal="center" vertical="center" wrapText="1"/>
    </xf>
    <xf numFmtId="0" fontId="37" fillId="0" borderId="0" xfId="0" applyFont="1" applyAlignment="1">
      <alignment horizontal="left" vertical="top" wrapText="1"/>
    </xf>
    <xf numFmtId="0" fontId="36" fillId="0" borderId="1" xfId="0" applyFont="1" applyBorder="1" applyAlignment="1">
      <alignment horizontal="center" vertical="center"/>
    </xf>
    <xf numFmtId="0" fontId="36" fillId="0" borderId="1" xfId="0" applyFont="1" applyBorder="1" applyAlignment="1">
      <alignment horizontal="center" vertical="center" wrapText="1"/>
    </xf>
    <xf numFmtId="0" fontId="37" fillId="0" borderId="0" xfId="0" applyFont="1" applyAlignment="1">
      <alignment horizontal="left" vertical="center" wrapText="1"/>
    </xf>
    <xf numFmtId="0" fontId="37" fillId="0" borderId="1" xfId="0" applyFont="1" applyBorder="1" applyAlignment="1">
      <alignment horizontal="center" vertical="center" wrapText="1"/>
    </xf>
    <xf numFmtId="0" fontId="37" fillId="0" borderId="1" xfId="0" applyFont="1" applyBorder="1" applyAlignment="1">
      <alignment horizontal="left" vertical="center" wrapText="1"/>
    </xf>
    <xf numFmtId="165" fontId="37" fillId="0" borderId="1" xfId="0" applyNumberFormat="1" applyFont="1" applyBorder="1" applyAlignment="1">
      <alignment horizontal="left" vertical="center" wrapText="1"/>
    </xf>
    <xf numFmtId="165" fontId="36" fillId="0" borderId="1" xfId="0" applyNumberFormat="1" applyFont="1" applyBorder="1" applyAlignment="1">
      <alignment horizontal="left" vertical="center" wrapText="1"/>
    </xf>
    <xf numFmtId="0" fontId="37" fillId="0" borderId="0" xfId="0" applyFont="1" applyAlignment="1">
      <alignment horizontal="center" vertical="center" wrapText="1"/>
    </xf>
    <xf numFmtId="43" fontId="37" fillId="0" borderId="0" xfId="0" applyNumberFormat="1" applyFont="1" applyAlignment="1">
      <alignment horizontal="left" vertical="top" wrapText="1"/>
    </xf>
    <xf numFmtId="0" fontId="35" fillId="0" borderId="1" xfId="4" applyFont="1" applyBorder="1" applyAlignment="1">
      <alignment horizontal="left" vertical="center" wrapText="1"/>
    </xf>
    <xf numFmtId="0" fontId="35" fillId="0" borderId="1" xfId="4" applyFont="1" applyBorder="1" applyAlignment="1">
      <alignment horizontal="right" vertical="center" wrapText="1"/>
    </xf>
    <xf numFmtId="0" fontId="37" fillId="0" borderId="1" xfId="0" applyFont="1" applyBorder="1" applyAlignment="1">
      <alignment horizontal="left" vertical="top" wrapText="1"/>
    </xf>
    <xf numFmtId="0" fontId="37" fillId="0" borderId="1" xfId="0" applyFont="1" applyBorder="1" applyAlignment="1">
      <alignment horizontal="right" vertical="center" wrapText="1"/>
    </xf>
    <xf numFmtId="0" fontId="36" fillId="0" borderId="1" xfId="0" applyFont="1" applyBorder="1" applyAlignment="1">
      <alignment horizontal="right" vertical="center" wrapText="1"/>
    </xf>
    <xf numFmtId="165" fontId="37" fillId="0" borderId="1" xfId="0" applyNumberFormat="1" applyFont="1" applyBorder="1" applyAlignment="1">
      <alignment horizontal="left" vertical="top" wrapText="1"/>
    </xf>
    <xf numFmtId="0" fontId="9" fillId="0" borderId="0" xfId="0" applyFont="1" applyAlignment="1">
      <alignment horizontal="left" vertical="top"/>
    </xf>
    <xf numFmtId="0" fontId="9" fillId="0" borderId="1" xfId="0" applyFont="1" applyBorder="1" applyAlignment="1">
      <alignment horizontal="center" vertical="center"/>
    </xf>
    <xf numFmtId="0" fontId="9" fillId="0" borderId="1" xfId="0" applyFont="1" applyBorder="1" applyAlignment="1">
      <alignment horizontal="left" vertical="top"/>
    </xf>
    <xf numFmtId="1" fontId="9" fillId="0" borderId="1" xfId="0" applyNumberFormat="1" applyFont="1" applyBorder="1" applyAlignment="1">
      <alignment horizontal="center" vertical="center" wrapText="1" shrinkToFit="1"/>
    </xf>
    <xf numFmtId="0" fontId="43" fillId="0" borderId="1" xfId="0" applyFont="1" applyBorder="1" applyAlignment="1">
      <alignment horizontal="left" vertical="top" wrapText="1"/>
    </xf>
    <xf numFmtId="2" fontId="9" fillId="0" borderId="1" xfId="0" applyNumberFormat="1" applyFont="1" applyBorder="1" applyAlignment="1">
      <alignment horizontal="center" vertical="center" wrapText="1" shrinkToFit="1"/>
    </xf>
    <xf numFmtId="0" fontId="9" fillId="0" borderId="1" xfId="0" applyFont="1" applyBorder="1" applyAlignment="1">
      <alignment horizontal="left" vertical="top" wrapText="1"/>
    </xf>
    <xf numFmtId="2" fontId="9" fillId="0" borderId="1" xfId="0" applyNumberFormat="1" applyFont="1" applyBorder="1" applyAlignment="1">
      <alignment horizontal="center" vertical="center"/>
    </xf>
    <xf numFmtId="2" fontId="9" fillId="0" borderId="1" xfId="0" applyNumberFormat="1" applyFont="1" applyBorder="1" applyAlignment="1">
      <alignment horizontal="center" vertical="center" wrapText="1"/>
    </xf>
    <xf numFmtId="0" fontId="42" fillId="0" borderId="1" xfId="2" applyFont="1" applyBorder="1" applyAlignment="1">
      <alignment vertical="center" wrapText="1"/>
    </xf>
    <xf numFmtId="0" fontId="9" fillId="0" borderId="1" xfId="0" applyFont="1" applyBorder="1" applyAlignment="1">
      <alignment horizontal="center" vertical="center" wrapText="1"/>
    </xf>
    <xf numFmtId="2" fontId="9" fillId="5" borderId="1" xfId="0" applyNumberFormat="1" applyFont="1" applyFill="1" applyBorder="1" applyAlignment="1">
      <alignment horizontal="center" vertical="center" wrapText="1"/>
    </xf>
    <xf numFmtId="0" fontId="9" fillId="0" borderId="1" xfId="0" applyFont="1" applyBorder="1" applyAlignment="1">
      <alignment vertical="top" wrapText="1"/>
    </xf>
    <xf numFmtId="0" fontId="9" fillId="2" borderId="1" xfId="0" applyFont="1" applyFill="1" applyBorder="1" applyAlignment="1">
      <alignment horizontal="left" vertical="top" wrapText="1"/>
    </xf>
    <xf numFmtId="0" fontId="42" fillId="0" borderId="1" xfId="2" applyFont="1" applyBorder="1" applyAlignment="1">
      <alignment horizontal="left" vertical="top" wrapText="1"/>
    </xf>
    <xf numFmtId="0" fontId="42" fillId="2" borderId="1" xfId="2" applyFont="1" applyFill="1" applyBorder="1" applyAlignment="1">
      <alignment horizontal="left" vertical="top" wrapText="1"/>
    </xf>
    <xf numFmtId="0" fontId="9" fillId="2" borderId="1" xfId="0" applyFont="1" applyFill="1" applyBorder="1" applyAlignment="1">
      <alignment vertical="top" wrapText="1"/>
    </xf>
    <xf numFmtId="0" fontId="42" fillId="0" borderId="1" xfId="0" applyFont="1" applyBorder="1" applyAlignment="1">
      <alignment horizontal="left" vertical="center" wrapText="1"/>
    </xf>
    <xf numFmtId="2" fontId="9" fillId="2" borderId="1" xfId="0" applyNumberFormat="1" applyFont="1" applyFill="1" applyBorder="1" applyAlignment="1">
      <alignment horizontal="center" vertical="center" wrapText="1" shrinkToFit="1"/>
    </xf>
    <xf numFmtId="0" fontId="42" fillId="0" borderId="1" xfId="0" applyFont="1" applyBorder="1" applyAlignment="1">
      <alignment vertical="top" wrapText="1"/>
    </xf>
    <xf numFmtId="0" fontId="43" fillId="0" borderId="1" xfId="0" applyFont="1" applyBorder="1" applyAlignment="1">
      <alignment vertical="center" wrapText="1"/>
    </xf>
    <xf numFmtId="0" fontId="42" fillId="0" borderId="1" xfId="0" applyFont="1" applyBorder="1" applyAlignment="1">
      <alignment vertical="center" wrapText="1"/>
    </xf>
    <xf numFmtId="0" fontId="43" fillId="0" borderId="1" xfId="3" applyFont="1" applyBorder="1" applyAlignment="1">
      <alignment vertical="top" wrapText="1"/>
    </xf>
    <xf numFmtId="0" fontId="34" fillId="0" borderId="1" xfId="0" applyFont="1" applyBorder="1" applyAlignment="1">
      <alignment horizontal="left" vertical="top" wrapText="1"/>
    </xf>
    <xf numFmtId="0" fontId="42" fillId="0" borderId="1" xfId="0" applyFont="1" applyBorder="1" applyAlignment="1">
      <alignment horizontal="center" vertical="center" wrapText="1"/>
    </xf>
    <xf numFmtId="0" fontId="9" fillId="0" borderId="1" xfId="0" applyFont="1" applyBorder="1" applyAlignment="1">
      <alignment vertical="center" wrapText="1"/>
    </xf>
    <xf numFmtId="0" fontId="9" fillId="2" borderId="1" xfId="0" applyFont="1" applyFill="1" applyBorder="1" applyAlignment="1">
      <alignment horizontal="center" vertical="center" wrapText="1"/>
    </xf>
    <xf numFmtId="0" fontId="9" fillId="0" borderId="0" xfId="0" applyFont="1" applyAlignment="1">
      <alignment horizontal="center" vertical="center"/>
    </xf>
    <xf numFmtId="0" fontId="9" fillId="0" borderId="0" xfId="0" applyFont="1" applyAlignment="1">
      <alignment horizontal="left" vertical="top" wrapText="1"/>
    </xf>
    <xf numFmtId="43" fontId="9" fillId="0" borderId="1" xfId="1" applyFont="1" applyBorder="1" applyAlignment="1">
      <alignment horizontal="center" vertical="center" wrapText="1" shrinkToFit="1"/>
    </xf>
    <xf numFmtId="43" fontId="9" fillId="0" borderId="1" xfId="1" applyFont="1" applyBorder="1" applyAlignment="1">
      <alignment horizontal="center" vertical="center" wrapText="1"/>
    </xf>
    <xf numFmtId="43" fontId="9" fillId="0" borderId="1" xfId="1" applyFont="1" applyBorder="1" applyAlignment="1">
      <alignment horizontal="left" vertical="top" wrapText="1"/>
    </xf>
    <xf numFmtId="43" fontId="9" fillId="5" borderId="1" xfId="1" applyFont="1" applyFill="1" applyBorder="1" applyAlignment="1">
      <alignment horizontal="center" vertical="center" wrapText="1"/>
    </xf>
    <xf numFmtId="43" fontId="9" fillId="3" borderId="1" xfId="1" applyFont="1" applyFill="1" applyBorder="1" applyAlignment="1">
      <alignment horizontal="center" vertical="center" wrapText="1"/>
    </xf>
    <xf numFmtId="43" fontId="9" fillId="2" borderId="1" xfId="1" applyFont="1" applyFill="1" applyBorder="1" applyAlignment="1">
      <alignment horizontal="center" vertical="center" wrapText="1"/>
    </xf>
    <xf numFmtId="43" fontId="9" fillId="0" borderId="1" xfId="1" applyFont="1" applyBorder="1" applyAlignment="1">
      <alignment horizontal="center" vertical="center"/>
    </xf>
    <xf numFmtId="43" fontId="9" fillId="0" borderId="1" xfId="1" applyFont="1" applyBorder="1" applyAlignment="1">
      <alignment horizontal="left" vertical="top"/>
    </xf>
    <xf numFmtId="43" fontId="9" fillId="3" borderId="1" xfId="1" applyFont="1" applyFill="1" applyBorder="1" applyAlignment="1">
      <alignment horizontal="center" vertical="center"/>
    </xf>
    <xf numFmtId="43" fontId="34" fillId="9" borderId="1" xfId="1" applyFont="1" applyFill="1" applyBorder="1" applyAlignment="1">
      <alignment horizontal="center" vertical="center"/>
    </xf>
    <xf numFmtId="43" fontId="9" fillId="0" borderId="0" xfId="1" applyFont="1" applyAlignment="1">
      <alignment horizontal="center" vertical="center"/>
    </xf>
    <xf numFmtId="43" fontId="9" fillId="0" borderId="0" xfId="1" applyFont="1" applyAlignment="1">
      <alignment horizontal="left" vertical="top"/>
    </xf>
    <xf numFmtId="2" fontId="9" fillId="2" borderId="1" xfId="0" applyNumberFormat="1" applyFont="1" applyFill="1" applyBorder="1" applyAlignment="1">
      <alignment horizontal="center" vertical="center" wrapText="1"/>
    </xf>
    <xf numFmtId="0" fontId="42" fillId="2" borderId="1" xfId="2" applyFont="1" applyFill="1" applyBorder="1" applyAlignment="1">
      <alignment horizontal="center" vertical="center" wrapText="1"/>
    </xf>
    <xf numFmtId="43" fontId="9" fillId="0" borderId="0" xfId="0" applyNumberFormat="1" applyFont="1" applyAlignment="1">
      <alignment horizontal="left" vertical="top"/>
    </xf>
    <xf numFmtId="1" fontId="9" fillId="2" borderId="1" xfId="0" applyNumberFormat="1" applyFont="1" applyFill="1" applyBorder="1" applyAlignment="1">
      <alignment horizontal="center" vertical="center" wrapText="1" shrinkToFit="1"/>
    </xf>
    <xf numFmtId="2" fontId="9" fillId="2" borderId="1" xfId="0" applyNumberFormat="1" applyFont="1" applyFill="1" applyBorder="1" applyAlignment="1">
      <alignment horizontal="center" vertical="center"/>
    </xf>
    <xf numFmtId="0" fontId="9" fillId="2" borderId="1" xfId="0" applyFont="1" applyFill="1" applyBorder="1" applyAlignment="1">
      <alignment horizontal="center" vertical="center"/>
    </xf>
    <xf numFmtId="43" fontId="9" fillId="2" borderId="1" xfId="1" applyFont="1" applyFill="1" applyBorder="1" applyAlignment="1">
      <alignment horizontal="center" vertical="center"/>
    </xf>
    <xf numFmtId="43" fontId="9" fillId="2" borderId="1" xfId="1" applyFont="1" applyFill="1" applyBorder="1" applyAlignment="1">
      <alignment horizontal="left" vertical="top"/>
    </xf>
    <xf numFmtId="43" fontId="9" fillId="2" borderId="0" xfId="0" applyNumberFormat="1" applyFont="1" applyFill="1" applyAlignment="1">
      <alignment horizontal="left" vertical="top"/>
    </xf>
    <xf numFmtId="0" fontId="9" fillId="2" borderId="0" xfId="0" applyFont="1" applyFill="1" applyAlignment="1">
      <alignment horizontal="left" vertical="top"/>
    </xf>
    <xf numFmtId="9" fontId="9" fillId="0" borderId="0" xfId="13" applyFont="1" applyAlignment="1">
      <alignment horizontal="left" vertical="top"/>
    </xf>
    <xf numFmtId="1" fontId="9" fillId="0" borderId="0" xfId="13" applyNumberFormat="1" applyFont="1" applyBorder="1" applyAlignment="1">
      <alignment horizontal="center" vertical="top"/>
    </xf>
    <xf numFmtId="1" fontId="9" fillId="0" borderId="0" xfId="13" applyNumberFormat="1" applyFont="1" applyBorder="1" applyAlignment="1">
      <alignment horizontal="left" vertical="top" wrapText="1"/>
    </xf>
    <xf numFmtId="1" fontId="9" fillId="0" borderId="0" xfId="13" applyNumberFormat="1" applyFont="1" applyBorder="1" applyAlignment="1">
      <alignment horizontal="center" vertical="center" wrapText="1"/>
    </xf>
    <xf numFmtId="1" fontId="9" fillId="0" borderId="0" xfId="13" applyNumberFormat="1" applyFont="1" applyBorder="1" applyAlignment="1">
      <alignment horizontal="left" vertical="top"/>
    </xf>
    <xf numFmtId="1" fontId="9" fillId="2" borderId="0" xfId="13" applyNumberFormat="1" applyFont="1" applyFill="1" applyBorder="1" applyAlignment="1">
      <alignment horizontal="left" vertical="top"/>
    </xf>
    <xf numFmtId="1" fontId="9" fillId="0" borderId="0" xfId="13" applyNumberFormat="1" applyFont="1" applyAlignment="1">
      <alignment horizontal="left" vertical="top"/>
    </xf>
    <xf numFmtId="1" fontId="9" fillId="5" borderId="1" xfId="0" applyNumberFormat="1" applyFont="1" applyFill="1" applyBorder="1" applyAlignment="1">
      <alignment horizontal="center" vertical="center" wrapText="1" shrinkToFit="1"/>
    </xf>
    <xf numFmtId="4" fontId="9" fillId="5" borderId="1" xfId="1" applyNumberFormat="1" applyFont="1" applyFill="1" applyBorder="1" applyAlignment="1">
      <alignment horizontal="left" vertical="center" wrapText="1"/>
    </xf>
    <xf numFmtId="43" fontId="9" fillId="5" borderId="1" xfId="1" applyFont="1" applyFill="1" applyBorder="1" applyAlignment="1">
      <alignment horizontal="center" vertical="center" wrapText="1" shrinkToFit="1"/>
    </xf>
    <xf numFmtId="43" fontId="9" fillId="5" borderId="1" xfId="1" applyFont="1" applyFill="1" applyBorder="1" applyAlignment="1">
      <alignment horizontal="left" vertical="center" wrapText="1"/>
    </xf>
    <xf numFmtId="1" fontId="9" fillId="5" borderId="0" xfId="13" applyNumberFormat="1" applyFont="1" applyFill="1" applyBorder="1" applyAlignment="1">
      <alignment horizontal="left" vertical="center" wrapText="1"/>
    </xf>
    <xf numFmtId="1" fontId="9" fillId="12" borderId="1" xfId="13" applyNumberFormat="1" applyFont="1" applyFill="1" applyBorder="1" applyAlignment="1">
      <alignment horizontal="left" vertical="top" wrapText="1"/>
    </xf>
    <xf numFmtId="1" fontId="9" fillId="12" borderId="1" xfId="13" applyNumberFormat="1" applyFont="1" applyFill="1" applyBorder="1" applyAlignment="1">
      <alignment horizontal="left" vertical="center" wrapText="1"/>
    </xf>
    <xf numFmtId="0" fontId="42" fillId="2" borderId="1" xfId="0" applyFont="1" applyFill="1" applyBorder="1" applyAlignment="1">
      <alignment horizontal="left" vertical="center" wrapText="1"/>
    </xf>
    <xf numFmtId="43" fontId="9" fillId="2" borderId="1" xfId="1" applyFont="1" applyFill="1" applyBorder="1" applyAlignment="1">
      <alignment horizontal="left" vertical="top" wrapText="1"/>
    </xf>
    <xf numFmtId="1" fontId="9" fillId="2" borderId="1" xfId="13" applyNumberFormat="1" applyFont="1" applyFill="1" applyBorder="1" applyAlignment="1">
      <alignment horizontal="left" vertical="top" wrapText="1"/>
    </xf>
    <xf numFmtId="1" fontId="9" fillId="2" borderId="0" xfId="13" applyNumberFormat="1" applyFont="1" applyFill="1" applyBorder="1" applyAlignment="1">
      <alignment horizontal="left" vertical="top" wrapText="1"/>
    </xf>
    <xf numFmtId="9" fontId="9" fillId="0" borderId="1" xfId="13" applyFont="1" applyBorder="1" applyAlignment="1">
      <alignment horizontal="left" vertical="top"/>
    </xf>
    <xf numFmtId="1" fontId="9" fillId="0" borderId="1" xfId="13" applyNumberFormat="1" applyFont="1" applyBorder="1" applyAlignment="1">
      <alignment horizontal="left" vertical="top"/>
    </xf>
    <xf numFmtId="9" fontId="9" fillId="0" borderId="1" xfId="13" applyFont="1" applyBorder="1" applyAlignment="1">
      <alignment horizontal="left" vertical="top" wrapText="1"/>
    </xf>
    <xf numFmtId="1" fontId="9" fillId="0" borderId="1" xfId="13" applyNumberFormat="1" applyFont="1" applyBorder="1" applyAlignment="1">
      <alignment horizontal="left" vertical="top" wrapText="1"/>
    </xf>
    <xf numFmtId="9" fontId="9" fillId="0" borderId="1" xfId="13" applyFont="1" applyBorder="1" applyAlignment="1">
      <alignment horizontal="center" vertical="top"/>
    </xf>
    <xf numFmtId="1" fontId="9" fillId="0" borderId="1" xfId="13" applyNumberFormat="1" applyFont="1" applyBorder="1" applyAlignment="1">
      <alignment horizontal="center" vertical="top"/>
    </xf>
    <xf numFmtId="9" fontId="9" fillId="5" borderId="1" xfId="13" applyFont="1" applyFill="1" applyBorder="1" applyAlignment="1">
      <alignment horizontal="left" vertical="center" wrapText="1"/>
    </xf>
    <xf numFmtId="9" fontId="9" fillId="2" borderId="1" xfId="13" applyFont="1" applyFill="1" applyBorder="1" applyAlignment="1">
      <alignment horizontal="left" vertical="top" wrapText="1"/>
    </xf>
    <xf numFmtId="9" fontId="9" fillId="0" borderId="1" xfId="13" applyFont="1" applyBorder="1" applyAlignment="1">
      <alignment horizontal="center" vertical="center" wrapText="1"/>
    </xf>
    <xf numFmtId="9" fontId="9" fillId="2" borderId="1" xfId="13" applyFont="1" applyFill="1" applyBorder="1" applyAlignment="1">
      <alignment horizontal="left" vertical="top"/>
    </xf>
    <xf numFmtId="1" fontId="47" fillId="2" borderId="1" xfId="13" applyNumberFormat="1" applyFont="1" applyFill="1" applyBorder="1" applyAlignment="1">
      <alignment horizontal="left" vertical="top" wrapText="1"/>
    </xf>
    <xf numFmtId="1" fontId="42" fillId="0" borderId="1" xfId="13" applyNumberFormat="1" applyFont="1" applyFill="1" applyBorder="1" applyAlignment="1">
      <alignment horizontal="left" vertical="top" wrapText="1"/>
    </xf>
    <xf numFmtId="43" fontId="47" fillId="0" borderId="1" xfId="1" applyFont="1" applyFill="1" applyBorder="1" applyAlignment="1">
      <alignment horizontal="center" vertical="center" wrapText="1"/>
    </xf>
    <xf numFmtId="43" fontId="47" fillId="2" borderId="1" xfId="1" applyFont="1" applyFill="1" applyBorder="1" applyAlignment="1">
      <alignment horizontal="center" vertical="center"/>
    </xf>
    <xf numFmtId="43" fontId="47" fillId="2" borderId="1" xfId="1" applyFont="1" applyFill="1" applyBorder="1" applyAlignment="1">
      <alignment horizontal="center" vertical="center" wrapText="1"/>
    </xf>
    <xf numFmtId="43" fontId="9" fillId="0" borderId="1" xfId="1" applyFont="1" applyFill="1" applyBorder="1" applyAlignment="1">
      <alignment horizontal="center" vertical="center"/>
    </xf>
    <xf numFmtId="43" fontId="9" fillId="0" borderId="1" xfId="1" applyFont="1" applyBorder="1" applyAlignment="1">
      <alignment vertical="top" wrapText="1"/>
    </xf>
    <xf numFmtId="0" fontId="2" fillId="0" borderId="0" xfId="14"/>
    <xf numFmtId="0" fontId="49" fillId="0" borderId="1" xfId="14" applyFont="1" applyBorder="1" applyAlignment="1">
      <alignment horizontal="center" vertical="center" wrapText="1"/>
    </xf>
    <xf numFmtId="0" fontId="48" fillId="0" borderId="1" xfId="14" applyFont="1" applyBorder="1" applyAlignment="1">
      <alignment horizontal="center" vertical="center" wrapText="1"/>
    </xf>
    <xf numFmtId="2" fontId="49" fillId="0" borderId="1" xfId="14" applyNumberFormat="1" applyFont="1" applyBorder="1" applyAlignment="1">
      <alignment horizontal="right" vertical="center"/>
    </xf>
    <xf numFmtId="0" fontId="48" fillId="0" borderId="1" xfId="14" applyFont="1" applyBorder="1" applyAlignment="1">
      <alignment horizontal="center" vertical="top" wrapText="1"/>
    </xf>
    <xf numFmtId="0" fontId="48" fillId="0" borderId="1" xfId="14" applyFont="1" applyBorder="1" applyAlignment="1">
      <alignment horizontal="justify" vertical="top" wrapText="1"/>
    </xf>
    <xf numFmtId="2" fontId="48" fillId="0" borderId="1" xfId="14" applyNumberFormat="1" applyFont="1" applyBorder="1" applyAlignment="1">
      <alignment horizontal="right" vertical="top" wrapText="1"/>
    </xf>
    <xf numFmtId="0" fontId="48" fillId="0" borderId="1" xfId="14" applyFont="1" applyBorder="1" applyAlignment="1">
      <alignment horizontal="left" vertical="top" wrapText="1"/>
    </xf>
    <xf numFmtId="1" fontId="48" fillId="0" borderId="1" xfId="14" applyNumberFormat="1" applyFont="1" applyBorder="1" applyAlignment="1">
      <alignment horizontal="center" vertical="top" wrapText="1"/>
    </xf>
    <xf numFmtId="2" fontId="48" fillId="0" borderId="1" xfId="14" applyNumberFormat="1" applyFont="1" applyBorder="1" applyAlignment="1">
      <alignment horizontal="right" vertical="top"/>
    </xf>
    <xf numFmtId="2" fontId="48" fillId="0" borderId="1" xfId="14" applyNumberFormat="1" applyFont="1" applyBorder="1" applyAlignment="1">
      <alignment vertical="top"/>
    </xf>
    <xf numFmtId="166" fontId="48" fillId="0" borderId="1" xfId="14" applyNumberFormat="1" applyFont="1" applyBorder="1" applyAlignment="1">
      <alignment horizontal="right" vertical="top" wrapText="1"/>
    </xf>
    <xf numFmtId="4" fontId="48" fillId="0" borderId="1" xfId="14" applyNumberFormat="1" applyFont="1" applyBorder="1" applyAlignment="1">
      <alignment horizontal="left" vertical="top" wrapText="1"/>
    </xf>
    <xf numFmtId="0" fontId="48" fillId="0" borderId="1" xfId="14" applyFont="1" applyBorder="1" applyAlignment="1">
      <alignment horizontal="justify" vertical="center" wrapText="1"/>
    </xf>
    <xf numFmtId="2" fontId="48" fillId="0" borderId="1" xfId="14" applyNumberFormat="1" applyFont="1" applyBorder="1" applyAlignment="1">
      <alignment horizontal="right" vertical="center" wrapText="1"/>
    </xf>
    <xf numFmtId="0" fontId="48" fillId="0" borderId="1" xfId="14" applyFont="1" applyBorder="1" applyAlignment="1">
      <alignment horizontal="left" vertical="center" wrapText="1"/>
    </xf>
    <xf numFmtId="1" fontId="48" fillId="0" borderId="1" xfId="14" applyNumberFormat="1" applyFont="1" applyBorder="1" applyAlignment="1">
      <alignment horizontal="center" vertical="center" wrapText="1"/>
    </xf>
    <xf numFmtId="2" fontId="48" fillId="0" borderId="1" xfId="14" applyNumberFormat="1" applyFont="1" applyBorder="1" applyAlignment="1">
      <alignment horizontal="right" vertical="center"/>
    </xf>
    <xf numFmtId="2" fontId="48" fillId="0" borderId="1" xfId="14" applyNumberFormat="1" applyFont="1" applyBorder="1" applyAlignment="1">
      <alignment vertical="center"/>
    </xf>
    <xf numFmtId="1" fontId="48" fillId="0" borderId="1" xfId="14" applyNumberFormat="1" applyFont="1" applyBorder="1" applyAlignment="1">
      <alignment horizontal="right" vertical="top" wrapText="1"/>
    </xf>
    <xf numFmtId="0" fontId="49" fillId="0" borderId="1" xfId="14" applyFont="1" applyBorder="1" applyAlignment="1">
      <alignment horizontal="justify" vertical="top" wrapText="1"/>
    </xf>
    <xf numFmtId="0" fontId="48" fillId="0" borderId="1" xfId="14" applyFont="1" applyBorder="1" applyAlignment="1">
      <alignment vertical="top" wrapText="1"/>
    </xf>
    <xf numFmtId="2" fontId="49" fillId="0" borderId="1" xfId="14" applyNumberFormat="1" applyFont="1" applyBorder="1" applyAlignment="1">
      <alignment horizontal="right" vertical="top"/>
    </xf>
    <xf numFmtId="2" fontId="48" fillId="0" borderId="1" xfId="14" applyNumberFormat="1" applyFont="1" applyBorder="1" applyAlignment="1">
      <alignment vertical="top" wrapText="1"/>
    </xf>
    <xf numFmtId="0" fontId="49" fillId="0" borderId="1" xfId="14" applyFont="1" applyBorder="1" applyAlignment="1">
      <alignment horizontal="center" vertical="top" wrapText="1"/>
    </xf>
    <xf numFmtId="0" fontId="49" fillId="0" borderId="1" xfId="14" applyFont="1" applyBorder="1" applyAlignment="1">
      <alignment horizontal="right" vertical="top" wrapText="1"/>
    </xf>
    <xf numFmtId="167" fontId="48" fillId="0" borderId="1" xfId="14" applyNumberFormat="1" applyFont="1" applyBorder="1" applyAlignment="1">
      <alignment horizontal="center" vertical="top"/>
    </xf>
    <xf numFmtId="4" fontId="49" fillId="0" borderId="1" xfId="14" applyNumberFormat="1" applyFont="1" applyBorder="1" applyAlignment="1">
      <alignment horizontal="left" vertical="top" wrapText="1"/>
    </xf>
    <xf numFmtId="1" fontId="49" fillId="0" borderId="1" xfId="14" applyNumberFormat="1" applyFont="1" applyBorder="1" applyAlignment="1">
      <alignment horizontal="center" vertical="top" wrapText="1"/>
    </xf>
    <xf numFmtId="2" fontId="49" fillId="0" borderId="1" xfId="14" applyNumberFormat="1" applyFont="1" applyBorder="1" applyAlignment="1">
      <alignment vertical="top"/>
    </xf>
    <xf numFmtId="0" fontId="49" fillId="0" borderId="1" xfId="14" applyFont="1" applyBorder="1" applyAlignment="1">
      <alignment vertical="top"/>
    </xf>
    <xf numFmtId="0" fontId="49" fillId="0" borderId="1" xfId="14" applyFont="1" applyBorder="1" applyAlignment="1">
      <alignment horizontal="right" vertical="top"/>
    </xf>
    <xf numFmtId="2" fontId="52" fillId="0" borderId="1" xfId="14" applyNumberFormat="1" applyFont="1" applyBorder="1" applyAlignment="1">
      <alignment horizontal="center" vertical="top"/>
    </xf>
    <xf numFmtId="0" fontId="48" fillId="0" borderId="1" xfId="14" applyFont="1" applyBorder="1" applyAlignment="1">
      <alignment horizontal="center" vertical="justify"/>
    </xf>
    <xf numFmtId="0" fontId="49" fillId="0" borderId="1" xfId="14" applyFont="1" applyBorder="1" applyAlignment="1">
      <alignment horizontal="center" vertical="top"/>
    </xf>
    <xf numFmtId="2" fontId="49" fillId="0" borderId="1" xfId="14" applyNumberFormat="1" applyFont="1" applyBorder="1" applyAlignment="1">
      <alignment horizontal="center" vertical="top"/>
    </xf>
    <xf numFmtId="2" fontId="48" fillId="0" borderId="1" xfId="14" applyNumberFormat="1" applyFont="1" applyBorder="1" applyAlignment="1">
      <alignment horizontal="right"/>
    </xf>
    <xf numFmtId="0" fontId="49" fillId="0" borderId="1" xfId="14" applyFont="1" applyBorder="1" applyAlignment="1">
      <alignment horizontal="right"/>
    </xf>
    <xf numFmtId="0" fontId="48" fillId="0" borderId="1" xfId="14" applyFont="1" applyBorder="1" applyAlignment="1">
      <alignment horizontal="center" vertical="top"/>
    </xf>
    <xf numFmtId="0" fontId="48" fillId="0" borderId="1" xfId="14" applyFont="1" applyBorder="1" applyAlignment="1">
      <alignment horizontal="left" vertical="top"/>
    </xf>
    <xf numFmtId="2" fontId="48" fillId="0" borderId="1" xfId="14" applyNumberFormat="1" applyFont="1" applyBorder="1" applyAlignment="1">
      <alignment horizontal="center" vertical="top"/>
    </xf>
    <xf numFmtId="0" fontId="48" fillId="0" borderId="1" xfId="14" applyFont="1" applyBorder="1" applyAlignment="1">
      <alignment horizontal="right" vertical="top" wrapText="1"/>
    </xf>
    <xf numFmtId="2" fontId="48" fillId="0" borderId="1" xfId="14" applyNumberFormat="1" applyFont="1" applyBorder="1" applyAlignment="1">
      <alignment horizontal="center" vertical="top" wrapText="1"/>
    </xf>
    <xf numFmtId="0" fontId="48" fillId="0" borderId="1" xfId="14" applyFont="1" applyBorder="1" applyAlignment="1">
      <alignment vertical="top"/>
    </xf>
    <xf numFmtId="2" fontId="49" fillId="0" borderId="1" xfId="14" applyNumberFormat="1" applyFont="1" applyBorder="1" applyAlignment="1">
      <alignment horizontal="center" vertical="top" wrapText="1"/>
    </xf>
    <xf numFmtId="0" fontId="49" fillId="0" borderId="1" xfId="14" applyFont="1" applyBorder="1" applyAlignment="1">
      <alignment horizontal="left" vertical="top" wrapText="1"/>
    </xf>
    <xf numFmtId="0" fontId="49" fillId="0" borderId="1" xfId="14" applyFont="1" applyBorder="1" applyAlignment="1">
      <alignment vertical="top" wrapText="1"/>
    </xf>
    <xf numFmtId="0" fontId="49" fillId="0" borderId="1" xfId="14" applyFont="1" applyBorder="1" applyAlignment="1">
      <alignment horizontal="right" wrapText="1"/>
    </xf>
    <xf numFmtId="2" fontId="48" fillId="0" borderId="1" xfId="14" applyNumberFormat="1" applyFont="1" applyBorder="1" applyAlignment="1">
      <alignment horizontal="center"/>
    </xf>
    <xf numFmtId="0" fontId="48" fillId="0" borderId="1" xfId="14" applyFont="1" applyBorder="1" applyAlignment="1">
      <alignment horizontal="center"/>
    </xf>
    <xf numFmtId="0" fontId="48" fillId="0" borderId="1" xfId="14" applyFont="1" applyBorder="1" applyAlignment="1">
      <alignment horizontal="right" vertical="center" wrapText="1"/>
    </xf>
    <xf numFmtId="2" fontId="49" fillId="0" borderId="1" xfId="14" applyNumberFormat="1" applyFont="1" applyBorder="1" applyAlignment="1">
      <alignment horizontal="justify" vertical="top" wrapText="1"/>
    </xf>
    <xf numFmtId="1" fontId="49" fillId="0" borderId="1" xfId="14" applyNumberFormat="1" applyFont="1" applyBorder="1" applyAlignment="1">
      <alignment horizontal="center" vertical="top"/>
    </xf>
    <xf numFmtId="2" fontId="49" fillId="0" borderId="1" xfId="14" applyNumberFormat="1" applyFont="1" applyBorder="1" applyAlignment="1">
      <alignment horizontal="justify" vertical="center" wrapText="1"/>
    </xf>
    <xf numFmtId="1" fontId="48" fillId="0" borderId="1" xfId="14" applyNumberFormat="1" applyFont="1" applyBorder="1" applyAlignment="1">
      <alignment horizontal="right" vertical="center" wrapText="1"/>
    </xf>
    <xf numFmtId="0" fontId="49" fillId="0" borderId="1" xfId="14" applyFont="1" applyBorder="1" applyAlignment="1">
      <alignment horizontal="left" vertical="center" wrapText="1"/>
    </xf>
    <xf numFmtId="1" fontId="49" fillId="0" borderId="1" xfId="14" applyNumberFormat="1" applyFont="1" applyBorder="1" applyAlignment="1">
      <alignment horizontal="center" vertical="center" wrapText="1"/>
    </xf>
    <xf numFmtId="2" fontId="49" fillId="0" borderId="1" xfId="14" applyNumberFormat="1" applyFont="1" applyBorder="1" applyAlignment="1">
      <alignment vertical="center"/>
    </xf>
    <xf numFmtId="2" fontId="48" fillId="0" borderId="1" xfId="14" applyNumberFormat="1" applyFont="1" applyBorder="1" applyAlignment="1">
      <alignment horizontal="left" vertical="top"/>
    </xf>
    <xf numFmtId="0" fontId="27" fillId="0" borderId="1" xfId="14" applyFont="1" applyBorder="1"/>
    <xf numFmtId="0" fontId="27" fillId="0" borderId="1" xfId="14" applyFont="1" applyBorder="1" applyAlignment="1">
      <alignment wrapText="1"/>
    </xf>
    <xf numFmtId="2" fontId="27" fillId="0" borderId="1" xfId="14" applyNumberFormat="1" applyFont="1" applyBorder="1"/>
    <xf numFmtId="0" fontId="10" fillId="0" borderId="12" xfId="14" applyFont="1" applyBorder="1" applyAlignment="1">
      <alignment horizontal="center" vertical="top"/>
    </xf>
    <xf numFmtId="0" fontId="10" fillId="0" borderId="12" xfId="14" applyFont="1" applyBorder="1" applyAlignment="1">
      <alignment horizontal="center" vertical="top" wrapText="1"/>
    </xf>
    <xf numFmtId="0" fontId="10" fillId="0" borderId="12" xfId="14" applyFont="1" applyBorder="1" applyAlignment="1">
      <alignment horizontal="left" vertical="top"/>
    </xf>
    <xf numFmtId="2" fontId="10" fillId="0" borderId="12" xfId="14" applyNumberFormat="1" applyFont="1" applyBorder="1" applyAlignment="1">
      <alignment horizontal="right" vertical="top" wrapText="1"/>
    </xf>
    <xf numFmtId="0" fontId="10" fillId="0" borderId="12" xfId="14" applyFont="1" applyBorder="1" applyAlignment="1">
      <alignment horizontal="left" vertical="top" wrapText="1"/>
    </xf>
    <xf numFmtId="1" fontId="10" fillId="0" borderId="12" xfId="14" applyNumberFormat="1" applyFont="1" applyBorder="1" applyAlignment="1">
      <alignment horizontal="center" vertical="top" wrapText="1"/>
    </xf>
    <xf numFmtId="2" fontId="10" fillId="0" borderId="12" xfId="14" applyNumberFormat="1" applyFont="1" applyBorder="1" applyAlignment="1">
      <alignment horizontal="right" vertical="top"/>
    </xf>
    <xf numFmtId="2" fontId="10" fillId="0" borderId="12" xfId="14" applyNumberFormat="1" applyFont="1" applyBorder="1" applyAlignment="1">
      <alignment vertical="top"/>
    </xf>
    <xf numFmtId="4" fontId="10" fillId="0" borderId="12" xfId="14" applyNumberFormat="1" applyFont="1" applyBorder="1" applyAlignment="1">
      <alignment horizontal="left" vertical="top" wrapText="1"/>
    </xf>
    <xf numFmtId="0" fontId="10" fillId="0" borderId="12" xfId="14" applyFont="1" applyBorder="1" applyAlignment="1">
      <alignment horizontal="justify" vertical="top" wrapText="1"/>
    </xf>
    <xf numFmtId="2" fontId="53" fillId="0" borderId="12" xfId="14" applyNumberFormat="1" applyFont="1" applyBorder="1" applyAlignment="1">
      <alignment vertical="top"/>
    </xf>
    <xf numFmtId="0" fontId="53" fillId="0" borderId="12" xfId="14" applyFont="1" applyBorder="1" applyAlignment="1">
      <alignment horizontal="justify" vertical="top" wrapText="1"/>
    </xf>
    <xf numFmtId="1" fontId="10" fillId="0" borderId="12" xfId="14" applyNumberFormat="1" applyFont="1" applyBorder="1" applyAlignment="1">
      <alignment vertical="top" wrapText="1"/>
    </xf>
    <xf numFmtId="0" fontId="10" fillId="0" borderId="12" xfId="14" applyFont="1" applyBorder="1" applyAlignment="1">
      <alignment vertical="top"/>
    </xf>
    <xf numFmtId="2" fontId="53" fillId="0" borderId="12" xfId="14" applyNumberFormat="1" applyFont="1" applyBorder="1" applyAlignment="1">
      <alignment horizontal="right" vertical="top"/>
    </xf>
    <xf numFmtId="0" fontId="53" fillId="0" borderId="12" xfId="14" applyFont="1" applyBorder="1" applyAlignment="1">
      <alignment horizontal="center" vertical="top" wrapText="1"/>
    </xf>
    <xf numFmtId="0" fontId="53" fillId="0" borderId="12" xfId="14" applyFont="1" applyBorder="1" applyAlignment="1">
      <alignment horizontal="right" vertical="top" wrapText="1"/>
    </xf>
    <xf numFmtId="167" fontId="10" fillId="0" borderId="12" xfId="14" applyNumberFormat="1" applyFont="1" applyBorder="1" applyAlignment="1">
      <alignment horizontal="center" vertical="top"/>
    </xf>
    <xf numFmtId="4" fontId="53" fillId="0" borderId="12" xfId="14" applyNumberFormat="1" applyFont="1" applyBorder="1" applyAlignment="1">
      <alignment horizontal="left" vertical="top" wrapText="1"/>
    </xf>
    <xf numFmtId="1" fontId="53" fillId="0" borderId="12" xfId="14" applyNumberFormat="1" applyFont="1" applyBorder="1" applyAlignment="1">
      <alignment horizontal="center" vertical="top" wrapText="1"/>
    </xf>
    <xf numFmtId="0" fontId="53" fillId="0" borderId="12" xfId="14" applyFont="1" applyBorder="1" applyAlignment="1">
      <alignment vertical="top"/>
    </xf>
    <xf numFmtId="2" fontId="54" fillId="0" borderId="12" xfId="14" applyNumberFormat="1" applyFont="1" applyBorder="1" applyAlignment="1">
      <alignment horizontal="right" vertical="top"/>
    </xf>
    <xf numFmtId="2" fontId="54" fillId="0" borderId="12" xfId="14" applyNumberFormat="1" applyFont="1" applyBorder="1" applyAlignment="1">
      <alignment horizontal="center" vertical="top"/>
    </xf>
    <xf numFmtId="0" fontId="10" fillId="0" borderId="12" xfId="14" applyFont="1" applyBorder="1" applyAlignment="1">
      <alignment horizontal="left" vertical="center" wrapText="1"/>
    </xf>
    <xf numFmtId="0" fontId="10" fillId="0" borderId="12" xfId="14" applyFont="1" applyBorder="1" applyAlignment="1">
      <alignment vertical="top" wrapText="1"/>
    </xf>
    <xf numFmtId="0" fontId="10" fillId="0" borderId="12" xfId="14" applyFont="1" applyBorder="1" applyAlignment="1">
      <alignment horizontal="center" vertical="center" wrapText="1"/>
    </xf>
    <xf numFmtId="0" fontId="53" fillId="0" borderId="12" xfId="14" applyFont="1" applyBorder="1" applyAlignment="1">
      <alignment vertical="top" wrapText="1"/>
    </xf>
    <xf numFmtId="0" fontId="53" fillId="5" borderId="1" xfId="0" applyFont="1" applyFill="1" applyBorder="1" applyAlignment="1">
      <alignment horizontal="justify" vertical="top" wrapText="1"/>
    </xf>
    <xf numFmtId="0" fontId="0" fillId="5" borderId="1" xfId="0" applyFill="1" applyBorder="1" applyAlignment="1">
      <alignment horizontal="justify" vertical="top" wrapText="1"/>
    </xf>
    <xf numFmtId="0" fontId="10" fillId="5" borderId="1" xfId="0" applyFont="1" applyFill="1" applyBorder="1" applyAlignment="1">
      <alignment horizontal="justify" vertical="top" wrapText="1"/>
    </xf>
    <xf numFmtId="0" fontId="10" fillId="5" borderId="1" xfId="0" applyFont="1" applyFill="1" applyBorder="1" applyAlignment="1">
      <alignment vertical="top" wrapText="1"/>
    </xf>
    <xf numFmtId="0" fontId="10" fillId="5" borderId="1" xfId="0" applyFont="1" applyFill="1" applyBorder="1" applyAlignment="1">
      <alignment horizontal="center" vertical="top" wrapText="1"/>
    </xf>
    <xf numFmtId="2" fontId="53" fillId="5" borderId="1" xfId="0" applyNumberFormat="1" applyFont="1" applyFill="1" applyBorder="1" applyAlignment="1">
      <alignment vertical="top" wrapText="1"/>
    </xf>
    <xf numFmtId="2" fontId="53" fillId="5" borderId="1" xfId="0" applyNumberFormat="1" applyFont="1" applyFill="1" applyBorder="1" applyAlignment="1">
      <alignment horizontal="left" vertical="top" wrapText="1"/>
    </xf>
    <xf numFmtId="2" fontId="10" fillId="5" borderId="1" xfId="0" applyNumberFormat="1" applyFont="1" applyFill="1" applyBorder="1" applyAlignment="1">
      <alignment horizontal="left" vertical="top" wrapText="1"/>
    </xf>
    <xf numFmtId="2" fontId="10" fillId="5" borderId="1" xfId="0" applyNumberFormat="1" applyFont="1" applyFill="1" applyBorder="1" applyAlignment="1">
      <alignment horizontal="center" vertical="top" wrapText="1"/>
    </xf>
    <xf numFmtId="2" fontId="10" fillId="5" borderId="1" xfId="0" applyNumberFormat="1" applyFont="1" applyFill="1" applyBorder="1" applyAlignment="1">
      <alignment vertical="top" wrapText="1"/>
    </xf>
    <xf numFmtId="2" fontId="10" fillId="5" borderId="1" xfId="0" applyNumberFormat="1" applyFont="1" applyFill="1" applyBorder="1" applyAlignment="1">
      <alignment horizontal="center" vertical="top" wrapText="1" shrinkToFit="1"/>
    </xf>
    <xf numFmtId="168" fontId="10" fillId="5" borderId="1" xfId="0" applyNumberFormat="1" applyFont="1" applyFill="1" applyBorder="1" applyAlignment="1">
      <alignment vertical="top" wrapText="1"/>
    </xf>
    <xf numFmtId="0" fontId="10" fillId="5" borderId="1" xfId="0" applyFont="1" applyFill="1" applyBorder="1" applyAlignment="1">
      <alignment horizontal="left" vertical="top" wrapText="1"/>
    </xf>
    <xf numFmtId="166" fontId="10" fillId="5" borderId="1" xfId="0" applyNumberFormat="1" applyFont="1" applyFill="1" applyBorder="1" applyAlignment="1">
      <alignment vertical="top" wrapText="1"/>
    </xf>
    <xf numFmtId="2" fontId="53" fillId="5" borderId="1" xfId="0" applyNumberFormat="1" applyFont="1" applyFill="1" applyBorder="1" applyAlignment="1">
      <alignment horizontal="center" vertical="top" wrapText="1"/>
    </xf>
    <xf numFmtId="1" fontId="53" fillId="5" borderId="1" xfId="0" applyNumberFormat="1" applyFont="1" applyFill="1" applyBorder="1" applyAlignment="1">
      <alignment horizontal="center" vertical="top" wrapText="1"/>
    </xf>
    <xf numFmtId="0" fontId="59" fillId="5" borderId="1" xfId="2" applyFont="1" applyFill="1" applyBorder="1" applyAlignment="1">
      <alignment horizontal="center" vertical="top" wrapText="1"/>
    </xf>
    <xf numFmtId="0" fontId="60" fillId="0" borderId="13" xfId="2" applyFont="1" applyBorder="1"/>
    <xf numFmtId="0" fontId="60" fillId="0" borderId="14" xfId="2" applyFont="1" applyBorder="1"/>
    <xf numFmtId="0" fontId="61" fillId="0" borderId="14" xfId="2" applyFont="1" applyBorder="1"/>
    <xf numFmtId="1" fontId="61" fillId="0" borderId="0" xfId="2" applyNumberFormat="1" applyFont="1"/>
    <xf numFmtId="0" fontId="61" fillId="0" borderId="0" xfId="2" applyFont="1"/>
    <xf numFmtId="0" fontId="60" fillId="0" borderId="0" xfId="2" applyFont="1"/>
    <xf numFmtId="0" fontId="60" fillId="5" borderId="1" xfId="2" applyFont="1" applyFill="1" applyBorder="1" applyAlignment="1">
      <alignment horizontal="center" vertical="center" wrapText="1"/>
    </xf>
    <xf numFmtId="0" fontId="59" fillId="5" borderId="1" xfId="2" applyFont="1" applyFill="1" applyBorder="1" applyAlignment="1">
      <alignment horizontal="center" vertical="center" wrapText="1"/>
    </xf>
    <xf numFmtId="2" fontId="60" fillId="5" borderId="1" xfId="2" applyNumberFormat="1" applyFont="1" applyFill="1" applyBorder="1" applyAlignment="1">
      <alignment horizontal="center" vertical="center" shrinkToFit="1"/>
    </xf>
    <xf numFmtId="2" fontId="60" fillId="5" borderId="1" xfId="2" applyNumberFormat="1" applyFont="1" applyFill="1" applyBorder="1" applyAlignment="1">
      <alignment horizontal="center" vertical="center"/>
    </xf>
    <xf numFmtId="1" fontId="60" fillId="5" borderId="1" xfId="2" applyNumberFormat="1" applyFont="1" applyFill="1" applyBorder="1" applyAlignment="1">
      <alignment horizontal="center" vertical="center"/>
    </xf>
    <xf numFmtId="0" fontId="60" fillId="0" borderId="13" xfId="2" applyFont="1" applyBorder="1" applyAlignment="1">
      <alignment vertical="center"/>
    </xf>
    <xf numFmtId="0" fontId="60" fillId="0" borderId="14" xfId="2" applyFont="1" applyBorder="1" applyAlignment="1">
      <alignment vertical="center"/>
    </xf>
    <xf numFmtId="0" fontId="61" fillId="0" borderId="0" xfId="2" applyFont="1" applyAlignment="1">
      <alignment vertical="center"/>
    </xf>
    <xf numFmtId="2" fontId="59" fillId="5" borderId="1" xfId="2" applyNumberFormat="1" applyFont="1" applyFill="1" applyBorder="1" applyAlignment="1">
      <alignment horizontal="center" vertical="center" shrinkToFit="1"/>
    </xf>
    <xf numFmtId="0" fontId="59" fillId="5" borderId="1" xfId="2" applyFont="1" applyFill="1" applyBorder="1" applyAlignment="1">
      <alignment horizontal="center" vertical="center" shrinkToFit="1"/>
    </xf>
    <xf numFmtId="1" fontId="59" fillId="5" borderId="1" xfId="2" applyNumberFormat="1" applyFont="1" applyFill="1" applyBorder="1" applyAlignment="1">
      <alignment horizontal="center" vertical="center" shrinkToFit="1"/>
    </xf>
    <xf numFmtId="0" fontId="60" fillId="5" borderId="1" xfId="2" applyFont="1" applyFill="1" applyBorder="1" applyAlignment="1">
      <alignment horizontal="justify" vertical="top" wrapText="1"/>
    </xf>
    <xf numFmtId="0" fontId="60" fillId="0" borderId="13" xfId="2" applyFont="1" applyBorder="1" applyAlignment="1">
      <alignment vertical="top"/>
    </xf>
    <xf numFmtId="0" fontId="60" fillId="0" borderId="14" xfId="2" applyFont="1" applyBorder="1" applyAlignment="1">
      <alignment vertical="top"/>
    </xf>
    <xf numFmtId="0" fontId="61" fillId="0" borderId="0" xfId="2" applyFont="1" applyAlignment="1">
      <alignment vertical="top"/>
    </xf>
    <xf numFmtId="0" fontId="59" fillId="5" borderId="1" xfId="2" applyFont="1" applyFill="1" applyBorder="1" applyAlignment="1">
      <alignment horizontal="right" vertical="center" wrapText="1"/>
    </xf>
    <xf numFmtId="2" fontId="59" fillId="5" borderId="1" xfId="2" applyNumberFormat="1" applyFont="1" applyFill="1" applyBorder="1" applyAlignment="1">
      <alignment horizontal="center" vertical="center" wrapText="1"/>
    </xf>
    <xf numFmtId="0" fontId="60" fillId="0" borderId="13" xfId="2" applyFont="1" applyBorder="1" applyAlignment="1">
      <alignment vertical="center" wrapText="1"/>
    </xf>
    <xf numFmtId="0" fontId="60" fillId="0" borderId="14" xfId="2" applyFont="1" applyBorder="1" applyAlignment="1">
      <alignment vertical="center" wrapText="1"/>
    </xf>
    <xf numFmtId="0" fontId="61" fillId="0" borderId="0" xfId="2" applyFont="1" applyAlignment="1">
      <alignment vertical="center" wrapText="1"/>
    </xf>
    <xf numFmtId="0" fontId="60" fillId="5" borderId="1" xfId="2" applyFont="1" applyFill="1" applyBorder="1" applyAlignment="1">
      <alignment horizontal="center" vertical="center"/>
    </xf>
    <xf numFmtId="0" fontId="59" fillId="5" borderId="1" xfId="2" applyFont="1" applyFill="1" applyBorder="1" applyAlignment="1">
      <alignment horizontal="justify" vertical="top" wrapText="1"/>
    </xf>
    <xf numFmtId="0" fontId="62" fillId="5" borderId="1" xfId="2" applyFont="1" applyFill="1" applyBorder="1" applyAlignment="1">
      <alignment horizontal="center" vertical="center" wrapText="1"/>
    </xf>
    <xf numFmtId="0" fontId="60" fillId="5" borderId="1" xfId="2" applyFont="1" applyFill="1" applyBorder="1" applyAlignment="1">
      <alignment horizontal="left" vertical="center" wrapText="1"/>
    </xf>
    <xf numFmtId="1" fontId="60" fillId="5" borderId="1" xfId="2" applyNumberFormat="1" applyFont="1" applyFill="1" applyBorder="1" applyAlignment="1">
      <alignment horizontal="center" vertical="center" shrinkToFit="1"/>
    </xf>
    <xf numFmtId="1" fontId="60" fillId="5" borderId="1" xfId="2" applyNumberFormat="1" applyFont="1" applyFill="1" applyBorder="1" applyAlignment="1">
      <alignment horizontal="center" vertical="center" wrapText="1"/>
    </xf>
    <xf numFmtId="2" fontId="60" fillId="5" borderId="1" xfId="2" applyNumberFormat="1" applyFont="1" applyFill="1" applyBorder="1" applyAlignment="1">
      <alignment horizontal="center" vertical="center" wrapText="1"/>
    </xf>
    <xf numFmtId="0" fontId="59" fillId="5" borderId="1" xfId="2" applyFont="1" applyFill="1" applyBorder="1" applyAlignment="1">
      <alignment horizontal="justify" wrapText="1"/>
    </xf>
    <xf numFmtId="2" fontId="59" fillId="5" borderId="1" xfId="2" applyNumberFormat="1" applyFont="1" applyFill="1" applyBorder="1" applyAlignment="1">
      <alignment horizontal="center" vertical="center"/>
    </xf>
    <xf numFmtId="0" fontId="60" fillId="5" borderId="1" xfId="2" applyFont="1" applyFill="1" applyBorder="1" applyAlignment="1">
      <alignment vertical="top" wrapText="1"/>
    </xf>
    <xf numFmtId="1" fontId="59" fillId="5" borderId="1" xfId="2" applyNumberFormat="1" applyFont="1" applyFill="1" applyBorder="1" applyAlignment="1">
      <alignment horizontal="center" vertical="center" wrapText="1"/>
    </xf>
    <xf numFmtId="0" fontId="60" fillId="0" borderId="13" xfId="2" applyFont="1" applyBorder="1" applyAlignment="1">
      <alignment horizontal="center" vertical="center"/>
    </xf>
    <xf numFmtId="0" fontId="60" fillId="0" borderId="14" xfId="2" applyFont="1" applyBorder="1" applyAlignment="1">
      <alignment horizontal="center" vertical="center"/>
    </xf>
    <xf numFmtId="0" fontId="61" fillId="0" borderId="0" xfId="2" applyFont="1" applyAlignment="1">
      <alignment horizontal="center" vertical="center"/>
    </xf>
    <xf numFmtId="0" fontId="59" fillId="5" borderId="1" xfId="2" applyFont="1" applyFill="1" applyBorder="1" applyAlignment="1">
      <alignment horizontal="left" vertical="center" wrapText="1"/>
    </xf>
    <xf numFmtId="166" fontId="60" fillId="5" borderId="1" xfId="2" applyNumberFormat="1" applyFont="1" applyFill="1" applyBorder="1" applyAlignment="1">
      <alignment horizontal="center" vertical="center" wrapText="1"/>
    </xf>
    <xf numFmtId="166" fontId="59" fillId="5" borderId="1" xfId="2" applyNumberFormat="1" applyFont="1" applyFill="1" applyBorder="1" applyAlignment="1">
      <alignment horizontal="center" vertical="center" wrapText="1"/>
    </xf>
    <xf numFmtId="0" fontId="60" fillId="5" borderId="1" xfId="2" applyFont="1" applyFill="1" applyBorder="1" applyAlignment="1">
      <alignment horizontal="left" wrapText="1"/>
    </xf>
    <xf numFmtId="168" fontId="60" fillId="5" borderId="1" xfId="2" applyNumberFormat="1" applyFont="1" applyFill="1" applyBorder="1" applyAlignment="1">
      <alignment horizontal="center" vertical="center" wrapText="1"/>
    </xf>
    <xf numFmtId="0" fontId="60" fillId="5" borderId="1" xfId="2" applyFont="1" applyFill="1" applyBorder="1" applyAlignment="1">
      <alignment horizontal="left" vertical="top" wrapText="1"/>
    </xf>
    <xf numFmtId="0" fontId="60" fillId="0" borderId="13" xfId="2" applyFont="1" applyBorder="1" applyAlignment="1">
      <alignment horizontal="center" vertical="top"/>
    </xf>
    <xf numFmtId="0" fontId="60" fillId="0" borderId="14" xfId="2" applyFont="1" applyBorder="1" applyAlignment="1">
      <alignment horizontal="center" vertical="top"/>
    </xf>
    <xf numFmtId="0" fontId="61" fillId="0" borderId="0" xfId="2" applyFont="1" applyAlignment="1">
      <alignment horizontal="center" vertical="top"/>
    </xf>
    <xf numFmtId="2" fontId="60" fillId="5" borderId="1" xfId="2" applyNumberFormat="1" applyFont="1" applyFill="1" applyBorder="1" applyAlignment="1">
      <alignment horizontal="left" vertical="top" wrapText="1"/>
    </xf>
    <xf numFmtId="2" fontId="60" fillId="5" borderId="1" xfId="2" applyNumberFormat="1" applyFont="1" applyFill="1" applyBorder="1" applyAlignment="1">
      <alignment horizontal="left" vertical="center" wrapText="1"/>
    </xf>
    <xf numFmtId="0" fontId="59" fillId="5" borderId="1" xfId="2" applyFont="1" applyFill="1" applyBorder="1" applyAlignment="1">
      <alignment horizontal="left" vertical="top" wrapText="1"/>
    </xf>
    <xf numFmtId="0" fontId="60" fillId="0" borderId="0" xfId="2" applyFont="1" applyAlignment="1">
      <alignment horizontal="center" vertical="center"/>
    </xf>
    <xf numFmtId="0" fontId="60" fillId="0" borderId="0" xfId="2" applyFont="1" applyAlignment="1">
      <alignment horizontal="center" vertical="top"/>
    </xf>
    <xf numFmtId="0" fontId="60" fillId="5" borderId="1" xfId="2" applyFont="1" applyFill="1" applyBorder="1" applyAlignment="1">
      <alignment horizontal="center" vertical="center" shrinkToFit="1"/>
    </xf>
    <xf numFmtId="0" fontId="59" fillId="5" borderId="1" xfId="2" applyFont="1" applyFill="1" applyBorder="1"/>
    <xf numFmtId="169" fontId="60" fillId="5" borderId="1" xfId="2" applyNumberFormat="1" applyFont="1" applyFill="1" applyBorder="1" applyAlignment="1">
      <alignment horizontal="center" vertical="center" shrinkToFit="1"/>
    </xf>
    <xf numFmtId="2" fontId="59" fillId="5" borderId="1" xfId="57" applyNumberFormat="1" applyFont="1" applyFill="1" applyBorder="1" applyAlignment="1">
      <alignment horizontal="center" vertical="center" shrinkToFit="1"/>
    </xf>
    <xf numFmtId="0" fontId="60" fillId="5" borderId="1" xfId="2" applyFont="1" applyFill="1" applyBorder="1" applyAlignment="1">
      <alignment horizontal="center" vertical="center" wrapText="1" shrinkToFit="1"/>
    </xf>
    <xf numFmtId="2" fontId="60" fillId="5" borderId="1" xfId="2" applyNumberFormat="1" applyFont="1" applyFill="1" applyBorder="1" applyAlignment="1">
      <alignment horizontal="center" vertical="center" wrapText="1" shrinkToFit="1"/>
    </xf>
    <xf numFmtId="1" fontId="60" fillId="5" borderId="1" xfId="2" applyNumberFormat="1" applyFont="1" applyFill="1" applyBorder="1" applyAlignment="1">
      <alignment horizontal="center" vertical="center" wrapText="1" shrinkToFit="1"/>
    </xf>
    <xf numFmtId="2" fontId="59" fillId="5" borderId="1" xfId="2" applyNumberFormat="1" applyFont="1" applyFill="1" applyBorder="1" applyAlignment="1">
      <alignment horizontal="center" vertical="center" wrapText="1" shrinkToFit="1"/>
    </xf>
    <xf numFmtId="0" fontId="60" fillId="0" borderId="13" xfId="2" applyFont="1" applyBorder="1" applyAlignment="1">
      <alignment vertical="top" wrapText="1"/>
    </xf>
    <xf numFmtId="0" fontId="60" fillId="0" borderId="14" xfId="2" applyFont="1" applyBorder="1" applyAlignment="1">
      <alignment vertical="top" wrapText="1"/>
    </xf>
    <xf numFmtId="0" fontId="61" fillId="0" borderId="0" xfId="2" applyFont="1" applyAlignment="1">
      <alignment vertical="top" wrapText="1"/>
    </xf>
    <xf numFmtId="168" fontId="60" fillId="5" borderId="1" xfId="2" applyNumberFormat="1" applyFont="1" applyFill="1" applyBorder="1" applyAlignment="1">
      <alignment horizontal="center" vertical="center" wrapText="1" shrinkToFit="1"/>
    </xf>
    <xf numFmtId="0" fontId="60" fillId="5" borderId="1" xfId="2" applyFont="1" applyFill="1" applyBorder="1" applyAlignment="1">
      <alignment vertical="top"/>
    </xf>
    <xf numFmtId="168" fontId="60" fillId="5" borderId="1" xfId="2" applyNumberFormat="1" applyFont="1" applyFill="1" applyBorder="1" applyAlignment="1">
      <alignment horizontal="center" vertical="center" shrinkToFit="1"/>
    </xf>
    <xf numFmtId="0" fontId="60" fillId="5" borderId="1" xfId="2" applyFont="1" applyFill="1" applyBorder="1" applyAlignment="1">
      <alignment wrapText="1"/>
    </xf>
    <xf numFmtId="0" fontId="60" fillId="5" borderId="1" xfId="2" applyFont="1" applyFill="1" applyBorder="1"/>
    <xf numFmtId="2" fontId="59" fillId="5" borderId="1" xfId="57" applyNumberFormat="1" applyFont="1" applyFill="1" applyBorder="1" applyAlignment="1">
      <alignment horizontal="center" vertical="center" wrapText="1" shrinkToFit="1"/>
    </xf>
    <xf numFmtId="0" fontId="59" fillId="5" borderId="1" xfId="2" applyFont="1" applyFill="1" applyBorder="1" applyAlignment="1">
      <alignment horizontal="center" vertical="center" wrapText="1" shrinkToFit="1"/>
    </xf>
    <xf numFmtId="0" fontId="63" fillId="0" borderId="13" xfId="2" applyFont="1" applyBorder="1"/>
    <xf numFmtId="0" fontId="59" fillId="5" borderId="1" xfId="2" applyFont="1" applyFill="1" applyBorder="1" applyAlignment="1">
      <alignment vertical="top" wrapText="1"/>
    </xf>
    <xf numFmtId="0" fontId="59" fillId="5" borderId="1" xfId="2" applyFont="1" applyFill="1" applyBorder="1" applyAlignment="1">
      <alignment horizontal="center" vertical="center"/>
    </xf>
    <xf numFmtId="0" fontId="60" fillId="0" borderId="0" xfId="2" applyFont="1" applyAlignment="1">
      <alignment vertical="top"/>
    </xf>
    <xf numFmtId="0" fontId="59" fillId="5" borderId="1" xfId="2" applyFont="1" applyFill="1" applyBorder="1" applyAlignment="1">
      <alignment vertical="top"/>
    </xf>
    <xf numFmtId="0" fontId="59" fillId="5" borderId="1" xfId="2" applyFont="1" applyFill="1" applyBorder="1" applyAlignment="1">
      <alignment horizontal="justify" vertical="top"/>
    </xf>
    <xf numFmtId="0" fontId="59" fillId="0" borderId="13" xfId="2" applyFont="1" applyBorder="1" applyAlignment="1">
      <alignment vertical="top"/>
    </xf>
    <xf numFmtId="0" fontId="59" fillId="0" borderId="14" xfId="2" applyFont="1" applyBorder="1" applyAlignment="1">
      <alignment vertical="top"/>
    </xf>
    <xf numFmtId="0" fontId="59" fillId="0" borderId="0" xfId="2" applyFont="1" applyAlignment="1">
      <alignment vertical="top"/>
    </xf>
    <xf numFmtId="0" fontId="59" fillId="5" borderId="1" xfId="2" applyFont="1" applyFill="1" applyBorder="1" applyAlignment="1">
      <alignment horizontal="justify" vertical="center" wrapText="1"/>
    </xf>
    <xf numFmtId="0" fontId="64" fillId="0" borderId="0" xfId="2" applyFont="1" applyAlignment="1">
      <alignment vertical="top"/>
    </xf>
    <xf numFmtId="0" fontId="60" fillId="5" borderId="1" xfId="2" applyFont="1" applyFill="1" applyBorder="1" applyAlignment="1">
      <alignment horizontal="justify" wrapText="1"/>
    </xf>
    <xf numFmtId="0" fontId="59" fillId="0" borderId="13" xfId="2" applyFont="1" applyBorder="1"/>
    <xf numFmtId="0" fontId="59" fillId="0" borderId="14" xfId="2" applyFont="1" applyBorder="1"/>
    <xf numFmtId="0" fontId="59" fillId="0" borderId="0" xfId="2" applyFont="1"/>
    <xf numFmtId="2" fontId="60" fillId="0" borderId="13" xfId="2" applyNumberFormat="1" applyFont="1" applyBorder="1"/>
    <xf numFmtId="0" fontId="59" fillId="5" borderId="1" xfId="2" applyFont="1" applyFill="1" applyBorder="1" applyAlignment="1">
      <alignment horizontal="left" vertical="top" shrinkToFit="1"/>
    </xf>
    <xf numFmtId="2" fontId="60" fillId="0" borderId="13" xfId="2" applyNumberFormat="1" applyFont="1" applyBorder="1" applyAlignment="1">
      <alignment vertical="top"/>
    </xf>
    <xf numFmtId="0" fontId="59" fillId="5" borderId="1" xfId="2" applyFont="1" applyFill="1" applyBorder="1" applyAlignment="1">
      <alignment horizontal="left" vertical="top" wrapText="1" shrinkToFit="1"/>
    </xf>
    <xf numFmtId="166" fontId="60" fillId="5" borderId="1" xfId="2" applyNumberFormat="1" applyFont="1" applyFill="1" applyBorder="1" applyAlignment="1">
      <alignment horizontal="center" vertical="center"/>
    </xf>
    <xf numFmtId="1" fontId="59" fillId="5" borderId="1" xfId="2" applyNumberFormat="1" applyFont="1" applyFill="1" applyBorder="1" applyAlignment="1">
      <alignment horizontal="center" vertical="center"/>
    </xf>
    <xf numFmtId="2" fontId="60" fillId="0" borderId="14" xfId="2" applyNumberFormat="1" applyFont="1" applyBorder="1" applyAlignment="1">
      <alignment vertical="top"/>
    </xf>
    <xf numFmtId="168" fontId="60" fillId="5" borderId="1" xfId="2" applyNumberFormat="1" applyFont="1" applyFill="1" applyBorder="1" applyAlignment="1">
      <alignment horizontal="center" vertical="center"/>
    </xf>
    <xf numFmtId="2" fontId="60" fillId="0" borderId="14" xfId="2" applyNumberFormat="1" applyFont="1" applyBorder="1"/>
    <xf numFmtId="0" fontId="60" fillId="5" borderId="1" xfId="2" applyFont="1" applyFill="1" applyBorder="1" applyAlignment="1">
      <alignment horizontal="justify" vertical="center" wrapText="1"/>
    </xf>
    <xf numFmtId="0" fontId="63" fillId="0" borderId="14" xfId="2" applyFont="1" applyBorder="1"/>
    <xf numFmtId="0" fontId="63" fillId="0" borderId="0" xfId="2" applyFont="1"/>
    <xf numFmtId="0" fontId="63" fillId="0" borderId="13" xfId="2" applyFont="1" applyBorder="1" applyAlignment="1">
      <alignment vertical="top"/>
    </xf>
    <xf numFmtId="0" fontId="63" fillId="0" borderId="14" xfId="2" applyFont="1" applyBorder="1" applyAlignment="1">
      <alignment vertical="top"/>
    </xf>
    <xf numFmtId="0" fontId="63" fillId="0" borderId="0" xfId="2" applyFont="1" applyAlignment="1">
      <alignment vertical="top"/>
    </xf>
    <xf numFmtId="0" fontId="63" fillId="0" borderId="13" xfId="2" applyFont="1" applyBorder="1" applyAlignment="1">
      <alignment vertical="center"/>
    </xf>
    <xf numFmtId="0" fontId="63" fillId="0" borderId="14" xfId="2" applyFont="1" applyBorder="1" applyAlignment="1">
      <alignment vertical="center"/>
    </xf>
    <xf numFmtId="0" fontId="63" fillId="0" borderId="0" xfId="2" applyFont="1" applyAlignment="1">
      <alignment vertical="center"/>
    </xf>
    <xf numFmtId="1" fontId="65" fillId="0" borderId="13" xfId="2" applyNumberFormat="1" applyFont="1" applyBorder="1" applyAlignment="1">
      <alignment horizontal="center" vertical="center"/>
    </xf>
    <xf numFmtId="1" fontId="65" fillId="0" borderId="14" xfId="2" applyNumberFormat="1" applyFont="1" applyBorder="1" applyAlignment="1">
      <alignment horizontal="center" vertical="center"/>
    </xf>
    <xf numFmtId="2" fontId="65" fillId="0" borderId="14" xfId="2" applyNumberFormat="1" applyFont="1" applyBorder="1" applyAlignment="1">
      <alignment horizontal="center" vertical="center"/>
    </xf>
    <xf numFmtId="2" fontId="63" fillId="0" borderId="13" xfId="2" applyNumberFormat="1" applyFont="1" applyBorder="1" applyAlignment="1">
      <alignment horizontal="center" vertical="top"/>
    </xf>
    <xf numFmtId="2" fontId="63" fillId="0" borderId="14" xfId="2" applyNumberFormat="1" applyFont="1" applyBorder="1" applyAlignment="1">
      <alignment horizontal="center" vertical="top"/>
    </xf>
    <xf numFmtId="2" fontId="63" fillId="0" borderId="13" xfId="2" applyNumberFormat="1" applyFont="1" applyBorder="1" applyAlignment="1">
      <alignment horizontal="center" vertical="top" shrinkToFit="1"/>
    </xf>
    <xf numFmtId="2" fontId="63" fillId="0" borderId="14" xfId="2" applyNumberFormat="1" applyFont="1" applyBorder="1" applyAlignment="1">
      <alignment horizontal="center" vertical="top" shrinkToFit="1"/>
    </xf>
    <xf numFmtId="2" fontId="63" fillId="0" borderId="13" xfId="2" applyNumberFormat="1" applyFont="1" applyBorder="1" applyAlignment="1">
      <alignment horizontal="center" vertical="center"/>
    </xf>
    <xf numFmtId="2" fontId="63" fillId="0" borderId="14" xfId="2" applyNumberFormat="1" applyFont="1" applyBorder="1" applyAlignment="1">
      <alignment horizontal="center" vertical="center"/>
    </xf>
    <xf numFmtId="2" fontId="59" fillId="5" borderId="1" xfId="2" applyNumberFormat="1" applyFont="1" applyFill="1" applyBorder="1" applyAlignment="1">
      <alignment horizontal="right" vertical="top" wrapText="1"/>
    </xf>
    <xf numFmtId="1" fontId="65" fillId="0" borderId="13" xfId="2" applyNumberFormat="1" applyFont="1" applyBorder="1" applyAlignment="1">
      <alignment horizontal="center" vertical="center" shrinkToFit="1"/>
    </xf>
    <xf numFmtId="1" fontId="65" fillId="0" borderId="14" xfId="2" applyNumberFormat="1" applyFont="1" applyBorder="1" applyAlignment="1">
      <alignment horizontal="center" vertical="center" shrinkToFit="1"/>
    </xf>
    <xf numFmtId="0" fontId="63" fillId="0" borderId="13" xfId="2" applyFont="1" applyBorder="1" applyAlignment="1">
      <alignment horizontal="center" vertical="center"/>
    </xf>
    <xf numFmtId="0" fontId="63" fillId="0" borderId="14" xfId="2" applyFont="1" applyBorder="1" applyAlignment="1">
      <alignment horizontal="center" vertical="center"/>
    </xf>
    <xf numFmtId="0" fontId="63" fillId="0" borderId="0" xfId="2" applyFont="1" applyAlignment="1">
      <alignment horizontal="center" vertical="center"/>
    </xf>
    <xf numFmtId="1" fontId="63" fillId="0" borderId="0" xfId="2" applyNumberFormat="1" applyFont="1" applyAlignment="1">
      <alignment horizontal="center" vertical="center"/>
    </xf>
    <xf numFmtId="0" fontId="59" fillId="5" borderId="1" xfId="2" applyFont="1" applyFill="1" applyBorder="1" applyAlignment="1">
      <alignment horizontal="left" vertical="top"/>
    </xf>
    <xf numFmtId="2" fontId="59" fillId="5" borderId="1" xfId="2" applyNumberFormat="1" applyFont="1" applyFill="1" applyBorder="1" applyAlignment="1">
      <alignment horizontal="right" vertical="center" wrapText="1"/>
    </xf>
    <xf numFmtId="166" fontId="63" fillId="0" borderId="0" xfId="2" applyNumberFormat="1" applyFont="1" applyAlignment="1">
      <alignment horizontal="center" vertical="center"/>
    </xf>
    <xf numFmtId="2" fontId="63" fillId="0" borderId="0" xfId="2" applyNumberFormat="1" applyFont="1" applyAlignment="1">
      <alignment horizontal="center" vertical="center"/>
    </xf>
    <xf numFmtId="2" fontId="65" fillId="0" borderId="13" xfId="2" applyNumberFormat="1" applyFont="1" applyBorder="1" applyAlignment="1">
      <alignment horizontal="center" vertical="center" shrinkToFit="1"/>
    </xf>
    <xf numFmtId="0" fontId="62" fillId="5" borderId="1" xfId="2" applyFont="1" applyFill="1" applyBorder="1" applyAlignment="1">
      <alignment horizontal="justify" vertical="top" wrapText="1"/>
    </xf>
    <xf numFmtId="2" fontId="63" fillId="0" borderId="0" xfId="2" applyNumberFormat="1" applyFont="1"/>
    <xf numFmtId="2" fontId="61" fillId="0" borderId="0" xfId="2" applyNumberFormat="1" applyFont="1"/>
    <xf numFmtId="1" fontId="59" fillId="0" borderId="13" xfId="2" applyNumberFormat="1" applyFont="1" applyBorder="1" applyAlignment="1">
      <alignment horizontal="center" vertical="top" shrinkToFit="1"/>
    </xf>
    <xf numFmtId="1" fontId="59" fillId="0" borderId="14" xfId="2" applyNumberFormat="1" applyFont="1" applyBorder="1" applyAlignment="1">
      <alignment horizontal="center" vertical="top" shrinkToFit="1"/>
    </xf>
    <xf numFmtId="2" fontId="59" fillId="0" borderId="14" xfId="2" applyNumberFormat="1" applyFont="1" applyBorder="1" applyAlignment="1">
      <alignment horizontal="center" shrinkToFit="1"/>
    </xf>
    <xf numFmtId="166" fontId="60" fillId="5" borderId="1" xfId="2" applyNumberFormat="1" applyFont="1" applyFill="1" applyBorder="1" applyAlignment="1">
      <alignment horizontal="center" vertical="center" shrinkToFit="1"/>
    </xf>
    <xf numFmtId="1" fontId="59" fillId="0" borderId="13" xfId="2" applyNumberFormat="1" applyFont="1" applyBorder="1" applyAlignment="1">
      <alignment horizontal="center" vertical="center" shrinkToFit="1"/>
    </xf>
    <xf numFmtId="1" fontId="59" fillId="0" borderId="14" xfId="2" applyNumberFormat="1" applyFont="1" applyBorder="1" applyAlignment="1">
      <alignment horizontal="center" vertical="center" shrinkToFit="1"/>
    </xf>
    <xf numFmtId="1" fontId="59" fillId="0" borderId="13" xfId="2" applyNumberFormat="1" applyFont="1" applyBorder="1" applyAlignment="1">
      <alignment horizontal="center"/>
    </xf>
    <xf numFmtId="1" fontId="59" fillId="0" borderId="14" xfId="2" applyNumberFormat="1" applyFont="1" applyBorder="1" applyAlignment="1">
      <alignment horizontal="center"/>
    </xf>
    <xf numFmtId="2" fontId="60" fillId="0" borderId="13" xfId="2" applyNumberFormat="1" applyFont="1" applyBorder="1" applyAlignment="1">
      <alignment horizontal="center" vertical="top" wrapText="1"/>
    </xf>
    <xf numFmtId="2" fontId="60" fillId="0" borderId="14" xfId="2" applyNumberFormat="1" applyFont="1" applyBorder="1" applyAlignment="1">
      <alignment horizontal="center" vertical="top" wrapText="1"/>
    </xf>
    <xf numFmtId="0" fontId="60" fillId="0" borderId="13" xfId="2" applyFont="1" applyBorder="1" applyAlignment="1">
      <alignment horizontal="center" vertical="top" wrapText="1"/>
    </xf>
    <xf numFmtId="0" fontId="60" fillId="0" borderId="14" xfId="2" applyFont="1" applyBorder="1" applyAlignment="1">
      <alignment horizontal="center" vertical="top" wrapText="1"/>
    </xf>
    <xf numFmtId="2" fontId="60" fillId="0" borderId="13" xfId="2" applyNumberFormat="1" applyFont="1" applyBorder="1" applyAlignment="1">
      <alignment horizontal="center" vertical="center" wrapText="1"/>
    </xf>
    <xf numFmtId="2" fontId="60" fillId="0" borderId="14" xfId="2" applyNumberFormat="1" applyFont="1" applyBorder="1" applyAlignment="1">
      <alignment horizontal="center" vertical="center" wrapText="1"/>
    </xf>
    <xf numFmtId="0" fontId="61" fillId="0" borderId="0" xfId="2" applyFont="1" applyAlignment="1">
      <alignment horizontal="center" vertical="center" wrapText="1"/>
    </xf>
    <xf numFmtId="1" fontId="65" fillId="0" borderId="13" xfId="2" applyNumberFormat="1" applyFont="1" applyBorder="1" applyAlignment="1">
      <alignment horizontal="center" vertical="top" shrinkToFit="1"/>
    </xf>
    <xf numFmtId="1" fontId="65" fillId="0" borderId="14" xfId="2" applyNumberFormat="1" applyFont="1" applyBorder="1" applyAlignment="1">
      <alignment horizontal="center" vertical="top" shrinkToFit="1"/>
    </xf>
    <xf numFmtId="2" fontId="65" fillId="0" borderId="14" xfId="2" applyNumberFormat="1" applyFont="1" applyBorder="1" applyAlignment="1">
      <alignment horizontal="center" shrinkToFit="1"/>
    </xf>
    <xf numFmtId="0" fontId="63" fillId="0" borderId="13" xfId="2" applyFont="1" applyBorder="1" applyAlignment="1">
      <alignment horizontal="center" vertical="top"/>
    </xf>
    <xf numFmtId="0" fontId="63" fillId="0" borderId="14" xfId="2" applyFont="1" applyBorder="1" applyAlignment="1">
      <alignment horizontal="center" vertical="top"/>
    </xf>
    <xf numFmtId="0" fontId="63" fillId="0" borderId="0" xfId="2" applyFont="1" applyAlignment="1">
      <alignment horizontal="center" vertical="top"/>
    </xf>
    <xf numFmtId="2" fontId="59" fillId="5" borderId="1" xfId="2" applyNumberFormat="1" applyFont="1" applyFill="1" applyBorder="1" applyAlignment="1">
      <alignment horizontal="justify" vertical="top" wrapText="1"/>
    </xf>
    <xf numFmtId="2" fontId="65" fillId="0" borderId="14" xfId="2" applyNumberFormat="1" applyFont="1" applyBorder="1" applyAlignment="1">
      <alignment horizontal="center" vertical="top" shrinkToFit="1"/>
    </xf>
    <xf numFmtId="0" fontId="62" fillId="5" borderId="1" xfId="2" applyFont="1" applyFill="1" applyBorder="1" applyAlignment="1">
      <alignment horizontal="left" vertical="top"/>
    </xf>
    <xf numFmtId="0" fontId="62" fillId="5" borderId="1" xfId="2" applyFont="1" applyFill="1" applyBorder="1" applyAlignment="1">
      <alignment vertical="top" wrapText="1"/>
    </xf>
    <xf numFmtId="0" fontId="60" fillId="0" borderId="0" xfId="2" applyFont="1" applyAlignment="1">
      <alignment vertical="center"/>
    </xf>
    <xf numFmtId="166" fontId="59" fillId="5" borderId="1" xfId="2" applyNumberFormat="1" applyFont="1" applyFill="1" applyBorder="1" applyAlignment="1">
      <alignment horizontal="center" vertical="center" shrinkToFit="1"/>
    </xf>
    <xf numFmtId="166" fontId="65" fillId="0" borderId="13" xfId="2" applyNumberFormat="1" applyFont="1" applyBorder="1" applyAlignment="1">
      <alignment horizontal="center" vertical="top" shrinkToFit="1"/>
    </xf>
    <xf numFmtId="166" fontId="65" fillId="0" borderId="14" xfId="2" applyNumberFormat="1" applyFont="1" applyBorder="1" applyAlignment="1">
      <alignment horizontal="center" vertical="top" shrinkToFit="1"/>
    </xf>
    <xf numFmtId="0" fontId="62" fillId="5" borderId="1" xfId="2" applyFont="1" applyFill="1" applyBorder="1" applyAlignment="1">
      <alignment horizontal="left" vertical="top" wrapText="1"/>
    </xf>
    <xf numFmtId="0" fontId="60" fillId="0" borderId="0" xfId="2" applyFont="1" applyAlignment="1">
      <alignment vertical="top" wrapText="1"/>
    </xf>
    <xf numFmtId="0" fontId="60" fillId="0" borderId="0" xfId="2" applyFont="1" applyAlignment="1">
      <alignment vertical="center" wrapText="1"/>
    </xf>
    <xf numFmtId="0" fontId="59" fillId="0" borderId="13" xfId="2" applyFont="1" applyBorder="1" applyAlignment="1">
      <alignment vertical="top" wrapText="1"/>
    </xf>
    <xf numFmtId="0" fontId="63" fillId="0" borderId="14" xfId="2" applyFont="1" applyBorder="1" applyAlignment="1">
      <alignment vertical="top" wrapText="1"/>
    </xf>
    <xf numFmtId="2" fontId="65" fillId="0" borderId="14" xfId="2" applyNumberFormat="1" applyFont="1" applyBorder="1" applyAlignment="1">
      <alignment horizontal="center" vertical="top" wrapText="1"/>
    </xf>
    <xf numFmtId="1" fontId="65" fillId="0" borderId="14" xfId="2" applyNumberFormat="1" applyFont="1" applyBorder="1" applyAlignment="1">
      <alignment horizontal="center"/>
    </xf>
    <xf numFmtId="2" fontId="60" fillId="0" borderId="13" xfId="2" applyNumberFormat="1" applyFont="1" applyBorder="1" applyAlignment="1">
      <alignment horizontal="center" vertical="top" wrapText="1" shrinkToFit="1"/>
    </xf>
    <xf numFmtId="2" fontId="63" fillId="0" borderId="14" xfId="2" applyNumberFormat="1" applyFont="1" applyBorder="1" applyAlignment="1">
      <alignment horizontal="center" vertical="top" wrapText="1" shrinkToFit="1"/>
    </xf>
    <xf numFmtId="2" fontId="63" fillId="0" borderId="14" xfId="2" applyNumberFormat="1" applyFont="1" applyBorder="1" applyAlignment="1">
      <alignment horizontal="center" vertical="top" wrapText="1"/>
    </xf>
    <xf numFmtId="0" fontId="63" fillId="0" borderId="14" xfId="2" applyFont="1" applyBorder="1" applyAlignment="1">
      <alignment horizontal="center" vertical="top" wrapText="1"/>
    </xf>
    <xf numFmtId="2" fontId="63" fillId="0" borderId="14" xfId="2" applyNumberFormat="1" applyFont="1" applyBorder="1" applyAlignment="1">
      <alignment horizontal="center" vertical="center" wrapText="1"/>
    </xf>
    <xf numFmtId="1" fontId="59" fillId="5" borderId="1" xfId="2" applyNumberFormat="1" applyFont="1" applyFill="1" applyBorder="1" applyAlignment="1">
      <alignment horizontal="center" vertical="center" wrapText="1" shrinkToFit="1"/>
    </xf>
    <xf numFmtId="1" fontId="59" fillId="0" borderId="13" xfId="2" applyNumberFormat="1" applyFont="1" applyBorder="1" applyAlignment="1">
      <alignment horizontal="center" vertical="center" wrapText="1" shrinkToFit="1"/>
    </xf>
    <xf numFmtId="1" fontId="65" fillId="0" borderId="14" xfId="2" applyNumberFormat="1" applyFont="1" applyBorder="1" applyAlignment="1">
      <alignment horizontal="center" vertical="center" wrapText="1" shrinkToFit="1"/>
    </xf>
    <xf numFmtId="0" fontId="59" fillId="0" borderId="13" xfId="2" applyFont="1" applyBorder="1" applyAlignment="1">
      <alignment horizontal="center"/>
    </xf>
    <xf numFmtId="2" fontId="60" fillId="0" borderId="13" xfId="2" applyNumberFormat="1" applyFont="1" applyBorder="1" applyAlignment="1">
      <alignment horizontal="center" vertical="top"/>
    </xf>
    <xf numFmtId="2" fontId="60" fillId="0" borderId="13" xfId="2" applyNumberFormat="1" applyFont="1" applyBorder="1" applyAlignment="1">
      <alignment horizontal="center" vertical="top" shrinkToFit="1"/>
    </xf>
    <xf numFmtId="2" fontId="60" fillId="0" borderId="13" xfId="2" applyNumberFormat="1" applyFont="1" applyBorder="1" applyAlignment="1">
      <alignment horizontal="center" vertical="center"/>
    </xf>
    <xf numFmtId="2" fontId="64" fillId="0" borderId="13" xfId="2" applyNumberFormat="1" applyFont="1" applyBorder="1" applyAlignment="1">
      <alignment horizontal="center" vertical="top"/>
    </xf>
    <xf numFmtId="1" fontId="63" fillId="0" borderId="13" xfId="2" applyNumberFormat="1" applyFont="1" applyBorder="1"/>
    <xf numFmtId="2" fontId="65" fillId="0" borderId="14" xfId="2" applyNumberFormat="1" applyFont="1" applyBorder="1" applyAlignment="1">
      <alignment horizontal="center"/>
    </xf>
    <xf numFmtId="1" fontId="65" fillId="0" borderId="13" xfId="2" applyNumberFormat="1" applyFont="1" applyBorder="1" applyAlignment="1">
      <alignment horizontal="center"/>
    </xf>
    <xf numFmtId="2" fontId="64" fillId="0" borderId="14" xfId="2" applyNumberFormat="1" applyFont="1" applyBorder="1" applyAlignment="1">
      <alignment horizontal="center" vertical="top"/>
    </xf>
    <xf numFmtId="0" fontId="63" fillId="0" borderId="13" xfId="2" applyFont="1" applyBorder="1" applyAlignment="1">
      <alignment vertical="top" wrapText="1"/>
    </xf>
    <xf numFmtId="0" fontId="63" fillId="0" borderId="0" xfId="2" applyFont="1" applyAlignment="1">
      <alignment vertical="top" wrapText="1"/>
    </xf>
    <xf numFmtId="2" fontId="62" fillId="5" borderId="1" xfId="2" applyNumberFormat="1" applyFont="1" applyFill="1" applyBorder="1" applyAlignment="1">
      <alignment horizontal="justify" vertical="top" wrapText="1"/>
    </xf>
    <xf numFmtId="0" fontId="65" fillId="0" borderId="14" xfId="2" applyFont="1" applyBorder="1" applyAlignment="1">
      <alignment horizontal="center"/>
    </xf>
    <xf numFmtId="2" fontId="63" fillId="0" borderId="13" xfId="2" applyNumberFormat="1" applyFont="1" applyBorder="1" applyAlignment="1">
      <alignment horizontal="center"/>
    </xf>
    <xf numFmtId="2" fontId="63" fillId="0" borderId="14" xfId="2" applyNumberFormat="1" applyFont="1" applyBorder="1" applyAlignment="1">
      <alignment horizontal="center"/>
    </xf>
    <xf numFmtId="0" fontId="59" fillId="5" borderId="1" xfId="2" applyFont="1" applyFill="1" applyBorder="1" applyAlignment="1">
      <alignment horizontal="center" vertical="top"/>
    </xf>
    <xf numFmtId="0" fontId="65" fillId="0" borderId="13" xfId="2" applyFont="1" applyBorder="1" applyAlignment="1">
      <alignment vertical="top" wrapText="1"/>
    </xf>
    <xf numFmtId="2" fontId="63" fillId="0" borderId="13" xfId="2" applyNumberFormat="1" applyFont="1" applyBorder="1" applyAlignment="1">
      <alignment horizontal="center" vertical="top" wrapText="1"/>
    </xf>
    <xf numFmtId="2" fontId="63" fillId="0" borderId="13" xfId="2" applyNumberFormat="1" applyFont="1" applyBorder="1" applyAlignment="1">
      <alignment horizontal="center" vertical="top" wrapText="1" shrinkToFit="1"/>
    </xf>
    <xf numFmtId="0" fontId="63" fillId="0" borderId="13" xfId="2" applyFont="1" applyBorder="1" applyAlignment="1">
      <alignment horizontal="center" vertical="top" wrapText="1"/>
    </xf>
    <xf numFmtId="2" fontId="63" fillId="0" borderId="13" xfId="2" applyNumberFormat="1" applyFont="1" applyBorder="1" applyAlignment="1">
      <alignment vertical="center" wrapText="1"/>
    </xf>
    <xf numFmtId="2" fontId="63" fillId="0" borderId="14" xfId="2" applyNumberFormat="1" applyFont="1" applyBorder="1" applyAlignment="1">
      <alignment vertical="center" wrapText="1"/>
    </xf>
    <xf numFmtId="1" fontId="65" fillId="0" borderId="13" xfId="2" applyNumberFormat="1" applyFont="1" applyBorder="1" applyAlignment="1">
      <alignment horizontal="center" vertical="center" wrapText="1" shrinkToFit="1"/>
    </xf>
    <xf numFmtId="0" fontId="63" fillId="0" borderId="13" xfId="2" applyFont="1" applyBorder="1" applyAlignment="1">
      <alignment vertical="center" wrapText="1"/>
    </xf>
    <xf numFmtId="0" fontId="63" fillId="0" borderId="14" xfId="2" applyFont="1" applyBorder="1" applyAlignment="1">
      <alignment vertical="center" wrapText="1"/>
    </xf>
    <xf numFmtId="0" fontId="63" fillId="0" borderId="0" xfId="2" applyFont="1" applyAlignment="1">
      <alignment vertical="center" wrapText="1"/>
    </xf>
    <xf numFmtId="169" fontId="60" fillId="5" borderId="1" xfId="2" applyNumberFormat="1" applyFont="1" applyFill="1" applyBorder="1" applyAlignment="1">
      <alignment horizontal="center" vertical="center" wrapText="1" shrinkToFit="1"/>
    </xf>
    <xf numFmtId="2" fontId="60" fillId="0" borderId="14" xfId="2" applyNumberFormat="1" applyFont="1" applyBorder="1" applyAlignment="1">
      <alignment horizontal="center" vertical="top" wrapText="1" shrinkToFit="1"/>
    </xf>
    <xf numFmtId="1" fontId="59" fillId="0" borderId="14" xfId="2" applyNumberFormat="1" applyFont="1" applyBorder="1" applyAlignment="1">
      <alignment horizontal="center" vertical="center" wrapText="1" shrinkToFit="1"/>
    </xf>
    <xf numFmtId="2" fontId="59" fillId="0" borderId="14" xfId="2" applyNumberFormat="1" applyFont="1" applyBorder="1" applyAlignment="1">
      <alignment horizontal="center" vertical="center" wrapText="1" shrinkToFit="1"/>
    </xf>
    <xf numFmtId="0" fontId="60" fillId="13" borderId="1" xfId="2" applyFont="1" applyFill="1" applyBorder="1" applyAlignment="1">
      <alignment horizontal="justify" vertical="top" wrapText="1"/>
    </xf>
    <xf numFmtId="0" fontId="59" fillId="13" borderId="1" xfId="2" applyFont="1" applyFill="1" applyBorder="1"/>
    <xf numFmtId="0" fontId="60" fillId="13" borderId="1" xfId="2" applyFont="1" applyFill="1" applyBorder="1" applyAlignment="1">
      <alignment horizontal="justify" wrapText="1"/>
    </xf>
    <xf numFmtId="2" fontId="63" fillId="0" borderId="14" xfId="2" applyNumberFormat="1" applyFont="1" applyBorder="1"/>
    <xf numFmtId="0" fontId="60" fillId="13" borderId="1" xfId="2" applyFont="1" applyFill="1" applyBorder="1" applyAlignment="1">
      <alignment horizontal="center" vertical="center"/>
    </xf>
    <xf numFmtId="0" fontId="59" fillId="13" borderId="1" xfId="2" applyFont="1" applyFill="1" applyBorder="1" applyAlignment="1">
      <alignment horizontal="left" vertical="top"/>
    </xf>
    <xf numFmtId="1" fontId="60" fillId="13" borderId="1" xfId="2" applyNumberFormat="1" applyFont="1" applyFill="1" applyBorder="1" applyAlignment="1">
      <alignment horizontal="center" vertical="center"/>
    </xf>
    <xf numFmtId="0" fontId="59" fillId="13" borderId="1" xfId="2" applyFont="1" applyFill="1" applyBorder="1" applyAlignment="1">
      <alignment horizontal="center" vertical="center"/>
    </xf>
    <xf numFmtId="2" fontId="59" fillId="13" borderId="1" xfId="2" applyNumberFormat="1" applyFont="1" applyFill="1" applyBorder="1" applyAlignment="1">
      <alignment horizontal="center" vertical="center"/>
    </xf>
    <xf numFmtId="0" fontId="63" fillId="14" borderId="13" xfId="2" applyFont="1" applyFill="1" applyBorder="1"/>
    <xf numFmtId="0" fontId="63" fillId="14" borderId="14" xfId="2" applyFont="1" applyFill="1" applyBorder="1"/>
    <xf numFmtId="0" fontId="63" fillId="14" borderId="0" xfId="2" applyFont="1" applyFill="1"/>
    <xf numFmtId="166" fontId="60" fillId="13" borderId="1" xfId="2" applyNumberFormat="1" applyFont="1" applyFill="1" applyBorder="1" applyAlignment="1">
      <alignment horizontal="center" vertical="center"/>
    </xf>
    <xf numFmtId="2" fontId="60" fillId="13" borderId="1" xfId="2" applyNumberFormat="1" applyFont="1" applyFill="1" applyBorder="1" applyAlignment="1">
      <alignment horizontal="center" vertical="center"/>
    </xf>
    <xf numFmtId="2" fontId="59" fillId="13" borderId="1" xfId="2" applyNumberFormat="1" applyFont="1" applyFill="1" applyBorder="1" applyAlignment="1">
      <alignment horizontal="center" vertical="center" shrinkToFit="1"/>
    </xf>
    <xf numFmtId="0" fontId="59" fillId="13" borderId="1" xfId="2" applyFont="1" applyFill="1" applyBorder="1" applyAlignment="1">
      <alignment horizontal="justify" vertical="top" wrapText="1"/>
    </xf>
    <xf numFmtId="170" fontId="60" fillId="5" borderId="1" xfId="2" applyNumberFormat="1" applyFont="1" applyFill="1" applyBorder="1" applyAlignment="1">
      <alignment horizontal="center" vertical="center" shrinkToFit="1"/>
    </xf>
    <xf numFmtId="2" fontId="60" fillId="5" borderId="1" xfId="2" applyNumberFormat="1" applyFont="1" applyFill="1" applyBorder="1" applyAlignment="1">
      <alignment horizontal="justify" vertical="top" wrapText="1"/>
    </xf>
    <xf numFmtId="2" fontId="60" fillId="5" borderId="1" xfId="57" applyNumberFormat="1" applyFont="1" applyFill="1" applyBorder="1" applyAlignment="1">
      <alignment horizontal="center" vertical="center" shrinkToFit="1"/>
    </xf>
    <xf numFmtId="2" fontId="60" fillId="5" borderId="1" xfId="57" applyNumberFormat="1" applyFont="1" applyFill="1" applyBorder="1" applyAlignment="1">
      <alignment horizontal="center" vertical="center" wrapText="1" shrinkToFit="1"/>
    </xf>
    <xf numFmtId="1" fontId="60" fillId="0" borderId="13" xfId="2" applyNumberFormat="1" applyFont="1" applyBorder="1" applyAlignment="1">
      <alignment vertical="top" shrinkToFit="1"/>
    </xf>
    <xf numFmtId="0" fontId="59" fillId="0" borderId="14" xfId="2" applyFont="1" applyBorder="1" applyAlignment="1">
      <alignment horizontal="left" vertical="top" shrinkToFit="1"/>
    </xf>
    <xf numFmtId="164" fontId="59" fillId="5" borderId="1" xfId="2" applyNumberFormat="1" applyFont="1" applyFill="1" applyBorder="1" applyAlignment="1">
      <alignment horizontal="center" vertical="center"/>
    </xf>
    <xf numFmtId="2" fontId="59" fillId="0" borderId="13" xfId="2" applyNumberFormat="1" applyFont="1" applyBorder="1" applyAlignment="1">
      <alignment horizontal="center" vertical="top" wrapText="1" shrinkToFit="1"/>
    </xf>
    <xf numFmtId="2" fontId="59" fillId="0" borderId="14" xfId="2" applyNumberFormat="1" applyFont="1" applyBorder="1" applyAlignment="1">
      <alignment horizontal="center" vertical="top" wrapText="1" shrinkToFit="1"/>
    </xf>
    <xf numFmtId="1" fontId="59" fillId="0" borderId="13" xfId="2" applyNumberFormat="1" applyFont="1" applyBorder="1" applyAlignment="1">
      <alignment horizontal="center" vertical="top" wrapText="1" shrinkToFit="1"/>
    </xf>
    <xf numFmtId="1" fontId="59" fillId="0" borderId="14" xfId="2" applyNumberFormat="1" applyFont="1" applyBorder="1" applyAlignment="1">
      <alignment horizontal="center" vertical="top" wrapText="1" shrinkToFit="1"/>
    </xf>
    <xf numFmtId="171" fontId="60" fillId="5" borderId="1" xfId="2" applyNumberFormat="1" applyFont="1" applyFill="1" applyBorder="1" applyAlignment="1">
      <alignment horizontal="center" vertical="center" shrinkToFit="1"/>
    </xf>
    <xf numFmtId="2" fontId="59" fillId="0" borderId="14" xfId="2" applyNumberFormat="1" applyFont="1" applyBorder="1" applyAlignment="1">
      <alignment horizontal="center" vertical="top" shrinkToFit="1"/>
    </xf>
    <xf numFmtId="2" fontId="60" fillId="15" borderId="1" xfId="2" applyNumberFormat="1" applyFont="1" applyFill="1" applyBorder="1" applyAlignment="1">
      <alignment horizontal="center" vertical="center" wrapText="1" shrinkToFit="1"/>
    </xf>
    <xf numFmtId="166" fontId="60" fillId="5" borderId="1" xfId="2" applyNumberFormat="1" applyFont="1" applyFill="1" applyBorder="1" applyAlignment="1">
      <alignment horizontal="center" vertical="center" wrapText="1" shrinkToFit="1"/>
    </xf>
    <xf numFmtId="2" fontId="59" fillId="0" borderId="13" xfId="2" applyNumberFormat="1" applyFont="1" applyBorder="1" applyAlignment="1">
      <alignment vertical="center" shrinkToFit="1"/>
    </xf>
    <xf numFmtId="2" fontId="59" fillId="0" borderId="14" xfId="2" applyNumberFormat="1" applyFont="1" applyBorder="1" applyAlignment="1">
      <alignment vertical="center" shrinkToFit="1"/>
    </xf>
    <xf numFmtId="2" fontId="59" fillId="0" borderId="14" xfId="2" applyNumberFormat="1" applyFont="1" applyBorder="1" applyAlignment="1">
      <alignment horizontal="center" vertical="center" shrinkToFit="1"/>
    </xf>
    <xf numFmtId="2" fontId="60" fillId="15" borderId="1" xfId="2" applyNumberFormat="1" applyFont="1" applyFill="1" applyBorder="1" applyAlignment="1">
      <alignment horizontal="center" vertical="center" shrinkToFit="1"/>
    </xf>
    <xf numFmtId="2" fontId="59" fillId="0" borderId="13" xfId="2" applyNumberFormat="1" applyFont="1" applyBorder="1" applyAlignment="1">
      <alignment horizontal="center" vertical="center" shrinkToFit="1"/>
    </xf>
    <xf numFmtId="0" fontId="60" fillId="5" borderId="1" xfId="2" applyFont="1" applyFill="1" applyBorder="1" applyAlignment="1">
      <alignment horizontal="left" vertical="top" shrinkToFit="1"/>
    </xf>
    <xf numFmtId="0" fontId="60" fillId="13" borderId="1" xfId="2" applyFont="1" applyFill="1" applyBorder="1" applyAlignment="1">
      <alignment horizontal="center" vertical="center" shrinkToFit="1"/>
    </xf>
    <xf numFmtId="0" fontId="60" fillId="14" borderId="13" xfId="2" applyFont="1" applyFill="1" applyBorder="1"/>
    <xf numFmtId="0" fontId="60" fillId="14" borderId="14" xfId="2" applyFont="1" applyFill="1" applyBorder="1"/>
    <xf numFmtId="0" fontId="61" fillId="14" borderId="0" xfId="2" applyFont="1" applyFill="1"/>
    <xf numFmtId="2" fontId="60" fillId="0" borderId="14" xfId="2" applyNumberFormat="1" applyFont="1" applyBorder="1" applyAlignment="1">
      <alignment horizontal="center" vertical="top" shrinkToFit="1"/>
    </xf>
    <xf numFmtId="2" fontId="60" fillId="0" borderId="13" xfId="2" applyNumberFormat="1" applyFont="1" applyBorder="1" applyAlignment="1">
      <alignment horizontal="center" vertical="center" shrinkToFit="1"/>
    </xf>
    <xf numFmtId="2" fontId="60" fillId="0" borderId="14" xfId="2" applyNumberFormat="1" applyFont="1" applyBorder="1" applyAlignment="1">
      <alignment horizontal="center" vertical="center" shrinkToFit="1"/>
    </xf>
    <xf numFmtId="164" fontId="60" fillId="5" borderId="1" xfId="2" applyNumberFormat="1" applyFont="1" applyFill="1" applyBorder="1" applyAlignment="1">
      <alignment horizontal="center" vertical="center"/>
    </xf>
    <xf numFmtId="0" fontId="59" fillId="0" borderId="13" xfId="2" applyFont="1" applyBorder="1" applyAlignment="1">
      <alignment horizontal="center" vertical="top" shrinkToFit="1"/>
    </xf>
    <xf numFmtId="0" fontId="59" fillId="0" borderId="14" xfId="2" applyFont="1" applyBorder="1" applyAlignment="1">
      <alignment horizontal="center" vertical="top" shrinkToFit="1"/>
    </xf>
    <xf numFmtId="2" fontId="60" fillId="0" borderId="13" xfId="2" applyNumberFormat="1" applyFont="1" applyBorder="1" applyAlignment="1">
      <alignment horizontal="center" vertical="center" wrapText="1" shrinkToFit="1"/>
    </xf>
    <xf numFmtId="2" fontId="60" fillId="0" borderId="14" xfId="2" applyNumberFormat="1" applyFont="1" applyBorder="1" applyAlignment="1">
      <alignment horizontal="center" vertical="center" wrapText="1" shrinkToFit="1"/>
    </xf>
    <xf numFmtId="0" fontId="61" fillId="16" borderId="0" xfId="2" applyFont="1" applyFill="1" applyAlignment="1">
      <alignment vertical="center"/>
    </xf>
    <xf numFmtId="0" fontId="60" fillId="16" borderId="0" xfId="2" applyFont="1" applyFill="1"/>
    <xf numFmtId="2" fontId="60" fillId="0" borderId="13" xfId="2" applyNumberFormat="1" applyFont="1" applyBorder="1" applyAlignment="1">
      <alignment vertical="center"/>
    </xf>
    <xf numFmtId="2" fontId="60" fillId="0" borderId="14" xfId="2" applyNumberFormat="1" applyFont="1" applyBorder="1" applyAlignment="1">
      <alignment vertical="center"/>
    </xf>
    <xf numFmtId="2" fontId="61" fillId="0" borderId="0" xfId="2" applyNumberFormat="1" applyFont="1" applyAlignment="1">
      <alignment vertical="center"/>
    </xf>
    <xf numFmtId="2" fontId="59" fillId="0" borderId="13" xfId="2" applyNumberFormat="1" applyFont="1" applyBorder="1" applyAlignment="1">
      <alignment horizontal="center" vertical="top" shrinkToFit="1"/>
    </xf>
    <xf numFmtId="2" fontId="60" fillId="0" borderId="13" xfId="2" applyNumberFormat="1" applyFont="1" applyBorder="1" applyAlignment="1">
      <alignment horizontal="center" shrinkToFit="1"/>
    </xf>
    <xf numFmtId="2" fontId="60" fillId="0" borderId="14" xfId="2" applyNumberFormat="1" applyFont="1" applyBorder="1" applyAlignment="1">
      <alignment horizontal="center" shrinkToFit="1"/>
    </xf>
    <xf numFmtId="2" fontId="59" fillId="0" borderId="13" xfId="2" applyNumberFormat="1" applyFont="1" applyBorder="1" applyAlignment="1">
      <alignment vertical="top" shrinkToFit="1"/>
    </xf>
    <xf numFmtId="2" fontId="59" fillId="0" borderId="14" xfId="2" applyNumberFormat="1" applyFont="1" applyBorder="1" applyAlignment="1">
      <alignment vertical="top" shrinkToFit="1"/>
    </xf>
    <xf numFmtId="2" fontId="60" fillId="0" borderId="13" xfId="2" applyNumberFormat="1" applyFont="1" applyBorder="1" applyAlignment="1">
      <alignment horizontal="center"/>
    </xf>
    <xf numFmtId="2" fontId="60" fillId="0" borderId="14" xfId="2" applyNumberFormat="1" applyFont="1" applyBorder="1" applyAlignment="1">
      <alignment horizontal="center"/>
    </xf>
    <xf numFmtId="169" fontId="60" fillId="0" borderId="14" xfId="2" applyNumberFormat="1" applyFont="1" applyBorder="1" applyAlignment="1">
      <alignment horizontal="left" vertical="center" shrinkToFit="1"/>
    </xf>
    <xf numFmtId="2" fontId="61" fillId="0" borderId="0" xfId="2" applyNumberFormat="1" applyFont="1" applyAlignment="1">
      <alignment vertical="top"/>
    </xf>
    <xf numFmtId="0" fontId="59" fillId="5" borderId="1" xfId="2" applyFont="1" applyFill="1" applyBorder="1" applyAlignment="1">
      <alignment horizontal="justify" vertical="center"/>
    </xf>
    <xf numFmtId="0" fontId="60" fillId="5" borderId="1" xfId="2" applyFont="1" applyFill="1" applyBorder="1" applyAlignment="1">
      <alignment horizontal="justify" vertical="top"/>
    </xf>
    <xf numFmtId="2" fontId="60" fillId="15" borderId="1" xfId="2" applyNumberFormat="1" applyFont="1" applyFill="1" applyBorder="1" applyAlignment="1">
      <alignment horizontal="center" vertical="center" wrapText="1"/>
    </xf>
    <xf numFmtId="2" fontId="65" fillId="0" borderId="13" xfId="2" applyNumberFormat="1" applyFont="1" applyBorder="1" applyAlignment="1">
      <alignment horizontal="center" vertical="top" shrinkToFit="1"/>
    </xf>
    <xf numFmtId="0" fontId="61" fillId="16" borderId="0" xfId="2" applyFont="1" applyFill="1"/>
    <xf numFmtId="2" fontId="60" fillId="17" borderId="1" xfId="2" applyNumberFormat="1" applyFont="1" applyFill="1" applyBorder="1" applyAlignment="1">
      <alignment horizontal="center" vertical="center" shrinkToFit="1"/>
    </xf>
    <xf numFmtId="49" fontId="60" fillId="5" borderId="1" xfId="2" applyNumberFormat="1" applyFont="1" applyFill="1" applyBorder="1" applyAlignment="1">
      <alignment horizontal="justify" vertical="top" wrapText="1"/>
    </xf>
    <xf numFmtId="49" fontId="59" fillId="5" borderId="1" xfId="2" applyNumberFormat="1" applyFont="1" applyFill="1" applyBorder="1" applyAlignment="1">
      <alignment horizontal="justify" vertical="top" wrapText="1"/>
    </xf>
    <xf numFmtId="49" fontId="59" fillId="5" borderId="1" xfId="2" applyNumberFormat="1" applyFont="1" applyFill="1" applyBorder="1" applyAlignment="1">
      <alignment horizontal="left" vertical="top" wrapText="1"/>
    </xf>
    <xf numFmtId="4" fontId="60" fillId="5" borderId="1" xfId="2" applyNumberFormat="1" applyFont="1" applyFill="1" applyBorder="1" applyAlignment="1">
      <alignment horizontal="center" vertical="center" wrapText="1"/>
    </xf>
    <xf numFmtId="170" fontId="60" fillId="5" borderId="1" xfId="2" applyNumberFormat="1" applyFont="1" applyFill="1" applyBorder="1" applyAlignment="1">
      <alignment horizontal="center" vertical="center" wrapText="1"/>
    </xf>
    <xf numFmtId="1" fontId="60" fillId="18" borderId="1" xfId="2" applyNumberFormat="1" applyFont="1" applyFill="1" applyBorder="1" applyAlignment="1">
      <alignment horizontal="center" vertical="center" shrinkToFit="1"/>
    </xf>
    <xf numFmtId="0" fontId="60" fillId="18" borderId="1" xfId="2" applyFont="1" applyFill="1" applyBorder="1" applyAlignment="1">
      <alignment horizontal="center" vertical="center" shrinkToFit="1"/>
    </xf>
    <xf numFmtId="0" fontId="59" fillId="18" borderId="1" xfId="2" applyFont="1" applyFill="1" applyBorder="1" applyAlignment="1">
      <alignment horizontal="justify" vertical="top" wrapText="1"/>
    </xf>
    <xf numFmtId="0" fontId="63" fillId="19" borderId="13" xfId="2" applyFont="1" applyFill="1" applyBorder="1"/>
    <xf numFmtId="0" fontId="59" fillId="18" borderId="1" xfId="2" applyFont="1" applyFill="1" applyBorder="1" applyAlignment="1">
      <alignment vertical="top" wrapText="1"/>
    </xf>
    <xf numFmtId="0" fontId="60" fillId="18" borderId="1" xfId="2" applyFont="1" applyFill="1" applyBorder="1" applyAlignment="1">
      <alignment horizontal="center" vertical="center"/>
    </xf>
    <xf numFmtId="2" fontId="60" fillId="18" borderId="1" xfId="2" applyNumberFormat="1" applyFont="1" applyFill="1" applyBorder="1" applyAlignment="1">
      <alignment horizontal="center" vertical="center"/>
    </xf>
    <xf numFmtId="0" fontId="60" fillId="18" borderId="1" xfId="2" applyFont="1" applyFill="1" applyBorder="1" applyAlignment="1">
      <alignment horizontal="justify" vertical="top" wrapText="1"/>
    </xf>
    <xf numFmtId="1" fontId="60" fillId="18" borderId="1" xfId="2" applyNumberFormat="1" applyFont="1" applyFill="1" applyBorder="1" applyAlignment="1">
      <alignment horizontal="center" vertical="center"/>
    </xf>
    <xf numFmtId="2" fontId="60" fillId="18" borderId="1" xfId="2" applyNumberFormat="1" applyFont="1" applyFill="1" applyBorder="1" applyAlignment="1">
      <alignment horizontal="center" vertical="center" shrinkToFit="1"/>
    </xf>
    <xf numFmtId="0" fontId="60" fillId="18" borderId="1" xfId="2" applyFont="1" applyFill="1" applyBorder="1" applyAlignment="1">
      <alignment horizontal="center" vertical="center" wrapText="1" shrinkToFit="1"/>
    </xf>
    <xf numFmtId="2" fontId="60" fillId="18" borderId="1" xfId="2" applyNumberFormat="1" applyFont="1" applyFill="1" applyBorder="1" applyAlignment="1">
      <alignment horizontal="center" vertical="center" wrapText="1"/>
    </xf>
    <xf numFmtId="0" fontId="60" fillId="18" borderId="1" xfId="2" applyFont="1" applyFill="1" applyBorder="1" applyAlignment="1">
      <alignment horizontal="center" vertical="center" wrapText="1"/>
    </xf>
    <xf numFmtId="1" fontId="60" fillId="18" borderId="1" xfId="2" applyNumberFormat="1" applyFont="1" applyFill="1" applyBorder="1" applyAlignment="1">
      <alignment horizontal="center" vertical="center" wrapText="1"/>
    </xf>
    <xf numFmtId="2" fontId="60" fillId="18" borderId="1" xfId="2" applyNumberFormat="1" applyFont="1" applyFill="1" applyBorder="1" applyAlignment="1">
      <alignment horizontal="center" vertical="center" wrapText="1" shrinkToFit="1"/>
    </xf>
    <xf numFmtId="0" fontId="63" fillId="19" borderId="13" xfId="2" applyFont="1" applyFill="1" applyBorder="1" applyAlignment="1">
      <alignment vertical="top" wrapText="1"/>
    </xf>
    <xf numFmtId="2" fontId="60" fillId="18" borderId="1" xfId="57" applyNumberFormat="1" applyFont="1" applyFill="1" applyBorder="1" applyAlignment="1">
      <alignment horizontal="center" vertical="center" wrapText="1" shrinkToFit="1"/>
    </xf>
    <xf numFmtId="2" fontId="59" fillId="18" borderId="1" xfId="2" applyNumberFormat="1" applyFont="1" applyFill="1" applyBorder="1" applyAlignment="1">
      <alignment horizontal="center" vertical="center" shrinkToFit="1"/>
    </xf>
    <xf numFmtId="0" fontId="63" fillId="19" borderId="13" xfId="2" applyFont="1" applyFill="1" applyBorder="1" applyAlignment="1">
      <alignment vertical="center"/>
    </xf>
    <xf numFmtId="1" fontId="59" fillId="18" borderId="1" xfId="2" applyNumberFormat="1" applyFont="1" applyFill="1" applyBorder="1" applyAlignment="1">
      <alignment horizontal="center" vertical="center" shrinkToFit="1"/>
    </xf>
    <xf numFmtId="0" fontId="59" fillId="18" borderId="1" xfId="2" applyFont="1" applyFill="1" applyBorder="1" applyAlignment="1">
      <alignment horizontal="center" vertical="center" shrinkToFit="1"/>
    </xf>
    <xf numFmtId="0" fontId="60" fillId="18" borderId="1" xfId="2" applyFont="1" applyFill="1" applyBorder="1" applyAlignment="1">
      <alignment vertical="top" wrapText="1"/>
    </xf>
    <xf numFmtId="2" fontId="59" fillId="18" borderId="1" xfId="2" applyNumberFormat="1" applyFont="1" applyFill="1" applyBorder="1" applyAlignment="1">
      <alignment horizontal="right" vertical="top" wrapText="1"/>
    </xf>
    <xf numFmtId="2" fontId="60" fillId="20" borderId="13" xfId="2" applyNumberFormat="1" applyFont="1" applyFill="1" applyBorder="1"/>
    <xf numFmtId="9" fontId="60" fillId="5" borderId="1" xfId="57" applyFont="1" applyFill="1" applyBorder="1" applyAlignment="1">
      <alignment horizontal="center" vertical="center" shrinkToFit="1"/>
    </xf>
    <xf numFmtId="49" fontId="59" fillId="5" borderId="1" xfId="2" applyNumberFormat="1" applyFont="1" applyFill="1" applyBorder="1" applyAlignment="1">
      <alignment horizontal="justify" wrapText="1"/>
    </xf>
    <xf numFmtId="2" fontId="60" fillId="0" borderId="0" xfId="2" applyNumberFormat="1" applyFont="1" applyAlignment="1">
      <alignment vertical="top" wrapText="1"/>
    </xf>
    <xf numFmtId="0" fontId="60" fillId="21" borderId="0" xfId="2" applyFont="1" applyFill="1"/>
    <xf numFmtId="2" fontId="60" fillId="17" borderId="1" xfId="2" applyNumberFormat="1" applyFont="1" applyFill="1" applyBorder="1" applyAlignment="1">
      <alignment horizontal="center" vertical="center" wrapText="1" shrinkToFit="1"/>
    </xf>
    <xf numFmtId="2" fontId="60" fillId="13" borderId="1" xfId="2" applyNumberFormat="1" applyFont="1" applyFill="1" applyBorder="1" applyAlignment="1">
      <alignment horizontal="center" vertical="center" wrapText="1"/>
    </xf>
    <xf numFmtId="0" fontId="60" fillId="14" borderId="13" xfId="2" applyFont="1" applyFill="1" applyBorder="1" applyAlignment="1">
      <alignment vertical="top" wrapText="1"/>
    </xf>
    <xf numFmtId="2" fontId="60" fillId="13" borderId="1" xfId="2" applyNumberFormat="1" applyFont="1" applyFill="1" applyBorder="1" applyAlignment="1">
      <alignment horizontal="center" vertical="center" wrapText="1" shrinkToFit="1"/>
    </xf>
    <xf numFmtId="49" fontId="60" fillId="5" borderId="1" xfId="2" applyNumberFormat="1" applyFont="1" applyFill="1" applyBorder="1" applyAlignment="1">
      <alignment horizontal="justify" wrapText="1"/>
    </xf>
    <xf numFmtId="0" fontId="60" fillId="5" borderId="1" xfId="2" applyFont="1" applyFill="1" applyBorder="1" applyAlignment="1">
      <alignment vertical="center"/>
    </xf>
    <xf numFmtId="0" fontId="67" fillId="0" borderId="0" xfId="2" applyFont="1"/>
    <xf numFmtId="0" fontId="60" fillId="14" borderId="13" xfId="2" applyFont="1" applyFill="1" applyBorder="1" applyAlignment="1">
      <alignment horizontal="left" vertical="top"/>
    </xf>
    <xf numFmtId="0" fontId="67" fillId="0" borderId="0" xfId="2" applyFont="1" applyAlignment="1">
      <alignment vertical="center"/>
    </xf>
    <xf numFmtId="2" fontId="60" fillId="13" borderId="1" xfId="2" applyNumberFormat="1" applyFont="1" applyFill="1" applyBorder="1" applyAlignment="1">
      <alignment horizontal="center" vertical="center" shrinkToFit="1"/>
    </xf>
    <xf numFmtId="0" fontId="59" fillId="0" borderId="13" xfId="2" applyFont="1" applyBorder="1" applyAlignment="1">
      <alignment horizontal="center" vertical="center" shrinkToFit="1"/>
    </xf>
    <xf numFmtId="0" fontId="59" fillId="0" borderId="14" xfId="2" applyFont="1" applyBorder="1" applyAlignment="1">
      <alignment horizontal="center" vertical="center" shrinkToFit="1"/>
    </xf>
    <xf numFmtId="0" fontId="60" fillId="20" borderId="13" xfId="2" applyFont="1" applyFill="1" applyBorder="1"/>
    <xf numFmtId="0" fontId="60" fillId="0" borderId="13" xfId="2" applyFont="1" applyBorder="1" applyAlignment="1">
      <alignment horizontal="justify" vertical="top" wrapText="1"/>
    </xf>
    <xf numFmtId="0" fontId="60" fillId="0" borderId="14" xfId="2" applyFont="1" applyBorder="1" applyAlignment="1">
      <alignment horizontal="justify" vertical="top" wrapText="1"/>
    </xf>
    <xf numFmtId="0" fontId="60" fillId="0" borderId="0" xfId="2" applyFont="1" applyAlignment="1">
      <alignment horizontal="justify" vertical="top" wrapText="1"/>
    </xf>
    <xf numFmtId="0" fontId="60" fillId="0" borderId="13" xfId="2" applyFont="1" applyBorder="1" applyAlignment="1">
      <alignment horizontal="justify" vertical="center" wrapText="1"/>
    </xf>
    <xf numFmtId="0" fontId="60" fillId="0" borderId="14" xfId="2" applyFont="1" applyBorder="1" applyAlignment="1">
      <alignment horizontal="justify" vertical="center" wrapText="1"/>
    </xf>
    <xf numFmtId="0" fontId="60" fillId="0" borderId="0" xfId="2" applyFont="1" applyAlignment="1">
      <alignment horizontal="justify" vertical="center" wrapText="1"/>
    </xf>
    <xf numFmtId="0" fontId="59" fillId="0" borderId="13" xfId="2" applyFont="1" applyBorder="1" applyAlignment="1">
      <alignment horizontal="center" vertical="center"/>
    </xf>
    <xf numFmtId="0" fontId="59" fillId="0" borderId="14" xfId="2" applyFont="1" applyBorder="1" applyAlignment="1">
      <alignment horizontal="center" vertical="center"/>
    </xf>
    <xf numFmtId="0" fontId="61" fillId="0" borderId="0" xfId="2" applyFont="1" applyAlignment="1">
      <alignment horizontal="justify" vertical="top" wrapText="1"/>
    </xf>
    <xf numFmtId="0" fontId="61" fillId="0" borderId="0" xfId="2" applyFont="1" applyAlignment="1">
      <alignment horizontal="justify" vertical="center" wrapText="1"/>
    </xf>
    <xf numFmtId="0" fontId="60" fillId="0" borderId="13" xfId="2" applyFont="1" applyBorder="1" applyAlignment="1">
      <alignment horizontal="center"/>
    </xf>
    <xf numFmtId="0" fontId="60" fillId="0" borderId="14" xfId="2" applyFont="1" applyBorder="1" applyAlignment="1">
      <alignment horizontal="center"/>
    </xf>
    <xf numFmtId="2" fontId="60" fillId="5" borderId="1" xfId="2" applyNumberFormat="1" applyFont="1" applyFill="1" applyBorder="1" applyAlignment="1">
      <alignment horizontal="right" vertical="top" wrapText="1"/>
    </xf>
    <xf numFmtId="0" fontId="59" fillId="5" borderId="1" xfId="2" applyFont="1" applyFill="1" applyBorder="1" applyAlignment="1">
      <alignment horizontal="left"/>
    </xf>
    <xf numFmtId="0" fontId="60" fillId="5" borderId="1" xfId="2" applyFont="1" applyFill="1" applyBorder="1" applyAlignment="1">
      <alignment horizontal="left"/>
    </xf>
    <xf numFmtId="0" fontId="60" fillId="0" borderId="13" xfId="2" applyFont="1" applyBorder="1" applyAlignment="1">
      <alignment horizontal="left" vertical="top"/>
    </xf>
    <xf numFmtId="9" fontId="60" fillId="5" borderId="1" xfId="2" applyNumberFormat="1" applyFont="1" applyFill="1" applyBorder="1" applyAlignment="1">
      <alignment horizontal="center" vertical="center" shrinkToFit="1"/>
    </xf>
    <xf numFmtId="2" fontId="60" fillId="0" borderId="13" xfId="2" applyNumberFormat="1" applyFont="1" applyBorder="1" applyAlignment="1">
      <alignment vertical="top" wrapText="1"/>
    </xf>
    <xf numFmtId="2" fontId="60" fillId="0" borderId="14" xfId="2" applyNumberFormat="1" applyFont="1" applyBorder="1" applyAlignment="1">
      <alignment vertical="top" wrapText="1"/>
    </xf>
    <xf numFmtId="0" fontId="60" fillId="5" borderId="1" xfId="2" applyFont="1" applyFill="1" applyBorder="1" applyAlignment="1">
      <alignment horizontal="justify" vertical="top" wrapText="1" shrinkToFit="1"/>
    </xf>
    <xf numFmtId="168" fontId="60" fillId="5" borderId="1" xfId="57" applyNumberFormat="1" applyFont="1" applyFill="1" applyBorder="1" applyAlignment="1">
      <alignment horizontal="center" vertical="center" wrapText="1" shrinkToFit="1"/>
    </xf>
    <xf numFmtId="168" fontId="60" fillId="5" borderId="1" xfId="57" applyNumberFormat="1" applyFont="1" applyFill="1" applyBorder="1" applyAlignment="1">
      <alignment horizontal="center" vertical="center" shrinkToFit="1"/>
    </xf>
    <xf numFmtId="0" fontId="60" fillId="5" borderId="1" xfId="2" applyFont="1" applyFill="1" applyBorder="1" applyAlignment="1">
      <alignment vertical="center" wrapText="1"/>
    </xf>
    <xf numFmtId="0" fontId="59" fillId="5" borderId="1" xfId="2" applyFont="1" applyFill="1" applyBorder="1" applyAlignment="1">
      <alignment horizontal="justify"/>
    </xf>
    <xf numFmtId="170" fontId="59" fillId="5" borderId="1" xfId="2" applyNumberFormat="1" applyFont="1" applyFill="1" applyBorder="1" applyAlignment="1">
      <alignment horizontal="center" vertical="center" wrapText="1"/>
    </xf>
    <xf numFmtId="2" fontId="60" fillId="0" borderId="13" xfId="2" applyNumberFormat="1" applyFont="1" applyBorder="1" applyAlignment="1">
      <alignment vertical="center" wrapText="1"/>
    </xf>
    <xf numFmtId="2" fontId="60" fillId="15" borderId="1" xfId="2" applyNumberFormat="1" applyFont="1" applyFill="1" applyBorder="1" applyAlignment="1">
      <alignment horizontal="center" vertical="center"/>
    </xf>
    <xf numFmtId="0" fontId="60" fillId="5" borderId="1" xfId="2" applyFont="1" applyFill="1" applyBorder="1" applyAlignment="1">
      <alignment horizontal="justify"/>
    </xf>
    <xf numFmtId="9" fontId="60" fillId="5" borderId="1" xfId="2" applyNumberFormat="1" applyFont="1" applyFill="1" applyBorder="1" applyAlignment="1">
      <alignment horizontal="center" vertical="center" wrapText="1"/>
    </xf>
    <xf numFmtId="0" fontId="59" fillId="5" borderId="1" xfId="2" applyFont="1" applyFill="1" applyBorder="1" applyAlignment="1">
      <alignment horizontal="center" vertical="center" textRotation="90"/>
    </xf>
    <xf numFmtId="2" fontId="60" fillId="17" borderId="1" xfId="2" applyNumberFormat="1" applyFont="1" applyFill="1" applyBorder="1" applyAlignment="1">
      <alignment horizontal="center" vertical="center" wrapText="1"/>
    </xf>
    <xf numFmtId="0" fontId="60" fillId="17" borderId="1" xfId="2" applyFont="1" applyFill="1" applyBorder="1" applyAlignment="1">
      <alignment horizontal="center" vertical="center" wrapText="1"/>
    </xf>
    <xf numFmtId="167" fontId="60" fillId="5" borderId="1" xfId="2" applyNumberFormat="1" applyFont="1" applyFill="1" applyBorder="1" applyAlignment="1">
      <alignment horizontal="center" vertical="center" wrapText="1"/>
    </xf>
    <xf numFmtId="0" fontId="60" fillId="5" borderId="1" xfId="2" applyFont="1" applyFill="1" applyBorder="1" applyAlignment="1">
      <alignment horizontal="left" vertical="top" wrapText="1" shrinkToFit="1"/>
    </xf>
    <xf numFmtId="172" fontId="60" fillId="17" borderId="1" xfId="2" applyNumberFormat="1" applyFont="1" applyFill="1" applyBorder="1" applyAlignment="1">
      <alignment horizontal="center" vertical="center" wrapText="1"/>
    </xf>
    <xf numFmtId="2" fontId="60" fillId="17" borderId="1" xfId="2" applyNumberFormat="1" applyFont="1" applyFill="1" applyBorder="1" applyAlignment="1">
      <alignment horizontal="center" vertical="center"/>
    </xf>
    <xf numFmtId="0" fontId="59" fillId="18" borderId="1" xfId="2" applyFont="1" applyFill="1" applyBorder="1" applyAlignment="1">
      <alignment horizontal="center" vertical="center" wrapText="1"/>
    </xf>
    <xf numFmtId="2" fontId="60" fillId="18" borderId="1" xfId="2" applyNumberFormat="1" applyFont="1" applyFill="1" applyBorder="1" applyAlignment="1">
      <alignment horizontal="justify" vertical="top" wrapText="1"/>
    </xf>
    <xf numFmtId="0" fontId="60" fillId="18" borderId="1" xfId="2" applyFont="1" applyFill="1" applyBorder="1" applyAlignment="1">
      <alignment vertical="center" wrapText="1"/>
    </xf>
    <xf numFmtId="169" fontId="60" fillId="18" borderId="1" xfId="2" applyNumberFormat="1" applyFont="1" applyFill="1" applyBorder="1" applyAlignment="1">
      <alignment horizontal="center" vertical="center" wrapText="1" shrinkToFit="1"/>
    </xf>
    <xf numFmtId="168" fontId="60" fillId="18" borderId="1" xfId="2" applyNumberFormat="1" applyFont="1" applyFill="1" applyBorder="1" applyAlignment="1">
      <alignment horizontal="center" vertical="center" wrapText="1"/>
    </xf>
    <xf numFmtId="0" fontId="59" fillId="18" borderId="1" xfId="2" applyFont="1" applyFill="1" applyBorder="1" applyAlignment="1">
      <alignment horizontal="center" vertical="center" wrapText="1" shrinkToFit="1"/>
    </xf>
    <xf numFmtId="0" fontId="59" fillId="18" borderId="1" xfId="2" applyFont="1" applyFill="1" applyBorder="1" applyAlignment="1">
      <alignment horizontal="center" vertical="center"/>
    </xf>
    <xf numFmtId="0" fontId="60" fillId="18" borderId="1" xfId="2" applyFont="1" applyFill="1" applyBorder="1" applyAlignment="1">
      <alignment wrapText="1"/>
    </xf>
    <xf numFmtId="9" fontId="60" fillId="18" borderId="1" xfId="2" applyNumberFormat="1" applyFont="1" applyFill="1" applyBorder="1" applyAlignment="1">
      <alignment horizontal="center" vertical="center" wrapText="1"/>
    </xf>
    <xf numFmtId="0" fontId="60" fillId="22" borderId="1" xfId="2" applyFont="1" applyFill="1" applyBorder="1" applyAlignment="1">
      <alignment horizontal="center" vertical="center"/>
    </xf>
    <xf numFmtId="0" fontId="59" fillId="22" borderId="1" xfId="2" applyFont="1" applyFill="1" applyBorder="1" applyAlignment="1">
      <alignment horizontal="justify" vertical="top" wrapText="1"/>
    </xf>
    <xf numFmtId="0" fontId="59" fillId="22" borderId="1" xfId="2" applyFont="1" applyFill="1" applyBorder="1" applyAlignment="1">
      <alignment horizontal="center" vertical="center" wrapText="1"/>
    </xf>
    <xf numFmtId="0" fontId="60" fillId="22" borderId="1" xfId="2" applyFont="1" applyFill="1" applyBorder="1" applyAlignment="1">
      <alignment horizontal="center" vertical="center" wrapText="1"/>
    </xf>
    <xf numFmtId="2" fontId="60" fillId="22" borderId="1" xfId="2" applyNumberFormat="1" applyFont="1" applyFill="1" applyBorder="1" applyAlignment="1">
      <alignment horizontal="center" vertical="center" wrapText="1" shrinkToFit="1"/>
    </xf>
    <xf numFmtId="2" fontId="60" fillId="22" borderId="1" xfId="2" applyNumberFormat="1" applyFont="1" applyFill="1" applyBorder="1" applyAlignment="1">
      <alignment horizontal="center" vertical="center" shrinkToFit="1"/>
    </xf>
    <xf numFmtId="0" fontId="60" fillId="22" borderId="1" xfId="2" applyFont="1" applyFill="1" applyBorder="1" applyAlignment="1">
      <alignment horizontal="center" vertical="center" wrapText="1" shrinkToFit="1"/>
    </xf>
    <xf numFmtId="169" fontId="60" fillId="22" borderId="1" xfId="2" applyNumberFormat="1" applyFont="1" applyFill="1" applyBorder="1" applyAlignment="1">
      <alignment horizontal="center" vertical="center" wrapText="1" shrinkToFit="1"/>
    </xf>
    <xf numFmtId="0" fontId="60" fillId="22" borderId="1" xfId="2" applyFont="1" applyFill="1" applyBorder="1" applyAlignment="1">
      <alignment horizontal="justify" vertical="top" wrapText="1"/>
    </xf>
    <xf numFmtId="168" fontId="60" fillId="22" borderId="1" xfId="2" applyNumberFormat="1" applyFont="1" applyFill="1" applyBorder="1" applyAlignment="1">
      <alignment horizontal="center" vertical="center" wrapText="1"/>
    </xf>
    <xf numFmtId="0" fontId="59" fillId="22" borderId="1" xfId="2" applyFont="1" applyFill="1" applyBorder="1" applyAlignment="1">
      <alignment horizontal="center" vertical="center" wrapText="1" shrinkToFit="1"/>
    </xf>
    <xf numFmtId="0" fontId="59" fillId="22" borderId="1" xfId="2" applyFont="1" applyFill="1" applyBorder="1" applyAlignment="1">
      <alignment vertical="top" wrapText="1"/>
    </xf>
    <xf numFmtId="0" fontId="59" fillId="22" borderId="1" xfId="2" applyFont="1" applyFill="1" applyBorder="1" applyAlignment="1">
      <alignment horizontal="center" vertical="center" shrinkToFit="1"/>
    </xf>
    <xf numFmtId="0" fontId="60" fillId="22" borderId="1" xfId="2" applyFont="1" applyFill="1" applyBorder="1" applyAlignment="1">
      <alignment horizontal="center" vertical="center" shrinkToFit="1"/>
    </xf>
    <xf numFmtId="0" fontId="59" fillId="22" borderId="1" xfId="2" applyFont="1" applyFill="1" applyBorder="1" applyAlignment="1">
      <alignment horizontal="center" vertical="center"/>
    </xf>
    <xf numFmtId="2" fontId="59" fillId="22" borderId="1" xfId="2" applyNumberFormat="1" applyFont="1" applyFill="1" applyBorder="1" applyAlignment="1">
      <alignment horizontal="center" vertical="center" shrinkToFit="1"/>
    </xf>
    <xf numFmtId="2" fontId="60" fillId="22" borderId="1" xfId="2" applyNumberFormat="1" applyFont="1" applyFill="1" applyBorder="1" applyAlignment="1">
      <alignment horizontal="center" vertical="center"/>
    </xf>
    <xf numFmtId="1" fontId="60" fillId="22" borderId="1" xfId="2" applyNumberFormat="1" applyFont="1" applyFill="1" applyBorder="1" applyAlignment="1">
      <alignment horizontal="center" vertical="center"/>
    </xf>
    <xf numFmtId="1" fontId="59" fillId="22" borderId="1" xfId="2" applyNumberFormat="1" applyFont="1" applyFill="1" applyBorder="1" applyAlignment="1">
      <alignment horizontal="center" vertical="center" shrinkToFit="1"/>
    </xf>
    <xf numFmtId="2" fontId="60" fillId="23" borderId="1" xfId="2" applyNumberFormat="1" applyFont="1" applyFill="1" applyBorder="1" applyAlignment="1">
      <alignment horizontal="center" vertical="center" shrinkToFit="1"/>
    </xf>
    <xf numFmtId="0" fontId="59" fillId="5" borderId="1" xfId="2" applyFont="1" applyFill="1" applyBorder="1" applyAlignment="1">
      <alignment vertical="center"/>
    </xf>
    <xf numFmtId="173" fontId="60" fillId="5" borderId="1" xfId="2" applyNumberFormat="1" applyFont="1" applyFill="1" applyBorder="1" applyAlignment="1">
      <alignment horizontal="center" vertical="center" wrapText="1"/>
    </xf>
    <xf numFmtId="174" fontId="60" fillId="5" borderId="1" xfId="2" applyNumberFormat="1" applyFont="1" applyFill="1" applyBorder="1" applyAlignment="1">
      <alignment horizontal="center" vertical="center" wrapText="1"/>
    </xf>
    <xf numFmtId="175" fontId="60" fillId="5" borderId="1" xfId="2" applyNumberFormat="1" applyFont="1" applyFill="1" applyBorder="1" applyAlignment="1">
      <alignment horizontal="center" vertical="center" wrapText="1"/>
    </xf>
    <xf numFmtId="172" fontId="60" fillId="5" borderId="1" xfId="2" applyNumberFormat="1" applyFont="1" applyFill="1" applyBorder="1" applyAlignment="1">
      <alignment horizontal="center" vertical="center" wrapText="1"/>
    </xf>
    <xf numFmtId="176" fontId="60" fillId="5" borderId="1" xfId="2" applyNumberFormat="1" applyFont="1" applyFill="1" applyBorder="1" applyAlignment="1">
      <alignment horizontal="center" vertical="center" wrapText="1"/>
    </xf>
    <xf numFmtId="177" fontId="60" fillId="5" borderId="1" xfId="2" applyNumberFormat="1" applyFont="1" applyFill="1" applyBorder="1" applyAlignment="1">
      <alignment horizontal="center" vertical="center" wrapText="1"/>
    </xf>
    <xf numFmtId="10" fontId="60" fillId="5" borderId="1" xfId="2" applyNumberFormat="1" applyFont="1" applyFill="1" applyBorder="1" applyAlignment="1">
      <alignment horizontal="center" vertical="center" wrapText="1"/>
    </xf>
    <xf numFmtId="178" fontId="60" fillId="5" borderId="1" xfId="2" applyNumberFormat="1" applyFont="1" applyFill="1" applyBorder="1" applyAlignment="1">
      <alignment horizontal="center" vertical="center" wrapText="1"/>
    </xf>
    <xf numFmtId="2" fontId="59" fillId="15" borderId="1" xfId="2" applyNumberFormat="1" applyFont="1" applyFill="1" applyBorder="1" applyAlignment="1">
      <alignment horizontal="center" vertical="center" shrinkToFit="1"/>
    </xf>
    <xf numFmtId="0" fontId="60" fillId="0" borderId="15" xfId="2" applyFont="1" applyBorder="1" applyAlignment="1">
      <alignment vertical="top" wrapText="1"/>
    </xf>
    <xf numFmtId="0" fontId="60" fillId="0" borderId="16" xfId="2" applyFont="1" applyBorder="1" applyAlignment="1">
      <alignment vertical="top" wrapText="1"/>
    </xf>
    <xf numFmtId="0" fontId="60" fillId="0" borderId="17" xfId="2" applyFont="1" applyBorder="1" applyAlignment="1">
      <alignment vertical="top" wrapText="1"/>
    </xf>
    <xf numFmtId="0" fontId="60" fillId="0" borderId="18" xfId="2" applyFont="1" applyBorder="1" applyAlignment="1">
      <alignment vertical="top" wrapText="1"/>
    </xf>
    <xf numFmtId="1" fontId="60" fillId="5" borderId="1" xfId="17" applyNumberFormat="1" applyFont="1" applyFill="1" applyBorder="1" applyAlignment="1">
      <alignment horizontal="center" vertical="center" shrinkToFit="1"/>
    </xf>
    <xf numFmtId="0" fontId="60" fillId="5" borderId="1" xfId="17" applyFont="1" applyFill="1" applyBorder="1" applyAlignment="1">
      <alignment horizontal="center" vertical="center" shrinkToFit="1"/>
    </xf>
    <xf numFmtId="0" fontId="59" fillId="5" borderId="1" xfId="17" applyFont="1" applyFill="1" applyBorder="1" applyAlignment="1">
      <alignment horizontal="justify" vertical="top" wrapText="1"/>
    </xf>
    <xf numFmtId="0" fontId="60" fillId="5" borderId="1" xfId="17" applyFont="1" applyFill="1" applyBorder="1" applyAlignment="1">
      <alignment horizontal="justify" vertical="top" wrapText="1"/>
    </xf>
    <xf numFmtId="0" fontId="60" fillId="5" borderId="1" xfId="17" applyFont="1" applyFill="1" applyBorder="1" applyAlignment="1">
      <alignment horizontal="justify" vertical="top"/>
    </xf>
    <xf numFmtId="2" fontId="60" fillId="5" borderId="1" xfId="17" applyNumberFormat="1" applyFont="1" applyFill="1" applyBorder="1" applyAlignment="1">
      <alignment horizontal="center" vertical="center" wrapText="1"/>
    </xf>
    <xf numFmtId="0" fontId="60" fillId="5" borderId="1" xfId="17" applyFont="1" applyFill="1" applyBorder="1" applyAlignment="1">
      <alignment horizontal="center" vertical="center" wrapText="1"/>
    </xf>
    <xf numFmtId="2" fontId="60" fillId="5" borderId="1" xfId="17" applyNumberFormat="1" applyFont="1" applyFill="1" applyBorder="1" applyAlignment="1">
      <alignment horizontal="center" vertical="center"/>
    </xf>
    <xf numFmtId="2" fontId="60" fillId="5" borderId="1" xfId="17" applyNumberFormat="1" applyFont="1" applyFill="1" applyBorder="1" applyAlignment="1">
      <alignment horizontal="justify" vertical="top"/>
    </xf>
    <xf numFmtId="0" fontId="59" fillId="5" borderId="1" xfId="17" applyFont="1" applyFill="1" applyBorder="1" applyAlignment="1">
      <alignment horizontal="justify" vertical="top"/>
    </xf>
    <xf numFmtId="0" fontId="60" fillId="5" borderId="1" xfId="17" applyFont="1" applyFill="1" applyBorder="1" applyAlignment="1">
      <alignment horizontal="center" vertical="center"/>
    </xf>
    <xf numFmtId="0" fontId="21" fillId="5" borderId="0" xfId="17" applyFont="1" applyFill="1"/>
    <xf numFmtId="0" fontId="10" fillId="5" borderId="0" xfId="17" applyFill="1"/>
    <xf numFmtId="0" fontId="59" fillId="5" borderId="1" xfId="17" applyFont="1" applyFill="1" applyBorder="1" applyAlignment="1">
      <alignment horizontal="center" vertical="center" shrinkToFit="1"/>
    </xf>
    <xf numFmtId="1" fontId="59" fillId="5" borderId="1" xfId="17" applyNumberFormat="1" applyFont="1" applyFill="1" applyBorder="1" applyAlignment="1">
      <alignment horizontal="center" vertical="center" shrinkToFit="1"/>
    </xf>
    <xf numFmtId="0" fontId="69" fillId="5" borderId="1" xfId="2" applyFont="1" applyFill="1" applyBorder="1" applyAlignment="1">
      <alignment horizontal="center" vertical="top"/>
    </xf>
    <xf numFmtId="0" fontId="69" fillId="5" borderId="1" xfId="2" applyFont="1" applyFill="1" applyBorder="1"/>
    <xf numFmtId="0" fontId="70" fillId="5" borderId="1" xfId="2" applyFont="1" applyFill="1" applyBorder="1" applyAlignment="1">
      <alignment wrapText="1"/>
    </xf>
    <xf numFmtId="2" fontId="69" fillId="5" borderId="1" xfId="2" applyNumberFormat="1" applyFont="1" applyFill="1" applyBorder="1"/>
    <xf numFmtId="0" fontId="69" fillId="0" borderId="0" xfId="2" applyFont="1"/>
    <xf numFmtId="9" fontId="69" fillId="5" borderId="1" xfId="2" applyNumberFormat="1" applyFont="1" applyFill="1" applyBorder="1"/>
    <xf numFmtId="0" fontId="64" fillId="0" borderId="0" xfId="2" applyFont="1" applyAlignment="1">
      <alignment horizontal="center" vertical="center"/>
    </xf>
    <xf numFmtId="0" fontId="64" fillId="0" borderId="0" xfId="2" applyFont="1" applyAlignment="1">
      <alignment horizontal="justify" vertical="top" wrapText="1"/>
    </xf>
    <xf numFmtId="2" fontId="64" fillId="0" borderId="0" xfId="2" applyNumberFormat="1" applyFont="1" applyAlignment="1">
      <alignment horizontal="center" vertical="center"/>
    </xf>
    <xf numFmtId="1" fontId="64" fillId="0" borderId="0" xfId="2" applyNumberFormat="1" applyFont="1" applyAlignment="1">
      <alignment horizontal="center" vertical="center"/>
    </xf>
    <xf numFmtId="1" fontId="60" fillId="0" borderId="0" xfId="2" applyNumberFormat="1" applyFont="1"/>
    <xf numFmtId="0" fontId="60" fillId="5" borderId="1" xfId="2" applyFont="1" applyFill="1" applyBorder="1" applyAlignment="1">
      <alignment horizontal="right" vertical="top"/>
    </xf>
    <xf numFmtId="2" fontId="60" fillId="5" borderId="1" xfId="2" applyNumberFormat="1" applyFont="1" applyFill="1" applyBorder="1" applyAlignment="1">
      <alignment vertical="top" shrinkToFit="1"/>
    </xf>
    <xf numFmtId="0" fontId="60" fillId="5" borderId="1" xfId="2" applyFont="1" applyFill="1" applyBorder="1" applyAlignment="1">
      <alignment horizontal="center" vertical="top" shrinkToFit="1"/>
    </xf>
    <xf numFmtId="2" fontId="60" fillId="5" borderId="1" xfId="2" applyNumberFormat="1" applyFont="1" applyFill="1" applyBorder="1" applyAlignment="1">
      <alignment horizontal="right" vertical="top"/>
    </xf>
    <xf numFmtId="0" fontId="60" fillId="5" borderId="1" xfId="2" applyFont="1" applyFill="1" applyBorder="1" applyAlignment="1">
      <alignment horizontal="left" vertical="top"/>
    </xf>
    <xf numFmtId="2" fontId="60" fillId="5" borderId="1" xfId="2" applyNumberFormat="1" applyFont="1" applyFill="1" applyBorder="1" applyAlignment="1">
      <alignment horizontal="center" vertical="top"/>
    </xf>
    <xf numFmtId="2" fontId="60" fillId="5" borderId="1" xfId="2" applyNumberFormat="1" applyFont="1" applyFill="1" applyBorder="1" applyAlignment="1">
      <alignment horizontal="right" vertical="top" shrinkToFit="1"/>
    </xf>
    <xf numFmtId="1" fontId="60" fillId="5" borderId="1" xfId="2" applyNumberFormat="1" applyFont="1" applyFill="1" applyBorder="1" applyAlignment="1">
      <alignment horizontal="right" vertical="top" shrinkToFit="1"/>
    </xf>
    <xf numFmtId="2" fontId="60" fillId="5" borderId="1" xfId="2" applyNumberFormat="1" applyFont="1" applyFill="1" applyBorder="1" applyAlignment="1">
      <alignment horizontal="center" shrinkToFit="1"/>
    </xf>
    <xf numFmtId="2" fontId="60" fillId="5" borderId="1" xfId="2" applyNumberFormat="1" applyFont="1" applyFill="1" applyBorder="1" applyAlignment="1">
      <alignment vertical="center" shrinkToFit="1"/>
    </xf>
    <xf numFmtId="2" fontId="60" fillId="5" borderId="1" xfId="2" applyNumberFormat="1" applyFont="1" applyFill="1" applyBorder="1" applyAlignment="1">
      <alignment horizontal="right" vertical="center"/>
    </xf>
    <xf numFmtId="166" fontId="60" fillId="5" borderId="1" xfId="2" applyNumberFormat="1" applyFont="1" applyFill="1" applyBorder="1" applyAlignment="1">
      <alignment vertical="top" wrapText="1"/>
    </xf>
    <xf numFmtId="2" fontId="60" fillId="5" borderId="1" xfId="2" applyNumberFormat="1" applyFont="1" applyFill="1" applyBorder="1" applyAlignment="1">
      <alignment vertical="top" wrapText="1"/>
    </xf>
    <xf numFmtId="2" fontId="60" fillId="5" borderId="1" xfId="2" applyNumberFormat="1" applyFont="1" applyFill="1" applyBorder="1" applyAlignment="1">
      <alignment horizontal="center" vertical="top" wrapText="1" shrinkToFit="1"/>
    </xf>
    <xf numFmtId="1" fontId="60" fillId="5" borderId="1" xfId="2" applyNumberFormat="1" applyFont="1" applyFill="1" applyBorder="1" applyAlignment="1">
      <alignment vertical="top" wrapText="1"/>
    </xf>
    <xf numFmtId="2" fontId="60" fillId="5" borderId="1" xfId="2" applyNumberFormat="1" applyFont="1" applyFill="1" applyBorder="1" applyAlignment="1">
      <alignment horizontal="center" vertical="top" wrapText="1"/>
    </xf>
    <xf numFmtId="2" fontId="60" fillId="5" borderId="1" xfId="2" applyNumberFormat="1" applyFont="1" applyFill="1" applyBorder="1" applyAlignment="1">
      <alignment horizontal="right" vertical="center" shrinkToFit="1"/>
    </xf>
    <xf numFmtId="0" fontId="60" fillId="5" borderId="1" xfId="2" applyFont="1" applyFill="1" applyBorder="1" applyAlignment="1">
      <alignment horizontal="left" vertical="center" shrinkToFit="1"/>
    </xf>
    <xf numFmtId="2" fontId="60" fillId="5" borderId="1" xfId="2" applyNumberFormat="1" applyFont="1" applyFill="1" applyBorder="1" applyAlignment="1">
      <alignment horizontal="right" vertical="center" wrapText="1" shrinkToFit="1"/>
    </xf>
    <xf numFmtId="0" fontId="60" fillId="5" borderId="1" xfId="2" applyFont="1" applyFill="1" applyBorder="1" applyAlignment="1">
      <alignment horizontal="left" vertical="center" wrapText="1" shrinkToFit="1"/>
    </xf>
    <xf numFmtId="2" fontId="60" fillId="5" borderId="1" xfId="2" applyNumberFormat="1" applyFont="1" applyFill="1" applyBorder="1" applyAlignment="1">
      <alignment horizontal="right" vertical="top" wrapText="1" shrinkToFit="1"/>
    </xf>
    <xf numFmtId="1" fontId="60" fillId="5" borderId="1" xfId="2" applyNumberFormat="1" applyFont="1" applyFill="1" applyBorder="1" applyAlignment="1">
      <alignment horizontal="right" vertical="top" wrapText="1" shrinkToFit="1"/>
    </xf>
    <xf numFmtId="0" fontId="60" fillId="5" borderId="1" xfId="2" applyFont="1" applyFill="1" applyBorder="1" applyAlignment="1">
      <alignment horizontal="center" vertical="top" wrapText="1"/>
    </xf>
    <xf numFmtId="0" fontId="59" fillId="5" borderId="1" xfId="2" applyFont="1" applyFill="1" applyBorder="1" applyAlignment="1">
      <alignment vertical="center" wrapText="1"/>
    </xf>
    <xf numFmtId="1" fontId="60" fillId="5" borderId="1" xfId="2" applyNumberFormat="1" applyFont="1" applyFill="1" applyBorder="1" applyAlignment="1">
      <alignment horizontal="right" vertical="center" wrapText="1" shrinkToFit="1"/>
    </xf>
    <xf numFmtId="2" fontId="59" fillId="5" borderId="1" xfId="2" applyNumberFormat="1" applyFont="1" applyFill="1" applyBorder="1" applyAlignment="1">
      <alignment horizontal="center" vertical="top" wrapText="1" shrinkToFit="1"/>
    </xf>
    <xf numFmtId="1" fontId="59" fillId="5" borderId="1" xfId="2" applyNumberFormat="1" applyFont="1" applyFill="1" applyBorder="1" applyAlignment="1">
      <alignment horizontal="center" vertical="top" wrapText="1" shrinkToFit="1"/>
    </xf>
    <xf numFmtId="2" fontId="62" fillId="5" borderId="1" xfId="2" applyNumberFormat="1" applyFont="1" applyFill="1" applyBorder="1" applyAlignment="1">
      <alignment horizontal="right" vertical="top" wrapText="1"/>
    </xf>
    <xf numFmtId="2" fontId="59" fillId="5" borderId="1" xfId="2" applyNumberFormat="1" applyFont="1" applyFill="1" applyBorder="1" applyAlignment="1">
      <alignment horizontal="left" vertical="top" wrapText="1"/>
    </xf>
    <xf numFmtId="166" fontId="59" fillId="5" borderId="1" xfId="2" applyNumberFormat="1" applyFont="1" applyFill="1" applyBorder="1" applyAlignment="1">
      <alignment vertical="top" wrapText="1"/>
    </xf>
    <xf numFmtId="170" fontId="60" fillId="5" borderId="1" xfId="2" applyNumberFormat="1" applyFont="1" applyFill="1" applyBorder="1" applyAlignment="1">
      <alignment vertical="top" wrapText="1"/>
    </xf>
    <xf numFmtId="170" fontId="59" fillId="5" borderId="1" xfId="2" applyNumberFormat="1" applyFont="1" applyFill="1" applyBorder="1" applyAlignment="1">
      <alignment vertical="top" wrapText="1"/>
    </xf>
    <xf numFmtId="2" fontId="59" fillId="5" borderId="1" xfId="2" applyNumberFormat="1" applyFont="1" applyFill="1" applyBorder="1" applyAlignment="1">
      <alignment vertical="top" wrapText="1"/>
    </xf>
    <xf numFmtId="2" fontId="59" fillId="5" borderId="1" xfId="2" applyNumberFormat="1" applyFont="1" applyFill="1" applyBorder="1" applyAlignment="1">
      <alignment horizontal="center" vertical="top" wrapText="1"/>
    </xf>
    <xf numFmtId="168" fontId="60" fillId="5" borderId="1" xfId="2" applyNumberFormat="1" applyFont="1" applyFill="1" applyBorder="1" applyAlignment="1">
      <alignment vertical="top" wrapText="1"/>
    </xf>
    <xf numFmtId="2" fontId="60" fillId="5" borderId="1" xfId="2" applyNumberFormat="1" applyFont="1" applyFill="1" applyBorder="1" applyAlignment="1">
      <alignment vertical="center" wrapText="1"/>
    </xf>
    <xf numFmtId="2" fontId="60" fillId="5" borderId="1" xfId="2" applyNumberFormat="1" applyFont="1" applyFill="1" applyBorder="1" applyAlignment="1">
      <alignment vertical="top" wrapText="1" shrinkToFit="1"/>
    </xf>
    <xf numFmtId="0" fontId="60" fillId="5" borderId="1" xfId="2" applyFont="1" applyFill="1" applyBorder="1" applyAlignment="1">
      <alignment horizontal="center" vertical="top" wrapText="1" shrinkToFit="1"/>
    </xf>
    <xf numFmtId="0" fontId="60" fillId="5" borderId="1" xfId="2" applyFont="1" applyFill="1" applyBorder="1" applyAlignment="1">
      <alignment horizontal="right" vertical="top" wrapText="1"/>
    </xf>
    <xf numFmtId="168" fontId="60" fillId="5" borderId="1" xfId="2" applyNumberFormat="1" applyFont="1" applyFill="1" applyBorder="1" applyAlignment="1">
      <alignment horizontal="right" vertical="top" wrapText="1"/>
    </xf>
    <xf numFmtId="0" fontId="59" fillId="5" borderId="1" xfId="2" applyFont="1" applyFill="1" applyBorder="1" applyAlignment="1">
      <alignment horizontal="right" vertical="top" wrapText="1"/>
    </xf>
    <xf numFmtId="166" fontId="60" fillId="5" borderId="1" xfId="2" applyNumberFormat="1" applyFont="1" applyFill="1" applyBorder="1" applyAlignment="1">
      <alignment horizontal="left" vertical="top" wrapText="1"/>
    </xf>
    <xf numFmtId="1" fontId="59" fillId="5" borderId="1" xfId="2" applyNumberFormat="1" applyFont="1" applyFill="1" applyBorder="1" applyAlignment="1">
      <alignment horizontal="center" vertical="top" wrapText="1"/>
    </xf>
    <xf numFmtId="168" fontId="60" fillId="0" borderId="0" xfId="2" applyNumberFormat="1" applyFont="1" applyAlignment="1">
      <alignment vertical="top" wrapText="1"/>
    </xf>
    <xf numFmtId="170" fontId="60" fillId="5" borderId="1" xfId="2" applyNumberFormat="1" applyFont="1" applyFill="1" applyBorder="1" applyAlignment="1">
      <alignment horizontal="right" vertical="top" wrapText="1"/>
    </xf>
    <xf numFmtId="2" fontId="60" fillId="13" borderId="1" xfId="2" applyNumberFormat="1" applyFont="1" applyFill="1" applyBorder="1" applyAlignment="1">
      <alignment vertical="top" wrapText="1"/>
    </xf>
    <xf numFmtId="166" fontId="60" fillId="5" borderId="1" xfId="2" applyNumberFormat="1" applyFont="1" applyFill="1" applyBorder="1" applyAlignment="1">
      <alignment horizontal="right" vertical="top" wrapText="1"/>
    </xf>
    <xf numFmtId="0" fontId="60" fillId="5" borderId="1" xfId="2" applyFont="1" applyFill="1" applyBorder="1" applyAlignment="1">
      <alignment horizontal="center" vertical="top"/>
    </xf>
    <xf numFmtId="2" fontId="59" fillId="5" borderId="1" xfId="2" applyNumberFormat="1" applyFont="1" applyFill="1" applyBorder="1" applyAlignment="1">
      <alignment vertical="center" wrapText="1"/>
    </xf>
    <xf numFmtId="0" fontId="64" fillId="0" borderId="20" xfId="2" applyFont="1" applyBorder="1" applyAlignment="1">
      <alignment horizontal="center" vertical="top" wrapText="1"/>
    </xf>
    <xf numFmtId="0" fontId="71" fillId="0" borderId="20" xfId="2" applyFont="1" applyBorder="1" applyAlignment="1">
      <alignment horizontal="center" vertical="top" wrapText="1"/>
    </xf>
    <xf numFmtId="0" fontId="64" fillId="0" borderId="20" xfId="2" applyFont="1" applyBorder="1"/>
    <xf numFmtId="0" fontId="64" fillId="0" borderId="20" xfId="2" applyFont="1" applyBorder="1" applyAlignment="1">
      <alignment horizontal="justify" vertical="top" wrapText="1"/>
    </xf>
    <xf numFmtId="0" fontId="64" fillId="0" borderId="14" xfId="2" applyFont="1" applyBorder="1" applyAlignment="1">
      <alignment horizontal="center" vertical="top"/>
    </xf>
    <xf numFmtId="0" fontId="71" fillId="0" borderId="14" xfId="2" applyFont="1" applyBorder="1" applyAlignment="1">
      <alignment horizontal="justify" vertical="top" wrapText="1"/>
    </xf>
    <xf numFmtId="0" fontId="64" fillId="0" borderId="14" xfId="2" applyFont="1" applyBorder="1"/>
    <xf numFmtId="2" fontId="64" fillId="14" borderId="14" xfId="2" applyNumberFormat="1" applyFont="1" applyFill="1" applyBorder="1" applyAlignment="1">
      <alignment vertical="top" wrapText="1"/>
    </xf>
    <xf numFmtId="0" fontId="65" fillId="0" borderId="14" xfId="2" applyFont="1" applyBorder="1" applyAlignment="1">
      <alignment horizontal="justify" vertical="top" wrapText="1"/>
    </xf>
    <xf numFmtId="0" fontId="65" fillId="0" borderId="14" xfId="2" applyFont="1" applyBorder="1" applyAlignment="1">
      <alignment horizontal="center" vertical="top" wrapText="1"/>
    </xf>
    <xf numFmtId="0" fontId="63" fillId="0" borderId="14" xfId="2" applyFont="1" applyBorder="1" applyAlignment="1">
      <alignment horizontal="justify" vertical="top" wrapText="1"/>
    </xf>
    <xf numFmtId="2" fontId="63" fillId="0" borderId="14" xfId="2" applyNumberFormat="1" applyFont="1" applyBorder="1" applyAlignment="1">
      <alignment vertical="top" wrapText="1"/>
    </xf>
    <xf numFmtId="168" fontId="63" fillId="0" borderId="14" xfId="2" applyNumberFormat="1" applyFont="1" applyBorder="1" applyAlignment="1">
      <alignment vertical="top" wrapText="1"/>
    </xf>
    <xf numFmtId="1" fontId="65" fillId="0" borderId="14" xfId="2" applyNumberFormat="1" applyFont="1" applyBorder="1" applyAlignment="1">
      <alignment horizontal="center" vertical="top" wrapText="1"/>
    </xf>
    <xf numFmtId="0" fontId="64" fillId="0" borderId="14" xfId="2" applyFont="1" applyBorder="1" applyAlignment="1">
      <alignment horizontal="center" vertical="top" wrapText="1"/>
    </xf>
    <xf numFmtId="0" fontId="71" fillId="0" borderId="14" xfId="2" applyFont="1" applyBorder="1" applyAlignment="1">
      <alignment horizontal="center" vertical="top" wrapText="1"/>
    </xf>
    <xf numFmtId="0" fontId="64" fillId="0" borderId="14" xfId="2" applyFont="1" applyBorder="1" applyAlignment="1">
      <alignment horizontal="justify" vertical="top" wrapText="1"/>
    </xf>
    <xf numFmtId="2" fontId="64" fillId="0" borderId="14" xfId="2" applyNumberFormat="1" applyFont="1" applyBorder="1" applyAlignment="1">
      <alignment vertical="top" wrapText="1"/>
    </xf>
    <xf numFmtId="0" fontId="64" fillId="0" borderId="14" xfId="2" applyFont="1" applyBorder="1" applyAlignment="1">
      <alignment vertical="top" wrapText="1"/>
    </xf>
    <xf numFmtId="2" fontId="64" fillId="0" borderId="14" xfId="2" applyNumberFormat="1" applyFont="1" applyBorder="1" applyAlignment="1">
      <alignment horizontal="center" vertical="top" wrapText="1" shrinkToFit="1"/>
    </xf>
    <xf numFmtId="168" fontId="64" fillId="0" borderId="14" xfId="2" applyNumberFormat="1" applyFont="1" applyBorder="1" applyAlignment="1">
      <alignment vertical="top" wrapText="1"/>
    </xf>
    <xf numFmtId="2" fontId="64" fillId="0" borderId="14" xfId="2" applyNumberFormat="1" applyFont="1" applyBorder="1" applyAlignment="1">
      <alignment horizontal="center" vertical="top" wrapText="1"/>
    </xf>
    <xf numFmtId="0" fontId="64" fillId="0" borderId="14" xfId="2" applyFont="1" applyBorder="1" applyAlignment="1">
      <alignment horizontal="justify" vertical="center" wrapText="1"/>
    </xf>
    <xf numFmtId="2" fontId="64" fillId="0" borderId="14" xfId="2" applyNumberFormat="1" applyFont="1" applyBorder="1" applyAlignment="1">
      <alignment vertical="center" wrapText="1"/>
    </xf>
    <xf numFmtId="0" fontId="64" fillId="0" borderId="14" xfId="2" applyFont="1" applyBorder="1" applyAlignment="1">
      <alignment vertical="center" wrapText="1"/>
    </xf>
    <xf numFmtId="1" fontId="71" fillId="0" borderId="14" xfId="2" applyNumberFormat="1" applyFont="1" applyBorder="1" applyAlignment="1">
      <alignment horizontal="center" vertical="center" wrapText="1"/>
    </xf>
    <xf numFmtId="1" fontId="71" fillId="0" borderId="14" xfId="2" applyNumberFormat="1" applyFont="1" applyBorder="1" applyAlignment="1">
      <alignment horizontal="center" vertical="top" wrapText="1"/>
    </xf>
    <xf numFmtId="0" fontId="65" fillId="0" borderId="14" xfId="2" applyFont="1" applyBorder="1" applyAlignment="1">
      <alignment vertical="top" wrapText="1" shrinkToFit="1"/>
    </xf>
    <xf numFmtId="2" fontId="65" fillId="0" borderId="14" xfId="2" applyNumberFormat="1" applyFont="1" applyBorder="1" applyAlignment="1">
      <alignment vertical="top" wrapText="1"/>
    </xf>
    <xf numFmtId="0" fontId="65" fillId="0" borderId="14" xfId="2" applyFont="1" applyBorder="1" applyAlignment="1">
      <alignment horizontal="left" vertical="top" wrapText="1"/>
    </xf>
    <xf numFmtId="0" fontId="63" fillId="0" borderId="14" xfId="2" applyFont="1" applyBorder="1" applyAlignment="1">
      <alignment horizontal="left" vertical="top" wrapText="1"/>
    </xf>
    <xf numFmtId="0" fontId="65" fillId="0" borderId="14" xfId="2" applyFont="1" applyBorder="1" applyAlignment="1">
      <alignment vertical="top" wrapText="1"/>
    </xf>
    <xf numFmtId="0" fontId="63" fillId="0" borderId="14" xfId="2" applyFont="1" applyBorder="1" applyAlignment="1">
      <alignment horizontal="left" vertical="top" wrapText="1" shrinkToFit="1"/>
    </xf>
    <xf numFmtId="1" fontId="63" fillId="0" borderId="14" xfId="2" applyNumberFormat="1" applyFont="1" applyBorder="1" applyAlignment="1">
      <alignment vertical="top" wrapText="1" shrinkToFit="1"/>
    </xf>
    <xf numFmtId="2" fontId="63" fillId="0" borderId="14" xfId="2" applyNumberFormat="1" applyFont="1" applyBorder="1" applyAlignment="1">
      <alignment horizontal="right" vertical="top" wrapText="1" shrinkToFit="1"/>
    </xf>
    <xf numFmtId="0" fontId="63" fillId="0" borderId="14" xfId="2" applyFont="1" applyBorder="1" applyAlignment="1">
      <alignment horizontal="center"/>
    </xf>
    <xf numFmtId="2" fontId="63" fillId="0" borderId="14" xfId="57" applyNumberFormat="1" applyFont="1" applyBorder="1" applyAlignment="1">
      <alignment horizontal="right" vertical="top" wrapText="1" shrinkToFit="1"/>
    </xf>
    <xf numFmtId="0" fontId="65" fillId="0" borderId="14" xfId="2" applyFont="1" applyBorder="1" applyAlignment="1">
      <alignment horizontal="left" vertical="top" wrapText="1" shrinkToFit="1"/>
    </xf>
    <xf numFmtId="0" fontId="63" fillId="0" borderId="14" xfId="2" applyFont="1" applyBorder="1" applyAlignment="1">
      <alignment vertical="top" wrapText="1" shrinkToFit="1"/>
    </xf>
    <xf numFmtId="1" fontId="63" fillId="0" borderId="14" xfId="2" applyNumberFormat="1" applyFont="1" applyBorder="1" applyAlignment="1">
      <alignment vertical="top" wrapText="1"/>
    </xf>
    <xf numFmtId="2" fontId="63" fillId="0" borderId="14" xfId="2" applyNumberFormat="1" applyFont="1" applyBorder="1" applyAlignment="1">
      <alignment vertical="top" wrapText="1" shrinkToFit="1"/>
    </xf>
    <xf numFmtId="2" fontId="65" fillId="0" borderId="14" xfId="2" applyNumberFormat="1" applyFont="1" applyBorder="1" applyAlignment="1">
      <alignment horizontal="center" vertical="top" wrapText="1" shrinkToFit="1"/>
    </xf>
    <xf numFmtId="168" fontId="63" fillId="0" borderId="14" xfId="57" applyNumberFormat="1" applyFont="1" applyBorder="1" applyAlignment="1">
      <alignment horizontal="right" vertical="top" wrapText="1" shrinkToFit="1"/>
    </xf>
    <xf numFmtId="1" fontId="65" fillId="0" borderId="14" xfId="2" applyNumberFormat="1" applyFont="1" applyBorder="1" applyAlignment="1">
      <alignment horizontal="center" vertical="top" wrapText="1" shrinkToFit="1"/>
    </xf>
    <xf numFmtId="0" fontId="64" fillId="0" borderId="16" xfId="2" applyFont="1" applyBorder="1" applyAlignment="1">
      <alignment horizontal="center" vertical="top" wrapText="1"/>
    </xf>
    <xf numFmtId="0" fontId="71" fillId="0" borderId="16" xfId="2" applyFont="1" applyBorder="1" applyAlignment="1">
      <alignment horizontal="center" vertical="top" wrapText="1"/>
    </xf>
    <xf numFmtId="0" fontId="64" fillId="0" borderId="16" xfId="2" applyFont="1" applyBorder="1" applyAlignment="1">
      <alignment horizontal="justify" vertical="top" wrapText="1"/>
    </xf>
    <xf numFmtId="2" fontId="64" fillId="0" borderId="16" xfId="2" applyNumberFormat="1" applyFont="1" applyBorder="1" applyAlignment="1">
      <alignment vertical="top" wrapText="1"/>
    </xf>
    <xf numFmtId="0" fontId="64" fillId="0" borderId="16" xfId="2" applyFont="1" applyBorder="1" applyAlignment="1">
      <alignment vertical="top" wrapText="1"/>
    </xf>
    <xf numFmtId="1" fontId="71" fillId="0" borderId="16" xfId="2" applyNumberFormat="1" applyFont="1" applyBorder="1" applyAlignment="1">
      <alignment horizontal="center" vertical="top" wrapText="1"/>
    </xf>
    <xf numFmtId="0" fontId="64" fillId="0" borderId="0" xfId="2" applyFont="1"/>
    <xf numFmtId="0" fontId="71" fillId="0" borderId="18" xfId="2" applyFont="1" applyBorder="1" applyAlignment="1">
      <alignment horizontal="justify" vertical="top" wrapText="1"/>
    </xf>
    <xf numFmtId="0" fontId="64" fillId="0" borderId="18" xfId="2" applyFont="1" applyBorder="1" applyAlignment="1">
      <alignment horizontal="center" vertical="top" wrapText="1"/>
    </xf>
    <xf numFmtId="0" fontId="71" fillId="0" borderId="18" xfId="2" applyFont="1" applyBorder="1" applyAlignment="1">
      <alignment vertical="top" wrapText="1"/>
    </xf>
    <xf numFmtId="0" fontId="64" fillId="0" borderId="18" xfId="2" applyFont="1" applyBorder="1" applyAlignment="1">
      <alignment horizontal="justify" vertical="top" wrapText="1"/>
    </xf>
    <xf numFmtId="2" fontId="64" fillId="0" borderId="18" xfId="2" applyNumberFormat="1" applyFont="1" applyBorder="1" applyAlignment="1">
      <alignment vertical="top" wrapText="1"/>
    </xf>
    <xf numFmtId="0" fontId="64" fillId="0" borderId="18" xfId="2" applyFont="1" applyBorder="1" applyAlignment="1">
      <alignment vertical="top" wrapText="1"/>
    </xf>
    <xf numFmtId="2" fontId="64" fillId="0" borderId="18" xfId="2" applyNumberFormat="1" applyFont="1" applyBorder="1" applyAlignment="1">
      <alignment horizontal="center" vertical="top" wrapText="1" shrinkToFit="1"/>
    </xf>
    <xf numFmtId="168" fontId="64" fillId="0" borderId="18" xfId="2" applyNumberFormat="1" applyFont="1" applyBorder="1" applyAlignment="1">
      <alignment vertical="top" wrapText="1"/>
    </xf>
    <xf numFmtId="2" fontId="64" fillId="0" borderId="18" xfId="2" applyNumberFormat="1" applyFont="1" applyBorder="1" applyAlignment="1">
      <alignment horizontal="center" vertical="top" wrapText="1"/>
    </xf>
    <xf numFmtId="0" fontId="64" fillId="0" borderId="18" xfId="2" applyFont="1" applyBorder="1" applyAlignment="1">
      <alignment horizontal="center" vertical="center" wrapText="1"/>
    </xf>
    <xf numFmtId="0" fontId="71" fillId="0" borderId="18" xfId="2" applyFont="1" applyBorder="1" applyAlignment="1">
      <alignment vertical="center" wrapText="1"/>
    </xf>
    <xf numFmtId="0" fontId="64" fillId="0" borderId="18" xfId="2" applyFont="1" applyBorder="1" applyAlignment="1">
      <alignment horizontal="justify" vertical="center" wrapText="1"/>
    </xf>
    <xf numFmtId="2" fontId="64" fillId="0" borderId="18" xfId="2" applyNumberFormat="1" applyFont="1" applyBorder="1" applyAlignment="1">
      <alignment vertical="center" wrapText="1"/>
    </xf>
    <xf numFmtId="0" fontId="64" fillId="0" borderId="18" xfId="2" applyFont="1" applyBorder="1" applyAlignment="1">
      <alignment vertical="center" wrapText="1"/>
    </xf>
    <xf numFmtId="1" fontId="71" fillId="0" borderId="18" xfId="2" applyNumberFormat="1" applyFont="1" applyBorder="1" applyAlignment="1">
      <alignment horizontal="center" vertical="center" wrapText="1"/>
    </xf>
    <xf numFmtId="0" fontId="71" fillId="0" borderId="0" xfId="2" applyFont="1"/>
    <xf numFmtId="2" fontId="71" fillId="0" borderId="18" xfId="2" applyNumberFormat="1" applyFont="1" applyBorder="1" applyAlignment="1">
      <alignment horizontal="right" vertical="top" wrapText="1"/>
    </xf>
    <xf numFmtId="2" fontId="71" fillId="0" borderId="18" xfId="2" applyNumberFormat="1" applyFont="1" applyBorder="1" applyAlignment="1">
      <alignment horizontal="left" vertical="top" wrapText="1"/>
    </xf>
    <xf numFmtId="2" fontId="64" fillId="0" borderId="18" xfId="2" applyNumberFormat="1" applyFont="1" applyBorder="1" applyAlignment="1">
      <alignment horizontal="left" vertical="top" wrapText="1"/>
    </xf>
    <xf numFmtId="0" fontId="64" fillId="0" borderId="18" xfId="2" applyFont="1" applyBorder="1" applyAlignment="1">
      <alignment horizontal="left" vertical="top" wrapText="1"/>
    </xf>
    <xf numFmtId="0" fontId="64" fillId="0" borderId="18" xfId="2" applyFont="1" applyBorder="1"/>
    <xf numFmtId="1" fontId="64" fillId="0" borderId="18" xfId="2" applyNumberFormat="1" applyFont="1" applyBorder="1" applyAlignment="1">
      <alignment vertical="top" wrapText="1"/>
    </xf>
    <xf numFmtId="0" fontId="71" fillId="0" borderId="18" xfId="2" applyFont="1" applyBorder="1" applyAlignment="1">
      <alignment horizontal="justify" vertical="center" wrapText="1"/>
    </xf>
    <xf numFmtId="2" fontId="64" fillId="0" borderId="18" xfId="2" applyNumberFormat="1" applyFont="1" applyBorder="1" applyAlignment="1">
      <alignment horizontal="center" vertical="center" wrapText="1"/>
    </xf>
    <xf numFmtId="2" fontId="71" fillId="0" borderId="18" xfId="2" applyNumberFormat="1" applyFont="1" applyBorder="1" applyAlignment="1">
      <alignment vertical="top" wrapText="1"/>
    </xf>
    <xf numFmtId="2" fontId="71" fillId="0" borderId="18" xfId="2" applyNumberFormat="1" applyFont="1" applyBorder="1" applyAlignment="1">
      <alignment horizontal="center" vertical="top" wrapText="1"/>
    </xf>
    <xf numFmtId="166" fontId="64" fillId="0" borderId="18" xfId="2" applyNumberFormat="1" applyFont="1" applyBorder="1" applyAlignment="1">
      <alignment vertical="top" wrapText="1"/>
    </xf>
    <xf numFmtId="2" fontId="64" fillId="0" borderId="18" xfId="2" applyNumberFormat="1" applyFont="1" applyBorder="1" applyAlignment="1">
      <alignment horizontal="right" vertical="top" wrapText="1"/>
    </xf>
    <xf numFmtId="1" fontId="71" fillId="0" borderId="18" xfId="2" applyNumberFormat="1" applyFont="1" applyBorder="1" applyAlignment="1">
      <alignment horizontal="center" vertical="top" wrapText="1"/>
    </xf>
    <xf numFmtId="0" fontId="64" fillId="0" borderId="18" xfId="2" applyFont="1" applyBorder="1" applyAlignment="1">
      <alignment horizontal="right" vertical="top" wrapText="1"/>
    </xf>
    <xf numFmtId="170" fontId="64" fillId="0" borderId="18" xfId="2" applyNumberFormat="1" applyFont="1" applyBorder="1" applyAlignment="1">
      <alignment vertical="top" wrapText="1"/>
    </xf>
    <xf numFmtId="0" fontId="71" fillId="0" borderId="18" xfId="2" applyFont="1" applyBorder="1" applyAlignment="1">
      <alignment horizontal="center" vertical="top" wrapText="1"/>
    </xf>
    <xf numFmtId="0" fontId="10" fillId="5" borderId="1" xfId="17" applyFill="1" applyBorder="1" applyAlignment="1">
      <alignment horizontal="center" vertical="top" wrapText="1"/>
    </xf>
    <xf numFmtId="0" fontId="53" fillId="5" borderId="1" xfId="17" applyFont="1" applyFill="1" applyBorder="1" applyAlignment="1">
      <alignment vertical="top" wrapText="1"/>
    </xf>
    <xf numFmtId="0" fontId="53" fillId="5" borderId="1" xfId="17" applyFont="1" applyFill="1" applyBorder="1" applyAlignment="1">
      <alignment horizontal="justify" vertical="top" wrapText="1"/>
    </xf>
    <xf numFmtId="0" fontId="10" fillId="5" borderId="1" xfId="17" applyFill="1" applyBorder="1" applyAlignment="1">
      <alignment horizontal="justify" vertical="top" wrapText="1"/>
    </xf>
    <xf numFmtId="0" fontId="10" fillId="5" borderId="1" xfId="17" applyFill="1" applyBorder="1" applyAlignment="1">
      <alignment vertical="top" wrapText="1"/>
    </xf>
    <xf numFmtId="2" fontId="53" fillId="5" borderId="1" xfId="17" applyNumberFormat="1" applyFont="1" applyFill="1" applyBorder="1" applyAlignment="1">
      <alignment vertical="top" wrapText="1"/>
    </xf>
    <xf numFmtId="2" fontId="53" fillId="5" borderId="1" xfId="17" applyNumberFormat="1" applyFont="1" applyFill="1" applyBorder="1" applyAlignment="1">
      <alignment horizontal="left" vertical="top" wrapText="1"/>
    </xf>
    <xf numFmtId="2" fontId="10" fillId="5" borderId="1" xfId="17" applyNumberFormat="1" applyFill="1" applyBorder="1" applyAlignment="1">
      <alignment horizontal="left" vertical="top" wrapText="1"/>
    </xf>
    <xf numFmtId="2" fontId="10" fillId="5" borderId="1" xfId="17" applyNumberFormat="1" applyFill="1" applyBorder="1" applyAlignment="1">
      <alignment horizontal="center" vertical="top" wrapText="1"/>
    </xf>
    <xf numFmtId="2" fontId="10" fillId="5" borderId="1" xfId="17" applyNumberFormat="1" applyFill="1" applyBorder="1" applyAlignment="1">
      <alignment vertical="top" wrapText="1"/>
    </xf>
    <xf numFmtId="2" fontId="10" fillId="5" borderId="1" xfId="17" applyNumberFormat="1" applyFill="1" applyBorder="1" applyAlignment="1">
      <alignment horizontal="center" vertical="top" wrapText="1" shrinkToFit="1"/>
    </xf>
    <xf numFmtId="168" fontId="10" fillId="5" borderId="1" xfId="17" applyNumberFormat="1" applyFill="1" applyBorder="1" applyAlignment="1">
      <alignment vertical="top" wrapText="1"/>
    </xf>
    <xf numFmtId="0" fontId="10" fillId="5" borderId="1" xfId="17" applyFill="1" applyBorder="1" applyAlignment="1">
      <alignment horizontal="left" vertical="top" wrapText="1"/>
    </xf>
    <xf numFmtId="166" fontId="10" fillId="5" borderId="1" xfId="17" applyNumberFormat="1" applyFill="1" applyBorder="1" applyAlignment="1">
      <alignment vertical="top" wrapText="1"/>
    </xf>
    <xf numFmtId="2" fontId="53" fillId="5" borderId="1" xfId="17" applyNumberFormat="1" applyFont="1" applyFill="1" applyBorder="1" applyAlignment="1">
      <alignment horizontal="center" vertical="top" wrapText="1"/>
    </xf>
    <xf numFmtId="1" fontId="53" fillId="5" borderId="1" xfId="17" applyNumberFormat="1" applyFont="1" applyFill="1" applyBorder="1" applyAlignment="1">
      <alignment horizontal="center" vertical="top" wrapText="1"/>
    </xf>
    <xf numFmtId="0" fontId="64" fillId="0" borderId="0" xfId="2" applyFont="1" applyAlignment="1">
      <alignment horizontal="justify"/>
    </xf>
    <xf numFmtId="2" fontId="64" fillId="0" borderId="0" xfId="2" applyNumberFormat="1" applyFont="1"/>
    <xf numFmtId="2" fontId="64" fillId="0" borderId="0" xfId="2" applyNumberFormat="1" applyFont="1" applyAlignment="1">
      <alignment horizontal="center"/>
    </xf>
    <xf numFmtId="0" fontId="1" fillId="0" borderId="0" xfId="58"/>
    <xf numFmtId="0" fontId="1" fillId="0" borderId="9" xfId="58" applyBorder="1" applyAlignment="1">
      <alignment horizontal="center" vertical="center" wrapText="1"/>
    </xf>
    <xf numFmtId="0" fontId="1" fillId="0" borderId="1" xfId="58" applyBorder="1" applyAlignment="1">
      <alignment horizontal="center" vertical="center"/>
    </xf>
    <xf numFmtId="2" fontId="1" fillId="0" borderId="9" xfId="58" applyNumberFormat="1" applyBorder="1" applyAlignment="1">
      <alignment horizontal="center" vertical="center"/>
    </xf>
    <xf numFmtId="0" fontId="1" fillId="0" borderId="9" xfId="58" applyBorder="1" applyAlignment="1">
      <alignment horizontal="center" vertical="center"/>
    </xf>
    <xf numFmtId="0" fontId="1" fillId="0" borderId="9" xfId="58" applyBorder="1" applyAlignment="1">
      <alignment horizontal="right" vertical="center"/>
    </xf>
    <xf numFmtId="43" fontId="0" fillId="0" borderId="9" xfId="59" applyFont="1" applyFill="1" applyBorder="1" applyAlignment="1">
      <alignment horizontal="right" vertical="center"/>
    </xf>
    <xf numFmtId="0" fontId="1" fillId="0" borderId="10" xfId="58" applyBorder="1" applyAlignment="1">
      <alignment horizontal="center" vertical="center" wrapText="1"/>
    </xf>
    <xf numFmtId="2" fontId="1" fillId="0" borderId="10" xfId="58" applyNumberFormat="1" applyBorder="1" applyAlignment="1">
      <alignment horizontal="center" vertical="center"/>
    </xf>
    <xf numFmtId="0" fontId="1" fillId="0" borderId="10" xfId="58" applyBorder="1" applyAlignment="1">
      <alignment horizontal="center" vertical="center"/>
    </xf>
    <xf numFmtId="0" fontId="1" fillId="0" borderId="10" xfId="58" applyBorder="1" applyAlignment="1">
      <alignment horizontal="right" vertical="center"/>
    </xf>
    <xf numFmtId="43" fontId="0" fillId="0" borderId="10" xfId="59" applyFont="1" applyFill="1" applyBorder="1" applyAlignment="1">
      <alignment horizontal="right" vertical="center"/>
    </xf>
    <xf numFmtId="2" fontId="17" fillId="0" borderId="1" xfId="2" applyNumberFormat="1" applyFont="1" applyBorder="1" applyAlignment="1">
      <alignment horizontal="center" vertical="center" wrapText="1"/>
    </xf>
    <xf numFmtId="2" fontId="18" fillId="0" borderId="1" xfId="2" applyNumberFormat="1" applyFont="1" applyBorder="1" applyAlignment="1">
      <alignment horizontal="center" vertical="center" wrapText="1"/>
    </xf>
    <xf numFmtId="165" fontId="0" fillId="0" borderId="0" xfId="59" applyNumberFormat="1" applyFont="1" applyFill="1" applyBorder="1" applyAlignment="1">
      <alignment horizontal="right" vertical="center"/>
    </xf>
    <xf numFmtId="2" fontId="1" fillId="0" borderId="0" xfId="58" applyNumberFormat="1" applyAlignment="1">
      <alignment horizontal="center" vertical="center"/>
    </xf>
    <xf numFmtId="3" fontId="1" fillId="0" borderId="0" xfId="58" applyNumberFormat="1"/>
    <xf numFmtId="4" fontId="1" fillId="0" borderId="0" xfId="58" applyNumberFormat="1"/>
    <xf numFmtId="0" fontId="1" fillId="0" borderId="0" xfId="58" applyAlignment="1">
      <alignment horizontal="center" vertical="center"/>
    </xf>
    <xf numFmtId="3" fontId="1" fillId="0" borderId="0" xfId="58" applyNumberFormat="1" applyAlignment="1">
      <alignment horizontal="right" vertical="center"/>
    </xf>
    <xf numFmtId="165" fontId="19" fillId="0" borderId="0" xfId="58" applyNumberFormat="1" applyFont="1" applyAlignment="1">
      <alignment horizontal="right" vertical="center"/>
    </xf>
    <xf numFmtId="43" fontId="39" fillId="2" borderId="0" xfId="58" applyNumberFormat="1" applyFont="1" applyFill="1"/>
    <xf numFmtId="0" fontId="1" fillId="25" borderId="0" xfId="58" applyFill="1"/>
    <xf numFmtId="0" fontId="1" fillId="12" borderId="0" xfId="58" applyFill="1"/>
    <xf numFmtId="0" fontId="1" fillId="26" borderId="0" xfId="58" applyFill="1"/>
    <xf numFmtId="20" fontId="1" fillId="0" borderId="0" xfId="58" applyNumberFormat="1"/>
    <xf numFmtId="0" fontId="1" fillId="0" borderId="0" xfId="58" applyAlignment="1">
      <alignment horizontal="right"/>
    </xf>
    <xf numFmtId="0" fontId="1" fillId="27" borderId="0" xfId="58" applyFill="1"/>
    <xf numFmtId="0" fontId="1" fillId="28" borderId="0" xfId="58" applyFill="1"/>
    <xf numFmtId="165" fontId="36" fillId="0" borderId="1" xfId="0" applyNumberFormat="1" applyFont="1" applyBorder="1" applyAlignment="1">
      <alignment horizontal="left" vertical="top" wrapText="1"/>
    </xf>
    <xf numFmtId="9" fontId="35" fillId="0" borderId="1" xfId="4" applyNumberFormat="1" applyFont="1" applyBorder="1" applyAlignment="1">
      <alignment horizontal="center" vertical="center" wrapText="1"/>
    </xf>
    <xf numFmtId="10" fontId="35" fillId="0" borderId="1" xfId="4" applyNumberFormat="1" applyFont="1" applyBorder="1" applyAlignment="1">
      <alignment horizontal="center" vertical="center" wrapText="1"/>
    </xf>
    <xf numFmtId="0" fontId="35" fillId="0" borderId="1" xfId="4" applyFont="1" applyBorder="1" applyAlignment="1">
      <alignment horizontal="center" vertical="center" wrapText="1"/>
    </xf>
    <xf numFmtId="0" fontId="9" fillId="5" borderId="1" xfId="0" applyFont="1" applyFill="1" applyBorder="1" applyAlignment="1">
      <alignment horizontal="justify" vertical="top" wrapText="1"/>
    </xf>
    <xf numFmtId="0" fontId="73" fillId="0" borderId="1" xfId="0" applyFont="1" applyBorder="1" applyAlignment="1">
      <alignment horizontal="left" vertical="top" wrapText="1"/>
    </xf>
    <xf numFmtId="0" fontId="74" fillId="0" borderId="1" xfId="0" applyFont="1" applyBorder="1" applyAlignment="1">
      <alignment horizontal="left" vertical="top" wrapText="1"/>
    </xf>
    <xf numFmtId="2" fontId="73" fillId="0" borderId="1" xfId="0" applyNumberFormat="1" applyFont="1" applyBorder="1" applyAlignment="1">
      <alignment horizontal="center" vertical="center" wrapText="1"/>
    </xf>
    <xf numFmtId="0" fontId="73" fillId="0" borderId="1" xfId="0" applyFont="1" applyBorder="1" applyAlignment="1">
      <alignment horizontal="center" vertical="center" wrapText="1"/>
    </xf>
    <xf numFmtId="0" fontId="73" fillId="0" borderId="1" xfId="0" applyFont="1" applyBorder="1" applyAlignment="1">
      <alignment horizontal="left" vertical="center" wrapText="1"/>
    </xf>
    <xf numFmtId="0" fontId="73" fillId="0" borderId="1" xfId="0" applyFont="1" applyBorder="1" applyAlignment="1">
      <alignment horizontal="center" vertical="center"/>
    </xf>
    <xf numFmtId="0" fontId="73" fillId="0" borderId="1" xfId="0" applyFont="1" applyBorder="1" applyAlignment="1">
      <alignment horizontal="left" vertical="top"/>
    </xf>
    <xf numFmtId="4" fontId="73" fillId="0" borderId="1" xfId="0" applyNumberFormat="1" applyFont="1" applyBorder="1" applyAlignment="1">
      <alignment horizontal="center" vertical="center"/>
    </xf>
    <xf numFmtId="0" fontId="73" fillId="0" borderId="0" xfId="0" applyFont="1" applyAlignment="1">
      <alignment horizontal="left" vertical="top"/>
    </xf>
    <xf numFmtId="0" fontId="73" fillId="0" borderId="5" xfId="0" applyFont="1" applyBorder="1" applyAlignment="1">
      <alignment horizontal="left" vertical="top"/>
    </xf>
    <xf numFmtId="0" fontId="73" fillId="0" borderId="5" xfId="0" applyFont="1" applyBorder="1" applyAlignment="1">
      <alignment horizontal="center" vertical="center"/>
    </xf>
    <xf numFmtId="0" fontId="78" fillId="0" borderId="1" xfId="0" applyFont="1" applyBorder="1" applyAlignment="1">
      <alignment horizontal="center" vertical="center" wrapText="1"/>
    </xf>
    <xf numFmtId="0" fontId="78" fillId="0" borderId="1" xfId="0" applyFont="1" applyBorder="1" applyAlignment="1">
      <alignment horizontal="left" vertical="center" wrapText="1"/>
    </xf>
    <xf numFmtId="0" fontId="79" fillId="0" borderId="7" xfId="0" applyFont="1" applyBorder="1" applyAlignment="1">
      <alignment horizontal="center" vertical="center" wrapText="1"/>
    </xf>
    <xf numFmtId="0" fontId="79" fillId="0" borderId="6" xfId="0" applyFont="1" applyBorder="1" applyAlignment="1">
      <alignment horizontal="center" vertical="center" wrapText="1"/>
    </xf>
    <xf numFmtId="0" fontId="79" fillId="0" borderId="6" xfId="0" applyFont="1" applyBorder="1" applyAlignment="1">
      <alignment vertical="top" wrapText="1"/>
    </xf>
    <xf numFmtId="0" fontId="73" fillId="0" borderId="6" xfId="0" applyFont="1" applyBorder="1" applyAlignment="1">
      <alignment horizontal="left" vertical="top"/>
    </xf>
    <xf numFmtId="2" fontId="78" fillId="0" borderId="1" xfId="0" applyNumberFormat="1" applyFont="1" applyBorder="1" applyAlignment="1">
      <alignment horizontal="center" vertical="center" wrapText="1"/>
    </xf>
    <xf numFmtId="0" fontId="78" fillId="0" borderId="5" xfId="0" applyFont="1" applyBorder="1" applyAlignment="1">
      <alignment horizontal="center" vertical="center" wrapText="1"/>
    </xf>
    <xf numFmtId="4" fontId="72" fillId="0" borderId="1" xfId="0" applyNumberFormat="1" applyFont="1" applyBorder="1" applyAlignment="1">
      <alignment horizontal="center" vertical="center"/>
    </xf>
    <xf numFmtId="0" fontId="72" fillId="0" borderId="1" xfId="0" applyFont="1" applyBorder="1" applyAlignment="1">
      <alignment horizontal="center" vertical="center" wrapText="1"/>
    </xf>
    <xf numFmtId="0" fontId="80" fillId="0" borderId="1" xfId="0" applyFont="1" applyBorder="1" applyAlignment="1">
      <alignment horizontal="left" vertical="center" wrapText="1"/>
    </xf>
    <xf numFmtId="0" fontId="74" fillId="0" borderId="1" xfId="0" applyFont="1" applyBorder="1" applyAlignment="1">
      <alignment horizontal="center" vertical="center" wrapText="1"/>
    </xf>
    <xf numFmtId="1" fontId="73" fillId="0" borderId="1" xfId="0" applyNumberFormat="1" applyFont="1" applyBorder="1" applyAlignment="1">
      <alignment horizontal="center" vertical="center" wrapText="1" shrinkToFit="1"/>
    </xf>
    <xf numFmtId="3" fontId="73" fillId="0" borderId="1" xfId="1" applyNumberFormat="1" applyFont="1" applyFill="1" applyBorder="1" applyAlignment="1">
      <alignment horizontal="right" vertical="center" wrapText="1"/>
    </xf>
    <xf numFmtId="3" fontId="73" fillId="0" borderId="1" xfId="0" applyNumberFormat="1" applyFont="1" applyBorder="1" applyAlignment="1">
      <alignment horizontal="right" vertical="center" wrapText="1" shrinkToFit="1"/>
    </xf>
    <xf numFmtId="2" fontId="73" fillId="0" borderId="1" xfId="0" applyNumberFormat="1" applyFont="1" applyBorder="1" applyAlignment="1">
      <alignment horizontal="center" vertical="center" wrapText="1" shrinkToFit="1"/>
    </xf>
    <xf numFmtId="3" fontId="73" fillId="0" borderId="1" xfId="0" applyNumberFormat="1" applyFont="1" applyBorder="1" applyAlignment="1">
      <alignment horizontal="right" vertical="center" wrapText="1"/>
    </xf>
    <xf numFmtId="165" fontId="73" fillId="0" borderId="1" xfId="1" applyNumberFormat="1" applyFont="1" applyBorder="1" applyAlignment="1">
      <alignment horizontal="right" vertical="center"/>
    </xf>
    <xf numFmtId="43" fontId="73" fillId="0" borderId="1" xfId="0" applyNumberFormat="1" applyFont="1" applyBorder="1" applyAlignment="1">
      <alignment horizontal="center" vertical="center"/>
    </xf>
    <xf numFmtId="43" fontId="73" fillId="0" borderId="2" xfId="0" applyNumberFormat="1" applyFont="1" applyBorder="1" applyAlignment="1">
      <alignment horizontal="center" vertical="center"/>
    </xf>
    <xf numFmtId="0" fontId="78" fillId="0" borderId="1" xfId="0" applyFont="1" applyBorder="1" applyAlignment="1">
      <alignment horizontal="right" vertical="top" wrapText="1"/>
    </xf>
    <xf numFmtId="0" fontId="73" fillId="0" borderId="0" xfId="0" applyFont="1" applyAlignment="1">
      <alignment horizontal="center" vertical="center"/>
    </xf>
    <xf numFmtId="43" fontId="73" fillId="0" borderId="5" xfId="0" applyNumberFormat="1" applyFont="1" applyBorder="1" applyAlignment="1">
      <alignment horizontal="center" vertical="center"/>
    </xf>
    <xf numFmtId="0" fontId="73" fillId="0" borderId="1" xfId="0" applyFont="1" applyBorder="1" applyAlignment="1">
      <alignment horizontal="center" vertical="top"/>
    </xf>
    <xf numFmtId="0" fontId="73" fillId="2" borderId="1" xfId="0" applyFont="1" applyFill="1" applyBorder="1" applyAlignment="1">
      <alignment horizontal="left" vertical="top"/>
    </xf>
    <xf numFmtId="43" fontId="73" fillId="2" borderId="5" xfId="0" applyNumberFormat="1" applyFont="1" applyFill="1" applyBorder="1" applyAlignment="1">
      <alignment horizontal="center" vertical="center"/>
    </xf>
    <xf numFmtId="43" fontId="73" fillId="2" borderId="1" xfId="0" applyNumberFormat="1" applyFont="1" applyFill="1" applyBorder="1" applyAlignment="1">
      <alignment horizontal="center" vertical="center"/>
    </xf>
    <xf numFmtId="43" fontId="73" fillId="2" borderId="2" xfId="0" applyNumberFormat="1" applyFont="1" applyFill="1" applyBorder="1" applyAlignment="1">
      <alignment horizontal="center" vertical="center"/>
    </xf>
    <xf numFmtId="0" fontId="73" fillId="2" borderId="0" xfId="0" applyFont="1" applyFill="1" applyAlignment="1">
      <alignment horizontal="left" vertical="top"/>
    </xf>
    <xf numFmtId="0" fontId="73" fillId="2" borderId="1" xfId="0" applyFont="1" applyFill="1" applyBorder="1" applyAlignment="1">
      <alignment horizontal="center" vertical="center"/>
    </xf>
    <xf numFmtId="3" fontId="78" fillId="9" borderId="1" xfId="0" applyNumberFormat="1" applyFont="1" applyFill="1" applyBorder="1" applyAlignment="1">
      <alignment horizontal="center" vertical="center" wrapText="1"/>
    </xf>
    <xf numFmtId="3" fontId="78" fillId="9" borderId="1" xfId="0" applyNumberFormat="1" applyFont="1" applyFill="1" applyBorder="1" applyAlignment="1">
      <alignment horizontal="right" vertical="center" wrapText="1"/>
    </xf>
    <xf numFmtId="3" fontId="73" fillId="0" borderId="1" xfId="0" applyNumberFormat="1" applyFont="1" applyBorder="1" applyAlignment="1">
      <alignment horizontal="center" vertical="center" wrapText="1" shrinkToFit="1"/>
    </xf>
    <xf numFmtId="3" fontId="73" fillId="0" borderId="1" xfId="0" applyNumberFormat="1" applyFont="1" applyBorder="1" applyAlignment="1">
      <alignment horizontal="center" vertical="center" wrapText="1"/>
    </xf>
    <xf numFmtId="0" fontId="73" fillId="6" borderId="1" xfId="0" applyFont="1" applyFill="1" applyBorder="1" applyAlignment="1">
      <alignment horizontal="left" vertical="top"/>
    </xf>
    <xf numFmtId="43" fontId="73" fillId="6" borderId="5" xfId="0" applyNumberFormat="1" applyFont="1" applyFill="1" applyBorder="1" applyAlignment="1">
      <alignment horizontal="center" vertical="center"/>
    </xf>
    <xf numFmtId="43" fontId="73" fillId="6" borderId="1" xfId="0" applyNumberFormat="1" applyFont="1" applyFill="1" applyBorder="1" applyAlignment="1">
      <alignment horizontal="center" vertical="center"/>
    </xf>
    <xf numFmtId="43" fontId="73" fillId="6" borderId="2" xfId="0" applyNumberFormat="1" applyFont="1" applyFill="1" applyBorder="1" applyAlignment="1">
      <alignment horizontal="center" vertical="center"/>
    </xf>
    <xf numFmtId="0" fontId="73" fillId="6" borderId="0" xfId="0" applyFont="1" applyFill="1" applyAlignment="1">
      <alignment horizontal="left" vertical="top"/>
    </xf>
    <xf numFmtId="0" fontId="73" fillId="4" borderId="1" xfId="0" applyFont="1" applyFill="1" applyBorder="1" applyAlignment="1">
      <alignment horizontal="left" vertical="top"/>
    </xf>
    <xf numFmtId="43" fontId="73" fillId="4" borderId="5" xfId="0" applyNumberFormat="1" applyFont="1" applyFill="1" applyBorder="1" applyAlignment="1">
      <alignment horizontal="center" vertical="center"/>
    </xf>
    <xf numFmtId="43" fontId="73" fillId="4" borderId="1" xfId="0" applyNumberFormat="1" applyFont="1" applyFill="1" applyBorder="1" applyAlignment="1">
      <alignment horizontal="center" vertical="center"/>
    </xf>
    <xf numFmtId="43" fontId="73" fillId="4" borderId="2" xfId="0" applyNumberFormat="1" applyFont="1" applyFill="1" applyBorder="1" applyAlignment="1">
      <alignment horizontal="center" vertical="center"/>
    </xf>
    <xf numFmtId="0" fontId="73" fillId="4" borderId="0" xfId="0" applyFont="1" applyFill="1" applyAlignment="1">
      <alignment horizontal="left" vertical="top"/>
    </xf>
    <xf numFmtId="43" fontId="73" fillId="4" borderId="0" xfId="0" applyNumberFormat="1" applyFont="1" applyFill="1" applyAlignment="1">
      <alignment horizontal="center" vertical="center"/>
    </xf>
    <xf numFmtId="0" fontId="73" fillId="7" borderId="1" xfId="0" applyFont="1" applyFill="1" applyBorder="1" applyAlignment="1">
      <alignment horizontal="left" vertical="top"/>
    </xf>
    <xf numFmtId="43" fontId="73" fillId="7" borderId="0" xfId="0" applyNumberFormat="1" applyFont="1" applyFill="1" applyAlignment="1">
      <alignment horizontal="center" vertical="center"/>
    </xf>
    <xf numFmtId="0" fontId="73" fillId="7" borderId="0" xfId="0" applyFont="1" applyFill="1" applyAlignment="1">
      <alignment horizontal="left" vertical="top"/>
    </xf>
    <xf numFmtId="164" fontId="73" fillId="0" borderId="1" xfId="0" applyNumberFormat="1" applyFont="1" applyBorder="1" applyAlignment="1">
      <alignment horizontal="center" vertical="center" wrapText="1" shrinkToFit="1"/>
    </xf>
    <xf numFmtId="0" fontId="73" fillId="3" borderId="1" xfId="0" applyFont="1" applyFill="1" applyBorder="1" applyAlignment="1">
      <alignment horizontal="left" vertical="top"/>
    </xf>
    <xf numFmtId="43" fontId="73" fillId="3" borderId="0" xfId="0" applyNumberFormat="1" applyFont="1" applyFill="1" applyAlignment="1">
      <alignment horizontal="center" vertical="center"/>
    </xf>
    <xf numFmtId="0" fontId="73" fillId="3" borderId="0" xfId="0" applyFont="1" applyFill="1" applyAlignment="1">
      <alignment horizontal="left" vertical="top"/>
    </xf>
    <xf numFmtId="0" fontId="72" fillId="4" borderId="1" xfId="0" applyFont="1" applyFill="1" applyBorder="1" applyAlignment="1">
      <alignment horizontal="left" vertical="top"/>
    </xf>
    <xf numFmtId="0" fontId="72" fillId="4" borderId="0" xfId="0" applyFont="1" applyFill="1" applyAlignment="1">
      <alignment horizontal="left" vertical="top"/>
    </xf>
    <xf numFmtId="43" fontId="73" fillId="0" borderId="0" xfId="0" applyNumberFormat="1" applyFont="1" applyAlignment="1">
      <alignment horizontal="center" vertical="center"/>
    </xf>
    <xf numFmtId="0" fontId="74" fillId="0" borderId="1" xfId="2" applyFont="1" applyBorder="1" applyAlignment="1">
      <alignment horizontal="left" vertical="top" wrapText="1"/>
    </xf>
    <xf numFmtId="3" fontId="72" fillId="9" borderId="1" xfId="0" applyNumberFormat="1" applyFont="1" applyFill="1" applyBorder="1" applyAlignment="1">
      <alignment horizontal="center" vertical="center" wrapText="1"/>
    </xf>
    <xf numFmtId="3" fontId="72" fillId="9" borderId="1" xfId="0" applyNumberFormat="1" applyFont="1" applyFill="1" applyBorder="1" applyAlignment="1">
      <alignment horizontal="right" vertical="center" wrapText="1"/>
    </xf>
    <xf numFmtId="0" fontId="81" fillId="0" borderId="1" xfId="0" applyFont="1" applyBorder="1" applyAlignment="1">
      <alignment horizontal="left" vertical="center" wrapText="1"/>
    </xf>
    <xf numFmtId="0" fontId="73" fillId="2" borderId="1" xfId="0" applyFont="1" applyFill="1" applyBorder="1" applyAlignment="1">
      <alignment horizontal="center" vertical="top"/>
    </xf>
    <xf numFmtId="4" fontId="73" fillId="0" borderId="0" xfId="0" applyNumberFormat="1" applyFont="1" applyAlignment="1">
      <alignment horizontal="center" vertical="center"/>
    </xf>
    <xf numFmtId="0" fontId="73" fillId="0" borderId="0" xfId="0" applyFont="1" applyAlignment="1">
      <alignment horizontal="center" vertical="top"/>
    </xf>
    <xf numFmtId="0" fontId="72" fillId="0" borderId="0" xfId="0" applyFont="1" applyAlignment="1">
      <alignment horizontal="center" vertical="center"/>
    </xf>
    <xf numFmtId="0" fontId="72" fillId="0" borderId="0" xfId="0" applyFont="1" applyAlignment="1">
      <alignment horizontal="left" vertical="top"/>
    </xf>
    <xf numFmtId="3" fontId="72" fillId="9" borderId="1" xfId="0" applyNumberFormat="1" applyFont="1" applyFill="1" applyBorder="1" applyAlignment="1">
      <alignment horizontal="center" vertical="center" wrapText="1" shrinkToFit="1"/>
    </xf>
    <xf numFmtId="3" fontId="72" fillId="9" borderId="1" xfId="0" applyNumberFormat="1" applyFont="1" applyFill="1" applyBorder="1" applyAlignment="1">
      <alignment horizontal="right" vertical="center" wrapText="1" shrinkToFit="1"/>
    </xf>
    <xf numFmtId="2" fontId="73" fillId="5" borderId="1" xfId="0" applyNumberFormat="1" applyFont="1" applyFill="1" applyBorder="1" applyAlignment="1">
      <alignment horizontal="center" vertical="center" wrapText="1" shrinkToFit="1"/>
    </xf>
    <xf numFmtId="0" fontId="73" fillId="0" borderId="1" xfId="0" applyFont="1" applyBorder="1" applyAlignment="1">
      <alignment horizontal="right" vertical="center"/>
    </xf>
    <xf numFmtId="3" fontId="73" fillId="0" borderId="1" xfId="0" applyNumberFormat="1" applyFont="1" applyBorder="1" applyAlignment="1">
      <alignment horizontal="right" vertical="center"/>
    </xf>
    <xf numFmtId="2" fontId="73" fillId="0" borderId="1" xfId="0" applyNumberFormat="1" applyFont="1" applyBorder="1" applyAlignment="1">
      <alignment horizontal="center" vertical="center"/>
    </xf>
    <xf numFmtId="3" fontId="72" fillId="9" borderId="1" xfId="0" applyNumberFormat="1" applyFont="1" applyFill="1" applyBorder="1" applyAlignment="1">
      <alignment horizontal="center" vertical="center"/>
    </xf>
    <xf numFmtId="3" fontId="72" fillId="9" borderId="1" xfId="0" applyNumberFormat="1" applyFont="1" applyFill="1" applyBorder="1" applyAlignment="1">
      <alignment horizontal="right" vertical="center"/>
    </xf>
    <xf numFmtId="0" fontId="73" fillId="10" borderId="1" xfId="0" applyFont="1" applyFill="1" applyBorder="1" applyAlignment="1">
      <alignment horizontal="center" vertical="center"/>
    </xf>
    <xf numFmtId="0" fontId="72" fillId="10" borderId="1" xfId="0" applyFont="1" applyFill="1" applyBorder="1" applyAlignment="1">
      <alignment horizontal="right" vertical="center"/>
    </xf>
    <xf numFmtId="3" fontId="72" fillId="10" borderId="1" xfId="0" applyNumberFormat="1" applyFont="1" applyFill="1" applyBorder="1" applyAlignment="1">
      <alignment horizontal="right" vertical="center"/>
    </xf>
    <xf numFmtId="2" fontId="72" fillId="10" borderId="1" xfId="0" applyNumberFormat="1" applyFont="1" applyFill="1" applyBorder="1" applyAlignment="1">
      <alignment horizontal="center" vertical="center"/>
    </xf>
    <xf numFmtId="0" fontId="72" fillId="10" borderId="1" xfId="0" applyFont="1" applyFill="1" applyBorder="1" applyAlignment="1">
      <alignment horizontal="center" vertical="center"/>
    </xf>
    <xf numFmtId="3" fontId="72" fillId="10" borderId="1" xfId="0" applyNumberFormat="1" applyFont="1" applyFill="1" applyBorder="1" applyAlignment="1">
      <alignment horizontal="center" vertical="center"/>
    </xf>
    <xf numFmtId="4" fontId="73" fillId="0" borderId="1" xfId="0" applyNumberFormat="1" applyFont="1" applyBorder="1" applyAlignment="1">
      <alignment horizontal="left" vertical="center" wrapText="1"/>
    </xf>
    <xf numFmtId="4" fontId="73" fillId="0" borderId="1" xfId="0" applyNumberFormat="1" applyFont="1" applyBorder="1" applyAlignment="1">
      <alignment horizontal="right" vertical="center" wrapText="1"/>
    </xf>
    <xf numFmtId="4" fontId="73" fillId="0" borderId="1" xfId="0" applyNumberFormat="1" applyFont="1" applyBorder="1" applyAlignment="1">
      <alignment horizontal="right" vertical="center" wrapText="1" shrinkToFit="1"/>
    </xf>
    <xf numFmtId="4" fontId="73" fillId="0" borderId="1" xfId="0" applyNumberFormat="1" applyFont="1" applyBorder="1" applyAlignment="1">
      <alignment horizontal="center" vertical="center" wrapText="1" shrinkToFit="1"/>
    </xf>
    <xf numFmtId="4" fontId="73" fillId="0" borderId="1" xfId="0" applyNumberFormat="1" applyFont="1" applyBorder="1" applyAlignment="1">
      <alignment horizontal="center" vertical="center" wrapText="1"/>
    </xf>
    <xf numFmtId="165" fontId="73" fillId="0" borderId="1" xfId="1" applyNumberFormat="1" applyFont="1" applyBorder="1" applyAlignment="1">
      <alignment horizontal="right" vertical="center" wrapText="1" shrinkToFit="1"/>
    </xf>
    <xf numFmtId="165" fontId="73" fillId="0" borderId="1" xfId="1" applyNumberFormat="1" applyFont="1" applyBorder="1" applyAlignment="1">
      <alignment horizontal="right" vertical="center" wrapText="1"/>
    </xf>
    <xf numFmtId="1" fontId="73" fillId="0" borderId="1" xfId="0" applyNumberFormat="1" applyFont="1" applyBorder="1" applyAlignment="1">
      <alignment horizontal="left" vertical="center" wrapText="1"/>
    </xf>
    <xf numFmtId="165" fontId="72" fillId="9" borderId="1" xfId="1" applyNumberFormat="1" applyFont="1" applyFill="1" applyBorder="1" applyAlignment="1">
      <alignment horizontal="center" vertical="center" wrapText="1" shrinkToFit="1"/>
    </xf>
    <xf numFmtId="165" fontId="72" fillId="9" borderId="1" xfId="1" applyNumberFormat="1" applyFont="1" applyFill="1" applyBorder="1" applyAlignment="1">
      <alignment horizontal="right" vertical="center" wrapText="1" shrinkToFit="1"/>
    </xf>
    <xf numFmtId="4" fontId="73" fillId="0" borderId="1" xfId="1" applyNumberFormat="1" applyFont="1" applyFill="1" applyBorder="1" applyAlignment="1">
      <alignment horizontal="right" vertical="center" wrapText="1"/>
    </xf>
    <xf numFmtId="165" fontId="73" fillId="0" borderId="1" xfId="1" applyNumberFormat="1" applyFont="1" applyBorder="1" applyAlignment="1">
      <alignment horizontal="center" vertical="center" wrapText="1" shrinkToFit="1"/>
    </xf>
    <xf numFmtId="165" fontId="73" fillId="0" borderId="1" xfId="1" applyNumberFormat="1" applyFont="1" applyBorder="1" applyAlignment="1">
      <alignment horizontal="center" vertical="center" wrapText="1"/>
    </xf>
    <xf numFmtId="4" fontId="74" fillId="0" borderId="1" xfId="1" applyNumberFormat="1" applyFont="1" applyFill="1" applyBorder="1" applyAlignment="1">
      <alignment horizontal="left" vertical="center" wrapText="1"/>
    </xf>
    <xf numFmtId="1" fontId="73" fillId="0" borderId="1" xfId="0" applyNumberFormat="1" applyFont="1" applyBorder="1" applyAlignment="1">
      <alignment horizontal="center" vertical="center" wrapText="1"/>
    </xf>
    <xf numFmtId="0" fontId="73" fillId="0" borderId="1" xfId="0" applyFont="1" applyBorder="1" applyAlignment="1">
      <alignment horizontal="right" vertical="center" wrapText="1"/>
    </xf>
    <xf numFmtId="0" fontId="74" fillId="0" borderId="1" xfId="0" applyFont="1" applyBorder="1" applyAlignment="1">
      <alignment vertical="top" wrapText="1"/>
    </xf>
    <xf numFmtId="0" fontId="74" fillId="0" borderId="1" xfId="0" applyFont="1" applyBorder="1" applyAlignment="1">
      <alignment vertical="center" wrapText="1"/>
    </xf>
    <xf numFmtId="0" fontId="74" fillId="0" borderId="1" xfId="0" applyFont="1" applyBorder="1" applyAlignment="1">
      <alignment horizontal="left" vertical="center" wrapText="1"/>
    </xf>
    <xf numFmtId="0" fontId="74" fillId="0" borderId="1" xfId="0" applyFont="1" applyBorder="1" applyAlignment="1">
      <alignment horizontal="left" vertical="center"/>
    </xf>
    <xf numFmtId="0" fontId="85" fillId="0" borderId="1" xfId="0" applyFont="1" applyBorder="1" applyAlignment="1">
      <alignment horizontal="center" vertical="center" wrapText="1"/>
    </xf>
    <xf numFmtId="0" fontId="85" fillId="0" borderId="1" xfId="0" applyFont="1" applyBorder="1" applyAlignment="1">
      <alignment horizontal="right" vertical="center" wrapText="1"/>
    </xf>
    <xf numFmtId="0" fontId="86" fillId="0" borderId="1" xfId="0" applyFont="1" applyBorder="1" applyAlignment="1">
      <alignment horizontal="center" vertical="top" wrapText="1"/>
    </xf>
    <xf numFmtId="0" fontId="85" fillId="0" borderId="1" xfId="0" applyFont="1" applyBorder="1" applyAlignment="1">
      <alignment horizontal="center" vertical="center"/>
    </xf>
    <xf numFmtId="0" fontId="85" fillId="0" borderId="1" xfId="0" applyFont="1" applyBorder="1" applyAlignment="1">
      <alignment horizontal="right" vertical="center"/>
    </xf>
    <xf numFmtId="0" fontId="78" fillId="0" borderId="1" xfId="0" applyFont="1" applyBorder="1" applyAlignment="1">
      <alignment horizontal="left" vertical="top" wrapText="1"/>
    </xf>
    <xf numFmtId="0" fontId="73" fillId="0" borderId="0" xfId="0" applyFont="1" applyAlignment="1">
      <alignment horizontal="left" vertical="top" wrapText="1"/>
    </xf>
    <xf numFmtId="0" fontId="74" fillId="0" borderId="1" xfId="0" applyFont="1" applyBorder="1" applyAlignment="1">
      <alignment vertical="center"/>
    </xf>
    <xf numFmtId="1" fontId="73" fillId="0" borderId="1" xfId="0" applyNumberFormat="1" applyFont="1" applyBorder="1" applyAlignment="1">
      <alignment horizontal="center" vertical="center"/>
    </xf>
    <xf numFmtId="165" fontId="72" fillId="9" borderId="1" xfId="1" applyNumberFormat="1" applyFont="1" applyFill="1" applyBorder="1" applyAlignment="1">
      <alignment horizontal="center" vertical="center"/>
    </xf>
    <xf numFmtId="165" fontId="72" fillId="9" borderId="1" xfId="1" applyNumberFormat="1" applyFont="1" applyFill="1" applyBorder="1" applyAlignment="1">
      <alignment horizontal="right" vertical="center"/>
    </xf>
    <xf numFmtId="165" fontId="73" fillId="0" borderId="1" xfId="1" applyNumberFormat="1" applyFont="1" applyBorder="1" applyAlignment="1">
      <alignment horizontal="center" vertical="center"/>
    </xf>
    <xf numFmtId="0" fontId="88" fillId="0" borderId="1" xfId="0" applyFont="1" applyBorder="1" applyAlignment="1">
      <alignment horizontal="center" vertical="center" wrapText="1"/>
    </xf>
    <xf numFmtId="0" fontId="74" fillId="9" borderId="1" xfId="0" applyFont="1" applyFill="1" applyBorder="1" applyAlignment="1">
      <alignment horizontal="left" vertical="top" wrapText="1"/>
    </xf>
    <xf numFmtId="0" fontId="73" fillId="9" borderId="1" xfId="0" applyFont="1" applyFill="1" applyBorder="1" applyAlignment="1">
      <alignment horizontal="center" vertical="center"/>
    </xf>
    <xf numFmtId="0" fontId="73" fillId="9" borderId="1" xfId="0" applyFont="1" applyFill="1" applyBorder="1" applyAlignment="1">
      <alignment horizontal="right" vertical="center"/>
    </xf>
    <xf numFmtId="1" fontId="73" fillId="9" borderId="1" xfId="0" applyNumberFormat="1" applyFont="1" applyFill="1" applyBorder="1" applyAlignment="1">
      <alignment horizontal="center" vertical="center"/>
    </xf>
    <xf numFmtId="0" fontId="74" fillId="10" borderId="1" xfId="0" applyFont="1" applyFill="1" applyBorder="1" applyAlignment="1">
      <alignment horizontal="left" vertical="top" wrapText="1"/>
    </xf>
    <xf numFmtId="4" fontId="72" fillId="10" borderId="1" xfId="0" applyNumberFormat="1" applyFont="1" applyFill="1" applyBorder="1" applyAlignment="1">
      <alignment horizontal="right" vertical="center"/>
    </xf>
    <xf numFmtId="1" fontId="72" fillId="10" borderId="1" xfId="0" applyNumberFormat="1" applyFont="1" applyFill="1" applyBorder="1" applyAlignment="1">
      <alignment horizontal="center" vertical="center"/>
    </xf>
    <xf numFmtId="165" fontId="72" fillId="10" borderId="1" xfId="1" applyNumberFormat="1" applyFont="1" applyFill="1" applyBorder="1" applyAlignment="1">
      <alignment horizontal="center" vertical="center"/>
    </xf>
    <xf numFmtId="165" fontId="72" fillId="10" borderId="1" xfId="1" applyNumberFormat="1" applyFont="1" applyFill="1" applyBorder="1" applyAlignment="1">
      <alignment horizontal="right" vertical="center"/>
    </xf>
    <xf numFmtId="0" fontId="78" fillId="11" borderId="1" xfId="0" applyFont="1" applyFill="1" applyBorder="1" applyAlignment="1">
      <alignment horizontal="right" vertical="top" wrapText="1"/>
    </xf>
    <xf numFmtId="0" fontId="72" fillId="11" borderId="1" xfId="0" applyFont="1" applyFill="1" applyBorder="1" applyAlignment="1">
      <alignment horizontal="center" vertical="center"/>
    </xf>
    <xf numFmtId="0" fontId="72" fillId="11" borderId="1" xfId="0" applyFont="1" applyFill="1" applyBorder="1" applyAlignment="1">
      <alignment horizontal="right" vertical="center"/>
    </xf>
    <xf numFmtId="3" fontId="89" fillId="11" borderId="1" xfId="0" applyNumberFormat="1" applyFont="1" applyFill="1" applyBorder="1" applyAlignment="1">
      <alignment horizontal="right" vertical="center"/>
    </xf>
    <xf numFmtId="1" fontId="89" fillId="11" borderId="1" xfId="0" applyNumberFormat="1" applyFont="1" applyFill="1" applyBorder="1" applyAlignment="1">
      <alignment horizontal="center" vertical="center"/>
    </xf>
    <xf numFmtId="165" fontId="89" fillId="11" borderId="1" xfId="1" applyNumberFormat="1" applyFont="1" applyFill="1" applyBorder="1" applyAlignment="1">
      <alignment horizontal="center" vertical="center"/>
    </xf>
    <xf numFmtId="165" fontId="89" fillId="11" borderId="1" xfId="1" applyNumberFormat="1" applyFont="1" applyFill="1" applyBorder="1" applyAlignment="1">
      <alignment horizontal="right" vertical="center"/>
    </xf>
    <xf numFmtId="0" fontId="74" fillId="8" borderId="1" xfId="0" applyFont="1" applyFill="1" applyBorder="1" applyAlignment="1">
      <alignment horizontal="left" vertical="top" wrapText="1"/>
    </xf>
    <xf numFmtId="0" fontId="73" fillId="8" borderId="1" xfId="0" applyFont="1" applyFill="1" applyBorder="1" applyAlignment="1">
      <alignment horizontal="center" vertical="center"/>
    </xf>
    <xf numFmtId="0" fontId="73" fillId="8" borderId="1" xfId="0" applyFont="1" applyFill="1" applyBorder="1" applyAlignment="1">
      <alignment horizontal="right" vertical="center"/>
    </xf>
    <xf numFmtId="1" fontId="73" fillId="8" borderId="1" xfId="0" applyNumberFormat="1" applyFont="1" applyFill="1" applyBorder="1" applyAlignment="1">
      <alignment horizontal="center" vertical="center"/>
    </xf>
    <xf numFmtId="165" fontId="73" fillId="8" borderId="1" xfId="1" applyNumberFormat="1" applyFont="1" applyFill="1" applyBorder="1" applyAlignment="1">
      <alignment horizontal="right" vertical="center"/>
    </xf>
    <xf numFmtId="165" fontId="72" fillId="8" borderId="1" xfId="1" applyNumberFormat="1" applyFont="1" applyFill="1" applyBorder="1" applyAlignment="1">
      <alignment horizontal="right" vertical="center"/>
    </xf>
    <xf numFmtId="165" fontId="73" fillId="8" borderId="1" xfId="1" applyNumberFormat="1" applyFont="1" applyFill="1" applyBorder="1" applyAlignment="1">
      <alignment horizontal="center" vertical="center"/>
    </xf>
    <xf numFmtId="0" fontId="74" fillId="0" borderId="0" xfId="0" applyFont="1" applyAlignment="1">
      <alignment horizontal="left" vertical="top" wrapText="1"/>
    </xf>
    <xf numFmtId="0" fontId="73" fillId="0" borderId="0" xfId="0" applyFont="1" applyAlignment="1">
      <alignment horizontal="right" vertical="center"/>
    </xf>
    <xf numFmtId="1" fontId="73" fillId="0" borderId="0" xfId="0" applyNumberFormat="1" applyFont="1" applyAlignment="1">
      <alignment horizontal="center" vertical="center"/>
    </xf>
    <xf numFmtId="1" fontId="73" fillId="0" borderId="0" xfId="0" applyNumberFormat="1" applyFont="1" applyAlignment="1">
      <alignment horizontal="left" vertical="center" wrapText="1"/>
    </xf>
    <xf numFmtId="2" fontId="73" fillId="0" borderId="0" xfId="0" applyNumberFormat="1" applyFont="1" applyAlignment="1">
      <alignment horizontal="center" vertical="center"/>
    </xf>
    <xf numFmtId="0" fontId="73" fillId="0" borderId="0" xfId="0" applyFont="1" applyAlignment="1">
      <alignment horizontal="left" vertical="center" wrapText="1"/>
    </xf>
    <xf numFmtId="180" fontId="73" fillId="0" borderId="0" xfId="0" applyNumberFormat="1" applyFont="1" applyAlignment="1">
      <alignment horizontal="left" vertical="top"/>
    </xf>
    <xf numFmtId="179" fontId="73" fillId="0" borderId="0" xfId="0" applyNumberFormat="1" applyFont="1" applyAlignment="1">
      <alignment horizontal="left" vertical="top"/>
    </xf>
    <xf numFmtId="0" fontId="74" fillId="2" borderId="1" xfId="0" applyFont="1" applyFill="1" applyBorder="1" applyAlignment="1">
      <alignment horizontal="left" vertical="top" wrapText="1"/>
    </xf>
    <xf numFmtId="0" fontId="73" fillId="29" borderId="1" xfId="0" applyFont="1" applyFill="1" applyBorder="1" applyAlignment="1">
      <alignment horizontal="center" vertical="center" wrapText="1"/>
    </xf>
    <xf numFmtId="0" fontId="74" fillId="29" borderId="1" xfId="2" applyFont="1" applyFill="1" applyBorder="1" applyAlignment="1">
      <alignment vertical="center" wrapText="1"/>
    </xf>
    <xf numFmtId="0" fontId="82" fillId="29" borderId="1" xfId="2" applyFont="1" applyFill="1" applyBorder="1" applyAlignment="1">
      <alignment horizontal="center" vertical="center" wrapText="1"/>
    </xf>
    <xf numFmtId="0" fontId="82" fillId="29" borderId="1" xfId="2" applyFont="1" applyFill="1" applyBorder="1" applyAlignment="1">
      <alignment horizontal="right" vertical="center" wrapText="1"/>
    </xf>
    <xf numFmtId="2" fontId="21" fillId="29" borderId="1" xfId="2" applyNumberFormat="1" applyFont="1" applyFill="1" applyBorder="1" applyAlignment="1">
      <alignment horizontal="center" vertical="center" wrapText="1"/>
    </xf>
    <xf numFmtId="1" fontId="73" fillId="29" borderId="1" xfId="0" applyNumberFormat="1" applyFont="1" applyFill="1" applyBorder="1" applyAlignment="1">
      <alignment horizontal="center" vertical="center" wrapText="1"/>
    </xf>
    <xf numFmtId="165" fontId="73" fillId="29" borderId="1" xfId="1" applyNumberFormat="1" applyFont="1" applyFill="1" applyBorder="1" applyAlignment="1">
      <alignment horizontal="right" vertical="center" wrapText="1"/>
    </xf>
    <xf numFmtId="165" fontId="73" fillId="29" borderId="1" xfId="1" applyNumberFormat="1" applyFont="1" applyFill="1" applyBorder="1" applyAlignment="1">
      <alignment horizontal="right" vertical="center" wrapText="1" shrinkToFit="1"/>
    </xf>
    <xf numFmtId="1" fontId="73" fillId="29" borderId="1" xfId="0" applyNumberFormat="1" applyFont="1" applyFill="1" applyBorder="1" applyAlignment="1">
      <alignment horizontal="left" vertical="center" wrapText="1"/>
    </xf>
    <xf numFmtId="0" fontId="73" fillId="29" borderId="5" xfId="0" applyFont="1" applyFill="1" applyBorder="1" applyAlignment="1">
      <alignment horizontal="center" vertical="center"/>
    </xf>
    <xf numFmtId="0" fontId="73" fillId="29" borderId="1" xfId="0" applyFont="1" applyFill="1" applyBorder="1" applyAlignment="1">
      <alignment horizontal="center" vertical="center"/>
    </xf>
    <xf numFmtId="0" fontId="73" fillId="29" borderId="1" xfId="0" applyFont="1" applyFill="1" applyBorder="1" applyAlignment="1">
      <alignment horizontal="left" vertical="top"/>
    </xf>
    <xf numFmtId="43" fontId="73" fillId="29" borderId="0" xfId="0" applyNumberFormat="1" applyFont="1" applyFill="1" applyAlignment="1">
      <alignment horizontal="center" vertical="center"/>
    </xf>
    <xf numFmtId="0" fontId="73" fillId="29" borderId="0" xfId="0" applyFont="1" applyFill="1" applyAlignment="1">
      <alignment horizontal="left" vertical="top"/>
    </xf>
    <xf numFmtId="1" fontId="73" fillId="29" borderId="1" xfId="0" applyNumberFormat="1" applyFont="1" applyFill="1" applyBorder="1" applyAlignment="1">
      <alignment horizontal="center" vertical="center" wrapText="1" shrinkToFit="1"/>
    </xf>
    <xf numFmtId="0" fontId="73" fillId="29" borderId="1" xfId="0" applyFont="1" applyFill="1" applyBorder="1" applyAlignment="1">
      <alignment horizontal="right" vertical="center" wrapText="1"/>
    </xf>
    <xf numFmtId="2" fontId="73" fillId="29" borderId="1" xfId="0" applyNumberFormat="1" applyFont="1" applyFill="1" applyBorder="1" applyAlignment="1">
      <alignment horizontal="center" vertical="center" wrapText="1"/>
    </xf>
    <xf numFmtId="165" fontId="73" fillId="29" borderId="1" xfId="1" applyNumberFormat="1" applyFont="1" applyFill="1" applyBorder="1" applyAlignment="1">
      <alignment horizontal="left" vertical="top"/>
    </xf>
    <xf numFmtId="0" fontId="83" fillId="29" borderId="1" xfId="2" applyFont="1" applyFill="1" applyBorder="1" applyAlignment="1">
      <alignment horizontal="center" vertical="center" wrapText="1"/>
    </xf>
    <xf numFmtId="0" fontId="83" fillId="29" borderId="1" xfId="2" applyFont="1" applyFill="1" applyBorder="1" applyAlignment="1">
      <alignment horizontal="right" vertical="center" wrapText="1"/>
    </xf>
    <xf numFmtId="2" fontId="19" fillId="29" borderId="1" xfId="2" applyNumberFormat="1" applyFont="1" applyFill="1" applyBorder="1" applyAlignment="1">
      <alignment horizontal="center" vertical="center" wrapText="1"/>
    </xf>
    <xf numFmtId="0" fontId="74" fillId="29" borderId="1" xfId="0" applyFont="1" applyFill="1" applyBorder="1" applyAlignment="1">
      <alignment vertical="top" wrapText="1"/>
    </xf>
    <xf numFmtId="0" fontId="74" fillId="29" borderId="1" xfId="0" applyFont="1" applyFill="1" applyBorder="1" applyAlignment="1">
      <alignment horizontal="left" vertical="top" wrapText="1"/>
    </xf>
    <xf numFmtId="0" fontId="74" fillId="29" borderId="1" xfId="2" applyFont="1" applyFill="1" applyBorder="1" applyAlignment="1">
      <alignment horizontal="left" vertical="top" wrapText="1"/>
    </xf>
    <xf numFmtId="2" fontId="74" fillId="29" borderId="1" xfId="0" applyNumberFormat="1" applyFont="1" applyFill="1" applyBorder="1" applyAlignment="1">
      <alignment horizontal="center" vertical="center" wrapText="1"/>
    </xf>
    <xf numFmtId="0" fontId="85" fillId="29" borderId="1" xfId="0" applyFont="1" applyFill="1" applyBorder="1" applyAlignment="1">
      <alignment horizontal="center" vertical="center" wrapText="1"/>
    </xf>
    <xf numFmtId="0" fontId="85" fillId="29" borderId="1" xfId="0" applyFont="1" applyFill="1" applyBorder="1" applyAlignment="1">
      <alignment horizontal="right" vertical="center" wrapText="1"/>
    </xf>
    <xf numFmtId="0" fontId="73" fillId="29" borderId="1" xfId="0" applyFont="1" applyFill="1" applyBorder="1" applyAlignment="1">
      <alignment horizontal="center" vertical="top"/>
    </xf>
    <xf numFmtId="0" fontId="86" fillId="29" borderId="1" xfId="0" applyFont="1" applyFill="1" applyBorder="1" applyAlignment="1">
      <alignment horizontal="center" vertical="top" wrapText="1"/>
    </xf>
    <xf numFmtId="0" fontId="86" fillId="29" borderId="1" xfId="0" applyFont="1" applyFill="1" applyBorder="1" applyAlignment="1">
      <alignment horizontal="center" vertical="center" wrapText="1"/>
    </xf>
    <xf numFmtId="0" fontId="85" fillId="29" borderId="1" xfId="0" applyFont="1" applyFill="1" applyBorder="1"/>
    <xf numFmtId="2" fontId="35" fillId="29" borderId="1" xfId="0" applyNumberFormat="1" applyFont="1" applyFill="1" applyBorder="1" applyAlignment="1">
      <alignment horizontal="center" vertical="center" wrapText="1"/>
    </xf>
    <xf numFmtId="1" fontId="86" fillId="29" borderId="1" xfId="0" applyNumberFormat="1" applyFont="1" applyFill="1" applyBorder="1" applyAlignment="1">
      <alignment horizontal="center" vertical="center" wrapText="1"/>
    </xf>
    <xf numFmtId="165" fontId="86" fillId="29" borderId="1" xfId="1" applyNumberFormat="1" applyFont="1" applyFill="1" applyBorder="1" applyAlignment="1">
      <alignment horizontal="right" vertical="center" wrapText="1"/>
    </xf>
    <xf numFmtId="165" fontId="35" fillId="29" borderId="1" xfId="1" applyNumberFormat="1" applyFont="1" applyFill="1" applyBorder="1" applyAlignment="1">
      <alignment horizontal="right" vertical="center" wrapText="1"/>
    </xf>
    <xf numFmtId="1" fontId="85" fillId="29" borderId="1" xfId="0" applyNumberFormat="1" applyFont="1" applyFill="1" applyBorder="1" applyAlignment="1">
      <alignment horizontal="left" vertical="center" wrapText="1"/>
    </xf>
    <xf numFmtId="0" fontId="85" fillId="29" borderId="0" xfId="0" applyFont="1" applyFill="1"/>
    <xf numFmtId="0" fontId="87" fillId="29" borderId="1" xfId="0" applyFont="1" applyFill="1" applyBorder="1" applyAlignment="1">
      <alignment horizontal="center" vertical="center" wrapText="1"/>
    </xf>
    <xf numFmtId="0" fontId="74" fillId="29" borderId="1" xfId="0" applyFont="1" applyFill="1" applyBorder="1" applyAlignment="1">
      <alignment horizontal="center" vertical="center" wrapText="1"/>
    </xf>
    <xf numFmtId="4" fontId="73" fillId="29" borderId="1" xfId="1" applyNumberFormat="1" applyFont="1" applyFill="1" applyBorder="1" applyAlignment="1">
      <alignment horizontal="right" vertical="center" wrapText="1"/>
    </xf>
    <xf numFmtId="4" fontId="73" fillId="29" borderId="1" xfId="0" applyNumberFormat="1" applyFont="1" applyFill="1" applyBorder="1" applyAlignment="1">
      <alignment horizontal="right" vertical="center" wrapText="1" shrinkToFit="1"/>
    </xf>
    <xf numFmtId="2" fontId="73" fillId="29" borderId="1" xfId="0" applyNumberFormat="1" applyFont="1" applyFill="1" applyBorder="1" applyAlignment="1">
      <alignment horizontal="center" vertical="center" wrapText="1" shrinkToFit="1"/>
    </xf>
    <xf numFmtId="0" fontId="73" fillId="29" borderId="0" xfId="0" applyFont="1" applyFill="1" applyAlignment="1">
      <alignment horizontal="center" vertical="center"/>
    </xf>
    <xf numFmtId="4" fontId="73" fillId="29" borderId="0" xfId="0" applyNumberFormat="1" applyFont="1" applyFill="1" applyAlignment="1">
      <alignment horizontal="center" vertical="center"/>
    </xf>
    <xf numFmtId="0" fontId="74" fillId="29" borderId="1" xfId="0" applyFont="1" applyFill="1" applyBorder="1" applyAlignment="1">
      <alignment vertical="center" wrapText="1"/>
    </xf>
    <xf numFmtId="0" fontId="85" fillId="29" borderId="1" xfId="0" applyFont="1" applyFill="1" applyBorder="1" applyAlignment="1">
      <alignment horizontal="center" vertical="center"/>
    </xf>
    <xf numFmtId="0" fontId="85" fillId="29" borderId="1" xfId="0" applyFont="1" applyFill="1" applyBorder="1" applyAlignment="1">
      <alignment horizontal="right" vertical="center"/>
    </xf>
    <xf numFmtId="2" fontId="73" fillId="29" borderId="1" xfId="0" applyNumberFormat="1" applyFont="1" applyFill="1" applyBorder="1" applyAlignment="1">
      <alignment horizontal="center" vertical="center"/>
    </xf>
    <xf numFmtId="165" fontId="73" fillId="0" borderId="5" xfId="1" applyNumberFormat="1" applyFont="1" applyBorder="1" applyAlignment="1">
      <alignment horizontal="right" vertical="center"/>
    </xf>
    <xf numFmtId="2" fontId="74" fillId="0" borderId="1" xfId="0" applyNumberFormat="1" applyFont="1" applyBorder="1" applyAlignment="1">
      <alignment horizontal="center" vertical="center" wrapText="1"/>
    </xf>
    <xf numFmtId="165" fontId="73" fillId="0" borderId="1" xfId="1" applyNumberFormat="1" applyFont="1" applyFill="1" applyBorder="1" applyAlignment="1">
      <alignment horizontal="right" vertical="center" wrapText="1"/>
    </xf>
    <xf numFmtId="165" fontId="73" fillId="0" borderId="1" xfId="1" applyNumberFormat="1" applyFont="1" applyFill="1" applyBorder="1" applyAlignment="1">
      <alignment horizontal="right" vertical="center" wrapText="1" shrinkToFit="1"/>
    </xf>
    <xf numFmtId="0" fontId="73" fillId="0" borderId="3" xfId="0" applyFont="1" applyBorder="1" applyAlignment="1">
      <alignment horizontal="left" vertical="center" wrapText="1"/>
    </xf>
    <xf numFmtId="0" fontId="73" fillId="0" borderId="6" xfId="0" applyFont="1" applyBorder="1" applyAlignment="1">
      <alignment horizontal="left" vertical="center" wrapText="1"/>
    </xf>
    <xf numFmtId="0" fontId="78" fillId="29" borderId="1" xfId="2" applyFont="1" applyFill="1" applyBorder="1" applyAlignment="1">
      <alignment vertical="center" wrapText="1"/>
    </xf>
    <xf numFmtId="0" fontId="78" fillId="29" borderId="1" xfId="0" applyFont="1" applyFill="1" applyBorder="1" applyAlignment="1">
      <alignment vertical="top" wrapText="1"/>
    </xf>
    <xf numFmtId="0" fontId="78" fillId="29" borderId="1" xfId="0" applyFont="1" applyFill="1" applyBorder="1" applyAlignment="1">
      <alignment horizontal="left" vertical="top" wrapText="1"/>
    </xf>
    <xf numFmtId="0" fontId="72" fillId="0" borderId="1" xfId="0" applyFont="1" applyBorder="1" applyAlignment="1">
      <alignment horizontal="left" vertical="top"/>
    </xf>
    <xf numFmtId="43" fontId="73" fillId="0" borderId="0" xfId="1" applyFont="1" applyAlignment="1">
      <alignment horizontal="left" vertical="top"/>
    </xf>
    <xf numFmtId="43" fontId="73" fillId="0" borderId="0" xfId="1" applyFont="1" applyAlignment="1">
      <alignment horizontal="center" vertical="center"/>
    </xf>
    <xf numFmtId="0" fontId="40" fillId="0" borderId="8" xfId="58" applyFont="1" applyBorder="1" applyAlignment="1">
      <alignment horizontal="center" vertical="center"/>
    </xf>
    <xf numFmtId="0" fontId="39" fillId="0" borderId="8" xfId="58" applyFont="1" applyBorder="1" applyAlignment="1">
      <alignment horizontal="center" vertical="center"/>
    </xf>
    <xf numFmtId="0" fontId="40" fillId="0" borderId="8" xfId="58" applyFont="1" applyBorder="1" applyAlignment="1">
      <alignment horizontal="center" vertical="center" wrapText="1"/>
    </xf>
    <xf numFmtId="0" fontId="40" fillId="0" borderId="11" xfId="58" applyFont="1" applyBorder="1" applyAlignment="1">
      <alignment horizontal="center" vertical="center" wrapText="1"/>
    </xf>
    <xf numFmtId="0" fontId="39" fillId="0" borderId="8" xfId="58" applyFont="1" applyBorder="1" applyAlignment="1">
      <alignment horizontal="center" vertical="center" wrapText="1"/>
    </xf>
    <xf numFmtId="0" fontId="28" fillId="0" borderId="1" xfId="0" applyFont="1" applyBorder="1" applyAlignment="1">
      <alignment horizontal="center" vertical="top" wrapText="1"/>
    </xf>
    <xf numFmtId="0" fontId="15" fillId="0" borderId="1" xfId="0" applyFont="1" applyBorder="1" applyAlignment="1">
      <alignment horizontal="center" vertical="center" wrapText="1"/>
    </xf>
    <xf numFmtId="0" fontId="7" fillId="0" borderId="1" xfId="0" applyFont="1" applyBorder="1" applyAlignment="1">
      <alignment horizontal="center" vertical="center" wrapText="1"/>
    </xf>
    <xf numFmtId="0" fontId="14" fillId="0" borderId="1" xfId="0" applyFont="1" applyBorder="1" applyAlignment="1">
      <alignment horizontal="center" vertical="top" wrapText="1"/>
    </xf>
    <xf numFmtId="0" fontId="16" fillId="0" borderId="1" xfId="0" applyFont="1" applyBorder="1" applyAlignment="1">
      <alignment horizontal="center" vertical="center" wrapText="1"/>
    </xf>
    <xf numFmtId="0" fontId="9" fillId="0" borderId="1" xfId="0" applyFont="1" applyBorder="1" applyAlignment="1">
      <alignment horizontal="center" vertical="top"/>
    </xf>
    <xf numFmtId="43" fontId="9" fillId="0" borderId="1" xfId="1" applyFont="1" applyBorder="1" applyAlignment="1">
      <alignment horizontal="center" vertical="center" wrapText="1"/>
    </xf>
    <xf numFmtId="0" fontId="73" fillId="0" borderId="3" xfId="0" applyFont="1" applyBorder="1" applyAlignment="1">
      <alignment horizontal="center" vertical="center" wrapText="1"/>
    </xf>
    <xf numFmtId="0" fontId="73" fillId="0" borderId="6" xfId="0" applyFont="1" applyBorder="1" applyAlignment="1">
      <alignment horizontal="center" vertical="center" wrapText="1"/>
    </xf>
    <xf numFmtId="0" fontId="73" fillId="0" borderId="3" xfId="0" applyFont="1" applyBorder="1" applyAlignment="1">
      <alignment horizontal="left" vertical="center" wrapText="1"/>
    </xf>
    <xf numFmtId="0" fontId="73" fillId="0" borderId="6" xfId="0" applyFont="1" applyBorder="1" applyAlignment="1">
      <alignment horizontal="left" vertical="center" wrapText="1"/>
    </xf>
    <xf numFmtId="0" fontId="78" fillId="0" borderId="1" xfId="0" applyFont="1" applyBorder="1" applyAlignment="1">
      <alignment horizontal="left" vertical="center" wrapText="1"/>
    </xf>
    <xf numFmtId="0" fontId="75" fillId="0" borderId="2" xfId="0" applyFont="1" applyBorder="1" applyAlignment="1">
      <alignment horizontal="center" vertical="center" wrapText="1"/>
    </xf>
    <xf numFmtId="0" fontId="75" fillId="0" borderId="4" xfId="0" applyFont="1" applyBorder="1" applyAlignment="1">
      <alignment horizontal="center" vertical="center" wrapText="1"/>
    </xf>
    <xf numFmtId="0" fontId="75" fillId="0" borderId="5" xfId="0" applyFont="1" applyBorder="1" applyAlignment="1">
      <alignment horizontal="center" vertical="center" wrapText="1"/>
    </xf>
    <xf numFmtId="0" fontId="73" fillId="0" borderId="1" xfId="0" applyFont="1" applyBorder="1" applyAlignment="1">
      <alignment horizontal="center" vertical="center" wrapText="1"/>
    </xf>
    <xf numFmtId="0" fontId="72" fillId="0" borderId="1" xfId="0" applyFont="1" applyBorder="1" applyAlignment="1">
      <alignment horizontal="center" vertical="center" wrapText="1"/>
    </xf>
    <xf numFmtId="0" fontId="76" fillId="0" borderId="1" xfId="0" applyFont="1" applyBorder="1" applyAlignment="1">
      <alignment horizontal="center" vertical="center" wrapText="1"/>
    </xf>
    <xf numFmtId="0" fontId="77" fillId="0" borderId="1" xfId="0" applyFont="1" applyBorder="1" applyAlignment="1">
      <alignment horizontal="center" vertical="top" wrapText="1"/>
    </xf>
    <xf numFmtId="0" fontId="77" fillId="0" borderId="1" xfId="0" applyFont="1" applyBorder="1" applyAlignment="1">
      <alignment horizontal="center" vertical="center" wrapText="1"/>
    </xf>
    <xf numFmtId="0" fontId="78" fillId="0" borderId="1" xfId="0" applyFont="1" applyBorder="1" applyAlignment="1">
      <alignment horizontal="center" vertical="center" wrapText="1"/>
    </xf>
    <xf numFmtId="0" fontId="38" fillId="0" borderId="1" xfId="0" applyFont="1" applyBorder="1" applyAlignment="1">
      <alignment horizontal="center" wrapText="1"/>
    </xf>
    <xf numFmtId="0" fontId="72" fillId="0" borderId="2" xfId="0" applyFont="1" applyBorder="1" applyAlignment="1">
      <alignment horizontal="center" wrapText="1"/>
    </xf>
    <xf numFmtId="0" fontId="72" fillId="0" borderId="4" xfId="0" applyFont="1" applyBorder="1" applyAlignment="1">
      <alignment horizontal="center" wrapText="1"/>
    </xf>
    <xf numFmtId="0" fontId="72" fillId="0" borderId="5" xfId="0" applyFont="1" applyBorder="1" applyAlignment="1">
      <alignment horizontal="center" wrapText="1"/>
    </xf>
    <xf numFmtId="0" fontId="10" fillId="0" borderId="12" xfId="14" applyFont="1" applyBorder="1" applyAlignment="1">
      <alignment horizontal="left" vertical="top" wrapText="1"/>
    </xf>
    <xf numFmtId="0" fontId="48" fillId="0" borderId="1" xfId="14" applyFont="1" applyBorder="1" applyAlignment="1">
      <alignment horizontal="left" vertical="top" wrapText="1"/>
    </xf>
    <xf numFmtId="2" fontId="10" fillId="0" borderId="12" xfId="14" applyNumberFormat="1" applyFont="1" applyBorder="1" applyAlignment="1">
      <alignment horizontal="center" vertical="top" wrapText="1"/>
    </xf>
    <xf numFmtId="1" fontId="53" fillId="0" borderId="12" xfId="14" applyNumberFormat="1" applyFont="1" applyBorder="1" applyAlignment="1">
      <alignment horizontal="center" vertical="top" wrapText="1"/>
    </xf>
    <xf numFmtId="0" fontId="51" fillId="0" borderId="0" xfId="14" applyFont="1" applyAlignment="1">
      <alignment horizontal="center"/>
    </xf>
    <xf numFmtId="0" fontId="50" fillId="5" borderId="1" xfId="6" applyFont="1" applyFill="1" applyBorder="1" applyAlignment="1">
      <alignment horizontal="left" vertical="top" wrapText="1"/>
    </xf>
    <xf numFmtId="2" fontId="0" fillId="5" borderId="1" xfId="0" quotePrefix="1" applyNumberFormat="1" applyFill="1" applyBorder="1" applyAlignment="1">
      <alignment horizontal="left" vertical="top" wrapText="1"/>
    </xf>
    <xf numFmtId="2" fontId="10" fillId="5" borderId="1" xfId="0" quotePrefix="1" applyNumberFormat="1" applyFont="1" applyFill="1" applyBorder="1" applyAlignment="1">
      <alignment horizontal="left" vertical="top" wrapText="1"/>
    </xf>
    <xf numFmtId="0" fontId="53" fillId="5" borderId="1" xfId="0" applyFont="1" applyFill="1" applyBorder="1" applyAlignment="1">
      <alignment horizontal="right" vertical="top" wrapText="1"/>
    </xf>
    <xf numFmtId="0" fontId="53" fillId="5" borderId="1" xfId="0" applyFont="1" applyFill="1" applyBorder="1" applyAlignment="1">
      <alignment horizontal="right" vertical="center" wrapText="1"/>
    </xf>
    <xf numFmtId="2" fontId="0" fillId="5" borderId="1" xfId="0" applyNumberFormat="1" applyFill="1" applyBorder="1" applyAlignment="1">
      <alignment horizontal="left" vertical="top" wrapText="1"/>
    </xf>
    <xf numFmtId="2" fontId="10" fillId="5" borderId="1" xfId="0" applyNumberFormat="1" applyFont="1" applyFill="1" applyBorder="1" applyAlignment="1">
      <alignment horizontal="left" vertical="top" wrapText="1"/>
    </xf>
    <xf numFmtId="168" fontId="53" fillId="5" borderId="1" xfId="0" quotePrefix="1" applyNumberFormat="1" applyFont="1" applyFill="1" applyBorder="1" applyAlignment="1">
      <alignment horizontal="right" vertical="top" wrapText="1"/>
    </xf>
    <xf numFmtId="168" fontId="10" fillId="5" borderId="1" xfId="0" applyNumberFormat="1" applyFont="1" applyFill="1" applyBorder="1" applyAlignment="1">
      <alignment horizontal="center" vertical="top" wrapText="1"/>
    </xf>
    <xf numFmtId="0" fontId="10" fillId="5" borderId="1" xfId="0" applyFont="1" applyFill="1" applyBorder="1" applyAlignment="1">
      <alignment horizontal="center" vertical="top" wrapText="1"/>
    </xf>
    <xf numFmtId="0" fontId="53" fillId="5" borderId="2" xfId="0" applyFont="1" applyFill="1" applyBorder="1" applyAlignment="1">
      <alignment horizontal="left" vertical="top" wrapText="1"/>
    </xf>
    <xf numFmtId="0" fontId="53" fillId="5" borderId="4" xfId="0" applyFont="1" applyFill="1" applyBorder="1" applyAlignment="1">
      <alignment horizontal="left" vertical="top" wrapText="1"/>
    </xf>
    <xf numFmtId="0" fontId="53" fillId="5" borderId="5" xfId="0" applyFont="1" applyFill="1" applyBorder="1" applyAlignment="1">
      <alignment horizontal="left" vertical="top" wrapText="1"/>
    </xf>
    <xf numFmtId="0" fontId="0" fillId="5" borderId="1" xfId="0" applyFill="1" applyBorder="1" applyAlignment="1">
      <alignment horizontal="justify" vertical="top" wrapText="1"/>
    </xf>
    <xf numFmtId="0" fontId="10" fillId="5" borderId="1" xfId="0" applyFont="1" applyFill="1" applyBorder="1" applyAlignment="1">
      <alignment horizontal="justify" vertical="top" wrapText="1"/>
    </xf>
    <xf numFmtId="0" fontId="53" fillId="5" borderId="1" xfId="0" applyFont="1" applyFill="1" applyBorder="1" applyAlignment="1">
      <alignment horizontal="center" vertical="top" wrapText="1"/>
    </xf>
    <xf numFmtId="0" fontId="59" fillId="5" borderId="1" xfId="17" applyFont="1" applyFill="1" applyBorder="1" applyAlignment="1">
      <alignment horizontal="justify" vertical="top" wrapText="1"/>
    </xf>
    <xf numFmtId="0" fontId="60" fillId="5" borderId="1" xfId="17" applyFont="1" applyFill="1" applyBorder="1" applyAlignment="1">
      <alignment horizontal="justify" vertical="top" wrapText="1"/>
    </xf>
    <xf numFmtId="0" fontId="60" fillId="5" borderId="1" xfId="2" applyFont="1" applyFill="1" applyBorder="1"/>
    <xf numFmtId="0" fontId="59" fillId="5" borderId="1" xfId="2" applyFont="1" applyFill="1" applyBorder="1" applyAlignment="1">
      <alignment horizontal="justify" vertical="top" wrapText="1"/>
    </xf>
    <xf numFmtId="0" fontId="60" fillId="5" borderId="1" xfId="2" applyFont="1" applyFill="1" applyBorder="1" applyAlignment="1">
      <alignment horizontal="center" vertical="center" wrapText="1"/>
    </xf>
    <xf numFmtId="0" fontId="60" fillId="24" borderId="1" xfId="2" applyFont="1" applyFill="1" applyBorder="1" applyAlignment="1">
      <alignment horizontal="center" vertical="center" wrapText="1"/>
    </xf>
    <xf numFmtId="0" fontId="59" fillId="5" borderId="1" xfId="2" applyFont="1" applyFill="1" applyBorder="1" applyAlignment="1">
      <alignment horizontal="justify" vertical="center" wrapText="1"/>
    </xf>
    <xf numFmtId="0" fontId="60" fillId="5" borderId="1" xfId="2" applyFont="1" applyFill="1" applyBorder="1" applyAlignment="1">
      <alignment horizontal="center" vertical="center"/>
    </xf>
    <xf numFmtId="0" fontId="59" fillId="17" borderId="1" xfId="2" applyFont="1" applyFill="1" applyBorder="1" applyAlignment="1">
      <alignment horizontal="justify" vertical="top" wrapText="1"/>
    </xf>
    <xf numFmtId="0" fontId="59" fillId="13" borderId="1" xfId="2" applyFont="1" applyFill="1" applyBorder="1" applyAlignment="1">
      <alignment horizontal="left" vertical="top" wrapText="1"/>
    </xf>
    <xf numFmtId="0" fontId="59" fillId="5" borderId="1" xfId="2" applyFont="1" applyFill="1" applyBorder="1" applyAlignment="1">
      <alignment horizontal="center" vertical="center"/>
    </xf>
    <xf numFmtId="0" fontId="60" fillId="22" borderId="1" xfId="2" applyFont="1" applyFill="1" applyBorder="1" applyAlignment="1">
      <alignment horizontal="center" vertical="center"/>
    </xf>
    <xf numFmtId="0" fontId="59" fillId="22" borderId="1" xfId="2" applyFont="1" applyFill="1" applyBorder="1" applyAlignment="1">
      <alignment horizontal="justify" vertical="top" wrapText="1"/>
    </xf>
    <xf numFmtId="0" fontId="60" fillId="5" borderId="1" xfId="2" applyFont="1" applyFill="1" applyBorder="1" applyAlignment="1">
      <alignment horizontal="center" vertical="center" shrinkToFit="1"/>
    </xf>
    <xf numFmtId="0" fontId="60" fillId="18" borderId="1" xfId="2" applyFont="1" applyFill="1" applyBorder="1" applyAlignment="1">
      <alignment horizontal="center" vertical="center"/>
    </xf>
    <xf numFmtId="0" fontId="60" fillId="18" borderId="1" xfId="2" applyFont="1" applyFill="1" applyBorder="1" applyAlignment="1">
      <alignment horizontal="justify" vertical="top" wrapText="1"/>
    </xf>
    <xf numFmtId="0" fontId="59" fillId="18" borderId="1" xfId="2" applyFont="1" applyFill="1" applyBorder="1" applyAlignment="1">
      <alignment horizontal="justify" vertical="top" wrapText="1"/>
    </xf>
    <xf numFmtId="0" fontId="59" fillId="18" borderId="1" xfId="2" applyFont="1" applyFill="1" applyBorder="1" applyAlignment="1">
      <alignment horizontal="center" vertical="center"/>
    </xf>
    <xf numFmtId="0" fontId="60" fillId="5" borderId="1" xfId="2" applyFont="1" applyFill="1" applyBorder="1" applyAlignment="1">
      <alignment horizontal="justify" vertical="top" wrapText="1"/>
    </xf>
    <xf numFmtId="1" fontId="60" fillId="5" borderId="1" xfId="2" applyNumberFormat="1" applyFont="1" applyFill="1" applyBorder="1" applyAlignment="1">
      <alignment horizontal="center" vertical="center"/>
    </xf>
    <xf numFmtId="0" fontId="59" fillId="5" borderId="1" xfId="2" applyFont="1" applyFill="1" applyBorder="1" applyAlignment="1">
      <alignment horizontal="center" vertical="center" textRotation="90"/>
    </xf>
    <xf numFmtId="0" fontId="59" fillId="5" borderId="1" xfId="2" applyFont="1" applyFill="1" applyBorder="1" applyAlignment="1">
      <alignment horizontal="left" vertical="top" wrapText="1"/>
    </xf>
    <xf numFmtId="0" fontId="59" fillId="5" borderId="1" xfId="2" applyFont="1" applyFill="1" applyBorder="1" applyAlignment="1">
      <alignment horizontal="center" vertical="top" wrapText="1"/>
    </xf>
    <xf numFmtId="0" fontId="60" fillId="5" borderId="1" xfId="2" applyFont="1" applyFill="1" applyBorder="1" applyAlignment="1">
      <alignment horizontal="left" vertical="top" wrapText="1"/>
    </xf>
    <xf numFmtId="0" fontId="59" fillId="5" borderId="1" xfId="2" applyFont="1" applyFill="1" applyBorder="1" applyAlignment="1">
      <alignment horizontal="justify" wrapText="1"/>
    </xf>
    <xf numFmtId="0" fontId="60" fillId="17" borderId="1" xfId="2" applyFont="1" applyFill="1" applyBorder="1" applyAlignment="1">
      <alignment horizontal="justify" vertical="top" wrapText="1"/>
    </xf>
    <xf numFmtId="0" fontId="60" fillId="5" borderId="1" xfId="2" applyFont="1" applyFill="1" applyBorder="1" applyAlignment="1">
      <alignment horizontal="justify" vertical="center" wrapText="1"/>
    </xf>
    <xf numFmtId="0" fontId="62" fillId="5" borderId="1" xfId="2" applyFont="1" applyFill="1" applyBorder="1" applyAlignment="1">
      <alignment horizontal="left" vertical="top" wrapText="1"/>
    </xf>
    <xf numFmtId="0" fontId="60" fillId="5" borderId="1" xfId="2" applyFont="1" applyFill="1" applyBorder="1" applyAlignment="1">
      <alignment horizontal="justify" wrapText="1"/>
    </xf>
    <xf numFmtId="1" fontId="60" fillId="5" borderId="1" xfId="2" applyNumberFormat="1" applyFont="1" applyFill="1" applyBorder="1" applyAlignment="1">
      <alignment horizontal="center" vertical="center" shrinkToFit="1"/>
    </xf>
    <xf numFmtId="2" fontId="59" fillId="5" borderId="1" xfId="2" applyNumberFormat="1" applyFont="1" applyFill="1" applyBorder="1" applyAlignment="1">
      <alignment horizontal="center" vertical="center" shrinkToFit="1"/>
    </xf>
    <xf numFmtId="0" fontId="60" fillId="13" borderId="1" xfId="2" applyFont="1" applyFill="1" applyBorder="1" applyAlignment="1">
      <alignment horizontal="justify" vertical="top" wrapText="1"/>
    </xf>
    <xf numFmtId="2" fontId="60" fillId="5" borderId="1" xfId="2" applyNumberFormat="1" applyFont="1" applyFill="1" applyBorder="1" applyAlignment="1">
      <alignment horizontal="justify" vertical="top" wrapText="1"/>
    </xf>
    <xf numFmtId="2" fontId="60" fillId="5" borderId="1" xfId="2" applyNumberFormat="1" applyFont="1" applyFill="1" applyBorder="1" applyAlignment="1">
      <alignment horizontal="center" vertical="center"/>
    </xf>
    <xf numFmtId="0" fontId="59" fillId="5" borderId="1" xfId="2" applyFont="1" applyFill="1" applyBorder="1" applyAlignment="1">
      <alignment horizontal="center" vertical="top"/>
    </xf>
    <xf numFmtId="1" fontId="59" fillId="5" borderId="1" xfId="2" applyNumberFormat="1" applyFont="1" applyFill="1" applyBorder="1" applyAlignment="1">
      <alignment horizontal="center" vertical="center"/>
    </xf>
    <xf numFmtId="2" fontId="59" fillId="5" borderId="1" xfId="2" applyNumberFormat="1" applyFont="1" applyFill="1" applyBorder="1" applyAlignment="1">
      <alignment horizontal="center" vertical="center"/>
    </xf>
    <xf numFmtId="0" fontId="59" fillId="5" borderId="1" xfId="2" applyFont="1" applyFill="1" applyBorder="1" applyAlignment="1">
      <alignment horizontal="justify" vertical="top"/>
    </xf>
    <xf numFmtId="0" fontId="59" fillId="5" borderId="1" xfId="2" applyFont="1" applyFill="1" applyBorder="1" applyAlignment="1">
      <alignment horizontal="left" vertical="center" wrapText="1"/>
    </xf>
    <xf numFmtId="2" fontId="59" fillId="5" borderId="1" xfId="2" applyNumberFormat="1" applyFont="1" applyFill="1" applyBorder="1" applyAlignment="1">
      <alignment horizontal="center" vertical="center" wrapText="1"/>
    </xf>
    <xf numFmtId="0" fontId="59" fillId="5" borderId="1" xfId="2" applyFont="1" applyFill="1" applyBorder="1" applyAlignment="1">
      <alignment horizontal="right" vertical="center" wrapText="1"/>
    </xf>
    <xf numFmtId="2" fontId="60" fillId="5" borderId="1" xfId="2" applyNumberFormat="1" applyFont="1" applyFill="1" applyBorder="1" applyAlignment="1">
      <alignment horizontal="left" vertical="top" wrapText="1"/>
    </xf>
    <xf numFmtId="0" fontId="62" fillId="5" borderId="1" xfId="2" applyFont="1" applyFill="1" applyBorder="1" applyAlignment="1">
      <alignment horizontal="center" vertical="center" wrapText="1"/>
    </xf>
    <xf numFmtId="0" fontId="62" fillId="5" borderId="1" xfId="2" applyFont="1" applyFill="1" applyBorder="1" applyAlignment="1">
      <alignment horizontal="center" vertical="top" wrapText="1"/>
    </xf>
    <xf numFmtId="1" fontId="59" fillId="5" borderId="1" xfId="2" applyNumberFormat="1" applyFont="1" applyFill="1" applyBorder="1" applyAlignment="1">
      <alignment horizontal="center" vertical="center" wrapText="1"/>
    </xf>
    <xf numFmtId="0" fontId="59" fillId="5" borderId="1" xfId="2" applyFont="1" applyFill="1" applyBorder="1" applyAlignment="1">
      <alignment horizontal="center" vertical="center" wrapText="1"/>
    </xf>
    <xf numFmtId="2" fontId="10" fillId="5" borderId="1" xfId="17" quotePrefix="1" applyNumberFormat="1" applyFill="1" applyBorder="1" applyAlignment="1">
      <alignment horizontal="left" vertical="top" wrapText="1"/>
    </xf>
    <xf numFmtId="168" fontId="10" fillId="5" borderId="1" xfId="17" applyNumberFormat="1" applyFill="1" applyBorder="1" applyAlignment="1">
      <alignment horizontal="center" vertical="top" wrapText="1"/>
    </xf>
    <xf numFmtId="0" fontId="10" fillId="5" borderId="1" xfId="17" applyFill="1" applyBorder="1" applyAlignment="1">
      <alignment horizontal="center" vertical="top" wrapText="1"/>
    </xf>
    <xf numFmtId="0" fontId="53" fillId="5" borderId="1" xfId="17" applyFont="1" applyFill="1" applyBorder="1" applyAlignment="1">
      <alignment horizontal="right" vertical="top" wrapText="1"/>
    </xf>
    <xf numFmtId="0" fontId="53" fillId="5" borderId="1" xfId="17" applyFont="1" applyFill="1" applyBorder="1" applyAlignment="1">
      <alignment horizontal="right" vertical="center" wrapText="1"/>
    </xf>
    <xf numFmtId="2" fontId="10" fillId="5" borderId="1" xfId="17" applyNumberFormat="1" applyFill="1" applyBorder="1" applyAlignment="1">
      <alignment horizontal="left" vertical="top" wrapText="1"/>
    </xf>
    <xf numFmtId="168" fontId="53" fillId="5" borderId="1" xfId="17" quotePrefix="1" applyNumberFormat="1" applyFont="1" applyFill="1" applyBorder="1" applyAlignment="1">
      <alignment horizontal="right" vertical="top" wrapText="1"/>
    </xf>
    <xf numFmtId="0" fontId="53" fillId="5" borderId="1" xfId="17" applyFont="1" applyFill="1" applyBorder="1" applyAlignment="1">
      <alignment horizontal="justify" vertical="top" wrapText="1"/>
    </xf>
    <xf numFmtId="0" fontId="10" fillId="5" borderId="1" xfId="17" applyFill="1" applyBorder="1" applyAlignment="1">
      <alignment horizontal="justify" vertical="top" wrapText="1"/>
    </xf>
    <xf numFmtId="0" fontId="60" fillId="0" borderId="0" xfId="2" applyFont="1"/>
    <xf numFmtId="0" fontId="53" fillId="5" borderId="1" xfId="17" applyFont="1" applyFill="1" applyBorder="1" applyAlignment="1">
      <alignment horizontal="center" vertical="top" wrapText="1"/>
    </xf>
    <xf numFmtId="0" fontId="64" fillId="0" borderId="0" xfId="2" applyFont="1"/>
    <xf numFmtId="0" fontId="71" fillId="0" borderId="18" xfId="2" applyFont="1" applyBorder="1" applyAlignment="1">
      <alignment horizontal="justify" vertical="top" wrapText="1"/>
    </xf>
    <xf numFmtId="0" fontId="60" fillId="5" borderId="1" xfId="2" applyFont="1" applyFill="1" applyBorder="1" applyAlignment="1">
      <alignment horizontal="center" vertical="top"/>
    </xf>
    <xf numFmtId="0" fontId="0" fillId="5" borderId="1" xfId="2" applyFont="1" applyFill="1" applyBorder="1" applyAlignment="1">
      <alignment horizontal="justify" vertical="top" wrapText="1"/>
    </xf>
    <xf numFmtId="0" fontId="10" fillId="5" borderId="1" xfId="2" applyFill="1" applyBorder="1" applyAlignment="1">
      <alignment horizontal="justify" vertical="top" wrapText="1"/>
    </xf>
    <xf numFmtId="2" fontId="64" fillId="0" borderId="18" xfId="2" applyNumberFormat="1" applyFont="1" applyBorder="1" applyAlignment="1">
      <alignment horizontal="left" vertical="top" wrapText="1"/>
    </xf>
    <xf numFmtId="2" fontId="64" fillId="0" borderId="18" xfId="2" applyNumberFormat="1" applyFont="1" applyBorder="1" applyAlignment="1">
      <alignment horizontal="center" vertical="top" wrapText="1"/>
    </xf>
    <xf numFmtId="166" fontId="71" fillId="0" borderId="18" xfId="2" applyNumberFormat="1" applyFont="1" applyBorder="1" applyAlignment="1">
      <alignment horizontal="right" vertical="top" wrapText="1"/>
    </xf>
    <xf numFmtId="0" fontId="71" fillId="0" borderId="18" xfId="2" applyFont="1" applyBorder="1" applyAlignment="1">
      <alignment horizontal="left" vertical="top" wrapText="1"/>
    </xf>
    <xf numFmtId="0" fontId="64" fillId="0" borderId="0" xfId="2" applyFont="1" applyAlignment="1">
      <alignment wrapText="1"/>
    </xf>
    <xf numFmtId="0" fontId="64" fillId="0" borderId="18" xfId="2" applyFont="1" applyBorder="1" applyAlignment="1">
      <alignment horizontal="left" vertical="top" wrapText="1"/>
    </xf>
    <xf numFmtId="0" fontId="65" fillId="0" borderId="14" xfId="2" applyFont="1" applyBorder="1" applyAlignment="1">
      <alignment horizontal="right" vertical="center" wrapText="1"/>
    </xf>
    <xf numFmtId="0" fontId="71" fillId="0" borderId="18" xfId="2" applyFont="1" applyBorder="1" applyAlignment="1">
      <alignment horizontal="right" vertical="center" wrapText="1"/>
    </xf>
    <xf numFmtId="0" fontId="71" fillId="0" borderId="0" xfId="2" applyFont="1"/>
    <xf numFmtId="0" fontId="63" fillId="0" borderId="14" xfId="2" applyFont="1" applyBorder="1" applyAlignment="1">
      <alignment horizontal="center" vertical="top"/>
    </xf>
    <xf numFmtId="0" fontId="65" fillId="0" borderId="14" xfId="2" applyFont="1" applyBorder="1" applyAlignment="1">
      <alignment horizontal="justify" vertical="top" wrapText="1"/>
    </xf>
    <xf numFmtId="0" fontId="63" fillId="0" borderId="14" xfId="2" applyFont="1" applyBorder="1"/>
    <xf numFmtId="0" fontId="64" fillId="0" borderId="14" xfId="2" applyFont="1" applyBorder="1" applyAlignment="1">
      <alignment horizontal="center" vertical="top"/>
    </xf>
    <xf numFmtId="0" fontId="71" fillId="0" borderId="14" xfId="2" applyFont="1" applyBorder="1" applyAlignment="1">
      <alignment horizontal="justify" vertical="top" wrapText="1"/>
    </xf>
    <xf numFmtId="0" fontId="71" fillId="0" borderId="14" xfId="2" applyFont="1" applyBorder="1" applyAlignment="1">
      <alignment horizontal="right" vertical="center" wrapText="1"/>
    </xf>
    <xf numFmtId="0" fontId="60" fillId="5" borderId="1" xfId="2" applyFont="1" applyFill="1" applyBorder="1" applyAlignment="1">
      <alignment horizontal="center" vertical="top" wrapText="1"/>
    </xf>
    <xf numFmtId="0" fontId="59" fillId="5" borderId="1" xfId="2" applyFont="1" applyFill="1" applyBorder="1" applyAlignment="1">
      <alignment wrapText="1"/>
    </xf>
    <xf numFmtId="2" fontId="59" fillId="5" borderId="1" xfId="2" applyNumberFormat="1" applyFont="1" applyFill="1" applyBorder="1" applyAlignment="1">
      <alignment horizontal="right" vertical="top" wrapText="1"/>
    </xf>
    <xf numFmtId="166" fontId="59" fillId="5" borderId="1" xfId="2" applyNumberFormat="1" applyFont="1" applyFill="1" applyBorder="1" applyAlignment="1">
      <alignment horizontal="right" vertical="top" wrapText="1"/>
    </xf>
    <xf numFmtId="2" fontId="60" fillId="5" borderId="1" xfId="2" applyNumberFormat="1" applyFont="1" applyFill="1" applyBorder="1" applyAlignment="1">
      <alignment horizontal="center" vertical="top" wrapText="1"/>
    </xf>
    <xf numFmtId="168" fontId="59" fillId="5" borderId="1" xfId="2" applyNumberFormat="1" applyFont="1" applyFill="1" applyBorder="1" applyAlignment="1">
      <alignment horizontal="right" vertical="top" wrapText="1"/>
    </xf>
    <xf numFmtId="168" fontId="60" fillId="5" borderId="1" xfId="2" applyNumberFormat="1" applyFont="1" applyFill="1" applyBorder="1" applyAlignment="1">
      <alignment horizontal="right" vertical="top" wrapText="1"/>
    </xf>
    <xf numFmtId="0" fontId="60" fillId="5" borderId="1" xfId="2" applyFont="1" applyFill="1" applyBorder="1" applyAlignment="1">
      <alignment horizontal="right" vertical="top" wrapText="1"/>
    </xf>
    <xf numFmtId="0" fontId="59" fillId="5" borderId="1" xfId="2" applyFont="1" applyFill="1" applyBorder="1" applyAlignment="1">
      <alignment horizontal="right" vertical="top" wrapText="1"/>
    </xf>
    <xf numFmtId="166" fontId="60" fillId="5" borderId="1" xfId="2" applyNumberFormat="1" applyFont="1" applyFill="1" applyBorder="1" applyAlignment="1">
      <alignment horizontal="left" vertical="top" wrapText="1"/>
    </xf>
    <xf numFmtId="0" fontId="59" fillId="0" borderId="19" xfId="2" applyFont="1" applyBorder="1" applyAlignment="1">
      <alignment horizontal="justify" vertical="top" wrapText="1"/>
    </xf>
    <xf numFmtId="168" fontId="60" fillId="5" borderId="1" xfId="2" applyNumberFormat="1" applyFont="1" applyFill="1" applyBorder="1" applyAlignment="1">
      <alignment horizontal="center" vertical="top" wrapText="1"/>
    </xf>
    <xf numFmtId="170" fontId="59" fillId="5" borderId="1" xfId="2" applyNumberFormat="1" applyFont="1" applyFill="1" applyBorder="1" applyAlignment="1">
      <alignment horizontal="right" vertical="top" wrapText="1"/>
    </xf>
    <xf numFmtId="0" fontId="62" fillId="5" borderId="1" xfId="2" applyFont="1" applyFill="1" applyBorder="1" applyAlignment="1">
      <alignment horizontal="center" vertical="center"/>
    </xf>
  </cellXfs>
  <cellStyles count="60">
    <cellStyle name="20% - Accent6 23 4" xfId="2" xr:uid="{00000000-0005-0000-0000-000000000000}"/>
    <cellStyle name="Comma" xfId="1" builtinId="3"/>
    <cellStyle name="Comma 2" xfId="7" xr:uid="{00000000-0005-0000-0000-000002000000}"/>
    <cellStyle name="Comma 3" xfId="5" xr:uid="{00000000-0005-0000-0000-000003000000}"/>
    <cellStyle name="Comma 4" xfId="11" xr:uid="{00000000-0005-0000-0000-000004000000}"/>
    <cellStyle name="Comma 4 2" xfId="59" xr:uid="{9E4CB4BA-15E4-4B1C-9215-A342F3CB8FBB}"/>
    <cellStyle name="Excel Built-in Normal" xfId="15" xr:uid="{00000000-0005-0000-0000-000005000000}"/>
    <cellStyle name="Excel Built-in Normal 1" xfId="6" xr:uid="{00000000-0005-0000-0000-000006000000}"/>
    <cellStyle name="Excel Built-in Normal 2" xfId="16" xr:uid="{00000000-0005-0000-0000-000007000000}"/>
    <cellStyle name="Normal" xfId="0" builtinId="0"/>
    <cellStyle name="Normal - Style1" xfId="17" xr:uid="{00000000-0005-0000-0000-000009000000}"/>
    <cellStyle name="Normal 10" xfId="18" xr:uid="{00000000-0005-0000-0000-00000A000000}"/>
    <cellStyle name="Normal 10 2" xfId="19" xr:uid="{00000000-0005-0000-0000-00000B000000}"/>
    <cellStyle name="Normal 155 2" xfId="20" xr:uid="{00000000-0005-0000-0000-00000C000000}"/>
    <cellStyle name="Normal 159" xfId="21" xr:uid="{00000000-0005-0000-0000-00000D000000}"/>
    <cellStyle name="Normal 163" xfId="22" xr:uid="{00000000-0005-0000-0000-00000E000000}"/>
    <cellStyle name="Normal 187" xfId="8" xr:uid="{00000000-0005-0000-0000-00000F000000}"/>
    <cellStyle name="Normal 19 2 2 5" xfId="23" xr:uid="{00000000-0005-0000-0000-000010000000}"/>
    <cellStyle name="Normal 191" xfId="24" xr:uid="{00000000-0005-0000-0000-000011000000}"/>
    <cellStyle name="Normal 2" xfId="4" xr:uid="{00000000-0005-0000-0000-000012000000}"/>
    <cellStyle name="Normal 2 10" xfId="25" xr:uid="{00000000-0005-0000-0000-000013000000}"/>
    <cellStyle name="Normal 2 10 2 3" xfId="26" xr:uid="{00000000-0005-0000-0000-000014000000}"/>
    <cellStyle name="Normal 2 2" xfId="3" xr:uid="{00000000-0005-0000-0000-000015000000}"/>
    <cellStyle name="Normal 2 2 2" xfId="27" xr:uid="{00000000-0005-0000-0000-000016000000}"/>
    <cellStyle name="Normal 2 3 2 2" xfId="28" xr:uid="{00000000-0005-0000-0000-000017000000}"/>
    <cellStyle name="Normal 2 3 2 2 2 2" xfId="29" xr:uid="{00000000-0005-0000-0000-000018000000}"/>
    <cellStyle name="Normal 2 4 2" xfId="30" xr:uid="{00000000-0005-0000-0000-000019000000}"/>
    <cellStyle name="Normal 21" xfId="31" xr:uid="{00000000-0005-0000-0000-00001A000000}"/>
    <cellStyle name="Normal 26" xfId="32" xr:uid="{00000000-0005-0000-0000-00001B000000}"/>
    <cellStyle name="Normal 26 2" xfId="33" xr:uid="{00000000-0005-0000-0000-00001C000000}"/>
    <cellStyle name="Normal 26 4" xfId="34" xr:uid="{00000000-0005-0000-0000-00001D000000}"/>
    <cellStyle name="Normal 3" xfId="10" xr:uid="{00000000-0005-0000-0000-00001E000000}"/>
    <cellStyle name="Normal 3 10 5 2 2" xfId="35" xr:uid="{00000000-0005-0000-0000-00001F000000}"/>
    <cellStyle name="Normal 3 10 5 2 3" xfId="36" xr:uid="{00000000-0005-0000-0000-000020000000}"/>
    <cellStyle name="Normal 3 10 5 3" xfId="37" xr:uid="{00000000-0005-0000-0000-000021000000}"/>
    <cellStyle name="Normal 3 10 6" xfId="38" xr:uid="{00000000-0005-0000-0000-000022000000}"/>
    <cellStyle name="Normal 3 10 6 2 2" xfId="39" xr:uid="{00000000-0005-0000-0000-000023000000}"/>
    <cellStyle name="Normal 3 2" xfId="58" xr:uid="{1F4790A4-EC43-4E3B-8271-06DA02455E15}"/>
    <cellStyle name="Normal 35 2 2" xfId="40" xr:uid="{00000000-0005-0000-0000-000024000000}"/>
    <cellStyle name="Normal 36" xfId="41" xr:uid="{00000000-0005-0000-0000-000025000000}"/>
    <cellStyle name="Normal 37" xfId="42" xr:uid="{00000000-0005-0000-0000-000026000000}"/>
    <cellStyle name="Normal 37 2" xfId="43" xr:uid="{00000000-0005-0000-0000-000027000000}"/>
    <cellStyle name="Normal 4" xfId="9" xr:uid="{00000000-0005-0000-0000-000028000000}"/>
    <cellStyle name="Normal 4 2" xfId="12" xr:uid="{00000000-0005-0000-0000-000029000000}"/>
    <cellStyle name="Normal 48 2 2" xfId="44" xr:uid="{00000000-0005-0000-0000-00002A000000}"/>
    <cellStyle name="Normal 48 2 2 2" xfId="45" xr:uid="{00000000-0005-0000-0000-00002B000000}"/>
    <cellStyle name="Normal 5" xfId="14" xr:uid="{00000000-0005-0000-0000-00002C000000}"/>
    <cellStyle name="Normal 53" xfId="46" xr:uid="{00000000-0005-0000-0000-00002D000000}"/>
    <cellStyle name="Normal 53 7" xfId="47" xr:uid="{00000000-0005-0000-0000-00002E000000}"/>
    <cellStyle name="Normal 55 4" xfId="48" xr:uid="{00000000-0005-0000-0000-00002F000000}"/>
    <cellStyle name="Normal 56" xfId="49" xr:uid="{00000000-0005-0000-0000-000030000000}"/>
    <cellStyle name="Normal 56 2" xfId="50" xr:uid="{00000000-0005-0000-0000-000031000000}"/>
    <cellStyle name="Normal 58" xfId="51" xr:uid="{00000000-0005-0000-0000-000032000000}"/>
    <cellStyle name="Normal 6" xfId="52" xr:uid="{00000000-0005-0000-0000-000033000000}"/>
    <cellStyle name="Percent" xfId="13" builtinId="5"/>
    <cellStyle name="Percent 2" xfId="53" xr:uid="{00000000-0005-0000-0000-000035000000}"/>
    <cellStyle name="Percent 2 2" xfId="54" xr:uid="{00000000-0005-0000-0000-000036000000}"/>
    <cellStyle name="Percent 3" xfId="57" xr:uid="{B54074CB-4A81-4FD9-AF57-0EB2635ADCE6}"/>
    <cellStyle name="Percent 3 11" xfId="55" xr:uid="{00000000-0005-0000-0000-000037000000}"/>
    <cellStyle name="Style 1" xfId="56" xr:uid="{00000000-0005-0000-0000-000038000000}"/>
  </cellStyles>
  <dxfs count="34">
    <dxf>
      <fill>
        <patternFill>
          <bgColor theme="4" tint="0.59996337778862885"/>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theme="7" tint="0.59996337778862885"/>
        </patternFill>
      </fill>
    </dxf>
    <dxf>
      <fill>
        <patternFill>
          <bgColor theme="8" tint="0.59996337778862885"/>
        </patternFill>
      </fill>
    </dxf>
    <dxf>
      <fill>
        <patternFill>
          <bgColor rgb="FFFF0000"/>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
      <fill>
        <patternFill>
          <bgColor rgb="FFFF0000"/>
        </patternFill>
      </fill>
    </dxf>
    <dxf>
      <fill>
        <patternFill>
          <bgColor theme="7" tint="0.59996337778862885"/>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104.xml"/><Relationship Id="rId21" Type="http://schemas.openxmlformats.org/officeDocument/2006/relationships/externalLink" Target="externalLinks/externalLink8.xml"/><Relationship Id="rId42" Type="http://schemas.openxmlformats.org/officeDocument/2006/relationships/externalLink" Target="externalLinks/externalLink29.xml"/><Relationship Id="rId63" Type="http://schemas.openxmlformats.org/officeDocument/2006/relationships/externalLink" Target="externalLinks/externalLink50.xml"/><Relationship Id="rId84" Type="http://schemas.openxmlformats.org/officeDocument/2006/relationships/externalLink" Target="externalLinks/externalLink71.xml"/><Relationship Id="rId138" Type="http://schemas.openxmlformats.org/officeDocument/2006/relationships/externalLink" Target="externalLinks/externalLink125.xml"/><Relationship Id="rId159" Type="http://schemas.openxmlformats.org/officeDocument/2006/relationships/externalLink" Target="externalLinks/externalLink146.xml"/><Relationship Id="rId170" Type="http://schemas.openxmlformats.org/officeDocument/2006/relationships/externalLink" Target="externalLinks/externalLink157.xml"/><Relationship Id="rId107" Type="http://schemas.openxmlformats.org/officeDocument/2006/relationships/externalLink" Target="externalLinks/externalLink94.xml"/><Relationship Id="rId11" Type="http://schemas.openxmlformats.org/officeDocument/2006/relationships/worksheet" Target="worksheets/sheet11.xml"/><Relationship Id="rId32" Type="http://schemas.openxmlformats.org/officeDocument/2006/relationships/externalLink" Target="externalLinks/externalLink19.xml"/><Relationship Id="rId53" Type="http://schemas.openxmlformats.org/officeDocument/2006/relationships/externalLink" Target="externalLinks/externalLink40.xml"/><Relationship Id="rId74" Type="http://schemas.openxmlformats.org/officeDocument/2006/relationships/externalLink" Target="externalLinks/externalLink61.xml"/><Relationship Id="rId128" Type="http://schemas.openxmlformats.org/officeDocument/2006/relationships/externalLink" Target="externalLinks/externalLink115.xml"/><Relationship Id="rId149" Type="http://schemas.openxmlformats.org/officeDocument/2006/relationships/externalLink" Target="externalLinks/externalLink136.xml"/><Relationship Id="rId5" Type="http://schemas.openxmlformats.org/officeDocument/2006/relationships/worksheet" Target="worksheets/sheet5.xml"/><Relationship Id="rId95" Type="http://schemas.openxmlformats.org/officeDocument/2006/relationships/externalLink" Target="externalLinks/externalLink82.xml"/><Relationship Id="rId160" Type="http://schemas.openxmlformats.org/officeDocument/2006/relationships/externalLink" Target="externalLinks/externalLink147.xml"/><Relationship Id="rId22" Type="http://schemas.openxmlformats.org/officeDocument/2006/relationships/externalLink" Target="externalLinks/externalLink9.xml"/><Relationship Id="rId43" Type="http://schemas.openxmlformats.org/officeDocument/2006/relationships/externalLink" Target="externalLinks/externalLink30.xml"/><Relationship Id="rId64" Type="http://schemas.openxmlformats.org/officeDocument/2006/relationships/externalLink" Target="externalLinks/externalLink51.xml"/><Relationship Id="rId118" Type="http://schemas.openxmlformats.org/officeDocument/2006/relationships/externalLink" Target="externalLinks/externalLink105.xml"/><Relationship Id="rId139" Type="http://schemas.openxmlformats.org/officeDocument/2006/relationships/externalLink" Target="externalLinks/externalLink126.xml"/><Relationship Id="rId85" Type="http://schemas.openxmlformats.org/officeDocument/2006/relationships/externalLink" Target="externalLinks/externalLink72.xml"/><Relationship Id="rId150" Type="http://schemas.openxmlformats.org/officeDocument/2006/relationships/externalLink" Target="externalLinks/externalLink137.xml"/><Relationship Id="rId171" Type="http://schemas.openxmlformats.org/officeDocument/2006/relationships/externalLink" Target="externalLinks/externalLink158.xml"/><Relationship Id="rId12" Type="http://schemas.openxmlformats.org/officeDocument/2006/relationships/worksheet" Target="worksheets/sheet12.xml"/><Relationship Id="rId33" Type="http://schemas.openxmlformats.org/officeDocument/2006/relationships/externalLink" Target="externalLinks/externalLink20.xml"/><Relationship Id="rId108" Type="http://schemas.openxmlformats.org/officeDocument/2006/relationships/externalLink" Target="externalLinks/externalLink95.xml"/><Relationship Id="rId129" Type="http://schemas.openxmlformats.org/officeDocument/2006/relationships/externalLink" Target="externalLinks/externalLink116.xml"/><Relationship Id="rId54" Type="http://schemas.openxmlformats.org/officeDocument/2006/relationships/externalLink" Target="externalLinks/externalLink41.xml"/><Relationship Id="rId75" Type="http://schemas.openxmlformats.org/officeDocument/2006/relationships/externalLink" Target="externalLinks/externalLink62.xml"/><Relationship Id="rId96" Type="http://schemas.openxmlformats.org/officeDocument/2006/relationships/externalLink" Target="externalLinks/externalLink83.xml"/><Relationship Id="rId140" Type="http://schemas.openxmlformats.org/officeDocument/2006/relationships/externalLink" Target="externalLinks/externalLink127.xml"/><Relationship Id="rId161" Type="http://schemas.openxmlformats.org/officeDocument/2006/relationships/externalLink" Target="externalLinks/externalLink148.xml"/><Relationship Id="rId6" Type="http://schemas.openxmlformats.org/officeDocument/2006/relationships/worksheet" Target="worksheets/sheet6.xml"/><Relationship Id="rId23" Type="http://schemas.openxmlformats.org/officeDocument/2006/relationships/externalLink" Target="externalLinks/externalLink10.xml"/><Relationship Id="rId28" Type="http://schemas.openxmlformats.org/officeDocument/2006/relationships/externalLink" Target="externalLinks/externalLink15.xml"/><Relationship Id="rId49" Type="http://schemas.openxmlformats.org/officeDocument/2006/relationships/externalLink" Target="externalLinks/externalLink36.xml"/><Relationship Id="rId114" Type="http://schemas.openxmlformats.org/officeDocument/2006/relationships/externalLink" Target="externalLinks/externalLink101.xml"/><Relationship Id="rId119" Type="http://schemas.openxmlformats.org/officeDocument/2006/relationships/externalLink" Target="externalLinks/externalLink106.xml"/><Relationship Id="rId44" Type="http://schemas.openxmlformats.org/officeDocument/2006/relationships/externalLink" Target="externalLinks/externalLink31.xml"/><Relationship Id="rId60" Type="http://schemas.openxmlformats.org/officeDocument/2006/relationships/externalLink" Target="externalLinks/externalLink47.xml"/><Relationship Id="rId65" Type="http://schemas.openxmlformats.org/officeDocument/2006/relationships/externalLink" Target="externalLinks/externalLink52.xml"/><Relationship Id="rId81" Type="http://schemas.openxmlformats.org/officeDocument/2006/relationships/externalLink" Target="externalLinks/externalLink68.xml"/><Relationship Id="rId86" Type="http://schemas.openxmlformats.org/officeDocument/2006/relationships/externalLink" Target="externalLinks/externalLink73.xml"/><Relationship Id="rId130" Type="http://schemas.openxmlformats.org/officeDocument/2006/relationships/externalLink" Target="externalLinks/externalLink117.xml"/><Relationship Id="rId135" Type="http://schemas.openxmlformats.org/officeDocument/2006/relationships/externalLink" Target="externalLinks/externalLink122.xml"/><Relationship Id="rId151" Type="http://schemas.openxmlformats.org/officeDocument/2006/relationships/externalLink" Target="externalLinks/externalLink138.xml"/><Relationship Id="rId156" Type="http://schemas.openxmlformats.org/officeDocument/2006/relationships/externalLink" Target="externalLinks/externalLink143.xml"/><Relationship Id="rId177" Type="http://schemas.openxmlformats.org/officeDocument/2006/relationships/styles" Target="styles.xml"/><Relationship Id="rId172" Type="http://schemas.openxmlformats.org/officeDocument/2006/relationships/externalLink" Target="externalLinks/externalLink159.xml"/><Relationship Id="rId13" Type="http://schemas.openxmlformats.org/officeDocument/2006/relationships/worksheet" Target="worksheets/sheet13.xml"/><Relationship Id="rId18" Type="http://schemas.openxmlformats.org/officeDocument/2006/relationships/externalLink" Target="externalLinks/externalLink5.xml"/><Relationship Id="rId39" Type="http://schemas.openxmlformats.org/officeDocument/2006/relationships/externalLink" Target="externalLinks/externalLink26.xml"/><Relationship Id="rId109" Type="http://schemas.openxmlformats.org/officeDocument/2006/relationships/externalLink" Target="externalLinks/externalLink96.xml"/><Relationship Id="rId34" Type="http://schemas.openxmlformats.org/officeDocument/2006/relationships/externalLink" Target="externalLinks/externalLink21.xml"/><Relationship Id="rId50" Type="http://schemas.openxmlformats.org/officeDocument/2006/relationships/externalLink" Target="externalLinks/externalLink37.xml"/><Relationship Id="rId55" Type="http://schemas.openxmlformats.org/officeDocument/2006/relationships/externalLink" Target="externalLinks/externalLink42.xml"/><Relationship Id="rId76" Type="http://schemas.openxmlformats.org/officeDocument/2006/relationships/externalLink" Target="externalLinks/externalLink63.xml"/><Relationship Id="rId97" Type="http://schemas.openxmlformats.org/officeDocument/2006/relationships/externalLink" Target="externalLinks/externalLink84.xml"/><Relationship Id="rId104" Type="http://schemas.openxmlformats.org/officeDocument/2006/relationships/externalLink" Target="externalLinks/externalLink91.xml"/><Relationship Id="rId120" Type="http://schemas.openxmlformats.org/officeDocument/2006/relationships/externalLink" Target="externalLinks/externalLink107.xml"/><Relationship Id="rId125" Type="http://schemas.openxmlformats.org/officeDocument/2006/relationships/externalLink" Target="externalLinks/externalLink112.xml"/><Relationship Id="rId141" Type="http://schemas.openxmlformats.org/officeDocument/2006/relationships/externalLink" Target="externalLinks/externalLink128.xml"/><Relationship Id="rId146" Type="http://schemas.openxmlformats.org/officeDocument/2006/relationships/externalLink" Target="externalLinks/externalLink133.xml"/><Relationship Id="rId167" Type="http://schemas.openxmlformats.org/officeDocument/2006/relationships/externalLink" Target="externalLinks/externalLink154.xml"/><Relationship Id="rId7" Type="http://schemas.openxmlformats.org/officeDocument/2006/relationships/worksheet" Target="worksheets/sheet7.xml"/><Relationship Id="rId71" Type="http://schemas.openxmlformats.org/officeDocument/2006/relationships/externalLink" Target="externalLinks/externalLink58.xml"/><Relationship Id="rId92" Type="http://schemas.openxmlformats.org/officeDocument/2006/relationships/externalLink" Target="externalLinks/externalLink79.xml"/><Relationship Id="rId162" Type="http://schemas.openxmlformats.org/officeDocument/2006/relationships/externalLink" Target="externalLinks/externalLink149.xml"/><Relationship Id="rId2" Type="http://schemas.openxmlformats.org/officeDocument/2006/relationships/worksheet" Target="worksheets/sheet2.xml"/><Relationship Id="rId29" Type="http://schemas.openxmlformats.org/officeDocument/2006/relationships/externalLink" Target="externalLinks/externalLink16.xml"/><Relationship Id="rId24" Type="http://schemas.openxmlformats.org/officeDocument/2006/relationships/externalLink" Target="externalLinks/externalLink11.xml"/><Relationship Id="rId40" Type="http://schemas.openxmlformats.org/officeDocument/2006/relationships/externalLink" Target="externalLinks/externalLink27.xml"/><Relationship Id="rId45" Type="http://schemas.openxmlformats.org/officeDocument/2006/relationships/externalLink" Target="externalLinks/externalLink32.xml"/><Relationship Id="rId66" Type="http://schemas.openxmlformats.org/officeDocument/2006/relationships/externalLink" Target="externalLinks/externalLink53.xml"/><Relationship Id="rId87" Type="http://schemas.openxmlformats.org/officeDocument/2006/relationships/externalLink" Target="externalLinks/externalLink74.xml"/><Relationship Id="rId110" Type="http://schemas.openxmlformats.org/officeDocument/2006/relationships/externalLink" Target="externalLinks/externalLink97.xml"/><Relationship Id="rId115" Type="http://schemas.openxmlformats.org/officeDocument/2006/relationships/externalLink" Target="externalLinks/externalLink102.xml"/><Relationship Id="rId131" Type="http://schemas.openxmlformats.org/officeDocument/2006/relationships/externalLink" Target="externalLinks/externalLink118.xml"/><Relationship Id="rId136" Type="http://schemas.openxmlformats.org/officeDocument/2006/relationships/externalLink" Target="externalLinks/externalLink123.xml"/><Relationship Id="rId157" Type="http://schemas.openxmlformats.org/officeDocument/2006/relationships/externalLink" Target="externalLinks/externalLink144.xml"/><Relationship Id="rId178" Type="http://schemas.openxmlformats.org/officeDocument/2006/relationships/sharedStrings" Target="sharedStrings.xml"/><Relationship Id="rId61" Type="http://schemas.openxmlformats.org/officeDocument/2006/relationships/externalLink" Target="externalLinks/externalLink48.xml"/><Relationship Id="rId82" Type="http://schemas.openxmlformats.org/officeDocument/2006/relationships/externalLink" Target="externalLinks/externalLink69.xml"/><Relationship Id="rId152" Type="http://schemas.openxmlformats.org/officeDocument/2006/relationships/externalLink" Target="externalLinks/externalLink139.xml"/><Relationship Id="rId173" Type="http://schemas.openxmlformats.org/officeDocument/2006/relationships/externalLink" Target="externalLinks/externalLink160.xml"/><Relationship Id="rId19" Type="http://schemas.openxmlformats.org/officeDocument/2006/relationships/externalLink" Target="externalLinks/externalLink6.xml"/><Relationship Id="rId14" Type="http://schemas.openxmlformats.org/officeDocument/2006/relationships/externalLink" Target="externalLinks/externalLink1.xml"/><Relationship Id="rId30" Type="http://schemas.openxmlformats.org/officeDocument/2006/relationships/externalLink" Target="externalLinks/externalLink17.xml"/><Relationship Id="rId35" Type="http://schemas.openxmlformats.org/officeDocument/2006/relationships/externalLink" Target="externalLinks/externalLink22.xml"/><Relationship Id="rId56" Type="http://schemas.openxmlformats.org/officeDocument/2006/relationships/externalLink" Target="externalLinks/externalLink43.xml"/><Relationship Id="rId77" Type="http://schemas.openxmlformats.org/officeDocument/2006/relationships/externalLink" Target="externalLinks/externalLink64.xml"/><Relationship Id="rId100" Type="http://schemas.openxmlformats.org/officeDocument/2006/relationships/externalLink" Target="externalLinks/externalLink87.xml"/><Relationship Id="rId105" Type="http://schemas.openxmlformats.org/officeDocument/2006/relationships/externalLink" Target="externalLinks/externalLink92.xml"/><Relationship Id="rId126" Type="http://schemas.openxmlformats.org/officeDocument/2006/relationships/externalLink" Target="externalLinks/externalLink113.xml"/><Relationship Id="rId147" Type="http://schemas.openxmlformats.org/officeDocument/2006/relationships/externalLink" Target="externalLinks/externalLink134.xml"/><Relationship Id="rId168" Type="http://schemas.openxmlformats.org/officeDocument/2006/relationships/externalLink" Target="externalLinks/externalLink155.xml"/><Relationship Id="rId8" Type="http://schemas.openxmlformats.org/officeDocument/2006/relationships/worksheet" Target="worksheets/sheet8.xml"/><Relationship Id="rId51" Type="http://schemas.openxmlformats.org/officeDocument/2006/relationships/externalLink" Target="externalLinks/externalLink38.xml"/><Relationship Id="rId72" Type="http://schemas.openxmlformats.org/officeDocument/2006/relationships/externalLink" Target="externalLinks/externalLink59.xml"/><Relationship Id="rId93" Type="http://schemas.openxmlformats.org/officeDocument/2006/relationships/externalLink" Target="externalLinks/externalLink80.xml"/><Relationship Id="rId98" Type="http://schemas.openxmlformats.org/officeDocument/2006/relationships/externalLink" Target="externalLinks/externalLink85.xml"/><Relationship Id="rId121" Type="http://schemas.openxmlformats.org/officeDocument/2006/relationships/externalLink" Target="externalLinks/externalLink108.xml"/><Relationship Id="rId142" Type="http://schemas.openxmlformats.org/officeDocument/2006/relationships/externalLink" Target="externalLinks/externalLink129.xml"/><Relationship Id="rId163" Type="http://schemas.openxmlformats.org/officeDocument/2006/relationships/externalLink" Target="externalLinks/externalLink150.xml"/><Relationship Id="rId3" Type="http://schemas.openxmlformats.org/officeDocument/2006/relationships/worksheet" Target="worksheets/sheet3.xml"/><Relationship Id="rId25" Type="http://schemas.openxmlformats.org/officeDocument/2006/relationships/externalLink" Target="externalLinks/externalLink12.xml"/><Relationship Id="rId46" Type="http://schemas.openxmlformats.org/officeDocument/2006/relationships/externalLink" Target="externalLinks/externalLink33.xml"/><Relationship Id="rId67" Type="http://schemas.openxmlformats.org/officeDocument/2006/relationships/externalLink" Target="externalLinks/externalLink54.xml"/><Relationship Id="rId116" Type="http://schemas.openxmlformats.org/officeDocument/2006/relationships/externalLink" Target="externalLinks/externalLink103.xml"/><Relationship Id="rId137" Type="http://schemas.openxmlformats.org/officeDocument/2006/relationships/externalLink" Target="externalLinks/externalLink124.xml"/><Relationship Id="rId158" Type="http://schemas.openxmlformats.org/officeDocument/2006/relationships/externalLink" Target="externalLinks/externalLink145.xml"/><Relationship Id="rId20" Type="http://schemas.openxmlformats.org/officeDocument/2006/relationships/externalLink" Target="externalLinks/externalLink7.xml"/><Relationship Id="rId41" Type="http://schemas.openxmlformats.org/officeDocument/2006/relationships/externalLink" Target="externalLinks/externalLink28.xml"/><Relationship Id="rId62" Type="http://schemas.openxmlformats.org/officeDocument/2006/relationships/externalLink" Target="externalLinks/externalLink49.xml"/><Relationship Id="rId83" Type="http://schemas.openxmlformats.org/officeDocument/2006/relationships/externalLink" Target="externalLinks/externalLink70.xml"/><Relationship Id="rId88" Type="http://schemas.openxmlformats.org/officeDocument/2006/relationships/externalLink" Target="externalLinks/externalLink75.xml"/><Relationship Id="rId111" Type="http://schemas.openxmlformats.org/officeDocument/2006/relationships/externalLink" Target="externalLinks/externalLink98.xml"/><Relationship Id="rId132" Type="http://schemas.openxmlformats.org/officeDocument/2006/relationships/externalLink" Target="externalLinks/externalLink119.xml"/><Relationship Id="rId153" Type="http://schemas.openxmlformats.org/officeDocument/2006/relationships/externalLink" Target="externalLinks/externalLink140.xml"/><Relationship Id="rId174" Type="http://schemas.openxmlformats.org/officeDocument/2006/relationships/externalLink" Target="externalLinks/externalLink161.xml"/><Relationship Id="rId179" Type="http://schemas.openxmlformats.org/officeDocument/2006/relationships/calcChain" Target="calcChain.xml"/><Relationship Id="rId15" Type="http://schemas.openxmlformats.org/officeDocument/2006/relationships/externalLink" Target="externalLinks/externalLink2.xml"/><Relationship Id="rId36" Type="http://schemas.openxmlformats.org/officeDocument/2006/relationships/externalLink" Target="externalLinks/externalLink23.xml"/><Relationship Id="rId57" Type="http://schemas.openxmlformats.org/officeDocument/2006/relationships/externalLink" Target="externalLinks/externalLink44.xml"/><Relationship Id="rId106" Type="http://schemas.openxmlformats.org/officeDocument/2006/relationships/externalLink" Target="externalLinks/externalLink93.xml"/><Relationship Id="rId127" Type="http://schemas.openxmlformats.org/officeDocument/2006/relationships/externalLink" Target="externalLinks/externalLink114.xml"/><Relationship Id="rId10" Type="http://schemas.openxmlformats.org/officeDocument/2006/relationships/worksheet" Target="worksheets/sheet10.xml"/><Relationship Id="rId31" Type="http://schemas.openxmlformats.org/officeDocument/2006/relationships/externalLink" Target="externalLinks/externalLink18.xml"/><Relationship Id="rId52" Type="http://schemas.openxmlformats.org/officeDocument/2006/relationships/externalLink" Target="externalLinks/externalLink39.xml"/><Relationship Id="rId73" Type="http://schemas.openxmlformats.org/officeDocument/2006/relationships/externalLink" Target="externalLinks/externalLink60.xml"/><Relationship Id="rId78" Type="http://schemas.openxmlformats.org/officeDocument/2006/relationships/externalLink" Target="externalLinks/externalLink65.xml"/><Relationship Id="rId94" Type="http://schemas.openxmlformats.org/officeDocument/2006/relationships/externalLink" Target="externalLinks/externalLink81.xml"/><Relationship Id="rId99" Type="http://schemas.openxmlformats.org/officeDocument/2006/relationships/externalLink" Target="externalLinks/externalLink86.xml"/><Relationship Id="rId101" Type="http://schemas.openxmlformats.org/officeDocument/2006/relationships/externalLink" Target="externalLinks/externalLink88.xml"/><Relationship Id="rId122" Type="http://schemas.openxmlformats.org/officeDocument/2006/relationships/externalLink" Target="externalLinks/externalLink109.xml"/><Relationship Id="rId143" Type="http://schemas.openxmlformats.org/officeDocument/2006/relationships/externalLink" Target="externalLinks/externalLink130.xml"/><Relationship Id="rId148" Type="http://schemas.openxmlformats.org/officeDocument/2006/relationships/externalLink" Target="externalLinks/externalLink135.xml"/><Relationship Id="rId164" Type="http://schemas.openxmlformats.org/officeDocument/2006/relationships/externalLink" Target="externalLinks/externalLink151.xml"/><Relationship Id="rId169" Type="http://schemas.openxmlformats.org/officeDocument/2006/relationships/externalLink" Target="externalLinks/externalLink156.xml"/><Relationship Id="rId4" Type="http://schemas.openxmlformats.org/officeDocument/2006/relationships/worksheet" Target="worksheets/sheet4.xml"/><Relationship Id="rId9" Type="http://schemas.openxmlformats.org/officeDocument/2006/relationships/worksheet" Target="worksheets/sheet9.xml"/><Relationship Id="rId180" Type="http://schemas.microsoft.com/office/2006/relationships/vbaProject" Target="vbaProject.bin"/><Relationship Id="rId26" Type="http://schemas.openxmlformats.org/officeDocument/2006/relationships/externalLink" Target="externalLinks/externalLink13.xml"/><Relationship Id="rId47" Type="http://schemas.openxmlformats.org/officeDocument/2006/relationships/externalLink" Target="externalLinks/externalLink34.xml"/><Relationship Id="rId68" Type="http://schemas.openxmlformats.org/officeDocument/2006/relationships/externalLink" Target="externalLinks/externalLink55.xml"/><Relationship Id="rId89" Type="http://schemas.openxmlformats.org/officeDocument/2006/relationships/externalLink" Target="externalLinks/externalLink76.xml"/><Relationship Id="rId112" Type="http://schemas.openxmlformats.org/officeDocument/2006/relationships/externalLink" Target="externalLinks/externalLink99.xml"/><Relationship Id="rId133" Type="http://schemas.openxmlformats.org/officeDocument/2006/relationships/externalLink" Target="externalLinks/externalLink120.xml"/><Relationship Id="rId154" Type="http://schemas.openxmlformats.org/officeDocument/2006/relationships/externalLink" Target="externalLinks/externalLink141.xml"/><Relationship Id="rId175" Type="http://schemas.openxmlformats.org/officeDocument/2006/relationships/externalLink" Target="externalLinks/externalLink162.xml"/><Relationship Id="rId16" Type="http://schemas.openxmlformats.org/officeDocument/2006/relationships/externalLink" Target="externalLinks/externalLink3.xml"/><Relationship Id="rId37" Type="http://schemas.openxmlformats.org/officeDocument/2006/relationships/externalLink" Target="externalLinks/externalLink24.xml"/><Relationship Id="rId58" Type="http://schemas.openxmlformats.org/officeDocument/2006/relationships/externalLink" Target="externalLinks/externalLink45.xml"/><Relationship Id="rId79" Type="http://schemas.openxmlformats.org/officeDocument/2006/relationships/externalLink" Target="externalLinks/externalLink66.xml"/><Relationship Id="rId102" Type="http://schemas.openxmlformats.org/officeDocument/2006/relationships/externalLink" Target="externalLinks/externalLink89.xml"/><Relationship Id="rId123" Type="http://schemas.openxmlformats.org/officeDocument/2006/relationships/externalLink" Target="externalLinks/externalLink110.xml"/><Relationship Id="rId144" Type="http://schemas.openxmlformats.org/officeDocument/2006/relationships/externalLink" Target="externalLinks/externalLink131.xml"/><Relationship Id="rId90" Type="http://schemas.openxmlformats.org/officeDocument/2006/relationships/externalLink" Target="externalLinks/externalLink77.xml"/><Relationship Id="rId165" Type="http://schemas.openxmlformats.org/officeDocument/2006/relationships/externalLink" Target="externalLinks/externalLink152.xml"/><Relationship Id="rId27" Type="http://schemas.openxmlformats.org/officeDocument/2006/relationships/externalLink" Target="externalLinks/externalLink14.xml"/><Relationship Id="rId48" Type="http://schemas.openxmlformats.org/officeDocument/2006/relationships/externalLink" Target="externalLinks/externalLink35.xml"/><Relationship Id="rId69" Type="http://schemas.openxmlformats.org/officeDocument/2006/relationships/externalLink" Target="externalLinks/externalLink56.xml"/><Relationship Id="rId113" Type="http://schemas.openxmlformats.org/officeDocument/2006/relationships/externalLink" Target="externalLinks/externalLink100.xml"/><Relationship Id="rId134" Type="http://schemas.openxmlformats.org/officeDocument/2006/relationships/externalLink" Target="externalLinks/externalLink121.xml"/><Relationship Id="rId80" Type="http://schemas.openxmlformats.org/officeDocument/2006/relationships/externalLink" Target="externalLinks/externalLink67.xml"/><Relationship Id="rId155" Type="http://schemas.openxmlformats.org/officeDocument/2006/relationships/externalLink" Target="externalLinks/externalLink142.xml"/><Relationship Id="rId176" Type="http://schemas.openxmlformats.org/officeDocument/2006/relationships/theme" Target="theme/theme1.xml"/><Relationship Id="rId17" Type="http://schemas.openxmlformats.org/officeDocument/2006/relationships/externalLink" Target="externalLinks/externalLink4.xml"/><Relationship Id="rId38" Type="http://schemas.openxmlformats.org/officeDocument/2006/relationships/externalLink" Target="externalLinks/externalLink25.xml"/><Relationship Id="rId59" Type="http://schemas.openxmlformats.org/officeDocument/2006/relationships/externalLink" Target="externalLinks/externalLink46.xml"/><Relationship Id="rId103" Type="http://schemas.openxmlformats.org/officeDocument/2006/relationships/externalLink" Target="externalLinks/externalLink90.xml"/><Relationship Id="rId124" Type="http://schemas.openxmlformats.org/officeDocument/2006/relationships/externalLink" Target="externalLinks/externalLink111.xml"/><Relationship Id="rId70" Type="http://schemas.openxmlformats.org/officeDocument/2006/relationships/externalLink" Target="externalLinks/externalLink57.xml"/><Relationship Id="rId91" Type="http://schemas.openxmlformats.org/officeDocument/2006/relationships/externalLink" Target="externalLinks/externalLink78.xml"/><Relationship Id="rId145" Type="http://schemas.openxmlformats.org/officeDocument/2006/relationships/externalLink" Target="externalLinks/externalLink132.xml"/><Relationship Id="rId166" Type="http://schemas.openxmlformats.org/officeDocument/2006/relationships/externalLink" Target="externalLinks/externalLink153.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Indiramma\e\Estimates\pmgsy-phaseII\Nalgonda\Graded-27.Dacharam.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Documents\Buildings\Data\data9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ndiramma\e\Estimates\pmgsy\Deverakonda\87.Gazinagar.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ndiramma\e\Estimates\pmgsy\Package1304\07.1.package1303.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Estimates\Buildings\Mpp_newplan\Miryalaguda\MPP_Rajapet.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Indiramma\e\Estimates\Buildings\Mpp_newplan\Miryalaguda\MPP_Rajapet.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Indiramma\e\Estimates\Buildings\MPP_Buildings\mpp%20estimate%20NADIGUDEM.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Indiramma\e\Estimates\pmgsy-phase4\Thungathurthy\Thirumalagiri-Thatipamula-sri%20ram%20tanda\CD%20works.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Adnin\Users\singh\db1\BIJNEPALLY\VATTE_PALEM_CD3_WORK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ystem4\e\WINDOWS\Desktop\Desktop\rajsekhar\eluru%20sub\Elluru%20de%20&amp;%20es\estimations%20subm\Eluru%20Data%20Muni%20Modi%20FINAL.xls.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A:\singh\NEW_ESTT_TYPE_DESIGENS\NEW_ESTT_2001_2002\COMMUNITY_HALLS.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A:\BRREDDY\VWF\ANGAN_WADI_ESTT_TYPE_DESIGENS.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ESTIMATE_DESIGN.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dnin\singh\db1\BIJNEPALLY\VATTE_PALEM_CD3_WORK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192.168.100.2\singh\db1\BIJNEPALLY\VATTE_PALEM_CD3_WORKS.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leserver\YTC%20Works\YTC%20BCM%20HYD\Ekalavya%20Doors%20&amp;%20Roads%20Datas%2013-14.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eleserver\Documents%20and%20Settings\Venkat123\Local%20Settings\Temporary%20Internet%20Files\Content.IE5\CLYZ45MR\Ekalavya%20Doors%20&amp;%20Roads%20Datas%2013-14.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eleserver\YTC%20-%20Khammam\Ekalavya%20Doors%20&amp;%20Roads%20Datas%2013-14.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192.168.100.2\Nagarjuna\WE%20Full\NALGONDA_HUDCO_WORKEST\HUDCO_7_VOILSINGARAM_KRISHNA_PR\3_PIPELINES_VOILSINGRAM.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Rwsproj9\projects4\NALGONDA_HUDCO_WORKEST\HUDCO_7_VOILSINGARAM_KRISHNA_PR\3_PIPELINES_VOILSINGRAM.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eleserver\Users\sai\AppData\Roaming\Microsoft\Excel\YTC%20Works\YTC%20BCM%20HYD\Ekalavya%20Doors%20&amp;%20Roads%20Datas%2013-14.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eleserver\Users\sai\AppData\Roaming\Microsoft\Excel\satyasai%20-sssc\Chintapalli\YTC%20Chintapalli%20RE\Ekalavya%20Doors%20&amp;%20Roads%20Datas%2013-14.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192.168.100.2\Nagarjuna\WE%20Full\07%202010%20Marketing%20Estimates\2010-11_NAGAYALANKA.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Users\Raghava\Desktop\BT%20Data.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eleserver\Users\sai\AppData\Roaming\Microsoft\Excel\Chintapalli\YTC%20Chintapalli%20RE\Ekalavya%20Doors%20&amp;%20Roads%20Datas%2013-14.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Print\aptdc-mahanandi-civil-datas-estimate-20-9-07.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Data%20(14-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Estimates\Estimates\Bowenpally\Up%20date\Estimates\Estimates\Narsingi\New%20works.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server\working%20estimate%202\wORKING%20ESTIMATE%20kapulapally.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Estimates\Estimates\Bowenpally\Up%20date\Estimates\Estimates\Medchal\2010-11\new%20estt%202011-12.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Services\c\windows\TEMP\BUDOFF\BBY\ongc_bhn%20complex\l&amp;t%20mar%2098\MAY28-98\BOM_l&amp;t_rev2_MAY-28-98.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eleserver\YTC%20Works\YTC%20-%20Khammam\Documents%20and%20Settings\Venkat123\Local%20Settings\Temporary%20Internet%20Files\Content.IE5\CLYZ45MR\Ekalavya%20Doors%20&amp;%20Roads%20Datas%2013-14.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192.168.100.2\107CW\Users\AEE%207\Downloads\Marketing%20Data\Data%20(14-15).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Office_dpo2\f\Users\Raghava\Desktop\BT%20Data.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smb://Edrcserver1/design/user/Cement/KVPgroup/E-Kvp/KVP-Engrs/PPRM-Housing/Namakkal%20Housing/School/T1037%20Entire%20Schoo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Adnin\NALGONDA_HUDCO_WORKEST\HUDCO_7_VOILSINGARAM_KRISHNA_PR\3_PIPELINES_VOILSINGRAM.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A:\Estimates\RIDF-X%20estimate\Documents%20and%20Settings\tanesh\My%20Documents\T-G%20road\Road%2003-04\Road.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192.168.100.2\YMallikarjuna%20Reddy(SW)\OFFICE\AE's\AE-%20ATP\Degree%20College%20at%20Tadipatri.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ontract-aruna\public_aruna\Public_Aruna\contracts(ak)\Hyderabad\Mes\MES-SEC.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A:\vizag%20RIDF_X1\mahesh\t-s_models\MODEL1(chandrashekar).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C:\My%20Documents%20250806\New%20P-B%20Rd.16-25.2\Vallampatla%20-Tharigoppula.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My%20Documents%20250806/New%20P-B%20Rd.16-25.2/Vallampatla%20-Tharigoppula.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C:\My%20Documents%20250806\New%20P-B%20Rd.16-25.2\Estimates\RIDF-XI\WARANGAL\RN%20road-05-06.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My%20Documents%20250806/New%20P-B%20Rd.16-25.2/Estimates/RIDF-XI/WARANGAL/RN%20road-05-06.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APril_XI\April_Mahesh_0404.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Rythu%20bazar,%20Gaddiannaram.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Up%20date\Estimates\Estimates\Narsingi\New%20works.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192.168.100.2\107CW\Users\AEE%207\Downloads\Marketing%20Data\Rythu%20bazar,%20Gaddiannaram.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Up%20date\Estimates\Estimates\Medchal\2010-11\new%20estt%202011-12.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Sys1\d-sys1\Store_Box\NABARD_Estimates\cd%20namnoor%20gullakota11.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mahesh\t-s_models\LATEST\WG\Madhavaram_Kamsalipalem.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Ssr-4a9c6879c96\d\DOCUME~1\R&amp;B\LOCALS~1\Temp\Temporary%20Directory%202%20for%20NABARD_PALAKONDA2.zip\18.04.06\Copy%20of%20Final_Master_11_%20tallavaram.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Dee1\C\PMGSY%20ESTIMATES\PMGSY%2004-05\R-F%20Dacharam%20to%20Kandikatkoor%20(Sir-22).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correspondance\Estimates\ECO_PUMP_FINAL.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192.168.100.2\MASTER%20DATA%202018-19-06.10.18-DATAS%20MODIFIED-LIFTS%20-%20ANTP\MASTER%20DATA%202018-19-OC-SELF-21.09.18.xlsx"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Dee1\C\chatu\PMGSY%20PH_IV%20estimates\PMGSY\Yamanapalli%20to%20Mahamutharam%20(Maha%204%20kms).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OFFICE\AE's\Back%20up%20files%20up%20to%2017509\f\Ravi%20JE%20SC%20Corp\Proposal\2008-09\APSWRSC%20Rly.%20Kodur%2020609\Preparation%20of%20platforms%20FF%20at%20APSWRSC%20Rly.%20Kodur%204.2.10.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Waller\cd-reader%20e\My%20Documents\FINAL%20REPORT\Part%20B\TRUNK%20&amp;%20ALL%20ROAD%20DATA.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PMGSY-I%20BAL-04-05\Road%20from%206-0%20km%20of%20T01%20to%20Balwanthapur%20(Mal-5).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Indiramma\e\Estimates\Buildings\Mpp_newplan\Miryalaguda\MPP_Gundlapally1.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A:\Sirpur%20est.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OFFICE\AE's\Back%20up%20files\f\R&amp;B%20Reg\Sathya%20Murthy%20JE\Re-cast%20Est\CT%20Road%20Km%202-0-2%2020608\CT%20Road%20biurdge%20Km%202-0-2%2026908.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smb://Geetha/F/PHILLIP/cebu-mactan/Siemens/BOQ-Siemens%20OEP.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Indiramma\e\Documents\Buildings\Data\data99.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Prccdu\d\P.R.%20Atmakur\Estimates\P.R%20Guest%20house\Ramesh%20PWSS\2007-08\CR-Vchambers.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smb://Wabag/Tenders_IV/V11.769_DJB_Dwarka%2050%20MGD%20WTP/Engineering/Process/Yagnaprasad/YP_2/Transfer/Biopur%20Rev2.1_avg.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Filesrv\rws-common\Projects_aee8\MLN\estimate\ssr_final.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Prccdu\d\P.R.%20Atmakur\Estimates\P.R%20Guest%20house\Estimate\Estimate\ModelEstimate\CS-Taps.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A:\singh\db1\BIJNEPALLY\VATTE_PALEM_CD3_WORKS.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Prccdu\d\P.R.%20Atmakur\Estimates\P.R%20Guest%20house\2006-07%20estimate.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smb://Geetha/F/Emer/emer_jonson/05.08.12_Construction%20Stage/Price%20Comp%20Nego/Structures/Hyderabad%20Airport%20(HIAL)/HIAL%20Nego%20Stage/HIAL%20Schedule%20of%20Rate%20(Conforming%20Tender)%20-%2031%20January%20'05/Sc"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192.168.100.2\107CW\Users\AEE%207\Downloads\Marketing%20Data\Estimates\Estimates\Bowenpally\Up%20date\Estimates\Estimates\Tandur\datas-2010-11,Tandur.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Rwsproj20\rwsproj20\VZNM-Maruwada\MARUWADA(Hyd%20st)"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A:\db1\singh\ESTT_TYPE_DESIG\SHADIKHANA_ESTT_TYPE_DESIGENS.xls"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eleserver\Users\sai\AppData\Roaming\Microsoft\Excel\Users\SATYASAI\Desktop\Ekalavya%20Doors%20&amp;%20Roads%20Datas%2013-14.xls"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192.168.100.2\107CW\Users\AEE%207\Downloads\Estimates%20CE%20HUDCO\Impts.by%20wid.&amp;%20Strength.VAA%2051.8%20to%2052.8%20inc.CD%20works..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A:\Estimates\RIDF-X%20estimate\Documents%20and%20Settings\tanesh\My%20Documents\Building%2003-04\Building%20Y.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192.168.100.2\TEMP\SRI%20KANTH\10-07-2021\REAR%20SIDE%20BLOCK\f\My%20Documents\ESTIMATES\Estimate%20copy.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192.168.100.2\TEMP\SRI%20KANTH\10-07-2021\Arul\MD%20Visit\RAB-23\Data%20-%20base\Client%20Bill\R.A%20Bill%20No-17\UGF%20Block%20F.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192.168.100.2\YMallikarjuna%20Reddy(SW)\WE%20Constr.%20of%20premanent%20SWRSC%20Kondapuram%20-%2030.12.2012.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Prccdu\d\P.R.%20Atmakur\Estimates\P.R%20Guest%20house\Estimate\Estimate\ModelEstimate\CS-PHouse-Legal.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192.168.100.2\Mails%20Received\WINDOWS\Desktop\PMGSY%20PH-V\ARRR-ver-1104.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C:\RAJU%20PR\2008-09%20BUILDINGS\HERITAGE%202008-09\SRIVARIMETTU%20-%20New\PMGSY-I%20BAL-04-05\Road%20from%206-0%20km%20of%20T01%20to%20Balwanthapur%20(Mal-5).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RAJU%20PR/2008-09%20BUILDINGS/HERITAGE%202008-09/SRIVARIMETTU%20-%20New/PMGSY-I%20BAL-04-05/Road%20from%206-0%20km%20of%20T01%20to%20Balwanthapur%20(Mal-5).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Serws4\My%20Documents\babu\Sector%20Estimate%20_%20Mylapur.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192.168.100.2\Mails%20Received\RAJU%20PR\2008-09%20BUILDINGS\HERITAGE%202008-09\SRIVARIMETTU%20-%20New\WINDOWS\Desktop\PMGSY%20PH-V\ARRR-ver-1104.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Roads-pmgsy\c\WINDOWS\Desktop\singh\db1\BIJNEPALLY\VATTEM_PALEM_BT_ROAD_15KM'S.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Saraswathi\saraswathi%20rao\Documents%20and%20Settings\hcl\Desktop\ARRR-ver-1104.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Office_dpo2\f\BACKUP%205-10-2010\New%20Folder\SIVARAM\INTERNAL%20DISTRUBUTION%20SYSTEMS\Data%20Items\Rampachodavaram%20projects\Pipes&amp;Valves09-10\1.Model%20pipelines%20Data%202008-09-1.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A:\singh\db1\NGKL_SPLRRM_%20ROAD_MODEL.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192.168.4.17\workings%20(e)\Files\BZ001%20-%20RO\Seminar\SEMINAR.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Filesrv\rws-common\nspt\GB-DES\NB1-HYD\NSPT-G~1.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PROJNET\GROUP4\PROPOSAL\CHEMICAL\FIRM\HALDIA\HDPE\CALCUTTA\PROPOSAL\CHEMICAL\FIRM\HALDIA\NCU\HPL\BECHTEL\OFFER\COST\HPL_LP4.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6C27CBCA\jawaharnagar-bpt-hyd-1.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C3\My%20Documents\prmr\Hyd%20stat3.xls"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new%20Ramadugu%205.03.2011\Gangadhara%20data%206.3.2011.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Filesrv\rws-common\designs\Nspt-proj\smpreply-final\PLest.xls" TargetMode="External"/></Relationships>
</file>

<file path=xl/externalLinks/_rels/externalLink98.xml.rels><?xml version="1.0" encoding="UTF-8" standalone="yes"?>
<Relationships xmlns="http://schemas.openxmlformats.org/package/2006/relationships"><Relationship Id="rId1" Type="http://schemas.microsoft.com/office/2006/relationships/xlExternalLinkPath/xlPathMissing" Target="DISCOUNT"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192.168.100.2\107CW\Users\AEE%207\Downloads\Documents%20and%20Settings\Administrator\Desktop\IHSDP_KMC\RGK.RAYANAM.BILL%203.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Services\c\windows\TEMP\Chemical\uran\finalBom\commercial\finalcost.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Dee3\c\Phase-V\ARRR-ver-1104-Chandegaon.xls"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DATA%202008-09\Documents%20and%20Settings\hcl\Desktop\ARRR-ver-1104.xls"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Ceprnab1-nab4\d\ARRR-ver-1105.xls"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Indiramma\e\Estimates\Nabard\Deverakonda\Koppole_bollaram\Est_KB.xls" TargetMode="External"/></Relationships>
</file>

<file path=xl/externalLinks/_rels/externalLink105.xml.rels><?xml version="1.0" encoding="UTF-8" standalone="yes"?>
<Relationships xmlns="http://schemas.openxmlformats.org/package/2006/relationships"><Relationship Id="rId1" Type="http://schemas.microsoft.com/office/2006/relationships/xlExternalLinkPath/xlPathMissing" Target="Lookup"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Sai4\d\muncipality\old%20muncipality\qpur%20%20total%20stuff\Qpur1\TRASH\DATAs\cgnagar%20data3.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192.168.100.2\Mails%20Received\2021\APMSIDC\Feb-21\02-02-21(VZM%20Estimates)\attachments_2010_12_07\est%20ref\DOCUME~1\SUDARS~1\LOCALS~1\Temp\Rar$DI00.765\Tirpuathi\Datas%20for%20roads%20and%20drains_2008-09.xls"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Eepr1\c\puttur\DATA%20PRINTS.,\-WORK%20UNDER%20PROGRESS-\PMGSY%20Training\Special%20FocusPMGSY%20Training%20programme\Rate%20analysis\ARRR-ver-1104.xls"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DATA%202008-09\Documents%20and%20Settings\RAMU\Desktop\ARRR-ver-1105-vsr.xls"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eleserver\sandeep\Data%202016-17.xlsx"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Adnin\Users\Old%20system%20files\Narsimha\singh\db1\BIJNEPALLY\VATTE_PALEM_CD3_WORKS.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Adnin\Users\Users\prasad\Downloads\Users\Sh@shi\Downloads\Venkat-2011-12\FILE-20.09.10\model%20%20KARIMNAGAR\Model-Anganwadi-KRNR\Poosala.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192.168.100.2\YMallikarjuna%20Reddy(SW)\Back%20up%20files%20up%20to%2017509\f\Price%20Escalation\Sekhar\SC%20Corporation\Bldgs\Monthly%20rates\Gooty\Welfare%20hostel%20complex%20Girls%20Gooty%2028.4.2010.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Office_dpo2\f\RDF%20Estimates\Chintalapudi%20-%20Kamalapuram%20road%20(via)%20Kantampalem%20from%20Km.10.0%20to%2023.6.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Adnin\Users\Users\prasad\Downloads\RDF%20Estimates\Chintalapudi%20-%20Kamalapuram%20road%20(via)%20Kantampalem%20from%20Km.10.0%20to%2023.6.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192.168.100.2\Marketing%20Data\Estimates\Estimates\Bowenpally\Up%20date\Estimates\Estimates\Medchal\2010-11\Compound%20wall%20(balance%20portion).xls"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file:///\\server\107CW\Users\AEE%207\Downloads\Marketing%20Data\Estimates\Estimates\Bowenpally\Up%20date\Estimates\Estimates\Medchal\2010-11\Compound%20wall%20(balance%20portion).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file:///\\Indiramma\e\Levels\Kodad\Adloor\Dondapadu-2.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A:\singh\db1\BIJNEPALLY\VATTEM_PALEM_BT_ROAD_15KM'S.xls"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Adnin\Users\Old%20system%20files\Narsimha\My%20Music\My%20Documents\Narsimha\CD-ESTT%20&amp;%20CD-DATA-MODEL.xls"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smb://Geetha/F/user/GMK/T4312-HIAL/BOQ/Public%20convenience%20building.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DASU-2\Office%20(E)\Correspondance\my%20docuements_Temp\AEE%20Kurupam\RR%20Cener\RR%20est\RSVY\RSVY%20Recast.Est\k.k.road\New_Itika_Turakanaiduvalasa.xls"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file:///C:\R&amp;B(Telangana)\Courts\KP-08.2.2018%20FROM%20%20R&amp;B%20DEPTT\Road%20Estimate.xls"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R&amp;B(Telangana)/Courts/KP-08.2.2018%20FROM%20%20R&amp;B%20DEPTT/Road%20Estimate.xls"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Eepr1\c\puttur\WINDOWS\Desktop\PMGSY%20PH-V\ARRR-ver-1104.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file:///\\Filesrv\rws-common\designs\Nspt-proj\gb-des\PLest-nb1-pac3.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l%20Economical%20PMain-Yerravanipalem.xls"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file:///\\29893273\l%20Ecconomical%20Pumping%20Main-DP1.xlsx"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Rwsproj6\d\pro%20ma\Gotlam\hydralic.xls"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file:///\\User4\c\prmr\Kangplly%20&amp;%20ramgiri\KGP.hyd%20rev%20GLBR.xls"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file:///\\ADNIN\Users\anwar\Documents%20and%20Settings\Acer\Desktop\educationa%20resource%20center\All%20Sections%202006\Civil\Subhash\SEWS%20Musthabad\SEWS%20bal.%20Ests\Rakesh2\MHP%20Daily.xls"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file:///C:\Users\srinu\Desktop\Repairs\Jaggampeta%20Boys\educationa%20resource%20center\All%20Sections%202006\Civil\Subhash\SEWS%20Musthabad\SEWS%20bal.%20Ests\Rakesh2\MHP%20Daily.xls"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Users/srinu/Desktop/Repairs/Jaggampeta%20Boys/educationa%20resource%20center/All%20Sections%202006/Civil/Subhash/SEWS%20Musthabad/SEWS%20bal.%20Ests/Rakesh2/MHP%20Daily.xls" TargetMode="External"/></Relationships>
</file>

<file path=xl/externalLinks/_rels/externalLink134.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Dornakal-Seetharam.xls" TargetMode="External"/></Relationships>
</file>

<file path=xl/externalLinks/_rels/externalLink135.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TS%20Tadwai-Bayyaram-N.xls"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file:///\\PCNEW\Sharing\Estimates\Buildings\MPP_Buildings\mpp%20estimate%20NADIGUDEM.xls" TargetMode="External"/></Relationships>
</file>

<file path=xl/externalLinks/_rels/externalLink137.xml.rels><?xml version="1.0" encoding="UTF-8" standalone="yes"?>
<Relationships xmlns="http://schemas.openxmlformats.org/package/2006/relationships"><Relationship Id="rId1" Type="http://schemas.openxmlformats.org/officeDocument/2006/relationships/externalLinkPath" Target="file:///\\DASU-2\Office%20(E)\Correspondance\my%20docuements_Temp\AEE%20Kurupam\RR%20Cener\RR%20est\NABARD%20RIDF.XI%20DATAS.xls" TargetMode="External"/></Relationships>
</file>

<file path=xl/externalLinks/_rels/externalLink138.xml.rels><?xml version="1.0" encoding="UTF-8" standalone="yes"?>
<Relationships xmlns="http://schemas.openxmlformats.org/package/2006/relationships"><Relationship Id="rId1" Type="http://schemas.openxmlformats.org/officeDocument/2006/relationships/externalLinkPath" Target="file:///\\Adnin\Users\Users\prasad\Downloads\My%20Documents\docu\docu\R&amp;B%20Dept.%20Estimates\East-Section.xls"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file:///\\Indiramma\e\Estimates\Buildings\Mpp_newplan\Nalgonda\MPP_Vemulapally.xls" TargetMode="External"/></Relationships>
</file>

<file path=xl/externalLinks/_rels/externalLink140.xml.rels><?xml version="1.0" encoding="UTF-8" standalone="yes"?>
<Relationships xmlns="http://schemas.openxmlformats.org/package/2006/relationships"><Relationship Id="rId1" Type="http://schemas.openxmlformats.org/officeDocument/2006/relationships/externalLinkPath" Target="file:///\\192.168.100.2\Data.xls"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file:///\\192.168.100.2\107CW\Users\AEE%207\Downloads\BACKUP%205-10-2010\New%20Folder\SIVARAM\INTERNAL%20DISTRUBUTION%20SYSTEMS\Data%20Items\RWS%20DATA%20COMMUNICATED\Valves09-10_NABARD%20DPR.xls"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file:///\\192.168.100.17\d\Marketing\Markfed\Market%20Yard%20Datas\PMGSY-I%20BAL-04-05\Road%20from%206-0%20km%20of%20T01%20to%20Balwanthapur%20(Mal-5).xls"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file:///\\Mayuri3\e\PMGSY-IV%20(ADDL)\Poodur%20to%20Surampet%20(mallial)%20(revised).xls"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file:///C:\latest_files\sgry_5-6\BACKUP\madhav\nabard\LATEST_NABARD\Beerole%20est.xls"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latest_files/sgry_5-6/BACKUP/madhav/nabard/LATEST_NABARD/Beerole%20est.xls"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file:///C:\MODEL%20SCHOOL%20KKT%2018.06.2014\DB%20files\Estts\PP_Jcl\FDR%20Estts\ModifiedFDR_RTRoad.xls" TargetMode="External"/></Relationships>
</file>

<file path=xl/externalLinks/_rels/externalLink147.xml.rels><?xml version="1.0" encoding="UTF-8" standalone="yes"?>
<Relationships xmlns="http://schemas.openxmlformats.org/package/2006/relationships"><Relationship Id="rId1" Type="http://schemas.openxmlformats.org/officeDocument/2006/relationships/externalLinkPath" Target="/MODEL%20SCHOOL%20KKT%2018.06.2014/DB%20files/Estts/PP_Jcl/FDR%20Estts/ModifiedFDR_RTRoad.xls" TargetMode="External"/></Relationships>
</file>

<file path=xl/externalLinks/_rels/externalLink148.xml.rels><?xml version="1.0" encoding="UTF-8" standalone="yes"?>
<Relationships xmlns="http://schemas.openxmlformats.org/package/2006/relationships"><Relationship Id="rId1" Type="http://schemas.openxmlformats.org/officeDocument/2006/relationships/externalLinkPath" Target="file:///\\192.168.100.2\107CW\Users\AEE%207\Downloads\Marketing%20Data\Padma\Kadapa%20Division\2000%20MT,%20IBPM.xls" TargetMode="External"/></Relationships>
</file>

<file path=xl/externalLinks/_rels/externalLink149.xml.rels><?xml version="1.0" encoding="UTF-8" standalone="yes"?>
<Relationships xmlns="http://schemas.openxmlformats.org/package/2006/relationships"><Relationship Id="rId1" Type="http://schemas.openxmlformats.org/officeDocument/2006/relationships/externalLinkPath" Target="file:///\\Prccdu\d\model%20estimate_vidavalur%20refined\model%20estimate%20folder\model%20estimate%20with%20labour%20charges.xls" TargetMode="External"/></Relationships>
</file>

<file path=xl/externalLinks/_rels/externalLink150.xml.rels><?xml version="1.0" encoding="UTF-8" standalone="yes"?>
<Relationships xmlns="http://schemas.openxmlformats.org/package/2006/relationships"><Relationship Id="rId1" Type="http://schemas.openxmlformats.org/officeDocument/2006/relationships/externalLinkPath" Target="file:///\\Pr1\d\CD's\L2007.xls" TargetMode="External"/></Relationships>
</file>

<file path=xl/externalLinks/_rels/externalLink151.xml.rels><?xml version="1.0" encoding="UTF-8" standalone="yes"?>
<Relationships xmlns="http://schemas.openxmlformats.org/package/2006/relationships"><Relationship Id="rId1" Type="http://schemas.openxmlformats.org/officeDocument/2006/relationships/externalLinkPath" Target="file:///\\192.168.100.2\107CW\Users\AEE%207\Downloads\Marketing%20Data\Padma\Kadapa%20Division\Documents%20and%20Settings\shailu\Desktop\New%20Folder\Bowenpally\New%20estt,%20Bowenpally.xls" TargetMode="External"/></Relationships>
</file>

<file path=xl/externalLinks/_rels/externalLink152.xml.rels><?xml version="1.0" encoding="UTF-8" standalone="yes"?>
<Relationships xmlns="http://schemas.openxmlformats.org/package/2006/relationships"><Relationship Id="rId1" Type="http://schemas.openxmlformats.org/officeDocument/2006/relationships/externalLinkPath" Target="file:///\\Rwsproj9\projects4\PipeLineDatas-2008\Model-ssrData2008.xls" TargetMode="External"/></Relationships>
</file>

<file path=xl/externalLinks/_rels/externalLink153.xml.rels><?xml version="1.0" encoding="UTF-8" standalone="yes"?>
<Relationships xmlns="http://schemas.openxmlformats.org/package/2006/relationships"><Relationship Id="rId1" Type="http://schemas.openxmlformats.org/officeDocument/2006/relationships/externalLinkPath" Target="file:///\\Office_dpo2\f\Estimates%20CE%20HUDCO\Impts.by%20wid.&amp;%20Strength.VAA%2051.8%20to%2052.8%20inc.CD%20works..xls" TargetMode="External"/></Relationships>
</file>

<file path=xl/externalLinks/_rels/externalLink154.xml.rels><?xml version="1.0" encoding="UTF-8" standalone="yes"?>
<Relationships xmlns="http://schemas.openxmlformats.org/package/2006/relationships"><Relationship Id="rId1" Type="http://schemas.openxmlformats.org/officeDocument/2006/relationships/externalLinkPath" Target="file:///\\Rwsp4\c\prmr\Hyd%20stat3.xls" TargetMode="External"/></Relationships>
</file>

<file path=xl/externalLinks/_rels/externalLink155.xml.rels><?xml version="1.0" encoding="UTF-8" standalone="yes"?>
<Relationships xmlns="http://schemas.openxmlformats.org/package/2006/relationships"><Relationship Id="rId1" Type="http://schemas.openxmlformats.org/officeDocument/2006/relationships/externalLinkPath" Target="file:///\\192.168.100.2\BACKUP%205-10-2010\New%20Folder\SIVARAM\INTERNAL%20DISTRUBUTION%20SYSTEMS\Data%20Items\Rampachodavaram%20projects\Pipes&amp;Valves09-10\1.Model%20pipelines%20Data%202008-09-1.XLS" TargetMode="External"/></Relationships>
</file>

<file path=xl/externalLinks/_rels/externalLink156.xml.rels><?xml version="1.0" encoding="UTF-8" standalone="yes"?>
<Relationships xmlns="http://schemas.openxmlformats.org/package/2006/relationships"><Relationship Id="rId1" Type="http://schemas.openxmlformats.org/officeDocument/2006/relationships/externalLinkPath" Target="file:///\\Rwsproj4\rwsproj4\NALGONDA_HUDCO_WORKEST\HUDCO_7_VOILSINGARAM_KRISHNA_PR\3_PIPELINES_VOILSINGRAM.XLS" TargetMode="External"/></Relationships>
</file>

<file path=xl/externalLinks/_rels/externalLink157.xml.rels><?xml version="1.0" encoding="UTF-8" standalone="yes"?>
<Relationships xmlns="http://schemas.openxmlformats.org/package/2006/relationships"><Relationship Id="rId1" Type="http://schemas.openxmlformats.org/officeDocument/2006/relationships/externalLinkPath" Target="file:///\\192.168.100.2\107CW\Users\AEE%207\Downloads\BACKUP%205-10-2010\New%20Folder\SIVARAM\INTERNAL%20DISTRUBUTION%20SYSTEMS\Data%20Items\Rampachodavaram%20projects\Pipes&amp;Valves09-10\1.Model%20pipelines%20Data%202008-09-1.XLS" TargetMode="External"/></Relationships>
</file>

<file path=xl/externalLinks/_rels/externalLink158.xml.rels><?xml version="1.0" encoding="UTF-8" standalone="yes"?>
<Relationships xmlns="http://schemas.openxmlformats.org/package/2006/relationships"><Relationship Id="rId1" Type="http://schemas.openxmlformats.org/officeDocument/2006/relationships/externalLinkPath" Target="smb://Geetha/F/Emer/emer_jonson/05.08.12_Construction%20Stage/Price%20Comp%20Nego/Structures/Rolly/nikkoshi/windows/TEMP/KOYO%E6%8F%90%E5%87%BA%E8%A6%8B%E7%A9%8D%E6%9B%B8%20.xls" TargetMode="External"/></Relationships>
</file>

<file path=xl/externalLinks/_rels/externalLink159.xml.rels><?xml version="1.0" encoding="UTF-8" standalone="yes"?>
<Relationships xmlns="http://schemas.openxmlformats.org/package/2006/relationships"><Relationship Id="rId1" Type="http://schemas.openxmlformats.org/officeDocument/2006/relationships/externalLinkPath" Target="/Users/SHIVA%20KUMAR%20GOUD/Desktop/SSR%20Item%20Rates.xlsx" TargetMode="External"/></Relationships>
</file>

<file path=xl/externalLinks/_rels/externalLink160.xml.rels><?xml version="1.0" encoding="UTF-8" standalone="yes"?>
<Relationships xmlns="http://schemas.openxmlformats.org/package/2006/relationships"><Relationship Id="rId1" Type="http://schemas.openxmlformats.org/officeDocument/2006/relationships/externalLinkPath" Target="file:///C:\Users\acer\Downloads\ICU%20100%20Beds%20at%20GH%20RE%2002.11.2022.xlsx" TargetMode="External"/></Relationships>
</file>

<file path=xl/externalLinks/_rels/externalLink161.xml.rels><?xml version="1.0" encoding="UTF-8" standalone="yes"?>
<Relationships xmlns="http://schemas.openxmlformats.org/package/2006/relationships"><Relationship Id="rId2" Type="http://schemas.openxmlformats.org/officeDocument/2006/relationships/externalLinkPath" Target="file:///C:\Users\SHIVA%20KUMAR%20GOUD\Desktop\SSR%20Item%20Rates.xlsx" TargetMode="External"/><Relationship Id="rId1" Type="http://schemas.openxmlformats.org/officeDocument/2006/relationships/externalLinkPath" Target="file:///C:\Users\SHIVA%20KUMAR%20GOUD\Desktop\SSR%20Item%20Rates.xlsx" TargetMode="External"/></Relationships>
</file>

<file path=xl/externalLinks/_rels/externalLink162.xml.rels><?xml version="1.0" encoding="UTF-8" standalone="yes"?>
<Relationships xmlns="http://schemas.openxmlformats.org/package/2006/relationships"><Relationship Id="rId1" Type="http://schemas.openxmlformats.org/officeDocument/2006/relationships/externalLinkPath" Target="file:///C:\Users\tsmsidc%20gandhi\Downloads\WE%20-%20Gandhi%20Hospital-IP%20Toilet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abstract"/>
      <sheetName val="detailed"/>
      <sheetName val="btrates"/>
      <sheetName val="cost"/>
      <sheetName val="thick"/>
      <sheetName val="Leadcost"/>
      <sheetName val="leads"/>
      <sheetName val="data"/>
      <sheetName val="hp900"/>
      <sheetName val="CDdata (2)"/>
      <sheetName val="1v900"/>
      <sheetName val="2v900"/>
      <sheetName val="3v900"/>
      <sheetName val="impRdam"/>
      <sheetName val="lchart"/>
      <sheetName val="lchart1"/>
      <sheetName val="Material"/>
      <sheetName val="Works"/>
      <sheetName val="RMR"/>
      <sheetName val="General"/>
      <sheetName val="rdamdata"/>
      <sheetName val="lead-st"/>
      <sheetName val="CDdata_(2)"/>
      <sheetName val="Sheet1"/>
      <sheetName val="Lead"/>
      <sheetName val="Materials"/>
      <sheetName val="Data "/>
      <sheetName val="Retaing"/>
      <sheetName val="Abstract(F6)"/>
      <sheetName val="CDdata_(2)1"/>
      <sheetName val="bom"/>
      <sheetName val="Labour"/>
      <sheetName val="Plant &amp;  Machinery"/>
      <sheetName val="Bridge Data 2005-06"/>
      <sheetName val="detls"/>
      <sheetName val="r"/>
      <sheetName val="CDdata_(2)5"/>
      <sheetName val="Data_2"/>
      <sheetName val="CDdata_(2)3"/>
      <sheetName val="CDdata_(2)2"/>
      <sheetName val="Data_"/>
      <sheetName val="CDdata_(2)4"/>
      <sheetName val="Data_1"/>
      <sheetName val="final abstract"/>
      <sheetName val="t_prsr"/>
      <sheetName val="id"/>
      <sheetName val="EDWise"/>
      <sheetName val="Design"/>
      <sheetName val="HDPE"/>
      <sheetName val="pvc"/>
      <sheetName val="pvc_basic"/>
      <sheetName val="Fee Rate Summary"/>
      <sheetName val="Rate Analysis"/>
      <sheetName val="Specification report"/>
      <sheetName val="Common "/>
      <sheetName val="Usage"/>
      <sheetName val="GN_ST_10"/>
      <sheetName val="PRECAST lightconc_II"/>
      <sheetName val="BALAN1"/>
      <sheetName val="Voucher"/>
      <sheetName val="DI"/>
      <sheetName val="wh"/>
      <sheetName val="Newabstract"/>
      <sheetName val="Specification"/>
      <sheetName val="DATA-BASE"/>
      <sheetName val="DATA-ABSTRACT"/>
      <sheetName val="C-data"/>
      <sheetName val="civ data"/>
      <sheetName val="TOP SLAB-beams"/>
      <sheetName val="SPT vs PHI"/>
      <sheetName val="Estimate"/>
      <sheetName val="Abs"/>
      <sheetName val="maya"/>
      <sheetName val="Main sheet"/>
      <sheetName val="ci"/>
      <sheetName val="civil-works"/>
      <sheetName val="CDdata_(2)6"/>
      <sheetName val="Data_3"/>
      <sheetName val="Plant_&amp;__Machinery"/>
      <sheetName val="Bridge_Data_2005-06"/>
      <sheetName val="final_abstract"/>
      <sheetName val="Specification_report"/>
      <sheetName val="Fee_Rate_Summary"/>
      <sheetName val="Rate_Analysis"/>
      <sheetName val="MRoad data"/>
      <sheetName val="MRATES"/>
      <sheetName val="Background"/>
      <sheetName val="v"/>
      <sheetName val="Datas"/>
      <sheetName val=" Brickwork Manhole "/>
      <sheetName val=" Estimate"/>
      <sheetName val="Levels"/>
      <sheetName val="sg-clay(d)"/>
      <sheetName val="DATA_PRG"/>
      <sheetName val="Rates"/>
      <sheetName val="Material "/>
      <sheetName val="ANALYSIS"/>
      <sheetName val="wh_data"/>
      <sheetName val="wh_data_R"/>
      <sheetName val="CPHEEO"/>
      <sheetName val="input"/>
      <sheetName val="BTR"/>
      <sheetName val="Road data"/>
      <sheetName val="Line"/>
      <sheetName val="mlead"/>
      <sheetName val="abs road"/>
      <sheetName val="R_Det"/>
      <sheetName val="data.f8.btr"/>
      <sheetName val="hdpe_basic"/>
      <sheetName val="Lead (Final)"/>
      <sheetName val="BLK3"/>
      <sheetName val="BLK2"/>
      <sheetName val="E &amp; R"/>
      <sheetName val="radar"/>
      <sheetName val="UG"/>
      <sheetName val="Road Detail Est."/>
      <sheetName val="Lead2021-22"/>
      <sheetName val="m"/>
      <sheetName val="data existing_do not delete"/>
      <sheetName val="CLEAR OVER FALL DROP"/>
      <sheetName val="basdat-f"/>
      <sheetName val="Sub -  Analysis"/>
      <sheetName val="Labour rates"/>
      <sheetName val="Steel"/>
      <sheetName val="Elec data"/>
      <sheetName val="Comp"/>
      <sheetName val="DATA 2021-22"/>
      <sheetName val="Staff Civil o&amp;m draft policy"/>
      <sheetName val="road est"/>
      <sheetName val="Cem Date"/>
      <sheetName val="Abs_CD_2"/>
      <sheetName val="coverpage"/>
      <sheetName val="ECV"/>
      <sheetName val="ABS.C.D."/>
      <sheetName val="Boq"/>
      <sheetName val="GF SB Ok "/>
      <sheetName val="p&amp;m"/>
      <sheetName val="not req 3"/>
      <sheetName val="0000000000000"/>
      <sheetName val="HDPE-pipe-rates"/>
      <sheetName val="pvc-pipe-rates"/>
      <sheetName val="Iocount"/>
      <sheetName val="mas_hab"/>
      <sheetName val="c.d.abs.est."/>
      <sheetName val="Sheet2"/>
      <sheetName val="Sanction dump"/>
      <sheetName val="clvrt_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Sno</v>
          </cell>
          <cell r="B3" t="str">
            <v>Lead</v>
          </cell>
          <cell r="C3">
            <v>0</v>
          </cell>
          <cell r="D3" t="str">
            <v>Earth</v>
          </cell>
          <cell r="E3" t="str">
            <v>Metal</v>
          </cell>
        </row>
        <row r="4">
          <cell r="A4">
            <v>0.1</v>
          </cell>
          <cell r="B4">
            <v>100</v>
          </cell>
          <cell r="C4" t="str">
            <v>m</v>
          </cell>
          <cell r="D4">
            <v>63</v>
          </cell>
          <cell r="E4">
            <v>72</v>
          </cell>
        </row>
        <row r="5">
          <cell r="A5">
            <v>0.2</v>
          </cell>
          <cell r="B5">
            <v>200</v>
          </cell>
          <cell r="C5" t="str">
            <v>m</v>
          </cell>
          <cell r="D5">
            <v>63</v>
          </cell>
          <cell r="E5">
            <v>72</v>
          </cell>
        </row>
        <row r="6">
          <cell r="A6">
            <v>0.3</v>
          </cell>
          <cell r="B6">
            <v>300</v>
          </cell>
          <cell r="C6" t="str">
            <v>m</v>
          </cell>
          <cell r="D6">
            <v>63</v>
          </cell>
          <cell r="E6">
            <v>72</v>
          </cell>
        </row>
        <row r="7">
          <cell r="A7">
            <v>0.4</v>
          </cell>
          <cell r="B7">
            <v>400</v>
          </cell>
          <cell r="C7" t="str">
            <v>m</v>
          </cell>
          <cell r="D7">
            <v>63</v>
          </cell>
          <cell r="E7">
            <v>72</v>
          </cell>
          <cell r="H7">
            <v>48</v>
          </cell>
        </row>
        <row r="8">
          <cell r="A8">
            <v>0.5</v>
          </cell>
          <cell r="B8">
            <v>500</v>
          </cell>
          <cell r="C8" t="str">
            <v>m</v>
          </cell>
          <cell r="D8">
            <v>63</v>
          </cell>
          <cell r="E8">
            <v>72</v>
          </cell>
        </row>
        <row r="9">
          <cell r="A9">
            <v>1</v>
          </cell>
          <cell r="B9">
            <v>1</v>
          </cell>
          <cell r="C9" t="str">
            <v>KM</v>
          </cell>
          <cell r="D9">
            <v>65</v>
          </cell>
          <cell r="E9">
            <v>75</v>
          </cell>
        </row>
        <row r="10">
          <cell r="A10">
            <v>2</v>
          </cell>
          <cell r="B10">
            <v>2</v>
          </cell>
          <cell r="C10" t="str">
            <v>KM</v>
          </cell>
          <cell r="D10">
            <v>68</v>
          </cell>
          <cell r="E10">
            <v>77</v>
          </cell>
        </row>
        <row r="11">
          <cell r="A11">
            <v>3</v>
          </cell>
          <cell r="B11">
            <v>3</v>
          </cell>
          <cell r="C11" t="str">
            <v>KM</v>
          </cell>
          <cell r="D11">
            <v>72</v>
          </cell>
          <cell r="E11">
            <v>81</v>
          </cell>
        </row>
        <row r="12">
          <cell r="A12">
            <v>4</v>
          </cell>
          <cell r="B12">
            <v>4</v>
          </cell>
          <cell r="C12" t="str">
            <v>KM</v>
          </cell>
          <cell r="D12">
            <v>75</v>
          </cell>
          <cell r="E12">
            <v>84</v>
          </cell>
        </row>
        <row r="13">
          <cell r="A13">
            <v>5</v>
          </cell>
          <cell r="B13">
            <v>5</v>
          </cell>
          <cell r="C13" t="str">
            <v>KM</v>
          </cell>
          <cell r="D13">
            <v>78</v>
          </cell>
          <cell r="E13">
            <v>87</v>
          </cell>
        </row>
        <row r="14">
          <cell r="A14">
            <v>6</v>
          </cell>
          <cell r="B14">
            <v>6</v>
          </cell>
          <cell r="C14" t="str">
            <v>KM</v>
          </cell>
          <cell r="D14">
            <v>81</v>
          </cell>
          <cell r="E14">
            <v>92</v>
          </cell>
        </row>
        <row r="15">
          <cell r="A15">
            <v>7</v>
          </cell>
          <cell r="B15">
            <v>7</v>
          </cell>
          <cell r="C15" t="str">
            <v>KM</v>
          </cell>
          <cell r="D15">
            <v>85</v>
          </cell>
          <cell r="E15">
            <v>94</v>
          </cell>
        </row>
        <row r="16">
          <cell r="A16">
            <v>8</v>
          </cell>
          <cell r="B16">
            <v>8</v>
          </cell>
          <cell r="C16" t="str">
            <v>KM</v>
          </cell>
          <cell r="D16">
            <v>88</v>
          </cell>
          <cell r="E16">
            <v>96</v>
          </cell>
        </row>
        <row r="17">
          <cell r="A17">
            <v>9</v>
          </cell>
          <cell r="B17">
            <v>9</v>
          </cell>
          <cell r="C17" t="str">
            <v>KM</v>
          </cell>
          <cell r="D17">
            <v>92</v>
          </cell>
          <cell r="E17">
            <v>101</v>
          </cell>
        </row>
        <row r="18">
          <cell r="A18">
            <v>10</v>
          </cell>
          <cell r="B18">
            <v>10</v>
          </cell>
          <cell r="C18" t="str">
            <v>KM</v>
          </cell>
          <cell r="D18">
            <v>95</v>
          </cell>
          <cell r="E18">
            <v>103</v>
          </cell>
        </row>
        <row r="19">
          <cell r="A19">
            <v>11</v>
          </cell>
          <cell r="B19">
            <v>11</v>
          </cell>
          <cell r="C19" t="str">
            <v>KM</v>
          </cell>
          <cell r="D19">
            <v>100</v>
          </cell>
          <cell r="E19">
            <v>106</v>
          </cell>
        </row>
        <row r="20">
          <cell r="A20">
            <v>12</v>
          </cell>
          <cell r="B20">
            <v>12</v>
          </cell>
          <cell r="C20" t="str">
            <v>KM</v>
          </cell>
          <cell r="D20">
            <v>102</v>
          </cell>
          <cell r="E20">
            <v>111</v>
          </cell>
        </row>
        <row r="21">
          <cell r="A21">
            <v>13</v>
          </cell>
          <cell r="B21">
            <v>13</v>
          </cell>
          <cell r="C21" t="str">
            <v>KM</v>
          </cell>
          <cell r="D21">
            <v>105</v>
          </cell>
          <cell r="E21">
            <v>114</v>
          </cell>
        </row>
        <row r="22">
          <cell r="A22">
            <v>14</v>
          </cell>
          <cell r="B22">
            <v>14</v>
          </cell>
          <cell r="C22" t="str">
            <v>KM</v>
          </cell>
          <cell r="D22">
            <v>109</v>
          </cell>
          <cell r="E22">
            <v>118</v>
          </cell>
        </row>
        <row r="23">
          <cell r="A23">
            <v>15</v>
          </cell>
          <cell r="B23">
            <v>15</v>
          </cell>
          <cell r="C23" t="str">
            <v>KM</v>
          </cell>
          <cell r="D23">
            <v>112</v>
          </cell>
          <cell r="E23">
            <v>120</v>
          </cell>
        </row>
        <row r="24">
          <cell r="A24">
            <v>16</v>
          </cell>
          <cell r="B24">
            <v>16</v>
          </cell>
          <cell r="C24" t="str">
            <v>KM</v>
          </cell>
          <cell r="D24">
            <v>114</v>
          </cell>
          <cell r="E24">
            <v>123</v>
          </cell>
        </row>
        <row r="25">
          <cell r="A25">
            <v>18</v>
          </cell>
          <cell r="B25">
            <v>18</v>
          </cell>
          <cell r="C25" t="str">
            <v>KM</v>
          </cell>
          <cell r="D25">
            <v>122</v>
          </cell>
          <cell r="E25">
            <v>130</v>
          </cell>
        </row>
        <row r="26">
          <cell r="A26">
            <v>19</v>
          </cell>
          <cell r="B26">
            <v>19</v>
          </cell>
          <cell r="C26" t="str">
            <v>KM</v>
          </cell>
          <cell r="D26">
            <v>125</v>
          </cell>
          <cell r="E26">
            <v>132</v>
          </cell>
        </row>
        <row r="27">
          <cell r="A27">
            <v>20</v>
          </cell>
          <cell r="B27">
            <v>20</v>
          </cell>
          <cell r="C27" t="str">
            <v>KM</v>
          </cell>
          <cell r="D27">
            <v>129</v>
          </cell>
          <cell r="E27">
            <v>137</v>
          </cell>
        </row>
        <row r="28">
          <cell r="A28">
            <v>21</v>
          </cell>
          <cell r="B28">
            <v>21</v>
          </cell>
          <cell r="C28" t="str">
            <v>KM</v>
          </cell>
          <cell r="D28">
            <v>131.80000000000001</v>
          </cell>
          <cell r="E28">
            <v>140.4</v>
          </cell>
        </row>
        <row r="29">
          <cell r="A29">
            <v>22</v>
          </cell>
          <cell r="B29">
            <v>22</v>
          </cell>
          <cell r="C29" t="str">
            <v>KM</v>
          </cell>
          <cell r="D29">
            <v>134.6</v>
          </cell>
          <cell r="E29">
            <v>143.80000000000001</v>
          </cell>
        </row>
        <row r="30">
          <cell r="A30">
            <v>23</v>
          </cell>
          <cell r="B30">
            <v>23</v>
          </cell>
          <cell r="C30" t="str">
            <v>KM</v>
          </cell>
          <cell r="D30">
            <v>137.4</v>
          </cell>
          <cell r="E30">
            <v>147.19999999999999</v>
          </cell>
        </row>
        <row r="31">
          <cell r="A31">
            <v>24</v>
          </cell>
          <cell r="B31">
            <v>24</v>
          </cell>
          <cell r="C31" t="str">
            <v>KM</v>
          </cell>
          <cell r="D31">
            <v>140.19999999999999</v>
          </cell>
          <cell r="E31">
            <v>150.6</v>
          </cell>
        </row>
        <row r="32">
          <cell r="A32">
            <v>25</v>
          </cell>
          <cell r="B32">
            <v>25</v>
          </cell>
          <cell r="C32" t="str">
            <v>KM</v>
          </cell>
          <cell r="D32">
            <v>143</v>
          </cell>
          <cell r="E32">
            <v>154</v>
          </cell>
        </row>
        <row r="33">
          <cell r="A33">
            <v>26</v>
          </cell>
          <cell r="B33">
            <v>26</v>
          </cell>
          <cell r="C33" t="str">
            <v>KM</v>
          </cell>
          <cell r="D33">
            <v>145.80000000000001</v>
          </cell>
          <cell r="E33">
            <v>157.4</v>
          </cell>
        </row>
        <row r="34">
          <cell r="A34">
            <v>27</v>
          </cell>
          <cell r="B34">
            <v>27</v>
          </cell>
          <cell r="C34" t="str">
            <v>KM</v>
          </cell>
          <cell r="D34">
            <v>148.6</v>
          </cell>
          <cell r="E34">
            <v>160.80000000000001</v>
          </cell>
        </row>
        <row r="35">
          <cell r="A35">
            <v>28</v>
          </cell>
          <cell r="B35">
            <v>28</v>
          </cell>
          <cell r="C35" t="str">
            <v>KM</v>
          </cell>
          <cell r="D35">
            <v>151.4</v>
          </cell>
          <cell r="E35">
            <v>164.2</v>
          </cell>
        </row>
        <row r="36">
          <cell r="A36">
            <v>29</v>
          </cell>
          <cell r="B36">
            <v>29</v>
          </cell>
          <cell r="C36" t="str">
            <v>KM</v>
          </cell>
          <cell r="D36">
            <v>154.19999999999999</v>
          </cell>
          <cell r="E36">
            <v>167.6</v>
          </cell>
        </row>
        <row r="37">
          <cell r="A37">
            <v>30</v>
          </cell>
          <cell r="B37">
            <v>30</v>
          </cell>
          <cell r="C37" t="str">
            <v>KM</v>
          </cell>
          <cell r="D37">
            <v>157</v>
          </cell>
          <cell r="E37">
            <v>171</v>
          </cell>
        </row>
        <row r="38">
          <cell r="A38">
            <v>31</v>
          </cell>
          <cell r="B38">
            <v>31</v>
          </cell>
          <cell r="C38" t="str">
            <v>KM</v>
          </cell>
          <cell r="D38">
            <v>159.80000000000001</v>
          </cell>
          <cell r="E38">
            <v>174.4</v>
          </cell>
        </row>
        <row r="39">
          <cell r="A39">
            <v>32</v>
          </cell>
          <cell r="B39">
            <v>32</v>
          </cell>
          <cell r="C39" t="str">
            <v>KM</v>
          </cell>
          <cell r="D39">
            <v>162.6</v>
          </cell>
          <cell r="E39">
            <v>177.8</v>
          </cell>
        </row>
        <row r="40">
          <cell r="A40">
            <v>33</v>
          </cell>
          <cell r="B40">
            <v>33</v>
          </cell>
          <cell r="C40" t="str">
            <v>KM</v>
          </cell>
          <cell r="D40">
            <v>165.4</v>
          </cell>
          <cell r="E40">
            <v>181.2</v>
          </cell>
        </row>
        <row r="41">
          <cell r="A41">
            <v>34</v>
          </cell>
          <cell r="B41">
            <v>34</v>
          </cell>
          <cell r="C41" t="str">
            <v>KM</v>
          </cell>
          <cell r="D41">
            <v>168.2</v>
          </cell>
          <cell r="E41">
            <v>184.6</v>
          </cell>
        </row>
        <row r="42">
          <cell r="A42">
            <v>35</v>
          </cell>
          <cell r="B42">
            <v>35</v>
          </cell>
          <cell r="C42" t="str">
            <v>KM</v>
          </cell>
          <cell r="D42">
            <v>171</v>
          </cell>
          <cell r="E42">
            <v>188</v>
          </cell>
        </row>
        <row r="43">
          <cell r="A43">
            <v>36</v>
          </cell>
          <cell r="B43">
            <v>36</v>
          </cell>
          <cell r="C43" t="str">
            <v>KM</v>
          </cell>
          <cell r="D43">
            <v>173.8</v>
          </cell>
          <cell r="E43">
            <v>191.4</v>
          </cell>
        </row>
        <row r="44">
          <cell r="A44">
            <v>37</v>
          </cell>
          <cell r="B44">
            <v>37</v>
          </cell>
          <cell r="C44" t="str">
            <v>KM</v>
          </cell>
          <cell r="D44">
            <v>176.6</v>
          </cell>
          <cell r="E44">
            <v>194.8</v>
          </cell>
        </row>
        <row r="45">
          <cell r="A45">
            <v>38</v>
          </cell>
          <cell r="B45">
            <v>38</v>
          </cell>
          <cell r="C45" t="str">
            <v>KM</v>
          </cell>
          <cell r="D45">
            <v>179.4</v>
          </cell>
          <cell r="E45">
            <v>198.2</v>
          </cell>
        </row>
        <row r="46">
          <cell r="A46">
            <v>39</v>
          </cell>
          <cell r="B46">
            <v>39</v>
          </cell>
          <cell r="C46" t="str">
            <v>KM</v>
          </cell>
          <cell r="D46">
            <v>182.2</v>
          </cell>
          <cell r="E46">
            <v>201.6</v>
          </cell>
        </row>
        <row r="47">
          <cell r="A47">
            <v>40</v>
          </cell>
          <cell r="B47">
            <v>40</v>
          </cell>
          <cell r="C47" t="str">
            <v>KM</v>
          </cell>
          <cell r="D47">
            <v>185</v>
          </cell>
          <cell r="E47">
            <v>205</v>
          </cell>
        </row>
        <row r="48">
          <cell r="A48">
            <v>41</v>
          </cell>
          <cell r="B48">
            <v>41</v>
          </cell>
          <cell r="C48" t="str">
            <v>KM</v>
          </cell>
          <cell r="D48">
            <v>187.8</v>
          </cell>
          <cell r="E48">
            <v>208.4</v>
          </cell>
        </row>
        <row r="49">
          <cell r="A49">
            <v>42</v>
          </cell>
          <cell r="B49">
            <v>42</v>
          </cell>
          <cell r="C49" t="str">
            <v>KM</v>
          </cell>
          <cell r="D49">
            <v>190.6</v>
          </cell>
          <cell r="E49">
            <v>211.8</v>
          </cell>
        </row>
        <row r="50">
          <cell r="A50">
            <v>43</v>
          </cell>
          <cell r="B50">
            <v>43</v>
          </cell>
          <cell r="C50" t="str">
            <v>KM</v>
          </cell>
          <cell r="D50">
            <v>193.4</v>
          </cell>
          <cell r="E50">
            <v>215.2</v>
          </cell>
        </row>
        <row r="51">
          <cell r="A51">
            <v>44</v>
          </cell>
          <cell r="B51">
            <v>44</v>
          </cell>
          <cell r="C51" t="str">
            <v>KM</v>
          </cell>
          <cell r="D51">
            <v>196.2</v>
          </cell>
          <cell r="E51">
            <v>218.6</v>
          </cell>
        </row>
        <row r="52">
          <cell r="A52">
            <v>45</v>
          </cell>
          <cell r="B52">
            <v>45</v>
          </cell>
          <cell r="C52" t="str">
            <v>KM</v>
          </cell>
          <cell r="D52">
            <v>199</v>
          </cell>
          <cell r="E52">
            <v>222</v>
          </cell>
        </row>
        <row r="53">
          <cell r="A53">
            <v>46</v>
          </cell>
          <cell r="B53">
            <v>46</v>
          </cell>
          <cell r="C53" t="str">
            <v>KM</v>
          </cell>
          <cell r="D53">
            <v>201.8</v>
          </cell>
          <cell r="E53">
            <v>225.4</v>
          </cell>
        </row>
        <row r="54">
          <cell r="A54">
            <v>47</v>
          </cell>
          <cell r="B54">
            <v>47</v>
          </cell>
          <cell r="C54" t="str">
            <v>KM</v>
          </cell>
          <cell r="D54">
            <v>204.6</v>
          </cell>
          <cell r="E54">
            <v>228.8</v>
          </cell>
        </row>
        <row r="55">
          <cell r="A55">
            <v>48</v>
          </cell>
          <cell r="B55">
            <v>48</v>
          </cell>
          <cell r="C55" t="str">
            <v>KM</v>
          </cell>
          <cell r="D55">
            <v>207.4</v>
          </cell>
          <cell r="E55">
            <v>232.2</v>
          </cell>
        </row>
        <row r="56">
          <cell r="A56">
            <v>49</v>
          </cell>
          <cell r="B56">
            <v>49</v>
          </cell>
          <cell r="C56" t="str">
            <v>KM</v>
          </cell>
          <cell r="D56">
            <v>210.2</v>
          </cell>
          <cell r="E56">
            <v>235.6</v>
          </cell>
        </row>
        <row r="57">
          <cell r="A57">
            <v>50</v>
          </cell>
          <cell r="B57">
            <v>50</v>
          </cell>
          <cell r="C57" t="str">
            <v>KM</v>
          </cell>
          <cell r="D57">
            <v>213</v>
          </cell>
          <cell r="E57">
            <v>239</v>
          </cell>
        </row>
        <row r="58">
          <cell r="A58">
            <v>51</v>
          </cell>
          <cell r="B58">
            <v>51</v>
          </cell>
          <cell r="C58" t="str">
            <v>KM</v>
          </cell>
          <cell r="D58">
            <v>215.6</v>
          </cell>
          <cell r="E58">
            <v>242.1</v>
          </cell>
        </row>
        <row r="59">
          <cell r="A59">
            <v>52</v>
          </cell>
          <cell r="B59">
            <v>52</v>
          </cell>
          <cell r="C59" t="str">
            <v>KM</v>
          </cell>
          <cell r="D59">
            <v>218.2</v>
          </cell>
          <cell r="E59">
            <v>245.2</v>
          </cell>
        </row>
        <row r="60">
          <cell r="A60">
            <v>53</v>
          </cell>
          <cell r="B60">
            <v>53</v>
          </cell>
          <cell r="C60" t="str">
            <v>KM</v>
          </cell>
          <cell r="D60">
            <v>220.8</v>
          </cell>
          <cell r="E60">
            <v>248.3</v>
          </cell>
        </row>
        <row r="61">
          <cell r="A61">
            <v>54</v>
          </cell>
          <cell r="B61">
            <v>54</v>
          </cell>
          <cell r="C61" t="str">
            <v>KM</v>
          </cell>
          <cell r="D61">
            <v>223.4</v>
          </cell>
          <cell r="E61">
            <v>251.4</v>
          </cell>
        </row>
        <row r="62">
          <cell r="A62">
            <v>55</v>
          </cell>
          <cell r="B62">
            <v>55</v>
          </cell>
          <cell r="C62" t="str">
            <v>KM</v>
          </cell>
          <cell r="D62">
            <v>226</v>
          </cell>
          <cell r="E62">
            <v>254.5</v>
          </cell>
        </row>
        <row r="63">
          <cell r="A63">
            <v>56</v>
          </cell>
          <cell r="B63">
            <v>56</v>
          </cell>
          <cell r="C63" t="str">
            <v>KM</v>
          </cell>
          <cell r="D63">
            <v>228.6</v>
          </cell>
          <cell r="E63">
            <v>257.60000000000002</v>
          </cell>
        </row>
        <row r="64">
          <cell r="A64">
            <v>57</v>
          </cell>
          <cell r="B64">
            <v>57</v>
          </cell>
          <cell r="C64" t="str">
            <v>KM</v>
          </cell>
          <cell r="D64">
            <v>231.2</v>
          </cell>
          <cell r="E64">
            <v>260.7</v>
          </cell>
        </row>
        <row r="65">
          <cell r="A65">
            <v>58</v>
          </cell>
          <cell r="B65">
            <v>58</v>
          </cell>
          <cell r="C65" t="str">
            <v>KM</v>
          </cell>
          <cell r="D65">
            <v>233.8</v>
          </cell>
          <cell r="E65">
            <v>263.8</v>
          </cell>
        </row>
        <row r="66">
          <cell r="A66">
            <v>59</v>
          </cell>
          <cell r="B66">
            <v>59</v>
          </cell>
          <cell r="C66" t="str">
            <v>KM</v>
          </cell>
          <cell r="D66">
            <v>236.4</v>
          </cell>
          <cell r="E66">
            <v>266.89999999999998</v>
          </cell>
        </row>
        <row r="67">
          <cell r="A67">
            <v>60</v>
          </cell>
          <cell r="B67">
            <v>60</v>
          </cell>
          <cell r="C67" t="str">
            <v>KM</v>
          </cell>
          <cell r="D67">
            <v>239</v>
          </cell>
          <cell r="E67">
            <v>270</v>
          </cell>
        </row>
        <row r="68">
          <cell r="A68">
            <v>61</v>
          </cell>
          <cell r="B68">
            <v>61</v>
          </cell>
          <cell r="C68" t="str">
            <v>KM</v>
          </cell>
          <cell r="D68">
            <v>241.6</v>
          </cell>
          <cell r="E68">
            <v>273.10000000000002</v>
          </cell>
        </row>
        <row r="69">
          <cell r="A69">
            <v>62</v>
          </cell>
          <cell r="B69">
            <v>62</v>
          </cell>
          <cell r="C69" t="str">
            <v>KM</v>
          </cell>
          <cell r="D69">
            <v>244.2</v>
          </cell>
          <cell r="E69">
            <v>276.2</v>
          </cell>
        </row>
        <row r="70">
          <cell r="A70">
            <v>63</v>
          </cell>
          <cell r="B70">
            <v>63</v>
          </cell>
          <cell r="C70" t="str">
            <v>KM</v>
          </cell>
          <cell r="D70">
            <v>246.8</v>
          </cell>
          <cell r="E70">
            <v>279.3</v>
          </cell>
        </row>
        <row r="71">
          <cell r="A71">
            <v>64</v>
          </cell>
          <cell r="B71">
            <v>64</v>
          </cell>
          <cell r="C71" t="str">
            <v>KM</v>
          </cell>
          <cell r="D71">
            <v>249.4</v>
          </cell>
          <cell r="E71">
            <v>282.39999999999998</v>
          </cell>
        </row>
        <row r="72">
          <cell r="A72">
            <v>65</v>
          </cell>
          <cell r="B72">
            <v>65</v>
          </cell>
          <cell r="C72" t="str">
            <v>KM</v>
          </cell>
          <cell r="D72">
            <v>252</v>
          </cell>
          <cell r="E72">
            <v>285.5</v>
          </cell>
        </row>
        <row r="73">
          <cell r="A73">
            <v>66</v>
          </cell>
          <cell r="B73">
            <v>66</v>
          </cell>
          <cell r="C73" t="str">
            <v>KM</v>
          </cell>
          <cell r="D73">
            <v>254.6</v>
          </cell>
          <cell r="E73">
            <v>288.60000000000002</v>
          </cell>
        </row>
        <row r="74">
          <cell r="A74">
            <v>67</v>
          </cell>
          <cell r="B74">
            <v>67</v>
          </cell>
          <cell r="C74" t="str">
            <v>KM</v>
          </cell>
          <cell r="D74">
            <v>257.2</v>
          </cell>
          <cell r="E74">
            <v>291.7</v>
          </cell>
        </row>
        <row r="75">
          <cell r="A75">
            <v>68</v>
          </cell>
          <cell r="B75">
            <v>68</v>
          </cell>
          <cell r="C75" t="str">
            <v>KM</v>
          </cell>
          <cell r="D75">
            <v>259.8</v>
          </cell>
          <cell r="E75">
            <v>294.8</v>
          </cell>
        </row>
        <row r="76">
          <cell r="A76">
            <v>69</v>
          </cell>
          <cell r="B76">
            <v>69</v>
          </cell>
          <cell r="C76" t="str">
            <v>KM</v>
          </cell>
          <cell r="D76">
            <v>262.39999999999998</v>
          </cell>
          <cell r="E76">
            <v>297.89999999999998</v>
          </cell>
        </row>
        <row r="77">
          <cell r="A77">
            <v>70</v>
          </cell>
          <cell r="B77">
            <v>70</v>
          </cell>
          <cell r="C77" t="str">
            <v>KM</v>
          </cell>
          <cell r="D77">
            <v>265</v>
          </cell>
          <cell r="E77">
            <v>301</v>
          </cell>
        </row>
        <row r="78">
          <cell r="A78">
            <v>71</v>
          </cell>
          <cell r="B78">
            <v>71</v>
          </cell>
          <cell r="C78" t="str">
            <v>KM</v>
          </cell>
          <cell r="D78">
            <v>267.60000000000002</v>
          </cell>
          <cell r="E78">
            <v>304.10000000000002</v>
          </cell>
        </row>
        <row r="79">
          <cell r="A79">
            <v>72</v>
          </cell>
          <cell r="B79">
            <v>72</v>
          </cell>
          <cell r="C79" t="str">
            <v>KM</v>
          </cell>
          <cell r="D79">
            <v>270.2</v>
          </cell>
          <cell r="E79">
            <v>307.2</v>
          </cell>
        </row>
        <row r="80">
          <cell r="A80">
            <v>73</v>
          </cell>
          <cell r="B80">
            <v>73</v>
          </cell>
          <cell r="C80" t="str">
            <v>KM</v>
          </cell>
          <cell r="D80">
            <v>272.8</v>
          </cell>
          <cell r="E80">
            <v>310.3</v>
          </cell>
        </row>
        <row r="81">
          <cell r="A81">
            <v>74</v>
          </cell>
          <cell r="B81">
            <v>74</v>
          </cell>
          <cell r="C81" t="str">
            <v>KM</v>
          </cell>
          <cell r="D81">
            <v>275.39999999999998</v>
          </cell>
          <cell r="E81">
            <v>313.39999999999998</v>
          </cell>
        </row>
        <row r="82">
          <cell r="A82">
            <v>75</v>
          </cell>
          <cell r="B82">
            <v>75</v>
          </cell>
          <cell r="C82" t="str">
            <v>KM</v>
          </cell>
          <cell r="D82">
            <v>278</v>
          </cell>
          <cell r="E82">
            <v>316.5</v>
          </cell>
        </row>
        <row r="83">
          <cell r="A83">
            <v>76</v>
          </cell>
          <cell r="B83">
            <v>76</v>
          </cell>
          <cell r="C83" t="str">
            <v>KM</v>
          </cell>
          <cell r="D83">
            <v>280.60000000000002</v>
          </cell>
          <cell r="E83">
            <v>319.60000000000002</v>
          </cell>
        </row>
        <row r="84">
          <cell r="A84">
            <v>77</v>
          </cell>
          <cell r="B84">
            <v>77</v>
          </cell>
          <cell r="C84" t="str">
            <v>KM</v>
          </cell>
          <cell r="D84">
            <v>283.2</v>
          </cell>
          <cell r="E84">
            <v>322.7</v>
          </cell>
        </row>
        <row r="85">
          <cell r="A85">
            <v>78</v>
          </cell>
          <cell r="B85">
            <v>78</v>
          </cell>
          <cell r="C85" t="str">
            <v>KM</v>
          </cell>
          <cell r="D85">
            <v>285.8</v>
          </cell>
          <cell r="E85">
            <v>325.8</v>
          </cell>
        </row>
        <row r="86">
          <cell r="A86">
            <v>79</v>
          </cell>
          <cell r="B86">
            <v>79</v>
          </cell>
          <cell r="C86" t="str">
            <v>KM</v>
          </cell>
          <cell r="D86">
            <v>288.39999999999998</v>
          </cell>
          <cell r="E86">
            <v>328.9</v>
          </cell>
        </row>
        <row r="87">
          <cell r="A87">
            <v>80</v>
          </cell>
          <cell r="B87">
            <v>80</v>
          </cell>
          <cell r="C87" t="str">
            <v>KM</v>
          </cell>
          <cell r="D87">
            <v>291</v>
          </cell>
          <cell r="E87">
            <v>332</v>
          </cell>
        </row>
        <row r="88">
          <cell r="A88">
            <v>81</v>
          </cell>
          <cell r="B88">
            <v>81</v>
          </cell>
          <cell r="C88" t="str">
            <v>KM</v>
          </cell>
          <cell r="D88">
            <v>293.60000000000002</v>
          </cell>
          <cell r="E88">
            <v>335.1</v>
          </cell>
        </row>
        <row r="89">
          <cell r="A89">
            <v>82</v>
          </cell>
          <cell r="B89">
            <v>82</v>
          </cell>
          <cell r="C89" t="str">
            <v>KM</v>
          </cell>
          <cell r="D89">
            <v>296.2</v>
          </cell>
          <cell r="E89">
            <v>338.2</v>
          </cell>
        </row>
        <row r="90">
          <cell r="A90">
            <v>83</v>
          </cell>
          <cell r="B90">
            <v>83</v>
          </cell>
          <cell r="C90" t="str">
            <v>KM</v>
          </cell>
          <cell r="D90">
            <v>298.8</v>
          </cell>
          <cell r="E90">
            <v>341.3</v>
          </cell>
        </row>
        <row r="91">
          <cell r="A91">
            <v>84</v>
          </cell>
          <cell r="B91">
            <v>84</v>
          </cell>
          <cell r="C91" t="str">
            <v>KM</v>
          </cell>
          <cell r="D91">
            <v>301.39999999999998</v>
          </cell>
          <cell r="E91">
            <v>344.4</v>
          </cell>
        </row>
        <row r="92">
          <cell r="A92">
            <v>85</v>
          </cell>
          <cell r="B92">
            <v>85</v>
          </cell>
          <cell r="C92" t="str">
            <v>KM</v>
          </cell>
          <cell r="D92">
            <v>304</v>
          </cell>
          <cell r="E92">
            <v>347.5</v>
          </cell>
        </row>
        <row r="93">
          <cell r="A93">
            <v>86</v>
          </cell>
          <cell r="B93">
            <v>86</v>
          </cell>
          <cell r="C93" t="str">
            <v>KM</v>
          </cell>
          <cell r="D93">
            <v>306.60000000000002</v>
          </cell>
          <cell r="E93">
            <v>350.6</v>
          </cell>
        </row>
        <row r="94">
          <cell r="A94">
            <v>87</v>
          </cell>
          <cell r="B94">
            <v>87</v>
          </cell>
          <cell r="C94" t="str">
            <v>KM</v>
          </cell>
          <cell r="D94">
            <v>309.2</v>
          </cell>
          <cell r="E94">
            <v>353.7</v>
          </cell>
        </row>
        <row r="95">
          <cell r="A95">
            <v>88</v>
          </cell>
          <cell r="B95">
            <v>88</v>
          </cell>
          <cell r="C95" t="str">
            <v>KM</v>
          </cell>
          <cell r="D95">
            <v>311.8</v>
          </cell>
          <cell r="E95">
            <v>356.8</v>
          </cell>
        </row>
        <row r="96">
          <cell r="A96">
            <v>89</v>
          </cell>
          <cell r="B96">
            <v>89</v>
          </cell>
          <cell r="C96" t="str">
            <v>KM</v>
          </cell>
          <cell r="D96">
            <v>314.39999999999998</v>
          </cell>
          <cell r="E96">
            <v>359.9</v>
          </cell>
        </row>
        <row r="97">
          <cell r="A97">
            <v>90</v>
          </cell>
          <cell r="B97">
            <v>90</v>
          </cell>
          <cell r="C97" t="str">
            <v>KM</v>
          </cell>
          <cell r="D97">
            <v>317</v>
          </cell>
          <cell r="E97">
            <v>363</v>
          </cell>
        </row>
        <row r="98">
          <cell r="A98">
            <v>91</v>
          </cell>
          <cell r="B98">
            <v>91</v>
          </cell>
          <cell r="C98" t="str">
            <v>KM</v>
          </cell>
          <cell r="D98">
            <v>319.60000000000002</v>
          </cell>
          <cell r="E98">
            <v>366.1</v>
          </cell>
        </row>
        <row r="99">
          <cell r="A99">
            <v>92</v>
          </cell>
          <cell r="B99">
            <v>92</v>
          </cell>
          <cell r="C99" t="str">
            <v>KM</v>
          </cell>
          <cell r="D99">
            <v>322.2</v>
          </cell>
          <cell r="E99">
            <v>369.2</v>
          </cell>
        </row>
        <row r="100">
          <cell r="A100">
            <v>93</v>
          </cell>
          <cell r="B100">
            <v>93</v>
          </cell>
          <cell r="C100" t="str">
            <v>KM</v>
          </cell>
          <cell r="D100">
            <v>324.8</v>
          </cell>
          <cell r="E100">
            <v>372.3</v>
          </cell>
        </row>
        <row r="101">
          <cell r="A101">
            <v>94</v>
          </cell>
          <cell r="B101">
            <v>94</v>
          </cell>
          <cell r="C101" t="str">
            <v>KM</v>
          </cell>
          <cell r="D101">
            <v>327.39999999999998</v>
          </cell>
          <cell r="E101">
            <v>375.4</v>
          </cell>
        </row>
        <row r="102">
          <cell r="A102">
            <v>95</v>
          </cell>
          <cell r="B102">
            <v>95</v>
          </cell>
          <cell r="C102" t="str">
            <v>KM</v>
          </cell>
          <cell r="D102">
            <v>330</v>
          </cell>
          <cell r="E102">
            <v>378.5</v>
          </cell>
        </row>
        <row r="103">
          <cell r="A103">
            <v>96</v>
          </cell>
          <cell r="B103">
            <v>96</v>
          </cell>
          <cell r="C103" t="str">
            <v>KM</v>
          </cell>
          <cell r="D103">
            <v>332.6</v>
          </cell>
          <cell r="E103">
            <v>381.6</v>
          </cell>
        </row>
        <row r="104">
          <cell r="A104">
            <v>97</v>
          </cell>
          <cell r="B104">
            <v>97</v>
          </cell>
          <cell r="C104" t="str">
            <v>KM</v>
          </cell>
          <cell r="D104">
            <v>335.2</v>
          </cell>
          <cell r="E104">
            <v>384.7</v>
          </cell>
        </row>
        <row r="105">
          <cell r="A105">
            <v>98</v>
          </cell>
          <cell r="B105">
            <v>98</v>
          </cell>
          <cell r="C105" t="str">
            <v>KM</v>
          </cell>
          <cell r="D105">
            <v>337.8</v>
          </cell>
          <cell r="E105">
            <v>387.8</v>
          </cell>
        </row>
        <row r="106">
          <cell r="A106">
            <v>99</v>
          </cell>
          <cell r="B106">
            <v>99</v>
          </cell>
          <cell r="C106" t="str">
            <v>KM</v>
          </cell>
          <cell r="D106">
            <v>340.4</v>
          </cell>
          <cell r="E106">
            <v>390.9</v>
          </cell>
        </row>
        <row r="107">
          <cell r="A107">
            <v>100</v>
          </cell>
          <cell r="B107">
            <v>100</v>
          </cell>
          <cell r="C107" t="str">
            <v>KM</v>
          </cell>
          <cell r="D107">
            <v>343</v>
          </cell>
          <cell r="E107">
            <v>394</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sheetData sheetId="40"/>
      <sheetData sheetId="4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p"/>
      <sheetName val="data_new"/>
      <sheetName val="lead-st"/>
      <sheetName val="v"/>
      <sheetName val="r"/>
      <sheetName val="l"/>
      <sheetName val="Data.F8.BTR"/>
      <sheetName val="rdamdata"/>
      <sheetName val="leads"/>
      <sheetName val="Material"/>
      <sheetName val="Plant &amp;  Machinery"/>
      <sheetName val="Data_F8_BTR"/>
      <sheetName val="Plant_&amp;__Machinery"/>
      <sheetName val="Labour"/>
      <sheetName val="Lead statement ss5"/>
      <sheetName val="Lead_statement_ss5"/>
      <sheetName val="DATA"/>
      <sheetName val="HDPE"/>
      <sheetName val="DI"/>
      <sheetName val="pvc"/>
      <sheetName val="ssr-rates"/>
      <sheetName val="Lead"/>
      <sheetName val="data existing_do not delete"/>
      <sheetName val="DATA_PRG"/>
      <sheetName val="Rates-May-14"/>
      <sheetName val="t_prsr"/>
      <sheetName val="wh"/>
      <sheetName val="clvrt_data"/>
      <sheetName val="Sheet1"/>
      <sheetName val="Nspt-smp-final-ORIGINAL"/>
      <sheetName val="TOP SLAB-beams"/>
      <sheetName val="int-Dia-pvc"/>
      <sheetName val="Plant 㫨  Machinery"/>
      <sheetName val="Plant_㫨__Machinery"/>
      <sheetName val="Data_F8_BTR3"/>
      <sheetName val="Plant_&amp;__Machinery3"/>
      <sheetName val="Lead_statement_ss53"/>
      <sheetName val="Data_F8_BTR1"/>
      <sheetName val="Plant_&amp;__Machinery1"/>
      <sheetName val="Lead_statement_ss51"/>
      <sheetName val="Data_F8_BTR2"/>
      <sheetName val="Plant_&amp;__Machinery2"/>
      <sheetName val="Lead_statement_ss52"/>
      <sheetName val="Common "/>
      <sheetName val="Rates"/>
      <sheetName val="PH data"/>
      <sheetName val="MRATES"/>
      <sheetName val="Works"/>
      <sheetName val="RMR"/>
      <sheetName val="General"/>
      <sheetName val="Lɥad"/>
      <sheetName val="id"/>
      <sheetName val="Bitumen trunk"/>
      <sheetName val="Feeder"/>
      <sheetName val="R99 etc"/>
      <sheetName val="Trunk unpaved"/>
      <sheetName val="m"/>
      <sheetName val="Levels"/>
      <sheetName val="mlead"/>
      <sheetName val="abs road"/>
      <sheetName val="coverpage"/>
      <sheetName val="Road data"/>
      <sheetName val="R_Det"/>
      <sheetName val="DATA-BASE"/>
      <sheetName val="DATA-ABSTRACT"/>
      <sheetName val="Class IV Qtr. Ele"/>
      <sheetName val="Bridge Data 2005-06"/>
      <sheetName val="bom"/>
      <sheetName val="Lead statement"/>
      <sheetName val="GROUND FLOOR"/>
      <sheetName val="water-hammar-strenght"/>
      <sheetName val="hdpe weights"/>
      <sheetName val="PVC weights"/>
      <sheetName val="0000000000000"/>
      <sheetName val="SSR"/>
      <sheetName val="VC 80"/>
      <sheetName val="VC 450"/>
      <sheetName val="hdpe_basic"/>
      <sheetName val="pvc_basic"/>
      <sheetName val="Delivery mains"/>
      <sheetName val="bundqty"/>
      <sheetName val="CONST"/>
      <sheetName val="maya"/>
      <sheetName val="Specification"/>
      <sheetName val="Specification report"/>
      <sheetName val="data_existing_do_not_delete2"/>
      <sheetName val="Bitumen_trunk2"/>
      <sheetName val="R99_etc2"/>
      <sheetName val="Trunk_unpaved2"/>
      <sheetName val="abs_road2"/>
      <sheetName val="Road_data2"/>
      <sheetName val="Class_IV_Qtr__Ele2"/>
      <sheetName val="Bridge_Data_2005-062"/>
      <sheetName val="Lead_statement2"/>
      <sheetName val="GROUND_FLOOR2"/>
      <sheetName val="data_existing_do_not_delete"/>
      <sheetName val="Bitumen_trunk"/>
      <sheetName val="R99_etc"/>
      <sheetName val="Trunk_unpaved"/>
      <sheetName val="abs_road"/>
      <sheetName val="Road_data"/>
      <sheetName val="Class_IV_Qtr__Ele"/>
      <sheetName val="Bridge_Data_2005-06"/>
      <sheetName val="Lead_statement"/>
      <sheetName val="GROUND_FLOOR"/>
      <sheetName val="data_existing_do_not_delete1"/>
      <sheetName val="Bitumen_trunk1"/>
      <sheetName val="R99_etc1"/>
      <sheetName val="Trunk_unpaved1"/>
      <sheetName val="abs_road1"/>
      <sheetName val="Road_data1"/>
      <sheetName val="Class_IV_Qtr__Ele1"/>
      <sheetName val="Bridge_Data_2005-061"/>
      <sheetName val="Lead_statement1"/>
      <sheetName val="GROUND_FLOOR1"/>
      <sheetName val="Analy"/>
      <sheetName val="1-Pop Proj"/>
      <sheetName val="Estimate "/>
      <sheetName val="banilad"/>
      <sheetName val="SECPROP"/>
      <sheetName val="CABLENOS."/>
      <sheetName val="Main sheet"/>
      <sheetName val="PROCTOR"/>
      <sheetName val="Ins &amp; Bonds"/>
      <sheetName val="A-3.1"/>
      <sheetName val="Client req"/>
      <sheetName val="MRoad data"/>
      <sheetName val="detls"/>
      <sheetName val="Sheet2"/>
      <sheetName val="Sheet3"/>
      <sheetName val="Sheet1 (2)"/>
      <sheetName val="wt of CID joint"/>
      <sheetName val="AC DAta"/>
      <sheetName val="Pipe Pilne MAch"/>
      <sheetName val="Sheet4"/>
      <sheetName val="Indurhty"/>
      <sheetName val="Indurhty 2016-17"/>
      <sheetName val="Sheet5"/>
      <sheetName val="1"/>
      <sheetName val="2"/>
      <sheetName val="3"/>
      <sheetName val="4"/>
      <sheetName val="final abstract"/>
      <sheetName val="BOQ (2)"/>
      <sheetName val="Rates SSR 2008-09"/>
      <sheetName val="PUMP_DATA"/>
      <sheetName val="Tees"/>
      <sheetName val="Usage"/>
      <sheetName val="C-data"/>
      <sheetName val="RWS"/>
      <sheetName val="Entry"/>
      <sheetName val="FORM-W3"/>
      <sheetName val="index"/>
      <sheetName val="Cash2"/>
      <sheetName val="Design"/>
      <sheetName val="COVER"/>
      <sheetName val="BWSCPlt"/>
      <sheetName val="CI"/>
      <sheetName val="G.R.P"/>
      <sheetName val="PSC REVISED"/>
      <sheetName val="Quarry"/>
      <sheetName val="Line"/>
      <sheetName val="BTR"/>
      <sheetName val="CRUST"/>
      <sheetName val="QDTS"/>
      <sheetName val="Abs_CD_2"/>
      <sheetName val="road est"/>
      <sheetName val="ECV"/>
      <sheetName val="DATA SHEET"/>
      <sheetName val="ANAL-PIPE LINE"/>
      <sheetName val="MS Pipe Working"/>
      <sheetName val="wh_data"/>
      <sheetName val="wh_data_R"/>
      <sheetName val="CPHEEO"/>
      <sheetName val="input"/>
      <sheetName val="civ data"/>
      <sheetName val="Rate Analysis"/>
      <sheetName val="RMR.PS"/>
      <sheetName val="BTR.PS"/>
      <sheetName val="Road data.PS"/>
      <sheetName val="Road data-TDR"/>
      <sheetName val="HDPE-pipe-rates"/>
      <sheetName val="pvc-pipe-rates"/>
      <sheetName val="650kL-design-final"/>
      <sheetName val="_5wgdhabfinal00_01"/>
      <sheetName val="SPT vs PHI"/>
      <sheetName val="PS1"/>
      <sheetName val="Data_F8_BTR4"/>
      <sheetName val="Plant_&amp;__Machinery4"/>
      <sheetName val="Lead_statement_ss54"/>
      <sheetName val="data_existing_do_not_delete3"/>
      <sheetName val="TOP_SLAB-beams"/>
      <sheetName val="Plant_㫨__Machinery1"/>
      <sheetName val="Common_"/>
      <sheetName val="Bitumen_trunk3"/>
      <sheetName val="R99_etc3"/>
      <sheetName val="Trunk_unpaved3"/>
      <sheetName val="abs_road3"/>
      <sheetName val="Road_data3"/>
      <sheetName val="Class_IV_Qtr__Ele3"/>
      <sheetName val="Bridge_Data_2005-063"/>
      <sheetName val="Lead_statement3"/>
      <sheetName val="GROUND_FLOOR3"/>
      <sheetName val="hdpe_weights"/>
      <sheetName val="PVC_weights"/>
      <sheetName val="VC_80"/>
      <sheetName val="VC_450"/>
      <sheetName val="PH_data"/>
      <sheetName val="Delivery_mains"/>
      <sheetName val="Ins_&amp;_Bonds"/>
      <sheetName val="A-3_1"/>
      <sheetName val="Client_req"/>
      <sheetName val="Specification_report"/>
      <sheetName val="1-Pop_Proj"/>
      <sheetName val="Estimate_"/>
      <sheetName val="CABLENOS_"/>
      <sheetName val="Main_sheet"/>
      <sheetName val="MRoad_data"/>
      <sheetName val="final_abstract"/>
      <sheetName val="Sheet1_(2)"/>
      <sheetName val="wt_of_CID_joint"/>
      <sheetName val="AC_DAta"/>
      <sheetName val="Pipe_Pilne_MAch"/>
      <sheetName val="Indurhty_2016-17"/>
      <sheetName val="gen_abstrct"/>
      <sheetName val="sand"/>
      <sheetName val="stone"/>
      <sheetName val="Mix Design"/>
      <sheetName val="Cost of O &amp; O"/>
      <sheetName val="WATER-HAMMER"/>
      <sheetName val="Mactan"/>
      <sheetName val="Mandaue"/>
      <sheetName val="Data-ELSR"/>
      <sheetName val="Bed Class"/>
      <sheetName val="CPIPE"/>
      <sheetName val="CPIPE2"/>
      <sheetName val="Cs"/>
      <sheetName val="DVALUE"/>
      <sheetName val="THK"/>
      <sheetName val="20kL-design-final"/>
      <sheetName val="Bill-12"/>
      <sheetName val="sup dat"/>
      <sheetName val="Detail In Door Stad"/>
      <sheetName val="IDCCALHYD_GOO"/>
      <sheetName val="Detailed"/>
      <sheetName val="concrete"/>
      <sheetName val="Civil Boq"/>
      <sheetName val="Summary"/>
      <sheetName val="DATA 2021-22"/>
      <sheetName val="Staff Civil o&amp;m draft policy"/>
      <sheetName val="Convey"/>
      <sheetName val="C.D.Abs.Est."/>
      <sheetName val="SALIENT"/>
      <sheetName val="gen"/>
      <sheetName val="10"/>
      <sheetName val="11"/>
      <sheetName val="12"/>
      <sheetName val="2A"/>
      <sheetName val="2B"/>
      <sheetName val="2C"/>
      <sheetName val="2D"/>
      <sheetName val="2E"/>
      <sheetName val="2F"/>
      <sheetName val="2G"/>
      <sheetName val="2H"/>
      <sheetName val="3A"/>
      <sheetName val="3B"/>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4"/>
      <sheetName val="TBAL9697 -group wise  sdpl"/>
      <sheetName val="p&amp;m"/>
      <sheetName val="Staff Acco."/>
      <sheetName val="Cd"/>
      <sheetName val="SewerCAD MH Data"/>
      <sheetName val="Design 2040 Design Flows-(1)"/>
      <sheetName val="SewerCAD Pipe Data-Actual 2040"/>
      <sheetName val="CONNECT"/>
      <sheetName val="analysis"/>
      <sheetName val="Abs"/>
      <sheetName val="X-2"/>
      <sheetName val="Exp"/>
      <sheetName val="A 3_7"/>
      <sheetName val="LEAD S 10-11"/>
      <sheetName val="not req 3"/>
      <sheetName val="nodes"/>
      <sheetName val="int-Dia"/>
      <sheetName val="habs-list"/>
      <sheetName val="GF SB Ok "/>
      <sheetName val="other rates"/>
      <sheetName val="MTC-estimate"/>
      <sheetName val="Gen Abs"/>
      <sheetName val="Data_Base"/>
      <sheetName val="Work_sheet"/>
      <sheetName val="SUMP1420KL@HW"/>
      <sheetName val="1V800"/>
      <sheetName val="Cable-data"/>
      <sheetName val="Rate"/>
      <sheetName val="pop"/>
      <sheetName val="hdpe-rates"/>
      <sheetName val="pvc-rates"/>
      <sheetName val="Civil-works"/>
      <sheetName val="Admin"/>
      <sheetName val="foundation(V)"/>
      <sheetName val="Data-2011-12"/>
      <sheetName val="DL CAL"/>
      <sheetName val="slab"/>
      <sheetName val="Flanged Beams"/>
      <sheetName val="Rectangular Beam"/>
      <sheetName val="Interface_SC"/>
      <sheetName val="Calc_ISC"/>
      <sheetName val="Calc_SC"/>
      <sheetName val="Interface_ISC"/>
      <sheetName val="GD"/>
      <sheetName val="Boq"/>
      <sheetName val="Road Detail Est."/>
      <sheetName val="SOR"/>
      <sheetName val="TTL"/>
      <sheetName val="Civil Works"/>
      <sheetName val="MRMECADAMoad data"/>
      <sheetName val="EDWise"/>
    </sheetNames>
    <sheetDataSet>
      <sheetData sheetId="0" refreshError="1"/>
      <sheetData sheetId="1" refreshError="1"/>
      <sheetData sheetId="2" refreshError="1"/>
      <sheetData sheetId="3" refreshError="1"/>
      <sheetData sheetId="4" refreshError="1">
        <row r="2">
          <cell r="F2">
            <v>100</v>
          </cell>
        </row>
        <row r="3">
          <cell r="F3">
            <v>90</v>
          </cell>
        </row>
        <row r="4">
          <cell r="F4">
            <v>65</v>
          </cell>
        </row>
        <row r="29">
          <cell r="F29">
            <v>44</v>
          </cell>
        </row>
        <row r="30">
          <cell r="F30">
            <v>0.25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sheetData sheetId="135"/>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sheetData sheetId="188"/>
      <sheetData sheetId="189"/>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sheetData sheetId="223"/>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sheetData sheetId="273"/>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abstract"/>
      <sheetName val="detailed"/>
      <sheetName val="cdAbst"/>
      <sheetName val="cost"/>
      <sheetName val="data"/>
      <sheetName val="hp900"/>
      <sheetName val="CDdata (2)"/>
      <sheetName val="1v900"/>
      <sheetName val="2v900"/>
      <sheetName val="3v900"/>
      <sheetName val="impRdam"/>
      <sheetName val="CDdata"/>
      <sheetName val="lchart"/>
      <sheetName val="keymap"/>
      <sheetName val="LS"/>
      <sheetName val="CS"/>
      <sheetName val="leads"/>
      <sheetName val="Labour"/>
      <sheetName val="Material"/>
      <sheetName val="Plant &amp;  Machinery"/>
      <sheetName val="CDdata_(2)"/>
      <sheetName val="Plant_&amp;__Machinery"/>
      <sheetName val="r"/>
      <sheetName val="Sheet1"/>
      <sheetName val="MRATES"/>
      <sheetName val="Rates SSR 2008-09"/>
      <sheetName val="final abstract"/>
      <sheetName val="sand"/>
      <sheetName val="stone"/>
      <sheetName val="Devider(CC)"/>
      <sheetName val="Devider (CRS)"/>
      <sheetName val="data-Parks-new"/>
      <sheetName val="C-Mat-Gen-"/>
      <sheetName val="Data "/>
      <sheetName val="Devider (CRS) final"/>
      <sheetName val="GA"/>
      <sheetName val="Single Devider"/>
      <sheetName val="v"/>
      <sheetName val="rdamdata"/>
      <sheetName val="DATA_PRG"/>
      <sheetName val="Quarry"/>
      <sheetName val="RMR"/>
      <sheetName val="Line"/>
      <sheetName val="BTR"/>
      <sheetName val="CRUST"/>
      <sheetName val="QDTS"/>
      <sheetName val="Rates"/>
      <sheetName val="Road data"/>
      <sheetName val="Lead"/>
      <sheetName val="0000"/>
      <sheetName val="Start"/>
      <sheetName val="1. Add"/>
      <sheetName val="2. Fill"/>
      <sheetName val="3. Split"/>
      <sheetName val="4. Transpose"/>
      <sheetName val="5. Sort &amp; filter"/>
      <sheetName val="6. Tables"/>
      <sheetName val="7. Drop-downs"/>
      <sheetName val="8. Analyze"/>
      <sheetName val="9. Charts"/>
      <sheetName val="10. PivotTables"/>
      <sheetName val="Learn more"/>
      <sheetName val="Cover Page"/>
      <sheetName val="Sheet2"/>
      <sheetName val="Sp. Rep."/>
      <sheetName val="Sp.Rep.2"/>
      <sheetName val="CC est 3.00 lakhs"/>
      <sheetName val="Drain est"/>
      <sheetName val="Input Sheet 3.00 L"/>
      <sheetName val="Sp. Rep. (wrk dne)"/>
      <sheetName val="CC est 80+20 (work done)"/>
      <sheetName val="CC est 80+20"/>
      <sheetName val="Input Sheet 80+20"/>
      <sheetName val="comp report"/>
      <sheetName val="CC Road data"/>
      <sheetName val="Drain DATA"/>
      <sheetName val="Sheet11"/>
      <sheetName val="Conveyance"/>
      <sheetName val="Sp. Rep. (2)"/>
      <sheetName val="Work done"/>
      <sheetName val="Completion"/>
      <sheetName val="Conv"/>
      <sheetName val="New lead2"/>
      <sheetName val="CD-DAta"/>
      <sheetName val="Base Course "/>
      <sheetName val="Sheet3"/>
      <sheetName val="Sheet5"/>
      <sheetName val="Sheet18"/>
      <sheetName val="Sheet19"/>
      <sheetName val="coverpage"/>
      <sheetName val="Rd.Est"/>
      <sheetName val="Works"/>
      <sheetName val="General"/>
      <sheetName val="HDPE"/>
      <sheetName val="DI"/>
      <sheetName val="pvc"/>
      <sheetName val="Rates2"/>
      <sheetName val="CDdata_(2)1"/>
      <sheetName val="Plant_&amp;__Machinery1"/>
      <sheetName val="CDdata_(2)2"/>
      <sheetName val="Plant_&amp;__Machinery2"/>
      <sheetName val="BALAN1"/>
      <sheetName val="m"/>
      <sheetName val="c.d.abs.est."/>
      <sheetName val="SC Cost FEB 03"/>
      <sheetName val="pvc_basic"/>
      <sheetName val="Staff Acco."/>
      <sheetName val="Convey"/>
      <sheetName val="mlead"/>
      <sheetName val="abs road"/>
      <sheetName val="Abs_CD_2"/>
      <sheetName val="road est"/>
      <sheetName val="ECV"/>
      <sheetName val="BLK2"/>
      <sheetName val="BLK3"/>
      <sheetName val="E &amp; R"/>
      <sheetName val="radar"/>
      <sheetName val="UG"/>
      <sheetName val="hdpe_basic"/>
      <sheetName val="Rates_SSR_2008-09"/>
      <sheetName val="final_abstract"/>
      <sheetName val="Devider_(CRS)"/>
      <sheetName val="Data_"/>
      <sheetName val="Devider_(CRS)_final"/>
      <sheetName val="Single_Devider"/>
      <sheetName val="Road_data"/>
      <sheetName val="Abs"/>
      <sheetName val="bom"/>
      <sheetName val="wh_data"/>
      <sheetName val="CPHEEO"/>
      <sheetName val="wh_data_R"/>
      <sheetName val="input"/>
      <sheetName val="MRoad data"/>
      <sheetName val="lead-st"/>
      <sheetName val="not req 3"/>
      <sheetName val="C-data"/>
      <sheetName val="Sheet1 (2)"/>
      <sheetName val="cert"/>
      <sheetName val="Iocount"/>
      <sheetName val="Wordsdata"/>
      <sheetName val="int-Dia"/>
      <sheetName val="habs-list"/>
      <sheetName val="nodes"/>
      <sheetName val="maya"/>
      <sheetName val="Lead statement ss5"/>
      <sheetName val="TS memo"/>
      <sheetName val="X-2"/>
      <sheetName val="DATA-BASE"/>
      <sheetName val="DATA-ABSTRACT"/>
      <sheetName val="detls"/>
      <sheetName val="Estt"/>
      <sheetName val="road detail est."/>
      <sheetName val="Gen_Abs"/>
      <sheetName val="GT DUMP"/>
      <sheetName val="sancdump"/>
      <sheetName val="GZL"/>
      <sheetName val="factors"/>
      <sheetName val="Levels"/>
      <sheetName val="PS1"/>
      <sheetName val="clvrt_data"/>
      <sheetName val="hdpe weights"/>
      <sheetName val="PVC weights"/>
      <sheetName val="index"/>
      <sheetName val="Usage"/>
      <sheetName val="int-Dia-hdpe"/>
      <sheetName val="int-Dia-pvc"/>
      <sheetName val="segments-details"/>
      <sheetName val="Specification report"/>
      <sheetName val="FORM7"/>
      <sheetName val="Data base"/>
      <sheetName val="ewst"/>
      <sheetName val="t_prsr"/>
      <sheetName val="ssr-rates"/>
      <sheetName val="wh"/>
      <sheetName val="0000000000000"/>
      <sheetName val="Sub -  Analysis"/>
      <sheetName val="Labour rates"/>
      <sheetName val="Rate analysis"/>
      <sheetName val="RMR 2008-09"/>
      <sheetName val="civ data"/>
      <sheetName val="Ins &amp; Bonds"/>
      <sheetName val="A-3.1"/>
      <sheetName val="Client req"/>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3">
          <cell r="A3" t="str">
            <v>Sno</v>
          </cell>
          <cell r="B3" t="str">
            <v>Lead</v>
          </cell>
          <cell r="C3">
            <v>0</v>
          </cell>
          <cell r="D3" t="str">
            <v>Earth</v>
          </cell>
          <cell r="E3" t="str">
            <v>Metal</v>
          </cell>
        </row>
        <row r="4">
          <cell r="A4">
            <v>1</v>
          </cell>
          <cell r="B4">
            <v>100</v>
          </cell>
          <cell r="C4" t="str">
            <v>m</v>
          </cell>
          <cell r="D4">
            <v>16</v>
          </cell>
        </row>
        <row r="5">
          <cell r="A5">
            <v>2</v>
          </cell>
          <cell r="B5">
            <v>200</v>
          </cell>
          <cell r="C5" t="str">
            <v>m</v>
          </cell>
          <cell r="D5">
            <v>25</v>
          </cell>
        </row>
        <row r="6">
          <cell r="A6">
            <v>3</v>
          </cell>
          <cell r="B6">
            <v>300</v>
          </cell>
          <cell r="C6" t="str">
            <v>m</v>
          </cell>
          <cell r="D6">
            <v>33</v>
          </cell>
        </row>
        <row r="7">
          <cell r="A7">
            <v>4</v>
          </cell>
          <cell r="B7">
            <v>400</v>
          </cell>
          <cell r="C7" t="str">
            <v>m</v>
          </cell>
          <cell r="D7">
            <v>45</v>
          </cell>
        </row>
        <row r="8">
          <cell r="A8">
            <v>5</v>
          </cell>
          <cell r="B8">
            <v>500</v>
          </cell>
          <cell r="C8" t="str">
            <v>m</v>
          </cell>
          <cell r="D8">
            <v>56</v>
          </cell>
          <cell r="E8">
            <v>64</v>
          </cell>
        </row>
        <row r="9">
          <cell r="A9">
            <v>6</v>
          </cell>
          <cell r="B9">
            <v>1</v>
          </cell>
          <cell r="C9" t="str">
            <v>KM</v>
          </cell>
          <cell r="D9">
            <v>58</v>
          </cell>
          <cell r="E9">
            <v>67</v>
          </cell>
        </row>
        <row r="10">
          <cell r="A10">
            <v>7</v>
          </cell>
          <cell r="B10">
            <v>2</v>
          </cell>
          <cell r="C10" t="str">
            <v>KM</v>
          </cell>
          <cell r="D10">
            <v>61</v>
          </cell>
          <cell r="E10">
            <v>69</v>
          </cell>
        </row>
        <row r="11">
          <cell r="A11">
            <v>8</v>
          </cell>
          <cell r="B11">
            <v>3</v>
          </cell>
          <cell r="C11" t="str">
            <v>KM</v>
          </cell>
          <cell r="D11">
            <v>64</v>
          </cell>
          <cell r="E11">
            <v>72</v>
          </cell>
        </row>
        <row r="12">
          <cell r="A12">
            <v>9</v>
          </cell>
          <cell r="B12">
            <v>4</v>
          </cell>
          <cell r="C12" t="str">
            <v>KM</v>
          </cell>
          <cell r="D12">
            <v>67</v>
          </cell>
          <cell r="E12">
            <v>75</v>
          </cell>
        </row>
        <row r="13">
          <cell r="A13">
            <v>10</v>
          </cell>
          <cell r="B13">
            <v>5</v>
          </cell>
          <cell r="C13" t="str">
            <v>KM</v>
          </cell>
          <cell r="D13">
            <v>70</v>
          </cell>
          <cell r="E13">
            <v>78</v>
          </cell>
        </row>
        <row r="14">
          <cell r="A14">
            <v>11</v>
          </cell>
          <cell r="B14">
            <v>6</v>
          </cell>
          <cell r="C14" t="str">
            <v>KM</v>
          </cell>
          <cell r="D14">
            <v>72</v>
          </cell>
          <cell r="E14">
            <v>82</v>
          </cell>
        </row>
        <row r="15">
          <cell r="A15">
            <v>12</v>
          </cell>
          <cell r="B15">
            <v>7</v>
          </cell>
          <cell r="C15" t="str">
            <v>KM</v>
          </cell>
          <cell r="D15">
            <v>76</v>
          </cell>
          <cell r="E15">
            <v>84</v>
          </cell>
        </row>
        <row r="16">
          <cell r="A16">
            <v>13</v>
          </cell>
          <cell r="B16">
            <v>8</v>
          </cell>
          <cell r="C16" t="str">
            <v>KM</v>
          </cell>
          <cell r="D16">
            <v>79</v>
          </cell>
          <cell r="E16">
            <v>86</v>
          </cell>
        </row>
        <row r="17">
          <cell r="A17">
            <v>14</v>
          </cell>
          <cell r="B17">
            <v>9</v>
          </cell>
          <cell r="C17" t="str">
            <v>KM</v>
          </cell>
          <cell r="D17">
            <v>82</v>
          </cell>
          <cell r="E17">
            <v>90</v>
          </cell>
        </row>
        <row r="18">
          <cell r="A18">
            <v>15</v>
          </cell>
          <cell r="B18">
            <v>10</v>
          </cell>
          <cell r="C18" t="str">
            <v>KM</v>
          </cell>
          <cell r="D18">
            <v>85</v>
          </cell>
          <cell r="E18">
            <v>92</v>
          </cell>
        </row>
        <row r="19">
          <cell r="A19">
            <v>16</v>
          </cell>
          <cell r="B19">
            <v>11</v>
          </cell>
          <cell r="C19" t="str">
            <v>KM</v>
          </cell>
          <cell r="D19">
            <v>89</v>
          </cell>
          <cell r="E19">
            <v>95</v>
          </cell>
        </row>
        <row r="20">
          <cell r="A20">
            <v>17</v>
          </cell>
          <cell r="B20">
            <v>12</v>
          </cell>
          <cell r="C20" t="str">
            <v>KM</v>
          </cell>
          <cell r="D20">
            <v>91</v>
          </cell>
          <cell r="E20">
            <v>99</v>
          </cell>
        </row>
        <row r="21">
          <cell r="A21">
            <v>18</v>
          </cell>
          <cell r="B21">
            <v>13</v>
          </cell>
          <cell r="C21" t="str">
            <v>KM</v>
          </cell>
          <cell r="D21">
            <v>94</v>
          </cell>
          <cell r="E21">
            <v>102</v>
          </cell>
        </row>
        <row r="22">
          <cell r="A22">
            <v>19</v>
          </cell>
          <cell r="B22">
            <v>14</v>
          </cell>
          <cell r="C22" t="str">
            <v>KM</v>
          </cell>
          <cell r="D22">
            <v>97</v>
          </cell>
          <cell r="E22">
            <v>105</v>
          </cell>
        </row>
        <row r="23">
          <cell r="A23">
            <v>20</v>
          </cell>
          <cell r="B23">
            <v>15</v>
          </cell>
          <cell r="C23" t="str">
            <v>KM</v>
          </cell>
          <cell r="D23">
            <v>100</v>
          </cell>
          <cell r="E23">
            <v>107</v>
          </cell>
        </row>
        <row r="24">
          <cell r="A24">
            <v>21</v>
          </cell>
          <cell r="B24">
            <v>16</v>
          </cell>
          <cell r="C24" t="str">
            <v>KM</v>
          </cell>
          <cell r="D24">
            <v>102</v>
          </cell>
          <cell r="E24">
            <v>110</v>
          </cell>
        </row>
        <row r="25">
          <cell r="A25">
            <v>22</v>
          </cell>
          <cell r="B25">
            <v>17</v>
          </cell>
          <cell r="C25" t="str">
            <v>KM</v>
          </cell>
          <cell r="D25">
            <v>106</v>
          </cell>
          <cell r="E25">
            <v>113</v>
          </cell>
        </row>
        <row r="26">
          <cell r="A26">
            <v>23</v>
          </cell>
          <cell r="B26">
            <v>18</v>
          </cell>
          <cell r="C26" t="str">
            <v>KM</v>
          </cell>
          <cell r="D26">
            <v>109</v>
          </cell>
          <cell r="E26">
            <v>116</v>
          </cell>
        </row>
        <row r="27">
          <cell r="A27">
            <v>24</v>
          </cell>
          <cell r="B27">
            <v>19</v>
          </cell>
          <cell r="C27" t="str">
            <v>KM</v>
          </cell>
          <cell r="D27">
            <v>112</v>
          </cell>
          <cell r="E27">
            <v>118</v>
          </cell>
        </row>
        <row r="28">
          <cell r="A28">
            <v>25</v>
          </cell>
          <cell r="B28">
            <v>20</v>
          </cell>
          <cell r="C28" t="str">
            <v>KM</v>
          </cell>
          <cell r="D28">
            <v>115</v>
          </cell>
          <cell r="E28">
            <v>122</v>
          </cell>
        </row>
        <row r="29">
          <cell r="A29">
            <v>26</v>
          </cell>
          <cell r="B29">
            <v>21</v>
          </cell>
          <cell r="C29" t="str">
            <v>KM</v>
          </cell>
          <cell r="D29">
            <v>117.5</v>
          </cell>
          <cell r="E29">
            <v>125</v>
          </cell>
        </row>
        <row r="30">
          <cell r="A30">
            <v>27</v>
          </cell>
          <cell r="B30">
            <v>22</v>
          </cell>
          <cell r="C30" t="str">
            <v>KM</v>
          </cell>
          <cell r="D30">
            <v>120</v>
          </cell>
          <cell r="E30">
            <v>128</v>
          </cell>
        </row>
        <row r="31">
          <cell r="A31">
            <v>28</v>
          </cell>
          <cell r="B31">
            <v>23</v>
          </cell>
          <cell r="C31" t="str">
            <v>KM</v>
          </cell>
          <cell r="D31">
            <v>122.5</v>
          </cell>
          <cell r="E31">
            <v>131</v>
          </cell>
        </row>
        <row r="32">
          <cell r="A32">
            <v>29</v>
          </cell>
          <cell r="B32">
            <v>24</v>
          </cell>
          <cell r="C32" t="str">
            <v>KM</v>
          </cell>
          <cell r="D32">
            <v>125</v>
          </cell>
          <cell r="E32">
            <v>134</v>
          </cell>
        </row>
        <row r="33">
          <cell r="A33">
            <v>30</v>
          </cell>
          <cell r="B33">
            <v>25</v>
          </cell>
          <cell r="C33" t="str">
            <v>KM</v>
          </cell>
          <cell r="D33">
            <v>127.5</v>
          </cell>
          <cell r="E33">
            <v>137</v>
          </cell>
        </row>
        <row r="34">
          <cell r="A34">
            <v>31</v>
          </cell>
          <cell r="B34">
            <v>26</v>
          </cell>
          <cell r="C34" t="str">
            <v>KM</v>
          </cell>
          <cell r="D34">
            <v>130</v>
          </cell>
          <cell r="E34">
            <v>140</v>
          </cell>
        </row>
        <row r="35">
          <cell r="A35">
            <v>32</v>
          </cell>
          <cell r="B35">
            <v>27</v>
          </cell>
          <cell r="C35" t="str">
            <v>KM</v>
          </cell>
          <cell r="D35">
            <v>132.5</v>
          </cell>
          <cell r="E35">
            <v>143</v>
          </cell>
        </row>
        <row r="36">
          <cell r="A36">
            <v>33</v>
          </cell>
          <cell r="B36">
            <v>28</v>
          </cell>
          <cell r="C36" t="str">
            <v>KM</v>
          </cell>
          <cell r="D36">
            <v>135</v>
          </cell>
          <cell r="E36">
            <v>146</v>
          </cell>
        </row>
        <row r="37">
          <cell r="A37">
            <v>34</v>
          </cell>
          <cell r="B37">
            <v>29</v>
          </cell>
          <cell r="C37" t="str">
            <v>KM</v>
          </cell>
          <cell r="D37">
            <v>137.5</v>
          </cell>
          <cell r="E37">
            <v>149</v>
          </cell>
        </row>
        <row r="38">
          <cell r="A38">
            <v>35</v>
          </cell>
          <cell r="B38">
            <v>30</v>
          </cell>
          <cell r="C38" t="str">
            <v>KM</v>
          </cell>
          <cell r="D38">
            <v>140</v>
          </cell>
          <cell r="E38">
            <v>152</v>
          </cell>
        </row>
        <row r="39">
          <cell r="A39">
            <v>36</v>
          </cell>
          <cell r="B39">
            <v>31</v>
          </cell>
          <cell r="C39" t="str">
            <v>KM</v>
          </cell>
          <cell r="D39">
            <v>142.5</v>
          </cell>
          <cell r="E39">
            <v>155</v>
          </cell>
        </row>
        <row r="40">
          <cell r="A40">
            <v>37</v>
          </cell>
          <cell r="B40">
            <v>32</v>
          </cell>
          <cell r="C40" t="str">
            <v>KM</v>
          </cell>
          <cell r="D40">
            <v>145</v>
          </cell>
          <cell r="E40">
            <v>158</v>
          </cell>
        </row>
        <row r="41">
          <cell r="A41">
            <v>38</v>
          </cell>
          <cell r="B41">
            <v>33</v>
          </cell>
          <cell r="C41" t="str">
            <v>KM</v>
          </cell>
          <cell r="D41">
            <v>147.5</v>
          </cell>
          <cell r="E41">
            <v>161</v>
          </cell>
        </row>
        <row r="42">
          <cell r="A42">
            <v>39</v>
          </cell>
          <cell r="B42">
            <v>34</v>
          </cell>
          <cell r="C42" t="str">
            <v>KM</v>
          </cell>
          <cell r="D42">
            <v>150</v>
          </cell>
          <cell r="E42">
            <v>164</v>
          </cell>
        </row>
        <row r="43">
          <cell r="A43">
            <v>40</v>
          </cell>
          <cell r="B43">
            <v>35</v>
          </cell>
          <cell r="C43" t="str">
            <v>KM</v>
          </cell>
          <cell r="D43">
            <v>152.5</v>
          </cell>
          <cell r="E43">
            <v>167</v>
          </cell>
        </row>
        <row r="44">
          <cell r="A44">
            <v>41</v>
          </cell>
          <cell r="B44">
            <v>36</v>
          </cell>
          <cell r="C44" t="str">
            <v>KM</v>
          </cell>
          <cell r="D44">
            <v>155</v>
          </cell>
          <cell r="E44">
            <v>170</v>
          </cell>
        </row>
        <row r="45">
          <cell r="A45">
            <v>42</v>
          </cell>
          <cell r="B45">
            <v>37</v>
          </cell>
          <cell r="C45" t="str">
            <v>KM</v>
          </cell>
          <cell r="D45">
            <v>157.5</v>
          </cell>
          <cell r="E45">
            <v>173</v>
          </cell>
        </row>
        <row r="46">
          <cell r="A46">
            <v>43</v>
          </cell>
          <cell r="B46">
            <v>38</v>
          </cell>
          <cell r="C46" t="str">
            <v>KM</v>
          </cell>
          <cell r="D46">
            <v>160</v>
          </cell>
          <cell r="E46">
            <v>176</v>
          </cell>
        </row>
        <row r="47">
          <cell r="A47">
            <v>44</v>
          </cell>
          <cell r="B47">
            <v>39</v>
          </cell>
          <cell r="C47" t="str">
            <v>KM</v>
          </cell>
          <cell r="D47">
            <v>162.5</v>
          </cell>
          <cell r="E47">
            <v>179</v>
          </cell>
        </row>
        <row r="48">
          <cell r="A48">
            <v>45</v>
          </cell>
          <cell r="B48">
            <v>40</v>
          </cell>
          <cell r="C48" t="str">
            <v>KM</v>
          </cell>
          <cell r="D48">
            <v>165</v>
          </cell>
          <cell r="E48">
            <v>182</v>
          </cell>
        </row>
        <row r="49">
          <cell r="A49">
            <v>46</v>
          </cell>
          <cell r="B49">
            <v>41</v>
          </cell>
          <cell r="C49" t="str">
            <v>KM</v>
          </cell>
          <cell r="D49">
            <v>167.5</v>
          </cell>
          <cell r="E49">
            <v>185</v>
          </cell>
        </row>
        <row r="50">
          <cell r="A50">
            <v>47</v>
          </cell>
          <cell r="B50">
            <v>42</v>
          </cell>
          <cell r="C50" t="str">
            <v>KM</v>
          </cell>
          <cell r="D50">
            <v>170</v>
          </cell>
          <cell r="E50">
            <v>188</v>
          </cell>
        </row>
        <row r="51">
          <cell r="A51">
            <v>48</v>
          </cell>
          <cell r="B51">
            <v>43</v>
          </cell>
          <cell r="C51" t="str">
            <v>KM</v>
          </cell>
          <cell r="D51">
            <v>172.5</v>
          </cell>
          <cell r="E51">
            <v>191</v>
          </cell>
        </row>
        <row r="52">
          <cell r="A52">
            <v>49</v>
          </cell>
          <cell r="B52">
            <v>44</v>
          </cell>
          <cell r="C52" t="str">
            <v>KM</v>
          </cell>
          <cell r="D52">
            <v>175</v>
          </cell>
          <cell r="E52">
            <v>194</v>
          </cell>
        </row>
        <row r="53">
          <cell r="A53">
            <v>50</v>
          </cell>
          <cell r="B53">
            <v>45</v>
          </cell>
          <cell r="C53" t="str">
            <v>KM</v>
          </cell>
          <cell r="D53">
            <v>177.5</v>
          </cell>
          <cell r="E53">
            <v>197</v>
          </cell>
        </row>
        <row r="54">
          <cell r="A54">
            <v>51</v>
          </cell>
          <cell r="B54">
            <v>46</v>
          </cell>
          <cell r="C54" t="str">
            <v>KM</v>
          </cell>
          <cell r="D54">
            <v>180</v>
          </cell>
          <cell r="E54">
            <v>200</v>
          </cell>
        </row>
        <row r="55">
          <cell r="A55">
            <v>52</v>
          </cell>
          <cell r="B55">
            <v>47</v>
          </cell>
          <cell r="C55" t="str">
            <v>KM</v>
          </cell>
          <cell r="D55">
            <v>182.5</v>
          </cell>
          <cell r="E55">
            <v>203</v>
          </cell>
        </row>
        <row r="56">
          <cell r="A56">
            <v>53</v>
          </cell>
          <cell r="B56">
            <v>48</v>
          </cell>
          <cell r="C56" t="str">
            <v>KM</v>
          </cell>
          <cell r="D56">
            <v>185</v>
          </cell>
          <cell r="E56">
            <v>206</v>
          </cell>
        </row>
        <row r="57">
          <cell r="A57">
            <v>54</v>
          </cell>
          <cell r="B57">
            <v>49</v>
          </cell>
          <cell r="C57" t="str">
            <v>KM</v>
          </cell>
          <cell r="D57">
            <v>187.5</v>
          </cell>
          <cell r="E57">
            <v>209</v>
          </cell>
        </row>
        <row r="58">
          <cell r="A58">
            <v>55</v>
          </cell>
          <cell r="B58">
            <v>50</v>
          </cell>
          <cell r="C58" t="str">
            <v>KM</v>
          </cell>
          <cell r="D58">
            <v>190</v>
          </cell>
          <cell r="E58">
            <v>212</v>
          </cell>
        </row>
        <row r="59">
          <cell r="A59">
            <v>56</v>
          </cell>
          <cell r="B59">
            <v>51</v>
          </cell>
          <cell r="C59" t="str">
            <v>KM</v>
          </cell>
          <cell r="D59">
            <v>192.3</v>
          </cell>
          <cell r="E59">
            <v>214.8</v>
          </cell>
        </row>
        <row r="60">
          <cell r="A60">
            <v>57</v>
          </cell>
          <cell r="B60">
            <v>52</v>
          </cell>
          <cell r="C60" t="str">
            <v>KM</v>
          </cell>
          <cell r="D60">
            <v>194.6</v>
          </cell>
          <cell r="E60">
            <v>217.6</v>
          </cell>
        </row>
        <row r="61">
          <cell r="A61">
            <v>58</v>
          </cell>
          <cell r="B61">
            <v>53</v>
          </cell>
          <cell r="C61" t="str">
            <v>KM</v>
          </cell>
          <cell r="D61">
            <v>196.9</v>
          </cell>
          <cell r="E61">
            <v>220.4</v>
          </cell>
        </row>
        <row r="62">
          <cell r="A62">
            <v>59</v>
          </cell>
          <cell r="B62">
            <v>54</v>
          </cell>
          <cell r="C62" t="str">
            <v>KM</v>
          </cell>
          <cell r="D62">
            <v>199.2</v>
          </cell>
          <cell r="E62">
            <v>223.2</v>
          </cell>
        </row>
        <row r="63">
          <cell r="A63">
            <v>60</v>
          </cell>
          <cell r="B63">
            <v>55</v>
          </cell>
          <cell r="C63" t="str">
            <v>KM</v>
          </cell>
          <cell r="D63">
            <v>201.5</v>
          </cell>
          <cell r="E63">
            <v>226</v>
          </cell>
        </row>
        <row r="64">
          <cell r="A64">
            <v>61</v>
          </cell>
          <cell r="B64">
            <v>56</v>
          </cell>
          <cell r="C64" t="str">
            <v>KM</v>
          </cell>
          <cell r="D64">
            <v>203.8</v>
          </cell>
          <cell r="E64">
            <v>228.8</v>
          </cell>
        </row>
        <row r="65">
          <cell r="A65">
            <v>62</v>
          </cell>
          <cell r="B65">
            <v>57</v>
          </cell>
          <cell r="C65" t="str">
            <v>KM</v>
          </cell>
          <cell r="D65">
            <v>206.1</v>
          </cell>
          <cell r="E65">
            <v>231.6</v>
          </cell>
        </row>
        <row r="66">
          <cell r="A66">
            <v>63</v>
          </cell>
          <cell r="B66">
            <v>58</v>
          </cell>
          <cell r="C66" t="str">
            <v>KM</v>
          </cell>
          <cell r="D66">
            <v>208.4</v>
          </cell>
          <cell r="E66">
            <v>234.4</v>
          </cell>
        </row>
        <row r="67">
          <cell r="A67">
            <v>64</v>
          </cell>
          <cell r="B67">
            <v>59</v>
          </cell>
          <cell r="C67" t="str">
            <v>KM</v>
          </cell>
          <cell r="D67">
            <v>210.7</v>
          </cell>
          <cell r="E67">
            <v>237.2</v>
          </cell>
        </row>
        <row r="68">
          <cell r="A68">
            <v>65</v>
          </cell>
          <cell r="B68">
            <v>60</v>
          </cell>
          <cell r="C68" t="str">
            <v>KM</v>
          </cell>
          <cell r="D68">
            <v>213</v>
          </cell>
          <cell r="E68">
            <v>240</v>
          </cell>
        </row>
        <row r="69">
          <cell r="A69">
            <v>66</v>
          </cell>
          <cell r="B69">
            <v>61</v>
          </cell>
          <cell r="C69" t="str">
            <v>KM</v>
          </cell>
          <cell r="D69">
            <v>215.3</v>
          </cell>
          <cell r="E69">
            <v>242.8</v>
          </cell>
        </row>
        <row r="70">
          <cell r="A70">
            <v>67</v>
          </cell>
          <cell r="B70">
            <v>62</v>
          </cell>
          <cell r="C70" t="str">
            <v>KM</v>
          </cell>
          <cell r="D70">
            <v>217.6</v>
          </cell>
          <cell r="E70">
            <v>245.6</v>
          </cell>
        </row>
        <row r="71">
          <cell r="A71">
            <v>68</v>
          </cell>
          <cell r="B71">
            <v>63</v>
          </cell>
          <cell r="C71" t="str">
            <v>KM</v>
          </cell>
          <cell r="D71">
            <v>219.9</v>
          </cell>
          <cell r="E71">
            <v>248.4</v>
          </cell>
        </row>
        <row r="72">
          <cell r="A72">
            <v>69</v>
          </cell>
          <cell r="B72">
            <v>64</v>
          </cell>
          <cell r="C72" t="str">
            <v>KM</v>
          </cell>
          <cell r="D72">
            <v>222.2</v>
          </cell>
          <cell r="E72">
            <v>251.2</v>
          </cell>
        </row>
        <row r="73">
          <cell r="A73">
            <v>70</v>
          </cell>
          <cell r="B73">
            <v>65</v>
          </cell>
          <cell r="C73" t="str">
            <v>KM</v>
          </cell>
          <cell r="D73">
            <v>224.5</v>
          </cell>
          <cell r="E73">
            <v>254</v>
          </cell>
        </row>
        <row r="74">
          <cell r="A74">
            <v>71</v>
          </cell>
          <cell r="B74">
            <v>66</v>
          </cell>
          <cell r="C74" t="str">
            <v>KM</v>
          </cell>
          <cell r="D74">
            <v>226.8</v>
          </cell>
          <cell r="E74">
            <v>256.8</v>
          </cell>
        </row>
        <row r="75">
          <cell r="A75">
            <v>72</v>
          </cell>
          <cell r="B75">
            <v>67</v>
          </cell>
          <cell r="C75" t="str">
            <v>KM</v>
          </cell>
          <cell r="D75">
            <v>229.1</v>
          </cell>
          <cell r="E75">
            <v>259.60000000000002</v>
          </cell>
        </row>
        <row r="76">
          <cell r="A76">
            <v>73</v>
          </cell>
          <cell r="B76">
            <v>68</v>
          </cell>
          <cell r="C76" t="str">
            <v>KM</v>
          </cell>
          <cell r="D76">
            <v>231.4</v>
          </cell>
          <cell r="E76">
            <v>262.39999999999998</v>
          </cell>
        </row>
        <row r="77">
          <cell r="A77">
            <v>74</v>
          </cell>
          <cell r="B77">
            <v>69</v>
          </cell>
          <cell r="C77" t="str">
            <v>KM</v>
          </cell>
          <cell r="D77">
            <v>233.7</v>
          </cell>
          <cell r="E77">
            <v>265.2</v>
          </cell>
        </row>
        <row r="78">
          <cell r="A78">
            <v>75</v>
          </cell>
          <cell r="B78">
            <v>70</v>
          </cell>
          <cell r="C78" t="str">
            <v>KM</v>
          </cell>
          <cell r="D78">
            <v>236</v>
          </cell>
          <cell r="E78">
            <v>268</v>
          </cell>
        </row>
        <row r="79">
          <cell r="A79">
            <v>76</v>
          </cell>
          <cell r="B79">
            <v>71</v>
          </cell>
          <cell r="C79" t="str">
            <v>KM</v>
          </cell>
          <cell r="D79">
            <v>238.3</v>
          </cell>
          <cell r="E79">
            <v>270.8</v>
          </cell>
        </row>
        <row r="80">
          <cell r="A80">
            <v>77</v>
          </cell>
          <cell r="B80">
            <v>72</v>
          </cell>
          <cell r="C80" t="str">
            <v>KM</v>
          </cell>
          <cell r="D80">
            <v>240.6</v>
          </cell>
          <cell r="E80">
            <v>273.60000000000002</v>
          </cell>
        </row>
        <row r="81">
          <cell r="A81">
            <v>78</v>
          </cell>
          <cell r="B81">
            <v>73</v>
          </cell>
          <cell r="C81" t="str">
            <v>KM</v>
          </cell>
          <cell r="D81">
            <v>242.9</v>
          </cell>
          <cell r="E81">
            <v>276.39999999999998</v>
          </cell>
        </row>
        <row r="82">
          <cell r="A82">
            <v>79</v>
          </cell>
          <cell r="B82">
            <v>74</v>
          </cell>
          <cell r="C82" t="str">
            <v>KM</v>
          </cell>
          <cell r="D82">
            <v>245.2</v>
          </cell>
          <cell r="E82">
            <v>279.2</v>
          </cell>
        </row>
        <row r="83">
          <cell r="A83">
            <v>80</v>
          </cell>
          <cell r="B83">
            <v>75</v>
          </cell>
          <cell r="C83" t="str">
            <v>KM</v>
          </cell>
          <cell r="D83">
            <v>247.5</v>
          </cell>
          <cell r="E83">
            <v>282</v>
          </cell>
        </row>
        <row r="84">
          <cell r="A84">
            <v>81</v>
          </cell>
          <cell r="B84">
            <v>76</v>
          </cell>
          <cell r="C84" t="str">
            <v>KM</v>
          </cell>
          <cell r="D84">
            <v>249.8</v>
          </cell>
          <cell r="E84">
            <v>284.8</v>
          </cell>
        </row>
        <row r="85">
          <cell r="A85">
            <v>82</v>
          </cell>
          <cell r="B85">
            <v>77</v>
          </cell>
          <cell r="C85" t="str">
            <v>KM</v>
          </cell>
          <cell r="D85">
            <v>252.1</v>
          </cell>
          <cell r="E85">
            <v>287.60000000000002</v>
          </cell>
        </row>
        <row r="86">
          <cell r="A86">
            <v>83</v>
          </cell>
          <cell r="B86">
            <v>78</v>
          </cell>
          <cell r="C86" t="str">
            <v>KM</v>
          </cell>
          <cell r="D86">
            <v>254.4</v>
          </cell>
          <cell r="E86">
            <v>290.39999999999998</v>
          </cell>
        </row>
        <row r="87">
          <cell r="A87">
            <v>84</v>
          </cell>
          <cell r="B87">
            <v>79</v>
          </cell>
          <cell r="C87" t="str">
            <v>KM</v>
          </cell>
          <cell r="D87">
            <v>256.7</v>
          </cell>
          <cell r="E87">
            <v>293.2</v>
          </cell>
        </row>
        <row r="88">
          <cell r="A88">
            <v>85</v>
          </cell>
          <cell r="B88">
            <v>80</v>
          </cell>
          <cell r="C88" t="str">
            <v>KM</v>
          </cell>
          <cell r="D88">
            <v>259</v>
          </cell>
          <cell r="E88">
            <v>296</v>
          </cell>
        </row>
        <row r="89">
          <cell r="A89">
            <v>86</v>
          </cell>
          <cell r="B89">
            <v>81</v>
          </cell>
          <cell r="C89" t="str">
            <v>KM</v>
          </cell>
          <cell r="D89">
            <v>261.3</v>
          </cell>
          <cell r="E89">
            <v>298.8</v>
          </cell>
        </row>
        <row r="90">
          <cell r="A90">
            <v>87</v>
          </cell>
          <cell r="B90">
            <v>82</v>
          </cell>
          <cell r="C90" t="str">
            <v>KM</v>
          </cell>
          <cell r="D90">
            <v>263.60000000000002</v>
          </cell>
          <cell r="E90">
            <v>301.60000000000002</v>
          </cell>
        </row>
        <row r="91">
          <cell r="A91">
            <v>88</v>
          </cell>
          <cell r="B91">
            <v>83</v>
          </cell>
          <cell r="C91" t="str">
            <v>KM</v>
          </cell>
          <cell r="D91">
            <v>265.89999999999998</v>
          </cell>
          <cell r="E91">
            <v>304.39999999999998</v>
          </cell>
        </row>
        <row r="92">
          <cell r="A92">
            <v>89</v>
          </cell>
          <cell r="B92">
            <v>84</v>
          </cell>
          <cell r="C92" t="str">
            <v>KM</v>
          </cell>
          <cell r="D92">
            <v>268.2</v>
          </cell>
          <cell r="E92">
            <v>307.2</v>
          </cell>
        </row>
        <row r="93">
          <cell r="A93">
            <v>90</v>
          </cell>
          <cell r="B93">
            <v>85</v>
          </cell>
          <cell r="C93" t="str">
            <v>KM</v>
          </cell>
          <cell r="D93">
            <v>270.5</v>
          </cell>
          <cell r="E93">
            <v>310</v>
          </cell>
        </row>
        <row r="94">
          <cell r="A94">
            <v>91</v>
          </cell>
          <cell r="B94">
            <v>86</v>
          </cell>
          <cell r="C94" t="str">
            <v>KM</v>
          </cell>
          <cell r="D94">
            <v>272.8</v>
          </cell>
          <cell r="E94">
            <v>312.8</v>
          </cell>
        </row>
        <row r="95">
          <cell r="A95">
            <v>92</v>
          </cell>
          <cell r="B95">
            <v>87</v>
          </cell>
          <cell r="C95" t="str">
            <v>KM</v>
          </cell>
          <cell r="D95">
            <v>275.10000000000002</v>
          </cell>
          <cell r="E95">
            <v>315.60000000000002</v>
          </cell>
        </row>
        <row r="96">
          <cell r="A96">
            <v>93</v>
          </cell>
          <cell r="B96">
            <v>88</v>
          </cell>
          <cell r="C96" t="str">
            <v>KM</v>
          </cell>
          <cell r="D96">
            <v>277.39999999999998</v>
          </cell>
          <cell r="E96">
            <v>318.39999999999998</v>
          </cell>
        </row>
        <row r="97">
          <cell r="A97">
            <v>94</v>
          </cell>
          <cell r="B97">
            <v>89</v>
          </cell>
          <cell r="C97" t="str">
            <v>KM</v>
          </cell>
          <cell r="D97">
            <v>279.7</v>
          </cell>
          <cell r="E97">
            <v>321.2</v>
          </cell>
        </row>
        <row r="98">
          <cell r="A98">
            <v>95</v>
          </cell>
          <cell r="B98">
            <v>90</v>
          </cell>
          <cell r="C98" t="str">
            <v>KM</v>
          </cell>
          <cell r="D98">
            <v>282</v>
          </cell>
          <cell r="E98">
            <v>324</v>
          </cell>
        </row>
        <row r="99">
          <cell r="A99">
            <v>96</v>
          </cell>
          <cell r="B99">
            <v>91</v>
          </cell>
          <cell r="C99" t="str">
            <v>KM</v>
          </cell>
          <cell r="D99">
            <v>284.3</v>
          </cell>
          <cell r="E99">
            <v>326.8</v>
          </cell>
        </row>
        <row r="100">
          <cell r="A100">
            <v>97</v>
          </cell>
          <cell r="B100">
            <v>92</v>
          </cell>
          <cell r="C100" t="str">
            <v>KM</v>
          </cell>
          <cell r="D100">
            <v>286.60000000000002</v>
          </cell>
          <cell r="E100">
            <v>329.6</v>
          </cell>
        </row>
        <row r="101">
          <cell r="A101">
            <v>98</v>
          </cell>
          <cell r="B101">
            <v>93</v>
          </cell>
          <cell r="C101" t="str">
            <v>KM</v>
          </cell>
          <cell r="D101">
            <v>288.89999999999998</v>
          </cell>
          <cell r="E101">
            <v>332.4</v>
          </cell>
        </row>
        <row r="102">
          <cell r="A102">
            <v>99</v>
          </cell>
          <cell r="B102">
            <v>94</v>
          </cell>
          <cell r="C102" t="str">
            <v>KM</v>
          </cell>
          <cell r="D102">
            <v>291.2</v>
          </cell>
          <cell r="E102">
            <v>335.2</v>
          </cell>
        </row>
        <row r="103">
          <cell r="A103">
            <v>100</v>
          </cell>
          <cell r="B103">
            <v>95</v>
          </cell>
          <cell r="C103" t="str">
            <v>KM</v>
          </cell>
          <cell r="D103">
            <v>293.5</v>
          </cell>
          <cell r="E103">
            <v>338</v>
          </cell>
        </row>
        <row r="104">
          <cell r="A104">
            <v>101</v>
          </cell>
          <cell r="B104">
            <v>96</v>
          </cell>
          <cell r="C104" t="str">
            <v>KM</v>
          </cell>
          <cell r="D104">
            <v>295.8</v>
          </cell>
          <cell r="E104">
            <v>340.8</v>
          </cell>
        </row>
        <row r="105">
          <cell r="A105">
            <v>102</v>
          </cell>
          <cell r="B105">
            <v>97</v>
          </cell>
          <cell r="C105" t="str">
            <v>KM</v>
          </cell>
          <cell r="D105">
            <v>298.10000000000002</v>
          </cell>
          <cell r="E105">
            <v>343.6</v>
          </cell>
        </row>
        <row r="106">
          <cell r="A106">
            <v>103</v>
          </cell>
          <cell r="B106">
            <v>98</v>
          </cell>
          <cell r="C106" t="str">
            <v>KM</v>
          </cell>
          <cell r="D106">
            <v>300.39999999999998</v>
          </cell>
          <cell r="E106">
            <v>346.4</v>
          </cell>
        </row>
        <row r="107">
          <cell r="A107">
            <v>104</v>
          </cell>
          <cell r="B107">
            <v>99</v>
          </cell>
          <cell r="C107" t="str">
            <v>KM</v>
          </cell>
          <cell r="D107">
            <v>302.7</v>
          </cell>
          <cell r="E107">
            <v>349.2</v>
          </cell>
        </row>
        <row r="108">
          <cell r="A108">
            <v>105</v>
          </cell>
          <cell r="B108">
            <v>100</v>
          </cell>
          <cell r="C108" t="str">
            <v>KM</v>
          </cell>
          <cell r="D108">
            <v>305</v>
          </cell>
          <cell r="E108">
            <v>352</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sheetData sheetId="156"/>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6pave"/>
      <sheetName val="F7hp900"/>
      <sheetName val="F7hp600"/>
      <sheetName val="F7slb3m"/>
      <sheetName val="F7slb4m"/>
      <sheetName val="F8rate"/>
      <sheetName val="Sheet2"/>
      <sheetName val="CDdata"/>
      <sheetName val="Sheet1"/>
      <sheetName val="lead-st"/>
      <sheetName val="rdamdata"/>
      <sheetName val="leads"/>
      <sheetName val="v"/>
      <sheetName val="r"/>
      <sheetName val="HDPE"/>
      <sheetName val="pvc_basic"/>
      <sheetName val="Labour"/>
      <sheetName val="Material"/>
      <sheetName val="Plant &amp;  Machinery"/>
      <sheetName val="GEN-ABS Del"/>
      <sheetName val="Rates SSR 2008-09"/>
      <sheetName val="m"/>
      <sheetName val="Lead"/>
      <sheetName val="wh"/>
      <sheetName val="DATA_PRG"/>
      <sheetName val="mlead"/>
      <sheetName val="MRATES"/>
      <sheetName val="Cover"/>
      <sheetName val="BALAN1"/>
      <sheetName val="Voucher"/>
      <sheetName val="FORM7"/>
      <sheetName val="abs road"/>
      <sheetName val="DI"/>
      <sheetName val="pvc"/>
      <sheetName val="DATA"/>
      <sheetName val="mas_hab"/>
      <sheetName val="Staff Acco."/>
      <sheetName val="RMR"/>
      <sheetName val="BHANDUP"/>
      <sheetName val="Plant_&amp;__Machinery"/>
      <sheetName val="GEN-ABS_Del"/>
      <sheetName val="Rates_SSR_2008-09"/>
      <sheetName val=" Doors-Window (2)"/>
      <sheetName val="Rates"/>
      <sheetName val="BTR"/>
      <sheetName val="Road data"/>
      <sheetName val="coverpage"/>
      <sheetName val="R_Det"/>
      <sheetName val="TS memo"/>
      <sheetName val="GF SB Ok "/>
      <sheetName val="DATA-BASE"/>
      <sheetName val="DATA-ABSTRACT"/>
      <sheetName val="ewst"/>
      <sheetName val="DATA-2005-06"/>
      <sheetName val="civ data"/>
      <sheetName val="PRECAST lightconc-II"/>
      <sheetName val="m1"/>
      <sheetName val="not req 3"/>
      <sheetName val="C-data"/>
      <sheetName val="hdpe weights"/>
      <sheetName val="PVC weights"/>
      <sheetName val="index"/>
      <sheetName val="GT DUMP"/>
      <sheetName val="sancdump"/>
      <sheetName val="Sub -  Analysis"/>
      <sheetName val="Labour rates"/>
      <sheetName val="Lead statement ss5"/>
      <sheetName val="CABLE DATA"/>
      <sheetName val="Lead statement"/>
      <sheetName val="ONLINE DUMP"/>
      <sheetName val="pv cement"/>
      <sheetName val="POL"/>
      <sheetName val="PH RATE"/>
      <sheetName val="hdpe_basic"/>
    </sheetNames>
    <sheetDataSet>
      <sheetData sheetId="0">
        <row r="1">
          <cell r="JB1">
            <v>0</v>
          </cell>
        </row>
      </sheetData>
      <sheetData sheetId="1"/>
      <sheetData sheetId="2"/>
      <sheetData sheetId="3" refreshError="1"/>
      <sheetData sheetId="4"/>
      <sheetData sheetId="5"/>
      <sheetData sheetId="6"/>
      <sheetData sheetId="7" refreshError="1"/>
      <sheetData sheetId="8" refreshError="1">
        <row r="2">
          <cell r="W2" t="str">
            <v>KM</v>
          </cell>
          <cell r="X2" t="str">
            <v>Metal</v>
          </cell>
          <cell r="Y2" t="str">
            <v>Gravel, Sand, earth</v>
          </cell>
        </row>
        <row r="3">
          <cell r="W3">
            <v>0.5</v>
          </cell>
          <cell r="X3">
            <v>64</v>
          </cell>
          <cell r="Y3">
            <v>56</v>
          </cell>
        </row>
        <row r="4">
          <cell r="W4">
            <v>1</v>
          </cell>
          <cell r="X4">
            <v>67</v>
          </cell>
          <cell r="Y4">
            <v>58</v>
          </cell>
        </row>
        <row r="5">
          <cell r="W5">
            <v>2</v>
          </cell>
          <cell r="X5">
            <v>69</v>
          </cell>
          <cell r="Y5">
            <v>61</v>
          </cell>
        </row>
        <row r="6">
          <cell r="W6">
            <v>3</v>
          </cell>
          <cell r="X6">
            <v>72</v>
          </cell>
          <cell r="Y6">
            <v>64</v>
          </cell>
        </row>
        <row r="7">
          <cell r="W7">
            <v>4</v>
          </cell>
          <cell r="X7">
            <v>75</v>
          </cell>
          <cell r="Y7">
            <v>67</v>
          </cell>
        </row>
        <row r="8">
          <cell r="W8">
            <v>5</v>
          </cell>
          <cell r="X8">
            <v>78</v>
          </cell>
          <cell r="Y8">
            <v>70</v>
          </cell>
        </row>
        <row r="9">
          <cell r="W9">
            <v>6</v>
          </cell>
          <cell r="X9">
            <v>82</v>
          </cell>
          <cell r="Y9">
            <v>72</v>
          </cell>
        </row>
        <row r="10">
          <cell r="W10">
            <v>7</v>
          </cell>
          <cell r="X10">
            <v>84</v>
          </cell>
          <cell r="Y10">
            <v>76</v>
          </cell>
        </row>
        <row r="11">
          <cell r="W11">
            <v>8</v>
          </cell>
          <cell r="X11">
            <v>86</v>
          </cell>
          <cell r="Y11">
            <v>79</v>
          </cell>
        </row>
        <row r="12">
          <cell r="W12">
            <v>9</v>
          </cell>
          <cell r="X12">
            <v>90</v>
          </cell>
          <cell r="Y12">
            <v>82</v>
          </cell>
        </row>
        <row r="13">
          <cell r="W13">
            <v>10</v>
          </cell>
          <cell r="X13">
            <v>92</v>
          </cell>
          <cell r="Y13">
            <v>85</v>
          </cell>
        </row>
        <row r="14">
          <cell r="W14">
            <v>11</v>
          </cell>
          <cell r="X14">
            <v>95</v>
          </cell>
          <cell r="Y14">
            <v>89</v>
          </cell>
        </row>
        <row r="15">
          <cell r="W15">
            <v>12</v>
          </cell>
          <cell r="X15">
            <v>99</v>
          </cell>
          <cell r="Y15">
            <v>91</v>
          </cell>
        </row>
        <row r="16">
          <cell r="W16">
            <v>13</v>
          </cell>
          <cell r="X16">
            <v>102</v>
          </cell>
          <cell r="Y16">
            <v>94</v>
          </cell>
        </row>
        <row r="17">
          <cell r="W17">
            <v>14</v>
          </cell>
          <cell r="X17">
            <v>105</v>
          </cell>
          <cell r="Y17">
            <v>97</v>
          </cell>
        </row>
        <row r="18">
          <cell r="W18">
            <v>15</v>
          </cell>
          <cell r="X18">
            <v>107</v>
          </cell>
          <cell r="Y18">
            <v>100</v>
          </cell>
        </row>
        <row r="19">
          <cell r="W19">
            <v>16</v>
          </cell>
          <cell r="X19">
            <v>110</v>
          </cell>
          <cell r="Y19">
            <v>102</v>
          </cell>
        </row>
        <row r="20">
          <cell r="W20">
            <v>17</v>
          </cell>
          <cell r="X20">
            <v>113</v>
          </cell>
          <cell r="Y20">
            <v>106</v>
          </cell>
        </row>
        <row r="21">
          <cell r="W21">
            <v>18</v>
          </cell>
          <cell r="X21">
            <v>116</v>
          </cell>
          <cell r="Y21">
            <v>109</v>
          </cell>
        </row>
        <row r="22">
          <cell r="W22">
            <v>19</v>
          </cell>
          <cell r="X22">
            <v>118</v>
          </cell>
          <cell r="Y22">
            <v>112</v>
          </cell>
        </row>
        <row r="23">
          <cell r="W23">
            <v>20</v>
          </cell>
          <cell r="X23">
            <v>122</v>
          </cell>
          <cell r="Y23">
            <v>115</v>
          </cell>
        </row>
        <row r="24">
          <cell r="W24">
            <v>21</v>
          </cell>
          <cell r="X24">
            <v>125</v>
          </cell>
          <cell r="Y24">
            <v>117.3</v>
          </cell>
        </row>
        <row r="25">
          <cell r="W25">
            <v>22</v>
          </cell>
          <cell r="X25">
            <v>128</v>
          </cell>
          <cell r="Y25">
            <v>119.6</v>
          </cell>
        </row>
        <row r="26">
          <cell r="W26">
            <v>23</v>
          </cell>
          <cell r="X26">
            <v>131</v>
          </cell>
          <cell r="Y26">
            <v>121.9</v>
          </cell>
        </row>
        <row r="27">
          <cell r="W27">
            <v>24</v>
          </cell>
          <cell r="X27">
            <v>134</v>
          </cell>
          <cell r="Y27">
            <v>124.2</v>
          </cell>
        </row>
        <row r="28">
          <cell r="W28">
            <v>25</v>
          </cell>
          <cell r="X28">
            <v>137</v>
          </cell>
          <cell r="Y28">
            <v>126.5</v>
          </cell>
        </row>
        <row r="29">
          <cell r="W29">
            <v>26</v>
          </cell>
          <cell r="X29">
            <v>140</v>
          </cell>
          <cell r="Y29">
            <v>128.80000000000001</v>
          </cell>
        </row>
        <row r="30">
          <cell r="W30">
            <v>27</v>
          </cell>
          <cell r="X30">
            <v>143</v>
          </cell>
          <cell r="Y30">
            <v>131.1</v>
          </cell>
        </row>
        <row r="31">
          <cell r="W31">
            <v>28</v>
          </cell>
          <cell r="X31">
            <v>146</v>
          </cell>
          <cell r="Y31">
            <v>133.4</v>
          </cell>
        </row>
        <row r="32">
          <cell r="W32">
            <v>29</v>
          </cell>
          <cell r="X32">
            <v>149</v>
          </cell>
          <cell r="Y32">
            <v>135.69999999999999</v>
          </cell>
        </row>
        <row r="33">
          <cell r="W33">
            <v>30</v>
          </cell>
          <cell r="X33">
            <v>152</v>
          </cell>
          <cell r="Y33">
            <v>138</v>
          </cell>
        </row>
        <row r="34">
          <cell r="W34">
            <v>31</v>
          </cell>
          <cell r="X34">
            <v>155</v>
          </cell>
          <cell r="Y34">
            <v>140.30000000000001</v>
          </cell>
        </row>
        <row r="35">
          <cell r="W35">
            <v>32</v>
          </cell>
          <cell r="X35">
            <v>158</v>
          </cell>
          <cell r="Y35">
            <v>142.6</v>
          </cell>
        </row>
        <row r="36">
          <cell r="W36">
            <v>33</v>
          </cell>
          <cell r="X36">
            <v>161</v>
          </cell>
          <cell r="Y36">
            <v>144.9</v>
          </cell>
        </row>
        <row r="37">
          <cell r="W37">
            <v>34</v>
          </cell>
          <cell r="X37">
            <v>164</v>
          </cell>
          <cell r="Y37">
            <v>147.19999999999999</v>
          </cell>
        </row>
        <row r="38">
          <cell r="W38">
            <v>35</v>
          </cell>
          <cell r="X38">
            <v>167</v>
          </cell>
          <cell r="Y38">
            <v>149.5</v>
          </cell>
        </row>
        <row r="39">
          <cell r="W39">
            <v>36</v>
          </cell>
          <cell r="X39">
            <v>170</v>
          </cell>
          <cell r="Y39">
            <v>151.80000000000001</v>
          </cell>
        </row>
        <row r="40">
          <cell r="W40">
            <v>37</v>
          </cell>
          <cell r="X40">
            <v>173</v>
          </cell>
          <cell r="Y40">
            <v>154.1</v>
          </cell>
        </row>
        <row r="41">
          <cell r="W41">
            <v>38</v>
          </cell>
          <cell r="X41">
            <v>176</v>
          </cell>
          <cell r="Y41">
            <v>156.4</v>
          </cell>
        </row>
        <row r="42">
          <cell r="W42">
            <v>39</v>
          </cell>
          <cell r="X42">
            <v>179</v>
          </cell>
          <cell r="Y42">
            <v>158.69999999999999</v>
          </cell>
        </row>
        <row r="43">
          <cell r="W43">
            <v>40</v>
          </cell>
          <cell r="X43">
            <v>182</v>
          </cell>
          <cell r="Y43">
            <v>161</v>
          </cell>
        </row>
        <row r="44">
          <cell r="W44">
            <v>41</v>
          </cell>
          <cell r="X44">
            <v>185</v>
          </cell>
          <cell r="Y44">
            <v>163.30000000000001</v>
          </cell>
        </row>
        <row r="45">
          <cell r="W45">
            <v>42</v>
          </cell>
          <cell r="X45">
            <v>188</v>
          </cell>
          <cell r="Y45">
            <v>165.6</v>
          </cell>
        </row>
        <row r="46">
          <cell r="W46">
            <v>43</v>
          </cell>
          <cell r="X46">
            <v>191</v>
          </cell>
          <cell r="Y46">
            <v>167.9</v>
          </cell>
        </row>
        <row r="47">
          <cell r="W47">
            <v>44</v>
          </cell>
          <cell r="X47">
            <v>194</v>
          </cell>
          <cell r="Y47">
            <v>170.2</v>
          </cell>
        </row>
        <row r="48">
          <cell r="W48">
            <v>45</v>
          </cell>
          <cell r="X48">
            <v>197</v>
          </cell>
          <cell r="Y48">
            <v>172.5</v>
          </cell>
        </row>
        <row r="49">
          <cell r="W49">
            <v>46</v>
          </cell>
          <cell r="X49">
            <v>200</v>
          </cell>
          <cell r="Y49">
            <v>174.8</v>
          </cell>
        </row>
        <row r="50">
          <cell r="W50">
            <v>47</v>
          </cell>
          <cell r="X50">
            <v>203</v>
          </cell>
          <cell r="Y50">
            <v>177.1</v>
          </cell>
        </row>
        <row r="51">
          <cell r="W51">
            <v>48</v>
          </cell>
          <cell r="X51">
            <v>206</v>
          </cell>
          <cell r="Y51">
            <v>179.4</v>
          </cell>
        </row>
        <row r="52">
          <cell r="W52">
            <v>49</v>
          </cell>
          <cell r="X52">
            <v>209</v>
          </cell>
          <cell r="Y52">
            <v>181.7</v>
          </cell>
        </row>
        <row r="53">
          <cell r="W53">
            <v>50</v>
          </cell>
          <cell r="X53">
            <v>212</v>
          </cell>
          <cell r="Y53">
            <v>184</v>
          </cell>
        </row>
        <row r="54">
          <cell r="W54">
            <v>51</v>
          </cell>
          <cell r="X54">
            <v>214.8</v>
          </cell>
          <cell r="Y54">
            <v>186.3</v>
          </cell>
        </row>
        <row r="55">
          <cell r="W55">
            <v>52</v>
          </cell>
          <cell r="X55">
            <v>217.6</v>
          </cell>
          <cell r="Y55">
            <v>188.6</v>
          </cell>
        </row>
        <row r="56">
          <cell r="W56">
            <v>53</v>
          </cell>
          <cell r="X56">
            <v>220.4</v>
          </cell>
          <cell r="Y56">
            <v>190.9</v>
          </cell>
        </row>
        <row r="57">
          <cell r="W57">
            <v>54</v>
          </cell>
          <cell r="X57">
            <v>223.2</v>
          </cell>
          <cell r="Y57">
            <v>193.2</v>
          </cell>
        </row>
        <row r="58">
          <cell r="W58">
            <v>55</v>
          </cell>
          <cell r="X58">
            <v>226</v>
          </cell>
          <cell r="Y58">
            <v>195.5</v>
          </cell>
        </row>
        <row r="59">
          <cell r="W59">
            <v>56</v>
          </cell>
          <cell r="X59">
            <v>228.8</v>
          </cell>
          <cell r="Y59">
            <v>197.8</v>
          </cell>
        </row>
        <row r="60">
          <cell r="W60">
            <v>57</v>
          </cell>
          <cell r="X60">
            <v>231.6</v>
          </cell>
          <cell r="Y60">
            <v>200.1</v>
          </cell>
        </row>
        <row r="61">
          <cell r="W61">
            <v>58</v>
          </cell>
          <cell r="X61">
            <v>234.4</v>
          </cell>
          <cell r="Y61">
            <v>202.4</v>
          </cell>
        </row>
        <row r="62">
          <cell r="W62">
            <v>59</v>
          </cell>
          <cell r="X62">
            <v>237.2</v>
          </cell>
          <cell r="Y62">
            <v>204.7</v>
          </cell>
        </row>
        <row r="63">
          <cell r="W63">
            <v>60</v>
          </cell>
          <cell r="X63">
            <v>240</v>
          </cell>
          <cell r="Y63">
            <v>207</v>
          </cell>
        </row>
        <row r="64">
          <cell r="W64">
            <v>61</v>
          </cell>
          <cell r="X64">
            <v>242.8</v>
          </cell>
          <cell r="Y64">
            <v>209.3</v>
          </cell>
        </row>
        <row r="65">
          <cell r="W65">
            <v>62</v>
          </cell>
          <cell r="X65">
            <v>245.6</v>
          </cell>
          <cell r="Y65">
            <v>211.6</v>
          </cell>
        </row>
        <row r="66">
          <cell r="W66">
            <v>63</v>
          </cell>
          <cell r="X66">
            <v>248.4</v>
          </cell>
          <cell r="Y66">
            <v>213.9</v>
          </cell>
        </row>
        <row r="67">
          <cell r="W67">
            <v>64</v>
          </cell>
          <cell r="X67">
            <v>251.2</v>
          </cell>
          <cell r="Y67">
            <v>216.2</v>
          </cell>
        </row>
        <row r="68">
          <cell r="W68">
            <v>65</v>
          </cell>
          <cell r="X68">
            <v>254</v>
          </cell>
          <cell r="Y68">
            <v>218.5</v>
          </cell>
        </row>
        <row r="69">
          <cell r="W69">
            <v>66</v>
          </cell>
          <cell r="X69">
            <v>256.8</v>
          </cell>
          <cell r="Y69">
            <v>220.8</v>
          </cell>
        </row>
        <row r="70">
          <cell r="W70">
            <v>67</v>
          </cell>
          <cell r="X70">
            <v>259.60000000000002</v>
          </cell>
          <cell r="Y70">
            <v>223.1</v>
          </cell>
        </row>
        <row r="71">
          <cell r="W71">
            <v>68</v>
          </cell>
          <cell r="X71">
            <v>262.39999999999998</v>
          </cell>
          <cell r="Y71">
            <v>225.4</v>
          </cell>
        </row>
        <row r="72">
          <cell r="W72">
            <v>69</v>
          </cell>
          <cell r="X72">
            <v>265.2</v>
          </cell>
          <cell r="Y72">
            <v>227.7</v>
          </cell>
        </row>
        <row r="73">
          <cell r="W73">
            <v>70</v>
          </cell>
          <cell r="X73">
            <v>268</v>
          </cell>
          <cell r="Y73">
            <v>230</v>
          </cell>
        </row>
        <row r="74">
          <cell r="W74">
            <v>71</v>
          </cell>
          <cell r="X74">
            <v>270.8</v>
          </cell>
          <cell r="Y74">
            <v>232.3</v>
          </cell>
        </row>
        <row r="75">
          <cell r="W75">
            <v>72</v>
          </cell>
          <cell r="X75">
            <v>273.60000000000002</v>
          </cell>
          <cell r="Y75">
            <v>234.6</v>
          </cell>
        </row>
        <row r="76">
          <cell r="W76">
            <v>73</v>
          </cell>
          <cell r="X76">
            <v>276.39999999999998</v>
          </cell>
          <cell r="Y76">
            <v>236.9</v>
          </cell>
        </row>
        <row r="77">
          <cell r="W77">
            <v>74</v>
          </cell>
          <cell r="X77">
            <v>279.2</v>
          </cell>
          <cell r="Y77">
            <v>239.2</v>
          </cell>
        </row>
        <row r="78">
          <cell r="W78">
            <v>75</v>
          </cell>
          <cell r="X78">
            <v>282</v>
          </cell>
          <cell r="Y78">
            <v>241.5</v>
          </cell>
        </row>
        <row r="79">
          <cell r="W79">
            <v>76</v>
          </cell>
          <cell r="X79">
            <v>284.8</v>
          </cell>
          <cell r="Y79">
            <v>243.8</v>
          </cell>
        </row>
        <row r="80">
          <cell r="W80">
            <v>77</v>
          </cell>
          <cell r="X80">
            <v>287.60000000000002</v>
          </cell>
          <cell r="Y80">
            <v>246.1</v>
          </cell>
        </row>
        <row r="81">
          <cell r="W81">
            <v>78</v>
          </cell>
          <cell r="X81">
            <v>290.39999999999998</v>
          </cell>
          <cell r="Y81">
            <v>248.4</v>
          </cell>
        </row>
        <row r="82">
          <cell r="W82">
            <v>79</v>
          </cell>
          <cell r="X82">
            <v>293.2</v>
          </cell>
          <cell r="Y82">
            <v>250.7</v>
          </cell>
        </row>
        <row r="83">
          <cell r="W83">
            <v>80</v>
          </cell>
          <cell r="X83">
            <v>296</v>
          </cell>
          <cell r="Y83">
            <v>253</v>
          </cell>
        </row>
        <row r="84">
          <cell r="W84">
            <v>81</v>
          </cell>
          <cell r="X84">
            <v>298.8</v>
          </cell>
          <cell r="Y84">
            <v>255.3</v>
          </cell>
        </row>
        <row r="85">
          <cell r="W85">
            <v>82</v>
          </cell>
          <cell r="X85">
            <v>301.60000000000002</v>
          </cell>
          <cell r="Y85">
            <v>257.60000000000002</v>
          </cell>
        </row>
        <row r="86">
          <cell r="W86">
            <v>83</v>
          </cell>
          <cell r="X86">
            <v>304.39999999999998</v>
          </cell>
          <cell r="Y86">
            <v>259.89999999999998</v>
          </cell>
        </row>
        <row r="87">
          <cell r="W87">
            <v>84</v>
          </cell>
          <cell r="X87">
            <v>307.2</v>
          </cell>
          <cell r="Y87">
            <v>262.2</v>
          </cell>
        </row>
        <row r="88">
          <cell r="W88">
            <v>85</v>
          </cell>
          <cell r="X88">
            <v>310</v>
          </cell>
          <cell r="Y88">
            <v>264.5</v>
          </cell>
        </row>
        <row r="89">
          <cell r="W89">
            <v>86</v>
          </cell>
          <cell r="X89">
            <v>312.8</v>
          </cell>
          <cell r="Y89">
            <v>266.8</v>
          </cell>
        </row>
        <row r="90">
          <cell r="W90">
            <v>87</v>
          </cell>
          <cell r="X90">
            <v>315.60000000000002</v>
          </cell>
          <cell r="Y90">
            <v>269.10000000000002</v>
          </cell>
        </row>
        <row r="91">
          <cell r="W91">
            <v>88</v>
          </cell>
          <cell r="X91">
            <v>318.39999999999998</v>
          </cell>
          <cell r="Y91">
            <v>271.39999999999998</v>
          </cell>
        </row>
        <row r="92">
          <cell r="W92">
            <v>89</v>
          </cell>
          <cell r="X92">
            <v>321.2</v>
          </cell>
          <cell r="Y92">
            <v>273.7</v>
          </cell>
        </row>
        <row r="93">
          <cell r="W93">
            <v>90</v>
          </cell>
          <cell r="X93">
            <v>324</v>
          </cell>
          <cell r="Y93">
            <v>276</v>
          </cell>
        </row>
        <row r="94">
          <cell r="W94">
            <v>91</v>
          </cell>
          <cell r="X94">
            <v>326.8</v>
          </cell>
          <cell r="Y94">
            <v>278.3</v>
          </cell>
        </row>
        <row r="95">
          <cell r="W95">
            <v>92</v>
          </cell>
          <cell r="X95">
            <v>329.6</v>
          </cell>
          <cell r="Y95">
            <v>280.60000000000002</v>
          </cell>
        </row>
        <row r="96">
          <cell r="W96">
            <v>93</v>
          </cell>
          <cell r="X96">
            <v>332.4</v>
          </cell>
          <cell r="Y96">
            <v>282.89999999999998</v>
          </cell>
        </row>
        <row r="97">
          <cell r="W97">
            <v>94</v>
          </cell>
          <cell r="X97">
            <v>335.2</v>
          </cell>
          <cell r="Y97">
            <v>285.2</v>
          </cell>
        </row>
        <row r="98">
          <cell r="W98">
            <v>95</v>
          </cell>
          <cell r="X98">
            <v>338</v>
          </cell>
          <cell r="Y98">
            <v>287.5</v>
          </cell>
        </row>
        <row r="99">
          <cell r="W99">
            <v>96</v>
          </cell>
          <cell r="X99">
            <v>340.8</v>
          </cell>
          <cell r="Y99">
            <v>289.8</v>
          </cell>
        </row>
        <row r="100">
          <cell r="W100">
            <v>97</v>
          </cell>
          <cell r="X100">
            <v>343.6</v>
          </cell>
          <cell r="Y100">
            <v>292.10000000000002</v>
          </cell>
        </row>
        <row r="101">
          <cell r="W101">
            <v>98</v>
          </cell>
          <cell r="X101">
            <v>346.4</v>
          </cell>
          <cell r="Y101">
            <v>294.39999999999998</v>
          </cell>
        </row>
        <row r="102">
          <cell r="W102">
            <v>99</v>
          </cell>
          <cell r="X102">
            <v>349.2</v>
          </cell>
          <cell r="Y102">
            <v>296.7</v>
          </cell>
        </row>
        <row r="103">
          <cell r="W103">
            <v>100</v>
          </cell>
          <cell r="X103">
            <v>352</v>
          </cell>
          <cell r="Y103">
            <v>299</v>
          </cell>
        </row>
      </sheetData>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Sheet1"/>
      <sheetName val="leads"/>
      <sheetName val="ssr-rates"/>
      <sheetName val="0000000000000"/>
      <sheetName val="rdamdata"/>
      <sheetName val="pvc"/>
      <sheetName val="HDPE"/>
      <sheetName val="DI"/>
      <sheetName val="Lead statement"/>
      <sheetName val="census91"/>
      <sheetName val="DATA"/>
      <sheetName val="GF SB Ok "/>
      <sheetName val="Levels"/>
      <sheetName val="HDPE-pipe-rates"/>
      <sheetName val="pvc-pipe-rates"/>
      <sheetName val="Labour"/>
      <sheetName val="Material"/>
      <sheetName val="Plant &amp;  Machinery"/>
      <sheetName val="DATA_PRG"/>
      <sheetName val="BTR"/>
      <sheetName val="RMR"/>
      <sheetName val="DES"/>
      <sheetName val="COVER"/>
      <sheetName val="ROAD DATA"/>
      <sheetName val="HP PIPE  DATA"/>
      <sheetName val="SLAB  DATA"/>
      <sheetName val="maya"/>
      <sheetName val="C-data"/>
      <sheetName val="MRATES"/>
      <sheetName val="stone"/>
      <sheetName val="Nspt-smp-final-ORIGINAL"/>
      <sheetName val="Lead"/>
      <sheetName val="mlead"/>
      <sheetName val="splmidata"/>
      <sheetName val="ppraodata"/>
      <sheetName val="CONST"/>
      <sheetName val="Estimate "/>
      <sheetName val="EDWise"/>
      <sheetName val="BHANDUP"/>
      <sheetName val="PRECAST lightconc-II"/>
      <sheetName val="data existing_do not delete"/>
      <sheetName val="Sheet3"/>
      <sheetName val="Quarry"/>
      <sheetName val="Line"/>
      <sheetName val="CRUST"/>
      <sheetName val="QDTS"/>
      <sheetName val="Rates"/>
      <sheetName val="m"/>
      <sheetName val="MRoad data"/>
      <sheetName val="AV-HDPE"/>
      <sheetName val="Di_gate-HDPE"/>
      <sheetName val="Sheet2"/>
      <sheetName val="Common "/>
      <sheetName val="final abstract"/>
      <sheetName val="Rate Analysis"/>
      <sheetName val="Basicrates"/>
      <sheetName val="discount"/>
      <sheetName val="mas_hab"/>
      <sheetName val="BLK3"/>
      <sheetName val="BLK2"/>
      <sheetName val="radar"/>
      <sheetName val="E &amp; R"/>
      <sheetName val="hdpe_basic"/>
      <sheetName val="pvc_basic"/>
      <sheetName val="t_prsr"/>
      <sheetName val="wh"/>
      <sheetName val="bom"/>
      <sheetName val="SPT vs PHI"/>
      <sheetName val=" data sheet "/>
      <sheetName val="DATA-BASE"/>
      <sheetName val="DATA-ABSTRACT"/>
      <sheetName val="sand"/>
      <sheetName val="clvrt_data"/>
      <sheetName val="wh_data_R"/>
      <sheetName val="wh_data"/>
      <sheetName val="CPHEEO"/>
      <sheetName val="input"/>
      <sheetName val="hdpe weights"/>
      <sheetName val="PVC weights"/>
      <sheetName val="Abs"/>
      <sheetName val="Data.F8.BTR"/>
      <sheetName val="GA"/>
      <sheetName val="hdpe-rates"/>
      <sheetName val="pvc-rates"/>
      <sheetName val="detls"/>
      <sheetName val="Civil Boq"/>
      <sheetName val="Summary"/>
      <sheetName val="Note"/>
      <sheetName val="Specification"/>
      <sheetName val="analy"/>
      <sheetName val="basdat"/>
      <sheetName val="Lead_statement"/>
      <sheetName val="GF_SB_Ok_"/>
      <sheetName val="Plant_&amp;__Machinery"/>
      <sheetName val="ROAD_DATA"/>
      <sheetName val="HP_PIPE__DATA"/>
      <sheetName val="SLAB__DATA"/>
      <sheetName val="Estimate_"/>
      <sheetName val="PRECAST_lightconc-II"/>
      <sheetName val="data_existing_do_not_delete"/>
      <sheetName val="MRoad_data"/>
      <sheetName val="id"/>
      <sheetName val="WITH STACKING CHARGES"/>
      <sheetName val="Main sheet"/>
      <sheetName val="Legal Risk Analysis"/>
      <sheetName val="Data_Base"/>
      <sheetName val="G F  (2)"/>
      <sheetName val="R_Det"/>
      <sheetName val="coverpage"/>
      <sheetName val="ROADS"/>
      <sheetName val="abs road"/>
      <sheetName val="TS memo"/>
      <sheetName val="GT DUMP"/>
      <sheetName val="sancdump"/>
      <sheetName val="road detail est."/>
      <sheetName val="WATER-HAMMER"/>
      <sheetName val="G Hostel"/>
      <sheetName val="Main Bldg"/>
      <sheetName val="B Student Hostel"/>
      <sheetName val="B Resident Hostel"/>
      <sheetName val="Qtrs"/>
      <sheetName val="Kitchen&amp;Dining"/>
      <sheetName val="STP"/>
      <sheetName val="WTP"/>
      <sheetName val="Sump"/>
      <sheetName val="Sump (2)"/>
      <sheetName val="Compound wall"/>
      <sheetName val="Sheet1 (3)"/>
      <sheetName val="strong stylecolor blueDate Wise"/>
      <sheetName val="Abs_CD_2"/>
      <sheetName val="road est"/>
      <sheetName val="ECV"/>
      <sheetName val="Global factors"/>
      <sheetName val="Table10"/>
      <sheetName val="Table11"/>
      <sheetName val="Table12"/>
      <sheetName val="Rates-May-14"/>
      <sheetName val="final data"/>
      <sheetName val="data r-i 1"/>
      <sheetName val="pop"/>
    </sheetNames>
    <sheetDataSet>
      <sheetData sheetId="0">
        <row r="2">
          <cell r="F2">
            <v>100</v>
          </cell>
        </row>
      </sheetData>
      <sheetData sheetId="1"/>
      <sheetData sheetId="2"/>
      <sheetData sheetId="3"/>
      <sheetData sheetId="4"/>
      <sheetData sheetId="5"/>
      <sheetData sheetId="6"/>
      <sheetData sheetId="7"/>
      <sheetData sheetId="8" refreshError="1">
        <row r="2">
          <cell r="F2">
            <v>100</v>
          </cell>
        </row>
        <row r="4">
          <cell r="F4">
            <v>65</v>
          </cell>
        </row>
      </sheetData>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Sheet1"/>
      <sheetName val="rdamdata"/>
      <sheetName val="leads"/>
      <sheetName val="ssr-rates"/>
      <sheetName val="Estimate "/>
      <sheetName val="PRECAST lightconc-II"/>
      <sheetName val="data existing_do not delete"/>
      <sheetName val="Lead"/>
      <sheetName val="HDPE"/>
      <sheetName val="stone"/>
      <sheetName val="EDWise"/>
      <sheetName val="BHANDUP"/>
      <sheetName val="Sheet3"/>
      <sheetName val="Quarry"/>
      <sheetName val="Line"/>
      <sheetName val="CRUST"/>
      <sheetName val="QDTS"/>
      <sheetName val="RMR"/>
      <sheetName val="Rates"/>
      <sheetName val="BTR"/>
      <sheetName val="Road data"/>
      <sheetName val="DI"/>
      <sheetName val="pvc"/>
      <sheetName val="DATA"/>
      <sheetName val="coverpage"/>
      <sheetName val="mlead"/>
      <sheetName val="ROADS"/>
      <sheetName val="BALAN1"/>
      <sheetName val="id"/>
      <sheetName val="wh"/>
      <sheetName val="labour"/>
      <sheetName val="Material"/>
      <sheetName val="Plant &amp;  Machinery"/>
      <sheetName val="civ data"/>
      <sheetName val="Levels"/>
      <sheetName val="Cover"/>
      <sheetName val="census91"/>
      <sheetName val="0000000000000"/>
      <sheetName val="maya"/>
      <sheetName val="C-data"/>
      <sheetName val="Lead statement"/>
      <sheetName val="MRATES"/>
      <sheetName val="Nspt-smp-final-ORIGINAL"/>
      <sheetName val="DES"/>
      <sheetName val="HP PIPE  DATA"/>
      <sheetName val="SLAB  DATA"/>
      <sheetName val="DATA_PRG"/>
      <sheetName val="Boq"/>
      <sheetName val="pvc_basic"/>
      <sheetName val="overviewbarmer"/>
      <sheetName val="Master_data"/>
      <sheetName val="C &amp; G RHS"/>
      <sheetName val="Estimate_"/>
      <sheetName val="PRECAST_lightconc-II"/>
      <sheetName val="data_existing_do_not_delete"/>
      <sheetName val="Road_data"/>
      <sheetName val="PROCTOR"/>
      <sheetName val="Road Detail Est."/>
      <sheetName val="GF SB Ok "/>
      <sheetName val="HDPE-pipe-rates"/>
      <sheetName val="pvc-pipe-rates"/>
      <sheetName val="splmidata"/>
      <sheetName val="ppraodata"/>
      <sheetName val="CONST"/>
      <sheetName val="m"/>
      <sheetName val="MRoad data"/>
      <sheetName val="AV-HDPE"/>
      <sheetName val="Di_gate-HDPE"/>
      <sheetName val="DISCOUNT"/>
      <sheetName val="t_prsr"/>
      <sheetName val="Common "/>
      <sheetName val="final abstract"/>
      <sheetName val="Basicrates"/>
      <sheetName val="mas_hab"/>
      <sheetName val="BLK3"/>
      <sheetName val="BLK2"/>
      <sheetName val="radar"/>
      <sheetName val="E &amp; R"/>
      <sheetName val="hdpe_basic"/>
      <sheetName val="GenAbst"/>
      <sheetName val="abs road"/>
      <sheetName val="TS memo"/>
      <sheetName val="work_sheet"/>
      <sheetName val="11.Habitations"/>
      <sheetName val="bom"/>
      <sheetName val="Data o"/>
      <sheetName val="Sheet1 (2)"/>
      <sheetName val="Data.F8.BTR"/>
      <sheetName val="Proforma-I (2)"/>
      <sheetName val="Rate"/>
      <sheetName val="Gen Abs"/>
      <sheetName val="R_Det"/>
      <sheetName val="Sheet2"/>
      <sheetName val="Rate Analysis"/>
      <sheetName val="SPT vs PHI"/>
      <sheetName val="wh_data_R"/>
      <sheetName val="wh_data"/>
      <sheetName val="CPHEEO"/>
      <sheetName val="input"/>
      <sheetName val="hdpe weights"/>
      <sheetName val="PVC weights"/>
      <sheetName val="DATA-BASE"/>
      <sheetName val="DATA-ABSTRACT"/>
      <sheetName val="sand"/>
      <sheetName val="clvrt_data"/>
      <sheetName val="GA"/>
      <sheetName val="hdpe-rates"/>
      <sheetName val="pvc-rates"/>
      <sheetName val="detls"/>
      <sheetName val=" data sheet "/>
      <sheetName val="Civil Boq"/>
      <sheetName val="Summary"/>
      <sheetName val="Note"/>
      <sheetName val="Specification"/>
      <sheetName val="analy"/>
      <sheetName val="basdat"/>
      <sheetName val="WITH STACKING CHARGES"/>
      <sheetName val="Table10"/>
      <sheetName val="Table11"/>
      <sheetName val="Table12"/>
      <sheetName val="SSR 2014-15 Rates"/>
      <sheetName val="not req 3"/>
      <sheetName val="DATA-2005-06"/>
      <sheetName val="Flight-1"/>
    </sheetNames>
    <sheetDataSet>
      <sheetData sheetId="0">
        <row r="1">
          <cell r="JB1">
            <v>0</v>
          </cell>
        </row>
      </sheetData>
      <sheetData sheetId="1"/>
      <sheetData sheetId="2"/>
      <sheetData sheetId="3"/>
      <sheetData sheetId="4"/>
      <sheetData sheetId="5"/>
      <sheetData sheetId="6"/>
      <sheetData sheetId="7"/>
      <sheetData sheetId="8" refreshError="1">
        <row r="2">
          <cell r="F2">
            <v>100</v>
          </cell>
        </row>
        <row r="4">
          <cell r="F4">
            <v>65</v>
          </cell>
        </row>
      </sheetData>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sheetData sheetId="102"/>
      <sheetData sheetId="103"/>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ro_bldg"/>
      <sheetName val="mpp_bldg"/>
      <sheetName val="abstract"/>
      <sheetName val="detailed"/>
      <sheetName val="sanitory"/>
      <sheetName val="septic_tank"/>
      <sheetName val="electri"/>
      <sheetName val="c_wall"/>
      <sheetName val="data_sein"/>
      <sheetName val="v"/>
      <sheetName val="r"/>
      <sheetName val="l"/>
      <sheetName val="door"/>
      <sheetName val="win"/>
      <sheetName val="Lead"/>
      <sheetName val="leads"/>
      <sheetName val="wh_data"/>
      <sheetName val="wh_data_R"/>
      <sheetName val="CPHEEO"/>
      <sheetName val="input"/>
      <sheetName val="rdamdata"/>
      <sheetName val="lead-st"/>
      <sheetName val="data"/>
      <sheetName val="MRATES"/>
      <sheetName val="Sheet1 (2)"/>
      <sheetName val="Material"/>
      <sheetName val="Plant &amp;  Machinery"/>
      <sheetName val="HDPE"/>
      <sheetName val="DI"/>
      <sheetName val="pvc"/>
      <sheetName val="Red oxide Primer Paint grade-II"/>
      <sheetName val="EDWise"/>
      <sheetName val="Road Detail Est."/>
      <sheetName val="Road data"/>
      <sheetName val="RMR"/>
      <sheetName val="Levels"/>
      <sheetName val="Sheet1"/>
      <sheetName val="Cover"/>
      <sheetName val="int-Dia-hdpe"/>
      <sheetName val="Data.F8.BTR"/>
      <sheetName val="mlead"/>
      <sheetName val="DATA-BASE"/>
      <sheetName val="DATA-ABSTRACT"/>
      <sheetName val="BALAN1"/>
      <sheetName val="Labour"/>
      <sheetName val="RATES"/>
      <sheetName val="DATA ENTRY SHEET"/>
      <sheetName val="TOTAL DATA"/>
      <sheetName val="HP PIPE  DATA"/>
      <sheetName val="SLAB  DATA"/>
      <sheetName val="Sheet2"/>
      <sheetName val="Design"/>
      <sheetName val="sup dat"/>
      <sheetName val="DATA_PRG"/>
      <sheetName val="Work_sheet"/>
      <sheetName val="C.D.Abs.Est."/>
      <sheetName val="not req 3"/>
      <sheetName val="quarry"/>
      <sheetName val="final abstract"/>
      <sheetName val="BTR"/>
      <sheetName val="Line"/>
      <sheetName val="dlvoid"/>
      <sheetName val="index"/>
      <sheetName val="Intro"/>
      <sheetName val="Sheet1_(2)"/>
      <sheetName val="Plant_&amp;__Machinery"/>
      <sheetName val="Red_oxide_Primer_Paint_grade-II"/>
      <sheetName val="Road_Detail_Est_"/>
      <sheetName val="Road_data"/>
      <sheetName val="Data_F8_BTR"/>
      <sheetName val="abs road"/>
      <sheetName val="coverpage"/>
      <sheetName val="TS memo"/>
      <sheetName val="m"/>
      <sheetName val="pvc_basic"/>
      <sheetName val="MRoad data"/>
      <sheetName val="RA"/>
      <sheetName val="FINAL DATA"/>
      <sheetName val="road safety datas"/>
      <sheetName val="civ data"/>
      <sheetName val="mas_hab"/>
      <sheetName val="bom"/>
      <sheetName val="GZL"/>
      <sheetName val="Bitumen trunk"/>
      <sheetName val="Feeder"/>
      <sheetName val="R99 etc"/>
      <sheetName val="Trunk unpaved"/>
      <sheetName val="Project cost"/>
      <sheetName val="C-data"/>
      <sheetName val="R_Det"/>
      <sheetName val="Mp-team 1"/>
      <sheetName val="Abs_CD_2"/>
      <sheetName val="road est"/>
      <sheetName val="ECV"/>
      <sheetName val="Side wall dsn Formula"/>
      <sheetName val="hdpe_bas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2">
          <cell r="A2">
            <v>1</v>
          </cell>
          <cell r="B2" t="str">
            <v>Name of the work</v>
          </cell>
          <cell r="C2" t="str">
            <v>Construction of MPP Building at  Nadigudem</v>
          </cell>
        </row>
        <row r="3">
          <cell r="A3">
            <v>2</v>
          </cell>
          <cell r="B3" t="str">
            <v>Est.cost</v>
          </cell>
          <cell r="C3">
            <v>17</v>
          </cell>
        </row>
        <row r="4">
          <cell r="A4">
            <v>3</v>
          </cell>
          <cell r="B4" t="str">
            <v>Grant</v>
          </cell>
          <cell r="C4" t="str">
            <v>MPP</v>
          </cell>
        </row>
        <row r="5">
          <cell r="A5">
            <v>4</v>
          </cell>
          <cell r="B5" t="str">
            <v>Soils</v>
          </cell>
          <cell r="C5" t="str">
            <v>og</v>
          </cell>
        </row>
        <row r="6">
          <cell r="A6">
            <v>5</v>
          </cell>
          <cell r="B6" t="str">
            <v>Cement</v>
          </cell>
          <cell r="C6">
            <v>0</v>
          </cell>
          <cell r="D6">
            <v>2500</v>
          </cell>
          <cell r="E6" t="str">
            <v>/MT</v>
          </cell>
        </row>
        <row r="7">
          <cell r="A7">
            <v>6</v>
          </cell>
          <cell r="B7" t="str">
            <v>Steel</v>
          </cell>
          <cell r="C7">
            <v>0</v>
          </cell>
          <cell r="D7">
            <v>15000</v>
          </cell>
          <cell r="E7" t="str">
            <v>/MT</v>
          </cell>
        </row>
        <row r="8">
          <cell r="A8">
            <v>7</v>
          </cell>
          <cell r="B8" t="str">
            <v>Metal lead</v>
          </cell>
          <cell r="C8" t="str">
            <v>Akupamula</v>
          </cell>
          <cell r="D8">
            <v>15</v>
          </cell>
          <cell r="E8" t="str">
            <v>KM</v>
          </cell>
        </row>
        <row r="9">
          <cell r="A9">
            <v>8</v>
          </cell>
          <cell r="B9" t="str">
            <v>Crushed meal lead</v>
          </cell>
          <cell r="C9" t="str">
            <v>Akupamula</v>
          </cell>
          <cell r="D9">
            <v>15</v>
          </cell>
          <cell r="E9" t="str">
            <v>KM</v>
          </cell>
        </row>
        <row r="10">
          <cell r="A10">
            <v>9</v>
          </cell>
          <cell r="B10" t="str">
            <v>Sand Lead</v>
          </cell>
          <cell r="C10" t="str">
            <v>Palair</v>
          </cell>
          <cell r="D10">
            <v>32</v>
          </cell>
          <cell r="E10" t="str">
            <v>KM</v>
          </cell>
        </row>
        <row r="11">
          <cell r="A11">
            <v>10</v>
          </cell>
          <cell r="B11" t="str">
            <v>Bricks lead</v>
          </cell>
          <cell r="C11" t="str">
            <v>Kishnavagu</v>
          </cell>
          <cell r="D11">
            <v>6</v>
          </cell>
          <cell r="E11" t="str">
            <v>KM</v>
          </cell>
        </row>
        <row r="12">
          <cell r="A12">
            <v>11</v>
          </cell>
          <cell r="B12" t="str">
            <v>Polished Shabad Stone lead</v>
          </cell>
          <cell r="C12" t="str">
            <v>Kodad</v>
          </cell>
          <cell r="D12">
            <v>22</v>
          </cell>
          <cell r="E12" t="str">
            <v>KM</v>
          </cell>
        </row>
        <row r="13">
          <cell r="A13">
            <v>12</v>
          </cell>
          <cell r="B13" t="str">
            <v>Village</v>
          </cell>
          <cell r="C13" t="str">
            <v>Nadigudem</v>
          </cell>
        </row>
        <row r="14">
          <cell r="A14">
            <v>13</v>
          </cell>
          <cell r="B14" t="str">
            <v>mandal code</v>
          </cell>
          <cell r="C14">
            <v>0</v>
          </cell>
          <cell r="D14">
            <v>145</v>
          </cell>
        </row>
        <row r="15">
          <cell r="A15">
            <v>14</v>
          </cell>
          <cell r="B15" t="str">
            <v>Acco proof powder</v>
          </cell>
          <cell r="C15">
            <v>30</v>
          </cell>
          <cell r="D15" t="str">
            <v>per kg</v>
          </cell>
        </row>
        <row r="16">
          <cell r="A16">
            <v>15</v>
          </cell>
          <cell r="B16" t="str">
            <v>Mandal</v>
          </cell>
          <cell r="C16" t="str">
            <v>Kodad</v>
          </cell>
        </row>
        <row r="17">
          <cell r="A17">
            <v>16</v>
          </cell>
          <cell r="B17" t="str">
            <v>Sub-division</v>
          </cell>
          <cell r="C17" t="str">
            <v>Kodad</v>
          </cell>
        </row>
        <row r="18">
          <cell r="A18">
            <v>17</v>
          </cell>
          <cell r="B18" t="str">
            <v>Division</v>
          </cell>
          <cell r="C18" t="str">
            <v>Miryalaguda</v>
          </cell>
        </row>
        <row r="19">
          <cell r="A19">
            <v>18</v>
          </cell>
          <cell r="B19" t="str">
            <v>SO</v>
          </cell>
          <cell r="C19" t="str">
            <v>ae</v>
          </cell>
        </row>
        <row r="20">
          <cell r="A20">
            <v>19</v>
          </cell>
          <cell r="B20" t="str">
            <v>AE</v>
          </cell>
          <cell r="C20" t="str">
            <v>K.Ranadheer Reddy</v>
          </cell>
        </row>
        <row r="21">
          <cell r="A21">
            <v>20</v>
          </cell>
          <cell r="B21" t="str">
            <v>DEE</v>
          </cell>
          <cell r="C21" t="str">
            <v>D.Vijaya Kumar</v>
          </cell>
        </row>
        <row r="22">
          <cell r="A22">
            <v>21</v>
          </cell>
          <cell r="B22" t="str">
            <v>EE</v>
          </cell>
          <cell r="C22" t="str">
            <v>VVRAS Jagannatha Rao</v>
          </cell>
        </row>
      </sheetData>
      <sheetData sheetId="10" refreshError="1">
        <row r="1">
          <cell r="B1" t="str">
            <v>SNO</v>
          </cell>
          <cell r="C1" t="str">
            <v>SSITEMNO</v>
          </cell>
          <cell r="D1">
            <v>0</v>
          </cell>
          <cell r="E1">
            <v>0</v>
          </cell>
          <cell r="F1" t="str">
            <v>DETAILS</v>
          </cell>
          <cell r="G1" t="str">
            <v>Unit</v>
          </cell>
          <cell r="H1" t="str">
            <v>PER</v>
          </cell>
          <cell r="I1" t="str">
            <v>RATE</v>
          </cell>
        </row>
        <row r="2">
          <cell r="B2">
            <v>1</v>
          </cell>
          <cell r="C2" t="str">
            <v>1ab</v>
          </cell>
          <cell r="D2">
            <v>0</v>
          </cell>
          <cell r="E2">
            <v>0</v>
          </cell>
          <cell r="F2" t="str">
            <v>1st Class Mason</v>
          </cell>
          <cell r="G2">
            <v>1</v>
          </cell>
          <cell r="H2" t="str">
            <v>each</v>
          </cell>
          <cell r="I2">
            <v>86</v>
          </cell>
        </row>
        <row r="3">
          <cell r="B3">
            <v>26</v>
          </cell>
          <cell r="C3">
            <v>17</v>
          </cell>
          <cell r="D3">
            <v>0</v>
          </cell>
          <cell r="E3">
            <v>0</v>
          </cell>
          <cell r="F3" t="str">
            <v>Spl.grade Mason</v>
          </cell>
          <cell r="G3">
            <v>1</v>
          </cell>
          <cell r="H3" t="str">
            <v>each</v>
          </cell>
          <cell r="I3">
            <v>0</v>
          </cell>
        </row>
        <row r="4">
          <cell r="B4">
            <v>28</v>
          </cell>
          <cell r="C4" t="str">
            <v>1a</v>
          </cell>
          <cell r="D4">
            <v>0</v>
          </cell>
          <cell r="E4">
            <v>0</v>
          </cell>
          <cell r="F4" t="str">
            <v>2nd Class Mason</v>
          </cell>
          <cell r="G4">
            <v>1</v>
          </cell>
          <cell r="H4" t="str">
            <v>each</v>
          </cell>
          <cell r="I4">
            <v>75</v>
          </cell>
        </row>
        <row r="5">
          <cell r="B5">
            <v>53</v>
          </cell>
          <cell r="C5">
            <v>2</v>
          </cell>
          <cell r="D5">
            <v>0</v>
          </cell>
          <cell r="E5">
            <v>0</v>
          </cell>
          <cell r="F5" t="str">
            <v>Man Mazdoor</v>
          </cell>
          <cell r="G5">
            <v>1</v>
          </cell>
          <cell r="H5" t="str">
            <v>each</v>
          </cell>
          <cell r="I5">
            <v>55</v>
          </cell>
        </row>
        <row r="6">
          <cell r="B6">
            <v>54</v>
          </cell>
          <cell r="C6">
            <v>3</v>
          </cell>
          <cell r="D6">
            <v>0</v>
          </cell>
          <cell r="E6">
            <v>0</v>
          </cell>
          <cell r="F6" t="str">
            <v>Woman Mazdoor</v>
          </cell>
          <cell r="G6">
            <v>1</v>
          </cell>
          <cell r="H6" t="str">
            <v>each</v>
          </cell>
          <cell r="I6">
            <v>55</v>
          </cell>
        </row>
        <row r="7">
          <cell r="B7">
            <v>60</v>
          </cell>
          <cell r="C7" t="str">
            <v>1a</v>
          </cell>
          <cell r="D7">
            <v>0</v>
          </cell>
          <cell r="E7">
            <v>0</v>
          </cell>
          <cell r="F7" t="str">
            <v>2nd Class Bricks</v>
          </cell>
          <cell r="G7">
            <v>1000</v>
          </cell>
          <cell r="H7" t="str">
            <v>Nos</v>
          </cell>
          <cell r="I7">
            <v>1200</v>
          </cell>
        </row>
        <row r="8">
          <cell r="B8">
            <v>67</v>
          </cell>
          <cell r="C8" t="str">
            <v>2c</v>
          </cell>
          <cell r="D8">
            <v>0</v>
          </cell>
          <cell r="E8">
            <v>0</v>
          </cell>
          <cell r="F8" t="str">
            <v>RR stone Granite Variety</v>
          </cell>
          <cell r="G8">
            <v>1</v>
          </cell>
          <cell r="H8" t="str">
            <v>cum</v>
          </cell>
          <cell r="I8">
            <v>75</v>
          </cell>
        </row>
        <row r="9">
          <cell r="B9">
            <v>72</v>
          </cell>
          <cell r="C9" t="str">
            <v>3a</v>
          </cell>
          <cell r="D9">
            <v>0</v>
          </cell>
          <cell r="E9">
            <v>0</v>
          </cell>
          <cell r="F9" t="str">
            <v>CR stone Granite Variety</v>
          </cell>
          <cell r="G9">
            <v>1</v>
          </cell>
          <cell r="H9" t="str">
            <v>cum</v>
          </cell>
          <cell r="I9">
            <v>109</v>
          </cell>
        </row>
        <row r="10">
          <cell r="B10">
            <v>80</v>
          </cell>
          <cell r="C10">
            <v>0</v>
          </cell>
          <cell r="D10">
            <v>0</v>
          </cell>
          <cell r="E10">
            <v>0</v>
          </cell>
          <cell r="F10" t="str">
            <v>6 mm SS</v>
          </cell>
          <cell r="G10">
            <v>1</v>
          </cell>
          <cell r="H10" t="str">
            <v>cum</v>
          </cell>
          <cell r="I10">
            <v>170</v>
          </cell>
        </row>
        <row r="11">
          <cell r="B11">
            <v>81</v>
          </cell>
          <cell r="C11">
            <v>0</v>
          </cell>
          <cell r="D11">
            <v>0</v>
          </cell>
          <cell r="E11">
            <v>0</v>
          </cell>
          <cell r="F11" t="str">
            <v>5 to 7 mm IRC</v>
          </cell>
          <cell r="G11">
            <v>1</v>
          </cell>
          <cell r="H11" t="str">
            <v>cum</v>
          </cell>
          <cell r="I11">
            <v>170</v>
          </cell>
        </row>
        <row r="12">
          <cell r="B12">
            <v>82</v>
          </cell>
          <cell r="C12">
            <v>0</v>
          </cell>
          <cell r="D12">
            <v>0</v>
          </cell>
          <cell r="E12">
            <v>0</v>
          </cell>
          <cell r="F12" t="str">
            <v>10 mm SS</v>
          </cell>
          <cell r="G12">
            <v>1</v>
          </cell>
          <cell r="H12" t="str">
            <v>cum</v>
          </cell>
          <cell r="I12">
            <v>250</v>
          </cell>
        </row>
        <row r="13">
          <cell r="B13">
            <v>83</v>
          </cell>
          <cell r="C13">
            <v>0</v>
          </cell>
          <cell r="D13">
            <v>0</v>
          </cell>
          <cell r="E13">
            <v>0</v>
          </cell>
          <cell r="F13" t="str">
            <v>10 to 11.2 IRC</v>
          </cell>
          <cell r="G13">
            <v>1</v>
          </cell>
          <cell r="H13" t="str">
            <v>cum</v>
          </cell>
          <cell r="I13">
            <v>250</v>
          </cell>
        </row>
        <row r="14">
          <cell r="B14">
            <v>84</v>
          </cell>
          <cell r="C14">
            <v>0</v>
          </cell>
          <cell r="D14">
            <v>0</v>
          </cell>
          <cell r="E14">
            <v>0</v>
          </cell>
          <cell r="F14" t="str">
            <v>12 mm SS</v>
          </cell>
          <cell r="G14">
            <v>1</v>
          </cell>
          <cell r="H14" t="str">
            <v>cum</v>
          </cell>
          <cell r="I14">
            <v>300</v>
          </cell>
        </row>
        <row r="15">
          <cell r="B15">
            <v>85</v>
          </cell>
          <cell r="C15">
            <v>0</v>
          </cell>
          <cell r="D15">
            <v>0</v>
          </cell>
          <cell r="E15">
            <v>0</v>
          </cell>
          <cell r="F15" t="str">
            <v>12 to 14 mm IRC</v>
          </cell>
          <cell r="G15">
            <v>1</v>
          </cell>
          <cell r="H15" t="str">
            <v>cum</v>
          </cell>
          <cell r="I15">
            <v>300</v>
          </cell>
        </row>
        <row r="16">
          <cell r="B16">
            <v>86</v>
          </cell>
          <cell r="C16">
            <v>0</v>
          </cell>
          <cell r="D16">
            <v>0</v>
          </cell>
          <cell r="E16">
            <v>0</v>
          </cell>
          <cell r="F16" t="str">
            <v>20 mm SS</v>
          </cell>
          <cell r="G16">
            <v>1</v>
          </cell>
          <cell r="H16" t="str">
            <v>cum</v>
          </cell>
          <cell r="I16">
            <v>380</v>
          </cell>
        </row>
        <row r="17">
          <cell r="B17">
            <v>87</v>
          </cell>
          <cell r="C17">
            <v>0</v>
          </cell>
          <cell r="D17">
            <v>0</v>
          </cell>
          <cell r="E17">
            <v>0</v>
          </cell>
          <cell r="F17" t="str">
            <v>20 to 22 mm IRC</v>
          </cell>
          <cell r="G17">
            <v>1</v>
          </cell>
          <cell r="H17" t="str">
            <v>cum</v>
          </cell>
          <cell r="I17">
            <v>375</v>
          </cell>
        </row>
        <row r="18">
          <cell r="B18">
            <v>88</v>
          </cell>
          <cell r="C18">
            <v>0</v>
          </cell>
          <cell r="D18">
            <v>0</v>
          </cell>
          <cell r="E18">
            <v>0</v>
          </cell>
          <cell r="F18" t="str">
            <v>25 mm SS</v>
          </cell>
          <cell r="G18">
            <v>1</v>
          </cell>
          <cell r="H18" t="str">
            <v>cum</v>
          </cell>
          <cell r="I18">
            <v>300</v>
          </cell>
        </row>
        <row r="19">
          <cell r="B19">
            <v>89</v>
          </cell>
          <cell r="C19">
            <v>0</v>
          </cell>
          <cell r="D19">
            <v>0</v>
          </cell>
          <cell r="E19">
            <v>0</v>
          </cell>
          <cell r="F19" t="str">
            <v>25 to 27 mm IRC</v>
          </cell>
          <cell r="G19">
            <v>1</v>
          </cell>
          <cell r="H19" t="str">
            <v>cum</v>
          </cell>
          <cell r="I19">
            <v>300</v>
          </cell>
        </row>
        <row r="20">
          <cell r="B20">
            <v>90</v>
          </cell>
          <cell r="C20">
            <v>0</v>
          </cell>
          <cell r="D20">
            <v>0</v>
          </cell>
          <cell r="E20">
            <v>0</v>
          </cell>
          <cell r="F20" t="str">
            <v>40 mm SS</v>
          </cell>
          <cell r="G20">
            <v>1</v>
          </cell>
          <cell r="H20" t="str">
            <v>cum</v>
          </cell>
          <cell r="I20">
            <v>215</v>
          </cell>
        </row>
        <row r="21">
          <cell r="B21">
            <v>91</v>
          </cell>
          <cell r="C21">
            <v>0</v>
          </cell>
          <cell r="D21">
            <v>0</v>
          </cell>
          <cell r="E21">
            <v>0</v>
          </cell>
          <cell r="F21" t="str">
            <v>40 to 45 mm IRC</v>
          </cell>
          <cell r="G21">
            <v>1</v>
          </cell>
          <cell r="H21" t="str">
            <v>cum</v>
          </cell>
          <cell r="I21">
            <v>200</v>
          </cell>
        </row>
        <row r="22">
          <cell r="B22">
            <v>92</v>
          </cell>
          <cell r="C22">
            <v>0</v>
          </cell>
          <cell r="D22">
            <v>0</v>
          </cell>
          <cell r="E22">
            <v>0</v>
          </cell>
          <cell r="F22" t="str">
            <v>50 mm SS</v>
          </cell>
          <cell r="G22">
            <v>1</v>
          </cell>
          <cell r="H22" t="str">
            <v>cum</v>
          </cell>
          <cell r="I22">
            <v>150</v>
          </cell>
        </row>
        <row r="23">
          <cell r="B23">
            <v>93</v>
          </cell>
          <cell r="C23">
            <v>0</v>
          </cell>
          <cell r="D23">
            <v>0</v>
          </cell>
          <cell r="E23">
            <v>0</v>
          </cell>
          <cell r="F23" t="str">
            <v>50 to 55mm IRC</v>
          </cell>
          <cell r="G23">
            <v>1</v>
          </cell>
          <cell r="H23" t="str">
            <v>cum</v>
          </cell>
          <cell r="I23">
            <v>120</v>
          </cell>
        </row>
        <row r="24">
          <cell r="B24">
            <v>94</v>
          </cell>
          <cell r="C24">
            <v>0</v>
          </cell>
          <cell r="D24">
            <v>0</v>
          </cell>
          <cell r="E24">
            <v>0</v>
          </cell>
          <cell r="F24" t="str">
            <v>60 mm SS</v>
          </cell>
          <cell r="G24">
            <v>1</v>
          </cell>
          <cell r="H24" t="str">
            <v>cum</v>
          </cell>
          <cell r="I24">
            <v>150</v>
          </cell>
        </row>
        <row r="25">
          <cell r="B25">
            <v>95</v>
          </cell>
          <cell r="C25">
            <v>0</v>
          </cell>
          <cell r="D25">
            <v>0</v>
          </cell>
          <cell r="E25">
            <v>0</v>
          </cell>
          <cell r="F25" t="str">
            <v>60 to 63 mm IRC</v>
          </cell>
          <cell r="G25">
            <v>1</v>
          </cell>
          <cell r="H25" t="str">
            <v>cum</v>
          </cell>
          <cell r="I25">
            <v>110</v>
          </cell>
        </row>
        <row r="26">
          <cell r="B26">
            <v>96</v>
          </cell>
          <cell r="C26">
            <v>0</v>
          </cell>
          <cell r="D26">
            <v>0</v>
          </cell>
          <cell r="E26">
            <v>0</v>
          </cell>
          <cell r="F26" t="str">
            <v>65 mm SS</v>
          </cell>
          <cell r="G26">
            <v>1</v>
          </cell>
          <cell r="H26" t="str">
            <v>cum</v>
          </cell>
          <cell r="I26">
            <v>150</v>
          </cell>
        </row>
        <row r="27">
          <cell r="B27">
            <v>97</v>
          </cell>
          <cell r="C27">
            <v>0</v>
          </cell>
          <cell r="D27">
            <v>0</v>
          </cell>
          <cell r="E27">
            <v>0</v>
          </cell>
          <cell r="F27" t="str">
            <v>65 mm IRC</v>
          </cell>
          <cell r="G27">
            <v>1</v>
          </cell>
          <cell r="H27" t="str">
            <v>cum</v>
          </cell>
          <cell r="I27">
            <v>120</v>
          </cell>
        </row>
        <row r="28">
          <cell r="B28">
            <v>98</v>
          </cell>
          <cell r="C28">
            <v>0</v>
          </cell>
          <cell r="D28">
            <v>0</v>
          </cell>
          <cell r="E28">
            <v>0</v>
          </cell>
          <cell r="F28" t="str">
            <v>75 mm SS</v>
          </cell>
          <cell r="G28">
            <v>1</v>
          </cell>
          <cell r="H28" t="str">
            <v>cum</v>
          </cell>
          <cell r="I28">
            <v>95</v>
          </cell>
        </row>
        <row r="29">
          <cell r="B29">
            <v>99</v>
          </cell>
          <cell r="C29">
            <v>0</v>
          </cell>
          <cell r="D29">
            <v>0</v>
          </cell>
          <cell r="E29">
            <v>0</v>
          </cell>
          <cell r="F29" t="str">
            <v>75 mm IRC</v>
          </cell>
          <cell r="G29">
            <v>1</v>
          </cell>
          <cell r="H29" t="str">
            <v>cum</v>
          </cell>
          <cell r="I29">
            <v>95</v>
          </cell>
        </row>
        <row r="30">
          <cell r="B30">
            <v>100</v>
          </cell>
          <cell r="C30">
            <v>0</v>
          </cell>
          <cell r="D30">
            <v>0</v>
          </cell>
          <cell r="E30">
            <v>0</v>
          </cell>
          <cell r="F30" t="str">
            <v>Blasting</v>
          </cell>
          <cell r="G30">
            <v>1</v>
          </cell>
          <cell r="H30" t="str">
            <v>cum</v>
          </cell>
          <cell r="I30">
            <v>40</v>
          </cell>
        </row>
        <row r="31">
          <cell r="B31">
            <v>101</v>
          </cell>
          <cell r="C31">
            <v>0</v>
          </cell>
          <cell r="D31">
            <v>0</v>
          </cell>
          <cell r="E31">
            <v>0</v>
          </cell>
          <cell r="F31" t="str">
            <v>Metal Crushing</v>
          </cell>
          <cell r="G31">
            <v>1</v>
          </cell>
          <cell r="H31" t="str">
            <v>cum</v>
          </cell>
          <cell r="I31">
            <v>0.25</v>
          </cell>
        </row>
        <row r="32">
          <cell r="B32">
            <v>127</v>
          </cell>
          <cell r="C32">
            <v>9</v>
          </cell>
          <cell r="D32">
            <v>0</v>
          </cell>
          <cell r="E32">
            <v>0</v>
          </cell>
          <cell r="F32" t="str">
            <v>Gravel</v>
          </cell>
          <cell r="G32">
            <v>1</v>
          </cell>
          <cell r="H32" t="str">
            <v>cum</v>
          </cell>
          <cell r="I32">
            <v>25</v>
          </cell>
        </row>
        <row r="33">
          <cell r="B33">
            <v>128</v>
          </cell>
          <cell r="C33">
            <v>0</v>
          </cell>
          <cell r="D33">
            <v>0</v>
          </cell>
          <cell r="E33">
            <v>0</v>
          </cell>
          <cell r="F33" t="str">
            <v>Quarry rubbish</v>
          </cell>
          <cell r="G33">
            <v>1</v>
          </cell>
          <cell r="H33" t="str">
            <v>cum</v>
          </cell>
          <cell r="I33">
            <v>11</v>
          </cell>
        </row>
        <row r="34">
          <cell r="B34">
            <v>129</v>
          </cell>
          <cell r="C34">
            <v>0</v>
          </cell>
          <cell r="D34">
            <v>0</v>
          </cell>
          <cell r="E34">
            <v>0</v>
          </cell>
          <cell r="F34" t="str">
            <v>Sand for Mortar, Seal coat</v>
          </cell>
          <cell r="G34">
            <v>1</v>
          </cell>
          <cell r="H34" t="str">
            <v>cum</v>
          </cell>
          <cell r="I34">
            <v>50</v>
          </cell>
        </row>
        <row r="35">
          <cell r="B35">
            <v>130</v>
          </cell>
          <cell r="C35">
            <v>0</v>
          </cell>
          <cell r="D35">
            <v>0</v>
          </cell>
          <cell r="E35">
            <v>0</v>
          </cell>
          <cell r="F35" t="str">
            <v>Sand for Filling, Blindage</v>
          </cell>
          <cell r="G35">
            <v>1</v>
          </cell>
          <cell r="H35" t="str">
            <v>cum</v>
          </cell>
          <cell r="I35">
            <v>20</v>
          </cell>
        </row>
        <row r="36">
          <cell r="B36">
            <v>133</v>
          </cell>
          <cell r="C36">
            <v>15</v>
          </cell>
          <cell r="D36">
            <v>0</v>
          </cell>
          <cell r="E36">
            <v>0</v>
          </cell>
          <cell r="F36" t="str">
            <v>40 mm thick 0.762 m x.457 m</v>
          </cell>
          <cell r="G36">
            <v>1</v>
          </cell>
          <cell r="H36" t="str">
            <v>sqm</v>
          </cell>
          <cell r="I36">
            <v>70</v>
          </cell>
        </row>
        <row r="37">
          <cell r="B37">
            <v>134</v>
          </cell>
          <cell r="C37">
            <v>16</v>
          </cell>
          <cell r="D37">
            <v>0</v>
          </cell>
          <cell r="E37">
            <v>0</v>
          </cell>
          <cell r="F37" t="str">
            <v>50 mm thick 0.762 m x.457 m</v>
          </cell>
          <cell r="G37">
            <v>1</v>
          </cell>
          <cell r="H37" t="str">
            <v>sqm</v>
          </cell>
          <cell r="I37">
            <v>80</v>
          </cell>
        </row>
        <row r="38">
          <cell r="B38">
            <v>136</v>
          </cell>
          <cell r="C38">
            <v>0</v>
          </cell>
          <cell r="D38">
            <v>0</v>
          </cell>
          <cell r="E38">
            <v>0</v>
          </cell>
          <cell r="F38" t="str">
            <v>25.4 mm thick White</v>
          </cell>
          <cell r="G38">
            <v>10</v>
          </cell>
          <cell r="H38" t="str">
            <v>sqm</v>
          </cell>
          <cell r="I38">
            <v>550</v>
          </cell>
        </row>
        <row r="39">
          <cell r="B39">
            <v>137</v>
          </cell>
          <cell r="C39">
            <v>0</v>
          </cell>
          <cell r="D39">
            <v>0</v>
          </cell>
          <cell r="E39">
            <v>0</v>
          </cell>
          <cell r="F39" t="str">
            <v>25.4 mm thick Blue</v>
          </cell>
          <cell r="G39">
            <v>10</v>
          </cell>
          <cell r="H39" t="str">
            <v>sqm</v>
          </cell>
          <cell r="I39">
            <v>600</v>
          </cell>
        </row>
        <row r="40">
          <cell r="B40">
            <v>138</v>
          </cell>
          <cell r="C40">
            <v>0</v>
          </cell>
          <cell r="D40">
            <v>0</v>
          </cell>
          <cell r="E40">
            <v>0</v>
          </cell>
          <cell r="F40" t="str">
            <v>25.4 mm thick White</v>
          </cell>
          <cell r="G40">
            <v>10</v>
          </cell>
          <cell r="H40" t="str">
            <v>sqm</v>
          </cell>
          <cell r="I40">
            <v>600</v>
          </cell>
        </row>
        <row r="41">
          <cell r="B41">
            <v>139</v>
          </cell>
          <cell r="C41">
            <v>0</v>
          </cell>
          <cell r="D41">
            <v>0</v>
          </cell>
          <cell r="E41">
            <v>0</v>
          </cell>
          <cell r="F41" t="str">
            <v>25.4 mm thick Blue</v>
          </cell>
          <cell r="G41">
            <v>10</v>
          </cell>
          <cell r="H41" t="str">
            <v>sqm</v>
          </cell>
          <cell r="I41">
            <v>700</v>
          </cell>
        </row>
        <row r="42">
          <cell r="B42">
            <v>140</v>
          </cell>
          <cell r="C42">
            <v>0</v>
          </cell>
          <cell r="D42">
            <v>0</v>
          </cell>
          <cell r="E42">
            <v>0</v>
          </cell>
          <cell r="F42" t="str">
            <v>25.4 mm thick White  0.457mx0.457 m</v>
          </cell>
          <cell r="G42">
            <v>10</v>
          </cell>
          <cell r="H42" t="str">
            <v>sqm</v>
          </cell>
          <cell r="I42">
            <v>1000</v>
          </cell>
        </row>
        <row r="43">
          <cell r="B43">
            <v>141</v>
          </cell>
          <cell r="C43">
            <v>0</v>
          </cell>
          <cell r="D43">
            <v>0</v>
          </cell>
          <cell r="E43">
            <v>0</v>
          </cell>
          <cell r="F43" t="str">
            <v>25.4 mm thick Blue  0.457mx0.457 m</v>
          </cell>
          <cell r="G43">
            <v>10</v>
          </cell>
          <cell r="H43" t="str">
            <v>sqm</v>
          </cell>
          <cell r="I43">
            <v>1150</v>
          </cell>
        </row>
        <row r="44">
          <cell r="B44">
            <v>142</v>
          </cell>
          <cell r="C44">
            <v>20</v>
          </cell>
          <cell r="D44">
            <v>0</v>
          </cell>
          <cell r="E44">
            <v>0</v>
          </cell>
          <cell r="F44" t="str">
            <v>25.4 mm thick   0.457mx0.457 m</v>
          </cell>
          <cell r="G44">
            <v>10</v>
          </cell>
          <cell r="H44" t="str">
            <v>sqm</v>
          </cell>
          <cell r="I44">
            <v>900</v>
          </cell>
        </row>
        <row r="45">
          <cell r="B45">
            <v>143</v>
          </cell>
          <cell r="C45">
            <v>21</v>
          </cell>
          <cell r="D45">
            <v>0</v>
          </cell>
          <cell r="E45">
            <v>0</v>
          </cell>
          <cell r="F45" t="str">
            <v>25.4 mm thick 0.254mx0.254 m White</v>
          </cell>
          <cell r="G45">
            <v>10</v>
          </cell>
          <cell r="H45" t="str">
            <v>sqm</v>
          </cell>
          <cell r="I45">
            <v>2700</v>
          </cell>
        </row>
        <row r="46">
          <cell r="B46">
            <v>168</v>
          </cell>
          <cell r="C46">
            <v>0</v>
          </cell>
          <cell r="D46">
            <v>0</v>
          </cell>
          <cell r="E46">
            <v>0</v>
          </cell>
          <cell r="F46" t="str">
            <v>Cement Mortar</v>
          </cell>
          <cell r="G46">
            <v>1</v>
          </cell>
          <cell r="H46" t="str">
            <v>cum</v>
          </cell>
          <cell r="I46">
            <v>15</v>
          </cell>
        </row>
        <row r="47">
          <cell r="B47">
            <v>169</v>
          </cell>
          <cell r="C47">
            <v>0</v>
          </cell>
          <cell r="D47">
            <v>0</v>
          </cell>
          <cell r="E47">
            <v>0</v>
          </cell>
          <cell r="F47" t="str">
            <v>By Machine</v>
          </cell>
          <cell r="G47">
            <v>1</v>
          </cell>
          <cell r="H47" t="str">
            <v>cum</v>
          </cell>
          <cell r="I47">
            <v>25</v>
          </cell>
        </row>
        <row r="48">
          <cell r="B48">
            <v>175</v>
          </cell>
          <cell r="C48">
            <v>0</v>
          </cell>
          <cell r="D48">
            <v>0</v>
          </cell>
          <cell r="E48">
            <v>0</v>
          </cell>
          <cell r="F48" t="str">
            <v>White Cement</v>
          </cell>
          <cell r="G48">
            <v>1</v>
          </cell>
          <cell r="H48" t="str">
            <v>kg</v>
          </cell>
          <cell r="I48">
            <v>9</v>
          </cell>
        </row>
        <row r="49">
          <cell r="B49">
            <v>176</v>
          </cell>
          <cell r="C49">
            <v>0</v>
          </cell>
          <cell r="D49">
            <v>0</v>
          </cell>
          <cell r="E49">
            <v>0</v>
          </cell>
          <cell r="F49" t="str">
            <v xml:space="preserve">Scantling below 2m </v>
          </cell>
          <cell r="G49">
            <v>1</v>
          </cell>
          <cell r="H49" t="str">
            <v>cum</v>
          </cell>
          <cell r="I49">
            <v>50000</v>
          </cell>
        </row>
        <row r="50">
          <cell r="B50">
            <v>177</v>
          </cell>
          <cell r="C50">
            <v>0</v>
          </cell>
          <cell r="D50">
            <v>0</v>
          </cell>
          <cell r="E50">
            <v>0</v>
          </cell>
          <cell r="F50" t="str">
            <v xml:space="preserve">Scantling above 2m </v>
          </cell>
          <cell r="G50">
            <v>1</v>
          </cell>
          <cell r="H50" t="str">
            <v>cum</v>
          </cell>
          <cell r="I50">
            <v>52000</v>
          </cell>
        </row>
        <row r="51">
          <cell r="B51">
            <v>178</v>
          </cell>
          <cell r="C51">
            <v>0</v>
          </cell>
          <cell r="D51">
            <v>0</v>
          </cell>
          <cell r="E51">
            <v>0</v>
          </cell>
          <cell r="F51" t="str">
            <v>Planks of all sizes</v>
          </cell>
          <cell r="G51">
            <v>1</v>
          </cell>
          <cell r="H51" t="str">
            <v>cum</v>
          </cell>
          <cell r="I51">
            <v>55000</v>
          </cell>
        </row>
        <row r="52">
          <cell r="B52">
            <v>176</v>
          </cell>
          <cell r="C52">
            <v>0</v>
          </cell>
          <cell r="D52">
            <v>0</v>
          </cell>
          <cell r="E52">
            <v>0</v>
          </cell>
          <cell r="F52" t="str">
            <v xml:space="preserve">Scantling below 2m </v>
          </cell>
          <cell r="G52">
            <v>1</v>
          </cell>
          <cell r="H52" t="str">
            <v>cum</v>
          </cell>
          <cell r="I52">
            <v>40000</v>
          </cell>
        </row>
        <row r="53">
          <cell r="B53">
            <v>177</v>
          </cell>
          <cell r="C53">
            <v>0</v>
          </cell>
          <cell r="D53">
            <v>0</v>
          </cell>
          <cell r="E53">
            <v>0</v>
          </cell>
          <cell r="F53" t="str">
            <v xml:space="preserve">Scantling above 2m </v>
          </cell>
          <cell r="G53">
            <v>1</v>
          </cell>
          <cell r="H53" t="str">
            <v>cum</v>
          </cell>
          <cell r="I53">
            <v>42000</v>
          </cell>
        </row>
        <row r="54">
          <cell r="B54">
            <v>178</v>
          </cell>
          <cell r="C54">
            <v>0</v>
          </cell>
          <cell r="D54">
            <v>0</v>
          </cell>
          <cell r="E54">
            <v>0</v>
          </cell>
          <cell r="F54" t="str">
            <v>Planks of all sizes</v>
          </cell>
          <cell r="G54">
            <v>1</v>
          </cell>
          <cell r="H54" t="str">
            <v>cum</v>
          </cell>
          <cell r="I54">
            <v>45000</v>
          </cell>
        </row>
        <row r="55">
          <cell r="B55">
            <v>187</v>
          </cell>
          <cell r="C55">
            <v>0</v>
          </cell>
          <cell r="D55">
            <v>0</v>
          </cell>
          <cell r="E55">
            <v>0</v>
          </cell>
          <cell r="F55" t="str">
            <v>Steel fabrication</v>
          </cell>
          <cell r="G55">
            <v>1</v>
          </cell>
          <cell r="H55" t="str">
            <v>kg</v>
          </cell>
          <cell r="I55">
            <v>3.25</v>
          </cell>
        </row>
        <row r="56">
          <cell r="B56">
            <v>234</v>
          </cell>
          <cell r="C56">
            <v>0</v>
          </cell>
          <cell r="D56">
            <v>0</v>
          </cell>
          <cell r="E56">
            <v>0</v>
          </cell>
          <cell r="F56" t="str">
            <v>25 mm thick</v>
          </cell>
          <cell r="G56">
            <v>1</v>
          </cell>
          <cell r="H56" t="str">
            <v>sqm</v>
          </cell>
          <cell r="I56">
            <v>80</v>
          </cell>
        </row>
        <row r="57">
          <cell r="B57">
            <v>235</v>
          </cell>
          <cell r="C57">
            <v>0</v>
          </cell>
          <cell r="D57">
            <v>0</v>
          </cell>
          <cell r="E57">
            <v>0</v>
          </cell>
          <cell r="F57" t="str">
            <v>40 mm thick</v>
          </cell>
          <cell r="G57">
            <v>1</v>
          </cell>
          <cell r="H57" t="str">
            <v>sqm</v>
          </cell>
          <cell r="I57">
            <v>105</v>
          </cell>
        </row>
        <row r="58">
          <cell r="B58">
            <v>236</v>
          </cell>
          <cell r="C58">
            <v>0</v>
          </cell>
          <cell r="D58">
            <v>0</v>
          </cell>
          <cell r="E58">
            <v>0</v>
          </cell>
          <cell r="F58" t="str">
            <v>50 mm thick</v>
          </cell>
          <cell r="G58">
            <v>1</v>
          </cell>
          <cell r="H58" t="str">
            <v>sqm</v>
          </cell>
          <cell r="I58">
            <v>140</v>
          </cell>
        </row>
        <row r="59">
          <cell r="B59">
            <v>239</v>
          </cell>
          <cell r="C59">
            <v>0</v>
          </cell>
          <cell r="D59">
            <v>0</v>
          </cell>
          <cell r="E59">
            <v>0</v>
          </cell>
          <cell r="F59" t="str">
            <v>Dry powder Distemper</v>
          </cell>
          <cell r="G59">
            <v>1</v>
          </cell>
          <cell r="H59" t="str">
            <v>kg</v>
          </cell>
          <cell r="I59">
            <v>20</v>
          </cell>
        </row>
        <row r="60">
          <cell r="B60">
            <v>240</v>
          </cell>
          <cell r="C60">
            <v>0</v>
          </cell>
          <cell r="D60">
            <v>0</v>
          </cell>
          <cell r="E60">
            <v>0</v>
          </cell>
          <cell r="F60" t="str">
            <v>Oil bound washable Distemper</v>
          </cell>
          <cell r="G60">
            <v>1</v>
          </cell>
          <cell r="H60" t="str">
            <v>kg</v>
          </cell>
          <cell r="I60">
            <v>60</v>
          </cell>
        </row>
        <row r="61">
          <cell r="B61">
            <v>245</v>
          </cell>
          <cell r="C61">
            <v>0</v>
          </cell>
          <cell r="D61">
            <v>0</v>
          </cell>
          <cell r="E61">
            <v>0</v>
          </cell>
          <cell r="F61" t="str">
            <v>Alluminium paint 1st grade</v>
          </cell>
          <cell r="G61">
            <v>1</v>
          </cell>
          <cell r="H61" t="str">
            <v>litre</v>
          </cell>
          <cell r="I61">
            <v>176</v>
          </cell>
        </row>
        <row r="62">
          <cell r="B62">
            <v>246</v>
          </cell>
          <cell r="C62">
            <v>0</v>
          </cell>
          <cell r="D62">
            <v>0</v>
          </cell>
          <cell r="E62">
            <v>0</v>
          </cell>
          <cell r="F62" t="str">
            <v>Anti corrosive bitument pain (Black) grade -1</v>
          </cell>
          <cell r="G62">
            <v>1</v>
          </cell>
          <cell r="H62" t="str">
            <v>litre</v>
          </cell>
          <cell r="I62">
            <v>250</v>
          </cell>
        </row>
        <row r="63">
          <cell r="B63">
            <v>247</v>
          </cell>
          <cell r="C63">
            <v>0</v>
          </cell>
          <cell r="D63">
            <v>0</v>
          </cell>
          <cell r="E63">
            <v>0</v>
          </cell>
          <cell r="F63" t="str">
            <v>Red oxide Primer Paint grade-I</v>
          </cell>
          <cell r="G63">
            <v>1</v>
          </cell>
          <cell r="H63" t="str">
            <v>litre</v>
          </cell>
          <cell r="I63">
            <v>55</v>
          </cell>
        </row>
        <row r="64">
          <cell r="B64">
            <v>248</v>
          </cell>
          <cell r="C64">
            <v>0</v>
          </cell>
          <cell r="D64">
            <v>0</v>
          </cell>
          <cell r="E64">
            <v>0</v>
          </cell>
          <cell r="F64" t="str">
            <v>Red oxide Primer Paint grade-II</v>
          </cell>
          <cell r="G64">
            <v>1</v>
          </cell>
          <cell r="H64" t="str">
            <v>litre</v>
          </cell>
          <cell r="I64">
            <v>45</v>
          </cell>
        </row>
        <row r="65">
          <cell r="B65">
            <v>249</v>
          </cell>
          <cell r="C65">
            <v>0</v>
          </cell>
          <cell r="D65">
            <v>0</v>
          </cell>
          <cell r="E65">
            <v>0</v>
          </cell>
          <cell r="F65" t="str">
            <v>Synthetic enamel paints in all shades grade-I</v>
          </cell>
          <cell r="G65">
            <v>1</v>
          </cell>
          <cell r="H65" t="str">
            <v>litre</v>
          </cell>
          <cell r="I65">
            <v>130</v>
          </cell>
        </row>
        <row r="66">
          <cell r="B66">
            <v>250</v>
          </cell>
          <cell r="C66">
            <v>0</v>
          </cell>
          <cell r="D66">
            <v>0</v>
          </cell>
          <cell r="E66">
            <v>0</v>
          </cell>
          <cell r="F66" t="str">
            <v>Synthetic enamel paints in all shades grade-II</v>
          </cell>
          <cell r="G66">
            <v>1</v>
          </cell>
          <cell r="H66" t="str">
            <v>litre</v>
          </cell>
          <cell r="I66">
            <v>95</v>
          </cell>
        </row>
        <row r="67">
          <cell r="B67">
            <v>251</v>
          </cell>
          <cell r="C67">
            <v>0</v>
          </cell>
          <cell r="D67">
            <v>0</v>
          </cell>
          <cell r="E67">
            <v>0</v>
          </cell>
          <cell r="F67" t="str">
            <v>Plastic emultion paint grade-I</v>
          </cell>
          <cell r="G67">
            <v>1</v>
          </cell>
          <cell r="H67" t="str">
            <v>litre</v>
          </cell>
          <cell r="I67">
            <v>200</v>
          </cell>
        </row>
        <row r="68">
          <cell r="B68">
            <v>252</v>
          </cell>
          <cell r="C68">
            <v>63</v>
          </cell>
          <cell r="D68">
            <v>0</v>
          </cell>
          <cell r="E68">
            <v>0</v>
          </cell>
          <cell r="F68" t="str">
            <v>Oil Bound Distemper</v>
          </cell>
          <cell r="G68">
            <v>1</v>
          </cell>
          <cell r="H68" t="str">
            <v>kg</v>
          </cell>
          <cell r="I68">
            <v>40</v>
          </cell>
        </row>
        <row r="69">
          <cell r="B69">
            <v>253</v>
          </cell>
          <cell r="C69">
            <v>64</v>
          </cell>
          <cell r="D69">
            <v>0</v>
          </cell>
          <cell r="E69">
            <v>0</v>
          </cell>
          <cell r="F69" t="str">
            <v>Water proof cement paint of Superior Quality</v>
          </cell>
          <cell r="G69">
            <v>1</v>
          </cell>
          <cell r="H69" t="str">
            <v>kg</v>
          </cell>
          <cell r="I69">
            <v>30</v>
          </cell>
        </row>
        <row r="70">
          <cell r="B70">
            <v>254</v>
          </cell>
          <cell r="C70">
            <v>65</v>
          </cell>
          <cell r="D70">
            <v>0</v>
          </cell>
          <cell r="E70">
            <v>0</v>
          </cell>
          <cell r="F70" t="str">
            <v>White lead</v>
          </cell>
          <cell r="G70">
            <v>1</v>
          </cell>
          <cell r="H70" t="str">
            <v>kg</v>
          </cell>
          <cell r="I70">
            <v>50</v>
          </cell>
        </row>
        <row r="71">
          <cell r="B71">
            <v>255</v>
          </cell>
          <cell r="C71">
            <v>66</v>
          </cell>
          <cell r="D71">
            <v>0</v>
          </cell>
          <cell r="E71">
            <v>0</v>
          </cell>
          <cell r="F71" t="str">
            <v>Marble powder</v>
          </cell>
          <cell r="G71">
            <v>1</v>
          </cell>
          <cell r="H71" t="str">
            <v>kg</v>
          </cell>
          <cell r="I71">
            <v>12.5</v>
          </cell>
        </row>
        <row r="72">
          <cell r="B72">
            <v>256</v>
          </cell>
          <cell r="C72">
            <v>67</v>
          </cell>
          <cell r="D72">
            <v>0</v>
          </cell>
          <cell r="E72">
            <v>0</v>
          </cell>
          <cell r="F72" t="str">
            <v>Cement Primer grade-I</v>
          </cell>
          <cell r="G72">
            <v>1</v>
          </cell>
          <cell r="H72" t="str">
            <v>kg</v>
          </cell>
          <cell r="I72">
            <v>65</v>
          </cell>
        </row>
        <row r="73">
          <cell r="B73">
            <v>257</v>
          </cell>
          <cell r="C73">
            <v>0</v>
          </cell>
          <cell r="D73">
            <v>0</v>
          </cell>
          <cell r="E73">
            <v>0</v>
          </cell>
          <cell r="F73" t="str">
            <v>Cement Primer grade-II</v>
          </cell>
          <cell r="G73">
            <v>1</v>
          </cell>
          <cell r="H73" t="str">
            <v>kg</v>
          </cell>
          <cell r="I73">
            <v>50</v>
          </cell>
        </row>
        <row r="74">
          <cell r="B74">
            <v>274</v>
          </cell>
          <cell r="C74">
            <v>0</v>
          </cell>
          <cell r="D74" t="str">
            <v>b</v>
          </cell>
          <cell r="E74">
            <v>0</v>
          </cell>
          <cell r="F74" t="str">
            <v>Fevicol</v>
          </cell>
          <cell r="G74">
            <v>1</v>
          </cell>
          <cell r="H74" t="str">
            <v>kg</v>
          </cell>
          <cell r="I74">
            <v>100</v>
          </cell>
        </row>
        <row r="75">
          <cell r="B75">
            <v>352</v>
          </cell>
          <cell r="C75">
            <v>0</v>
          </cell>
          <cell r="D75" t="str">
            <v>a</v>
          </cell>
          <cell r="E75">
            <v>0</v>
          </cell>
          <cell r="F75" t="str">
            <v>Clearing heavy jungle</v>
          </cell>
          <cell r="G75">
            <v>10</v>
          </cell>
          <cell r="H75" t="str">
            <v>sqm</v>
          </cell>
          <cell r="I75">
            <v>6</v>
          </cell>
        </row>
        <row r="76">
          <cell r="B76">
            <v>353</v>
          </cell>
          <cell r="C76">
            <v>0</v>
          </cell>
          <cell r="D76" t="str">
            <v>b</v>
          </cell>
          <cell r="E76">
            <v>0</v>
          </cell>
          <cell r="F76" t="str">
            <v>Clearing Light jungle</v>
          </cell>
          <cell r="G76">
            <v>10</v>
          </cell>
          <cell r="H76" t="str">
            <v>sqm</v>
          </cell>
          <cell r="I76">
            <v>5</v>
          </cell>
        </row>
        <row r="77">
          <cell r="B77">
            <v>354</v>
          </cell>
          <cell r="C77">
            <v>0</v>
          </cell>
          <cell r="D77" t="str">
            <v>c</v>
          </cell>
          <cell r="E77">
            <v>0</v>
          </cell>
          <cell r="F77" t="str">
            <v>Clearing Scrub jungle</v>
          </cell>
          <cell r="G77">
            <v>10</v>
          </cell>
          <cell r="H77" t="str">
            <v>sqm</v>
          </cell>
          <cell r="I77">
            <v>3</v>
          </cell>
        </row>
        <row r="78">
          <cell r="B78">
            <v>355</v>
          </cell>
          <cell r="C78">
            <v>0</v>
          </cell>
          <cell r="D78" t="str">
            <v>d</v>
          </cell>
          <cell r="E78">
            <v>0</v>
          </cell>
          <cell r="F78" t="str">
            <v xml:space="preserve">Cleaing Julie flora </v>
          </cell>
          <cell r="G78">
            <v>10</v>
          </cell>
          <cell r="H78" t="str">
            <v>sqm</v>
          </cell>
          <cell r="I78">
            <v>14</v>
          </cell>
        </row>
        <row r="79">
          <cell r="B79">
            <v>408</v>
          </cell>
          <cell r="C79">
            <v>0</v>
          </cell>
          <cell r="D79" t="str">
            <v>a</v>
          </cell>
          <cell r="E79">
            <v>0</v>
          </cell>
          <cell r="F79" t="str">
            <v>Loamy &amp; Clay soils like BC soils, Red earth &amp; OG SS 302 &amp; 303</v>
          </cell>
          <cell r="G79">
            <v>10</v>
          </cell>
          <cell r="H79" t="str">
            <v>cum</v>
          </cell>
          <cell r="I79">
            <v>235</v>
          </cell>
        </row>
        <row r="80">
          <cell r="B80">
            <v>409</v>
          </cell>
          <cell r="C80">
            <v>0</v>
          </cell>
          <cell r="D80">
            <v>0</v>
          </cell>
          <cell r="E80">
            <v>0</v>
          </cell>
          <cell r="F80" t="str">
            <v>Loamy &amp; Clay soils like BC soils, Red earth &amp; OG SS 301</v>
          </cell>
          <cell r="G80">
            <v>10</v>
          </cell>
          <cell r="H80" t="str">
            <v>cum</v>
          </cell>
          <cell r="I80">
            <v>215</v>
          </cell>
        </row>
        <row r="81">
          <cell r="B81">
            <v>412</v>
          </cell>
          <cell r="C81">
            <v>0</v>
          </cell>
          <cell r="D81">
            <v>0</v>
          </cell>
          <cell r="E81">
            <v>0</v>
          </cell>
          <cell r="F81" t="str">
            <v>Hard Gravelly Soils SS 302 &amp; 303</v>
          </cell>
          <cell r="G81">
            <v>10</v>
          </cell>
          <cell r="H81" t="str">
            <v>cum</v>
          </cell>
          <cell r="I81">
            <v>250</v>
          </cell>
        </row>
        <row r="82">
          <cell r="B82">
            <v>413</v>
          </cell>
          <cell r="C82">
            <v>0</v>
          </cell>
          <cell r="D82">
            <v>0</v>
          </cell>
          <cell r="E82">
            <v>0</v>
          </cell>
          <cell r="F82" t="str">
            <v>Hard Gravelly Soils SS 301</v>
          </cell>
          <cell r="G82">
            <v>10</v>
          </cell>
          <cell r="H82" t="str">
            <v>cum</v>
          </cell>
          <cell r="I82">
            <v>230</v>
          </cell>
        </row>
        <row r="83">
          <cell r="B83">
            <v>459</v>
          </cell>
          <cell r="C83">
            <v>35</v>
          </cell>
          <cell r="D83">
            <v>0</v>
          </cell>
          <cell r="E83">
            <v>0</v>
          </cell>
          <cell r="F83" t="str">
            <v>Vibrating Concrete</v>
          </cell>
          <cell r="G83">
            <v>1</v>
          </cell>
          <cell r="H83" t="str">
            <v>cum</v>
          </cell>
          <cell r="I83">
            <v>22.4</v>
          </cell>
        </row>
        <row r="84">
          <cell r="B84">
            <v>460</v>
          </cell>
          <cell r="C84">
            <v>36</v>
          </cell>
          <cell r="D84">
            <v>0</v>
          </cell>
          <cell r="E84">
            <v>0</v>
          </cell>
          <cell r="F84" t="str">
            <v>Machine mixing Concrete</v>
          </cell>
          <cell r="G84">
            <v>1</v>
          </cell>
          <cell r="H84" t="str">
            <v>cum</v>
          </cell>
          <cell r="I84">
            <v>21.8</v>
          </cell>
        </row>
        <row r="85">
          <cell r="B85">
            <v>461</v>
          </cell>
          <cell r="C85">
            <v>37</v>
          </cell>
          <cell r="D85">
            <v>0</v>
          </cell>
          <cell r="E85">
            <v>0</v>
          </cell>
          <cell r="F85" t="str">
            <v>Power for Mixer</v>
          </cell>
          <cell r="G85">
            <v>1</v>
          </cell>
          <cell r="H85" t="str">
            <v>cum</v>
          </cell>
          <cell r="I85">
            <v>14.5</v>
          </cell>
        </row>
        <row r="86">
          <cell r="B86">
            <v>495</v>
          </cell>
          <cell r="C86">
            <v>40</v>
          </cell>
          <cell r="D86" t="str">
            <v>a</v>
          </cell>
          <cell r="E86">
            <v>0</v>
          </cell>
          <cell r="F86" t="str">
            <v>First Floor</v>
          </cell>
          <cell r="G86">
            <v>1</v>
          </cell>
          <cell r="H86" t="str">
            <v>cum</v>
          </cell>
          <cell r="I86">
            <v>22</v>
          </cell>
        </row>
        <row r="87">
          <cell r="B87">
            <v>496</v>
          </cell>
          <cell r="C87">
            <v>0</v>
          </cell>
          <cell r="D87" t="str">
            <v>b</v>
          </cell>
          <cell r="E87">
            <v>0</v>
          </cell>
          <cell r="F87" t="str">
            <v>Second Floor</v>
          </cell>
          <cell r="G87">
            <v>1</v>
          </cell>
          <cell r="H87" t="str">
            <v>cum</v>
          </cell>
          <cell r="I87">
            <v>27</v>
          </cell>
        </row>
        <row r="88">
          <cell r="B88">
            <v>497</v>
          </cell>
          <cell r="C88">
            <v>0</v>
          </cell>
          <cell r="D88" t="str">
            <v>c</v>
          </cell>
          <cell r="E88">
            <v>0</v>
          </cell>
          <cell r="F88" t="str">
            <v>Third Floor</v>
          </cell>
          <cell r="G88">
            <v>1</v>
          </cell>
          <cell r="H88" t="str">
            <v>cum</v>
          </cell>
          <cell r="I88">
            <v>37</v>
          </cell>
        </row>
        <row r="89">
          <cell r="B89">
            <v>498</v>
          </cell>
          <cell r="C89">
            <v>0</v>
          </cell>
          <cell r="D89" t="str">
            <v>d</v>
          </cell>
          <cell r="E89">
            <v>0</v>
          </cell>
          <cell r="F89" t="str">
            <v>Each Additional Floor</v>
          </cell>
          <cell r="G89">
            <v>1</v>
          </cell>
          <cell r="H89" t="str">
            <v>cum</v>
          </cell>
          <cell r="I89">
            <v>16</v>
          </cell>
        </row>
        <row r="90">
          <cell r="B90">
            <v>499</v>
          </cell>
          <cell r="C90">
            <v>0</v>
          </cell>
          <cell r="D90" t="str">
            <v>a</v>
          </cell>
          <cell r="E90">
            <v>0</v>
          </cell>
          <cell r="F90" t="str">
            <v>1st &amp; 2nd Floor</v>
          </cell>
          <cell r="G90">
            <v>10</v>
          </cell>
          <cell r="H90" t="str">
            <v>sqm</v>
          </cell>
          <cell r="I90">
            <v>25</v>
          </cell>
        </row>
        <row r="91">
          <cell r="B91">
            <v>500</v>
          </cell>
          <cell r="C91">
            <v>0</v>
          </cell>
          <cell r="D91" t="str">
            <v>b</v>
          </cell>
          <cell r="E91">
            <v>0</v>
          </cell>
          <cell r="F91" t="str">
            <v>2nd &amp; 3rd Floor</v>
          </cell>
          <cell r="G91">
            <v>10</v>
          </cell>
          <cell r="H91" t="str">
            <v>sqm</v>
          </cell>
          <cell r="I91">
            <v>50</v>
          </cell>
        </row>
        <row r="92">
          <cell r="B92">
            <v>501</v>
          </cell>
          <cell r="C92">
            <v>0</v>
          </cell>
          <cell r="D92" t="str">
            <v>c</v>
          </cell>
          <cell r="E92">
            <v>0</v>
          </cell>
          <cell r="F92" t="str">
            <v>3rd &amp; 4th Floor</v>
          </cell>
          <cell r="G92">
            <v>10</v>
          </cell>
          <cell r="H92" t="str">
            <v>sqm</v>
          </cell>
          <cell r="I92">
            <v>75</v>
          </cell>
        </row>
        <row r="93">
          <cell r="B93">
            <v>502</v>
          </cell>
          <cell r="C93">
            <v>0</v>
          </cell>
          <cell r="D93" t="str">
            <v>d</v>
          </cell>
          <cell r="E93">
            <v>0</v>
          </cell>
          <cell r="F93" t="str">
            <v>Each Additional Floor</v>
          </cell>
          <cell r="G93">
            <v>10</v>
          </cell>
          <cell r="H93" t="str">
            <v>sqm</v>
          </cell>
          <cell r="I93">
            <v>18</v>
          </cell>
        </row>
        <row r="94">
          <cell r="B94">
            <v>503</v>
          </cell>
          <cell r="C94">
            <v>0</v>
          </cell>
          <cell r="D94" t="str">
            <v>a</v>
          </cell>
          <cell r="E94">
            <v>0</v>
          </cell>
          <cell r="F94" t="str">
            <v>upto 150 mm depth</v>
          </cell>
          <cell r="G94">
            <v>10</v>
          </cell>
          <cell r="H94" t="str">
            <v>sqm</v>
          </cell>
          <cell r="I94">
            <v>525</v>
          </cell>
        </row>
        <row r="95">
          <cell r="B95">
            <v>504</v>
          </cell>
          <cell r="C95">
            <v>0</v>
          </cell>
          <cell r="D95" t="str">
            <v>b</v>
          </cell>
          <cell r="E95">
            <v>0</v>
          </cell>
          <cell r="F95" t="str">
            <v>above 150 mm depth and upto 300 mm depth</v>
          </cell>
          <cell r="G95">
            <v>10</v>
          </cell>
          <cell r="H95" t="str">
            <v>sqm</v>
          </cell>
          <cell r="I95">
            <v>850</v>
          </cell>
        </row>
        <row r="96">
          <cell r="B96">
            <v>510</v>
          </cell>
          <cell r="C96">
            <v>0</v>
          </cell>
          <cell r="D96" t="str">
            <v>g</v>
          </cell>
          <cell r="E96" t="str">
            <v xml:space="preserve">i </v>
          </cell>
          <cell r="F96" t="str">
            <v>0.60 m width</v>
          </cell>
          <cell r="G96">
            <v>1</v>
          </cell>
          <cell r="H96" t="str">
            <v>rmt</v>
          </cell>
          <cell r="I96">
            <v>25</v>
          </cell>
        </row>
        <row r="97">
          <cell r="B97">
            <v>511</v>
          </cell>
          <cell r="C97">
            <v>0</v>
          </cell>
          <cell r="D97" t="str">
            <v>g</v>
          </cell>
          <cell r="E97" t="str">
            <v>ii</v>
          </cell>
          <cell r="F97" t="str">
            <v>0.80 m width</v>
          </cell>
          <cell r="G97">
            <v>1</v>
          </cell>
          <cell r="H97" t="str">
            <v>rmt</v>
          </cell>
          <cell r="I97">
            <v>30</v>
          </cell>
        </row>
        <row r="98">
          <cell r="B98">
            <v>512</v>
          </cell>
          <cell r="C98">
            <v>0</v>
          </cell>
          <cell r="D98" t="str">
            <v>g</v>
          </cell>
          <cell r="E98" t="str">
            <v>iii</v>
          </cell>
          <cell r="F98" t="str">
            <v>1.00 m width</v>
          </cell>
          <cell r="G98">
            <v>1</v>
          </cell>
          <cell r="H98" t="str">
            <v>rmt</v>
          </cell>
          <cell r="I98">
            <v>35</v>
          </cell>
        </row>
        <row r="99">
          <cell r="B99">
            <v>513</v>
          </cell>
          <cell r="C99">
            <v>0</v>
          </cell>
          <cell r="D99" t="str">
            <v>h</v>
          </cell>
          <cell r="E99">
            <v>0</v>
          </cell>
          <cell r="F99" t="str">
            <v>T.Beams</v>
          </cell>
          <cell r="G99">
            <v>1</v>
          </cell>
          <cell r="H99" t="str">
            <v>cum</v>
          </cell>
          <cell r="I99">
            <v>650</v>
          </cell>
        </row>
        <row r="100">
          <cell r="B100">
            <v>514</v>
          </cell>
          <cell r="C100">
            <v>0</v>
          </cell>
          <cell r="D100">
            <v>0</v>
          </cell>
          <cell r="E100">
            <v>0</v>
          </cell>
          <cell r="F100" t="str">
            <v>Columns, Rectangular beams, L.Beams</v>
          </cell>
          <cell r="G100">
            <v>1</v>
          </cell>
          <cell r="H100" t="str">
            <v>cum</v>
          </cell>
          <cell r="I100">
            <v>550</v>
          </cell>
        </row>
        <row r="101">
          <cell r="B101">
            <v>515</v>
          </cell>
          <cell r="C101">
            <v>0</v>
          </cell>
          <cell r="D101">
            <v>0</v>
          </cell>
          <cell r="E101">
            <v>0</v>
          </cell>
          <cell r="F101" t="str">
            <v>Templates, Bed blocks,Footings</v>
          </cell>
          <cell r="G101">
            <v>1</v>
          </cell>
          <cell r="H101" t="str">
            <v>cum</v>
          </cell>
          <cell r="I101">
            <v>330</v>
          </cell>
        </row>
        <row r="102">
          <cell r="B102">
            <v>518</v>
          </cell>
          <cell r="C102">
            <v>0</v>
          </cell>
          <cell r="D102">
            <v>0</v>
          </cell>
          <cell r="E102">
            <v>0</v>
          </cell>
          <cell r="F102" t="str">
            <v>Lintels, Plinth Beams</v>
          </cell>
          <cell r="G102">
            <v>1</v>
          </cell>
          <cell r="H102" t="str">
            <v>cum</v>
          </cell>
          <cell r="I102">
            <v>450</v>
          </cell>
        </row>
        <row r="103">
          <cell r="B103">
            <v>519</v>
          </cell>
          <cell r="C103">
            <v>0</v>
          </cell>
          <cell r="D103">
            <v>0</v>
          </cell>
          <cell r="E103">
            <v>0</v>
          </cell>
          <cell r="F103" t="str">
            <v>Slabs above 300 mm depth</v>
          </cell>
          <cell r="G103">
            <v>1</v>
          </cell>
          <cell r="H103" t="str">
            <v>cum</v>
          </cell>
          <cell r="I103">
            <v>520</v>
          </cell>
        </row>
        <row r="104">
          <cell r="B104">
            <v>521</v>
          </cell>
          <cell r="C104">
            <v>0</v>
          </cell>
          <cell r="D104" t="str">
            <v>a</v>
          </cell>
          <cell r="E104">
            <v>0</v>
          </cell>
          <cell r="F104" t="str">
            <v>For mass concrete Piers, Abutments and steining well curb well caps etc.,</v>
          </cell>
          <cell r="G104">
            <v>1</v>
          </cell>
          <cell r="H104" t="str">
            <v>cum</v>
          </cell>
          <cell r="I104">
            <v>380</v>
          </cell>
        </row>
        <row r="105">
          <cell r="B105">
            <v>522</v>
          </cell>
          <cell r="C105">
            <v>0</v>
          </cell>
          <cell r="D105">
            <v>0</v>
          </cell>
          <cell r="E105">
            <v>0</v>
          </cell>
          <cell r="F105" t="str">
            <v>For RCC Piers, Abutments, Wings, Well steining weel curbs, well Caps etc.,</v>
          </cell>
          <cell r="G105">
            <v>1</v>
          </cell>
          <cell r="H105" t="str">
            <v>cum</v>
          </cell>
          <cell r="I105">
            <v>500</v>
          </cell>
        </row>
        <row r="106">
          <cell r="B106">
            <v>523</v>
          </cell>
          <cell r="C106">
            <v>0</v>
          </cell>
          <cell r="D106">
            <v>0</v>
          </cell>
          <cell r="E106">
            <v>0</v>
          </cell>
          <cell r="F106" t="str">
            <v>For RCC Deck Slabs</v>
          </cell>
          <cell r="G106">
            <v>1</v>
          </cell>
          <cell r="H106" t="str">
            <v>cum</v>
          </cell>
          <cell r="I106">
            <v>950</v>
          </cell>
        </row>
        <row r="107">
          <cell r="B107">
            <v>524</v>
          </cell>
          <cell r="C107">
            <v>0</v>
          </cell>
          <cell r="D107">
            <v>0</v>
          </cell>
          <cell r="E107">
            <v>0</v>
          </cell>
          <cell r="F107" t="str">
            <v>For RCC beams</v>
          </cell>
          <cell r="G107">
            <v>1</v>
          </cell>
          <cell r="H107" t="str">
            <v>cum</v>
          </cell>
          <cell r="I107">
            <v>1150</v>
          </cell>
        </row>
        <row r="108">
          <cell r="B108">
            <v>525</v>
          </cell>
          <cell r="C108">
            <v>0</v>
          </cell>
          <cell r="D108">
            <v>0</v>
          </cell>
          <cell r="E108">
            <v>0</v>
          </cell>
          <cell r="F108" t="str">
            <v>RCC hand rails</v>
          </cell>
          <cell r="G108">
            <v>1</v>
          </cell>
          <cell r="H108" t="str">
            <v>cum</v>
          </cell>
          <cell r="I108">
            <v>1250</v>
          </cell>
        </row>
        <row r="109">
          <cell r="B109">
            <v>526</v>
          </cell>
          <cell r="C109">
            <v>0</v>
          </cell>
          <cell r="D109">
            <v>0</v>
          </cell>
          <cell r="E109">
            <v>0</v>
          </cell>
          <cell r="F109" t="str">
            <v>CC pavements, Wearing Coats, approach slabs guide stone JM stone etc.</v>
          </cell>
          <cell r="G109">
            <v>1</v>
          </cell>
          <cell r="H109" t="str">
            <v>cum</v>
          </cell>
          <cell r="I109">
            <v>95</v>
          </cell>
        </row>
        <row r="110">
          <cell r="B110">
            <v>555</v>
          </cell>
          <cell r="C110">
            <v>0</v>
          </cell>
          <cell r="D110" t="str">
            <v>a</v>
          </cell>
          <cell r="E110">
            <v>0</v>
          </cell>
          <cell r="F110" t="str">
            <v>250 mm dia</v>
          </cell>
          <cell r="G110">
            <v>1</v>
          </cell>
          <cell r="H110" t="str">
            <v>rmt</v>
          </cell>
          <cell r="I110">
            <v>8</v>
          </cell>
        </row>
        <row r="111">
          <cell r="B111">
            <v>556</v>
          </cell>
          <cell r="C111">
            <v>0</v>
          </cell>
          <cell r="D111" t="str">
            <v>b</v>
          </cell>
          <cell r="E111">
            <v>0</v>
          </cell>
          <cell r="F111" t="str">
            <v>300 mm dia</v>
          </cell>
          <cell r="G111">
            <v>1</v>
          </cell>
          <cell r="H111" t="str">
            <v>rmt</v>
          </cell>
          <cell r="I111">
            <v>11</v>
          </cell>
        </row>
        <row r="112">
          <cell r="B112">
            <v>557</v>
          </cell>
          <cell r="C112">
            <v>0</v>
          </cell>
          <cell r="D112" t="str">
            <v>c</v>
          </cell>
          <cell r="E112">
            <v>0</v>
          </cell>
          <cell r="F112" t="str">
            <v>450 mm dia</v>
          </cell>
          <cell r="G112">
            <v>1</v>
          </cell>
          <cell r="H112" t="str">
            <v>rmt</v>
          </cell>
          <cell r="I112">
            <v>15</v>
          </cell>
        </row>
        <row r="113">
          <cell r="B113">
            <v>558</v>
          </cell>
          <cell r="C113">
            <v>0</v>
          </cell>
          <cell r="D113" t="str">
            <v>d</v>
          </cell>
          <cell r="E113">
            <v>0</v>
          </cell>
          <cell r="F113" t="str">
            <v>600 mm dia</v>
          </cell>
          <cell r="G113">
            <v>1</v>
          </cell>
          <cell r="H113" t="str">
            <v>rmt</v>
          </cell>
          <cell r="I113">
            <v>25</v>
          </cell>
        </row>
        <row r="114">
          <cell r="B114">
            <v>559</v>
          </cell>
          <cell r="C114">
            <v>0</v>
          </cell>
          <cell r="D114" t="str">
            <v>e</v>
          </cell>
          <cell r="E114">
            <v>0</v>
          </cell>
          <cell r="F114" t="str">
            <v>750 mm dia</v>
          </cell>
          <cell r="G114">
            <v>1</v>
          </cell>
          <cell r="H114" t="str">
            <v>rmt</v>
          </cell>
          <cell r="I114">
            <v>30</v>
          </cell>
        </row>
        <row r="115">
          <cell r="B115">
            <v>560</v>
          </cell>
          <cell r="C115">
            <v>0</v>
          </cell>
          <cell r="D115" t="str">
            <v>f</v>
          </cell>
          <cell r="E115">
            <v>0</v>
          </cell>
          <cell r="F115" t="str">
            <v>800 mm dia</v>
          </cell>
          <cell r="G115">
            <v>1</v>
          </cell>
          <cell r="H115" t="str">
            <v>rmt</v>
          </cell>
          <cell r="I115">
            <v>35</v>
          </cell>
        </row>
        <row r="116">
          <cell r="B116">
            <v>561</v>
          </cell>
          <cell r="C116">
            <v>0</v>
          </cell>
          <cell r="D116" t="str">
            <v>g</v>
          </cell>
          <cell r="E116">
            <v>0</v>
          </cell>
          <cell r="F116" t="str">
            <v>1000 mm dia</v>
          </cell>
          <cell r="G116">
            <v>1</v>
          </cell>
          <cell r="H116" t="str">
            <v>rmt</v>
          </cell>
          <cell r="I116">
            <v>40</v>
          </cell>
        </row>
        <row r="117">
          <cell r="B117">
            <v>562</v>
          </cell>
          <cell r="C117">
            <v>0</v>
          </cell>
          <cell r="D117" t="str">
            <v>h</v>
          </cell>
          <cell r="E117">
            <v>0</v>
          </cell>
          <cell r="F117" t="str">
            <v>1220 mm dia</v>
          </cell>
          <cell r="G117">
            <v>1</v>
          </cell>
          <cell r="H117" t="str">
            <v>rmt</v>
          </cell>
          <cell r="I117">
            <v>50</v>
          </cell>
        </row>
        <row r="118">
          <cell r="B118">
            <v>563</v>
          </cell>
          <cell r="C118">
            <v>0</v>
          </cell>
          <cell r="D118" t="str">
            <v>a</v>
          </cell>
          <cell r="E118">
            <v>0</v>
          </cell>
          <cell r="F118" t="str">
            <v>40 mm</v>
          </cell>
          <cell r="G118">
            <v>1</v>
          </cell>
          <cell r="H118" t="str">
            <v>sqm</v>
          </cell>
          <cell r="I118">
            <v>29</v>
          </cell>
        </row>
        <row r="119">
          <cell r="B119">
            <v>564</v>
          </cell>
          <cell r="C119">
            <v>0</v>
          </cell>
          <cell r="D119" t="str">
            <v>b</v>
          </cell>
          <cell r="E119">
            <v>0</v>
          </cell>
          <cell r="F119" t="str">
            <v>50 mm</v>
          </cell>
          <cell r="G119">
            <v>1</v>
          </cell>
          <cell r="H119" t="str">
            <v>sqm</v>
          </cell>
          <cell r="I119">
            <v>31</v>
          </cell>
        </row>
        <row r="120">
          <cell r="B120">
            <v>565</v>
          </cell>
          <cell r="C120">
            <v>0</v>
          </cell>
          <cell r="D120" t="str">
            <v>c</v>
          </cell>
          <cell r="E120">
            <v>0</v>
          </cell>
          <cell r="F120" t="str">
            <v>75 mm</v>
          </cell>
          <cell r="G120">
            <v>1</v>
          </cell>
          <cell r="H120" t="str">
            <v>sqm</v>
          </cell>
          <cell r="I120">
            <v>34</v>
          </cell>
        </row>
        <row r="121">
          <cell r="B121">
            <v>566</v>
          </cell>
          <cell r="C121">
            <v>0</v>
          </cell>
          <cell r="D121" t="str">
            <v>d</v>
          </cell>
          <cell r="E121">
            <v>0</v>
          </cell>
          <cell r="F121" t="str">
            <v>100 mm</v>
          </cell>
          <cell r="G121">
            <v>1</v>
          </cell>
          <cell r="H121" t="str">
            <v>sqm</v>
          </cell>
          <cell r="I121">
            <v>36</v>
          </cell>
        </row>
        <row r="122">
          <cell r="B122">
            <v>570</v>
          </cell>
          <cell r="C122">
            <v>52</v>
          </cell>
          <cell r="D122">
            <v>0</v>
          </cell>
          <cell r="E122">
            <v>0</v>
          </cell>
          <cell r="F122" t="str">
            <v>Picking 50mm to 100mm old metalled surface and sectioning</v>
          </cell>
          <cell r="G122">
            <v>10</v>
          </cell>
          <cell r="H122" t="str">
            <v>sqm</v>
          </cell>
          <cell r="I122">
            <v>10</v>
          </cell>
        </row>
        <row r="123">
          <cell r="B123">
            <v>571</v>
          </cell>
          <cell r="C123">
            <v>53</v>
          </cell>
          <cell r="D123">
            <v>0</v>
          </cell>
          <cell r="E123">
            <v>0</v>
          </cell>
          <cell r="F123" t="str">
            <v>Picking gravelled surface 25mm deep and levelling and sectioning</v>
          </cell>
          <cell r="G123">
            <v>10</v>
          </cell>
          <cell r="H123" t="str">
            <v>sqm</v>
          </cell>
          <cell r="I123">
            <v>2.5</v>
          </cell>
        </row>
        <row r="124">
          <cell r="B124">
            <v>572</v>
          </cell>
          <cell r="C124">
            <v>54</v>
          </cell>
          <cell r="D124">
            <v>0</v>
          </cell>
          <cell r="E124">
            <v>0</v>
          </cell>
          <cell r="F124" t="str">
            <v>Picking existing BT survace and removal of chips</v>
          </cell>
          <cell r="G124">
            <v>10</v>
          </cell>
          <cell r="H124" t="str">
            <v>sqm</v>
          </cell>
          <cell r="I124">
            <v>9.5</v>
          </cell>
        </row>
      </sheetData>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mpRoaddam"/>
      <sheetName val="rdamdata"/>
      <sheetName val="CDdata (2)"/>
      <sheetName val="1v600stone"/>
      <sheetName val="2v900stone"/>
      <sheetName val="3v900stone"/>
      <sheetName val="CDdata"/>
      <sheetName val="F7hp600"/>
      <sheetName val="1v900"/>
      <sheetName val="cwaydata (2)"/>
      <sheetName val="LLCWay"/>
      <sheetName val="1v900stone"/>
      <sheetName val="lead-st"/>
      <sheetName val="CDdata (3)"/>
      <sheetName val="F7hp1v900"/>
      <sheetName val="F7hp2v900"/>
      <sheetName val="F7hp3v900"/>
      <sheetName val="Hydra"/>
      <sheetName val="leads"/>
      <sheetName val="v"/>
      <sheetName val="r"/>
      <sheetName val="#REF"/>
      <sheetName val="Lead statement ss5"/>
      <sheetName val="CDdata_(2)"/>
      <sheetName val="cwaydata_(2)"/>
      <sheetName val="CDdata_(3)"/>
      <sheetName val="Lead_statement_ss5"/>
      <sheetName val="#REF!"/>
      <sheetName val="Sheet1"/>
      <sheetName val="CDdata_(2)1"/>
      <sheetName val="cwaydata_(2)1"/>
      <sheetName val="CDdata_(3)1"/>
      <sheetName val="lead_st"/>
      <sheetName val="DATA"/>
      <sheetName val="Usage"/>
      <sheetName val="General"/>
      <sheetName val="Common "/>
      <sheetName val="Lead statement"/>
      <sheetName val="hdpe_basic"/>
      <sheetName val="pvc_basic"/>
      <sheetName val="HDPE"/>
      <sheetName val="DI"/>
      <sheetName val="pvc"/>
      <sheetName val="CD works"/>
      <sheetName val="Labour"/>
      <sheetName val="Rates"/>
      <sheetName val="Road data"/>
      <sheetName val="CDdata_(2)5"/>
      <sheetName val="cwaydata_(2)5"/>
      <sheetName val="CDdata_(3)5"/>
      <sheetName val="Lead_statement_ss53"/>
      <sheetName val="CDdata_(2)3"/>
      <sheetName val="cwaydata_(2)3"/>
      <sheetName val="CDdata_(3)3"/>
      <sheetName val="CDdata_(2)2"/>
      <sheetName val="cwaydata_(2)2"/>
      <sheetName val="CDdata_(3)2"/>
      <sheetName val="Lead_statement_ss51"/>
      <sheetName val="CDdata_(2)4"/>
      <sheetName val="cwaydata_(2)4"/>
      <sheetName val="CDdata_(3)4"/>
      <sheetName val="Lead_statement_ss52"/>
      <sheetName val="Data-ELSR"/>
      <sheetName val="Mortars"/>
      <sheetName val="MRATES"/>
      <sheetName val="data-WC"/>
      <sheetName val="1V800"/>
      <sheetName val="Lead"/>
      <sheetName val="DATA-BASE"/>
      <sheetName val="DATA-ABSTRACT"/>
      <sheetName val="RMR"/>
      <sheetName val="Summary"/>
      <sheetName val="DATA_PRG"/>
      <sheetName val="Material"/>
      <sheetName val="ABS"/>
      <sheetName val="Data.F8.BTR"/>
      <sheetName val="mlead"/>
      <sheetName val="BALAN1"/>
      <sheetName val="SUMP1420KL@HW"/>
      <sheetName val="Sheet2"/>
      <sheetName val="work_sheet"/>
      <sheetName val="0000"/>
      <sheetName val="Start"/>
      <sheetName val="1. Add"/>
      <sheetName val="2. Fill"/>
      <sheetName val="3. Split"/>
      <sheetName val="4. Transpose"/>
      <sheetName val="5. Sort &amp; filter"/>
      <sheetName val="6. Tables"/>
      <sheetName val="7. Drop-downs"/>
      <sheetName val="8. Analyze"/>
      <sheetName val="9. Charts"/>
      <sheetName val="10. PivotTables"/>
      <sheetName val="Learn more"/>
      <sheetName val="Cover Page"/>
      <sheetName val="Sp. Rep."/>
      <sheetName val="Sp.Rep.2"/>
      <sheetName val="CC est 3.00 lakhs"/>
      <sheetName val="Drain est"/>
      <sheetName val="Input Sheet 3.00 L"/>
      <sheetName val="Sp. Rep. (wrk dne)"/>
      <sheetName val="CC est 80+20 (work done)"/>
      <sheetName val="CC est 80+20"/>
      <sheetName val="Input Sheet 80+20"/>
      <sheetName val="comp report"/>
      <sheetName val="CC Road data"/>
      <sheetName val="Drain DATA"/>
      <sheetName val="Sheet11"/>
      <sheetName val="Conveyance"/>
      <sheetName val="Sp. Rep. (2)"/>
      <sheetName val="Work done"/>
      <sheetName val="Completion"/>
      <sheetName val="Conv"/>
      <sheetName val="New lead2"/>
      <sheetName val="CD-DAta"/>
      <sheetName val="Base Course "/>
      <sheetName val="Sheet3"/>
      <sheetName val="Sheet5"/>
      <sheetName val="Sheet18"/>
      <sheetName val="Sheet19"/>
      <sheetName val="abs road"/>
      <sheetName val="Main sheet"/>
      <sheetName val="Quotes"/>
      <sheetName val="coverpage"/>
      <sheetName val="sand"/>
      <sheetName val="stone"/>
      <sheetName val="index"/>
      <sheetName val="Boq"/>
      <sheetName val="Levels"/>
      <sheetName val="BS8007"/>
      <sheetName val="Deck Slab"/>
      <sheetName val="CDdata_(2)6"/>
      <sheetName val="cwaydata_(2)6"/>
      <sheetName val="CDdata_(3)6"/>
      <sheetName val="Lead_statement_ss54"/>
      <sheetName val="Common_"/>
      <sheetName val="Lead_statement"/>
      <sheetName val="CD_works"/>
      <sheetName val="Road_data"/>
      <sheetName val="INPUT"/>
      <sheetName val="Quarry"/>
      <sheetName val="final abstract"/>
      <sheetName val="maya"/>
      <sheetName val="SSR 2014-15 Rates"/>
      <sheetName val="Detailed Estimate"/>
      <sheetName val="Cover"/>
      <sheetName val="segments-details"/>
      <sheetName val="habs-list"/>
      <sheetName val="int-Dia-hdpe"/>
      <sheetName val="int-Dia-pvc"/>
      <sheetName val="Plant &amp;  Machinery"/>
      <sheetName val="clvrt_data"/>
      <sheetName val="m"/>
      <sheetName val="bom"/>
      <sheetName val="MRoad data"/>
      <sheetName val="Valves"/>
      <sheetName val="MS Rates"/>
      <sheetName val="t_prsr"/>
      <sheetName val="id"/>
      <sheetName val="C.D.Abs.Est."/>
      <sheetName val="PRECAST lightconc-II"/>
      <sheetName val="ONLINE DUMP"/>
      <sheetName val="sancdump"/>
      <sheetName val="wh"/>
      <sheetName val="PVC_dia"/>
      <sheetName val="Rate"/>
      <sheetName val="BTR"/>
      <sheetName val="DISCOUNT"/>
      <sheetName val="Road Detail Est."/>
      <sheetName val="wh_data"/>
      <sheetName val="CPHEEO"/>
      <sheetName val="wh_data_R"/>
    </sheetNames>
    <sheetDataSet>
      <sheetData sheetId="0">
        <row r="6">
          <cell r="J6">
            <v>336.1</v>
          </cell>
        </row>
      </sheetData>
      <sheetData sheetId="1" refreshError="1">
        <row r="6">
          <cell r="J6">
            <v>336.1</v>
          </cell>
        </row>
        <row r="7">
          <cell r="J7">
            <v>640.6</v>
          </cell>
        </row>
        <row r="8">
          <cell r="J8">
            <v>528.1</v>
          </cell>
        </row>
        <row r="9">
          <cell r="J9">
            <v>181.1</v>
          </cell>
        </row>
        <row r="10">
          <cell r="J10">
            <v>226.1</v>
          </cell>
        </row>
        <row r="11">
          <cell r="J11">
            <v>90.1</v>
          </cell>
        </row>
        <row r="12">
          <cell r="J12">
            <v>94.4</v>
          </cell>
        </row>
      </sheetData>
      <sheetData sheetId="2"/>
      <sheetData sheetId="3"/>
      <sheetData sheetId="4"/>
      <sheetData sheetId="5"/>
      <sheetData sheetId="6"/>
      <sheetData sheetId="7"/>
      <sheetData sheetId="8"/>
      <sheetData sheetId="9"/>
      <sheetData sheetId="10"/>
      <sheetData sheetId="11"/>
      <sheetData sheetId="12" refreshError="1">
        <row r="6">
          <cell r="J6">
            <v>336.1</v>
          </cell>
        </row>
        <row r="7">
          <cell r="L7">
            <v>470</v>
          </cell>
        </row>
        <row r="8">
          <cell r="L8">
            <v>774.5</v>
          </cell>
        </row>
        <row r="9">
          <cell r="L9">
            <v>662</v>
          </cell>
        </row>
        <row r="10">
          <cell r="L10">
            <v>252.79999999999998</v>
          </cell>
        </row>
        <row r="11">
          <cell r="L11">
            <v>315</v>
          </cell>
        </row>
        <row r="12">
          <cell r="L12">
            <v>360</v>
          </cell>
        </row>
        <row r="13">
          <cell r="L13">
            <v>162.1</v>
          </cell>
        </row>
      </sheetData>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ow r="1">
          <cell r="B1">
            <v>0</v>
          </cell>
        </row>
      </sheetData>
      <sheetData sheetId="48">
        <row r="1">
          <cell r="B1">
            <v>0</v>
          </cell>
        </row>
      </sheetData>
      <sheetData sheetId="49">
        <row r="1">
          <cell r="B1">
            <v>0</v>
          </cell>
        </row>
      </sheetData>
      <sheetData sheetId="50">
        <row r="1">
          <cell r="B1">
            <v>0</v>
          </cell>
        </row>
      </sheetData>
      <sheetData sheetId="51">
        <row r="1">
          <cell r="B1">
            <v>0</v>
          </cell>
        </row>
      </sheetData>
      <sheetData sheetId="52">
        <row r="1">
          <cell r="B1">
            <v>0</v>
          </cell>
        </row>
      </sheetData>
      <sheetData sheetId="53">
        <row r="1">
          <cell r="B1">
            <v>0</v>
          </cell>
        </row>
      </sheetData>
      <sheetData sheetId="54"/>
      <sheetData sheetId="55"/>
      <sheetData sheetId="56">
        <row r="1">
          <cell r="B1">
            <v>0</v>
          </cell>
        </row>
      </sheetData>
      <sheetData sheetId="57">
        <row r="1">
          <cell r="B1">
            <v>0</v>
          </cell>
        </row>
      </sheetData>
      <sheetData sheetId="58"/>
      <sheetData sheetId="59"/>
      <sheetData sheetId="60">
        <row r="1">
          <cell r="B1">
            <v>0</v>
          </cell>
        </row>
      </sheetData>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r"/>
      <sheetName val="Bridge Data 2005-06"/>
      <sheetName val="Sheet1"/>
      <sheetName val="HDPE"/>
      <sheetName val="DI"/>
      <sheetName val="pvc"/>
      <sheetName val="Lead"/>
      <sheetName val="rdamdata"/>
      <sheetName val="lead-st"/>
      <sheetName val="leads"/>
      <sheetName val="Bridge_Data_2005-06"/>
      <sheetName val="bom"/>
      <sheetName val="MRATES"/>
      <sheetName val="Lead statement"/>
      <sheetName val="Material"/>
      <sheetName val="Plant &amp;  Machinery"/>
      <sheetName val="Cover"/>
      <sheetName val="Lookup"/>
      <sheetName val="Conv"/>
      <sheetName val="RMR"/>
      <sheetName val="coverpage"/>
      <sheetName val="R_Det"/>
      <sheetName val="Road data"/>
      <sheetName val="Staff Acco_"/>
      <sheetName val="Staff Acco."/>
      <sheetName val="m"/>
      <sheetName val="GROUND FLOOR"/>
      <sheetName val="Data.F8.BTR"/>
      <sheetName val="C-data"/>
      <sheetName val="Usage"/>
      <sheetName val="Common "/>
      <sheetName val="General"/>
      <sheetName val="mlead"/>
      <sheetName val="abs road"/>
      <sheetName val="t_prsr"/>
      <sheetName val="id"/>
      <sheetName val="sch"/>
      <sheetName val="BWSCPlt"/>
      <sheetName val="CI"/>
      <sheetName val="G.R.P"/>
      <sheetName val="PSC REVISED"/>
      <sheetName val="Main sheet"/>
      <sheetName val="Legal Risk Analysis"/>
      <sheetName val="CC Road"/>
      <sheetName val="Rate"/>
      <sheetName val="maya"/>
      <sheetName val="hdpe_basic"/>
      <sheetName val="DATA_PRG"/>
      <sheetName val="mas_hab"/>
      <sheetName val="v"/>
      <sheetName val="pvc_basic"/>
      <sheetName val="MRoad data"/>
      <sheetName val="final abstract"/>
    </sheetNames>
    <sheetDataSet>
      <sheetData sheetId="0" refreshError="1">
        <row r="2">
          <cell r="D2" t="str">
            <v>CONST.OF 2V RCC SLAB CULVERT AT 6/1 to 6/2 KM</v>
          </cell>
        </row>
        <row r="3">
          <cell r="B3" t="str">
            <v>PWD ROAD VATTEM TO PALEM (VIA) JAWAHARNAVODAYA SCHOOL,KARKONDA</v>
          </cell>
        </row>
        <row r="17">
          <cell r="H17">
            <v>2350</v>
          </cell>
        </row>
        <row r="32">
          <cell r="H32">
            <v>282.88</v>
          </cell>
        </row>
        <row r="37">
          <cell r="H37">
            <v>258.95999999999998</v>
          </cell>
        </row>
        <row r="59">
          <cell r="I59" t="str">
            <v>/cum</v>
          </cell>
        </row>
        <row r="67">
          <cell r="H67">
            <v>1410.4611040000002</v>
          </cell>
        </row>
        <row r="97">
          <cell r="H97">
            <v>2314.9090639999999</v>
          </cell>
        </row>
        <row r="113">
          <cell r="H113">
            <v>2836.9890640000003</v>
          </cell>
        </row>
        <row r="182">
          <cell r="H182">
            <v>382.90917600000006</v>
          </cell>
        </row>
        <row r="189">
          <cell r="H189">
            <v>88.4</v>
          </cell>
        </row>
        <row r="199">
          <cell r="H199">
            <v>4.16</v>
          </cell>
        </row>
        <row r="215">
          <cell r="H215">
            <v>389.89599999999996</v>
          </cell>
        </row>
        <row r="233">
          <cell r="H233">
            <v>131.04</v>
          </cell>
        </row>
        <row r="245">
          <cell r="H245">
            <v>30.16</v>
          </cell>
        </row>
        <row r="250">
          <cell r="H250" t="str">
            <v>Nagerkurnool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Data for UGD"/>
      <sheetName val="sewer data modi"/>
      <sheetName val="sewer data"/>
      <sheetName val="Data"/>
      <sheetName val="Data for UGD (2)"/>
      <sheetName val="Data_for_UGD"/>
      <sheetName val="sewer_data_modi"/>
      <sheetName val="sewer_data"/>
      <sheetName val="Data_for_UGD_(2)"/>
      <sheetName val="Sheet1"/>
      <sheetName val="HDPE"/>
      <sheetName val="DI"/>
      <sheetName val="pvc"/>
      <sheetName val="hdpe_basic"/>
      <sheetName val="pvc_basic"/>
      <sheetName val="DATA_PRG"/>
      <sheetName val="Labour"/>
      <sheetName val="Material"/>
      <sheetName val="Plant &amp;  Machinery"/>
      <sheetName val="Lookup"/>
      <sheetName val="MRoad data"/>
      <sheetName val="maya"/>
      <sheetName val="Buildings"/>
      <sheetName val="Hire"/>
      <sheetName val="Conveyance"/>
      <sheetName val="r"/>
      <sheetName val="Leads"/>
      <sheetName val="C-data"/>
      <sheetName val="rdamdata"/>
      <sheetName val="lead-st"/>
      <sheetName val="MRATES"/>
      <sheetName val="quarry"/>
      <sheetName val="Lead statement"/>
      <sheetName val="sand"/>
      <sheetName val="detls"/>
      <sheetName val="Data_for_UGD1"/>
      <sheetName val="sewer_data_modi1"/>
      <sheetName val="sewer_data1"/>
      <sheetName val="Data_for_UGD_(2)1"/>
      <sheetName val="Plant_&amp;__Machinery"/>
      <sheetName val="MRoad_data"/>
      <sheetName val="PRECAST lightconc-II"/>
      <sheetName val="Usage"/>
      <sheetName val="Common "/>
      <sheetName val="General"/>
      <sheetName val="RMR"/>
      <sheetName val="Mahendra hills"/>
      <sheetName val="Bridge Data 2005-06"/>
    </sheetNames>
    <sheetDataSet>
      <sheetData sheetId="0" refreshError="1">
        <row r="6">
          <cell r="N6">
            <v>2700</v>
          </cell>
        </row>
        <row r="7">
          <cell r="N7">
            <v>2800</v>
          </cell>
        </row>
        <row r="9">
          <cell r="N9">
            <v>146.74</v>
          </cell>
        </row>
        <row r="10">
          <cell r="N10">
            <v>1032.02</v>
          </cell>
        </row>
        <row r="11">
          <cell r="N11">
            <v>780.77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_PRG"/>
      <sheetName val="SPECIFICATION"/>
      <sheetName val="COMMUNITY_HALL_ESTT22"/>
      <sheetName val="COMM_HALL_3LAKHS"/>
      <sheetName val="PLAN"/>
      <sheetName val="DATA_TEMP(MC)"/>
      <sheetName val="Sheet5"/>
      <sheetName val="v"/>
      <sheetName val="r"/>
      <sheetName val="Lead"/>
      <sheetName val="Data"/>
      <sheetName val="Sheet1"/>
      <sheetName val="leads"/>
      <sheetName val="DI"/>
      <sheetName val="HDPE"/>
      <sheetName val="pvc"/>
      <sheetName val="MRATES"/>
      <sheetName val="rdamdata"/>
      <sheetName val="SPT vs PHI"/>
      <sheetName val="bom"/>
      <sheetName val="Levels"/>
      <sheetName val="Labour"/>
      <sheetName val="Material"/>
      <sheetName val="Plant &amp;  Machinery"/>
      <sheetName val="GF SB Ok "/>
      <sheetName val="pvc_basic"/>
      <sheetName val="final abstract"/>
      <sheetName val="mlead"/>
      <sheetName val="abs road"/>
      <sheetName val="Abs_CD_2"/>
      <sheetName val="coverpage"/>
      <sheetName val="RMR"/>
      <sheetName val="road est"/>
      <sheetName val="Road data"/>
      <sheetName val="ECV"/>
      <sheetName val="m"/>
      <sheetName val="lead-st"/>
      <sheetName val="Lead statement"/>
      <sheetName val="Works"/>
      <sheetName val="General"/>
      <sheetName val="Data.F8.BTR"/>
      <sheetName val="civ data"/>
      <sheetName val="R_Det"/>
      <sheetName val="BHANDUP"/>
    </sheetNames>
    <sheetDataSet>
      <sheetData sheetId="0" refreshError="1">
        <row r="245">
          <cell r="H245">
            <v>892.697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FICATION"/>
      <sheetName val="ANGANWADI_BULDG"/>
      <sheetName val="DATA_PRG"/>
      <sheetName val="DATA_COPY"/>
      <sheetName val="DATA_PRG _NO_SEIG"/>
      <sheetName val="Sheet3"/>
      <sheetName val="Sheet2"/>
      <sheetName val="Sheet1"/>
      <sheetName val="Specification report"/>
      <sheetName val="DATA_PRG__NO_SEIG"/>
      <sheetName val="Specification_report"/>
      <sheetName val="rdamdata"/>
      <sheetName val="lead-st"/>
      <sheetName val="v"/>
      <sheetName val="r"/>
      <sheetName val="Lead"/>
      <sheetName val="Lead statement"/>
      <sheetName val="leads"/>
      <sheetName val="0000000000000"/>
      <sheetName val="Data"/>
      <sheetName val="m"/>
      <sheetName val="maya"/>
      <sheetName val="segments-details"/>
      <sheetName val="habs-list"/>
      <sheetName val="int-Dia-hdpe"/>
      <sheetName val="int-Dia-pvc"/>
      <sheetName val="wh_data"/>
      <sheetName val="wh_data_R"/>
      <sheetName val="CPHEEO"/>
      <sheetName val="input"/>
      <sheetName val="Boq (Main Building)"/>
      <sheetName val="p&amp;m"/>
      <sheetName val="Cover"/>
      <sheetName val="FORM7"/>
      <sheetName val="Labour"/>
      <sheetName val="Usage"/>
      <sheetName val="Common "/>
      <sheetName val="General"/>
      <sheetName val="C-data"/>
      <sheetName val="civ data"/>
      <sheetName val="HDPE"/>
      <sheetName val="DI"/>
      <sheetName val="pvc"/>
      <sheetName val="pvc_basic"/>
      <sheetName val="RMR"/>
      <sheetName val="Road data"/>
      <sheetName val="coverpage"/>
      <sheetName val="R_Det"/>
      <sheetName val="mlead"/>
      <sheetName val="hdpe_basic"/>
    </sheetNames>
    <sheetDataSet>
      <sheetData sheetId="0" refreshError="1"/>
      <sheetData sheetId="1" refreshError="1"/>
      <sheetData sheetId="2" refreshError="1">
        <row r="2">
          <cell r="E2" t="str">
            <v>ANGANWADI BUILDING</v>
          </cell>
        </row>
        <row r="5">
          <cell r="B5" t="str">
            <v>ANGAN WADI GRANT</v>
          </cell>
        </row>
        <row r="86">
          <cell r="H86">
            <v>880.30000000000007</v>
          </cell>
        </row>
        <row r="187">
          <cell r="H187">
            <v>2363.5500000000002</v>
          </cell>
        </row>
        <row r="252">
          <cell r="H252">
            <v>360.40000000000003</v>
          </cell>
        </row>
        <row r="269">
          <cell r="H269">
            <v>388.8</v>
          </cell>
        </row>
        <row r="326">
          <cell r="H326">
            <v>162.60000000000002</v>
          </cell>
        </row>
        <row r="373">
          <cell r="F373">
            <v>1772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EST_TELK"/>
      <sheetName val="SPEC"/>
      <sheetName val="Sheet4"/>
      <sheetName val="Sheet5"/>
      <sheetName val="Sheet6"/>
      <sheetName val="Sheet7"/>
      <sheetName val="Sheet8"/>
      <sheetName val="Sheet9"/>
      <sheetName val="Sheet10"/>
      <sheetName val="MRATES"/>
      <sheetName val="ssr-rates"/>
      <sheetName val="Lead"/>
      <sheetName val="rdamdata"/>
      <sheetName val="lead-st"/>
      <sheetName val="DATA_PRG"/>
      <sheetName val="sand"/>
      <sheetName val="stone"/>
      <sheetName val="DATA"/>
      <sheetName val="data existing_do not delete"/>
      <sheetName val="v"/>
      <sheetName val="r"/>
      <sheetName val="Plant &amp;  Machinery"/>
      <sheetName val="Labour"/>
      <sheetName val="leads"/>
      <sheetName val="Nspt-smp-final-ORIGINAL"/>
      <sheetName val="Abs"/>
      <sheetName val="hdpe weights"/>
      <sheetName val="PVC weights"/>
      <sheetName val="index"/>
      <sheetName val="DI"/>
      <sheetName val="pvc"/>
      <sheetName val="HDPE"/>
      <sheetName val="Road data"/>
      <sheetName val="AV-HDPE"/>
      <sheetName val="Di_gate-HDPE"/>
      <sheetName val="wh_data"/>
      <sheetName val="wh_data_R"/>
      <sheetName val="CPHEEO"/>
      <sheetName val="input"/>
      <sheetName val="Sheet2"/>
      <sheetName val="RA"/>
      <sheetName val="ESTIMATE"/>
      <sheetName val="maya"/>
      <sheetName val="Road data-TDR"/>
      <sheetName val="MRoad data"/>
      <sheetName val="Cover"/>
      <sheetName val="hdpe-rates"/>
      <sheetName val="pvc-rates"/>
      <sheetName val="wordsdata"/>
      <sheetName val="pvc_basic"/>
      <sheetName val="DL CAL"/>
      <sheetName val="ROADS"/>
      <sheetName val="p&amp;m"/>
      <sheetName val="Rate Analysis"/>
      <sheetName val="t_prsr"/>
      <sheetName val="detls"/>
      <sheetName val="0000000000000"/>
      <sheetName val="hdpe_basic"/>
      <sheetName val="C.D.Abs.Est."/>
      <sheetName val="Data_Base"/>
      <sheetName val="Quarry"/>
      <sheetName val="RMR"/>
      <sheetName val="Line"/>
      <sheetName val="BTR"/>
      <sheetName val="CRUST"/>
      <sheetName val="QDTS"/>
      <sheetName val="Rates"/>
      <sheetName val="pvc-pipe-rates"/>
      <sheetName val="Levels"/>
      <sheetName val="R_Det"/>
      <sheetName val="_5wgdhabfinal00_01"/>
      <sheetName val="water-hammar-strenght"/>
      <sheetName val="ANAL-PIPE LINE"/>
      <sheetName val="clvrt_data"/>
      <sheetName val="l"/>
      <sheetName val="not req 3"/>
      <sheetName val="Data rough"/>
      <sheetName val="Rate"/>
      <sheetName val="1-Pop Proj"/>
      <sheetName val="int-Dia-pvc"/>
      <sheetName val="DATA-2005-06"/>
      <sheetName val="Bitumen trunk"/>
      <sheetName val="bom"/>
      <sheetName val="BWSCPlt"/>
      <sheetName val="CI"/>
      <sheetName val="G.R.P"/>
      <sheetName val="PSC REVISED"/>
      <sheetName val="PM&amp;GM"/>
      <sheetName val="AV-DI"/>
      <sheetName val="AV-PVC"/>
      <sheetName val="DI gate-DI"/>
      <sheetName val="DIgate_PVC "/>
      <sheetName val="scour-DI-CI"/>
      <sheetName val="scour-pvc-hdpe-psc-bwsc"/>
      <sheetName val="Work_sheet"/>
      <sheetName val="Iocount"/>
      <sheetName val="co_5"/>
      <sheetName val="labour rates"/>
      <sheetName val="abs road"/>
      <sheetName val="GM&amp;PM WE1 EST"/>
      <sheetName val="airvalve-AC PN 1.60"/>
      <sheetName val="AV_GRP ms bwsc"/>
      <sheetName val="BWSCP"/>
      <sheetName val="Soft-sluice-AC,GRP PN 1.6"/>
      <sheetName val="soft-sluice-BWSC-MS"/>
      <sheetName val="DI sluice valve"/>
      <sheetName val="ewst"/>
      <sheetName val="Material"/>
      <sheetName val="GA"/>
      <sheetName val="WATER-HAMMER"/>
      <sheetName val="m"/>
      <sheetName val="Usage"/>
      <sheetName val="Common "/>
      <sheetName val="General"/>
      <sheetName val="pop"/>
      <sheetName val="HDPE-pipe-rates"/>
      <sheetName val="C-data"/>
      <sheetName val="mlead"/>
      <sheetName val="Abs_CD_2"/>
      <sheetName val="coverpage"/>
      <sheetName val="road est"/>
      <sheetName val="ECV"/>
      <sheetName val="int-dia-hdpe"/>
      <sheetName val="Estt"/>
      <sheetName val="Lead statement"/>
      <sheetName val="Gen_Abs"/>
      <sheetName val="FORM7"/>
      <sheetName val="civ data"/>
      <sheetName val="MTC-estimate"/>
      <sheetName val="PUMP_DATA"/>
      <sheetName val="Sorted"/>
      <sheetName val="HS final-2"/>
      <sheetName val="Data.F8.BTR"/>
      <sheetName val="Data-2011-12"/>
      <sheetName val="PRELIM5"/>
      <sheetName val="Specification report"/>
      <sheetName val="Works"/>
    </sheetNames>
    <sheetDataSet>
      <sheetData sheetId="0">
        <row r="15">
          <cell r="C15" t="str">
            <v>Filling Basement with excavated soils with watering and tamping etc.complete.</v>
          </cell>
        </row>
        <row r="18">
          <cell r="C18" t="str">
            <v>C.C.(1:2:4) mix using 20mm guage HG metal including cost and conveyance of  all materials and labour charges, seig.charges etc.,complete for Bed Blocks.</v>
          </cell>
        </row>
        <row r="24">
          <cell r="C24" t="str">
            <v>Impervious coat plastering with C.M.(1:3) 20mm thick 2kgs of Acco-proof powder  including cost and conveyance of all materials and labour charges, seig.charges etc., complete.</v>
          </cell>
        </row>
      </sheetData>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Bridge Data 2005-06"/>
      <sheetName val="Bridge_Data_2005-06"/>
      <sheetName val="bom"/>
      <sheetName val="rdamdata"/>
      <sheetName val="MRATES"/>
      <sheetName val="leads"/>
      <sheetName val="HDPE"/>
      <sheetName val="DI"/>
      <sheetName val="pvc"/>
      <sheetName val="Sheet1"/>
      <sheetName val="Lead statement"/>
      <sheetName val="r"/>
      <sheetName val="Material"/>
      <sheetName val="Plant &amp;  Machinery"/>
      <sheetName val="Cover"/>
      <sheetName val="Lookup"/>
      <sheetName val="Conv"/>
      <sheetName val="LEAD"/>
      <sheetName val="C-data"/>
      <sheetName val="SPT vs PHI"/>
      <sheetName val="Rates"/>
      <sheetName val="maya"/>
      <sheetName val="hdpe_basic"/>
      <sheetName val="pvc_basic"/>
      <sheetName val="wordsdata"/>
      <sheetName val="Newabstract"/>
      <sheetName val="detls"/>
      <sheetName val="m"/>
      <sheetName val="Bill-12"/>
      <sheetName val="Iocount"/>
      <sheetName val="mlead"/>
      <sheetName val="abs road"/>
      <sheetName val="coverpage"/>
      <sheetName val="RMR"/>
      <sheetName val="Road data"/>
      <sheetName val="R_Det"/>
      <sheetName val="Labour"/>
      <sheetName val="Works"/>
      <sheetName val="General"/>
      <sheetName val="SSR 2014-15 Rates"/>
      <sheetName val="DATA_PRG"/>
      <sheetName val="v"/>
    </sheetNames>
    <sheetDataSet>
      <sheetData sheetId="0" refreshError="1">
        <row r="2">
          <cell r="D2" t="str">
            <v>CONST.OF 2V RCC SLAB CULVERT AT 6/1 to 6/2 KM</v>
          </cell>
        </row>
        <row r="67">
          <cell r="H67">
            <v>1410.4611040000002</v>
          </cell>
        </row>
        <row r="97">
          <cell r="H97">
            <v>2314.9090639999999</v>
          </cell>
        </row>
        <row r="245">
          <cell r="H245">
            <v>30.16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Bridge Data 2005-06"/>
      <sheetName val="MRATES"/>
      <sheetName val="LEAD"/>
      <sheetName val="boredetails"/>
      <sheetName val="Lead statement ss5"/>
      <sheetName val="Sheet1"/>
      <sheetName val="Estimate "/>
      <sheetName val="Buildings"/>
      <sheetName val="Plant &amp;  Machinery"/>
      <sheetName val="pvc_basic"/>
      <sheetName val="HDPE"/>
      <sheetName val="Hire"/>
      <sheetName val="Conveyance"/>
      <sheetName val="bricks"/>
      <sheetName val="leads"/>
      <sheetName val="r"/>
      <sheetName val="DATA_PRG"/>
      <sheetName val="clvrt_data"/>
      <sheetName val="DI"/>
      <sheetName val="pvc"/>
      <sheetName val="rdamdata"/>
      <sheetName val="v"/>
      <sheetName val="Suppl-data"/>
      <sheetName val="m"/>
      <sheetName val="CC Road"/>
      <sheetName val="Civil (2)"/>
      <sheetName val="C-data"/>
      <sheetName val="Ele Est (2)"/>
      <sheetName val="Seginorage"/>
      <sheetName val="TBAL9697 -group wise  sdpl"/>
    </sheetNames>
    <sheetDataSet>
      <sheetData sheetId="0" refreshError="1">
        <row r="2">
          <cell r="D2" t="str">
            <v>CONST.OF 2V RCC SLAB CULVERT AT 6/1 to 6/2 KM</v>
          </cell>
        </row>
        <row r="67">
          <cell r="H67">
            <v>1410.4611040000002</v>
          </cell>
        </row>
        <row r="97">
          <cell r="H97">
            <v>2314.9090639999999</v>
          </cell>
        </row>
        <row r="245">
          <cell r="H245">
            <v>30.16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 val="Rates 2008-0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 val="hdpe_basic"/>
      <sheetName val="pvc_bas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ATA"/>
      <sheetName val="v"/>
      <sheetName val="Lead statement"/>
      <sheetName val="final abstract"/>
      <sheetName val="Labour"/>
      <sheetName val="Material"/>
      <sheetName val="Plant &amp;  Machinery"/>
      <sheetName val="DATA_PRG"/>
      <sheetName val="Sheet1"/>
      <sheetName val="lead-st"/>
      <sheetName val="rdamdata"/>
      <sheetName val="r"/>
      <sheetName val="Lead"/>
      <sheetName val="leads"/>
      <sheetName val="p&amp;m"/>
      <sheetName val="detls"/>
      <sheetName val="RMR"/>
      <sheetName val="sand"/>
      <sheetName val="maya"/>
      <sheetName val="Specification report"/>
      <sheetName val="C-data"/>
      <sheetName val="Summary"/>
    </sheetNames>
    <sheetDataSet>
      <sheetData sheetId="0"/>
      <sheetData sheetId="1"/>
      <sheetData sheetId="2"/>
      <sheetData sheetId="3"/>
      <sheetData sheetId="4"/>
      <sheetData sheetId="5">
        <row r="14">
          <cell r="G14">
            <v>35.35</v>
          </cell>
        </row>
      </sheetData>
      <sheetData sheetId="6">
        <row r="31">
          <cell r="D31">
            <v>91.08</v>
          </cell>
          <cell r="E31">
            <v>107.35</v>
          </cell>
          <cell r="F31">
            <v>133.26</v>
          </cell>
          <cell r="G31">
            <v>158.58000000000001</v>
          </cell>
          <cell r="H31">
            <v>185.06</v>
          </cell>
          <cell r="I31">
            <v>236.46</v>
          </cell>
          <cell r="J31">
            <v>285.23</v>
          </cell>
        </row>
        <row r="46">
          <cell r="C46">
            <v>90.35</v>
          </cell>
          <cell r="D46">
            <v>106.67</v>
          </cell>
          <cell r="E46">
            <v>130.63999999999999</v>
          </cell>
          <cell r="F46">
            <v>167.37</v>
          </cell>
          <cell r="G46">
            <v>197.57</v>
          </cell>
          <cell r="H46">
            <v>242.04</v>
          </cell>
          <cell r="I46">
            <v>307.83</v>
          </cell>
          <cell r="J46">
            <v>380.99</v>
          </cell>
          <cell r="K46">
            <v>448.54</v>
          </cell>
        </row>
        <row r="61">
          <cell r="C61">
            <v>112.12</v>
          </cell>
          <cell r="D61">
            <v>135.81</v>
          </cell>
          <cell r="E61">
            <v>171.19</v>
          </cell>
          <cell r="F61">
            <v>232.15</v>
          </cell>
          <cell r="H61">
            <v>343.32</v>
          </cell>
        </row>
      </sheetData>
      <sheetData sheetId="7">
        <row r="14">
          <cell r="G14">
            <v>40.78</v>
          </cell>
        </row>
      </sheetData>
      <sheetData sheetId="8">
        <row r="16">
          <cell r="C16">
            <v>73.2</v>
          </cell>
        </row>
        <row r="30">
          <cell r="L30">
            <v>887.49</v>
          </cell>
          <cell r="M30">
            <v>1081.68</v>
          </cell>
          <cell r="N30">
            <v>1343.94</v>
          </cell>
          <cell r="O30">
            <v>1690.77</v>
          </cell>
        </row>
      </sheetData>
      <sheetData sheetId="9">
        <row r="37">
          <cell r="C37">
            <v>678.83</v>
          </cell>
          <cell r="D37">
            <v>960.38</v>
          </cell>
          <cell r="F37">
            <v>1844.87</v>
          </cell>
          <cell r="G37">
            <v>2369.41</v>
          </cell>
        </row>
      </sheetData>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sand"/>
      <sheetName val="stone"/>
      <sheetName val="Road Detail Est."/>
      <sheetName val="Road data"/>
      <sheetName val="DATA"/>
      <sheetName val="rdamdata"/>
      <sheetName val="Material"/>
      <sheetName val="Labour"/>
      <sheetName val="Lead statement"/>
      <sheetName val="v"/>
      <sheetName val="r"/>
      <sheetName val="quarry"/>
      <sheetName val="Sheet1"/>
      <sheetName val="maya"/>
      <sheetName val="com_st_PM1"/>
      <sheetName val="comst_GM1"/>
      <sheetName val="G_R_P1"/>
      <sheetName val="SPT vs PHI"/>
      <sheetName val="ssr-rates"/>
      <sheetName val="#REF"/>
      <sheetName val="detls"/>
      <sheetName val="hdpe weights"/>
      <sheetName val="PVC weights"/>
      <sheetName val="index"/>
      <sheetName val="hdpe-rates"/>
      <sheetName val="pvc-rates"/>
      <sheetName val="Lead"/>
      <sheetName val="lead-st"/>
      <sheetName val="Ward areas"/>
      <sheetName val="Zi-co"/>
      <sheetName val="com_st_PM5"/>
      <sheetName val="comst_GM5"/>
      <sheetName val="G_R_P5"/>
      <sheetName val="Road_Detail_Est_2"/>
      <sheetName val="Road_data2"/>
      <sheetName val="Lead_statement2"/>
      <sheetName val="com_st_PM3"/>
      <sheetName val="comst_GM3"/>
      <sheetName val="G_R_P3"/>
      <sheetName val="com_st_PM2"/>
      <sheetName val="comst_GM2"/>
      <sheetName val="G_R_P2"/>
      <sheetName val="Road_Detail_Est_"/>
      <sheetName val="Road_data"/>
      <sheetName val="Lead_statement"/>
      <sheetName val="com_st_PM4"/>
      <sheetName val="comst_GM4"/>
      <sheetName val="G_R_P4"/>
      <sheetName val="Road_Detail_Est_1"/>
      <sheetName val="Road_data1"/>
      <sheetName val="Lead_statement1"/>
      <sheetName val="EDWise"/>
      <sheetName val="leads"/>
      <sheetName val="SSR 2010-11 Rates"/>
      <sheetName val="Plant &amp;  Machinery"/>
      <sheetName val="Leads Entry"/>
      <sheetName val="Specification report"/>
      <sheetName val="_x0000_V_x0000_O_x0000_I_x0000_L_x0000_S_x0000_I_x0000_N_x0000_G_x0000_R_x0000_A_x0000_M_x0000_._x0000_X_x0000_L_x0000_S_x0000_"/>
      <sheetName val=""/>
      <sheetName val="Nspt-smp-final-ORIGINAL"/>
      <sheetName val="Rates-May-14"/>
      <sheetName val="wh_data"/>
      <sheetName val="CPHEEO"/>
      <sheetName val="wh_data_R"/>
      <sheetName val="input"/>
      <sheetName val="data-WC"/>
      <sheetName val="?V?O?I?L?S?I?N?G?R?A?M?.?X?L?S?"/>
      <sheetName val="m"/>
      <sheetName val="p&amp;m"/>
      <sheetName val="MRATES"/>
      <sheetName val="Staff Acco."/>
      <sheetName val="DATA_PRG"/>
      <sheetName val="0000000000000"/>
      <sheetName val="RMR"/>
      <sheetName val="C-data"/>
      <sheetName val="Cover"/>
      <sheetName val="_5wgdhabfinal00_01"/>
      <sheetName val="WATER-HAMMER"/>
      <sheetName val="Di_gate-HDPE"/>
      <sheetName val="not req 3"/>
      <sheetName val="C.D.Abs.Est."/>
      <sheetName val="COLUMN"/>
      <sheetName val="_V_O_I_L_S_I_N_G_R_A_M_._X_L_S_"/>
      <sheetName val="segments-details"/>
      <sheetName val="Datas"/>
      <sheetName val="Plant_&amp;__Machinery"/>
      <sheetName val="Sheet2"/>
      <sheetName val="HDPE-pipe-rates"/>
      <sheetName val="Sheet1_(2)"/>
      <sheetName val="int-Dia-hdpe"/>
      <sheetName val="habs-list"/>
      <sheetName val="pvc-pipe-rates"/>
      <sheetName val="PVC_dia"/>
      <sheetName val="int-Dia-pvc"/>
      <sheetName val="l"/>
      <sheetName val="t_prsr"/>
      <sheetName val="wh"/>
      <sheetName val="Estimate"/>
      <sheetName val="Data rough"/>
      <sheetName val="AV-HDPE"/>
      <sheetName val="hdpe_weights"/>
      <sheetName val="PVC_weights"/>
      <sheetName val="BWSCPlt"/>
      <sheetName val="DATA-BASE"/>
      <sheetName val="int-Dia"/>
      <sheetName val="mas_hab"/>
      <sheetName val="id"/>
      <sheetName val="PSC_REVISED"/>
      <sheetName val="DATA-ABSTRACT"/>
      <sheetName val="hdpe_weights2"/>
      <sheetName val="PVC_weights2"/>
      <sheetName val="hdpe_weights1"/>
      <sheetName val="PVC_weights1"/>
      <sheetName val="Plant_&amp;__Machinery1"/>
      <sheetName val="Rates"/>
      <sheetName val="coverpage"/>
      <sheetName val="R_Det"/>
      <sheetName val="PRECAST lightconc-II"/>
      <sheetName val="CC &amp; VC"/>
      <sheetName val="_x005f_x0000_V_x005f_x0000_O_x005f_x0000_I_x005f_x0000_"/>
      <sheetName val="water-hammar-strenght"/>
      <sheetName val="Work_sheet"/>
      <sheetName val="bom"/>
      <sheetName val="abs road"/>
      <sheetName val="Summary"/>
      <sheetName val="General"/>
      <sheetName val="mlead"/>
      <sheetName val="road safety datas"/>
      <sheetName val="com_st_PM6"/>
      <sheetName val="comst_GM6"/>
      <sheetName val="G_R_P6"/>
      <sheetName val="Road_Detail_Est_3"/>
      <sheetName val="Road_data3"/>
      <sheetName val="Lead_statement3"/>
      <sheetName val="SPT_vs_PHI"/>
      <sheetName val="Ward_areas"/>
      <sheetName val="SSR_2010-11_Rates"/>
      <sheetName val="Leads_Entry"/>
      <sheetName val="Specification_report"/>
      <sheetName val="VOILSINGRAM_XLS"/>
      <sheetName val="?V?O?I?L?S?I?N?G?R?A?M?_?X?L?S?"/>
      <sheetName val="Staff_Acco_"/>
      <sheetName val="Data-ELSR"/>
      <sheetName val="Levels"/>
      <sheetName val="data existing_do not delete"/>
      <sheetName val="MRoad data"/>
      <sheetName val="VC rate"/>
      <sheetName val="dbl-airvalve-PVC"/>
      <sheetName val="airvalve(AC)"/>
      <sheetName val="DFjoints"/>
      <sheetName val="census91"/>
      <sheetName val="m1"/>
      <sheetName val="Detailed"/>
      <sheetName val="dlvoid"/>
      <sheetName val="_x005f_x0000_V_x005f_x0000_O_x005f_x0000_I_x000_2"/>
      <sheetName val="Main Sheet"/>
      <sheetName val="ABS"/>
      <sheetName val="Voucher"/>
      <sheetName val="BHANDUP"/>
      <sheetName val="Intro"/>
      <sheetName val="hdpe-int-Dia"/>
      <sheetName val="E-Table"/>
      <sheetName val="pvc-int-Dia"/>
      <sheetName val="SSR 2014-15 Rates"/>
      <sheetName val="Specification Repoer CC"/>
      <sheetName val="bar bending"/>
      <sheetName val="iocount"/>
      <sheetName val="DATA SHEET"/>
      <sheetName val="Suppl-data"/>
      <sheetName val="final abstract"/>
      <sheetName val="Bitumen trunk"/>
      <sheetName val="Feeder"/>
      <sheetName val="R99 etc"/>
      <sheetName val="Trunk unpaved"/>
      <sheetName val="_V_O_I_L_S_I_N_G_R_A_M___X_L_S_"/>
      <sheetName val="Usage"/>
      <sheetName val="Common "/>
      <sheetName val="civ data"/>
      <sheetName val="11.Habitations"/>
      <sheetName val="PM&amp;GM"/>
      <sheetName val="AV-PVC"/>
      <sheetName val="DIgate_PVC "/>
      <sheetName val="DI gate-DI"/>
      <sheetName val="AV-BWSC&amp;MS"/>
      <sheetName val="AV_AC"/>
      <sheetName val="AV-DI"/>
      <sheetName val="di_Gate_AC"/>
      <sheetName val="Digate-BWSCP-MS"/>
      <sheetName val="DI_gate_di"/>
      <sheetName val="scour-DI-CI"/>
      <sheetName val="scour-pvc-hdpe-psc-bwsc"/>
      <sheetName val="AC"/>
      <sheetName val="pumping main"/>
      <sheetName val="1000 (1V)"/>
      <sheetName val="Lead statement ss5"/>
      <sheetName val="Drain Est (2)"/>
      <sheetName val="SPECI (2)"/>
      <sheetName val="Working Estimate"/>
      <sheetName val="FINAL DATA"/>
      <sheetName val="hdpe_weights3"/>
      <sheetName val="PVC_weights3"/>
      <sheetName val="Data_rough"/>
      <sheetName val="not_req_3"/>
      <sheetName val="CC_&amp;_VC"/>
      <sheetName val="MRoad_data"/>
      <sheetName val="VC_rate"/>
      <sheetName val="data_existing_do_not_delete"/>
      <sheetName val="01"/>
      <sheetName val="DREV"/>
      <sheetName val="CREV"/>
    </sheetNames>
    <sheetDataSet>
      <sheetData sheetId="0">
        <row r="14">
          <cell r="G14">
            <v>35.35</v>
          </cell>
        </row>
      </sheetData>
      <sheetData sheetId="1">
        <row r="14">
          <cell r="G14">
            <v>35.35</v>
          </cell>
        </row>
      </sheetData>
      <sheetData sheetId="2">
        <row r="14">
          <cell r="G14">
            <v>40.78</v>
          </cell>
        </row>
      </sheetData>
      <sheetData sheetId="3">
        <row r="14">
          <cell r="G14">
            <v>35.35</v>
          </cell>
        </row>
      </sheetData>
      <sheetData sheetId="4" refreshError="1"/>
      <sheetData sheetId="5" refreshError="1">
        <row r="14">
          <cell r="G14">
            <v>35.35</v>
          </cell>
        </row>
        <row r="15">
          <cell r="G15">
            <v>49.78</v>
          </cell>
        </row>
        <row r="16">
          <cell r="G16">
            <v>72</v>
          </cell>
        </row>
        <row r="17">
          <cell r="G17">
            <v>93.9</v>
          </cell>
        </row>
        <row r="18">
          <cell r="G18">
            <v>117.01</v>
          </cell>
        </row>
        <row r="19">
          <cell r="G19">
            <v>154.61000000000001</v>
          </cell>
        </row>
        <row r="20">
          <cell r="G20">
            <v>197.16</v>
          </cell>
        </row>
        <row r="27">
          <cell r="G27">
            <v>35.159999999999997</v>
          </cell>
        </row>
        <row r="28">
          <cell r="G28">
            <v>49.04</v>
          </cell>
        </row>
        <row r="29">
          <cell r="G29">
            <v>70.27</v>
          </cell>
        </row>
        <row r="30">
          <cell r="G30">
            <v>102</v>
          </cell>
        </row>
        <row r="31">
          <cell r="G31">
            <v>128.19</v>
          </cell>
        </row>
        <row r="32">
          <cell r="G32">
            <v>167.11</v>
          </cell>
        </row>
        <row r="33">
          <cell r="G33">
            <v>217.34</v>
          </cell>
        </row>
        <row r="34">
          <cell r="G34">
            <v>281.33999999999997</v>
          </cell>
        </row>
        <row r="35">
          <cell r="G35">
            <v>340.32</v>
          </cell>
        </row>
        <row r="41">
          <cell r="G41">
            <v>54.3</v>
          </cell>
        </row>
        <row r="42">
          <cell r="G42">
            <v>77.55</v>
          </cell>
        </row>
        <row r="44">
          <cell r="G44">
            <v>165.03</v>
          </cell>
        </row>
        <row r="45">
          <cell r="G45">
            <v>216.24</v>
          </cell>
        </row>
        <row r="46">
          <cell r="G46">
            <v>265.97000000000003</v>
          </cell>
        </row>
      </sheetData>
      <sheetData sheetId="6" refreshError="1">
        <row r="14">
          <cell r="G14">
            <v>35.35</v>
          </cell>
        </row>
        <row r="31">
          <cell r="D31">
            <v>91.08</v>
          </cell>
          <cell r="E31">
            <v>107.35</v>
          </cell>
          <cell r="F31">
            <v>133.26</v>
          </cell>
          <cell r="G31">
            <v>158.58000000000001</v>
          </cell>
          <cell r="H31">
            <v>185.06</v>
          </cell>
          <cell r="I31">
            <v>236.46</v>
          </cell>
          <cell r="J31">
            <v>285.23</v>
          </cell>
        </row>
        <row r="46">
          <cell r="C46">
            <v>90.35</v>
          </cell>
          <cell r="D46">
            <v>106.67</v>
          </cell>
          <cell r="E46">
            <v>130.63999999999999</v>
          </cell>
          <cell r="F46">
            <v>167.37</v>
          </cell>
          <cell r="G46">
            <v>197.57</v>
          </cell>
          <cell r="H46">
            <v>242.04</v>
          </cell>
          <cell r="I46">
            <v>307.83</v>
          </cell>
          <cell r="J46">
            <v>380.99</v>
          </cell>
          <cell r="K46">
            <v>448.54</v>
          </cell>
        </row>
        <row r="61">
          <cell r="C61">
            <v>112.12</v>
          </cell>
          <cell r="D61">
            <v>135.81</v>
          </cell>
          <cell r="E61">
            <v>171.19</v>
          </cell>
          <cell r="F61">
            <v>232.15</v>
          </cell>
          <cell r="H61">
            <v>343.32</v>
          </cell>
        </row>
      </sheetData>
      <sheetData sheetId="7" refreshError="1">
        <row r="14">
          <cell r="G14">
            <v>40.78</v>
          </cell>
        </row>
        <row r="37">
          <cell r="G37">
            <v>730.74</v>
          </cell>
        </row>
        <row r="38">
          <cell r="G38">
            <v>899.42</v>
          </cell>
        </row>
        <row r="39">
          <cell r="G39">
            <v>1127.6099999999999</v>
          </cell>
        </row>
        <row r="40">
          <cell r="G40">
            <v>1430.04</v>
          </cell>
        </row>
      </sheetData>
      <sheetData sheetId="8" refreshError="1">
        <row r="14">
          <cell r="G14">
            <v>35.35</v>
          </cell>
        </row>
        <row r="16">
          <cell r="C16">
            <v>73.2</v>
          </cell>
        </row>
        <row r="30">
          <cell r="L30">
            <v>887.49</v>
          </cell>
          <cell r="M30">
            <v>1081.68</v>
          </cell>
          <cell r="N30">
            <v>1343.94</v>
          </cell>
          <cell r="O30">
            <v>1690.77</v>
          </cell>
        </row>
      </sheetData>
      <sheetData sheetId="9" refreshError="1">
        <row r="14">
          <cell r="G14">
            <v>40.78</v>
          </cell>
        </row>
        <row r="37">
          <cell r="C37">
            <v>678.83</v>
          </cell>
          <cell r="D37">
            <v>960.38</v>
          </cell>
          <cell r="F37">
            <v>1844.87</v>
          </cell>
          <cell r="G37">
            <v>2369.41</v>
          </cell>
        </row>
      </sheetData>
      <sheetData sheetId="10">
        <row r="37">
          <cell r="C37">
            <v>678.83</v>
          </cell>
        </row>
      </sheetData>
      <sheetData sheetId="11"/>
      <sheetData sheetId="12" refreshError="1"/>
      <sheetData sheetId="13" refreshError="1"/>
      <sheetData sheetId="14" refreshError="1"/>
      <sheetData sheetId="15"/>
      <sheetData sheetId="16" refreshError="1"/>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sheetData sheetId="44"/>
      <sheetData sheetId="45"/>
      <sheetData sheetId="46"/>
      <sheetData sheetId="47"/>
      <sheetData sheetId="48"/>
      <sheetData sheetId="49"/>
      <sheetData sheetId="50"/>
      <sheetData sheetId="51"/>
      <sheetData sheetId="52"/>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sheetData sheetId="89"/>
      <sheetData sheetId="90" refreshError="1"/>
      <sheetData sheetId="91" refreshError="1"/>
      <sheetData sheetId="92" refreshError="1"/>
      <sheetData sheetId="93" refreshError="1"/>
      <sheetData sheetId="94" refreshError="1"/>
      <sheetData sheetId="95" refreshError="1"/>
      <sheetData sheetId="96" refreshError="1"/>
      <sheetData sheetId="97"/>
      <sheetData sheetId="98"/>
      <sheetData sheetId="99"/>
      <sheetData sheetId="100"/>
      <sheetData sheetId="101"/>
      <sheetData sheetId="102"/>
      <sheetData sheetId="103" refreshError="1"/>
      <sheetData sheetId="104" refreshError="1"/>
      <sheetData sheetId="105" refreshError="1"/>
      <sheetData sheetId="106" refreshError="1"/>
      <sheetData sheetId="107" refreshError="1"/>
      <sheetData sheetId="108" refreshError="1"/>
      <sheetData sheetId="109"/>
      <sheetData sheetId="110" refreshError="1"/>
      <sheetData sheetId="111" refreshError="1"/>
      <sheetData sheetId="112"/>
      <sheetData sheetId="113"/>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sheetData sheetId="130" refreshError="1"/>
      <sheetData sheetId="131" refreshError="1"/>
      <sheetData sheetId="132"/>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sheetData sheetId="156"/>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Lead 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ead statement"/>
      <sheetName val="SSR 2010-11 Rates"/>
      <sheetName val="centering"/>
      <sheetName val="40KL-250KL Estimate &amp; data"/>
      <sheetName val="CI specials for OHSR"/>
      <sheetName val="Lead_statement"/>
      <sheetName val="SSR_2010-11_Rates"/>
      <sheetName val="40KL-250KL_Estimate_&amp;_data"/>
      <sheetName val="CI_specials_for_OHSR"/>
      <sheetName val="HDPE"/>
      <sheetName val="DI"/>
      <sheetName val="pvc"/>
      <sheetName val="DATA"/>
      <sheetName val="maya"/>
      <sheetName val="v"/>
      <sheetName val="hdpe_basic"/>
      <sheetName val="pvc_basic"/>
      <sheetName val="Data.F8.BTR"/>
      <sheetName val="Data_Bit_I"/>
      <sheetName val="p&amp;m"/>
      <sheetName val="Material"/>
      <sheetName val="leads"/>
      <sheetName val="MRATES"/>
      <sheetName val="C-data"/>
      <sheetName val="0000000000000"/>
      <sheetName val="Bridge Data 2005-06"/>
      <sheetName val="Works"/>
      <sheetName val="RMR"/>
      <sheetName val="General"/>
      <sheetName val="Lead"/>
      <sheetName val="Lead_statement1"/>
      <sheetName val="SSR_2010-11_Rates1"/>
      <sheetName val="40KL-250KL_Estimate_&amp;_data1"/>
      <sheetName val="CI_specials_for_OHSR1"/>
    </sheetNames>
    <sheetDataSet>
      <sheetData sheetId="0" refreshError="1"/>
      <sheetData sheetId="1"/>
      <sheetData sheetId="2"/>
      <sheetData sheetId="3" refreshError="1"/>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UnitRates"/>
      <sheetName val="DetEst"/>
      <sheetName val="1V-1M"/>
      <sheetName val="2V-1M"/>
      <sheetName val="5V-1M"/>
      <sheetName val="CBR"/>
      <sheetName val="Det-ROAD"/>
      <sheetName val="G.Abs"/>
      <sheetName val="abs-cd"/>
      <sheetName val="WorkSlip"/>
      <sheetName val="BTLeads"/>
      <sheetName val="RMR"/>
      <sheetName val="MRoad data"/>
      <sheetName val="MRATES"/>
      <sheetName val="Data"/>
      <sheetName val="maya"/>
      <sheetName val="Lead statement"/>
      <sheetName val="HDPE"/>
      <sheetName val="DI"/>
      <sheetName val="pvc"/>
      <sheetName val="R_Det"/>
      <sheetName val="Road data"/>
      <sheetName val="r"/>
      <sheetName val="MS-1"/>
      <sheetName val="Material "/>
      <sheetName val="Ave.wtd.rates"/>
      <sheetName val=" AnalysisPCC"/>
      <sheetName val="Assumption"/>
      <sheetName val="Superstruc"/>
      <sheetName val="rdamdat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T15">
            <v>5400</v>
          </cell>
        </row>
        <row r="26">
          <cell r="T26">
            <v>0</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M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C-data"/>
      <sheetName val="Estimate-Civil"/>
      <sheetName val="det-qty"/>
      <sheetName val="Joinary"/>
      <sheetName val="HDPE"/>
      <sheetName val="DI"/>
      <sheetName val="pvc"/>
      <sheetName val="hdpe_basic"/>
      <sheetName val="pvc_basic"/>
      <sheetName val="Lead statement"/>
      <sheetName val="SSR 2010-11 Rates"/>
      <sheetName val="DATA_PRG"/>
      <sheetName val="Data"/>
      <sheetName val="mlead"/>
      <sheetName val="abs road"/>
      <sheetName val="coverpage"/>
      <sheetName val="RMR"/>
      <sheetName val="Road data"/>
      <sheetName val="R_Det"/>
      <sheetName val="Cover"/>
      <sheetName val="Sheet1"/>
      <sheetName val="MRATES"/>
      <sheetName val=" "/>
      <sheetName val="Estimate "/>
      <sheetName val="maya"/>
      <sheetName val="final abstract"/>
      <sheetName val="v"/>
      <sheetName val="LEADS"/>
      <sheetName val="r"/>
      <sheetName val="m"/>
      <sheetName val="not req 3"/>
      <sheetName val="SPT vs PHI"/>
      <sheetName val="Electrical SSR 2018-19 (2)"/>
      <sheetName val="Report"/>
      <sheetName val="Label"/>
      <sheetName val="SC"/>
      <sheetName val="Quarry Korutla"/>
      <sheetName val="Quarry"/>
      <sheetName val="LeadEEJ"/>
      <sheetName val="Lead Avg"/>
      <sheetName val="G-A road"/>
      <sheetName val="SpecReportAll"/>
      <sheetName val="Lead2DyEEM"/>
      <sheetName val="Main sheet"/>
      <sheetName val="GA-Open Air Theater"/>
      <sheetName val="1. Gallary"/>
      <sheetName val="2. Retaining wall"/>
      <sheetName val="2. Compound Wall"/>
      <sheetName val="3.Entrance Plaza"/>
      <sheetName val="4. Stage &amp; Green rooms"/>
      <sheetName val="4.a. AC-Est."/>
      <sheetName val="4.b.Elec &amp; Sani-Stage"/>
      <sheetName val="5 Guest room"/>
      <sheetName val="5.a.Elec &amp; Sani-Guest House"/>
      <sheetName val="6 Toilet Block- Ladies"/>
      <sheetName val="7. Toilet Block- Gents"/>
      <sheetName val="Solar Lighting-Gallery"/>
      <sheetName val="Solar Lighting-earth work"/>
      <sheetName val="8. ST-12x3.3-(200 Users)"/>
      <sheetName val="9. Est-Sump"/>
      <sheetName val="10. Greenary &amp; Pathways"/>
      <sheetName val="11. Fountain &amp; Planters"/>
      <sheetName val="12. Garden Posts"/>
      <sheetName val="13.Gen sets - "/>
      <sheetName val="14.Transformer"/>
      <sheetName val="15.Bore wells."/>
      <sheetName val="16.Highmast"/>
      <sheetName val="GA ALL"/>
      <sheetName val="GA Park"/>
      <sheetName val="Abstract Gazebo "/>
      <sheetName val="Gazebo "/>
      <sheetName val="Abstract toilets"/>
      <sheetName val="Toilets (2)"/>
      <sheetName val="Food Court, CW, Pathway Abst"/>
      <sheetName val="Pathway"/>
      <sheetName val="Est. Kargil Lake"/>
      <sheetName val="Garden posts"/>
      <sheetName val="Toilets"/>
      <sheetName val="Entrance Plaza"/>
      <sheetName val="Children Play Area"/>
      <sheetName val="Parking Area"/>
      <sheetName val="Gazebo"/>
      <sheetName val="Junction Dtl and Abs"/>
      <sheetName val="Recreational Space"/>
      <sheetName val="Greenary"/>
      <sheetName val="Bathukamma Ghat"/>
      <sheetName val="1.Est-Cmpnd-wall"/>
      <sheetName val="10. CARE TAKERS CABIN"/>
      <sheetName val="Toilet Dtl and Abs"/>
      <sheetName val="Highmast-12m"/>
      <sheetName val="GA-Veg Market"/>
      <sheetName val="Veg Market Dtl and Abs"/>
      <sheetName val="GA-Dump yard"/>
      <sheetName val="Dump Yard Abs"/>
      <sheetName val=" Compound wallDtl and Abs "/>
      <sheetName val="GA-library"/>
      <sheetName val="data-WS &amp; Sanitary-18-19"/>
      <sheetName val="Elc.data-18-09 final"/>
      <sheetName val="Library Dtl and Abs"/>
      <sheetName val=" Compound wallDtl and Abs  LIB"/>
      <sheetName val="data-Bld-18-19"/>
      <sheetName val="GA-Municipal office"/>
      <sheetName val=" Compound wall extDtl and Abs "/>
      <sheetName val="Road Dtl and Abs"/>
      <sheetName val="AC ESTIMATE"/>
      <sheetName val="GA Jun"/>
      <sheetName val="Junction Abs Dtl"/>
      <sheetName val="Jun HighMast"/>
      <sheetName val="Municipal office Dtl and Abs"/>
      <sheetName val="Elc.Stnd.Data-18-19-final "/>
      <sheetName val="Lighting DATA"/>
      <sheetName val="Road data- MoRTH-5th Revision"/>
      <sheetName val="data-Parks-18-19"/>
      <sheetName val="Q-Land scaping"/>
      <sheetName val="MS-Truss Gazebo "/>
      <sheetName val="LeadCert"/>
      <sheetName val="C-Mat-Gen-"/>
      <sheetName val="Mortars,"/>
      <sheetName val="Gazebo Dtl and Abs "/>
      <sheetName val="Q-Fountain"/>
      <sheetName val="Q-Play equipments"/>
      <sheetName val="Q-Gym equipments"/>
      <sheetName val="Q-RCC Benches"/>
      <sheetName val="Electrical SSR 2018-19"/>
      <sheetName val="data-Sump &amp; ST"/>
      <sheetName val="Data- Garden Lighting"/>
      <sheetName val="Elc-data-new"/>
      <sheetName val="data-Parks"/>
      <sheetName val="Data- Focus lights"/>
      <sheetName val="GA- Park. Ramayya Bowli"/>
      <sheetName val="1. Compound wall-"/>
      <sheetName val="3. Parking area-new"/>
      <sheetName val="4.Est-Greenary."/>
      <sheetName val="5. Main Path way"/>
      <sheetName val="8.Entrance Plaza"/>
      <sheetName val="9.Toilets"/>
      <sheetName val="11. Amphi theater"/>
      <sheetName val="GA - Sagala cheruvu Park"/>
      <sheetName val="1. Compound wall"/>
      <sheetName val="2.Entrance Plaza"/>
      <sheetName val="4 ).She Toilets "/>
      <sheetName val="5). He Toilets"/>
      <sheetName val="4. Garden Posts"/>
      <sheetName val="6.Pathways  (2)"/>
      <sheetName val="Highmast (2)"/>
      <sheetName val="Elc.Stnd.Data-16-17 "/>
      <sheetName val="Elec -Toilet block Ladies"/>
      <sheetName val="Elec-Toilet block gents"/>
      <sheetName val="Solar Lighting-greenary"/>
      <sheetName val="Solar Lighting-Compound wall"/>
      <sheetName val="Sanitary SSR-18-19"/>
      <sheetName val="Data-Gen sets (2)"/>
      <sheetName val="SSR-Irri, R&amp;B, PH-18-19"/>
      <sheetName val="Bld.SoR-18-19"/>
      <sheetName val="labour&amp; Hire-18-19"/>
      <sheetName val="Convey -18-19"/>
      <sheetName val="Lead-18-19"/>
      <sheetName val="Lead1DyEEM"/>
      <sheetName val="Cent'g--18-19"/>
      <sheetName val="drains-data"/>
      <sheetName val="6.Pathways "/>
      <sheetName val="data-Borewells"/>
      <sheetName val="RC-Bore wells-1"/>
      <sheetName val="RC-Bore wells-2"/>
      <sheetName val="RC-Bore wells-3"/>
      <sheetName val="bricks"/>
      <sheetName val="BOQ"/>
      <sheetName val="G.O MS 35"/>
      <sheetName val="CC"/>
      <sheetName val="General"/>
      <sheetName val="Materials"/>
      <sheetName val="ROADS"/>
      <sheetName val="Data.F8.BTR"/>
      <sheetName val="Class IV Qtr. Ele"/>
      <sheetName val="Dormitory"/>
      <sheetName val="precast RC element"/>
      <sheetName val="bom"/>
      <sheetName val="data existing_do not delete"/>
      <sheetName val="t_prsr"/>
      <sheetName val="id"/>
      <sheetName val="Bridge Data 2005-06"/>
      <sheetName val="hdpe-rates"/>
      <sheetName val="hdpe weights"/>
      <sheetName val="ssr-rates"/>
      <sheetName val="pvc-rates"/>
      <sheetName val="PVC weights"/>
      <sheetName val="Usage"/>
      <sheetName val="Common "/>
      <sheetName val="MRoad data"/>
      <sheetName val="VARIABLE"/>
      <sheetName val="EDWise"/>
      <sheetName val="Specification report"/>
      <sheetName val="SSR 2014-15 Rates"/>
    </sheetNames>
    <sheetDataSet>
      <sheetData sheetId="0" refreshError="1"/>
      <sheetData sheetId="1" refreshError="1">
        <row r="6">
          <cell r="F6">
            <v>180</v>
          </cell>
        </row>
        <row r="7">
          <cell r="F7">
            <v>160</v>
          </cell>
        </row>
        <row r="12">
          <cell r="F12">
            <v>180</v>
          </cell>
        </row>
        <row r="13">
          <cell r="F13">
            <v>160</v>
          </cell>
        </row>
        <row r="25">
          <cell r="F25">
            <v>64</v>
          </cell>
        </row>
        <row r="45">
          <cell r="F45">
            <v>155</v>
          </cell>
        </row>
        <row r="55">
          <cell r="F55">
            <v>6192</v>
          </cell>
        </row>
        <row r="63">
          <cell r="F63">
            <v>2280.9</v>
          </cell>
        </row>
        <row r="86">
          <cell r="F86">
            <v>33</v>
          </cell>
        </row>
        <row r="90">
          <cell r="F90">
            <v>68358</v>
          </cell>
        </row>
        <row r="92">
          <cell r="F92">
            <v>71613</v>
          </cell>
        </row>
        <row r="112">
          <cell r="F112">
            <v>10</v>
          </cell>
        </row>
        <row r="115">
          <cell r="F115">
            <v>324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row r="55">
          <cell r="F55">
            <v>0</v>
          </cell>
        </row>
      </sheetData>
      <sheetData sheetId="99"/>
      <sheetData sheetId="100"/>
      <sheetData sheetId="101"/>
      <sheetData sheetId="102">
        <row r="55">
          <cell r="F55">
            <v>0</v>
          </cell>
        </row>
      </sheetData>
      <sheetData sheetId="103">
        <row r="55">
          <cell r="F55">
            <v>0</v>
          </cell>
        </row>
      </sheetData>
      <sheetData sheetId="104">
        <row r="55">
          <cell r="F55">
            <v>0</v>
          </cell>
        </row>
      </sheetData>
      <sheetData sheetId="105">
        <row r="55">
          <cell r="F55">
            <v>0</v>
          </cell>
        </row>
      </sheetData>
      <sheetData sheetId="106">
        <row r="55">
          <cell r="F55">
            <v>0</v>
          </cell>
        </row>
      </sheetData>
      <sheetData sheetId="107">
        <row r="55">
          <cell r="F55">
            <v>0</v>
          </cell>
        </row>
      </sheetData>
      <sheetData sheetId="108">
        <row r="55">
          <cell r="F55">
            <v>0</v>
          </cell>
        </row>
      </sheetData>
      <sheetData sheetId="109">
        <row r="55">
          <cell r="F55">
            <v>0</v>
          </cell>
        </row>
      </sheetData>
      <sheetData sheetId="110">
        <row r="55">
          <cell r="F55">
            <v>0</v>
          </cell>
        </row>
      </sheetData>
      <sheetData sheetId="111">
        <row r="55">
          <cell r="F55">
            <v>0</v>
          </cell>
        </row>
      </sheetData>
      <sheetData sheetId="112">
        <row r="55">
          <cell r="F55">
            <v>0</v>
          </cell>
        </row>
      </sheetData>
      <sheetData sheetId="113">
        <row r="55">
          <cell r="F55">
            <v>0</v>
          </cell>
        </row>
      </sheetData>
      <sheetData sheetId="114">
        <row r="55">
          <cell r="F55">
            <v>0</v>
          </cell>
        </row>
      </sheetData>
      <sheetData sheetId="115">
        <row r="55">
          <cell r="F55">
            <v>0</v>
          </cell>
        </row>
      </sheetData>
      <sheetData sheetId="116">
        <row r="55">
          <cell r="F55">
            <v>0</v>
          </cell>
        </row>
      </sheetData>
      <sheetData sheetId="117">
        <row r="55">
          <cell r="F55">
            <v>0</v>
          </cell>
        </row>
      </sheetData>
      <sheetData sheetId="118">
        <row r="55">
          <cell r="F55">
            <v>0</v>
          </cell>
        </row>
      </sheetData>
      <sheetData sheetId="119">
        <row r="55">
          <cell r="F55">
            <v>0</v>
          </cell>
        </row>
      </sheetData>
      <sheetData sheetId="120">
        <row r="55">
          <cell r="F55">
            <v>0</v>
          </cell>
        </row>
      </sheetData>
      <sheetData sheetId="121">
        <row r="55">
          <cell r="F55">
            <v>0</v>
          </cell>
        </row>
      </sheetData>
      <sheetData sheetId="122"/>
      <sheetData sheetId="123">
        <row r="55">
          <cell r="F55">
            <v>0</v>
          </cell>
        </row>
      </sheetData>
      <sheetData sheetId="124">
        <row r="55">
          <cell r="F55">
            <v>0</v>
          </cell>
        </row>
      </sheetData>
      <sheetData sheetId="125">
        <row r="55">
          <cell r="F55">
            <v>0</v>
          </cell>
        </row>
      </sheetData>
      <sheetData sheetId="126">
        <row r="55">
          <cell r="F55">
            <v>0</v>
          </cell>
        </row>
      </sheetData>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refreshError="1"/>
      <sheetData sheetId="167" refreshError="1"/>
      <sheetData sheetId="168" refreshError="1"/>
      <sheetData sheetId="169" refreshError="1"/>
      <sheetData sheetId="170" refreshError="1"/>
      <sheetData sheetId="171" refreshError="1"/>
      <sheetData sheetId="172"/>
      <sheetData sheetId="173" refreshError="1"/>
      <sheetData sheetId="174" refreshError="1"/>
      <sheetData sheetId="175" refreshError="1"/>
      <sheetData sheetId="176" refreshError="1"/>
      <sheetData sheetId="177" refreshError="1"/>
      <sheetData sheetId="178" refreshError="1"/>
      <sheetData sheetId="179"/>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2)"/>
      <sheetName val="C.page (3)"/>
      <sheetName val="Truss Data (2)"/>
      <sheetName val="Conversion  sheds"/>
      <sheetName val="Cover  sheds (2)"/>
      <sheetName val="Shops 25 Nos"/>
      <sheetName val="Shops 5 Nos"/>
      <sheetName val="Compound wall"/>
      <sheetName val="Water Harvest"/>
      <sheetName val="C.C"/>
      <sheetName val="Levelling"/>
      <sheetName val="Drain"/>
      <sheetName val="Pro Rolling"/>
      <sheetName val="Removal CGI"/>
      <sheetName val="Canteen"/>
      <sheetName val="Shops  (2)"/>
      <sheetName val="RRH"/>
      <sheetName val="Ele"/>
      <sheetName val="Shed No 1"/>
      <sheetName val="Shed No 2"/>
      <sheetName val="Shed No 3"/>
      <sheetName val="Shed"/>
      <sheetName val="Toilet"/>
      <sheetName val="Data"/>
      <sheetName val="Roads"/>
      <sheetName val="Lead statement"/>
      <sheetName val="Conveyance ch"/>
      <sheetName val="SSR 2014-15 Rates"/>
      <sheetName val="C wall"/>
      <sheetName val="Sales"/>
      <sheetName val="CW With Gate"/>
      <sheetName val="ABS-Compound wall"/>
      <sheetName val="Hire charges"/>
      <sheetName val="centering"/>
      <sheetName val="40KL-250KL Estimate &amp; data"/>
      <sheetName val="CI specials for OHSR"/>
      <sheetName val="C wall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83">
          <cell r="I83">
            <v>171.37848</v>
          </cell>
        </row>
      </sheetData>
      <sheetData sheetId="25" refreshError="1"/>
      <sheetData sheetId="26">
        <row r="6">
          <cell r="P6">
            <v>970.29</v>
          </cell>
        </row>
      </sheetData>
      <sheetData sheetId="27" refreshError="1"/>
      <sheetData sheetId="28">
        <row r="41">
          <cell r="E41">
            <v>385</v>
          </cell>
        </row>
      </sheetData>
      <sheetData sheetId="29" refreshError="1"/>
      <sheetData sheetId="30" refreshError="1"/>
      <sheetData sheetId="31"/>
      <sheetData sheetId="32"/>
      <sheetData sheetId="33" refreshError="1"/>
      <sheetData sheetId="34" refreshError="1"/>
      <sheetData sheetId="35" refreshError="1"/>
      <sheetData sheetId="36" refreshError="1"/>
      <sheetData sheetId="37"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
      <sheetName val="C.page  (2)"/>
      <sheetName val="C.page  (3)"/>
      <sheetName val="C.page  (4)"/>
      <sheetName val="C.page  (5)"/>
      <sheetName val="Truss Data (2)"/>
      <sheetName val="Truss Data"/>
      <sheetName val="Coverd shed"/>
      <sheetName val="Varandah"/>
      <sheetName val="Structures"/>
      <sheetName val="Water supp"/>
      <sheetName val="Structures (2)"/>
      <sheetName val="CC"/>
      <sheetName val="CC (N)"/>
      <sheetName val="Data"/>
      <sheetName val="Lead statement"/>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1"/>
      <sheetName val="DATA_ENTRY"/>
      <sheetName val="Letter"/>
      <sheetName val="Report"/>
      <sheetName val="Cover"/>
      <sheetName val="GenAbs"/>
      <sheetName val="Seignarages"/>
      <sheetName val="DetEst"/>
      <sheetName val="Lead"/>
      <sheetName val="WorkSlip"/>
      <sheetName val="BTLeads"/>
      <sheetName val="RMR"/>
      <sheetName val="MRoad data"/>
      <sheetName val="Certificates"/>
      <sheetName val="MRATES"/>
      <sheetName val="Sheet2"/>
      <sheetName val="Sheet3"/>
      <sheetName val="Sheet4"/>
      <sheetName val="Lead 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6">
          <cell r="G6">
            <v>103</v>
          </cell>
          <cell r="J6">
            <v>532</v>
          </cell>
          <cell r="M6">
            <v>308</v>
          </cell>
        </row>
        <row r="7">
          <cell r="G7">
            <v>606</v>
          </cell>
          <cell r="J7">
            <v>692</v>
          </cell>
          <cell r="M7">
            <v>504</v>
          </cell>
        </row>
        <row r="8">
          <cell r="G8">
            <v>462</v>
          </cell>
          <cell r="M8">
            <v>656</v>
          </cell>
        </row>
        <row r="9">
          <cell r="G9">
            <v>342</v>
          </cell>
          <cell r="M9">
            <v>780</v>
          </cell>
        </row>
        <row r="10">
          <cell r="J10">
            <v>994</v>
          </cell>
          <cell r="M10">
            <v>984</v>
          </cell>
          <cell r="X10">
            <v>105</v>
          </cell>
          <cell r="AD10">
            <v>52.5</v>
          </cell>
        </row>
        <row r="11">
          <cell r="G11">
            <v>252</v>
          </cell>
          <cell r="M11">
            <v>944</v>
          </cell>
          <cell r="X11">
            <v>15.9</v>
          </cell>
          <cell r="AD11">
            <v>15.9</v>
          </cell>
        </row>
        <row r="12">
          <cell r="G12">
            <v>30</v>
          </cell>
          <cell r="M12">
            <v>588</v>
          </cell>
        </row>
        <row r="13">
          <cell r="G13">
            <v>95</v>
          </cell>
          <cell r="M13">
            <v>456</v>
          </cell>
        </row>
        <row r="14">
          <cell r="G14">
            <v>144</v>
          </cell>
          <cell r="M14">
            <v>419</v>
          </cell>
        </row>
        <row r="15">
          <cell r="G15">
            <v>164</v>
          </cell>
        </row>
        <row r="16">
          <cell r="G16">
            <v>42</v>
          </cell>
          <cell r="J16">
            <v>70</v>
          </cell>
        </row>
        <row r="17">
          <cell r="G17">
            <v>48</v>
          </cell>
          <cell r="J17">
            <v>74</v>
          </cell>
          <cell r="M17">
            <v>340</v>
          </cell>
        </row>
        <row r="30">
          <cell r="H30">
            <v>0</v>
          </cell>
          <cell r="K30">
            <v>0</v>
          </cell>
        </row>
        <row r="32">
          <cell r="H32">
            <v>0</v>
          </cell>
          <cell r="K32">
            <v>0</v>
          </cell>
        </row>
        <row r="33">
          <cell r="K33">
            <v>0</v>
          </cell>
        </row>
        <row r="34">
          <cell r="H34">
            <v>0</v>
          </cell>
          <cell r="K34">
            <v>0</v>
          </cell>
        </row>
        <row r="37">
          <cell r="C37">
            <v>0</v>
          </cell>
        </row>
        <row r="48">
          <cell r="P48">
            <v>6200</v>
          </cell>
        </row>
        <row r="49">
          <cell r="P49">
            <v>43000</v>
          </cell>
        </row>
        <row r="50">
          <cell r="P50">
            <v>45000</v>
          </cell>
        </row>
        <row r="51">
          <cell r="P51">
            <v>44000</v>
          </cell>
        </row>
        <row r="52">
          <cell r="P52">
            <v>70</v>
          </cell>
        </row>
      </sheetData>
      <sheetData sheetId="17" refreshError="1"/>
      <sheetData sheetId="18" refreshError="1"/>
      <sheetData sheetId="19" refreshError="1"/>
      <sheetData sheetId="20"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osum"/>
      <sheetName val="172"/>
      <sheetName val="bom"/>
      <sheetName val="bo"/>
      <sheetName val="bom US"/>
      <sheetName val="pwrsum"/>
      <sheetName val="pwr "/>
      <sheetName val="24VBPS"/>
      <sheetName val="HPMPS"/>
      <sheetName val="LUs"/>
      <sheetName val="Nspt-smp-final-ORIGINAL"/>
      <sheetName val="Lead statement"/>
      <sheetName val="leads"/>
      <sheetName val="r"/>
      <sheetName val="MRATES"/>
      <sheetName val="SSR 2010-11 Rates"/>
      <sheetName val="rdamdata"/>
      <sheetName val="lead-st"/>
      <sheetName val="C-data"/>
      <sheetName val="Data"/>
      <sheetName val="wh_data"/>
      <sheetName val="wh_data_R"/>
      <sheetName val="CPHEEO"/>
      <sheetName val="input"/>
      <sheetName val="HDPE"/>
      <sheetName val="DI"/>
      <sheetName val="pvc"/>
      <sheetName val="Cover"/>
      <sheetName val="Material"/>
      <sheetName val="Works"/>
      <sheetName val="RMR"/>
      <sheetName val="General"/>
      <sheetName val="m"/>
      <sheetName val="FIRE ESTIMATE"/>
      <sheetName val="v"/>
      <sheetName val="Newabstract"/>
      <sheetName val="Usage"/>
      <sheetName val="Common "/>
      <sheetName val="SPT vs PHI"/>
      <sheetName val="pvc_basic"/>
      <sheetName val="mlead"/>
      <sheetName val="DATA_PRG"/>
      <sheetName val="Abs"/>
      <sheetName val="civ data"/>
      <sheetName val="Data.F8.BTR"/>
      <sheetName val="Road data"/>
      <sheetName val="sup dat"/>
      <sheetName val="MRMECADAMoad data"/>
      <sheetName val="abs road"/>
      <sheetName val="Sheet2"/>
      <sheetName val="CoverPage"/>
      <sheetName val="Sheet1"/>
      <sheetName val="0000000000000"/>
      <sheetName val="labour (2)"/>
      <sheetName val="LEAD"/>
      <sheetName val="R_Det"/>
      <sheetName val="Sent NHO"/>
      <sheetName val="hdpe_basic"/>
      <sheetName val="Global factors"/>
      <sheetName val="Wss Datas"/>
      <sheetName val="elec-data"/>
      <sheetName val="maya"/>
      <sheetName val="SSR 2014-15 Rates"/>
      <sheetName val="pvc-pipe-rates"/>
      <sheetName val="t_prsr"/>
      <sheetName val="wh"/>
      <sheetName val="data existing_do not delete"/>
      <sheetName val="60-70"/>
      <sheetName val="80-100"/>
      <sheetName val="Emulsion MS"/>
      <sheetName val=" HSD"/>
      <sheetName val="water-hammar-strenght"/>
      <sheetName val="Fee Rate Summary"/>
      <sheetName val="Labour"/>
      <sheetName val="FORM7"/>
      <sheetName val="Road Detail Est."/>
      <sheetName val="final abstract"/>
      <sheetName val="l"/>
      <sheetName val="PVC_dia"/>
      <sheetName val="detls"/>
      <sheetName val="Plant &amp;  Machinery"/>
    </sheetNames>
    <sheetDataSet>
      <sheetData sheetId="0">
        <row r="2">
          <cell r="R2">
            <v>0</v>
          </cell>
        </row>
      </sheetData>
      <sheetData sheetId="1"/>
      <sheetData sheetId="2">
        <row r="2">
          <cell r="R2">
            <v>0</v>
          </cell>
        </row>
      </sheetData>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bo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2)"/>
      <sheetName val="C.page (3)"/>
      <sheetName val="Truss Data (2)"/>
      <sheetName val="Conversion  sheds"/>
      <sheetName val="Cover  sheds (2)"/>
      <sheetName val="Shops 25 Nos"/>
      <sheetName val="Shops 5 Nos"/>
      <sheetName val="Compound wall"/>
      <sheetName val="Water Harvest"/>
      <sheetName val="C.C"/>
      <sheetName val="Levelling"/>
      <sheetName val="Drain"/>
      <sheetName val="Pro Rolling"/>
      <sheetName val="Removal CGI"/>
      <sheetName val="Canteen"/>
      <sheetName val="Shops  (2)"/>
      <sheetName val="RRH"/>
      <sheetName val="Ele"/>
      <sheetName val="Shed No 1"/>
      <sheetName val="Shed No 2"/>
      <sheetName val="Shed No 3"/>
      <sheetName val="Shed"/>
      <sheetName val="Toilet"/>
      <sheetName val="Data"/>
      <sheetName val="Roads"/>
      <sheetName val="Lead statement"/>
      <sheetName val="Conveyance ch"/>
      <sheetName val="SSR 2014-15 Rates"/>
      <sheetName val="C wall"/>
      <sheetName val="Sales"/>
      <sheetName val="CW With Gate"/>
      <sheetName val="ABS-Compound wall"/>
      <sheetName val="Hire charges"/>
      <sheetName val="centering"/>
      <sheetName val="40KL-250KL Estimate &amp; data"/>
      <sheetName val="CI specials for OHSR"/>
      <sheetName val="C wall (2)"/>
      <sheetName val="C-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row r="6">
          <cell r="P6">
            <v>970.29</v>
          </cell>
        </row>
        <row r="7">
          <cell r="P7">
            <v>977.1</v>
          </cell>
        </row>
        <row r="8">
          <cell r="P8">
            <v>706.29</v>
          </cell>
        </row>
        <row r="9">
          <cell r="P9">
            <v>504.56</v>
          </cell>
        </row>
        <row r="10">
          <cell r="P10">
            <v>976.25</v>
          </cell>
        </row>
        <row r="13">
          <cell r="P13">
            <v>1903.25</v>
          </cell>
        </row>
        <row r="14">
          <cell r="P14">
            <v>1383.25</v>
          </cell>
        </row>
        <row r="16">
          <cell r="P16">
            <v>999.09</v>
          </cell>
        </row>
        <row r="20">
          <cell r="P20">
            <v>5371.84</v>
          </cell>
        </row>
        <row r="22">
          <cell r="P22">
            <v>44000</v>
          </cell>
        </row>
      </sheetData>
      <sheetData sheetId="27" refreshError="1"/>
      <sheetData sheetId="28" refreshError="1">
        <row r="41">
          <cell r="E41">
            <v>385</v>
          </cell>
        </row>
        <row r="42">
          <cell r="E42">
            <v>345</v>
          </cell>
        </row>
        <row r="43">
          <cell r="E43">
            <v>295</v>
          </cell>
        </row>
        <row r="44">
          <cell r="E44">
            <v>440</v>
          </cell>
        </row>
        <row r="61">
          <cell r="E61">
            <v>103</v>
          </cell>
        </row>
        <row r="62">
          <cell r="E62">
            <v>328.6</v>
          </cell>
        </row>
        <row r="63">
          <cell r="E63">
            <v>165.7</v>
          </cell>
        </row>
      </sheetData>
      <sheetData sheetId="29" refreshError="1"/>
      <sheetData sheetId="30" refreshError="1"/>
      <sheetData sheetId="31"/>
      <sheetData sheetId="32"/>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UnitRates"/>
      <sheetName val="DetEst"/>
      <sheetName val="1V-1M"/>
      <sheetName val="2V-1M"/>
      <sheetName val="5V-1M"/>
      <sheetName val="CBR"/>
      <sheetName val="Det-ROAD"/>
      <sheetName val="G.Abs"/>
      <sheetName val="abs-cd"/>
      <sheetName val="WorkSlip"/>
      <sheetName val="BTLeads"/>
      <sheetName val="RMR"/>
      <sheetName val="MRoad data"/>
      <sheetName val="MRATES"/>
      <sheetName val="G_Abs"/>
      <sheetName val="MRoad_data"/>
      <sheetName val="DATA_PRG"/>
      <sheetName val="Lead statement"/>
      <sheetName val="r"/>
      <sheetName val="DATA"/>
      <sheetName val="C-data"/>
      <sheetName val="Bitumen trunk"/>
      <sheetName val="Feeder"/>
      <sheetName val="R99 etc"/>
      <sheetName val="Trunk unpaved"/>
      <sheetName val="HDPE"/>
      <sheetName val="DI"/>
      <sheetName val="pvc"/>
      <sheetName val="pvc_basic"/>
      <sheetName val="hdpe_basic"/>
      <sheetName val="bom"/>
      <sheetName val="Sheet1"/>
      <sheetName val="S Tank"/>
      <sheetName val="t_prsr"/>
      <sheetName val="wh"/>
      <sheetName val="final abstract"/>
      <sheetName val="Usage"/>
      <sheetName val="Common "/>
      <sheetName val="General"/>
      <sheetName val="Estimate "/>
      <sheetName val="SSR 2014-15 Rates"/>
      <sheetName val="DATA-2005-06"/>
      <sheetName val="Cover"/>
      <sheetName val="not req 3"/>
      <sheetName val="maya"/>
      <sheetName val="mlead"/>
      <sheetName val="Sheet2"/>
      <sheetName val="Labour"/>
      <sheetName val="Material"/>
      <sheetName val="Plant &amp;  Machinery"/>
      <sheetName val="G_Abs1"/>
      <sheetName val="MRoad_data1"/>
      <sheetName val="Lead_statement"/>
      <sheetName val="Bitumen_trunk"/>
      <sheetName val="R99_etc"/>
      <sheetName val="Trunk_unpaved"/>
      <sheetName val="leads"/>
      <sheetName val="wh_data"/>
      <sheetName val="wh_data_R"/>
      <sheetName val="CPHEEO"/>
      <sheetName val="input"/>
      <sheetName val="Lead"/>
      <sheetName val="Road data"/>
      <sheetName val="abs road"/>
      <sheetName val="R_Det"/>
      <sheetName val="Rates"/>
      <sheetName val="Works"/>
      <sheetName val="Bridge Data 2005-0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T15">
            <v>5400</v>
          </cell>
        </row>
        <row r="17">
          <cell r="T17">
            <v>47500</v>
          </cell>
        </row>
        <row r="26">
          <cell r="T26">
            <v>0</v>
          </cell>
        </row>
      </sheetData>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refreshError="1"/>
      <sheetData sheetId="53" refreshError="1"/>
      <sheetData sheetId="54"/>
      <sheetData sheetId="55" refreshError="1"/>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ivil Boq"/>
      <sheetName val="Calculations"/>
      <sheetName val="List"/>
      <sheetName val="Pre-cast"/>
      <sheetName val="SPT vs PHI"/>
      <sheetName val="Lead statement"/>
      <sheetName val="Data"/>
      <sheetName val="maya"/>
    </sheetNames>
    <sheetDataSet>
      <sheetData sheetId="0"/>
      <sheetData sheetId="1"/>
      <sheetData sheetId="2"/>
      <sheetData sheetId="3"/>
      <sheetData sheetId="4" refreshError="1"/>
      <sheetData sheetId="5" refreshError="1"/>
      <sheetData sheetId="6" refreshError="1"/>
      <sheetData sheetId="7"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ATA"/>
      <sheetName val="Lead statement"/>
      <sheetName val="SPT vs PHI"/>
      <sheetName val="MRATES"/>
      <sheetName val="hdpe-int-Dia"/>
      <sheetName val="Cover"/>
      <sheetName val="final abstract"/>
      <sheetName val="Sheet1"/>
      <sheetName val="R_Det"/>
      <sheetName val="Road data"/>
      <sheetName val="RMR"/>
      <sheetName val="Plant &amp;  Machinery"/>
      <sheetName val="Labour"/>
      <sheetName val="Material"/>
      <sheetName val="wh_data"/>
      <sheetName val="wh_data_R"/>
      <sheetName val="CPHEEO"/>
      <sheetName val="input"/>
      <sheetName val="Estimate "/>
      <sheetName val="MRoad data"/>
      <sheetName val="stone"/>
      <sheetName val="index"/>
      <sheetName val=" "/>
      <sheetName val="C-data"/>
      <sheetName val="Usage"/>
      <sheetName val="Common "/>
      <sheetName val="General"/>
      <sheetName val="com_st_PM1"/>
      <sheetName val="comst_GM1"/>
      <sheetName val="G_R_P1"/>
      <sheetName val="Lead_statement"/>
      <sheetName val="SPT_vs_PHI"/>
      <sheetName val="PRSH"/>
      <sheetName val="Lead"/>
      <sheetName val="m"/>
      <sheetName val="maya"/>
      <sheetName val="Works"/>
      <sheetName val="Bitumen trunk"/>
      <sheetName val="Feeder"/>
      <sheetName val="R99 etc"/>
      <sheetName val="Trunk unpaved"/>
    </sheetNames>
    <sheetDataSet>
      <sheetData sheetId="0"/>
      <sheetData sheetId="1"/>
      <sheetData sheetId="2"/>
      <sheetData sheetId="3"/>
      <sheetData sheetId="4"/>
      <sheetData sheetId="5" refreshError="1"/>
      <sheetData sheetId="6" refreshError="1"/>
      <sheetData sheetId="7" refreshError="1"/>
      <sheetData sheetId="8" refreshError="1">
        <row r="16">
          <cell r="C16">
            <v>73.2</v>
          </cell>
        </row>
        <row r="30">
          <cell r="L30">
            <v>887.49</v>
          </cell>
        </row>
      </sheetData>
      <sheetData sheetId="9" refreshError="1"/>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Conveyance"/>
      <sheetName val="Labour"/>
      <sheetName val="Common "/>
      <sheetName val="building"/>
      <sheetName val="RMR "/>
      <sheetName val="Data"/>
      <sheetName val="DE"/>
      <sheetName val="AE"/>
      <sheetName val="GA"/>
      <sheetName val="Usage"/>
      <sheetName val="C-data"/>
      <sheetName val="Common_"/>
      <sheetName val="RMR_"/>
      <sheetName val="Lead statement"/>
      <sheetName val="Sheet1"/>
      <sheetName val="HDPE"/>
      <sheetName val="pvc_basic"/>
      <sheetName val="bom"/>
      <sheetName val="MRATES"/>
      <sheetName val="RMR"/>
      <sheetName val="coverpage"/>
      <sheetName val="R_Det"/>
      <sheetName val="Road data"/>
      <sheetName val=" "/>
      <sheetName val="Estimate "/>
      <sheetName val="leads"/>
      <sheetName val="v"/>
      <sheetName val="r"/>
      <sheetName val="not req 3"/>
      <sheetName val="SPT vs PHI"/>
      <sheetName val="rdamdata"/>
      <sheetName val="lead-st"/>
      <sheetName val="pvc"/>
      <sheetName val="DI"/>
      <sheetName val="hdpe_basic"/>
      <sheetName val="DATA_PRG"/>
      <sheetName val="DATA-2005-06"/>
      <sheetName val="final abstract"/>
      <sheetName val="SSR 2014-15 Rates"/>
      <sheetName val="CD data"/>
      <sheetName val="col-reinft1"/>
      <sheetName val="wh_data"/>
      <sheetName val="wh_data_R"/>
      <sheetName val="CPHEEO"/>
      <sheetName val="input"/>
      <sheetName val="lead"/>
      <sheetName val="Cover"/>
      <sheetName val="doq"/>
      <sheetName val="Data_Bit_I"/>
      <sheetName val="mlead"/>
      <sheetName val="abs road"/>
      <sheetName val="Abs_CD_2"/>
      <sheetName val="road est"/>
      <sheetName val="ECV"/>
      <sheetName val="SOR"/>
      <sheetName val="maya"/>
      <sheetName val="basic"/>
      <sheetName val="Machinery"/>
      <sheetName val="Bituminous"/>
      <sheetName val="Labour rates"/>
      <sheetName val="Culverts"/>
      <sheetName val="Bitumen"/>
      <sheetName val="Earthwork"/>
      <sheetName val="2a Main Road"/>
      <sheetName val="LIST"/>
      <sheetName val="Data.F8.BTR"/>
      <sheetName val="Common_1"/>
      <sheetName val="RMR_1"/>
      <sheetName val="Lead_statement"/>
      <sheetName val="Road_data"/>
      <sheetName val="_"/>
      <sheetName val="Estimate_"/>
      <sheetName val="not_req_3"/>
      <sheetName val="SPT_vs_PHI"/>
      <sheetName val="final_abstract"/>
      <sheetName val="SSR_2014-15_Rates"/>
      <sheetName val="Nspt-smp-final-ORIGINAL"/>
      <sheetName val="t_prsr"/>
      <sheetName val="Quarry"/>
      <sheetName val="Material"/>
      <sheetName val="Plant &amp;  Machinery"/>
      <sheetName val="segments-details"/>
      <sheetName val="int-Dia-hdpe"/>
      <sheetName val="habs-list"/>
      <sheetName val="int-Dia-pvc"/>
      <sheetName val="hdpe-int-Dia"/>
      <sheetName val="E-Table"/>
      <sheetName val="pvc-int-Dia"/>
      <sheetName val="DAE R"/>
      <sheetName val="GA R"/>
      <sheetName val="DAE S"/>
      <sheetName val="GA S"/>
      <sheetName val="DAE WS"/>
      <sheetName val="GA WS"/>
      <sheetName val="DAE W"/>
      <sheetName val="GA W"/>
      <sheetName val="DEWBM3"/>
      <sheetName val="AEWBM3"/>
      <sheetName val="GAWBM3"/>
      <sheetName val="51"/>
      <sheetName val="C.D.Abs.Est."/>
      <sheetName val="Rates"/>
      <sheetName val="X-2"/>
      <sheetName val="m"/>
      <sheetName val="MRoad data"/>
      <sheetName val="Bridge Data 2005-06"/>
      <sheetName val="Bitumen trunk"/>
      <sheetName val="Feeder"/>
      <sheetName val="R99 etc"/>
      <sheetName val="Trunk unpaved"/>
      <sheetName val="Specification report"/>
      <sheetName val="Road data-TDR"/>
      <sheetName val="Levels"/>
    </sheetNames>
    <sheetDataSet>
      <sheetData sheetId="0" refreshError="1">
        <row r="3">
          <cell r="K3">
            <v>11020</v>
          </cell>
        </row>
        <row r="4">
          <cell r="K4">
            <v>13003</v>
          </cell>
        </row>
      </sheetData>
      <sheetData sheetId="1" refreshError="1"/>
      <sheetData sheetId="2" refreshError="1"/>
      <sheetData sheetId="3" refreshError="1">
        <row r="182">
          <cell r="D182">
            <v>27</v>
          </cell>
        </row>
        <row r="280">
          <cell r="D280">
            <v>13</v>
          </cell>
        </row>
        <row r="287">
          <cell r="D287">
            <v>120</v>
          </cell>
        </row>
        <row r="294">
          <cell r="D294">
            <v>41</v>
          </cell>
        </row>
        <row r="308">
          <cell r="D308">
            <v>158</v>
          </cell>
        </row>
      </sheetData>
      <sheetData sheetId="4" refreshError="1"/>
      <sheetData sheetId="5" refreshError="1"/>
      <sheetData sheetId="6" refreshError="1"/>
      <sheetData sheetId="7" refreshError="1"/>
      <sheetData sheetId="8" refreshError="1"/>
      <sheetData sheetId="9" refreshError="1"/>
      <sheetData sheetId="10" refreshError="1">
        <row r="5">
          <cell r="C5">
            <v>6169</v>
          </cell>
        </row>
        <row r="6">
          <cell r="C6">
            <v>6328</v>
          </cell>
        </row>
        <row r="8">
          <cell r="C8">
            <v>1268</v>
          </cell>
        </row>
        <row r="11">
          <cell r="C11">
            <v>659</v>
          </cell>
        </row>
        <row r="24">
          <cell r="C24">
            <v>120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
      <sheetName val="Estimate "/>
      <sheetName val="FINAL ABSTRACT"/>
      <sheetName val="GF"/>
      <sheetName val="FF"/>
      <sheetName val="ELE"/>
      <sheetName val="SANITARY"/>
      <sheetName val="GF-1"/>
      <sheetName val="FF-1"/>
      <sheetName val="LEAD"/>
      <sheetName val="C-data"/>
      <sheetName val="E- DATA"/>
      <sheetName val="D&amp;W DATA"/>
      <sheetName val="WS-DATA"/>
      <sheetName val="doors data"/>
      <sheetName val="WINDOWS DATA"/>
      <sheetName val="BOQ"/>
      <sheetName val="obd data"/>
      <sheetName val="Conv"/>
      <sheetName val="Basic Data"/>
      <sheetName val="WaterSupply"/>
      <sheetName val="Joinary"/>
      <sheetName val="HDPE"/>
      <sheetName val="pvc_basic"/>
      <sheetName val="Proforma -II "/>
      <sheetName val="Lead statement"/>
      <sheetName val="Common "/>
      <sheetName val="Usage"/>
      <sheetName val="MR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I (2)"/>
      <sheetName val="ANALY-BOQ"/>
      <sheetName val="ANALYS-LS"/>
      <sheetName val="BOQ"/>
      <sheetName val="PART-I"/>
      <sheetName val="I-11"/>
      <sheetName val="I-15"/>
      <sheetName val="sumps"/>
      <sheetName val="GATES(21,22)"/>
      <sheetName val="final abstract"/>
      <sheetName val="Bed Class"/>
      <sheetName val="Cd"/>
      <sheetName val="Fee Rate Summary"/>
      <sheetName val="Rates"/>
      <sheetName val="PH data"/>
      <sheetName val="labour"/>
      <sheetName val="Details (3)"/>
      <sheetName val="Rates-May-14"/>
      <sheetName val="Basement Budget"/>
      <sheetName val="RECAPITULATION"/>
      <sheetName val="Rate analysis"/>
      <sheetName val="Break up Sheet"/>
      <sheetName val="TBAL9697 -group wise  sdpl"/>
      <sheetName val="B &amp; C - M - ccp"/>
      <sheetName val="Old"/>
      <sheetName val="Materials Cost"/>
      <sheetName val="10. &amp; 11. Rate Code &amp; BQ"/>
      <sheetName val="Main-Material"/>
      <sheetName val="COLUMN"/>
      <sheetName val="RES STEEL TO"/>
      <sheetName val="SUmmary-RMZ"/>
      <sheetName val="RMZ Summary"/>
      <sheetName val="sept-plan"/>
      <sheetName val="Site Dev BOQ"/>
      <sheetName val="Costing"/>
      <sheetName val="Staff Forecast spread"/>
      <sheetName val="Fin Sum"/>
      <sheetName val="Field Values"/>
      <sheetName val="Load Details(B1)"/>
      <sheetName val="RA-markate"/>
      <sheetName val="Structure Bills Qty"/>
      <sheetName val="Fill this out first..."/>
      <sheetName val="Micro"/>
      <sheetName val="Macro"/>
      <sheetName val="Scaff-Rose"/>
      <sheetName val="Builtup Area"/>
      <sheetName val="analysis"/>
      <sheetName val="Headings"/>
      <sheetName val="MASTER_RATE ANALYSIS"/>
      <sheetName val="cubes_M20"/>
      <sheetName val="A"/>
      <sheetName val="Cop -VGN"/>
      <sheetName val="CASHFLOWS"/>
      <sheetName val="SUMMARY"/>
      <sheetName val="Sheet2"/>
      <sheetName val="dyes"/>
      <sheetName val="Sheet3"/>
      <sheetName val="UTILITY"/>
      <sheetName val="경비공통"/>
      <sheetName val="Input"/>
      <sheetName val="Activity"/>
      <sheetName val="Crew"/>
      <sheetName val="Piping"/>
      <sheetName val="Pipe Supports"/>
      <sheetName val="S1BOQ"/>
      <sheetName val="2gii"/>
      <sheetName val="Manpower"/>
      <sheetName val="HPL"/>
      <sheetName val="월선수금"/>
      <sheetName val="Materials "/>
      <sheetName val="strand"/>
      <sheetName val="BOQ_Direct_selling cost"/>
      <sheetName val="Stress Calculation"/>
      <sheetName val="VIWSCo1"/>
      <sheetName val="IO List"/>
      <sheetName val="MN T.B."/>
      <sheetName val="database"/>
      <sheetName val="Coalmine"/>
      <sheetName val="A1-Continuous"/>
      <sheetName val="starter"/>
      <sheetName val="Preside"/>
      <sheetName val="Summary_Local"/>
      <sheetName val="factor sheet"/>
      <sheetName val="RA"/>
      <sheetName val="Factor_Sheet"/>
      <sheetName val="Exp."/>
      <sheetName val="Factors"/>
      <sheetName val="INDIGINEOUS ITEMS "/>
      <sheetName val="BLK2"/>
      <sheetName val="BLK3"/>
      <sheetName val="E &amp; R"/>
      <sheetName val="radar"/>
      <sheetName val="UG"/>
      <sheetName val="Sheet1"/>
      <sheetName val="rdamdata"/>
      <sheetName val="Estimate "/>
      <sheetName val="HDPE"/>
      <sheetName val="Lead"/>
      <sheetName val="Usage"/>
      <sheetName val="Common "/>
      <sheetName val="General"/>
      <sheetName val="Config"/>
      <sheetName val="Break Dw"/>
      <sheetName val="MES-SEC"/>
      <sheetName val="Data"/>
      <sheetName val="Analy_7-10"/>
      <sheetName val="INDORAMA Group June 02"/>
      <sheetName val="SPT vs PHI"/>
      <sheetName val="Civil Boq"/>
      <sheetName val="beam-reinft-IIInd floor"/>
      <sheetName val="Design"/>
      <sheetName val="Desgn(zone I)"/>
      <sheetName val="PA- Consutant "/>
      <sheetName val="Debits as on 12.04.08"/>
      <sheetName val="THK"/>
      <sheetName val="FitOutConfCentre"/>
      <sheetName val="PART-I_(2)"/>
      <sheetName val="final_abstract"/>
      <sheetName val="INPUT-DATA1"/>
      <sheetName val="VCH-SLC"/>
      <sheetName val="Supplier"/>
      <sheetName val="Basement_Budget"/>
      <sheetName val="Rate_analysis"/>
      <sheetName val="Break_up_Sheet"/>
      <sheetName val="B_&amp;_C_-_M_-_ccp"/>
      <sheetName val="Fee_Rate_Summary"/>
      <sheetName val="Materials_Cost"/>
      <sheetName val="10__&amp;_11__Rate_Code_&amp;_BQ"/>
      <sheetName val="RES_STEEL_TO"/>
      <sheetName val="RMZ_Summary"/>
      <sheetName val="Fill_this_out_first___"/>
      <sheetName val="Cop_-VGN"/>
      <sheetName val="Field_Values"/>
      <sheetName val="Fin_Sum"/>
      <sheetName val="Materials_"/>
      <sheetName val="Structure_Bills_Qty"/>
      <sheetName val="Builtup_Area"/>
      <sheetName val="MASTER_RATE_ANALYSIS"/>
      <sheetName val="SPT_vs_PHI"/>
      <sheetName val="RES-PLANNING"/>
      <sheetName val="col-reinft1"/>
      <sheetName val="FORM7"/>
      <sheetName val="RCC,Ret. Wall"/>
      <sheetName val="Build-up"/>
      <sheetName val="RA 4 Challan Summary "/>
      <sheetName val="p&amp;m"/>
      <sheetName val="Labour productivity"/>
      <sheetName val="labour coeff"/>
      <sheetName val="BOQ (2)"/>
      <sheetName val="GBW"/>
      <sheetName val="WBS01"/>
      <sheetName val="WBS10"/>
      <sheetName val="WBS11"/>
      <sheetName val="WBS12"/>
      <sheetName val="WBS13"/>
      <sheetName val="WBS14"/>
      <sheetName val="WBS15"/>
      <sheetName val="WBS16"/>
      <sheetName val="WBS17"/>
      <sheetName val="WBS18"/>
      <sheetName val="WBS19"/>
      <sheetName val="WBS02"/>
      <sheetName val="WBS20"/>
      <sheetName val="WBS03"/>
      <sheetName val="WBS04"/>
      <sheetName val="WBS05"/>
      <sheetName val="WBS06"/>
      <sheetName val="WBS07"/>
      <sheetName val="WBS08"/>
      <sheetName val="WBS09"/>
      <sheetName val="ORDER BOOKING"/>
      <sheetName val="Sheet3 (2)"/>
      <sheetName val="대외공문"/>
      <sheetName val="COST"/>
      <sheetName val="Formulas"/>
      <sheetName val="For Bill-04 PS"/>
      <sheetName val="M B-QtyRecn"/>
      <sheetName val="Quotation"/>
      <sheetName val="Sqn _Main_ Abs"/>
      <sheetName val="Mat.Cost"/>
      <sheetName val="Staff Acco."/>
      <sheetName val="Section Catalogue"/>
      <sheetName val="#REF!"/>
      <sheetName val="lookup"/>
      <sheetName val="Approved MTD Proj #'s"/>
      <sheetName val="Delhi"/>
      <sheetName val="Site_Dev_BOQ"/>
      <sheetName val="Staff_Forecast_spread"/>
      <sheetName val="INDORAMA_Group_June_02"/>
      <sheetName val="Pipe_Supports"/>
      <sheetName val="RCC,Ret__Wall"/>
      <sheetName val="RA_4_Challan_Summary_"/>
      <sheetName val="Labour_productivity"/>
      <sheetName val="labour_coeff"/>
      <sheetName val="PART-I_(2)1"/>
      <sheetName val="final_abstract1"/>
      <sheetName val="Fee_Rate_Summary1"/>
      <sheetName val="Basement_Budget1"/>
      <sheetName val="Rate_analysis1"/>
      <sheetName val="Materials_Cost1"/>
      <sheetName val="Break_up_Sheet1"/>
      <sheetName val="RES_STEEL_TO1"/>
      <sheetName val="10__&amp;_11__Rate_Code_&amp;_BQ1"/>
      <sheetName val="B_&amp;_C_-_M_-_ccp1"/>
      <sheetName val="RMZ_Summary1"/>
      <sheetName val="Fin_Sum1"/>
      <sheetName val="Fill_this_out_first___1"/>
      <sheetName val="Site_Dev_BOQ1"/>
      <sheetName val="Staff_Forecast_spread1"/>
      <sheetName val="Field_Values1"/>
      <sheetName val="INDORAMA_Group_June_021"/>
      <sheetName val="Pipe_Supports1"/>
      <sheetName val="RCC,Ret__Wall1"/>
      <sheetName val="RA_4_Challan_Summary_1"/>
      <sheetName val="Labour_productivity1"/>
      <sheetName val="labour_coeff1"/>
      <sheetName val="BOQ_Direct_selling_cost"/>
      <sheetName val="Stress_Calculation"/>
      <sheetName val="IO_List"/>
      <sheetName val="MN_T_B_"/>
      <sheetName val="Exp_"/>
      <sheetName val="INDIGINEOUS_ITEMS_"/>
      <sheetName val="E_&amp;_R"/>
      <sheetName val="Civil_Boq"/>
      <sheetName val="CABLE DATA"/>
      <sheetName val="gen"/>
      <sheetName val="目录"/>
      <sheetName val="Lowside"/>
      <sheetName val="Measurements"/>
      <sheetName val="Tables"/>
      <sheetName val="Flooring"/>
      <sheetName val="Ceilings"/>
      <sheetName val="ACAD Finishes"/>
      <sheetName val="Site Details"/>
      <sheetName val="Chair"/>
      <sheetName val="Site Area Statement"/>
      <sheetName val="Doors"/>
      <sheetName val="Estimate"/>
      <sheetName val="Material "/>
      <sheetName val="std.wt."/>
      <sheetName val="BOQ-Tower"/>
      <sheetName val="BOQ civil"/>
      <sheetName val="PACK (B)"/>
      <sheetName val="TBAL9697_-group_wise__sdpl"/>
      <sheetName val="Break_Dw"/>
      <sheetName val="Load_Details(B1)"/>
      <sheetName val="PA-_Consutant_"/>
      <sheetName val="Debits_as_on_12_04_08"/>
      <sheetName val="Desgn(zone_I)"/>
      <sheetName val="Bed_Class"/>
      <sheetName val="PART-I_(2)2"/>
      <sheetName val="final_abstract2"/>
      <sheetName val="Structure_Bills_Qty1"/>
      <sheetName val="Builtup_Area1"/>
      <sheetName val="MASTER_RATE_ANALYSIS1"/>
      <sheetName val="Cop_-VGN1"/>
      <sheetName val="Materials_1"/>
      <sheetName val="MN_T_B_1"/>
      <sheetName val="BOQ_Direct_selling_cost1"/>
      <sheetName val="Stress_Calculation1"/>
      <sheetName val="IO_List1"/>
      <sheetName val="E_&amp;_R1"/>
      <sheetName val="Exp_1"/>
      <sheetName val="INDIGINEOUS_ITEMS_1"/>
      <sheetName val="TBAL9697_-group_wise__sdpl1"/>
      <sheetName val="Break_Dw1"/>
      <sheetName val="Load_Details(B1)1"/>
      <sheetName val="SPT_vs_PHI1"/>
      <sheetName val="Civil_Boq1"/>
      <sheetName val="PA-_Consutant_1"/>
      <sheetName val="Debits_as_on_12_04_081"/>
      <sheetName val="Desgn(zone_I)1"/>
      <sheetName val="Bed_Class1"/>
      <sheetName val="PART-I_(2)3"/>
      <sheetName val="final_abstract3"/>
      <sheetName val="Fee_Rate_Summary2"/>
      <sheetName val="Basement_Budget2"/>
      <sheetName val="Rate_analysis2"/>
      <sheetName val="Materials_Cost2"/>
      <sheetName val="10__&amp;_11__Rate_Code_&amp;_BQ2"/>
      <sheetName val="Break_up_Sheet2"/>
      <sheetName val="B_&amp;_C_-_M_-_ccp2"/>
      <sheetName val="RES_STEEL_TO2"/>
      <sheetName val="RMZ_Summary2"/>
      <sheetName val="Pipe_Supports2"/>
      <sheetName val="Field_Values2"/>
      <sheetName val="Fin_Sum2"/>
      <sheetName val="Fill_this_out_first___2"/>
      <sheetName val="Site_Dev_BOQ2"/>
      <sheetName val="Staff_Forecast_spread2"/>
      <sheetName val="Structure_Bills_Qty2"/>
      <sheetName val="Builtup_Area2"/>
      <sheetName val="MASTER_RATE_ANALYSIS2"/>
      <sheetName val="Cop_-VGN2"/>
      <sheetName val="Materials_2"/>
      <sheetName val="MN_T_B_2"/>
      <sheetName val="BOQ_Direct_selling_cost2"/>
      <sheetName val="Stress_Calculation2"/>
      <sheetName val="IO_List2"/>
      <sheetName val="E_&amp;_R2"/>
      <sheetName val="factor_sheet1"/>
      <sheetName val="Exp_2"/>
      <sheetName val="INDIGINEOUS_ITEMS_2"/>
      <sheetName val="TBAL9697_-group_wise__sdpl2"/>
      <sheetName val="Break_Dw2"/>
      <sheetName val="Load_Details(B1)2"/>
      <sheetName val="SPT_vs_PHI2"/>
      <sheetName val="Civil_Boq2"/>
      <sheetName val="PA-_Consutant_2"/>
      <sheetName val="Debits_as_on_12_04_082"/>
      <sheetName val="INDORAMA_Group_June_022"/>
      <sheetName val="Desgn(zone_I)2"/>
      <sheetName val="Bed_Class2"/>
      <sheetName val="Interior"/>
      <sheetName val="parametry"/>
      <sheetName val="Voucher"/>
      <sheetName val="jobhist"/>
      <sheetName val="Aseet1998"/>
      <sheetName val="PART-I_(2)4"/>
      <sheetName val="final_abstract4"/>
      <sheetName val="Fee_Rate_Summary3"/>
      <sheetName val="Basement_Budget3"/>
      <sheetName val="Rate_analysis3"/>
      <sheetName val="Materials_Cost3"/>
      <sheetName val="10__&amp;_11__Rate_Code_&amp;_BQ3"/>
      <sheetName val="Break_up_Sheet3"/>
      <sheetName val="B_&amp;_C_-_M_-_ccp3"/>
      <sheetName val="RES_STEEL_TO3"/>
      <sheetName val="RMZ_Summary3"/>
      <sheetName val="Pipe_Supports3"/>
      <sheetName val="Field_Values3"/>
      <sheetName val="Fin_Sum3"/>
      <sheetName val="Fill_this_out_first___3"/>
      <sheetName val="Site_Dev_BOQ3"/>
      <sheetName val="Staff_Forecast_spread3"/>
      <sheetName val="Structure_Bills_Qty3"/>
      <sheetName val="Builtup_Area3"/>
      <sheetName val="MASTER_RATE_ANALYSIS3"/>
      <sheetName val="Cop_-VGN3"/>
      <sheetName val="Materials_3"/>
      <sheetName val="MN_T_B_3"/>
      <sheetName val="BOQ_Direct_selling_cost3"/>
      <sheetName val="Stress_Calculation3"/>
      <sheetName val="IO_List3"/>
      <sheetName val="E_&amp;_R3"/>
      <sheetName val="Exp_3"/>
      <sheetName val="INDIGINEOUS_ITEMS_3"/>
      <sheetName val="TBAL9697_-group_wise__sdpl3"/>
      <sheetName val="Break_Dw3"/>
      <sheetName val="Load_Details(B1)3"/>
      <sheetName val="SPT_vs_PHI3"/>
      <sheetName val="Civil_Boq3"/>
      <sheetName val="PA-_Consutant_3"/>
      <sheetName val="Debits_as_on_12_04_083"/>
      <sheetName val="INDORAMA_Group_June_023"/>
      <sheetName val="Desgn(zone_I)3"/>
      <sheetName val="Bed_Class3"/>
      <sheetName val="M_B-QtyRecn"/>
      <sheetName val="PART-I_(2)5"/>
      <sheetName val="final_abstract5"/>
      <sheetName val="Fee_Rate_Summary4"/>
      <sheetName val="Basement_Budget4"/>
      <sheetName val="Rate_analysis4"/>
      <sheetName val="Materials_Cost4"/>
      <sheetName val="10__&amp;_11__Rate_Code_&amp;_BQ4"/>
      <sheetName val="Break_up_Sheet4"/>
      <sheetName val="B_&amp;_C_-_M_-_ccp4"/>
      <sheetName val="RES_STEEL_TO4"/>
      <sheetName val="RMZ_Summary4"/>
      <sheetName val="Pipe_Supports4"/>
      <sheetName val="Field_Values4"/>
      <sheetName val="Fin_Sum4"/>
      <sheetName val="Fill_this_out_first___4"/>
      <sheetName val="Site_Dev_BOQ4"/>
      <sheetName val="Staff_Forecast_spread4"/>
      <sheetName val="Structure_Bills_Qty4"/>
      <sheetName val="Builtup_Area4"/>
      <sheetName val="MASTER_RATE_ANALYSIS4"/>
      <sheetName val="Cop_-VGN4"/>
      <sheetName val="Materials_4"/>
      <sheetName val="MN_T_B_4"/>
      <sheetName val="BOQ_Direct_selling_cost4"/>
      <sheetName val="Stress_Calculation4"/>
      <sheetName val="IO_List4"/>
      <sheetName val="E_&amp;_R4"/>
      <sheetName val="factor_sheet2"/>
      <sheetName val="Exp_4"/>
      <sheetName val="INDIGINEOUS_ITEMS_4"/>
      <sheetName val="TBAL9697_-group_wise__sdpl4"/>
      <sheetName val="Break_Dw4"/>
      <sheetName val="Load_Details(B1)4"/>
      <sheetName val="SPT_vs_PHI4"/>
      <sheetName val="Civil_Boq4"/>
      <sheetName val="PA-_Consutant_4"/>
      <sheetName val="Debits_as_on_12_04_084"/>
      <sheetName val="INDORAMA_Group_June_024"/>
      <sheetName val="Desgn(zone_I)4"/>
      <sheetName val="Bed_Class4"/>
      <sheetName val="M_B-QtyRecn1"/>
      <sheetName val="VARIABLE"/>
      <sheetName val="det_est"/>
      <sheetName val="pvc"/>
      <sheetName val="M-Book for Conc"/>
      <sheetName val="M-Book for FW"/>
      <sheetName val="GR.slab-reinft"/>
      <sheetName val="SCHEDULE"/>
      <sheetName val="선수금"/>
      <sheetName val="Code"/>
      <sheetName val="Set"/>
      <sheetName val="Summary_Bank"/>
      <sheetName val="Staircase "/>
      <sheetName val="#REF"/>
      <sheetName val="concrete"/>
      <sheetName val="NLD - Assum"/>
      <sheetName val="Capex-fixed"/>
      <sheetName val="schedule nos"/>
      <sheetName val="CPIPE"/>
      <sheetName val="Lead statement"/>
      <sheetName val="PRECAST lightconc-II"/>
      <sheetName val="Data.F8.BTR"/>
      <sheetName val="bill 2"/>
      <sheetName val="office"/>
      <sheetName val="Lab"/>
      <sheetName val="Material&amp;equipment"/>
      <sheetName val="purpose&amp;input"/>
      <sheetName val="INPUT SHEET"/>
      <sheetName val="Register"/>
      <sheetName val="Cable-data"/>
      <sheetName val="Labour &amp; Plant"/>
      <sheetName val="Flight-1"/>
      <sheetName val="ssr-rates"/>
      <sheetName val="leads"/>
      <sheetName val="DATA-2005-06"/>
      <sheetName val="BOM"/>
      <sheetName val="Price Schedule"/>
      <sheetName val="Mat_Cost"/>
      <sheetName val="Cost_Any."/>
      <sheetName val="Ratio"/>
      <sheetName val="S &amp; A"/>
      <sheetName val="Mat_Cost1"/>
      <sheetName val="Price_Schedule"/>
      <sheetName val="S_&amp;_A"/>
      <sheetName val="Cost_Any_"/>
      <sheetName val="PointNo.5"/>
      <sheetName val="Mat_Cost2"/>
      <sheetName val="Price_Schedule1"/>
      <sheetName val="S_&amp;_A1"/>
      <sheetName val="Cost_Any_1"/>
      <sheetName val="Cost_any"/>
      <sheetName val="d-safe specs"/>
      <sheetName val="d-safe DELUXE"/>
      <sheetName val="Diawise steel abstract"/>
      <sheetName val="SUMMARY-client"/>
      <sheetName val="Rising Main"/>
      <sheetName val="LTG-STG"/>
      <sheetName val="CCTV_EST1"/>
      <sheetName val="SOR"/>
      <sheetName val="train cash"/>
      <sheetName val="accom cash"/>
      <sheetName val="Column Steel-R2"/>
      <sheetName val="beam-reinft-machine rm"/>
      <sheetName val="QS Name"/>
      <sheetName val="CANDY BOQ"/>
      <sheetName val="BOQ_(2)"/>
      <sheetName val="ACAD_Finishes"/>
      <sheetName val="Site_Details"/>
      <sheetName val="Site_Area_Statement"/>
      <sheetName val="lead-st"/>
      <sheetName val="newsales"/>
      <sheetName val="Meas.-Hotel Part"/>
      <sheetName val="Pay_Sep06"/>
      <sheetName val="협조전"/>
      <sheetName val="AK-Offertstammblatt"/>
      <sheetName val="WORK TABLE"/>
      <sheetName val="220 11  BS "/>
      <sheetName val="Intro."/>
      <sheetName val="B3-B4-B5-B6"/>
      <sheetName val="Detail"/>
      <sheetName val="B1"/>
      <sheetName val="B"/>
      <sheetName val="BOQ Distribution"/>
      <sheetName val="Balustrade"/>
      <sheetName val="CFForecast detail"/>
      <sheetName val="Model (Not Merged)"/>
      <sheetName val="IS"/>
      <sheetName val="SGS ACQ"/>
      <sheetName val="Form 6"/>
      <sheetName val="EDWise"/>
      <sheetName val="01"/>
      <sheetName val="Version"/>
      <sheetName val="환율"/>
      <sheetName val="discounts_XP140"/>
      <sheetName val="Vind - BtB"/>
      <sheetName val="Tender Summary"/>
      <sheetName val="intr stool brkup"/>
      <sheetName val="Cash Flows &amp; IRR"/>
      <sheetName val="MFG"/>
      <sheetName val="QCEQPT-owned"/>
      <sheetName val="Internet"/>
      <sheetName val="Introduction"/>
      <sheetName val="Operating Statistics"/>
      <sheetName val="Financials"/>
      <sheetName val="1"/>
      <sheetName val="PriceSummary"/>
      <sheetName val="A.O.R."/>
      <sheetName val="sheeet7"/>
      <sheetName val="P4-BOQ"/>
      <sheetName val="Material Rate"/>
      <sheetName val="Conc_Analysis"/>
      <sheetName val="upa"/>
      <sheetName val="RAJU ASSO"/>
      <sheetName val="소상 &quot;1&quot;"/>
      <sheetName val="Discount &amp; Margin"/>
      <sheetName val="Amendments"/>
      <sheetName val="Bld.SSR"/>
      <sheetName val="SSR -Sani "/>
      <sheetName val="Elec.SSR"/>
      <sheetName val="Irri-SSR"/>
      <sheetName val="PH- SSR"/>
      <sheetName val="R &amp; B.SSR"/>
      <sheetName val="RCC Pipes"/>
      <sheetName val="PH-HDPE"/>
      <sheetName val="PH-PVC"/>
      <sheetName val="DI-Pipes &amp; Spe"/>
      <sheetName val="CI.Spe"/>
      <sheetName val="DI-Valves"/>
      <sheetName val="CI-Valves"/>
      <sheetName val="Bolts&amp; rings"/>
      <sheetName val="MH-Covers"/>
      <sheetName val="Notes"/>
      <sheetName val="Dist.Lines-150-old"/>
      <sheetName val="NW-GA"/>
      <sheetName val="GA-GVMC -NW(Com) "/>
      <sheetName val="GA-GVMC -NW "/>
      <sheetName val="Dist.Lines-100"/>
      <sheetName val="Dist-Lines -500"/>
      <sheetName val="Dist-Lines"/>
      <sheetName val="Dist.Lines-150"/>
      <sheetName val="GA-GVMC -NW  (2)"/>
      <sheetName val="GA-GVMC -NW. "/>
      <sheetName val="Dist-Lines B-1 "/>
      <sheetName val="Dist-Lines-Final checked"/>
      <sheetName val="Pumping mains-"/>
      <sheetName val="Feeder main-old"/>
      <sheetName val="Dist-Lines -B-2"/>
      <sheetName val="Dist-Lines -B-3"/>
      <sheetName val="Dist-Lines B-4"/>
      <sheetName val="Dist-Lines B-5"/>
      <sheetName val="Dist-Lines -B-6"/>
      <sheetName val="Dist-Lines -B-7"/>
      <sheetName val="Dist-Lines -B-8"/>
      <sheetName val="Dist-Lines -B-9"/>
      <sheetName val="Dist-Lines -B-10"/>
      <sheetName val="Dist-Lines -B-11"/>
      <sheetName val="Dist-Lines -B-12"/>
      <sheetName val="Dist-Lines -B-13"/>
      <sheetName val="r"/>
      <sheetName val="Dist-Lines -B-14"/>
      <sheetName val="Dist-Lines -B-15"/>
      <sheetName val="Dist-Lines -B-16"/>
      <sheetName val="Feeder mains- 1"/>
      <sheetName val="Feeder mains- 2"/>
      <sheetName val="Feeder mains- (1)"/>
      <sheetName val="Feeder mains-up to 800"/>
      <sheetName val="Pumping Main-800mm"/>
      <sheetName val="ELSR-600 KL-Z-2"/>
      <sheetName val="750 KL GLSR-Z-3"/>
      <sheetName val="ELSR-750 KL-Z-3"/>
      <sheetName val="ELSR-500 KL-Z-4"/>
      <sheetName val="500 KL GLSR-Z-4"/>
      <sheetName val="ELSR-200KL-Z-7"/>
      <sheetName val="ELSR-1850 KL-Z-8"/>
      <sheetName val="1850 KL GLSR-Z-8"/>
      <sheetName val="ELSR-200KL-Z-9"/>
      <sheetName val="800 KL GLSR-Z-11"/>
      <sheetName val="900 KL GLSR-Z-12"/>
      <sheetName val="ELSR-2500 KL-Z-13"/>
      <sheetName val="ELSR-2400 KL-Z-14"/>
      <sheetName val="ELSR-1200 KL-Z-15"/>
      <sheetName val="ELSR-2000 KL-Z-16"/>
      <sheetName val="Pumping Main-500mm-(2)"/>
      <sheetName val="Pumping Main-450mm-(3)"/>
      <sheetName val="Pumping Main-(4)"/>
      <sheetName val="350 KL GLSR"/>
      <sheetName val="1000 KL Sump-"/>
      <sheetName val="1000 KL MBR"/>
      <sheetName val="MBR-1000 KL"/>
      <sheetName val="Pump room-12x8"/>
      <sheetName val="HSC"/>
      <sheetName val="B.F.Meters"/>
      <sheetName val="pvc_basic"/>
      <sheetName val="Estimate 10.00 Lakhs "/>
      <sheetName val="mlead"/>
      <sheetName val="abs road"/>
      <sheetName val="coverpage"/>
      <sheetName val="RMR"/>
      <sheetName val="Road data"/>
      <sheetName val="R_Det"/>
      <sheetName val="Detail In Door Stad"/>
      <sheetName val="Pump sets"/>
      <sheetName val="Pump sets (2)"/>
      <sheetName val="Gen sets"/>
      <sheetName val="PR Valves"/>
      <sheetName val="W.man.Qrt-"/>
      <sheetName val="O &amp;M"/>
      <sheetName val="Generator Room-1"/>
      <sheetName val="200 KL GLSR-6 (2)"/>
      <sheetName val="500 KL Sump-(1)"/>
      <sheetName val="250 KL Sump-(3)"/>
      <sheetName val="Office - MBR"/>
      <sheetName val="HSC (2)"/>
      <sheetName val="O&amp;M"/>
      <sheetName val="Gen sets (2)"/>
      <sheetName val="Transfarmer"/>
      <sheetName val="C-Mat-Gen"/>
      <sheetName val="Convey"/>
      <sheetName val="Sheet1 (2)"/>
      <sheetName val="Hire"/>
      <sheetName val="Mortars,"/>
      <sheetName val="Cent'g-1"/>
      <sheetName val="Cent'g-2"/>
      <sheetName val="Loading"/>
      <sheetName val="Dismantling"/>
      <sheetName val="DI pipes"/>
      <sheetName val="DI-Spe-1"/>
      <sheetName val="Wt.of DI Spe."/>
      <sheetName val="HDPE pipes"/>
      <sheetName val="HDPE-Spe"/>
      <sheetName val="RCC-PE"/>
      <sheetName val="RCC SS"/>
      <sheetName val="CI Spe."/>
      <sheetName val="PVC-WS"/>
      <sheetName val="ELSR-2"/>
      <sheetName val="data-ELSR "/>
      <sheetName val="Lowering"/>
      <sheetName val="data-Water Supply"/>
      <sheetName val="Sump &amp; ST"/>
      <sheetName val="Chamber-1"/>
      <sheetName val="Bld.Stnd,Data"/>
      <sheetName val="Bld up to 3F"/>
      <sheetName val="CC road"/>
      <sheetName val="EWE-Roads"/>
      <sheetName val="Dist Lines"/>
      <sheetName val="Feeder mains-2"/>
      <sheetName val="Gravity Main-900mm"/>
      <sheetName val="550 KL Sump-1"/>
      <sheetName val="550 KL Sump-2"/>
      <sheetName val="ELSR-1200 KL"/>
      <sheetName val="650 KL GLSR (2)"/>
      <sheetName val="850 KL GLSR "/>
      <sheetName val="500 KL sump"/>
      <sheetName val="200 KL- ELSR Yelluru"/>
      <sheetName val="Dist-Zone-below 50000"/>
      <sheetName val="Data -O&amp;M"/>
      <sheetName val="Lengths-Tandur"/>
      <sheetName val="Bld-Total"/>
      <sheetName val="Pumping main-350mm"/>
      <sheetName val="Details"/>
      <sheetName val="Dist-est"/>
      <sheetName val="info-1"/>
      <sheetName val="Inf.Well"/>
      <sheetName val="Approah road to MBR"/>
      <sheetName val="Approach Roads-Source"/>
      <sheetName val="Dist-Zone-1"/>
      <sheetName val="400mm-P.Main"/>
      <sheetName val="Rates-ELSR,Filters"/>
      <sheetName val="13 Mld-WTP"/>
      <sheetName val="data-Intake well"/>
      <sheetName val="data-ELSR-"/>
      <sheetName val="Valves"/>
      <sheetName val="Model GLSR-"/>
      <sheetName val="Feeder main-1 (2)"/>
      <sheetName val="Dist &amp; Feeder mains  (2)"/>
      <sheetName val="BFlow meters"/>
      <sheetName val="DI-100-900"/>
      <sheetName val="O Nd M"/>
      <sheetName val="Pump room-6.59x6.00m"/>
      <sheetName val="data-MS-pipe"/>
      <sheetName val="GA-GVMC -Raiwada-BWSC"/>
      <sheetName val="BWSC-Pumping Main-1200mm"/>
      <sheetName val="GA-GVMC -Raiwada"/>
      <sheetName val="MS-Pumping Main-1300mm"/>
      <sheetName val="Thurst-F.mains"/>
      <sheetName val="Thrust-P.mains"/>
      <sheetName val="CI weights"/>
      <sheetName val="PH-BWSC"/>
      <sheetName val="BWSC-Rate"/>
      <sheetName val="BWSC-Cal"/>
      <sheetName val="Proforma -II "/>
      <sheetName val="Pump se_x0000_Ñ"/>
      <sheetName val="DATA_PRG"/>
      <sheetName val="Ellis &amp; WS&amp;S"/>
      <sheetName val="Drip mould &amp; Elevation"/>
      <sheetName val="Trussess"/>
      <sheetName val="MRATES"/>
      <sheetName val="Pump se"/>
      <sheetName val="Works - Quote Sheet"/>
      <sheetName val="BS"/>
      <sheetName val="Capex"/>
      <sheetName val="CIV INV&amp;EXP"/>
      <sheetName val="not req 3"/>
      <sheetName val="220Kv (2)"/>
      <sheetName val="COMPLEXALL"/>
      <sheetName val="Material"/>
      <sheetName val="Lead statement ss5"/>
      <sheetName val="Mater_x0000_fÙ_x0002_G"/>
      <sheetName val=""/>
      <sheetName val="Control"/>
      <sheetName val="PROG_DATA"/>
      <sheetName val="DETAILED  BOQ"/>
      <sheetName val="Name List"/>
      <sheetName val="PRELIM5"/>
      <sheetName val="Abs PMRL"/>
      <sheetName val="Cleaning &amp; Grubbing"/>
      <sheetName val="Price Comparison"/>
      <sheetName val="BLOCK-A (MEA.SHEET)"/>
      <sheetName val="Insts"/>
      <sheetName val="Retaing wall"/>
      <sheetName val="TS-TC"/>
      <sheetName val="대비표"/>
      <sheetName val="except wiring"/>
      <sheetName val="Cs"/>
      <sheetName val="CPIPE 1"/>
      <sheetName val="Assumptions"/>
      <sheetName val="3. Elemental Summary"/>
      <sheetName val="PO Summary"/>
      <sheetName val="BOQ Summary"/>
      <sheetName val="Sec 1 Loose Furniture 18% GST"/>
      <sheetName val="Sec 1 Loose Furniture 12% GST"/>
      <sheetName val="Sec 1 Loose Furniture 5% GST"/>
      <sheetName val="Sec 2 Cafeteria Tables"/>
      <sheetName val="Sec 3 Cafeteria Chairs"/>
      <sheetName val="Sec 4 Work Floors - NT "/>
      <sheetName val="Sec 5 LGF Chairs-NT"/>
      <sheetName val="Sec 6 Additional 18% GST "/>
      <sheetName val="Sec 6 Additional 12% GST "/>
      <sheetName val="Sec 11-NT set 3"/>
      <sheetName val="DC Summary"/>
      <sheetName val="M Sheet"/>
      <sheetName val="RA4 Checklist"/>
      <sheetName val="Branch Power"/>
      <sheetName val="Distrib"/>
      <sheetName val="Emergency"/>
      <sheetName val="Equipment"/>
      <sheetName val="Lighting"/>
      <sheetName val="P.Well( RCC)"/>
      <sheetName val="Template4444"/>
      <sheetName val="CONNECT"/>
      <sheetName val="DetEst"/>
      <sheetName val="basdat"/>
      <sheetName val="P-Ins &amp; Bonds"/>
      <sheetName val="PCC"/>
      <sheetName val="NEW-IDs Fun &amp; Group"/>
      <sheetName val="Values"/>
      <sheetName val="PRICE-COMP"/>
      <sheetName val="sheet6"/>
      <sheetName val="India F&amp;S Template"/>
      <sheetName val="R20_R30_work"/>
      <sheetName val="PRSH"/>
      <sheetName val="Results"/>
      <sheetName val="PLGroupings"/>
      <sheetName val="List"/>
      <sheetName val="BASIS -DEC 08"/>
      <sheetName val=" "/>
      <sheetName val="Occ, Other Rev, Exp, Dispo"/>
      <sheetName val="PART-I_(2)6"/>
      <sheetName val="final_abstract6"/>
      <sheetName val="Basement_Budget5"/>
      <sheetName val="Fee_Rate_Summary5"/>
      <sheetName val="Rate_analysis5"/>
      <sheetName val="Materials_Cost5"/>
      <sheetName val="10__&amp;_11__Rate_Code_&amp;_BQ5"/>
      <sheetName val="RES_STEEL_TO5"/>
      <sheetName val="Break_up_Sheet5"/>
      <sheetName val="B_&amp;_C_-_M_-_ccp5"/>
      <sheetName val="RMZ_Summary5"/>
      <sheetName val="Fill_this_out_first___5"/>
      <sheetName val="TBAL9697_-group_wise__sdpl5"/>
      <sheetName val="Fin_Sum5"/>
      <sheetName val="Site_Dev_BOQ5"/>
      <sheetName val="Staff_Forecast_spread5"/>
      <sheetName val="Field_Values5"/>
      <sheetName val="Structure_Bills_Qty5"/>
      <sheetName val="Builtup_Area5"/>
      <sheetName val="MASTER_RATE_ANALYSIS5"/>
      <sheetName val="Cop_-VGN5"/>
      <sheetName val="IO_List5"/>
      <sheetName val="BOQ_Direct_selling_cost5"/>
      <sheetName val="Stress_Calculation5"/>
      <sheetName val="Pipe_Supports5"/>
      <sheetName val="Materials_5"/>
      <sheetName val="MN_T_B_5"/>
      <sheetName val="Exp_5"/>
      <sheetName val="INDIGINEOUS_ITEMS_5"/>
      <sheetName val="INDORAMA_Group_June_025"/>
      <sheetName val="E_&amp;_R5"/>
      <sheetName val="Break_Dw5"/>
      <sheetName val="Load_Details(B1)5"/>
      <sheetName val="SPT_vs_PHI5"/>
      <sheetName val="Civil_Boq5"/>
      <sheetName val="Debits_as_on_12_04_085"/>
      <sheetName val="For_Bill-04_PS"/>
      <sheetName val="RCC,Ret__Wall2"/>
      <sheetName val="RA_4_Challan_Summary_2"/>
      <sheetName val="Labour_productivity2"/>
      <sheetName val="labour_coeff2"/>
      <sheetName val="BOQ_(2)1"/>
      <sheetName val="PA-_Consutant_5"/>
      <sheetName val="Sheet3_(2)"/>
      <sheetName val="ORDER_BOOKING"/>
      <sheetName val="beam-reinft-IIInd_floor"/>
      <sheetName val="Bed_Class5"/>
      <sheetName val="PH_data"/>
      <sheetName val="Details_(3)"/>
      <sheetName val="Desgn(zone_I)5"/>
      <sheetName val="M_B-QtyRecn2"/>
      <sheetName val="Sqn__Main__Abs"/>
      <sheetName val="Staff_Acco_"/>
      <sheetName val="Section_Catalogue"/>
      <sheetName val="Approved_MTD_Proj_#'s"/>
      <sheetName val="ACAD_Finishes1"/>
      <sheetName val="Site_Details1"/>
      <sheetName val="Site_Area_Statement1"/>
      <sheetName val="CABLE_DATA"/>
      <sheetName val="GR_slab-reinft"/>
      <sheetName val="BOQ_civil"/>
      <sheetName val="INPUT_SHEET"/>
      <sheetName val="Rising_Main"/>
      <sheetName val="Estimate_"/>
      <sheetName val="Common_"/>
      <sheetName val="Staircase_"/>
      <sheetName val="Material_"/>
      <sheetName val="PACK_(B)"/>
      <sheetName val="M-Book_for_Conc"/>
      <sheetName val="M-Book_for_FW"/>
      <sheetName val="QS_Name"/>
      <sheetName val="CANDY_BOQ"/>
      <sheetName val="NLD_-_Assum"/>
      <sheetName val="schedule_nos"/>
      <sheetName val="bill_2"/>
      <sheetName val="train_cash"/>
      <sheetName val="accom_cash"/>
      <sheetName val="d-safe_specs"/>
      <sheetName val="d-safe_DELUXE"/>
      <sheetName val="Diawise_steel_abstract"/>
      <sheetName val="Column_Steel-R2"/>
      <sheetName val="std_wt_"/>
      <sheetName val="Meas_-Hotel_Part"/>
      <sheetName val="beam-reinft-machine_rm"/>
      <sheetName val="Vind_-_BtB"/>
      <sheetName val="Tender_Summary"/>
      <sheetName val="WORK_TABLE"/>
      <sheetName val="220_11__BS_"/>
      <sheetName val="Intro_"/>
      <sheetName val="Cash_Flows_&amp;_IRR"/>
      <sheetName val="SGS_ACQ"/>
      <sheetName val="CFForecast_detail"/>
      <sheetName val="Model_(Not_Merged)"/>
      <sheetName val="Form_6"/>
      <sheetName val="Operating_Statistics"/>
      <sheetName val="PC Master List"/>
      <sheetName val="Project Details.."/>
      <sheetName val="TOS-F"/>
      <sheetName val="2.대외공문"/>
      <sheetName val="M.S."/>
      <sheetName val="BHANDUP"/>
      <sheetName val="INFRA-CONTRACOR"/>
      <sheetName val="Excavation"/>
      <sheetName val="RCC"/>
      <sheetName val=" Block work"/>
      <sheetName val="Plaster"/>
      <sheetName val="Flooring &amp; Road"/>
      <sheetName val="CHintamani"/>
      <sheetName val="SSF"/>
      <sheetName val="Plumbing"/>
      <sheetName val="Cement"/>
      <sheetName val="BOM "/>
      <sheetName val="SUBMITED bISS"/>
      <sheetName val="TOTAL SUMMARY"/>
      <sheetName val="QTY"/>
      <sheetName val="DOOR-WINDOW SCHEDULE"/>
      <sheetName val="BLOCK WORK-GRD FLR"/>
      <sheetName val="project"/>
      <sheetName val="detail'02"/>
      <sheetName val="Qty-UG"/>
      <sheetName val="ANNEXURE-A"/>
      <sheetName val="Labor abs-NMR"/>
      <sheetName val="Baricading"/>
      <sheetName val="ICO_budzet_97"/>
      <sheetName val="inWords"/>
      <sheetName val="Mar Roster"/>
      <sheetName val="UNP-NCW "/>
      <sheetName val="Transfer"/>
      <sheetName val="4 Annex 1 Basic rate"/>
      <sheetName val="drg"/>
      <sheetName val="0"/>
      <sheetName val="CUM-Mar07"/>
      <sheetName val="CRM"/>
      <sheetName val="A3"/>
      <sheetName val="BUD 07-08"/>
      <sheetName val="HIDE"/>
      <sheetName val="XL"/>
      <sheetName val="pri-com"/>
      <sheetName val="conc-foot-gradeslab"/>
      <sheetName val="Parameter"/>
      <sheetName val="site fab&amp;ernstr"/>
      <sheetName val="ecc_res"/>
      <sheetName val="water prop."/>
      <sheetName val="Door Qty"/>
      <sheetName val="Win Qty"/>
      <sheetName val="Japan Reco"/>
      <sheetName val="Costing-blk-B"/>
      <sheetName val="Master"/>
      <sheetName val="FINOLEX"/>
      <sheetName val="Basic"/>
      <sheetName val="Capital Structure"/>
      <sheetName val="Actuals_by_Job"/>
      <sheetName val="Outlook"/>
      <sheetName val="compare"/>
      <sheetName val="except_wiring"/>
      <sheetName val="CPIPE_1"/>
      <sheetName val="M_S_"/>
      <sheetName val="PART-I_(2)28"/>
      <sheetName val="final_abstract28"/>
      <sheetName val="Basement_Budget27"/>
      <sheetName val="Rate_analysis27"/>
      <sheetName val="Fee_Rate_Summary27"/>
      <sheetName val="Materials_Cost27"/>
      <sheetName val="10__&amp;_11__Rate_Code_&amp;_BQ27"/>
      <sheetName val="Break_up_Sheet27"/>
      <sheetName val="B_&amp;_C_-_M_-_ccp27"/>
      <sheetName val="RES_STEEL_TO27"/>
      <sheetName val="RMZ_Summary27"/>
      <sheetName val="Materials_27"/>
      <sheetName val="Field_Values27"/>
      <sheetName val="Fin_Sum27"/>
      <sheetName val="Fill_this_out_first___27"/>
      <sheetName val="Site_Dev_BOQ27"/>
      <sheetName val="Staff_Forecast_spread27"/>
      <sheetName val="Structure_Bills_Qty27"/>
      <sheetName val="Builtup_Area27"/>
      <sheetName val="MASTER_RATE_ANALYSIS27"/>
      <sheetName val="Cop_-VGN27"/>
      <sheetName val="Pipe_Supports27"/>
      <sheetName val="MN_T_B_27"/>
      <sheetName val="BOQ_Direct_selling_cost27"/>
      <sheetName val="Stress_Calculation27"/>
      <sheetName val="IO_List27"/>
      <sheetName val="TBAL9697_-group_wise__sdpl27"/>
      <sheetName val="Exp_27"/>
      <sheetName val="INDIGINEOUS_ITEMS_27"/>
      <sheetName val="E_&amp;_R27"/>
      <sheetName val="Load_Details(B1)27"/>
      <sheetName val="Break_Dw27"/>
      <sheetName val="SPT_vs_PHI27"/>
      <sheetName val="Civil_Boq27"/>
      <sheetName val="PA-_Consutant_27"/>
      <sheetName val="Debits_as_on_12_04_0827"/>
      <sheetName val="Sheet3_(2)27"/>
      <sheetName val="INDORAMA_Group_June_0227"/>
      <sheetName val="Sheet3_(2)1"/>
      <sheetName val="Sheet3_(2)2"/>
      <sheetName val="Sheet3_(2)3"/>
      <sheetName val="Sheet3_(2)5"/>
      <sheetName val="Sheet3_(2)4"/>
      <sheetName val="PART-I_(2)7"/>
      <sheetName val="final_abstract7"/>
      <sheetName val="Basement_Budget6"/>
      <sheetName val="Rate_analysis6"/>
      <sheetName val="Fee_Rate_Summary6"/>
      <sheetName val="Materials_Cost6"/>
      <sheetName val="10__&amp;_11__Rate_Code_&amp;_BQ6"/>
      <sheetName val="Break_up_Sheet6"/>
      <sheetName val="B_&amp;_C_-_M_-_ccp6"/>
      <sheetName val="RES_STEEL_TO6"/>
      <sheetName val="RMZ_Summary6"/>
      <sheetName val="Materials_6"/>
      <sheetName val="Field_Values6"/>
      <sheetName val="Fin_Sum6"/>
      <sheetName val="Fill_this_out_first___6"/>
      <sheetName val="Site_Dev_BOQ6"/>
      <sheetName val="Staff_Forecast_spread6"/>
      <sheetName val="Structure_Bills_Qty6"/>
      <sheetName val="Builtup_Area6"/>
      <sheetName val="MASTER_RATE_ANALYSIS6"/>
      <sheetName val="Cop_-VGN6"/>
      <sheetName val="Pipe_Supports6"/>
      <sheetName val="MN_T_B_6"/>
      <sheetName val="BOQ_Direct_selling_cost6"/>
      <sheetName val="Stress_Calculation6"/>
      <sheetName val="IO_List6"/>
      <sheetName val="TBAL9697_-group_wise__sdpl6"/>
      <sheetName val="Exp_6"/>
      <sheetName val="INDIGINEOUS_ITEMS_6"/>
      <sheetName val="E_&amp;_R6"/>
      <sheetName val="Load_Details(B1)6"/>
      <sheetName val="Break_Dw6"/>
      <sheetName val="SPT_vs_PHI6"/>
      <sheetName val="Civil_Boq6"/>
      <sheetName val="PA-_Consutant_6"/>
      <sheetName val="Debits_as_on_12_04_086"/>
      <sheetName val="Sheet3_(2)6"/>
      <sheetName val="INDORAMA_Group_June_026"/>
      <sheetName val="PART-I_(2)8"/>
      <sheetName val="final_abstract8"/>
      <sheetName val="Basement_Budget7"/>
      <sheetName val="Rate_analysis7"/>
      <sheetName val="Fee_Rate_Summary7"/>
      <sheetName val="Materials_Cost7"/>
      <sheetName val="10__&amp;_11__Rate_Code_&amp;_BQ7"/>
      <sheetName val="Break_up_Sheet7"/>
      <sheetName val="B_&amp;_C_-_M_-_ccp7"/>
      <sheetName val="RES_STEEL_TO7"/>
      <sheetName val="RMZ_Summary7"/>
      <sheetName val="Materials_7"/>
      <sheetName val="Field_Values7"/>
      <sheetName val="Fin_Sum7"/>
      <sheetName val="Fill_this_out_first___7"/>
      <sheetName val="Site_Dev_BOQ7"/>
      <sheetName val="Staff_Forecast_spread7"/>
      <sheetName val="Structure_Bills_Qty7"/>
      <sheetName val="Builtup_Area7"/>
      <sheetName val="MASTER_RATE_ANALYSIS7"/>
      <sheetName val="Cop_-VGN7"/>
      <sheetName val="Pipe_Supports7"/>
      <sheetName val="MN_T_B_7"/>
      <sheetName val="BOQ_Direct_selling_cost7"/>
      <sheetName val="Stress_Calculation7"/>
      <sheetName val="IO_List7"/>
      <sheetName val="TBAL9697_-group_wise__sdpl7"/>
      <sheetName val="Exp_7"/>
      <sheetName val="INDIGINEOUS_ITEMS_7"/>
      <sheetName val="E_&amp;_R7"/>
      <sheetName val="Load_Details(B1)7"/>
      <sheetName val="Break_Dw7"/>
      <sheetName val="SPT_vs_PHI7"/>
      <sheetName val="Civil_Boq7"/>
      <sheetName val="PA-_Consutant_7"/>
      <sheetName val="Debits_as_on_12_04_087"/>
      <sheetName val="Sheet3_(2)7"/>
      <sheetName val="INDORAMA_Group_June_027"/>
      <sheetName val="PART-I_(2)12"/>
      <sheetName val="final_abstract12"/>
      <sheetName val="Basement_Budget11"/>
      <sheetName val="Rate_analysis11"/>
      <sheetName val="Fee_Rate_Summary11"/>
      <sheetName val="Materials_Cost11"/>
      <sheetName val="10__&amp;_11__Rate_Code_&amp;_BQ11"/>
      <sheetName val="Break_up_Sheet11"/>
      <sheetName val="B_&amp;_C_-_M_-_ccp11"/>
      <sheetName val="RES_STEEL_TO11"/>
      <sheetName val="RMZ_Summary11"/>
      <sheetName val="Materials_11"/>
      <sheetName val="Field_Values11"/>
      <sheetName val="Fin_Sum11"/>
      <sheetName val="Fill_this_out_first___11"/>
      <sheetName val="Site_Dev_BOQ11"/>
      <sheetName val="Staff_Forecast_spread11"/>
      <sheetName val="Structure_Bills_Qty11"/>
      <sheetName val="Builtup_Area11"/>
      <sheetName val="MASTER_RATE_ANALYSIS11"/>
      <sheetName val="Cop_-VGN11"/>
      <sheetName val="Pipe_Supports11"/>
      <sheetName val="MN_T_B_11"/>
      <sheetName val="BOQ_Direct_selling_cost11"/>
      <sheetName val="Stress_Calculation11"/>
      <sheetName val="IO_List11"/>
      <sheetName val="TBAL9697_-group_wise__sdpl11"/>
      <sheetName val="Exp_11"/>
      <sheetName val="INDIGINEOUS_ITEMS_11"/>
      <sheetName val="E_&amp;_R11"/>
      <sheetName val="Load_Details(B1)11"/>
      <sheetName val="Break_Dw11"/>
      <sheetName val="SPT_vs_PHI11"/>
      <sheetName val="Civil_Boq11"/>
      <sheetName val="PA-_Consutant_11"/>
      <sheetName val="Debits_as_on_12_04_0811"/>
      <sheetName val="Sheet3_(2)11"/>
      <sheetName val="INDORAMA_Group_June_0211"/>
      <sheetName val="PART-I_(2)9"/>
      <sheetName val="final_abstract9"/>
      <sheetName val="Basement_Budget8"/>
      <sheetName val="Rate_analysis8"/>
      <sheetName val="Fee_Rate_Summary8"/>
      <sheetName val="Materials_Cost8"/>
      <sheetName val="10__&amp;_11__Rate_Code_&amp;_BQ8"/>
      <sheetName val="Break_up_Sheet8"/>
      <sheetName val="B_&amp;_C_-_M_-_ccp8"/>
      <sheetName val="RES_STEEL_TO8"/>
      <sheetName val="RMZ_Summary8"/>
      <sheetName val="Materials_8"/>
      <sheetName val="Field_Values8"/>
      <sheetName val="Fin_Sum8"/>
      <sheetName val="Fill_this_out_first___8"/>
      <sheetName val="Site_Dev_BOQ8"/>
      <sheetName val="Staff_Forecast_spread8"/>
      <sheetName val="Structure_Bills_Qty8"/>
      <sheetName val="Builtup_Area8"/>
      <sheetName val="MASTER_RATE_ANALYSIS8"/>
      <sheetName val="Cop_-VGN8"/>
      <sheetName val="Pipe_Supports8"/>
      <sheetName val="MN_T_B_8"/>
      <sheetName val="BOQ_Direct_selling_cost8"/>
      <sheetName val="Stress_Calculation8"/>
      <sheetName val="IO_List8"/>
      <sheetName val="TBAL9697_-group_wise__sdpl8"/>
      <sheetName val="Exp_8"/>
      <sheetName val="INDIGINEOUS_ITEMS_8"/>
      <sheetName val="E_&amp;_R8"/>
      <sheetName val="Load_Details(B1)8"/>
      <sheetName val="Break_Dw8"/>
      <sheetName val="SPT_vs_PHI8"/>
      <sheetName val="Civil_Boq8"/>
      <sheetName val="PA-_Consutant_8"/>
      <sheetName val="Debits_as_on_12_04_088"/>
      <sheetName val="Sheet3_(2)8"/>
      <sheetName val="INDORAMA_Group_June_028"/>
      <sheetName val="PART-I_(2)10"/>
      <sheetName val="final_abstract10"/>
      <sheetName val="Basement_Budget9"/>
      <sheetName val="Rate_analysis9"/>
      <sheetName val="Fee_Rate_Summary9"/>
      <sheetName val="Materials_Cost9"/>
      <sheetName val="10__&amp;_11__Rate_Code_&amp;_BQ9"/>
      <sheetName val="Break_up_Sheet9"/>
      <sheetName val="B_&amp;_C_-_M_-_ccp9"/>
      <sheetName val="RES_STEEL_TO9"/>
      <sheetName val="RMZ_Summary9"/>
      <sheetName val="Materials_9"/>
      <sheetName val="Field_Values9"/>
      <sheetName val="Fin_Sum9"/>
      <sheetName val="Fill_this_out_first___9"/>
      <sheetName val="Site_Dev_BOQ9"/>
      <sheetName val="Staff_Forecast_spread9"/>
      <sheetName val="Structure_Bills_Qty9"/>
      <sheetName val="Builtup_Area9"/>
      <sheetName val="MASTER_RATE_ANALYSIS9"/>
      <sheetName val="Cop_-VGN9"/>
      <sheetName val="Pipe_Supports9"/>
      <sheetName val="MN_T_B_9"/>
      <sheetName val="BOQ_Direct_selling_cost9"/>
      <sheetName val="Stress_Calculation9"/>
      <sheetName val="IO_List9"/>
      <sheetName val="TBAL9697_-group_wise__sdpl9"/>
      <sheetName val="Exp_9"/>
      <sheetName val="INDIGINEOUS_ITEMS_9"/>
      <sheetName val="E_&amp;_R9"/>
      <sheetName val="Load_Details(B1)9"/>
      <sheetName val="Break_Dw9"/>
      <sheetName val="SPT_vs_PHI9"/>
      <sheetName val="Civil_Boq9"/>
      <sheetName val="PA-_Consutant_9"/>
      <sheetName val="Debits_as_on_12_04_089"/>
      <sheetName val="Sheet3_(2)9"/>
      <sheetName val="INDORAMA_Group_June_029"/>
      <sheetName val="PART-I_(2)11"/>
      <sheetName val="final_abstract11"/>
      <sheetName val="Basement_Budget10"/>
      <sheetName val="Rate_analysis10"/>
      <sheetName val="Fee_Rate_Summary10"/>
      <sheetName val="Materials_Cost10"/>
      <sheetName val="10__&amp;_11__Rate_Code_&amp;_BQ10"/>
      <sheetName val="Break_up_Sheet10"/>
      <sheetName val="B_&amp;_C_-_M_-_ccp10"/>
      <sheetName val="RES_STEEL_TO10"/>
      <sheetName val="RMZ_Summary10"/>
      <sheetName val="Materials_10"/>
      <sheetName val="Field_Values10"/>
      <sheetName val="Fin_Sum10"/>
      <sheetName val="Fill_this_out_first___10"/>
      <sheetName val="Site_Dev_BOQ10"/>
      <sheetName val="Staff_Forecast_spread10"/>
      <sheetName val="Structure_Bills_Qty10"/>
      <sheetName val="Builtup_Area10"/>
      <sheetName val="MASTER_RATE_ANALYSIS10"/>
      <sheetName val="Cop_-VGN10"/>
      <sheetName val="Pipe_Supports10"/>
      <sheetName val="MN_T_B_10"/>
      <sheetName val="BOQ_Direct_selling_cost10"/>
      <sheetName val="Stress_Calculation10"/>
      <sheetName val="IO_List10"/>
      <sheetName val="TBAL9697_-group_wise__sdpl10"/>
      <sheetName val="Exp_10"/>
      <sheetName val="INDIGINEOUS_ITEMS_10"/>
      <sheetName val="E_&amp;_R10"/>
      <sheetName val="Load_Details(B1)10"/>
      <sheetName val="Break_Dw10"/>
      <sheetName val="SPT_vs_PHI10"/>
      <sheetName val="Civil_Boq10"/>
      <sheetName val="PA-_Consutant_10"/>
      <sheetName val="Debits_as_on_12_04_0810"/>
      <sheetName val="Sheet3_(2)10"/>
      <sheetName val="INDORAMA_Group_June_0210"/>
      <sheetName val="PART-I_(2)13"/>
      <sheetName val="final_abstract13"/>
      <sheetName val="Basement_Budget12"/>
      <sheetName val="Rate_analysis12"/>
      <sheetName val="Fee_Rate_Summary12"/>
      <sheetName val="Materials_Cost12"/>
      <sheetName val="10__&amp;_11__Rate_Code_&amp;_BQ12"/>
      <sheetName val="Break_up_Sheet12"/>
      <sheetName val="B_&amp;_C_-_M_-_ccp12"/>
      <sheetName val="RES_STEEL_TO12"/>
      <sheetName val="RMZ_Summary12"/>
      <sheetName val="Materials_12"/>
      <sheetName val="Fill_this_out_first___12"/>
      <sheetName val="Cop_-VGN12"/>
      <sheetName val="Field_Values12"/>
      <sheetName val="Fin_Sum12"/>
      <sheetName val="Site_Dev_BOQ12"/>
      <sheetName val="Staff_Forecast_spread12"/>
      <sheetName val="Structure_Bills_Qty12"/>
      <sheetName val="Builtup_Area12"/>
      <sheetName val="MASTER_RATE_ANALYSIS12"/>
      <sheetName val="Pipe_Supports12"/>
      <sheetName val="MN_T_B_12"/>
      <sheetName val="BOQ_Direct_selling_cost12"/>
      <sheetName val="Stress_Calculation12"/>
      <sheetName val="IO_List12"/>
      <sheetName val="TBAL9697_-group_wise__sdpl12"/>
      <sheetName val="Exp_12"/>
      <sheetName val="INDIGINEOUS_ITEMS_12"/>
      <sheetName val="E_&amp;_R12"/>
      <sheetName val="Load_Details(B1)12"/>
      <sheetName val="Break_Dw12"/>
      <sheetName val="SPT_vs_PHI12"/>
      <sheetName val="Civil_Boq12"/>
      <sheetName val="PA-_Consutant_12"/>
      <sheetName val="Debits_as_on_12_04_0812"/>
      <sheetName val="Sheet3_(2)12"/>
      <sheetName val="INDORAMA_Group_June_0212"/>
      <sheetName val="PART-I_(2)16"/>
      <sheetName val="final_abstract16"/>
      <sheetName val="Basement_Budget15"/>
      <sheetName val="Rate_analysis15"/>
      <sheetName val="Fee_Rate_Summary15"/>
      <sheetName val="Materials_Cost15"/>
      <sheetName val="10__&amp;_11__Rate_Code_&amp;_BQ15"/>
      <sheetName val="Break_up_Sheet15"/>
      <sheetName val="B_&amp;_C_-_M_-_ccp15"/>
      <sheetName val="RES_STEEL_TO15"/>
      <sheetName val="RMZ_Summary15"/>
      <sheetName val="Materials_15"/>
      <sheetName val="Field_Values15"/>
      <sheetName val="Fin_Sum15"/>
      <sheetName val="Fill_this_out_first___15"/>
      <sheetName val="Site_Dev_BOQ15"/>
      <sheetName val="Staff_Forecast_spread15"/>
      <sheetName val="Structure_Bills_Qty15"/>
      <sheetName val="Builtup_Area15"/>
      <sheetName val="MASTER_RATE_ANALYSIS15"/>
      <sheetName val="Cop_-VGN15"/>
      <sheetName val="Pipe_Supports15"/>
      <sheetName val="MN_T_B_15"/>
      <sheetName val="BOQ_Direct_selling_cost15"/>
      <sheetName val="Stress_Calculation15"/>
      <sheetName val="IO_List15"/>
      <sheetName val="TBAL9697_-group_wise__sdpl15"/>
      <sheetName val="Exp_15"/>
      <sheetName val="INDIGINEOUS_ITEMS_15"/>
      <sheetName val="E_&amp;_R15"/>
      <sheetName val="Load_Details(B1)15"/>
      <sheetName val="Break_Dw15"/>
      <sheetName val="SPT_vs_PHI15"/>
      <sheetName val="Civil_Boq15"/>
      <sheetName val="PA-_Consutant_15"/>
      <sheetName val="Debits_as_on_12_04_0815"/>
      <sheetName val="Sheet3_(2)15"/>
      <sheetName val="INDORAMA_Group_June_0215"/>
      <sheetName val="PART-I_(2)14"/>
      <sheetName val="final_abstract14"/>
      <sheetName val="Basement_Budget13"/>
      <sheetName val="Rate_analysis13"/>
      <sheetName val="Fee_Rate_Summary13"/>
      <sheetName val="Materials_Cost13"/>
      <sheetName val="10__&amp;_11__Rate_Code_&amp;_BQ13"/>
      <sheetName val="Break_up_Sheet13"/>
      <sheetName val="B_&amp;_C_-_M_-_ccp13"/>
      <sheetName val="RES_STEEL_TO13"/>
      <sheetName val="RMZ_Summary13"/>
      <sheetName val="Materials_13"/>
      <sheetName val="Field_Values13"/>
      <sheetName val="Fin_Sum13"/>
      <sheetName val="Fill_this_out_first___13"/>
      <sheetName val="Site_Dev_BOQ13"/>
      <sheetName val="Staff_Forecast_spread13"/>
      <sheetName val="Structure_Bills_Qty13"/>
      <sheetName val="Builtup_Area13"/>
      <sheetName val="MASTER_RATE_ANALYSIS13"/>
      <sheetName val="Cop_-VGN13"/>
      <sheetName val="Pipe_Supports13"/>
      <sheetName val="MN_T_B_13"/>
      <sheetName val="BOQ_Direct_selling_cost13"/>
      <sheetName val="Stress_Calculation13"/>
      <sheetName val="IO_List13"/>
      <sheetName val="TBAL9697_-group_wise__sdpl13"/>
      <sheetName val="Exp_13"/>
      <sheetName val="INDIGINEOUS_ITEMS_13"/>
      <sheetName val="E_&amp;_R13"/>
      <sheetName val="Load_Details(B1)13"/>
      <sheetName val="Break_Dw13"/>
      <sheetName val="SPT_vs_PHI13"/>
      <sheetName val="Civil_Boq13"/>
      <sheetName val="PA-_Consutant_13"/>
      <sheetName val="Debits_as_on_12_04_0813"/>
      <sheetName val="Sheet3_(2)13"/>
      <sheetName val="INDORAMA_Group_June_0213"/>
      <sheetName val="PART-I_(2)15"/>
      <sheetName val="final_abstract15"/>
      <sheetName val="Basement_Budget14"/>
      <sheetName val="Rate_analysis14"/>
      <sheetName val="Fee_Rate_Summary14"/>
      <sheetName val="Materials_Cost14"/>
      <sheetName val="10__&amp;_11__Rate_Code_&amp;_BQ14"/>
      <sheetName val="Break_up_Sheet14"/>
      <sheetName val="B_&amp;_C_-_M_-_ccp14"/>
      <sheetName val="RES_STEEL_TO14"/>
      <sheetName val="RMZ_Summary14"/>
      <sheetName val="Materials_14"/>
      <sheetName val="Field_Values14"/>
      <sheetName val="Fin_Sum14"/>
      <sheetName val="Fill_this_out_first___14"/>
      <sheetName val="Site_Dev_BOQ14"/>
      <sheetName val="Staff_Forecast_spread14"/>
      <sheetName val="Structure_Bills_Qty14"/>
      <sheetName val="Builtup_Area14"/>
      <sheetName val="MASTER_RATE_ANALYSIS14"/>
      <sheetName val="Cop_-VGN14"/>
      <sheetName val="Pipe_Supports14"/>
      <sheetName val="MN_T_B_14"/>
      <sheetName val="BOQ_Direct_selling_cost14"/>
      <sheetName val="Stress_Calculation14"/>
      <sheetName val="IO_List14"/>
      <sheetName val="TBAL9697_-group_wise__sdpl14"/>
      <sheetName val="Exp_14"/>
      <sheetName val="INDIGINEOUS_ITEMS_14"/>
      <sheetName val="E_&amp;_R14"/>
      <sheetName val="Load_Details(B1)14"/>
      <sheetName val="Break_Dw14"/>
      <sheetName val="SPT_vs_PHI14"/>
      <sheetName val="Civil_Boq14"/>
      <sheetName val="PA-_Consutant_14"/>
      <sheetName val="Debits_as_on_12_04_0814"/>
      <sheetName val="Sheet3_(2)14"/>
      <sheetName val="INDORAMA_Group_June_0214"/>
      <sheetName val="PART-I_(2)17"/>
      <sheetName val="final_abstract17"/>
      <sheetName val="Rate_analysis16"/>
      <sheetName val="Fee_Rate_Summary16"/>
      <sheetName val="Basement_Budget16"/>
      <sheetName val="Materials_Cost16"/>
      <sheetName val="10__&amp;_11__Rate_Code_&amp;_BQ16"/>
      <sheetName val="Break_up_Sheet16"/>
      <sheetName val="B_&amp;_C_-_M_-_ccp16"/>
      <sheetName val="RES_STEEL_TO16"/>
      <sheetName val="RMZ_Summary16"/>
      <sheetName val="Field_Values16"/>
      <sheetName val="Fin_Sum16"/>
      <sheetName val="Fill_this_out_first___16"/>
      <sheetName val="Site_Dev_BOQ16"/>
      <sheetName val="Staff_Forecast_spread16"/>
      <sheetName val="Structure_Bills_Qty16"/>
      <sheetName val="Builtup_Area16"/>
      <sheetName val="MASTER_RATE_ANALYSIS16"/>
      <sheetName val="Cop_-VGN16"/>
      <sheetName val="Pipe_Supports16"/>
      <sheetName val="Materials_16"/>
      <sheetName val="MN_T_B_16"/>
      <sheetName val="BOQ_Direct_selling_cost16"/>
      <sheetName val="Stress_Calculation16"/>
      <sheetName val="IO_List16"/>
      <sheetName val="TBAL9697_-group_wise__sdpl16"/>
      <sheetName val="Exp_16"/>
      <sheetName val="INDIGINEOUS_ITEMS_16"/>
      <sheetName val="E_&amp;_R16"/>
      <sheetName val="Load_Details(B1)16"/>
      <sheetName val="Break_Dw16"/>
      <sheetName val="SPT_vs_PHI16"/>
      <sheetName val="Civil_Boq16"/>
      <sheetName val="PA-_Consutant_16"/>
      <sheetName val="Debits_as_on_12_04_0816"/>
      <sheetName val="Sheet3_(2)16"/>
      <sheetName val="INDORAMA_Group_June_0216"/>
      <sheetName val="PART-I_(2)22"/>
      <sheetName val="final_abstract22"/>
      <sheetName val="Basement_Budget21"/>
      <sheetName val="Rate_analysis21"/>
      <sheetName val="Fee_Rate_Summary21"/>
      <sheetName val="Materials_Cost21"/>
      <sheetName val="10__&amp;_11__Rate_Code_&amp;_BQ21"/>
      <sheetName val="Break_up_Sheet21"/>
      <sheetName val="B_&amp;_C_-_M_-_ccp21"/>
      <sheetName val="RES_STEEL_TO21"/>
      <sheetName val="RMZ_Summary21"/>
      <sheetName val="Materials_21"/>
      <sheetName val="Field_Values21"/>
      <sheetName val="Fin_Sum21"/>
      <sheetName val="Fill_this_out_first___21"/>
      <sheetName val="Site_Dev_BOQ21"/>
      <sheetName val="Staff_Forecast_spread21"/>
      <sheetName val="Structure_Bills_Qty21"/>
      <sheetName val="Builtup_Area21"/>
      <sheetName val="MASTER_RATE_ANALYSIS21"/>
      <sheetName val="Cop_-VGN21"/>
      <sheetName val="Pipe_Supports21"/>
      <sheetName val="MN_T_B_21"/>
      <sheetName val="BOQ_Direct_selling_cost21"/>
      <sheetName val="Stress_Calculation21"/>
      <sheetName val="IO_List21"/>
      <sheetName val="TBAL9697_-group_wise__sdpl21"/>
      <sheetName val="Exp_21"/>
      <sheetName val="INDIGINEOUS_ITEMS_21"/>
      <sheetName val="E_&amp;_R21"/>
      <sheetName val="Load_Details(B1)21"/>
      <sheetName val="Break_Dw21"/>
      <sheetName val="SPT_vs_PHI21"/>
      <sheetName val="Civil_Boq21"/>
      <sheetName val="PA-_Consutant_21"/>
      <sheetName val="Debits_as_on_12_04_0821"/>
      <sheetName val="Sheet3_(2)21"/>
      <sheetName val="INDORAMA_Group_June_0221"/>
      <sheetName val="PART-I_(2)19"/>
      <sheetName val="final_abstract19"/>
      <sheetName val="Rate_analysis18"/>
      <sheetName val="Fee_Rate_Summary18"/>
      <sheetName val="Basement_Budget18"/>
      <sheetName val="Materials_Cost18"/>
      <sheetName val="10__&amp;_11__Rate_Code_&amp;_BQ18"/>
      <sheetName val="Break_up_Sheet18"/>
      <sheetName val="B_&amp;_C_-_M_-_ccp18"/>
      <sheetName val="RES_STEEL_TO18"/>
      <sheetName val="RMZ_Summary18"/>
      <sheetName val="Field_Values18"/>
      <sheetName val="Fin_Sum18"/>
      <sheetName val="Fill_this_out_first___18"/>
      <sheetName val="Site_Dev_BOQ18"/>
      <sheetName val="Staff_Forecast_spread18"/>
      <sheetName val="Structure_Bills_Qty18"/>
      <sheetName val="Builtup_Area18"/>
      <sheetName val="MASTER_RATE_ANALYSIS18"/>
      <sheetName val="Cop_-VGN18"/>
      <sheetName val="Pipe_Supports18"/>
      <sheetName val="Materials_18"/>
      <sheetName val="MN_T_B_18"/>
      <sheetName val="BOQ_Direct_selling_cost18"/>
      <sheetName val="Stress_Calculation18"/>
      <sheetName val="IO_List18"/>
      <sheetName val="TBAL9697_-group_wise__sdpl18"/>
      <sheetName val="Exp_18"/>
      <sheetName val="INDIGINEOUS_ITEMS_18"/>
      <sheetName val="E_&amp;_R18"/>
      <sheetName val="Load_Details(B1)18"/>
      <sheetName val="Break_Dw18"/>
      <sheetName val="SPT_vs_PHI18"/>
      <sheetName val="Civil_Boq18"/>
      <sheetName val="PA-_Consutant_18"/>
      <sheetName val="Debits_as_on_12_04_0818"/>
      <sheetName val="Sheet3_(2)18"/>
      <sheetName val="INDORAMA_Group_June_0218"/>
      <sheetName val="PART-I_(2)18"/>
      <sheetName val="final_abstract18"/>
      <sheetName val="Rate_analysis17"/>
      <sheetName val="Fee_Rate_Summary17"/>
      <sheetName val="Basement_Budget17"/>
      <sheetName val="Materials_Cost17"/>
      <sheetName val="10__&amp;_11__Rate_Code_&amp;_BQ17"/>
      <sheetName val="Break_up_Sheet17"/>
      <sheetName val="B_&amp;_C_-_M_-_ccp17"/>
      <sheetName val="RES_STEEL_TO17"/>
      <sheetName val="RMZ_Summary17"/>
      <sheetName val="Field_Values17"/>
      <sheetName val="Fin_Sum17"/>
      <sheetName val="Fill_this_out_first___17"/>
      <sheetName val="Site_Dev_BOQ17"/>
      <sheetName val="Staff_Forecast_spread17"/>
      <sheetName val="Structure_Bills_Qty17"/>
      <sheetName val="Builtup_Area17"/>
      <sheetName val="MASTER_RATE_ANALYSIS17"/>
      <sheetName val="Cop_-VGN17"/>
      <sheetName val="Pipe_Supports17"/>
      <sheetName val="Materials_17"/>
      <sheetName val="MN_T_B_17"/>
      <sheetName val="BOQ_Direct_selling_cost17"/>
      <sheetName val="Stress_Calculation17"/>
      <sheetName val="IO_List17"/>
      <sheetName val="TBAL9697_-group_wise__sdpl17"/>
      <sheetName val="Exp_17"/>
      <sheetName val="INDIGINEOUS_ITEMS_17"/>
      <sheetName val="E_&amp;_R17"/>
      <sheetName val="Load_Details(B1)17"/>
      <sheetName val="Break_Dw17"/>
      <sheetName val="SPT_vs_PHI17"/>
      <sheetName val="Civil_Boq17"/>
      <sheetName val="PA-_Consutant_17"/>
      <sheetName val="Debits_as_on_12_04_0817"/>
      <sheetName val="Sheet3_(2)17"/>
      <sheetName val="INDORAMA_Group_June_0217"/>
      <sheetName val="PART-I_(2)20"/>
      <sheetName val="final_abstract20"/>
      <sheetName val="Rate_analysis19"/>
      <sheetName val="Fee_Rate_Summary19"/>
      <sheetName val="Basement_Budget19"/>
      <sheetName val="Materials_Cost19"/>
      <sheetName val="10__&amp;_11__Rate_Code_&amp;_BQ19"/>
      <sheetName val="Break_up_Sheet19"/>
      <sheetName val="B_&amp;_C_-_M_-_ccp19"/>
      <sheetName val="RES_STEEL_TO19"/>
      <sheetName val="RMZ_Summary19"/>
      <sheetName val="Field_Values19"/>
      <sheetName val="Fin_Sum19"/>
      <sheetName val="Fill_this_out_first___19"/>
      <sheetName val="Site_Dev_BOQ19"/>
      <sheetName val="Staff_Forecast_spread19"/>
      <sheetName val="Structure_Bills_Qty19"/>
      <sheetName val="Builtup_Area19"/>
      <sheetName val="MASTER_RATE_ANALYSIS19"/>
      <sheetName val="Cop_-VGN19"/>
      <sheetName val="Pipe_Supports19"/>
      <sheetName val="Materials_19"/>
      <sheetName val="MN_T_B_19"/>
      <sheetName val="BOQ_Direct_selling_cost19"/>
      <sheetName val="Stress_Calculation19"/>
      <sheetName val="IO_List19"/>
      <sheetName val="TBAL9697_-group_wise__sdpl19"/>
      <sheetName val="Exp_19"/>
      <sheetName val="INDIGINEOUS_ITEMS_19"/>
      <sheetName val="E_&amp;_R19"/>
      <sheetName val="Load_Details(B1)19"/>
      <sheetName val="Break_Dw19"/>
      <sheetName val="SPT_vs_PHI19"/>
      <sheetName val="Civil_Boq19"/>
      <sheetName val="PA-_Consutant_19"/>
      <sheetName val="Debits_as_on_12_04_0819"/>
      <sheetName val="Sheet3_(2)19"/>
      <sheetName val="INDORAMA_Group_June_0219"/>
      <sheetName val="PART-I_(2)21"/>
      <sheetName val="final_abstract21"/>
      <sheetName val="Basement_Budget20"/>
      <sheetName val="Rate_analysis20"/>
      <sheetName val="Fee_Rate_Summary20"/>
      <sheetName val="Materials_Cost20"/>
      <sheetName val="10__&amp;_11__Rate_Code_&amp;_BQ20"/>
      <sheetName val="Break_up_Sheet20"/>
      <sheetName val="B_&amp;_C_-_M_-_ccp20"/>
      <sheetName val="RES_STEEL_TO20"/>
      <sheetName val="RMZ_Summary20"/>
      <sheetName val="Materials_20"/>
      <sheetName val="Field_Values20"/>
      <sheetName val="Fin_Sum20"/>
      <sheetName val="Fill_this_out_first___20"/>
      <sheetName val="Site_Dev_BOQ20"/>
      <sheetName val="Staff_Forecast_spread20"/>
      <sheetName val="Structure_Bills_Qty20"/>
      <sheetName val="Builtup_Area20"/>
      <sheetName val="MASTER_RATE_ANALYSIS20"/>
      <sheetName val="Cop_-VGN20"/>
      <sheetName val="Pipe_Supports20"/>
      <sheetName val="MN_T_B_20"/>
      <sheetName val="BOQ_Direct_selling_cost20"/>
      <sheetName val="Stress_Calculation20"/>
      <sheetName val="IO_List20"/>
      <sheetName val="TBAL9697_-group_wise__sdpl20"/>
      <sheetName val="Exp_20"/>
      <sheetName val="INDIGINEOUS_ITEMS_20"/>
      <sheetName val="E_&amp;_R20"/>
      <sheetName val="Load_Details(B1)20"/>
      <sheetName val="Break_Dw20"/>
      <sheetName val="SPT_vs_PHI20"/>
      <sheetName val="Civil_Boq20"/>
      <sheetName val="PA-_Consutant_20"/>
      <sheetName val="Debits_as_on_12_04_0820"/>
      <sheetName val="Sheet3_(2)20"/>
      <sheetName val="INDORAMA_Group_June_0220"/>
      <sheetName val="PART-I_(2)23"/>
      <sheetName val="final_abstract23"/>
      <sheetName val="Basement_Budget22"/>
      <sheetName val="Rate_analysis22"/>
      <sheetName val="Fee_Rate_Summary22"/>
      <sheetName val="Materials_Cost22"/>
      <sheetName val="10__&amp;_11__Rate_Code_&amp;_BQ22"/>
      <sheetName val="Break_up_Sheet22"/>
      <sheetName val="B_&amp;_C_-_M_-_ccp22"/>
      <sheetName val="RES_STEEL_TO22"/>
      <sheetName val="RMZ_Summary22"/>
      <sheetName val="Materials_22"/>
      <sheetName val="Field_Values22"/>
      <sheetName val="Fin_Sum22"/>
      <sheetName val="Fill_this_out_first___22"/>
      <sheetName val="Site_Dev_BOQ22"/>
      <sheetName val="Staff_Forecast_spread22"/>
      <sheetName val="Structure_Bills_Qty22"/>
      <sheetName val="Builtup_Area22"/>
      <sheetName val="MASTER_RATE_ANALYSIS22"/>
      <sheetName val="Cop_-VGN22"/>
      <sheetName val="Pipe_Supports22"/>
      <sheetName val="MN_T_B_22"/>
      <sheetName val="BOQ_Direct_selling_cost22"/>
      <sheetName val="Stress_Calculation22"/>
      <sheetName val="IO_List22"/>
      <sheetName val="TBAL9697_-group_wise__sdpl22"/>
      <sheetName val="Exp_22"/>
      <sheetName val="INDIGINEOUS_ITEMS_22"/>
      <sheetName val="E_&amp;_R22"/>
      <sheetName val="Load_Details(B1)22"/>
      <sheetName val="Break_Dw22"/>
      <sheetName val="SPT_vs_PHI22"/>
      <sheetName val="Civil_Boq22"/>
      <sheetName val="PA-_Consutant_22"/>
      <sheetName val="Debits_as_on_12_04_0822"/>
      <sheetName val="Sheet3_(2)22"/>
      <sheetName val="INDORAMA_Group_June_0222"/>
      <sheetName val="PART-I_(2)24"/>
      <sheetName val="final_abstract24"/>
      <sheetName val="Basement_Budget23"/>
      <sheetName val="Rate_analysis23"/>
      <sheetName val="Fee_Rate_Summary23"/>
      <sheetName val="Materials_Cost23"/>
      <sheetName val="10__&amp;_11__Rate_Code_&amp;_BQ23"/>
      <sheetName val="Break_up_Sheet23"/>
      <sheetName val="B_&amp;_C_-_M_-_ccp23"/>
      <sheetName val="RES_STEEL_TO23"/>
      <sheetName val="RMZ_Summary23"/>
      <sheetName val="Materials_23"/>
      <sheetName val="Field_Values23"/>
      <sheetName val="Fin_Sum23"/>
      <sheetName val="Fill_this_out_first___23"/>
      <sheetName val="Site_Dev_BOQ23"/>
      <sheetName val="Staff_Forecast_spread23"/>
      <sheetName val="Structure_Bills_Qty23"/>
      <sheetName val="Builtup_Area23"/>
      <sheetName val="MASTER_RATE_ANALYSIS23"/>
      <sheetName val="Cop_-VGN23"/>
      <sheetName val="Pipe_Supports23"/>
      <sheetName val="MN_T_B_23"/>
      <sheetName val="BOQ_Direct_selling_cost23"/>
      <sheetName val="Stress_Calculation23"/>
      <sheetName val="IO_List23"/>
      <sheetName val="TBAL9697_-group_wise__sdpl23"/>
      <sheetName val="Exp_23"/>
      <sheetName val="INDIGINEOUS_ITEMS_23"/>
      <sheetName val="E_&amp;_R23"/>
      <sheetName val="Load_Details(B1)23"/>
      <sheetName val="Break_Dw23"/>
      <sheetName val="SPT_vs_PHI23"/>
      <sheetName val="Civil_Boq23"/>
      <sheetName val="PA-_Consutant_23"/>
      <sheetName val="Debits_as_on_12_04_0823"/>
      <sheetName val="Sheet3_(2)23"/>
      <sheetName val="INDORAMA_Group_June_0223"/>
      <sheetName val="PART-I_(2)25"/>
      <sheetName val="final_abstract25"/>
      <sheetName val="Basement_Budget24"/>
      <sheetName val="Rate_analysis24"/>
      <sheetName val="Fee_Rate_Summary24"/>
      <sheetName val="Materials_Cost24"/>
      <sheetName val="10__&amp;_11__Rate_Code_&amp;_BQ24"/>
      <sheetName val="Break_up_Sheet24"/>
      <sheetName val="B_&amp;_C_-_M_-_ccp24"/>
      <sheetName val="RES_STEEL_TO24"/>
      <sheetName val="RMZ_Summary24"/>
      <sheetName val="Materials_24"/>
      <sheetName val="Field_Values24"/>
      <sheetName val="Fin_Sum24"/>
      <sheetName val="Fill_this_out_first___24"/>
      <sheetName val="Site_Dev_BOQ24"/>
      <sheetName val="Staff_Forecast_spread24"/>
      <sheetName val="Structure_Bills_Qty24"/>
      <sheetName val="Builtup_Area24"/>
      <sheetName val="MASTER_RATE_ANALYSIS24"/>
      <sheetName val="Cop_-VGN24"/>
      <sheetName val="Pipe_Supports24"/>
      <sheetName val="MN_T_B_24"/>
      <sheetName val="BOQ_Direct_selling_cost24"/>
      <sheetName val="Stress_Calculation24"/>
      <sheetName val="IO_List24"/>
      <sheetName val="TBAL9697_-group_wise__sdpl24"/>
      <sheetName val="Exp_24"/>
      <sheetName val="INDIGINEOUS_ITEMS_24"/>
      <sheetName val="E_&amp;_R24"/>
      <sheetName val="Load_Details(B1)24"/>
      <sheetName val="Break_Dw24"/>
      <sheetName val="SPT_vs_PHI24"/>
      <sheetName val="Civil_Boq24"/>
      <sheetName val="PA-_Consutant_24"/>
      <sheetName val="Debits_as_on_12_04_0824"/>
      <sheetName val="Sheet3_(2)24"/>
      <sheetName val="INDORAMA_Group_June_0224"/>
      <sheetName val="PART-I_(2)26"/>
      <sheetName val="final_abstract26"/>
      <sheetName val="Basement_Budget25"/>
      <sheetName val="Rate_analysis25"/>
      <sheetName val="Fee_Rate_Summary25"/>
      <sheetName val="Materials_Cost25"/>
      <sheetName val="10__&amp;_11__Rate_Code_&amp;_BQ25"/>
      <sheetName val="Break_up_Sheet25"/>
      <sheetName val="B_&amp;_C_-_M_-_ccp25"/>
      <sheetName val="RES_STEEL_TO25"/>
      <sheetName val="RMZ_Summary25"/>
      <sheetName val="Materials_25"/>
      <sheetName val="Field_Values25"/>
      <sheetName val="Fin_Sum25"/>
      <sheetName val="Fill_this_out_first___25"/>
      <sheetName val="Site_Dev_BOQ25"/>
      <sheetName val="Staff_Forecast_spread25"/>
      <sheetName val="Structure_Bills_Qty25"/>
      <sheetName val="Builtup_Area25"/>
      <sheetName val="MASTER_RATE_ANALYSIS25"/>
      <sheetName val="Cop_-VGN25"/>
      <sheetName val="Pipe_Supports25"/>
      <sheetName val="MN_T_B_25"/>
      <sheetName val="BOQ_Direct_selling_cost25"/>
      <sheetName val="Stress_Calculation25"/>
      <sheetName val="IO_List25"/>
      <sheetName val="TBAL9697_-group_wise__sdpl25"/>
      <sheetName val="Exp_25"/>
      <sheetName val="INDIGINEOUS_ITEMS_25"/>
      <sheetName val="E_&amp;_R25"/>
      <sheetName val="Load_Details(B1)25"/>
      <sheetName val="Break_Dw25"/>
      <sheetName val="SPT_vs_PHI25"/>
      <sheetName val="Civil_Boq25"/>
      <sheetName val="PA-_Consutant_25"/>
      <sheetName val="Debits_as_on_12_04_0825"/>
      <sheetName val="Sheet3_(2)25"/>
      <sheetName val="INDORAMA_Group_June_0225"/>
      <sheetName val="PART-I_(2)27"/>
      <sheetName val="final_abstract27"/>
      <sheetName val="Basement_Budget26"/>
      <sheetName val="Rate_analysis26"/>
      <sheetName val="Fee_Rate_Summary26"/>
      <sheetName val="Materials_Cost26"/>
      <sheetName val="10__&amp;_11__Rate_Code_&amp;_BQ26"/>
      <sheetName val="Break_up_Sheet26"/>
      <sheetName val="B_&amp;_C_-_M_-_ccp26"/>
      <sheetName val="RES_STEEL_TO26"/>
      <sheetName val="RMZ_Summary26"/>
      <sheetName val="Materials_26"/>
      <sheetName val="Fill_this_out_first___26"/>
      <sheetName val="Cop_-VGN26"/>
      <sheetName val="Field_Values26"/>
      <sheetName val="Fin_Sum26"/>
      <sheetName val="Site_Dev_BOQ26"/>
      <sheetName val="Staff_Forecast_spread26"/>
      <sheetName val="Structure_Bills_Qty26"/>
      <sheetName val="Builtup_Area26"/>
      <sheetName val="MASTER_RATE_ANALYSIS26"/>
      <sheetName val="Pipe_Supports26"/>
      <sheetName val="MN_T_B_26"/>
      <sheetName val="BOQ_Direct_selling_cost26"/>
      <sheetName val="Stress_Calculation26"/>
      <sheetName val="IO_List26"/>
      <sheetName val="TBAL9697_-group_wise__sdpl26"/>
      <sheetName val="factor_sheet3"/>
      <sheetName val="Exp_26"/>
      <sheetName val="INDIGINEOUS_ITEMS_26"/>
      <sheetName val="E_&amp;_R26"/>
      <sheetName val="Load_Details(B1)26"/>
      <sheetName val="Break_Dw26"/>
      <sheetName val="SPT_vs_PHI26"/>
      <sheetName val="Civil_Boq26"/>
      <sheetName val="PA-_Consutant_26"/>
      <sheetName val="Debits_as_on_12_04_0826"/>
      <sheetName val="Sheet3_(2)26"/>
      <sheetName val="INDORAMA_Group_June_0226"/>
      <sheetName val="PART-I_(2)38"/>
      <sheetName val="final_abstract38"/>
      <sheetName val="Basement_Budget37"/>
      <sheetName val="Rate_analysis37"/>
      <sheetName val="Fee_Rate_Summary37"/>
      <sheetName val="Materials_Cost37"/>
      <sheetName val="10__&amp;_11__Rate_Code_&amp;_BQ37"/>
      <sheetName val="Break_up_Sheet37"/>
      <sheetName val="B_&amp;_C_-_M_-_ccp37"/>
      <sheetName val="RES_STEEL_TO37"/>
      <sheetName val="RMZ_Summary37"/>
      <sheetName val="Materials_37"/>
      <sheetName val="Field_Values37"/>
      <sheetName val="Fin_Sum37"/>
      <sheetName val="Fill_this_out_first___37"/>
      <sheetName val="Site_Dev_BOQ37"/>
      <sheetName val="Staff_Forecast_spread37"/>
      <sheetName val="Structure_Bills_Qty37"/>
      <sheetName val="Builtup_Area37"/>
      <sheetName val="MASTER_RATE_ANALYSIS37"/>
      <sheetName val="Cop_-VGN37"/>
      <sheetName val="Pipe_Supports37"/>
      <sheetName val="MN_T_B_37"/>
      <sheetName val="BOQ_Direct_selling_cost37"/>
      <sheetName val="Stress_Calculation37"/>
      <sheetName val="IO_List37"/>
      <sheetName val="TBAL9697_-group_wise__sdpl37"/>
      <sheetName val="factor_sheet12"/>
      <sheetName val="Exp_37"/>
      <sheetName val="INDIGINEOUS_ITEMS_37"/>
      <sheetName val="E_&amp;_R37"/>
      <sheetName val="Load_Details(B1)37"/>
      <sheetName val="Break_Dw37"/>
      <sheetName val="SPT_vs_PHI37"/>
      <sheetName val="Civil_Boq37"/>
      <sheetName val="PA-_Consutant_37"/>
      <sheetName val="Debits_as_on_12_04_0837"/>
      <sheetName val="Sheet3_(2)37"/>
      <sheetName val="INDORAMA_Group_June_0237"/>
      <sheetName val="PART-I_(2)29"/>
      <sheetName val="final_abstract29"/>
      <sheetName val="Basement_Budget28"/>
      <sheetName val="Rate_analysis28"/>
      <sheetName val="Fee_Rate_Summary28"/>
      <sheetName val="Materials_Cost28"/>
      <sheetName val="10__&amp;_11__Rate_Code_&amp;_BQ28"/>
      <sheetName val="Break_up_Sheet28"/>
      <sheetName val="B_&amp;_C_-_M_-_ccp28"/>
      <sheetName val="RES_STEEL_TO28"/>
      <sheetName val="RMZ_Summary28"/>
      <sheetName val="Materials_28"/>
      <sheetName val="Field_Values28"/>
      <sheetName val="Fin_Sum28"/>
      <sheetName val="Fill_this_out_first___28"/>
      <sheetName val="Site_Dev_BOQ28"/>
      <sheetName val="Staff_Forecast_spread28"/>
      <sheetName val="Structure_Bills_Qty28"/>
      <sheetName val="Builtup_Area28"/>
      <sheetName val="MASTER_RATE_ANALYSIS28"/>
      <sheetName val="Cop_-VGN28"/>
      <sheetName val="Pipe_Supports28"/>
      <sheetName val="MN_T_B_28"/>
      <sheetName val="BOQ_Direct_selling_cost28"/>
      <sheetName val="Stress_Calculation28"/>
      <sheetName val="IO_List28"/>
      <sheetName val="TBAL9697_-group_wise__sdpl28"/>
      <sheetName val="factor_sheet4"/>
      <sheetName val="Exp_28"/>
      <sheetName val="INDIGINEOUS_ITEMS_28"/>
      <sheetName val="E_&amp;_R28"/>
      <sheetName val="Load_Details(B1)28"/>
      <sheetName val="Break_Dw28"/>
      <sheetName val="SPT_vs_PHI28"/>
      <sheetName val="Civil_Boq28"/>
      <sheetName val="PA-_Consutant_28"/>
      <sheetName val="Debits_as_on_12_04_0828"/>
      <sheetName val="Sheet3_(2)28"/>
      <sheetName val="INDORAMA_Group_June_0228"/>
      <sheetName val="PART-I_(2)30"/>
      <sheetName val="final_abstract30"/>
      <sheetName val="Basement_Budget29"/>
      <sheetName val="Rate_analysis29"/>
      <sheetName val="Fee_Rate_Summary29"/>
      <sheetName val="Materials_Cost29"/>
      <sheetName val="10__&amp;_11__Rate_Code_&amp;_BQ29"/>
      <sheetName val="Break_up_Sheet29"/>
      <sheetName val="B_&amp;_C_-_M_-_ccp29"/>
      <sheetName val="RES_STEEL_TO29"/>
      <sheetName val="RMZ_Summary29"/>
      <sheetName val="Materials_29"/>
      <sheetName val="Field_Values29"/>
      <sheetName val="Fin_Sum29"/>
      <sheetName val="Fill_this_out_first___29"/>
      <sheetName val="Site_Dev_BOQ29"/>
      <sheetName val="Staff_Forecast_spread29"/>
      <sheetName val="Structure_Bills_Qty29"/>
      <sheetName val="Builtup_Area29"/>
      <sheetName val="MASTER_RATE_ANALYSIS29"/>
      <sheetName val="Cop_-VGN29"/>
      <sheetName val="Pipe_Supports29"/>
      <sheetName val="MN_T_B_29"/>
      <sheetName val="BOQ_Direct_selling_cost29"/>
      <sheetName val="Stress_Calculation29"/>
      <sheetName val="IO_List29"/>
      <sheetName val="TBAL9697_-group_wise__sdpl29"/>
      <sheetName val="factor_sheet5"/>
      <sheetName val="Exp_29"/>
      <sheetName val="INDIGINEOUS_ITEMS_29"/>
      <sheetName val="E_&amp;_R29"/>
      <sheetName val="Load_Details(B1)29"/>
      <sheetName val="Break_Dw29"/>
      <sheetName val="SPT_vs_PHI29"/>
      <sheetName val="Civil_Boq29"/>
      <sheetName val="PA-_Consutant_29"/>
      <sheetName val="Debits_as_on_12_04_0829"/>
      <sheetName val="Sheet3_(2)29"/>
      <sheetName val="INDORAMA_Group_June_0229"/>
      <sheetName val="PART-I_(2)31"/>
      <sheetName val="final_abstract31"/>
      <sheetName val="Basement_Budget30"/>
      <sheetName val="Rate_analysis30"/>
      <sheetName val="Fee_Rate_Summary30"/>
      <sheetName val="Materials_Cost30"/>
      <sheetName val="10__&amp;_11__Rate_Code_&amp;_BQ30"/>
      <sheetName val="Break_up_Sheet30"/>
      <sheetName val="B_&amp;_C_-_M_-_ccp30"/>
      <sheetName val="RES_STEEL_TO30"/>
      <sheetName val="RMZ_Summary30"/>
      <sheetName val="Materials_30"/>
      <sheetName val="Field_Values30"/>
      <sheetName val="Fin_Sum30"/>
      <sheetName val="Fill_this_out_first___30"/>
      <sheetName val="Site_Dev_BOQ30"/>
      <sheetName val="Staff_Forecast_spread30"/>
      <sheetName val="Structure_Bills_Qty30"/>
      <sheetName val="Builtup_Area30"/>
      <sheetName val="MASTER_RATE_ANALYSIS30"/>
      <sheetName val="Cop_-VGN30"/>
      <sheetName val="Pipe_Supports30"/>
      <sheetName val="MN_T_B_30"/>
      <sheetName val="BOQ_Direct_selling_cost30"/>
      <sheetName val="Stress_Calculation30"/>
      <sheetName val="IO_List30"/>
      <sheetName val="TBAL9697_-group_wise__sdpl30"/>
      <sheetName val="factor_sheet6"/>
      <sheetName val="Exp_30"/>
      <sheetName val="INDIGINEOUS_ITEMS_30"/>
      <sheetName val="E_&amp;_R30"/>
      <sheetName val="Load_Details(B1)30"/>
      <sheetName val="Break_Dw30"/>
      <sheetName val="SPT_vs_PHI30"/>
      <sheetName val="Civil_Boq30"/>
      <sheetName val="PA-_Consutant_30"/>
      <sheetName val="Debits_as_on_12_04_0830"/>
      <sheetName val="Sheet3_(2)30"/>
      <sheetName val="INDORAMA_Group_June_0230"/>
      <sheetName val="PART-I_(2)32"/>
      <sheetName val="final_abstract32"/>
      <sheetName val="Basement_Budget31"/>
      <sheetName val="Rate_analysis31"/>
      <sheetName val="Fee_Rate_Summary31"/>
      <sheetName val="Materials_Cost31"/>
      <sheetName val="10__&amp;_11__Rate_Code_&amp;_BQ31"/>
      <sheetName val="Break_up_Sheet31"/>
      <sheetName val="B_&amp;_C_-_M_-_ccp31"/>
      <sheetName val="RES_STEEL_TO31"/>
      <sheetName val="RMZ_Summary31"/>
      <sheetName val="Materials_31"/>
      <sheetName val="Field_Values31"/>
      <sheetName val="Fin_Sum31"/>
      <sheetName val="Fill_this_out_first___31"/>
      <sheetName val="Site_Dev_BOQ31"/>
      <sheetName val="Staff_Forecast_spread31"/>
      <sheetName val="Structure_Bills_Qty31"/>
      <sheetName val="Builtup_Area31"/>
      <sheetName val="MASTER_RATE_ANALYSIS31"/>
      <sheetName val="Cop_-VGN31"/>
      <sheetName val="Pipe_Supports31"/>
      <sheetName val="MN_T_B_31"/>
      <sheetName val="BOQ_Direct_selling_cost31"/>
      <sheetName val="Stress_Calculation31"/>
      <sheetName val="IO_List31"/>
      <sheetName val="TBAL9697_-group_wise__sdpl31"/>
      <sheetName val="factor_sheet7"/>
      <sheetName val="Exp_31"/>
      <sheetName val="INDIGINEOUS_ITEMS_31"/>
      <sheetName val="E_&amp;_R31"/>
      <sheetName val="Load_Details(B1)31"/>
      <sheetName val="Break_Dw31"/>
      <sheetName val="SPT_vs_PHI31"/>
      <sheetName val="Civil_Boq31"/>
      <sheetName val="PA-_Consutant_31"/>
      <sheetName val="Debits_as_on_12_04_0831"/>
      <sheetName val="Sheet3_(2)31"/>
      <sheetName val="INDORAMA_Group_June_0231"/>
      <sheetName val="PART-I_(2)34"/>
      <sheetName val="final_abstract34"/>
      <sheetName val="Basement_Budget33"/>
      <sheetName val="Rate_analysis33"/>
      <sheetName val="Fee_Rate_Summary33"/>
      <sheetName val="Materials_Cost33"/>
      <sheetName val="10__&amp;_11__Rate_Code_&amp;_BQ33"/>
      <sheetName val="Break_up_Sheet33"/>
      <sheetName val="B_&amp;_C_-_M_-_ccp33"/>
      <sheetName val="RES_STEEL_TO33"/>
      <sheetName val="RMZ_Summary33"/>
      <sheetName val="Materials_33"/>
      <sheetName val="Field_Values33"/>
      <sheetName val="Fin_Sum33"/>
      <sheetName val="Fill_this_out_first___33"/>
      <sheetName val="Site_Dev_BOQ33"/>
      <sheetName val="Staff_Forecast_spread33"/>
      <sheetName val="Structure_Bills_Qty33"/>
      <sheetName val="Builtup_Area33"/>
      <sheetName val="MASTER_RATE_ANALYSIS33"/>
      <sheetName val="Cop_-VGN33"/>
      <sheetName val="Pipe_Supports33"/>
      <sheetName val="MN_T_B_33"/>
      <sheetName val="BOQ_Direct_selling_cost33"/>
      <sheetName val="Stress_Calculation33"/>
      <sheetName val="IO_List33"/>
      <sheetName val="TBAL9697_-group_wise__sdpl33"/>
      <sheetName val="Exp_33"/>
      <sheetName val="INDIGINEOUS_ITEMS_33"/>
      <sheetName val="E_&amp;_R33"/>
      <sheetName val="Load_Details(B1)33"/>
      <sheetName val="Break_Dw33"/>
      <sheetName val="SPT_vs_PHI33"/>
      <sheetName val="Civil_Boq33"/>
      <sheetName val="PA-_Consutant_33"/>
      <sheetName val="Debits_as_on_12_04_0833"/>
      <sheetName val="Sheet3_(2)33"/>
      <sheetName val="INDORAMA_Group_June_0233"/>
      <sheetName val="PART-I_(2)33"/>
      <sheetName val="final_abstract33"/>
      <sheetName val="Basement_Budget32"/>
      <sheetName val="Rate_analysis32"/>
      <sheetName val="Fee_Rate_Summary32"/>
      <sheetName val="Materials_Cost32"/>
      <sheetName val="10__&amp;_11__Rate_Code_&amp;_BQ32"/>
      <sheetName val="Break_up_Sheet32"/>
      <sheetName val="B_&amp;_C_-_M_-_ccp32"/>
      <sheetName val="RES_STEEL_TO32"/>
      <sheetName val="RMZ_Summary32"/>
      <sheetName val="Materials_32"/>
      <sheetName val="Field_Values32"/>
      <sheetName val="Fin_Sum32"/>
      <sheetName val="Fill_this_out_first___32"/>
      <sheetName val="Site_Dev_BOQ32"/>
      <sheetName val="Staff_Forecast_spread32"/>
      <sheetName val="Structure_Bills_Qty32"/>
      <sheetName val="Builtup_Area32"/>
      <sheetName val="MASTER_RATE_ANALYSIS32"/>
      <sheetName val="Cop_-VGN32"/>
      <sheetName val="Pipe_Supports32"/>
      <sheetName val="MN_T_B_32"/>
      <sheetName val="BOQ_Direct_selling_cost32"/>
      <sheetName val="Stress_Calculation32"/>
      <sheetName val="IO_List32"/>
      <sheetName val="TBAL9697_-group_wise__sdpl32"/>
      <sheetName val="factor_sheet8"/>
      <sheetName val="Exp_32"/>
      <sheetName val="INDIGINEOUS_ITEMS_32"/>
      <sheetName val="E_&amp;_R32"/>
      <sheetName val="Load_Details(B1)32"/>
      <sheetName val="Break_Dw32"/>
      <sheetName val="SPT_vs_PHI32"/>
      <sheetName val="Civil_Boq32"/>
      <sheetName val="PA-_Consutant_32"/>
      <sheetName val="Debits_as_on_12_04_0832"/>
      <sheetName val="Sheet3_(2)32"/>
      <sheetName val="INDORAMA_Group_June_0232"/>
      <sheetName val="PART-I_(2)35"/>
      <sheetName val="final_abstract35"/>
      <sheetName val="Basement_Budget34"/>
      <sheetName val="Rate_analysis34"/>
      <sheetName val="Fee_Rate_Summary34"/>
      <sheetName val="Materials_Cost34"/>
      <sheetName val="10__&amp;_11__Rate_Code_&amp;_BQ34"/>
      <sheetName val="Break_up_Sheet34"/>
      <sheetName val="B_&amp;_C_-_M_-_ccp34"/>
      <sheetName val="RES_STEEL_TO34"/>
      <sheetName val="RMZ_Summary34"/>
      <sheetName val="Materials_34"/>
      <sheetName val="Field_Values34"/>
      <sheetName val="Fin_Sum34"/>
      <sheetName val="Fill_this_out_first___34"/>
      <sheetName val="Site_Dev_BOQ34"/>
      <sheetName val="Staff_Forecast_spread34"/>
      <sheetName val="Structure_Bills_Qty34"/>
      <sheetName val="Builtup_Area34"/>
      <sheetName val="MASTER_RATE_ANALYSIS34"/>
      <sheetName val="Cop_-VGN34"/>
      <sheetName val="Pipe_Supports34"/>
      <sheetName val="MN_T_B_34"/>
      <sheetName val="BOQ_Direct_selling_cost34"/>
      <sheetName val="Stress_Calculation34"/>
      <sheetName val="IO_List34"/>
      <sheetName val="TBAL9697_-group_wise__sdpl34"/>
      <sheetName val="factor_sheet9"/>
      <sheetName val="Exp_34"/>
      <sheetName val="INDIGINEOUS_ITEMS_34"/>
      <sheetName val="E_&amp;_R34"/>
      <sheetName val="Load_Details(B1)34"/>
      <sheetName val="Break_Dw34"/>
      <sheetName val="SPT_vs_PHI34"/>
      <sheetName val="Civil_Boq34"/>
      <sheetName val="PA-_Consutant_34"/>
      <sheetName val="Debits_as_on_12_04_0834"/>
      <sheetName val="Sheet3_(2)34"/>
      <sheetName val="INDORAMA_Group_June_0234"/>
      <sheetName val="PART-I_(2)36"/>
      <sheetName val="final_abstract36"/>
      <sheetName val="Basement_Budget35"/>
      <sheetName val="Rate_analysis35"/>
      <sheetName val="Fee_Rate_Summary35"/>
      <sheetName val="Materials_Cost35"/>
      <sheetName val="10__&amp;_11__Rate_Code_&amp;_BQ35"/>
      <sheetName val="Break_up_Sheet35"/>
      <sheetName val="B_&amp;_C_-_M_-_ccp35"/>
      <sheetName val="RES_STEEL_TO35"/>
      <sheetName val="RMZ_Summary35"/>
      <sheetName val="Materials_35"/>
      <sheetName val="Field_Values35"/>
      <sheetName val="Fin_Sum35"/>
      <sheetName val="Fill_this_out_first___35"/>
      <sheetName val="Site_Dev_BOQ35"/>
      <sheetName val="Staff_Forecast_spread35"/>
      <sheetName val="Structure_Bills_Qty35"/>
      <sheetName val="Builtup_Area35"/>
      <sheetName val="MASTER_RATE_ANALYSIS35"/>
      <sheetName val="Cop_-VGN35"/>
      <sheetName val="Pipe_Supports35"/>
      <sheetName val="MN_T_B_35"/>
      <sheetName val="BOQ_Direct_selling_cost35"/>
      <sheetName val="Stress_Calculation35"/>
      <sheetName val="IO_List35"/>
      <sheetName val="TBAL9697_-group_wise__sdpl35"/>
      <sheetName val="factor_sheet10"/>
      <sheetName val="Exp_35"/>
      <sheetName val="INDIGINEOUS_ITEMS_35"/>
      <sheetName val="E_&amp;_R35"/>
      <sheetName val="Load_Details(B1)35"/>
      <sheetName val="Break_Dw35"/>
      <sheetName val="SPT_vs_PHI35"/>
      <sheetName val="Civil_Boq35"/>
      <sheetName val="PA-_Consutant_35"/>
      <sheetName val="Debits_as_on_12_04_0835"/>
      <sheetName val="Sheet3_(2)35"/>
      <sheetName val="INDORAMA_Group_June_0235"/>
      <sheetName val="PART-I_(2)37"/>
      <sheetName val="final_abstract37"/>
      <sheetName val="Basement_Budget36"/>
      <sheetName val="Rate_analysis36"/>
      <sheetName val="Fee_Rate_Summary36"/>
      <sheetName val="Materials_Cost36"/>
      <sheetName val="10__&amp;_11__Rate_Code_&amp;_BQ36"/>
      <sheetName val="Break_up_Sheet36"/>
      <sheetName val="B_&amp;_C_-_M_-_ccp36"/>
      <sheetName val="RES_STEEL_TO36"/>
      <sheetName val="RMZ_Summary36"/>
      <sheetName val="Materials_36"/>
      <sheetName val="Field_Values36"/>
      <sheetName val="Fin_Sum36"/>
      <sheetName val="Fill_this_out_first___36"/>
      <sheetName val="Site_Dev_BOQ36"/>
      <sheetName val="Staff_Forecast_spread36"/>
      <sheetName val="Structure_Bills_Qty36"/>
      <sheetName val="Builtup_Area36"/>
      <sheetName val="MASTER_RATE_ANALYSIS36"/>
      <sheetName val="Cop_-VGN36"/>
      <sheetName val="Pipe_Supports36"/>
      <sheetName val="MN_T_B_36"/>
      <sheetName val="BOQ_Direct_selling_cost36"/>
      <sheetName val="Stress_Calculation36"/>
      <sheetName val="IO_List36"/>
      <sheetName val="TBAL9697_-group_wise__sdpl36"/>
      <sheetName val="factor_sheet11"/>
      <sheetName val="Exp_36"/>
      <sheetName val="INDIGINEOUS_ITEMS_36"/>
      <sheetName val="E_&amp;_R36"/>
      <sheetName val="Load_Details(B1)36"/>
      <sheetName val="Break_Dw36"/>
      <sheetName val="SPT_vs_PHI36"/>
      <sheetName val="Civil_Boq36"/>
      <sheetName val="PA-_Consutant_36"/>
      <sheetName val="Debits_as_on_12_04_0836"/>
      <sheetName val="Sheet3_(2)36"/>
      <sheetName val="INDORAMA_Group_June_0236"/>
      <sheetName val="PART-I_(2)44"/>
      <sheetName val="final_abstract44"/>
      <sheetName val="Basement_Budget43"/>
      <sheetName val="Rate_analysis43"/>
      <sheetName val="Fee_Rate_Summary43"/>
      <sheetName val="Materials_Cost43"/>
      <sheetName val="10__&amp;_11__Rate_Code_&amp;_BQ43"/>
      <sheetName val="Break_up_Sheet43"/>
      <sheetName val="B_&amp;_C_-_M_-_ccp43"/>
      <sheetName val="RES_STEEL_TO43"/>
      <sheetName val="RMZ_Summary43"/>
      <sheetName val="Materials_43"/>
      <sheetName val="Field_Values43"/>
      <sheetName val="Fin_Sum43"/>
      <sheetName val="Fill_this_out_first___43"/>
      <sheetName val="Site_Dev_BOQ43"/>
      <sheetName val="Staff_Forecast_spread43"/>
      <sheetName val="Structure_Bills_Qty43"/>
      <sheetName val="Builtup_Area43"/>
      <sheetName val="MASTER_RATE_ANALYSIS43"/>
      <sheetName val="Cop_-VGN43"/>
      <sheetName val="Pipe_Supports43"/>
      <sheetName val="MN_T_B_43"/>
      <sheetName val="BOQ_Direct_selling_cost43"/>
      <sheetName val="Stress_Calculation43"/>
      <sheetName val="IO_List43"/>
      <sheetName val="TBAL9697_-group_wise__sdpl43"/>
      <sheetName val="factor_sheet16"/>
      <sheetName val="Exp_43"/>
      <sheetName val="INDIGINEOUS_ITEMS_43"/>
      <sheetName val="E_&amp;_R43"/>
      <sheetName val="Load_Details(B1)43"/>
      <sheetName val="Break_Dw43"/>
      <sheetName val="SPT_vs_PHI43"/>
      <sheetName val="Civil_Boq43"/>
      <sheetName val="PA-_Consutant_43"/>
      <sheetName val="Debits_as_on_12_04_0843"/>
      <sheetName val="Sheet3_(2)43"/>
      <sheetName val="INDORAMA_Group_June_0243"/>
      <sheetName val="PART-I_(2)39"/>
      <sheetName val="final_abstract39"/>
      <sheetName val="Basement_Budget38"/>
      <sheetName val="Rate_analysis38"/>
      <sheetName val="Fee_Rate_Summary38"/>
      <sheetName val="Materials_Cost38"/>
      <sheetName val="10__&amp;_11__Rate_Code_&amp;_BQ38"/>
      <sheetName val="Break_up_Sheet38"/>
      <sheetName val="B_&amp;_C_-_M_-_ccp38"/>
      <sheetName val="RES_STEEL_TO38"/>
      <sheetName val="RMZ_Summary38"/>
      <sheetName val="Materials_38"/>
      <sheetName val="Field_Values38"/>
      <sheetName val="Fin_Sum38"/>
      <sheetName val="Fill_this_out_first___38"/>
      <sheetName val="Site_Dev_BOQ38"/>
      <sheetName val="Staff_Forecast_spread38"/>
      <sheetName val="Structure_Bills_Qty38"/>
      <sheetName val="Builtup_Area38"/>
      <sheetName val="MASTER_RATE_ANALYSIS38"/>
      <sheetName val="Cop_-VGN38"/>
      <sheetName val="Pipe_Supports38"/>
      <sheetName val="MN_T_B_38"/>
      <sheetName val="BOQ_Direct_selling_cost38"/>
      <sheetName val="Stress_Calculation38"/>
      <sheetName val="IO_List38"/>
      <sheetName val="TBAL9697_-group_wise__sdpl38"/>
      <sheetName val="Exp_38"/>
      <sheetName val="INDIGINEOUS_ITEMS_38"/>
      <sheetName val="E_&amp;_R38"/>
      <sheetName val="Load_Details(B1)38"/>
      <sheetName val="Break_Dw38"/>
      <sheetName val="SPT_vs_PHI38"/>
      <sheetName val="Civil_Boq38"/>
      <sheetName val="PA-_Consutant_38"/>
      <sheetName val="Debits_as_on_12_04_0838"/>
      <sheetName val="Sheet3_(2)38"/>
      <sheetName val="INDORAMA_Group_June_0238"/>
      <sheetName val="PART-I_(2)40"/>
      <sheetName val="final_abstract40"/>
      <sheetName val="Basement_Budget39"/>
      <sheetName val="Rate_analysis39"/>
      <sheetName val="Fee_Rate_Summary39"/>
      <sheetName val="Materials_Cost39"/>
      <sheetName val="10__&amp;_11__Rate_Code_&amp;_BQ39"/>
      <sheetName val="Break_up_Sheet39"/>
      <sheetName val="B_&amp;_C_-_M_-_ccp39"/>
      <sheetName val="RES_STEEL_TO39"/>
      <sheetName val="RMZ_Summary39"/>
      <sheetName val="Materials_39"/>
      <sheetName val="Field_Values39"/>
      <sheetName val="Fin_Sum39"/>
      <sheetName val="Fill_this_out_first___39"/>
      <sheetName val="Site_Dev_BOQ39"/>
      <sheetName val="Staff_Forecast_spread39"/>
      <sheetName val="Structure_Bills_Qty39"/>
      <sheetName val="Builtup_Area39"/>
      <sheetName val="MASTER_RATE_ANALYSIS39"/>
      <sheetName val="Cop_-VGN39"/>
      <sheetName val="Pipe_Supports39"/>
      <sheetName val="MN_T_B_39"/>
      <sheetName val="BOQ_Direct_selling_cost39"/>
      <sheetName val="Stress_Calculation39"/>
      <sheetName val="IO_List39"/>
      <sheetName val="TBAL9697_-group_wise__sdpl39"/>
      <sheetName val="Exp_39"/>
      <sheetName val="INDIGINEOUS_ITEMS_39"/>
      <sheetName val="E_&amp;_R39"/>
      <sheetName val="Load_Details(B1)39"/>
      <sheetName val="Break_Dw39"/>
      <sheetName val="SPT_vs_PHI39"/>
      <sheetName val="Civil_Boq39"/>
      <sheetName val="PA-_Consutant_39"/>
      <sheetName val="Debits_as_on_12_04_0839"/>
      <sheetName val="Sheet3_(2)39"/>
      <sheetName val="INDORAMA_Group_June_0239"/>
      <sheetName val="PART-I_(2)42"/>
      <sheetName val="final_abstract42"/>
      <sheetName val="Basement_Budget41"/>
      <sheetName val="Rate_analysis41"/>
      <sheetName val="Fee_Rate_Summary41"/>
      <sheetName val="Materials_Cost41"/>
      <sheetName val="10__&amp;_11__Rate_Code_&amp;_BQ41"/>
      <sheetName val="Break_up_Sheet41"/>
      <sheetName val="B_&amp;_C_-_M_-_ccp41"/>
      <sheetName val="RES_STEEL_TO41"/>
      <sheetName val="RMZ_Summary41"/>
      <sheetName val="Materials_41"/>
      <sheetName val="Field_Values41"/>
      <sheetName val="Fin_Sum41"/>
      <sheetName val="Fill_this_out_first___41"/>
      <sheetName val="Site_Dev_BOQ41"/>
      <sheetName val="Staff_Forecast_spread41"/>
      <sheetName val="Structure_Bills_Qty41"/>
      <sheetName val="Builtup_Area41"/>
      <sheetName val="MASTER_RATE_ANALYSIS41"/>
      <sheetName val="Cop_-VGN41"/>
      <sheetName val="Pipe_Supports41"/>
      <sheetName val="MN_T_B_41"/>
      <sheetName val="BOQ_Direct_selling_cost41"/>
      <sheetName val="Stress_Calculation41"/>
      <sheetName val="IO_List41"/>
      <sheetName val="TBAL9697_-group_wise__sdpl41"/>
      <sheetName val="factor_sheet14"/>
      <sheetName val="Exp_41"/>
      <sheetName val="INDIGINEOUS_ITEMS_41"/>
      <sheetName val="E_&amp;_R41"/>
      <sheetName val="Load_Details(B1)41"/>
      <sheetName val="Break_Dw41"/>
      <sheetName val="SPT_vs_PHI41"/>
      <sheetName val="Civil_Boq41"/>
      <sheetName val="PA-_Consutant_41"/>
      <sheetName val="Debits_as_on_12_04_0841"/>
      <sheetName val="Sheet3_(2)41"/>
      <sheetName val="INDORAMA_Group_June_0241"/>
      <sheetName val="PART-I_(2)41"/>
      <sheetName val="final_abstract41"/>
      <sheetName val="Basement_Budget40"/>
      <sheetName val="Rate_analysis40"/>
      <sheetName val="Fee_Rate_Summary40"/>
      <sheetName val="Materials_Cost40"/>
      <sheetName val="10__&amp;_11__Rate_Code_&amp;_BQ40"/>
      <sheetName val="Break_up_Sheet40"/>
      <sheetName val="B_&amp;_C_-_M_-_ccp40"/>
      <sheetName val="RES_STEEL_TO40"/>
      <sheetName val="RMZ_Summary40"/>
      <sheetName val="Materials_40"/>
      <sheetName val="Field_Values40"/>
      <sheetName val="Fin_Sum40"/>
      <sheetName val="Fill_this_out_first___40"/>
      <sheetName val="Site_Dev_BOQ40"/>
      <sheetName val="Staff_Forecast_spread40"/>
      <sheetName val="Structure_Bills_Qty40"/>
      <sheetName val="Builtup_Area40"/>
      <sheetName val="MASTER_RATE_ANALYSIS40"/>
      <sheetName val="Cop_-VGN40"/>
      <sheetName val="Pipe_Supports40"/>
      <sheetName val="MN_T_B_40"/>
      <sheetName val="BOQ_Direct_selling_cost40"/>
      <sheetName val="Stress_Calculation40"/>
      <sheetName val="IO_List40"/>
      <sheetName val="TBAL9697_-group_wise__sdpl40"/>
      <sheetName val="factor_sheet13"/>
      <sheetName val="Exp_40"/>
      <sheetName val="INDIGINEOUS_ITEMS_40"/>
      <sheetName val="E_&amp;_R40"/>
      <sheetName val="Load_Details(B1)40"/>
      <sheetName val="Break_Dw40"/>
      <sheetName val="SPT_vs_PHI40"/>
      <sheetName val="Civil_Boq40"/>
      <sheetName val="PA-_Consutant_40"/>
      <sheetName val="Debits_as_on_12_04_0840"/>
      <sheetName val="Sheet3_(2)40"/>
      <sheetName val="INDORAMA_Group_June_0240"/>
      <sheetName val="PART-I_(2)43"/>
      <sheetName val="final_abstract43"/>
      <sheetName val="Basement_Budget42"/>
      <sheetName val="Rate_analysis42"/>
      <sheetName val="Fee_Rate_Summary42"/>
      <sheetName val="Materials_Cost42"/>
      <sheetName val="10__&amp;_11__Rate_Code_&amp;_BQ42"/>
      <sheetName val="Break_up_Sheet42"/>
      <sheetName val="B_&amp;_C_-_M_-_ccp42"/>
      <sheetName val="RES_STEEL_TO42"/>
      <sheetName val="RMZ_Summary42"/>
      <sheetName val="Materials_42"/>
      <sheetName val="Field_Values42"/>
      <sheetName val="Fin_Sum42"/>
      <sheetName val="Fill_this_out_first___42"/>
      <sheetName val="Site_Dev_BOQ42"/>
      <sheetName val="Staff_Forecast_spread42"/>
      <sheetName val="Structure_Bills_Qty42"/>
      <sheetName val="Builtup_Area42"/>
      <sheetName val="MASTER_RATE_ANALYSIS42"/>
      <sheetName val="Cop_-VGN42"/>
      <sheetName val="Pipe_Supports42"/>
      <sheetName val="MN_T_B_42"/>
      <sheetName val="BOQ_Direct_selling_cost42"/>
      <sheetName val="Stress_Calculation42"/>
      <sheetName val="IO_List42"/>
      <sheetName val="TBAL9697_-group_wise__sdpl42"/>
      <sheetName val="factor_sheet15"/>
      <sheetName val="Exp_42"/>
      <sheetName val="INDIGINEOUS_ITEMS_42"/>
      <sheetName val="E_&amp;_R42"/>
      <sheetName val="Load_Details(B1)42"/>
      <sheetName val="Break_Dw42"/>
      <sheetName val="SPT_vs_PHI42"/>
      <sheetName val="Civil_Boq42"/>
      <sheetName val="PA-_Consutant_42"/>
      <sheetName val="Debits_as_on_12_04_0842"/>
      <sheetName val="Sheet3_(2)42"/>
      <sheetName val="INDORAMA_Group_June_0242"/>
      <sheetName val="PART-I_(2)45"/>
      <sheetName val="final_abstract45"/>
      <sheetName val="Basement_Budget44"/>
      <sheetName val="Rate_analysis44"/>
      <sheetName val="Fee_Rate_Summary44"/>
      <sheetName val="Materials_Cost44"/>
      <sheetName val="10__&amp;_11__Rate_Code_&amp;_BQ44"/>
      <sheetName val="Break_up_Sheet44"/>
      <sheetName val="B_&amp;_C_-_M_-_ccp44"/>
      <sheetName val="RES_STEEL_TO44"/>
      <sheetName val="RMZ_Summary44"/>
      <sheetName val="Materials_44"/>
      <sheetName val="Field_Values44"/>
      <sheetName val="Fin_Sum44"/>
      <sheetName val="Fill_this_out_first___44"/>
      <sheetName val="Site_Dev_BOQ44"/>
      <sheetName val="Staff_Forecast_spread44"/>
      <sheetName val="Structure_Bills_Qty44"/>
      <sheetName val="Builtup_Area44"/>
      <sheetName val="MASTER_RATE_ANALYSIS44"/>
      <sheetName val="Cop_-VGN44"/>
      <sheetName val="Pipe_Supports44"/>
      <sheetName val="MN_T_B_44"/>
      <sheetName val="BOQ_Direct_selling_cost44"/>
      <sheetName val="Stress_Calculation44"/>
      <sheetName val="IO_List44"/>
      <sheetName val="TBAL9697_-group_wise__sdpl44"/>
      <sheetName val="factor_sheet17"/>
      <sheetName val="Exp_44"/>
      <sheetName val="INDIGINEOUS_ITEMS_44"/>
      <sheetName val="E_&amp;_R44"/>
      <sheetName val="Load_Details(B1)44"/>
      <sheetName val="Break_Dw44"/>
      <sheetName val="SPT_vs_PHI44"/>
      <sheetName val="Civil_Boq44"/>
      <sheetName val="PA-_Consutant_44"/>
      <sheetName val="Debits_as_on_12_04_0844"/>
      <sheetName val="Sheet3_(2)44"/>
      <sheetName val="INDORAMA_Group_June_0244"/>
      <sheetName val="PART-I_(2)58"/>
      <sheetName val="final_abstract58"/>
      <sheetName val="Basement_Budget57"/>
      <sheetName val="Rate_analysis57"/>
      <sheetName val="Fee_Rate_Summary57"/>
      <sheetName val="Materials_Cost57"/>
      <sheetName val="10__&amp;_11__Rate_Code_&amp;_BQ57"/>
      <sheetName val="Break_up_Sheet57"/>
      <sheetName val="B_&amp;_C_-_M_-_ccp57"/>
      <sheetName val="RES_STEEL_TO57"/>
      <sheetName val="RMZ_Summary57"/>
      <sheetName val="Materials_57"/>
      <sheetName val="Field_Values57"/>
      <sheetName val="Fin_Sum57"/>
      <sheetName val="Fill_this_out_first___57"/>
      <sheetName val="Site_Dev_BOQ57"/>
      <sheetName val="Staff_Forecast_spread57"/>
      <sheetName val="Structure_Bills_Qty57"/>
      <sheetName val="Builtup_Area57"/>
      <sheetName val="MASTER_RATE_ANALYSIS57"/>
      <sheetName val="Cop_-VGN57"/>
      <sheetName val="Pipe_Supports57"/>
      <sheetName val="MN_T_B_57"/>
      <sheetName val="BOQ_Direct_selling_cost57"/>
      <sheetName val="Stress_Calculation57"/>
      <sheetName val="IO_List57"/>
      <sheetName val="TBAL9697_-group_wise__sdpl57"/>
      <sheetName val="factor_sheet30"/>
      <sheetName val="Exp_57"/>
      <sheetName val="INDIGINEOUS_ITEMS_57"/>
      <sheetName val="E_&amp;_R57"/>
      <sheetName val="Load_Details(B1)57"/>
      <sheetName val="Break_Dw57"/>
      <sheetName val="SPT_vs_PHI57"/>
      <sheetName val="Civil_Boq57"/>
      <sheetName val="PA-_Consutant_57"/>
      <sheetName val="Debits_as_on_12_04_0857"/>
      <sheetName val="Sheet3_(2)57"/>
      <sheetName val="INDORAMA_Group_June_0257"/>
      <sheetName val="PART-I_(2)46"/>
      <sheetName val="final_abstract46"/>
      <sheetName val="Basement_Budget45"/>
      <sheetName val="Rate_analysis45"/>
      <sheetName val="Fee_Rate_Summary45"/>
      <sheetName val="Materials_Cost45"/>
      <sheetName val="10__&amp;_11__Rate_Code_&amp;_BQ45"/>
      <sheetName val="Break_up_Sheet45"/>
      <sheetName val="B_&amp;_C_-_M_-_ccp45"/>
      <sheetName val="RES_STEEL_TO45"/>
      <sheetName val="RMZ_Summary45"/>
      <sheetName val="Materials_45"/>
      <sheetName val="Field_Values45"/>
      <sheetName val="Fin_Sum45"/>
      <sheetName val="Fill_this_out_first___45"/>
      <sheetName val="Site_Dev_BOQ45"/>
      <sheetName val="Staff_Forecast_spread45"/>
      <sheetName val="Structure_Bills_Qty45"/>
      <sheetName val="Builtup_Area45"/>
      <sheetName val="MASTER_RATE_ANALYSIS45"/>
      <sheetName val="Cop_-VGN45"/>
      <sheetName val="Pipe_Supports45"/>
      <sheetName val="MN_T_B_45"/>
      <sheetName val="BOQ_Direct_selling_cost45"/>
      <sheetName val="Stress_Calculation45"/>
      <sheetName val="IO_List45"/>
      <sheetName val="TBAL9697_-group_wise__sdpl45"/>
      <sheetName val="factor_sheet18"/>
      <sheetName val="Exp_45"/>
      <sheetName val="INDIGINEOUS_ITEMS_45"/>
      <sheetName val="E_&amp;_R45"/>
      <sheetName val="Load_Details(B1)45"/>
      <sheetName val="Break_Dw45"/>
      <sheetName val="SPT_vs_PHI45"/>
      <sheetName val="Civil_Boq45"/>
      <sheetName val="PA-_Consutant_45"/>
      <sheetName val="Debits_as_on_12_04_0845"/>
      <sheetName val="Sheet3_(2)45"/>
      <sheetName val="INDORAMA_Group_June_0245"/>
      <sheetName val="PART-I_(2)47"/>
      <sheetName val="final_abstract47"/>
      <sheetName val="Basement_Budget46"/>
      <sheetName val="Rate_analysis46"/>
      <sheetName val="Fee_Rate_Summary46"/>
      <sheetName val="Materials_Cost46"/>
      <sheetName val="10__&amp;_11__Rate_Code_&amp;_BQ46"/>
      <sheetName val="Break_up_Sheet46"/>
      <sheetName val="B_&amp;_C_-_M_-_ccp46"/>
      <sheetName val="RES_STEEL_TO46"/>
      <sheetName val="RMZ_Summary46"/>
      <sheetName val="Materials_46"/>
      <sheetName val="Field_Values46"/>
      <sheetName val="Fin_Sum46"/>
      <sheetName val="Fill_this_out_first___46"/>
      <sheetName val="Site_Dev_BOQ46"/>
      <sheetName val="Staff_Forecast_spread46"/>
      <sheetName val="Structure_Bills_Qty46"/>
      <sheetName val="Builtup_Area46"/>
      <sheetName val="MASTER_RATE_ANALYSIS46"/>
      <sheetName val="Cop_-VGN46"/>
      <sheetName val="Pipe_Supports46"/>
      <sheetName val="MN_T_B_46"/>
      <sheetName val="BOQ_Direct_selling_cost46"/>
      <sheetName val="Stress_Calculation46"/>
      <sheetName val="IO_List46"/>
      <sheetName val="TBAL9697_-group_wise__sdpl46"/>
      <sheetName val="factor_sheet19"/>
      <sheetName val="Exp_46"/>
      <sheetName val="INDIGINEOUS_ITEMS_46"/>
      <sheetName val="E_&amp;_R46"/>
      <sheetName val="Load_Details(B1)46"/>
      <sheetName val="Break_Dw46"/>
      <sheetName val="SPT_vs_PHI46"/>
      <sheetName val="Civil_Boq46"/>
      <sheetName val="PA-_Consutant_46"/>
      <sheetName val="Debits_as_on_12_04_0846"/>
      <sheetName val="Sheet3_(2)46"/>
      <sheetName val="INDORAMA_Group_June_0246"/>
      <sheetName val="PART-I_(2)50"/>
      <sheetName val="final_abstract50"/>
      <sheetName val="Basement_Budget49"/>
      <sheetName val="Rate_analysis49"/>
      <sheetName val="Fee_Rate_Summary49"/>
      <sheetName val="Materials_Cost49"/>
      <sheetName val="10__&amp;_11__Rate_Code_&amp;_BQ49"/>
      <sheetName val="Break_up_Sheet49"/>
      <sheetName val="B_&amp;_C_-_M_-_ccp49"/>
      <sheetName val="RES_STEEL_TO49"/>
      <sheetName val="RMZ_Summary49"/>
      <sheetName val="Materials_49"/>
      <sheetName val="Field_Values49"/>
      <sheetName val="Fin_Sum49"/>
      <sheetName val="Fill_this_out_first___49"/>
      <sheetName val="Site_Dev_BOQ49"/>
      <sheetName val="Staff_Forecast_spread49"/>
      <sheetName val="Structure_Bills_Qty49"/>
      <sheetName val="Builtup_Area49"/>
      <sheetName val="MASTER_RATE_ANALYSIS49"/>
      <sheetName val="Cop_-VGN49"/>
      <sheetName val="Pipe_Supports49"/>
      <sheetName val="MN_T_B_49"/>
      <sheetName val="BOQ_Direct_selling_cost49"/>
      <sheetName val="Stress_Calculation49"/>
      <sheetName val="IO_List49"/>
      <sheetName val="TBAL9697_-group_wise__sdpl49"/>
      <sheetName val="factor_sheet22"/>
      <sheetName val="Exp_49"/>
      <sheetName val="INDIGINEOUS_ITEMS_49"/>
      <sheetName val="E_&amp;_R49"/>
      <sheetName val="Load_Details(B1)49"/>
      <sheetName val="Break_Dw49"/>
      <sheetName val="SPT_vs_PHI49"/>
      <sheetName val="Civil_Boq49"/>
      <sheetName val="PA-_Consutant_49"/>
      <sheetName val="Debits_as_on_12_04_0849"/>
      <sheetName val="Sheet3_(2)49"/>
      <sheetName val="INDORAMA_Group_June_0249"/>
      <sheetName val="PART-I_(2)48"/>
      <sheetName val="final_abstract48"/>
      <sheetName val="Basement_Budget47"/>
      <sheetName val="Rate_analysis47"/>
      <sheetName val="Fee_Rate_Summary47"/>
      <sheetName val="Materials_Cost47"/>
      <sheetName val="10__&amp;_11__Rate_Code_&amp;_BQ47"/>
      <sheetName val="Break_up_Sheet47"/>
      <sheetName val="B_&amp;_C_-_M_-_ccp47"/>
      <sheetName val="RES_STEEL_TO47"/>
      <sheetName val="RMZ_Summary47"/>
      <sheetName val="Materials_47"/>
      <sheetName val="Field_Values47"/>
      <sheetName val="Fin_Sum47"/>
      <sheetName val="Fill_this_out_first___47"/>
      <sheetName val="Site_Dev_BOQ47"/>
      <sheetName val="Staff_Forecast_spread47"/>
      <sheetName val="Structure_Bills_Qty47"/>
      <sheetName val="Builtup_Area47"/>
      <sheetName val="MASTER_RATE_ANALYSIS47"/>
      <sheetName val="Cop_-VGN47"/>
      <sheetName val="Pipe_Supports47"/>
      <sheetName val="MN_T_B_47"/>
      <sheetName val="BOQ_Direct_selling_cost47"/>
      <sheetName val="Stress_Calculation47"/>
      <sheetName val="IO_List47"/>
      <sheetName val="TBAL9697_-group_wise__sdpl47"/>
      <sheetName val="factor_sheet20"/>
      <sheetName val="Exp_47"/>
      <sheetName val="INDIGINEOUS_ITEMS_47"/>
      <sheetName val="E_&amp;_R47"/>
      <sheetName val="Load_Details(B1)47"/>
      <sheetName val="Break_Dw47"/>
      <sheetName val="SPT_vs_PHI47"/>
      <sheetName val="Civil_Boq47"/>
      <sheetName val="PA-_Consutant_47"/>
      <sheetName val="Debits_as_on_12_04_0847"/>
      <sheetName val="Sheet3_(2)47"/>
      <sheetName val="INDORAMA_Group_June_0247"/>
      <sheetName val="PART-I_(2)49"/>
      <sheetName val="final_abstract49"/>
      <sheetName val="Basement_Budget48"/>
      <sheetName val="Rate_analysis48"/>
      <sheetName val="Fee_Rate_Summary48"/>
      <sheetName val="Materials_Cost48"/>
      <sheetName val="10__&amp;_11__Rate_Code_&amp;_BQ48"/>
      <sheetName val="Break_up_Sheet48"/>
      <sheetName val="B_&amp;_C_-_M_-_ccp48"/>
      <sheetName val="RES_STEEL_TO48"/>
      <sheetName val="RMZ_Summary48"/>
      <sheetName val="Materials_48"/>
      <sheetName val="Field_Values48"/>
      <sheetName val="Fin_Sum48"/>
      <sheetName val="Fill_this_out_first___48"/>
      <sheetName val="Site_Dev_BOQ48"/>
      <sheetName val="Staff_Forecast_spread48"/>
      <sheetName val="Structure_Bills_Qty48"/>
      <sheetName val="Builtup_Area48"/>
      <sheetName val="MASTER_RATE_ANALYSIS48"/>
      <sheetName val="Cop_-VGN48"/>
      <sheetName val="Pipe_Supports48"/>
      <sheetName val="MN_T_B_48"/>
      <sheetName val="BOQ_Direct_selling_cost48"/>
      <sheetName val="Stress_Calculation48"/>
      <sheetName val="IO_List48"/>
      <sheetName val="TBAL9697_-group_wise__sdpl48"/>
      <sheetName val="factor_sheet21"/>
      <sheetName val="Exp_48"/>
      <sheetName val="INDIGINEOUS_ITEMS_48"/>
      <sheetName val="E_&amp;_R48"/>
      <sheetName val="Load_Details(B1)48"/>
      <sheetName val="Break_Dw48"/>
      <sheetName val="SPT_vs_PHI48"/>
      <sheetName val="Civil_Boq48"/>
      <sheetName val="PA-_Consutant_48"/>
      <sheetName val="Debits_as_on_12_04_0848"/>
      <sheetName val="Sheet3_(2)48"/>
      <sheetName val="INDORAMA_Group_June_0248"/>
      <sheetName val="PART-I_(2)51"/>
      <sheetName val="final_abstract51"/>
      <sheetName val="Basement_Budget50"/>
      <sheetName val="Rate_analysis50"/>
      <sheetName val="Fee_Rate_Summary50"/>
      <sheetName val="Materials_Cost50"/>
      <sheetName val="10__&amp;_11__Rate_Code_&amp;_BQ50"/>
      <sheetName val="Break_up_Sheet50"/>
      <sheetName val="B_&amp;_C_-_M_-_ccp50"/>
      <sheetName val="RES_STEEL_TO50"/>
      <sheetName val="RMZ_Summary50"/>
      <sheetName val="Materials_50"/>
      <sheetName val="Field_Values50"/>
      <sheetName val="Fin_Sum50"/>
      <sheetName val="Fill_this_out_first___50"/>
      <sheetName val="Site_Dev_BOQ50"/>
      <sheetName val="Staff_Forecast_spread50"/>
      <sheetName val="Structure_Bills_Qty50"/>
      <sheetName val="Builtup_Area50"/>
      <sheetName val="MASTER_RATE_ANALYSIS50"/>
      <sheetName val="Cop_-VGN50"/>
      <sheetName val="Pipe_Supports50"/>
      <sheetName val="MN_T_B_50"/>
      <sheetName val="BOQ_Direct_selling_cost50"/>
      <sheetName val="Stress_Calculation50"/>
      <sheetName val="IO_List50"/>
      <sheetName val="TBAL9697_-group_wise__sdpl50"/>
      <sheetName val="factor_sheet23"/>
      <sheetName val="Exp_50"/>
      <sheetName val="INDIGINEOUS_ITEMS_50"/>
      <sheetName val="E_&amp;_R50"/>
      <sheetName val="Load_Details(B1)50"/>
      <sheetName val="Break_Dw50"/>
      <sheetName val="SPT_vs_PHI50"/>
      <sheetName val="Civil_Boq50"/>
      <sheetName val="PA-_Consutant_50"/>
      <sheetName val="Debits_as_on_12_04_0850"/>
      <sheetName val="Sheet3_(2)50"/>
      <sheetName val="INDORAMA_Group_June_0250"/>
      <sheetName val="PART-I_(2)52"/>
      <sheetName val="final_abstract52"/>
      <sheetName val="Basement_Budget51"/>
      <sheetName val="Rate_analysis51"/>
      <sheetName val="Fee_Rate_Summary51"/>
      <sheetName val="Materials_Cost51"/>
      <sheetName val="10__&amp;_11__Rate_Code_&amp;_BQ51"/>
      <sheetName val="Break_up_Sheet51"/>
      <sheetName val="B_&amp;_C_-_M_-_ccp51"/>
      <sheetName val="RES_STEEL_TO51"/>
      <sheetName val="RMZ_Summary51"/>
      <sheetName val="Materials_51"/>
      <sheetName val="Field_Values51"/>
      <sheetName val="Fin_Sum51"/>
      <sheetName val="Fill_this_out_first___51"/>
      <sheetName val="Site_Dev_BOQ51"/>
      <sheetName val="Staff_Forecast_spread51"/>
      <sheetName val="Structure_Bills_Qty51"/>
      <sheetName val="Builtup_Area51"/>
      <sheetName val="MASTER_RATE_ANALYSIS51"/>
      <sheetName val="Cop_-VGN51"/>
      <sheetName val="Pipe_Supports51"/>
      <sheetName val="MN_T_B_51"/>
      <sheetName val="BOQ_Direct_selling_cost51"/>
      <sheetName val="Stress_Calculation51"/>
      <sheetName val="IO_List51"/>
      <sheetName val="TBAL9697_-group_wise__sdpl51"/>
      <sheetName val="factor_sheet24"/>
      <sheetName val="Exp_51"/>
      <sheetName val="INDIGINEOUS_ITEMS_51"/>
      <sheetName val="E_&amp;_R51"/>
      <sheetName val="Load_Details(B1)51"/>
      <sheetName val="Break_Dw51"/>
      <sheetName val="SPT_vs_PHI51"/>
      <sheetName val="Civil_Boq51"/>
      <sheetName val="PA-_Consutant_51"/>
      <sheetName val="Debits_as_on_12_04_0851"/>
      <sheetName val="Sheet3_(2)51"/>
      <sheetName val="INDORAMA_Group_June_0251"/>
      <sheetName val="PART-I_(2)53"/>
      <sheetName val="final_abstract53"/>
      <sheetName val="Basement_Budget52"/>
      <sheetName val="Rate_analysis52"/>
      <sheetName val="Fee_Rate_Summary52"/>
      <sheetName val="Materials_Cost52"/>
      <sheetName val="10__&amp;_11__Rate_Code_&amp;_BQ52"/>
      <sheetName val="Break_up_Sheet52"/>
      <sheetName val="B_&amp;_C_-_M_-_ccp52"/>
      <sheetName val="RES_STEEL_TO52"/>
      <sheetName val="RMZ_Summary52"/>
      <sheetName val="Materials_52"/>
      <sheetName val="Field_Values52"/>
      <sheetName val="Fin_Sum52"/>
      <sheetName val="Fill_this_out_first___52"/>
      <sheetName val="Site_Dev_BOQ52"/>
      <sheetName val="Staff_Forecast_spread52"/>
      <sheetName val="Structure_Bills_Qty52"/>
      <sheetName val="Builtup_Area52"/>
      <sheetName val="MASTER_RATE_ANALYSIS52"/>
      <sheetName val="Cop_-VGN52"/>
      <sheetName val="Pipe_Supports52"/>
      <sheetName val="MN_T_B_52"/>
      <sheetName val="BOQ_Direct_selling_cost52"/>
      <sheetName val="Stress_Calculation52"/>
      <sheetName val="IO_List52"/>
      <sheetName val="TBAL9697_-group_wise__sdpl52"/>
      <sheetName val="factor_sheet25"/>
      <sheetName val="Exp_52"/>
      <sheetName val="INDIGINEOUS_ITEMS_52"/>
      <sheetName val="E_&amp;_R52"/>
      <sheetName val="Load_Details(B1)52"/>
      <sheetName val="Break_Dw52"/>
      <sheetName val="SPT_vs_PHI52"/>
      <sheetName val="Civil_Boq52"/>
      <sheetName val="PA-_Consutant_52"/>
      <sheetName val="Debits_as_on_12_04_0852"/>
      <sheetName val="Sheet3_(2)52"/>
      <sheetName val="INDORAMA_Group_June_0252"/>
      <sheetName val="PART-I_(2)54"/>
      <sheetName val="final_abstract54"/>
      <sheetName val="Basement_Budget53"/>
      <sheetName val="Rate_analysis53"/>
      <sheetName val="Fee_Rate_Summary53"/>
      <sheetName val="Materials_Cost53"/>
      <sheetName val="10__&amp;_11__Rate_Code_&amp;_BQ53"/>
      <sheetName val="Break_up_Sheet53"/>
      <sheetName val="B_&amp;_C_-_M_-_ccp53"/>
      <sheetName val="RES_STEEL_TO53"/>
      <sheetName val="RMZ_Summary53"/>
      <sheetName val="Materials_53"/>
      <sheetName val="Field_Values53"/>
      <sheetName val="Fin_Sum53"/>
      <sheetName val="Fill_this_out_first___53"/>
      <sheetName val="Site_Dev_BOQ53"/>
      <sheetName val="Staff_Forecast_spread53"/>
      <sheetName val="Structure_Bills_Qty53"/>
      <sheetName val="Builtup_Area53"/>
      <sheetName val="MASTER_RATE_ANALYSIS53"/>
      <sheetName val="Cop_-VGN53"/>
      <sheetName val="Pipe_Supports53"/>
      <sheetName val="MN_T_B_53"/>
      <sheetName val="BOQ_Direct_selling_cost53"/>
      <sheetName val="Stress_Calculation53"/>
      <sheetName val="IO_List53"/>
      <sheetName val="TBAL9697_-group_wise__sdpl53"/>
      <sheetName val="factor_sheet26"/>
      <sheetName val="Exp_53"/>
      <sheetName val="INDIGINEOUS_ITEMS_53"/>
      <sheetName val="E_&amp;_R53"/>
      <sheetName val="Load_Details(B1)53"/>
      <sheetName val="Break_Dw53"/>
      <sheetName val="SPT_vs_PHI53"/>
      <sheetName val="Civil_Boq53"/>
      <sheetName val="PA-_Consutant_53"/>
      <sheetName val="Debits_as_on_12_04_0853"/>
      <sheetName val="Sheet3_(2)53"/>
      <sheetName val="INDORAMA_Group_June_0253"/>
      <sheetName val="PART-I_(2)55"/>
      <sheetName val="final_abstract55"/>
      <sheetName val="Basement_Budget54"/>
      <sheetName val="Rate_analysis54"/>
      <sheetName val="Fee_Rate_Summary54"/>
      <sheetName val="Materials_Cost54"/>
      <sheetName val="10__&amp;_11__Rate_Code_&amp;_BQ54"/>
      <sheetName val="Break_up_Sheet54"/>
      <sheetName val="B_&amp;_C_-_M_-_ccp54"/>
      <sheetName val="RES_STEEL_TO54"/>
      <sheetName val="RMZ_Summary54"/>
      <sheetName val="Materials_54"/>
      <sheetName val="Field_Values54"/>
      <sheetName val="Fin_Sum54"/>
      <sheetName val="Fill_this_out_first___54"/>
      <sheetName val="Site_Dev_BOQ54"/>
      <sheetName val="Staff_Forecast_spread54"/>
      <sheetName val="Structure_Bills_Qty54"/>
      <sheetName val="Builtup_Area54"/>
      <sheetName val="MASTER_RATE_ANALYSIS54"/>
      <sheetName val="Cop_-VGN54"/>
      <sheetName val="Pipe_Supports54"/>
      <sheetName val="MN_T_B_54"/>
      <sheetName val="BOQ_Direct_selling_cost54"/>
      <sheetName val="Stress_Calculation54"/>
      <sheetName val="IO_List54"/>
      <sheetName val="TBAL9697_-group_wise__sdpl54"/>
      <sheetName val="factor_sheet27"/>
      <sheetName val="Exp_54"/>
      <sheetName val="INDIGINEOUS_ITEMS_54"/>
      <sheetName val="E_&amp;_R54"/>
      <sheetName val="Load_Details(B1)54"/>
      <sheetName val="Break_Dw54"/>
      <sheetName val="SPT_vs_PHI54"/>
      <sheetName val="Civil_Boq54"/>
      <sheetName val="PA-_Consutant_54"/>
      <sheetName val="Debits_as_on_12_04_0854"/>
      <sheetName val="Sheet3_(2)54"/>
      <sheetName val="INDORAMA_Group_June_0254"/>
      <sheetName val="PART-I_(2)57"/>
      <sheetName val="final_abstract57"/>
      <sheetName val="Basement_Budget56"/>
      <sheetName val="Rate_analysis56"/>
      <sheetName val="Fee_Rate_Summary56"/>
      <sheetName val="Materials_Cost56"/>
      <sheetName val="10__&amp;_11__Rate_Code_&amp;_BQ56"/>
      <sheetName val="Break_up_Sheet56"/>
      <sheetName val="B_&amp;_C_-_M_-_ccp56"/>
      <sheetName val="RES_STEEL_TO56"/>
      <sheetName val="RMZ_Summary56"/>
      <sheetName val="Materials_56"/>
      <sheetName val="Field_Values56"/>
      <sheetName val="Fin_Sum56"/>
      <sheetName val="Fill_this_out_first___56"/>
      <sheetName val="Site_Dev_BOQ56"/>
      <sheetName val="Staff_Forecast_spread56"/>
      <sheetName val="Structure_Bills_Qty56"/>
      <sheetName val="Builtup_Area56"/>
      <sheetName val="MASTER_RATE_ANALYSIS56"/>
      <sheetName val="Cop_-VGN56"/>
      <sheetName val="Pipe_Supports56"/>
      <sheetName val="MN_T_B_56"/>
      <sheetName val="BOQ_Direct_selling_cost56"/>
      <sheetName val="Stress_Calculation56"/>
      <sheetName val="IO_List56"/>
      <sheetName val="TBAL9697_-group_wise__sdpl56"/>
      <sheetName val="factor_sheet29"/>
      <sheetName val="Exp_56"/>
      <sheetName val="INDIGINEOUS_ITEMS_56"/>
      <sheetName val="E_&amp;_R56"/>
      <sheetName val="Load_Details(B1)56"/>
      <sheetName val="Break_Dw56"/>
      <sheetName val="SPT_vs_PHI56"/>
      <sheetName val="Civil_Boq56"/>
      <sheetName val="PA-_Consutant_56"/>
      <sheetName val="Debits_as_on_12_04_0856"/>
      <sheetName val="Sheet3_(2)56"/>
      <sheetName val="INDORAMA_Group_June_0256"/>
      <sheetName val="PART-I_(2)56"/>
      <sheetName val="final_abstract56"/>
      <sheetName val="Basement_Budget55"/>
      <sheetName val="Rate_analysis55"/>
      <sheetName val="Fee_Rate_Summary55"/>
      <sheetName val="Materials_Cost55"/>
      <sheetName val="10__&amp;_11__Rate_Code_&amp;_BQ55"/>
      <sheetName val="Break_up_Sheet55"/>
      <sheetName val="B_&amp;_C_-_M_-_ccp55"/>
      <sheetName val="RES_STEEL_TO55"/>
      <sheetName val="RMZ_Summary55"/>
      <sheetName val="Materials_55"/>
      <sheetName val="Field_Values55"/>
      <sheetName val="Fin_Sum55"/>
      <sheetName val="Fill_this_out_first___55"/>
      <sheetName val="Site_Dev_BOQ55"/>
      <sheetName val="Staff_Forecast_spread55"/>
      <sheetName val="Structure_Bills_Qty55"/>
      <sheetName val="Builtup_Area55"/>
      <sheetName val="MASTER_RATE_ANALYSIS55"/>
      <sheetName val="Cop_-VGN55"/>
      <sheetName val="Pipe_Supports55"/>
      <sheetName val="MN_T_B_55"/>
      <sheetName val="BOQ_Direct_selling_cost55"/>
      <sheetName val="Stress_Calculation55"/>
      <sheetName val="IO_List55"/>
      <sheetName val="TBAL9697_-group_wise__sdpl55"/>
      <sheetName val="factor_sheet28"/>
      <sheetName val="Exp_55"/>
      <sheetName val="INDIGINEOUS_ITEMS_55"/>
      <sheetName val="E_&amp;_R55"/>
      <sheetName val="Load_Details(B1)55"/>
      <sheetName val="Break_Dw55"/>
      <sheetName val="SPT_vs_PHI55"/>
      <sheetName val="Civil_Boq55"/>
      <sheetName val="PA-_Consutant_55"/>
      <sheetName val="Debits_as_on_12_04_0855"/>
      <sheetName val="Sheet3_(2)55"/>
      <sheetName val="INDORAMA_Group_June_0255"/>
      <sheetName val="PART-I_(2)59"/>
      <sheetName val="final_abstract59"/>
      <sheetName val="Basement_Budget58"/>
      <sheetName val="Rate_analysis58"/>
      <sheetName val="Fee_Rate_Summary58"/>
      <sheetName val="Materials_Cost58"/>
      <sheetName val="10__&amp;_11__Rate_Code_&amp;_BQ58"/>
      <sheetName val="Break_up_Sheet58"/>
      <sheetName val="B_&amp;_C_-_M_-_ccp58"/>
      <sheetName val="RES_STEEL_TO58"/>
      <sheetName val="RMZ_Summary58"/>
      <sheetName val="Materials_58"/>
      <sheetName val="Field_Values58"/>
      <sheetName val="Fin_Sum58"/>
      <sheetName val="Fill_this_out_first___58"/>
      <sheetName val="Site_Dev_BOQ58"/>
      <sheetName val="Staff_Forecast_spread58"/>
      <sheetName val="Structure_Bills_Qty58"/>
      <sheetName val="Builtup_Area58"/>
      <sheetName val="MASTER_RATE_ANALYSIS58"/>
      <sheetName val="Cop_-VGN58"/>
      <sheetName val="Pipe_Supports58"/>
      <sheetName val="MN_T_B_58"/>
      <sheetName val="BOQ_Direct_selling_cost58"/>
      <sheetName val="Stress_Calculation58"/>
      <sheetName val="IO_List58"/>
      <sheetName val="TBAL9697_-group_wise__sdpl58"/>
      <sheetName val="factor_sheet31"/>
      <sheetName val="Exp_58"/>
      <sheetName val="INDIGINEOUS_ITEMS_58"/>
      <sheetName val="E_&amp;_R58"/>
      <sheetName val="Load_Details(B1)58"/>
      <sheetName val="Break_Dw58"/>
      <sheetName val="SPT_vs_PHI58"/>
      <sheetName val="Civil_Boq58"/>
      <sheetName val="PA-_Consutant_58"/>
      <sheetName val="Debits_as_on_12_04_0858"/>
      <sheetName val="Sheet3_(2)58"/>
      <sheetName val="INDORAMA_Group_June_0258"/>
      <sheetName val="PART-I_(2)60"/>
      <sheetName val="final_abstract60"/>
      <sheetName val="Basement_Budget59"/>
      <sheetName val="Rate_analysis59"/>
      <sheetName val="Fee_Rate_Summary59"/>
      <sheetName val="Materials_Cost59"/>
      <sheetName val="10__&amp;_11__Rate_Code_&amp;_BQ59"/>
      <sheetName val="Break_up_Sheet59"/>
      <sheetName val="B_&amp;_C_-_M_-_ccp59"/>
      <sheetName val="RES_STEEL_TO59"/>
      <sheetName val="RMZ_Summary59"/>
      <sheetName val="Materials_59"/>
      <sheetName val="Field_Values59"/>
      <sheetName val="Fin_Sum59"/>
      <sheetName val="Fill_this_out_first___59"/>
      <sheetName val="Site_Dev_BOQ59"/>
      <sheetName val="Staff_Forecast_spread59"/>
      <sheetName val="Structure_Bills_Qty59"/>
      <sheetName val="Builtup_Area59"/>
      <sheetName val="MASTER_RATE_ANALYSIS59"/>
      <sheetName val="Cop_-VGN59"/>
      <sheetName val="Pipe_Supports59"/>
      <sheetName val="MN_T_B_59"/>
      <sheetName val="BOQ_Direct_selling_cost59"/>
      <sheetName val="Stress_Calculation59"/>
      <sheetName val="IO_List59"/>
      <sheetName val="TBAL9697_-group_wise__sdpl59"/>
      <sheetName val="factor_sheet32"/>
      <sheetName val="Exp_59"/>
      <sheetName val="INDIGINEOUS_ITEMS_59"/>
      <sheetName val="E_&amp;_R59"/>
      <sheetName val="Load_Details(B1)59"/>
      <sheetName val="Break_Dw59"/>
      <sheetName val="SPT_vs_PHI59"/>
      <sheetName val="Civil_Boq59"/>
      <sheetName val="PA-_Consutant_59"/>
      <sheetName val="Debits_as_on_12_04_0859"/>
      <sheetName val="Sheet3_(2)59"/>
      <sheetName val="INDORAMA_Group_June_0259"/>
      <sheetName val="PART-I_(2)61"/>
      <sheetName val="final_abstract61"/>
      <sheetName val="Basement_Budget60"/>
      <sheetName val="Rate_analysis60"/>
      <sheetName val="Fee_Rate_Summary60"/>
      <sheetName val="Materials_Cost60"/>
      <sheetName val="10__&amp;_11__Rate_Code_&amp;_BQ60"/>
      <sheetName val="Break_up_Sheet60"/>
      <sheetName val="B_&amp;_C_-_M_-_ccp60"/>
      <sheetName val="RES_STEEL_TO60"/>
      <sheetName val="RMZ_Summary60"/>
      <sheetName val="Materials_60"/>
      <sheetName val="Field_Values60"/>
      <sheetName val="Fin_Sum60"/>
      <sheetName val="Fill_this_out_first___60"/>
      <sheetName val="Site_Dev_BOQ60"/>
      <sheetName val="Staff_Forecast_spread60"/>
      <sheetName val="Structure_Bills_Qty60"/>
      <sheetName val="Builtup_Area60"/>
      <sheetName val="MASTER_RATE_ANALYSIS60"/>
      <sheetName val="Cop_-VGN60"/>
      <sheetName val="Pipe_Supports60"/>
      <sheetName val="MN_T_B_60"/>
      <sheetName val="BOQ_Direct_selling_cost60"/>
      <sheetName val="Stress_Calculation60"/>
      <sheetName val="IO_List60"/>
      <sheetName val="TBAL9697_-group_wise__sdpl60"/>
      <sheetName val="factor_sheet33"/>
      <sheetName val="Exp_60"/>
      <sheetName val="INDIGINEOUS_ITEMS_60"/>
      <sheetName val="E_&amp;_R60"/>
      <sheetName val="Load_Details(B1)60"/>
      <sheetName val="Break_Dw60"/>
      <sheetName val="SPT_vs_PHI60"/>
      <sheetName val="Civil_Boq60"/>
      <sheetName val="PA-_Consutant_60"/>
      <sheetName val="Debits_as_on_12_04_0860"/>
      <sheetName val="Sheet3_(2)60"/>
      <sheetName val="INDORAMA_Group_June_0260"/>
      <sheetName val="s"/>
      <sheetName val="TEXT"/>
      <sheetName val="R.A."/>
      <sheetName val="Recap."/>
      <sheetName val="Abstract"/>
      <sheetName val="Schedule A1"/>
      <sheetName val="Abstract (Buyback)"/>
      <sheetName val="Civil RA"/>
      <sheetName val="Plumbing RA"/>
      <sheetName val="Electrical  RA"/>
      <sheetName val="ELV RA"/>
      <sheetName val="FFTG RA"/>
      <sheetName val="HVAC RA"/>
      <sheetName val="Furniture RA"/>
      <sheetName val="Kichen Equi. RA"/>
      <sheetName val="Vind-BtB"/>
      <sheetName val="Codes"/>
      <sheetName val="Final Basic rate"/>
      <sheetName val="costing sheet"/>
      <sheetName val="Mater"/>
      <sheetName val="MRoad data"/>
      <sheetName val="Cover"/>
      <sheetName val="v"/>
      <sheetName val="DATA-BASE"/>
      <sheetName val="DATA-ABSTRACT"/>
      <sheetName val="Plant &amp;  Machinery"/>
      <sheetName val="wh_data_R"/>
      <sheetName val="Abs_CD_2"/>
      <sheetName val="road est"/>
      <sheetName val="ECV"/>
      <sheetName val="ABST SANITARY"/>
      <sheetName val="ABST CIVIL"/>
      <sheetName val="DI"/>
      <sheetName val="Labels"/>
      <sheetName val="intr_stool_brkup"/>
      <sheetName val="Process"/>
      <sheetName val="P&amp;L-BDMC"/>
      <sheetName val="Elect."/>
      <sheetName val="Step 1"/>
      <sheetName val="Assumptions-Input"/>
      <sheetName val="RP2"/>
      <sheetName val="Quantity"/>
      <sheetName val="Param"/>
      <sheetName val="dummy"/>
      <sheetName val="PART-I_(2)62"/>
      <sheetName val="final_abstract62"/>
      <sheetName val="Basement_Budget61"/>
      <sheetName val="Rate_analysis61"/>
      <sheetName val="Fee_Rate_Summary61"/>
      <sheetName val="Materials_Cost61"/>
      <sheetName val="10__&amp;_11__Rate_Code_&amp;_BQ61"/>
      <sheetName val="Break_up_Sheet61"/>
      <sheetName val="B_&amp;_C_-_M_-_ccp61"/>
      <sheetName val="RES_STEEL_TO61"/>
      <sheetName val="RMZ_Summary61"/>
      <sheetName val="Materials_61"/>
      <sheetName val="Field_Values61"/>
      <sheetName val="Fin_Sum61"/>
      <sheetName val="Fill_this_out_first___61"/>
      <sheetName val="Site_Dev_BOQ61"/>
      <sheetName val="Staff_Forecast_spread61"/>
      <sheetName val="Structure_Bills_Qty61"/>
      <sheetName val="Builtup_Area61"/>
      <sheetName val="MASTER_RATE_ANALYSIS61"/>
      <sheetName val="Cop_-VGN61"/>
      <sheetName val="Pipe_Supports61"/>
      <sheetName val="MN_T_B_61"/>
      <sheetName val="BOQ_Direct_selling_cost61"/>
      <sheetName val="Stress_Calculation61"/>
      <sheetName val="IO_List61"/>
      <sheetName val="TBAL9697_-group_wise__sdpl61"/>
      <sheetName val="factor_sheet34"/>
      <sheetName val="Exp_61"/>
      <sheetName val="INDIGINEOUS_ITEMS_61"/>
      <sheetName val="E_&amp;_R61"/>
      <sheetName val="Load_Details(B1)61"/>
      <sheetName val="Break_Dw61"/>
      <sheetName val="SPT_vs_PHI61"/>
      <sheetName val="Civil_Boq61"/>
      <sheetName val="PA-_Consutant_61"/>
      <sheetName val="Debits_as_on_12_04_0861"/>
      <sheetName val="Sheet3_(2)61"/>
      <sheetName val="INDORAMA_Group_June_0261"/>
      <sheetName val="Project Budget Worksheet"/>
      <sheetName val="All Components Report"/>
      <sheetName val="Site"/>
      <sheetName val="2.1 受電設備棟"/>
      <sheetName val="2.2 受・防火水槽"/>
      <sheetName val="2.3 排水処理設備棟"/>
      <sheetName val="2.4 倉庫棟"/>
      <sheetName val="2.5 守衛棟"/>
      <sheetName val="old boq"/>
      <sheetName val="girder"/>
      <sheetName val="Intro"/>
      <sheetName val="DATA SHEET FOR 2014-15"/>
      <sheetName val="wh_data"/>
      <sheetName val="CPHEEO"/>
      <sheetName val="SSR 2014-15 Rates"/>
      <sheetName val="GROUND FLOOR"/>
      <sheetName val="C-data"/>
      <sheetName val="Bitumen trunk"/>
      <sheetName val="Feeder"/>
      <sheetName val="R99 etc"/>
      <sheetName val="Trunk unpaved"/>
      <sheetName val="maya"/>
      <sheetName val="Source Ref."/>
      <sheetName val="Main Sheet"/>
      <sheetName val="Lookup data"/>
      <sheetName val="13. Steel - Ratio"/>
      <sheetName val="look-dept"/>
      <sheetName val="Names&amp;Cases"/>
      <sheetName val="Bill 1-BOQ-Civil Works"/>
      <sheetName val="Amort"/>
      <sheetName val="AmortRef"/>
      <sheetName val="MA"/>
      <sheetName val="Tower-B(Abstract)"/>
      <sheetName val="terrace parapet block work"/>
      <sheetName val="Canopy-2 RCC1"/>
      <sheetName val="Canopy-2 BBS"/>
      <sheetName val="Canopy-1 RCC1"/>
      <sheetName val="Canopy-1 BBS"/>
      <sheetName val="Above terrace columns RCC"/>
      <sheetName val="Above terrace columns BBS"/>
      <sheetName val="Parapet wall RCC"/>
      <sheetName val="Parapet wall BBS"/>
      <sheetName val="OHWT RCC"/>
      <sheetName val="OHWT Slab BBS"/>
      <sheetName val="OHWT Beams  BBS"/>
      <sheetName val="Columns"/>
      <sheetName val="Lifts"/>
      <sheetName val="Staircases"/>
      <sheetName val="Slab &amp; Beam @ 0.00 Lvl"/>
      <sheetName val="Slab &amp; Beam"/>
      <sheetName val="Lintels &amp; Window"/>
      <sheetName val="Column Steel (UBF)"/>
      <sheetName val="Column Steel (SF)"/>
      <sheetName val="Column Steel (1F)"/>
      <sheetName val="Column Steel (2F)"/>
      <sheetName val="Column Steel (3F)"/>
      <sheetName val="Column Steel (4F-6F)"/>
      <sheetName val="Column Steel (7F-9F)"/>
      <sheetName val="Column Steel (10F-12F)"/>
      <sheetName val="Column Steel (13F-15F)"/>
      <sheetName val="Column Steel (16F-17F)"/>
      <sheetName val="Column Steel (18F)"/>
      <sheetName val="Lift Steel (UBF)"/>
      <sheetName val="Lift Steel (SF)"/>
      <sheetName val="Lift Steel (1F-6F)"/>
      <sheetName val="Lift Steel (7F-12F)"/>
      <sheetName val="Lift Steel (13F-18F)"/>
      <sheetName val=" Staircase Steel (UBF)"/>
      <sheetName val=" Staircase Steel (SF)"/>
      <sheetName val=" Staircase Steel (1F-7F)"/>
      <sheetName val=" Staircase Steel (8F-18F)"/>
      <sheetName val="Beams Steel (SF)"/>
      <sheetName val="Slab Steel (SF)"/>
      <sheetName val="Beams Steel (1F)"/>
      <sheetName val="Slab Steel (1F)"/>
      <sheetName val="Beams Steel (2F&amp;3F)"/>
      <sheetName val="Slab Steel (2F&amp;3F)"/>
      <sheetName val="Beams Steel (4F)"/>
      <sheetName val="Slab Steel (4F)"/>
      <sheetName val="Beams Steel (5F-7F)"/>
      <sheetName val="Slab Steel (5F-7F)"/>
      <sheetName val="Beams Steel (8F-15F&amp;18F)"/>
      <sheetName val="Slab Steel (8F-15F&amp;18F)"/>
      <sheetName val="Beams Steel (16F&amp;17F)"/>
      <sheetName val="Slab Steel (16F&amp;17F)"/>
      <sheetName val="Beams Steel (TF)"/>
      <sheetName val="Slab Steel (TF)"/>
      <sheetName val="100mm Block Work"/>
      <sheetName val="150mm BLOCKS"/>
      <sheetName val="200mm BLOCKS"/>
      <sheetName val="Internal Walls Plastering"/>
      <sheetName val="Internal Ceiling Plastering"/>
      <sheetName val="External plaster"/>
      <sheetName val="Tower- A (Abstract)"/>
      <sheetName val="Canopy-2 RCC"/>
      <sheetName val="Canopy -1 RCC"/>
      <sheetName val="Canaopy-2 steel"/>
      <sheetName val="Canopy-1 steel"/>
      <sheetName val="Columns above terrace"/>
      <sheetName val="OHT bottom &amp; walls "/>
      <sheetName val="Slab &amp; Beam at 0.00lvl"/>
      <sheetName val="Slab &amp; Beam at +3.25lvl"/>
      <sheetName val="Parapet slab&amp;beams"/>
      <sheetName val="Column Steel(SF to TF)"/>
      <sheetName val="Above terrace column steel"/>
      <sheetName val="Lift Wall - Stilt Floor"/>
      <sheetName val="Lift Wall 1F-6F"/>
      <sheetName val="Lift Wall 7F-12F"/>
      <sheetName val="Lift Wall 13F-18F"/>
      <sheetName val="Lift wall terrace floor"/>
      <sheetName val="Staircase - UBF"/>
      <sheetName val="Staircase - SF"/>
      <sheetName val="Staircase - 1F-7F"/>
      <sheetName val="Staircase - 8F-18F"/>
      <sheetName val="Beam Steel - SF"/>
      <sheetName val="Slab Steel - SF"/>
      <sheetName val="Beam Steel- 1F"/>
      <sheetName val="Slab Steel - 1F"/>
      <sheetName val="Beams Steel 2F"/>
      <sheetName val="Slab steel 2F"/>
      <sheetName val="Beams Steel 3F"/>
      <sheetName val="Slab steel 3F"/>
      <sheetName val="Beams Steel - 4F"/>
      <sheetName val="Slab steel 4F"/>
      <sheetName val="Beam steel 5F-7F"/>
      <sheetName val="Slab steel 5F-7F"/>
      <sheetName val="Beam steel 8F-15F &amp; 18F"/>
      <sheetName val="Slab steel 8F-15F&amp; 18F"/>
      <sheetName val="Beam steel 16F - 17F"/>
      <sheetName val="Slab steel 16F - 17F"/>
      <sheetName val="Beam steel TF"/>
      <sheetName val="Slab steel TF"/>
      <sheetName val="OHT Slab steel "/>
      <sheetName val="OHT beam steel "/>
      <sheetName val="A- terrace coping BBS"/>
      <sheetName val="Copping beam BBS A terrace"/>
      <sheetName val="150 mm BLOCKS"/>
      <sheetName val="200 mm BLOCKS"/>
      <sheetName val="Data sheet"/>
      <sheetName val="Global Assmptions"/>
      <sheetName val="SECPROP"/>
      <sheetName val="CABLENOS."/>
      <sheetName val="NRC Rationalisation"/>
      <sheetName val="horizontal"/>
      <sheetName val="BOQ_Distribution"/>
      <sheetName val="ENCL9"/>
      <sheetName val="RCC,Ret__Wall4"/>
      <sheetName val="RA_4_Challan_Summary_4"/>
      <sheetName val="Labour_productivity4"/>
      <sheetName val="labour_coeff4"/>
      <sheetName val="RCC,Ret__Wall3"/>
      <sheetName val="RA_4_Challan_Summary_3"/>
      <sheetName val="Labour_productivity3"/>
      <sheetName val="labour_coeff3"/>
      <sheetName val="RCC,Ret__Wall5"/>
      <sheetName val="RA_4_Challan_Summary_5"/>
      <sheetName val="Labour_productivity5"/>
      <sheetName val="labour_coeff5"/>
      <sheetName val="RCC,Ret__Wall6"/>
      <sheetName val="RA_4_Challan_Summary_6"/>
      <sheetName val="Labour_productivity6"/>
      <sheetName val="labour_coeff6"/>
      <sheetName val="RCC,Ret__Wall12"/>
      <sheetName val="RA_4_Challan_Summary_12"/>
      <sheetName val="Labour_productivity12"/>
      <sheetName val="labour_coeff12"/>
      <sheetName val="RCC,Ret__Wall7"/>
      <sheetName val="RA_4_Challan_Summary_7"/>
      <sheetName val="Labour_productivity7"/>
      <sheetName val="labour_coeff7"/>
      <sheetName val="RCC,Ret__Wall11"/>
      <sheetName val="RA_4_Challan_Summary_11"/>
      <sheetName val="Labour_productivity11"/>
      <sheetName val="labour_coeff11"/>
      <sheetName val="RCC,Ret__Wall8"/>
      <sheetName val="RA_4_Challan_Summary_8"/>
      <sheetName val="Labour_productivity8"/>
      <sheetName val="labour_coeff8"/>
      <sheetName val="RCC,Ret__Wall9"/>
      <sheetName val="RA_4_Challan_Summary_9"/>
      <sheetName val="Labour_productivity9"/>
      <sheetName val="labour_coeff9"/>
      <sheetName val="RCC,Ret__Wall10"/>
      <sheetName val="RA_4_Challan_Summary_10"/>
      <sheetName val="Labour_productivity10"/>
      <sheetName val="labour_coeff10"/>
      <sheetName val="RCC,Ret__Wall13"/>
      <sheetName val="RA_4_Challan_Summary_13"/>
      <sheetName val="Labour_productivity13"/>
      <sheetName val="labour_coeff13"/>
      <sheetName val="RCC,Ret__Wall14"/>
      <sheetName val="RA_4_Challan_Summary_14"/>
      <sheetName val="Labour_productivity14"/>
      <sheetName val="labour_coeff14"/>
      <sheetName val="RCC,Ret__Wall15"/>
      <sheetName val="RA_4_Challan_Summary_15"/>
      <sheetName val="Labour_productivity15"/>
      <sheetName val="labour_coeff15"/>
      <sheetName val="RCC,Ret__Wall16"/>
      <sheetName val="RA_4_Challan_Summary_16"/>
      <sheetName val="Labour_productivity16"/>
      <sheetName val="labour_coeff16"/>
      <sheetName val="RCC,Ret__Wall18"/>
      <sheetName val="RA_4_Challan_Summary_18"/>
      <sheetName val="Labour_productivity18"/>
      <sheetName val="labour_coeff18"/>
      <sheetName val="RCC,Ret__Wall17"/>
      <sheetName val="RA_4_Challan_Summary_17"/>
      <sheetName val="Labour_productivity17"/>
      <sheetName val="labour_coeff17"/>
      <sheetName val="RCC,Ret__Wall20"/>
      <sheetName val="RA_4_Challan_Summary_20"/>
      <sheetName val="Labour_productivity20"/>
      <sheetName val="labour_coeff20"/>
      <sheetName val="RCC,Ret__Wall19"/>
      <sheetName val="RA_4_Challan_Summary_19"/>
      <sheetName val="Labour_productivity19"/>
      <sheetName val="labour_coeff19"/>
      <sheetName val="RCC,Ret__Wall21"/>
      <sheetName val="RA_4_Challan_Summary_21"/>
      <sheetName val="Labour_productivity21"/>
      <sheetName val="labour_coeff21"/>
      <sheetName val="RCC,Ret__Wall22"/>
      <sheetName val="RA_4_Challan_Summary_22"/>
      <sheetName val="Labour_productivity22"/>
      <sheetName val="labour_coeff22"/>
      <sheetName val="RCC,Ret__Wall23"/>
      <sheetName val="RA_4_Challan_Summary_23"/>
      <sheetName val="Labour_productivity23"/>
      <sheetName val="labour_coeff23"/>
      <sheetName val="RCC,Ret__Wall24"/>
      <sheetName val="RA_4_Challan_Summary_24"/>
      <sheetName val="Labour_productivity24"/>
      <sheetName val="labour_coeff24"/>
      <sheetName val="RCC,Ret__Wall26"/>
      <sheetName val="RA_4_Challan_Summary_26"/>
      <sheetName val="Labour_productivity26"/>
      <sheetName val="labour_coeff26"/>
      <sheetName val="RCC,Ret__Wall25"/>
      <sheetName val="RA_4_Challan_Summary_25"/>
      <sheetName val="Labour_productivity25"/>
      <sheetName val="labour_coeff25"/>
      <sheetName val="RCC,Ret__Wall29"/>
      <sheetName val="RA_4_Challan_Summary_29"/>
      <sheetName val="Labour_productivity29"/>
      <sheetName val="labour_coeff29"/>
      <sheetName val="RCC,Ret__Wall28"/>
      <sheetName val="RA_4_Challan_Summary_28"/>
      <sheetName val="Labour_productivity28"/>
      <sheetName val="labour_coeff28"/>
      <sheetName val="RCC,Ret__Wall27"/>
      <sheetName val="RA_4_Challan_Summary_27"/>
      <sheetName val="Labour_productivity27"/>
      <sheetName val="labour_coeff27"/>
      <sheetName val="RCC,Ret__Wall30"/>
      <sheetName val="RA_4_Challan_Summary_30"/>
      <sheetName val="Labour_productivity30"/>
      <sheetName val="labour_coeff30"/>
      <sheetName val="RCC,Ret__Wall31"/>
      <sheetName val="RA_4_Challan_Summary_31"/>
      <sheetName val="Labour_productivity31"/>
      <sheetName val="labour_coeff31"/>
      <sheetName val="RCC,Ret__Wall33"/>
      <sheetName val="RA_4_Challan_Summary_33"/>
      <sheetName val="Labour_productivity33"/>
      <sheetName val="labour_coeff33"/>
      <sheetName val="RCC,Ret__Wall32"/>
      <sheetName val="RA_4_Challan_Summary_32"/>
      <sheetName val="Labour_productivity32"/>
      <sheetName val="labour_coeff32"/>
      <sheetName val="RCC,Ret__Wall36"/>
      <sheetName val="RA_4_Challan_Summary_36"/>
      <sheetName val="Labour_productivity36"/>
      <sheetName val="labour_coeff36"/>
      <sheetName val="RCC,Ret__Wall35"/>
      <sheetName val="RA_4_Challan_Summary_35"/>
      <sheetName val="Labour_productivity35"/>
      <sheetName val="labour_coeff35"/>
      <sheetName val="RCC,Ret__Wall34"/>
      <sheetName val="RA_4_Challan_Summary_34"/>
      <sheetName val="Labour_productivity34"/>
      <sheetName val="labour_coeff34"/>
      <sheetName val="RCC,Ret__Wall37"/>
      <sheetName val="RA_4_Challan_Summary_37"/>
      <sheetName val="Labour_productivity37"/>
      <sheetName val="labour_coeff37"/>
      <sheetName val="Labour Rate "/>
      <sheetName val="Material List "/>
      <sheetName val="MAchinery(R1)"/>
      <sheetName val="Works"/>
      <sheetName val="abs_CWrising"/>
      <sheetName val="abs-ph"/>
      <sheetName val="abs_sum&amp;cwr"/>
      <sheetName val="cons_sq_I"/>
      <sheetName val="foot-slab reinft"/>
      <sheetName val="beam-reinft-IIInd_floor1"/>
      <sheetName val="ORDER_BOOKING1"/>
      <sheetName val="CABLE_DATA1"/>
      <sheetName val="Approved_MTD_Proj_#'s1"/>
      <sheetName val="For_Bill-04_PS1"/>
      <sheetName val="BOQ_(2)2"/>
      <sheetName val="Staff_Acco_1"/>
      <sheetName val="Section_Catalogue1"/>
      <sheetName val="M_B-QtyRecn3"/>
      <sheetName val="Mat_Cost3"/>
      <sheetName val="GR_slab-reinft1"/>
      <sheetName val="Bed_Class6"/>
      <sheetName val="PH_data1"/>
      <sheetName val="Details_(3)1"/>
      <sheetName val="Desgn(zone_I)6"/>
      <sheetName val="NLD_-_Assum1"/>
      <sheetName val="schedule_nos1"/>
      <sheetName val="Sqn__Main__Abs1"/>
      <sheetName val="ACAD_Finishes2"/>
      <sheetName val="Site_Details2"/>
      <sheetName val="Site_Area_Statement2"/>
      <sheetName val="M-Book_for_Conc1"/>
      <sheetName val="M-Book_for_FW1"/>
      <sheetName val="INPUT_SHEET1"/>
      <sheetName val="PACK_(B)1"/>
      <sheetName val="BOQ_civil1"/>
      <sheetName val="Staircase_1"/>
      <sheetName val="bill_21"/>
      <sheetName val="Column_Steel-R21"/>
      <sheetName val="std_wt_1"/>
      <sheetName val="d-safe_specs1"/>
      <sheetName val="d-safe_DELUXE1"/>
      <sheetName val="Diawise_steel_abstract1"/>
      <sheetName val="Rising_Main1"/>
      <sheetName val="Material_1"/>
      <sheetName val="Estimate_1"/>
      <sheetName val="QS_Name1"/>
      <sheetName val="CANDY_BOQ1"/>
      <sheetName val="CFForecast_detail1"/>
      <sheetName val="Cash_Flows_&amp;_IRR1"/>
      <sheetName val="train_cash1"/>
      <sheetName val="accom_cash1"/>
      <sheetName val="Common_1"/>
      <sheetName val="Meas_-Hotel_Part1"/>
      <sheetName val="WORK_TABLE1"/>
      <sheetName val="220_11__BS_1"/>
      <sheetName val="Intro_1"/>
      <sheetName val="beam-reinft-machine_rm1"/>
      <sheetName val="Model_(Not_Merged)1"/>
      <sheetName val="Form_61"/>
      <sheetName val="SGS_ACQ1"/>
      <sheetName val="Price_Schedule2"/>
      <sheetName val="Cost_Any_2"/>
      <sheetName val="S_&amp;_A2"/>
      <sheetName val="PointNo_5"/>
      <sheetName val="A_O_R_"/>
      <sheetName val="PRECAST_lightconc-II"/>
      <sheetName val="Tender_Summary1"/>
      <sheetName val="Operating_Statistics1"/>
      <sheetName val="Material_Rate"/>
      <sheetName val="Retaing_wall"/>
      <sheetName val="3__Elemental_Summary"/>
      <sheetName val="RAJU_ASSO"/>
      <sheetName val="Vind_-_BtB1"/>
      <sheetName val="Branch_Power"/>
      <sheetName val="P_Well(_RCC)"/>
      <sheetName val="Detail_In_Door_Stad"/>
      <sheetName val="P-Ins_&amp;_Bonds"/>
      <sheetName val="Occ,_Other_Rev,_Exp,_Dispo"/>
      <sheetName val="소상_&quot;1&quot;"/>
      <sheetName val="Discount_&amp;_Margin"/>
      <sheetName val="PO_Summary"/>
      <sheetName val="BOQ_Summary"/>
      <sheetName val="Sec_1_Loose_Furniture_18%_GST"/>
      <sheetName val="Sec_1_Loose_Furniture_12%_GST"/>
      <sheetName val="Sec_1_Loose_Furniture_5%_GST"/>
      <sheetName val="Sec_2_Cafeteria_Tables"/>
      <sheetName val="Sec_3_Cafeteria_Chairs"/>
      <sheetName val="Sec_4_Work_Floors_-_NT_"/>
      <sheetName val="Sec_5_LGF_Chairs-NT"/>
      <sheetName val="Sec_6_Additional_18%_GST_"/>
      <sheetName val="Sec_6_Additional_12%_GST_"/>
      <sheetName val="Sec_11-NT_set_3"/>
      <sheetName val="DC_Summary"/>
      <sheetName val="M_Sheet"/>
      <sheetName val="RA4_Checklist"/>
      <sheetName val="Labor_abs-NMR"/>
      <sheetName val="2_대외공문"/>
      <sheetName val="NEW-IDs_Fun_&amp;_Group"/>
      <sheetName val="PC_Master_List"/>
      <sheetName val="Project_Details__"/>
      <sheetName val="M_B-QtyRecn4"/>
      <sheetName val="BOQ_(2)3"/>
      <sheetName val="Desgn(zone_I)7"/>
      <sheetName val="beam-reinft-IIInd_floor2"/>
      <sheetName val="For_Bill-04_PS2"/>
      <sheetName val="ORDER_BOOKING2"/>
      <sheetName val="CABLE_DATA2"/>
      <sheetName val="Bed_Class7"/>
      <sheetName val="PH_data2"/>
      <sheetName val="Details_(3)2"/>
      <sheetName val="Sqn__Main__Abs2"/>
      <sheetName val="Mat_Cost4"/>
      <sheetName val="ACAD_Finishes3"/>
      <sheetName val="Site_Details3"/>
      <sheetName val="Site_Area_Statement3"/>
      <sheetName val="M-Book_for_Conc2"/>
      <sheetName val="M-Book_for_FW2"/>
      <sheetName val="Staff_Acco_2"/>
      <sheetName val="Section_Catalogue2"/>
      <sheetName val="Approved_MTD_Proj_#'s2"/>
      <sheetName val="Staircase_2"/>
      <sheetName val="PACK_(B)2"/>
      <sheetName val="GR_slab-reinft2"/>
      <sheetName val="INPUT_SHEET2"/>
      <sheetName val="Estimate_2"/>
      <sheetName val="Material_2"/>
      <sheetName val="NLD_-_Assum2"/>
      <sheetName val="schedule_nos2"/>
      <sheetName val="BOQ_civil2"/>
      <sheetName val="Column_Steel-R22"/>
      <sheetName val="std_wt_2"/>
      <sheetName val="train_cash2"/>
      <sheetName val="accom_cash2"/>
      <sheetName val="bill_22"/>
      <sheetName val="Common_2"/>
      <sheetName val="beam-reinft-machine_rm2"/>
      <sheetName val="QS_Name2"/>
      <sheetName val="CANDY_BOQ2"/>
      <sheetName val="Meas_-Hotel_Part2"/>
      <sheetName val="WORK_TABLE2"/>
      <sheetName val="220_11__BS_2"/>
      <sheetName val="Intro_2"/>
      <sheetName val="intr_stool_brkup1"/>
      <sheetName val="d-safe_specs2"/>
      <sheetName val="d-safe_DELUXE2"/>
      <sheetName val="Diawise_steel_abstract2"/>
      <sheetName val="Rising_Main2"/>
      <sheetName val="CFForecast_detail2"/>
      <sheetName val="Cash_Flows_&amp;_IRR2"/>
      <sheetName val="Model_(Not_Merged)2"/>
      <sheetName val="Tender_Summary2"/>
      <sheetName val="Operating_Statistics2"/>
      <sheetName val="Material_Rate1"/>
      <sheetName val="Retaing_wall1"/>
      <sheetName val="except_wiring1"/>
      <sheetName val="CPIPE_11"/>
      <sheetName val="3__Elemental_Summary1"/>
      <sheetName val="Vind_-_BtB2"/>
      <sheetName val="SGS_ACQ2"/>
      <sheetName val="Form_62"/>
      <sheetName val="Price_Schedule3"/>
      <sheetName val="Cost_Any_3"/>
      <sheetName val="S_&amp;_A3"/>
      <sheetName val="PointNo_51"/>
      <sheetName val="소상_&quot;1&quot;1"/>
      <sheetName val="Discount_&amp;_Margin1"/>
      <sheetName val="A_O_R_1"/>
      <sheetName val="PRECAST_lightconc-II1"/>
      <sheetName val="P-Ins_&amp;_Bonds1"/>
      <sheetName val="Branch_Power1"/>
      <sheetName val="P_Well(_RCC)1"/>
      <sheetName val="Detail_In_Door_Stad1"/>
      <sheetName val="BOQ_Distribution1"/>
      <sheetName val="RAJU_ASSO1"/>
      <sheetName val="Occ,_Other_Rev,_Exp,_Dispo1"/>
      <sheetName val="PO_Summary1"/>
      <sheetName val="BOQ_Summary1"/>
      <sheetName val="Sec_1_Loose_Furniture_18%_GST1"/>
      <sheetName val="Sec_1_Loose_Furniture_12%_GST1"/>
      <sheetName val="Sec_1_Loose_Furniture_5%_GST1"/>
      <sheetName val="Sec_2_Cafeteria_Tables1"/>
      <sheetName val="Sec_3_Cafeteria_Chairs1"/>
      <sheetName val="Sec_4_Work_Floors_-_NT_1"/>
      <sheetName val="Sec_5_LGF_Chairs-NT1"/>
      <sheetName val="Sec_6_Additional_18%_GST_1"/>
      <sheetName val="Sec_6_Additional_12%_GST_1"/>
      <sheetName val="Sec_11-NT_set_31"/>
      <sheetName val="DC_Summary1"/>
      <sheetName val="M_Sheet1"/>
      <sheetName val="RA4_Checklist1"/>
      <sheetName val="M_S_1"/>
      <sheetName val="Labor_abs-NMR1"/>
      <sheetName val="2_대외공문1"/>
      <sheetName val="NEW-IDs_Fun_&amp;_Group1"/>
      <sheetName val="PC_Master_List1"/>
      <sheetName val="Project_Details__1"/>
      <sheetName val="Footings"/>
      <sheetName val="9. Package split - Cost "/>
      <sheetName val="M- Rate"/>
      <sheetName val="RA 1"/>
      <sheetName val="Master Info"/>
      <sheetName val="SUMM"/>
      <sheetName val="PART-I_(2)63"/>
      <sheetName val="final_abstract63"/>
      <sheetName val="Basement_Budget62"/>
      <sheetName val="Rate_analysis62"/>
      <sheetName val="Break_up_Sheet62"/>
      <sheetName val="TBAL9697_-group_wise__sdpl62"/>
      <sheetName val="B_&amp;_C_-_M_-_ccp62"/>
      <sheetName val="Fee_Rate_Summary62"/>
      <sheetName val="Materials_Cost62"/>
      <sheetName val="RES_STEEL_TO62"/>
      <sheetName val="10__&amp;_11__Rate_Code_&amp;_BQ62"/>
      <sheetName val="RMZ_Summary62"/>
      <sheetName val="Site_Dev_BOQ62"/>
      <sheetName val="Staff_Forecast_spread62"/>
      <sheetName val="Fin_Sum62"/>
      <sheetName val="Fill_this_out_first___62"/>
      <sheetName val="Field_Values62"/>
      <sheetName val="Break_Dw62"/>
      <sheetName val="Structure_Bills_Qty62"/>
      <sheetName val="Builtup_Area62"/>
      <sheetName val="MASTER_RATE_ANALYSIS62"/>
      <sheetName val="Cop_-VGN62"/>
      <sheetName val="Pipe_Supports62"/>
      <sheetName val="Materials_62"/>
      <sheetName val="BOQ_Direct_selling_cost62"/>
      <sheetName val="Stress_Calculation62"/>
      <sheetName val="IO_List62"/>
      <sheetName val="MN_T_B_62"/>
      <sheetName val="RCC,Ret__Wall38"/>
      <sheetName val="RA_4_Challan_Summary_38"/>
      <sheetName val="Labour_productivity38"/>
      <sheetName val="labour_coeff38"/>
      <sheetName val="banilad"/>
      <sheetName val="Mactan"/>
      <sheetName val="Mandaue"/>
      <sheetName val="August Construction Planning  "/>
      <sheetName val="Internal Planning"/>
      <sheetName val="July'2019 Weekly"/>
      <sheetName val="FITZ MORT 94"/>
      <sheetName val="2000 MOR"/>
      <sheetName val="LIST OF MAKES"/>
      <sheetName val="April Analysts"/>
      <sheetName val="Basic Rate"/>
      <sheetName val="Consumer Fraud"/>
      <sheetName val="Avoidance "/>
      <sheetName val="Cons Recov Rates"/>
      <sheetName val="Consumer Supps"/>
      <sheetName val="Variance"/>
      <sheetName val="Consumer Outbound"/>
      <sheetName val="FY Loss Frcst"/>
      <sheetName val="Exempt"/>
      <sheetName val="EqpPerfJun08"/>
      <sheetName val="footing for SP"/>
      <sheetName val="Lead_statement"/>
      <sheetName val="Data_F8_BTR"/>
      <sheetName val="Labour_&amp;_Plant"/>
      <sheetName val="Bld_SSR"/>
      <sheetName val="SSR_-Sani_"/>
      <sheetName val="Elec_SSR"/>
      <sheetName val="PH-_SSR"/>
      <sheetName val="R_&amp;_B_SSR"/>
      <sheetName val="RCC_Pipes"/>
      <sheetName val="DI-Pipes_&amp;_Spe"/>
      <sheetName val="CI_Spe"/>
      <sheetName val="Bolts&amp;_rings"/>
      <sheetName val="Dist_Lines-150-old"/>
      <sheetName val="GA-GVMC_-NW(Com)_"/>
      <sheetName val="GA-GVMC_-NW_"/>
      <sheetName val="Dist_Lines-100"/>
      <sheetName val="Dist-Lines_-500"/>
      <sheetName val="Dist_Lines-150"/>
      <sheetName val="GA-GVMC_-NW__(2)"/>
      <sheetName val="GA-GVMC_-NW__"/>
      <sheetName val="Dist-Lines_B-1_"/>
      <sheetName val="Dist-Lines-Final_checked"/>
      <sheetName val="Pumping_mains-"/>
      <sheetName val="Feeder_main-old"/>
      <sheetName val="Dist-Lines_-B-2"/>
      <sheetName val="Dist-Lines_-B-3"/>
      <sheetName val="Dist-Lines_B-4"/>
      <sheetName val="Dist-Lines_B-5"/>
      <sheetName val="Dist-Lines_-B-6"/>
      <sheetName val="Dist-Lines_-B-7"/>
      <sheetName val="Dist-Lines_-B-8"/>
      <sheetName val="Dist-Lines_-B-9"/>
      <sheetName val="Dist-Lines_-B-10"/>
      <sheetName val="Dist-Lines_-B-11"/>
      <sheetName val="Dist-Lines_-B-12"/>
      <sheetName val="Dist-Lines_-B-13"/>
      <sheetName val="Dist-Lines_-B-14"/>
      <sheetName val="Dist-Lines_-B-15"/>
      <sheetName val="Dist-Lines_-B-16"/>
      <sheetName val="Feeder_mains-_1"/>
      <sheetName val="Feeder_mains-_2"/>
      <sheetName val="Feeder_mains-_(1)"/>
      <sheetName val="Feeder_mains-up_to_800"/>
      <sheetName val="Pumping_Main-800mm"/>
      <sheetName val="ELSR-600_KL-Z-2"/>
      <sheetName val="750_KL_GLSR-Z-3"/>
      <sheetName val="ELSR-750_KL-Z-3"/>
      <sheetName val="ELSR-500_KL-Z-4"/>
      <sheetName val="500_KL_GLSR-Z-4"/>
      <sheetName val="ELSR-1850_KL-Z-8"/>
      <sheetName val="1850_KL_GLSR-Z-8"/>
      <sheetName val="800_KL_GLSR-Z-11"/>
      <sheetName val="900_KL_GLSR-Z-12"/>
      <sheetName val="ELSR-2500_KL-Z-13"/>
      <sheetName val="ELSR-2400_KL-Z-14"/>
      <sheetName val="ELSR-1200_KL-Z-15"/>
      <sheetName val="ELSR-2000_KL-Z-16"/>
      <sheetName val="Pumping_Main-500mm-(2)"/>
      <sheetName val="Pumping_Main-450mm-(3)"/>
      <sheetName val="Pumping_Main-(4)"/>
      <sheetName val="350_KL_GLSR"/>
      <sheetName val="1000_KL_Sump-"/>
      <sheetName val="1000_KL_MBR"/>
      <sheetName val="MBR-1000_KL"/>
      <sheetName val="Pump_room-12x8"/>
      <sheetName val="civ data"/>
      <sheetName val="m"/>
      <sheetName val="Newabstract"/>
      <sheetName val="CivilOld"/>
      <sheetName val="hdpe_basic"/>
      <sheetName val="Mth-Vana"/>
      <sheetName val="Demand"/>
      <sheetName val="Occ"/>
      <sheetName val="LOCAL RATES"/>
      <sheetName val="Cal"/>
      <sheetName val="Abs"/>
      <sheetName val="well"/>
      <sheetName val="Sum1"/>
      <sheetName val="98Price"/>
      <sheetName val="Civil Works"/>
      <sheetName val="August TB"/>
      <sheetName val="Consolidated"/>
      <sheetName val="pt-cw"/>
      <sheetName val="AD ST"/>
      <sheetName val="Inc.St.-Link"/>
      <sheetName val="공장별판관비배부"/>
      <sheetName val="UNIT2"/>
      <sheetName val="CFS3"/>
      <sheetName val="Core Data"/>
      <sheetName val="iD"/>
      <sheetName val="triggers"/>
      <sheetName val="Vol"/>
      <sheetName val="KWM"/>
      <sheetName val="simulations"/>
      <sheetName val="Wag&amp;Sal"/>
      <sheetName val="SALE"/>
      <sheetName val="FLCB List"/>
      <sheetName val="Fx DATA"/>
      <sheetName val="Bridge Data 2005-06"/>
      <sheetName val="Exp_62"/>
      <sheetName val="INDIGINEOUS_ITEMS_62"/>
      <sheetName val="E_&amp;_R62"/>
      <sheetName val="Load_Details(B1)62"/>
      <sheetName val="INDORAMA_Group_June_0262"/>
      <sheetName val="SPT_vs_PHI62"/>
      <sheetName val="Civil_Boq62"/>
      <sheetName val="Debits_as_on_12_04_0862"/>
      <sheetName val="PA-_Consutant_62"/>
      <sheetName val="Sheet3_(2)62"/>
      <sheetName val="_Block_work"/>
      <sheetName val="Flooring_&amp;_Road"/>
      <sheetName val="BOM_"/>
      <sheetName val="SUBMITED_bISS"/>
      <sheetName val="TOTAL_SUMMARY"/>
      <sheetName val="DOOR-WINDOW_SCHEDULE"/>
      <sheetName val="BLOCK_WORK-GRD_FLR"/>
      <sheetName val="Japan_Reco"/>
      <sheetName val="Abs_PMRL"/>
      <sheetName val="Cleaning_&amp;_Grubbing"/>
      <sheetName val="220Kv_(2)"/>
      <sheetName val="Source_Ref_"/>
      <sheetName val="Name_List"/>
      <sheetName val="water_prop_"/>
      <sheetName val="Price_Comparison"/>
      <sheetName val="BLOCK-A_(MEA_SHEET)"/>
      <sheetName val="4_Annex_1_Basic_rate"/>
      <sheetName val="Door_Qty"/>
      <sheetName val="Win_Qty"/>
      <sheetName val="Mar_Roster"/>
      <sheetName val="costing_sheet"/>
      <sheetName val="R_A_"/>
      <sheetName val="India_F&amp;S_Template"/>
      <sheetName val="DETAILED__BOQ"/>
      <sheetName val="BASIS_-DEC_08"/>
      <sheetName val="_"/>
      <sheetName val="Capital_Structure"/>
      <sheetName val="Recap_"/>
      <sheetName val="Schedule_A1"/>
      <sheetName val="Abstract_(Buyback)"/>
      <sheetName val="Civil_RA"/>
      <sheetName val="Plumbing_RA"/>
      <sheetName val="Electrical__RA"/>
      <sheetName val="ELV_RA"/>
      <sheetName val="FFTG_RA"/>
      <sheetName val="HVAC_RA"/>
      <sheetName val="Furniture_RA"/>
      <sheetName val="Kichen_Equi__RA"/>
      <sheetName val="Project_Budget_Worksheet"/>
      <sheetName val="All_Components_Report"/>
      <sheetName val="UNP-NCW_"/>
      <sheetName val="BUD_07-08"/>
      <sheetName val="Final_Basic_rate"/>
      <sheetName val="Elect_"/>
      <sheetName val="old_boq"/>
      <sheetName val="CABLENOS_"/>
      <sheetName val="Works_-_Quote_Sheet"/>
      <sheetName val="Bill_1-BOQ-Civil_Works"/>
      <sheetName val="Labour_Rate_"/>
      <sheetName val="Material_List_"/>
      <sheetName val="Sheet1_(2)"/>
      <sheetName val="site_fab&amp;ernstr"/>
      <sheetName val="2_1_受電設備棟"/>
      <sheetName val="2_2_受・防火水槽"/>
      <sheetName val="2_3_排水処理設備棟"/>
      <sheetName val="2_4_倉庫棟"/>
      <sheetName val="2_5_守衛棟"/>
      <sheetName val="Step_1"/>
      <sheetName val="Partitions"/>
      <sheetName val="inter"/>
      <sheetName val="LABOUR SALARY "/>
      <sheetName val="Brickwork "/>
      <sheetName val="Finishing items"/>
      <sheetName val="Global_Assmptions"/>
      <sheetName val="Data_sheet"/>
      <sheetName val="NRC_Rationalisation"/>
      <sheetName val="foot-slab_reinft"/>
      <sheetName val="PRECAST lightconc_II"/>
      <sheetName val="Roof  PT beams "/>
      <sheetName val="Client Addressess "/>
      <sheetName val="Basic Rates"/>
      <sheetName val="SP Break Up"/>
      <sheetName val="TBEAM"/>
      <sheetName val="MH(on site)"/>
      <sheetName val="ridgewood"/>
      <sheetName val="Sales &amp; Prod"/>
      <sheetName val="Measurment"/>
      <sheetName val="INDEX"/>
      <sheetName val="AREAS"/>
      <sheetName val="11-hsd"/>
      <sheetName val="13-septic"/>
      <sheetName val="7-ug"/>
      <sheetName val="2-utility"/>
      <sheetName val="RA_1"/>
      <sheetName val="boq lt"/>
      <sheetName val="Indices"/>
      <sheetName val="BFS"/>
      <sheetName val="SPEC SHEET"/>
      <sheetName val="REFERANCE DATA"/>
      <sheetName val="DOOR WINDOW"/>
      <sheetName val="TORRENT CEMENT"/>
      <sheetName val="02.10.06"/>
      <sheetName val="ORDER-3"/>
      <sheetName val="DATA INPU KN (1)"/>
      <sheetName val="DATA INPU KN"/>
      <sheetName val="beam-reinft"/>
      <sheetName val="GM &amp; TA"/>
      <sheetName val="Cash Flow Working"/>
      <sheetName val="ABS_Sec C"/>
      <sheetName val="PART-I_(2)64"/>
      <sheetName val="final_abstract64"/>
      <sheetName val="Basement_Budget63"/>
      <sheetName val="Fee_Rate_Summary63"/>
      <sheetName val="Rate_analysis63"/>
      <sheetName val="Materials_Cost63"/>
      <sheetName val="10__&amp;_11__Rate_Code_&amp;_BQ63"/>
      <sheetName val="RES_STEEL_TO63"/>
      <sheetName val="Break_up_Sheet63"/>
      <sheetName val="B_&amp;_C_-_M_-_ccp63"/>
      <sheetName val="RMZ_Summary63"/>
      <sheetName val="Fill_this_out_first___63"/>
      <sheetName val="TBAL9697_-group_wise__sdpl63"/>
      <sheetName val="Fin_Sum63"/>
      <sheetName val="Site_Dev_BOQ63"/>
      <sheetName val="Staff_Forecast_spread63"/>
      <sheetName val="Field_Values63"/>
      <sheetName val="Structure_Bills_Qty63"/>
      <sheetName val="Builtup_Area63"/>
      <sheetName val="MASTER_RATE_ANALYSIS63"/>
      <sheetName val="Cop_-VGN63"/>
      <sheetName val="IO_List63"/>
      <sheetName val="BOQ_Direct_selling_cost63"/>
      <sheetName val="Stress_Calculation63"/>
      <sheetName val="Pipe_Supports63"/>
      <sheetName val="Materials_63"/>
      <sheetName val="MN_T_B_63"/>
      <sheetName val="ORDER_BOOKING3"/>
      <sheetName val="Break_Dw63"/>
      <sheetName val="For_Bill-04_PS3"/>
      <sheetName val="RCC,Ret__Wall39"/>
      <sheetName val="RA_4_Challan_Summary_39"/>
      <sheetName val="Labour_productivity39"/>
      <sheetName val="labour_coeff39"/>
      <sheetName val="BOQ_(2)4"/>
      <sheetName val="beam-reinft-IIInd_floor3"/>
      <sheetName val="Bed_Class8"/>
      <sheetName val="PH_data3"/>
      <sheetName val="Details_(3)3"/>
      <sheetName val="Desgn(zone_I)8"/>
      <sheetName val="M_B-QtyRecn5"/>
      <sheetName val="Sqn__Main__Abs3"/>
      <sheetName val="Staff_Acco_3"/>
      <sheetName val="Section_Catalogue3"/>
      <sheetName val="Approved_MTD_Proj_#'s3"/>
      <sheetName val="ACAD_Finishes4"/>
      <sheetName val="Site_Details4"/>
      <sheetName val="Site_Area_Statement4"/>
      <sheetName val="CABLE_DATA3"/>
      <sheetName val="Mat_Cost5"/>
      <sheetName val="GR_slab-reinft3"/>
      <sheetName val="BOQ_civil3"/>
      <sheetName val="NLD_-_Assum3"/>
      <sheetName val="schedule_nos3"/>
      <sheetName val="std_wt_3"/>
      <sheetName val="Column_Steel-R23"/>
      <sheetName val="Staircase_3"/>
      <sheetName val="INPUT_SHEET3"/>
      <sheetName val="M-Book_for_Conc3"/>
      <sheetName val="M-Book_for_FW3"/>
      <sheetName val="Cash_Flows_&amp;_IRR3"/>
      <sheetName val="d-safe_specs3"/>
      <sheetName val="d-safe_DELUXE3"/>
      <sheetName val="Diawise_steel_abstract3"/>
      <sheetName val="Rising_Main3"/>
      <sheetName val="PACK_(B)3"/>
      <sheetName val="Material_3"/>
      <sheetName val="bill_23"/>
      <sheetName val="Estimate_3"/>
      <sheetName val="QS_Name3"/>
      <sheetName val="CANDY_BOQ3"/>
      <sheetName val="CFForecast_detail3"/>
      <sheetName val="Model_(Not_Merged)3"/>
      <sheetName val="Tender_Summary3"/>
      <sheetName val="train_cash3"/>
      <sheetName val="accom_cash3"/>
      <sheetName val="Common_3"/>
      <sheetName val="Meas_-Hotel_Part3"/>
      <sheetName val="3__Elemental_Summary2"/>
      <sheetName val="Material_Rate2"/>
      <sheetName val="Retaing_wall2"/>
      <sheetName val="WORK_TABLE3"/>
      <sheetName val="220_11__BS_3"/>
      <sheetName val="Intro_3"/>
      <sheetName val="Operating_Statistics3"/>
      <sheetName val="except_wiring2"/>
      <sheetName val="CPIPE_12"/>
      <sheetName val="beam-reinft-machine_rm3"/>
      <sheetName val="intr_stool_brkup2"/>
      <sheetName val="Occ,_Other_Rev,_Exp,_Dispo2"/>
      <sheetName val="Vind_-_BtB3"/>
      <sheetName val="SGS_ACQ3"/>
      <sheetName val="Form_63"/>
      <sheetName val="Price_Schedule4"/>
      <sheetName val="Cost_Any_4"/>
      <sheetName val="S_&amp;_A4"/>
      <sheetName val="PointNo_52"/>
      <sheetName val="BOQ_Distribution2"/>
      <sheetName val="A_O_R_2"/>
      <sheetName val="PRECAST_lightconc-II2"/>
      <sheetName val="Detail_In_Door_Stad2"/>
      <sheetName val="P_Well(_RCC)2"/>
      <sheetName val="PO_Summary2"/>
      <sheetName val="BOQ_Summary2"/>
      <sheetName val="Sec_1_Loose_Furniture_18%_GST2"/>
      <sheetName val="Sec_1_Loose_Furniture_12%_GST2"/>
      <sheetName val="Sec_1_Loose_Furniture_5%_GST2"/>
      <sheetName val="Sec_2_Cafeteria_Tables2"/>
      <sheetName val="Sec_3_Cafeteria_Chairs2"/>
      <sheetName val="Sec_4_Work_Floors_-_NT_2"/>
      <sheetName val="Sec_5_LGF_Chairs-NT2"/>
      <sheetName val="Sec_6_Additional_18%_GST_2"/>
      <sheetName val="Sec_6_Additional_12%_GST_2"/>
      <sheetName val="Sec_11-NT_set_32"/>
      <sheetName val="DC_Summary2"/>
      <sheetName val="M_Sheet2"/>
      <sheetName val="RA4_Checklist2"/>
      <sheetName val="PC_Master_List2"/>
      <sheetName val="Project_Details__2"/>
      <sheetName val="Labor_abs-NMR2"/>
      <sheetName val="소상_&quot;1&quot;2"/>
      <sheetName val="M_S_2"/>
      <sheetName val="Discount_&amp;_Margin2"/>
      <sheetName val="Branch_Power2"/>
      <sheetName val="RAJU_ASSO2"/>
      <sheetName val="P-Ins_&amp;_Bonds2"/>
      <sheetName val="2_대외공문2"/>
      <sheetName val="NEW-IDs_Fun_&amp;_Group2"/>
      <sheetName val="LABOUR_SALARY_"/>
      <sheetName val="Brickwork_"/>
      <sheetName val="Finishing_items"/>
      <sheetName val="M-_Rate"/>
      <sheetName val="August_Construction_Planning__"/>
      <sheetName val="Internal_Planning"/>
      <sheetName val="July'2019_Weekly"/>
      <sheetName val="9__Package_split_-_Cost_"/>
      <sheetName val="Estimate_10_00_Lakhs_"/>
      <sheetName val="abs_road"/>
      <sheetName val="Road_data"/>
      <sheetName val="terrace_parapet_block_work"/>
      <sheetName val="Canopy-2_RCC1"/>
      <sheetName val="Canopy-2_BBS"/>
      <sheetName val="Canopy-1_RCC1"/>
      <sheetName val="Canopy-1_BBS"/>
      <sheetName val="Above_terrace_columns_RCC"/>
      <sheetName val="Above_terrace_columns_BBS"/>
      <sheetName val="Parapet_wall_RCC"/>
      <sheetName val="Parapet_wall_BBS"/>
      <sheetName val="OHWT_RCC"/>
      <sheetName val="OHWT_Slab_BBS"/>
      <sheetName val="OHWT_Beams__BBS"/>
      <sheetName val="Slab_&amp;_Beam_@_0_00_Lvl"/>
      <sheetName val="Slab_&amp;_Beam"/>
      <sheetName val="Lintels_&amp;_Window"/>
      <sheetName val="Column_Steel_(UBF)"/>
      <sheetName val="Column_Steel_(SF)"/>
      <sheetName val="Column_Steel_(1F)"/>
      <sheetName val="Column_Steel_(2F)"/>
      <sheetName val="Column_Steel_(3F)"/>
      <sheetName val="Column_Steel_(4F-6F)"/>
      <sheetName val="Column_Steel_(7F-9F)"/>
      <sheetName val="Column_Steel_(10F-12F)"/>
      <sheetName val="Column_Steel_(13F-15F)"/>
      <sheetName val="Column_Steel_(16F-17F)"/>
      <sheetName val="Column_Steel_(18F)"/>
      <sheetName val="Lift_Steel_(UBF)"/>
      <sheetName val="Lift_Steel_(SF)"/>
      <sheetName val="Lift_Steel_(1F-6F)"/>
      <sheetName val="Lift_Steel_(7F-12F)"/>
      <sheetName val="Lift_Steel_(13F-18F)"/>
      <sheetName val="_Staircase_Steel_(UBF)"/>
      <sheetName val="_Staircase_Steel_(SF)"/>
      <sheetName val="_Staircase_Steel_(1F-7F)"/>
      <sheetName val="_Staircase_Steel_(8F-18F)"/>
      <sheetName val="Beams_Steel_(SF)"/>
      <sheetName val="Slab_Steel_(SF)"/>
      <sheetName val="Beams_Steel_(1F)"/>
      <sheetName val="Slab_Steel_(1F)"/>
      <sheetName val="Beams_Steel_(2F&amp;3F)"/>
      <sheetName val="Slab_Steel_(2F&amp;3F)"/>
      <sheetName val="Beams_Steel_(4F)"/>
      <sheetName val="Slab_Steel_(4F)"/>
      <sheetName val="Beams_Steel_(5F-7F)"/>
      <sheetName val="Slab_Steel_(5F-7F)"/>
      <sheetName val="Beams_Steel_(8F-15F&amp;18F)"/>
      <sheetName val="Slab_Steel_(8F-15F&amp;18F)"/>
      <sheetName val="Beams_Steel_(16F&amp;17F)"/>
      <sheetName val="Slab_Steel_(16F&amp;17F)"/>
      <sheetName val="Beams_Steel_(TF)"/>
      <sheetName val="Slab_Steel_(TF)"/>
      <sheetName val="100mm_Block_Work"/>
      <sheetName val="150mm_BLOCKS"/>
      <sheetName val="200mm_BLOCKS"/>
      <sheetName val="Internal_Walls_Plastering"/>
      <sheetName val="Internal_Ceiling_Plastering"/>
      <sheetName val="External_plaster"/>
      <sheetName val="Tower-_A_(Abstract)"/>
      <sheetName val="Canopy-2_RCC"/>
      <sheetName val="Canopy_-1_RCC"/>
      <sheetName val="Canaopy-2_steel"/>
      <sheetName val="Canopy-1_steel"/>
      <sheetName val="Columns_above_terrace"/>
      <sheetName val="OHT_bottom_&amp;_walls_"/>
      <sheetName val="Slab_&amp;_Beam_at_0_00lvl"/>
      <sheetName val="Slab_&amp;_Beam_at_+3_25lvl"/>
      <sheetName val="Parapet_slab&amp;beams"/>
      <sheetName val="Column_Steel(SF_to_TF)"/>
      <sheetName val="Above_terrace_column_steel"/>
      <sheetName val="Lift_Wall_-_Stilt_Floor"/>
      <sheetName val="Lift_Wall_1F-6F"/>
      <sheetName val="Lift_Wall_7F-12F"/>
      <sheetName val="Lift_Wall_13F-18F"/>
      <sheetName val="Lift_wall_terrace_floor"/>
      <sheetName val="Staircase_-_UBF"/>
      <sheetName val="Staircase_-_SF"/>
      <sheetName val="Staircase_-_1F-7F"/>
      <sheetName val="Staircase_-_8F-18F"/>
      <sheetName val="Beam_Steel_-_SF"/>
      <sheetName val="Slab_Steel_-_SF"/>
      <sheetName val="Beam_Steel-_1F"/>
      <sheetName val="Slab_Steel_-_1F"/>
      <sheetName val="Beams_Steel_2F"/>
      <sheetName val="Slab_steel_2F"/>
      <sheetName val="Beams_Steel_3F"/>
      <sheetName val="Slab_steel_3F"/>
      <sheetName val="Beams_Steel_-_4F"/>
      <sheetName val="Slab_steel_4F"/>
      <sheetName val="Beam_steel_5F-7F"/>
      <sheetName val="Slab_steel_5F-7F"/>
      <sheetName val="Beam_steel_8F-15F_&amp;_18F"/>
      <sheetName val="Slab_steel_8F-15F&amp;_18F"/>
      <sheetName val="Beam_steel_16F_-_17F"/>
      <sheetName val="Slab_steel_16F_-_17F"/>
      <sheetName val="Beam_steel_TF"/>
      <sheetName val="Slab_steel_TF"/>
      <sheetName val="OHT_Slab_steel_"/>
      <sheetName val="OHT_beam_steel_"/>
      <sheetName val="A-_terrace_coping_BBS"/>
      <sheetName val="Copping_beam_BBS_A_terrace"/>
      <sheetName val="150_mm_BLOCKS"/>
      <sheetName val="200_mm_BLOCKS"/>
      <sheetName val="B_F_Meters"/>
      <sheetName val="Pump_sets"/>
      <sheetName val="Pump_sets_(2)"/>
      <sheetName val="Gen_sets"/>
      <sheetName val="PR_Valves"/>
      <sheetName val="W_man_Qrt-"/>
      <sheetName val="O_&amp;M"/>
      <sheetName val="Generator_Room-1"/>
      <sheetName val="200_KL_GLSR-6_(2)"/>
      <sheetName val="500_KL_Sump-(1)"/>
      <sheetName val="250_KL_Sump-(3)"/>
      <sheetName val="Office_-_MBR"/>
      <sheetName val="HSC_(2)"/>
      <sheetName val="Gen_sets_(2)"/>
      <sheetName val="DI_pipes"/>
      <sheetName val="Wt_of_DI_Spe_"/>
      <sheetName val="HDPE_pipes"/>
      <sheetName val="RCC_SS"/>
      <sheetName val="CI_Spe_"/>
      <sheetName val="data-ELSR_"/>
      <sheetName val="data-Water_Supply"/>
      <sheetName val="Sump_&amp;_ST"/>
      <sheetName val="Bld_Stnd,Data"/>
      <sheetName val="Bld_up_to_3F"/>
      <sheetName val="CC_road"/>
      <sheetName val="Dist_Lines"/>
      <sheetName val="Feeder_mains-2"/>
      <sheetName val="Gravity_Main-900mm"/>
      <sheetName val="550_KL_Sump-1"/>
      <sheetName val="550_KL_Sump-2"/>
      <sheetName val="ELSR-1200_KL"/>
      <sheetName val="650_KL_GLSR_(2)"/>
      <sheetName val="850_KL_GLSR_"/>
      <sheetName val="500_KL_sump"/>
      <sheetName val="200_KL-_ELSR_Yelluru"/>
      <sheetName val="Dist-Zone-below_50000"/>
      <sheetName val="Data_-O&amp;M"/>
      <sheetName val="Pumping_main-350mm"/>
      <sheetName val="Inf_Well"/>
      <sheetName val="Approah_road_to_MBR"/>
      <sheetName val="Approach_Roads-Source"/>
      <sheetName val="400mm-P_Main"/>
      <sheetName val="13_Mld-WTP"/>
      <sheetName val="data-Intake_well"/>
      <sheetName val="Model_GLSR-"/>
      <sheetName val="Feeder_main-1_(2)"/>
      <sheetName val="Dist_&amp;_Feeder_mains__(2)"/>
      <sheetName val="BFlow_meters"/>
      <sheetName val="O_Nd_M"/>
      <sheetName val="Pump_room-6_59x6_00m"/>
      <sheetName val="GA-GVMC_-Raiwada-BWSC"/>
      <sheetName val="BWSC-Pumping_Main-1200mm"/>
      <sheetName val="GA-GVMC_-Raiwada"/>
      <sheetName val="MS-Pumping_Main-1300mm"/>
      <sheetName val="Thurst-F_mains"/>
      <sheetName val="Thrust-P_mains"/>
      <sheetName val="CI_weights"/>
      <sheetName val="Proforma_-II_"/>
      <sheetName val="LIST_OF_MAKES"/>
      <sheetName val="April_Analysts"/>
      <sheetName val="Basic_Rate"/>
      <sheetName val="Consumer_Fraud"/>
      <sheetName val="Avoidance_"/>
      <sheetName val="Cons_Recov_Rates"/>
      <sheetName val="Consumer_Supps"/>
      <sheetName val="Consumer_Outbound"/>
      <sheetName val="FY_Loss_Frcst"/>
      <sheetName val="FITZ_MORT_94"/>
      <sheetName val="footing_for_SP"/>
      <sheetName val="Master_Info"/>
      <sheetName val="AD_ST"/>
      <sheetName val="Riser-1"/>
      <sheetName val="Schedule v1"/>
      <sheetName val="Keyword"/>
      <sheetName val="Auswahl"/>
      <sheetName val="factor_sheet35"/>
      <sheetName val="factor_sheet36"/>
      <sheetName val="Exp_63"/>
      <sheetName val="INDIGINEOUS_ITEMS_63"/>
      <sheetName val="E_&amp;_R63"/>
      <sheetName val="Load_Details(B1)63"/>
      <sheetName val="SPT_vs_PHI63"/>
      <sheetName val="Civil_Boq63"/>
      <sheetName val="PA-_Consutant_63"/>
      <sheetName val="Debits_as_on_12_04_0863"/>
      <sheetName val="Sheet3_(2)63"/>
      <sheetName val="INDORAMA_Group_June_0263"/>
      <sheetName val="cubes_M25 Nov-03"/>
      <sheetName val="Pile cap"/>
      <sheetName val="Boq (Main Building)"/>
      <sheetName val="Annexue B"/>
      <sheetName val="_Block_work1"/>
      <sheetName val="Flooring_&amp;_Road1"/>
      <sheetName val="BOM_1"/>
      <sheetName val="SUBMITED_bISS1"/>
      <sheetName val="TOTAL_SUMMARY1"/>
      <sheetName val="DOOR-WINDOW_SCHEDULE1"/>
      <sheetName val="BLOCK_WORK-GRD_FLR1"/>
      <sheetName val="Cleaning_&amp;_Grubbing1"/>
      <sheetName val="Abs_PMRL1"/>
      <sheetName val="220Kv_(2)1"/>
      <sheetName val="Japan_Reco1"/>
      <sheetName val="Source_Ref_1"/>
      <sheetName val="Name_List1"/>
      <sheetName val="water_prop_1"/>
      <sheetName val="Price_Comparison1"/>
      <sheetName val="BLOCK-A_(MEA_SHEET)1"/>
      <sheetName val="R_A_1"/>
      <sheetName val="costing_sheet1"/>
      <sheetName val="Labour_&amp;_Plant1"/>
      <sheetName val="Mar_Roster1"/>
      <sheetName val="4_Annex_1_Basic_rate1"/>
      <sheetName val="Door_Qty1"/>
      <sheetName val="Win_Qty1"/>
      <sheetName val="Capital_Structure1"/>
      <sheetName val="India_F&amp;S_Template1"/>
      <sheetName val="DETAILED__BOQ1"/>
      <sheetName val="BASIS_-DEC_081"/>
      <sheetName val="_1"/>
      <sheetName val="Recap_1"/>
      <sheetName val="Schedule_A11"/>
      <sheetName val="Abstract_(Buyback)1"/>
      <sheetName val="Civil_RA1"/>
      <sheetName val="Plumbing_RA1"/>
      <sheetName val="Electrical__RA1"/>
      <sheetName val="ELV_RA1"/>
      <sheetName val="FFTG_RA1"/>
      <sheetName val="HVAC_RA1"/>
      <sheetName val="Furniture_RA1"/>
      <sheetName val="Kichen_Equi__RA1"/>
      <sheetName val="Project_Budget_Worksheet1"/>
      <sheetName val="All_Components_Report1"/>
      <sheetName val="UNP-NCW_1"/>
      <sheetName val="BUD_07-081"/>
      <sheetName val="Final_Basic_rate1"/>
      <sheetName val="Elect_1"/>
      <sheetName val="old_boq1"/>
      <sheetName val="CABLENOS_1"/>
      <sheetName val="Works_-_Quote_Sheet1"/>
      <sheetName val="Lead_statement1"/>
      <sheetName val="Data_F8_BTR1"/>
      <sheetName val="Bill_1-BOQ-Civil_Works1"/>
      <sheetName val="Labour_Rate_1"/>
      <sheetName val="Material_List_1"/>
      <sheetName val="Sheet1_(2)1"/>
      <sheetName val="site_fab&amp;ernstr1"/>
      <sheetName val="2_1_受電設備棟1"/>
      <sheetName val="2_2_受・防火水槽1"/>
      <sheetName val="2_3_排水処理設備棟1"/>
      <sheetName val="2_4_倉庫棟1"/>
      <sheetName val="2_5_守衛棟1"/>
      <sheetName val="Step_11"/>
      <sheetName val="Core_Data"/>
      <sheetName val="2000_MOR"/>
      <sheetName val="Inc_St_-Link"/>
      <sheetName val="Main_Sheet"/>
      <sheetName val="Lookup_data"/>
      <sheetName val="13__Steel_-_Ratio"/>
      <sheetName val="CIV_INV&amp;EXP"/>
      <sheetName val="Civil_Works"/>
      <sheetName val="August_TB"/>
      <sheetName val="FLCB_List"/>
      <sheetName val="집계표(OPTION)"/>
      <sheetName val="Global_Assmptions1"/>
      <sheetName val="Data_sheet1"/>
      <sheetName val="NRC_Rationalisation1"/>
      <sheetName val="foot-slab_reinft1"/>
      <sheetName val="RA_11"/>
      <sheetName val="boq_lt"/>
      <sheetName val="MH(on_site)"/>
      <sheetName val="PMV Data"/>
      <sheetName val="HR &amp; Admin"/>
      <sheetName val="Exim FCL"/>
      <sheetName val="XREF"/>
      <sheetName val="7 Other Costs"/>
      <sheetName val="Annex"/>
      <sheetName val="2.Pardi"/>
      <sheetName val="Meas.-Tender"/>
      <sheetName val="Non-Tender"/>
      <sheetName val="Extra item"/>
      <sheetName val="1.MPB_Conveyer Pit"/>
      <sheetName val="2.Boiler Pit"/>
      <sheetName val="3. SWRC"/>
      <sheetName val="BM"/>
      <sheetName val="Cul_detail"/>
      <sheetName val="Diaphragm "/>
      <sheetName val="ETC Plant Cost"/>
      <sheetName val="Exist"/>
      <sheetName val="LEFT"/>
      <sheetName val="RIGHT"/>
      <sheetName val="Steel-Circular"/>
      <sheetName val="PROCTOR"/>
      <sheetName val="report"/>
      <sheetName val="MN__x0005__x0000__x0000__x0000_"/>
      <sheetName val="MN_堌_x001f_塔_x001f_ꮸ"/>
      <sheetName val="MN_囼&lt;坄&lt;ꮸ"/>
      <sheetName val="MN_寐Ïꮸ『_x0005_"/>
      <sheetName val="MN_召į吴įꮸ"/>
      <sheetName val="MN_婌s媔sꮸ"/>
      <sheetName val="MN_吠Ęꮸ⼢_x0005_"/>
      <sheetName val="MN_唠uꮸ⾝_x0005_"/>
      <sheetName val="MN_嚐Yꮸ】_x0005_"/>
      <sheetName val="MN_婬~媴~ꮸ"/>
      <sheetName val="MN_ꮸ》_x0005__x0000_"/>
      <sheetName val="MN_夀ïꮸ⾥_x0005_"/>
      <sheetName val="MN_ꮸ⾥_x0005__x0000_"/>
      <sheetName val="MS Rates"/>
      <sheetName val="BLKs_C"/>
      <sheetName val="당초"/>
      <sheetName val="Cash2"/>
      <sheetName val="Z"/>
      <sheetName val="Estt"/>
      <sheetName val="EW SR"/>
      <sheetName val="Qty SR"/>
      <sheetName val="Evaluate"/>
      <sheetName val="Pr.-hist."/>
      <sheetName val="MaterfÙ_x0002_G"/>
      <sheetName val="SSR 2010-11 Rates"/>
      <sheetName val="mtc esti"/>
      <sheetName val="Road Detail 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row r="52">
          <cell r="B52" t="str">
            <v>Main Panel</v>
          </cell>
        </row>
      </sheetData>
      <sheetData sheetId="199"/>
      <sheetData sheetId="200">
        <row r="52">
          <cell r="B52" t="str">
            <v>Main Panel</v>
          </cell>
        </row>
      </sheetData>
      <sheetData sheetId="201"/>
      <sheetData sheetId="202">
        <row r="52">
          <cell r="B52" t="str">
            <v>Main Panel</v>
          </cell>
        </row>
      </sheetData>
      <sheetData sheetId="203">
        <row r="52">
          <cell r="B52" t="str">
            <v>Main Panel</v>
          </cell>
        </row>
      </sheetData>
      <sheetData sheetId="204">
        <row r="52">
          <cell r="B52" t="str">
            <v>Main Panel</v>
          </cell>
        </row>
      </sheetData>
      <sheetData sheetId="205">
        <row r="52">
          <cell r="B52" t="str">
            <v>Main Panel</v>
          </cell>
        </row>
      </sheetData>
      <sheetData sheetId="206">
        <row r="52">
          <cell r="B52" t="str">
            <v>Main Panel</v>
          </cell>
        </row>
      </sheetData>
      <sheetData sheetId="207">
        <row r="52">
          <cell r="B52" t="str">
            <v>Main Panel</v>
          </cell>
        </row>
      </sheetData>
      <sheetData sheetId="208">
        <row r="52">
          <cell r="B52" t="str">
            <v>Main Panel</v>
          </cell>
        </row>
      </sheetData>
      <sheetData sheetId="209">
        <row r="52">
          <cell r="B52" t="str">
            <v>Main Panel</v>
          </cell>
        </row>
      </sheetData>
      <sheetData sheetId="210">
        <row r="52">
          <cell r="B52" t="str">
            <v>Main Panel</v>
          </cell>
        </row>
      </sheetData>
      <sheetData sheetId="211">
        <row r="52">
          <cell r="B52" t="str">
            <v>Main Panel</v>
          </cell>
        </row>
      </sheetData>
      <sheetData sheetId="212">
        <row r="52">
          <cell r="B52" t="str">
            <v>Main Panel</v>
          </cell>
        </row>
      </sheetData>
      <sheetData sheetId="213">
        <row r="52">
          <cell r="B52" t="str">
            <v>Main Panel</v>
          </cell>
        </row>
      </sheetData>
      <sheetData sheetId="214"/>
      <sheetData sheetId="215"/>
      <sheetData sheetId="216" refreshError="1"/>
      <sheetData sheetId="217" refreshError="1"/>
      <sheetData sheetId="218"/>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sheetData sheetId="229"/>
      <sheetData sheetId="230"/>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sheetData sheetId="422"/>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ow r="52">
          <cell r="B52" t="str">
            <v>Main Panel</v>
          </cell>
        </row>
      </sheetData>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efreshError="1"/>
      <sheetData sheetId="779" refreshError="1"/>
      <sheetData sheetId="780">
        <row r="52">
          <cell r="B52" t="str">
            <v>Main Panel</v>
          </cell>
        </row>
      </sheetData>
      <sheetData sheetId="781">
        <row r="52">
          <cell r="B52" t="str">
            <v>Main Panel</v>
          </cell>
        </row>
      </sheetData>
      <sheetData sheetId="782">
        <row r="52">
          <cell r="B52" t="str">
            <v>Main Panel</v>
          </cell>
        </row>
      </sheetData>
      <sheetData sheetId="783">
        <row r="52">
          <cell r="B52" t="str">
            <v>Main Panel</v>
          </cell>
        </row>
      </sheetData>
      <sheetData sheetId="784">
        <row r="52">
          <cell r="B52" t="str">
            <v>Main Panel</v>
          </cell>
        </row>
      </sheetData>
      <sheetData sheetId="785">
        <row r="52">
          <cell r="B52" t="str">
            <v>Main Panel</v>
          </cell>
        </row>
      </sheetData>
      <sheetData sheetId="786">
        <row r="52">
          <cell r="B52" t="str">
            <v>Main Panel</v>
          </cell>
        </row>
      </sheetData>
      <sheetData sheetId="787">
        <row r="52">
          <cell r="B52" t="str">
            <v>Main Panel</v>
          </cell>
        </row>
      </sheetData>
      <sheetData sheetId="788">
        <row r="52">
          <cell r="B52" t="str">
            <v>Main Panel</v>
          </cell>
        </row>
      </sheetData>
      <sheetData sheetId="789">
        <row r="52">
          <cell r="B52" t="str">
            <v>Main Panel</v>
          </cell>
        </row>
      </sheetData>
      <sheetData sheetId="790">
        <row r="52">
          <cell r="B52" t="str">
            <v>Main Panel</v>
          </cell>
        </row>
      </sheetData>
      <sheetData sheetId="791">
        <row r="52">
          <cell r="B52" t="str">
            <v>Main Panel</v>
          </cell>
        </row>
      </sheetData>
      <sheetData sheetId="792">
        <row r="52">
          <cell r="B52" t="str">
            <v>Main Panel</v>
          </cell>
        </row>
      </sheetData>
      <sheetData sheetId="793">
        <row r="52">
          <cell r="B52" t="str">
            <v>Main Panel</v>
          </cell>
        </row>
      </sheetData>
      <sheetData sheetId="794">
        <row r="52">
          <cell r="B52" t="str">
            <v>Main Panel</v>
          </cell>
        </row>
      </sheetData>
      <sheetData sheetId="795">
        <row r="52">
          <cell r="B52" t="str">
            <v>Main Panel</v>
          </cell>
        </row>
      </sheetData>
      <sheetData sheetId="796">
        <row r="52">
          <cell r="B52" t="str">
            <v>Main Panel</v>
          </cell>
        </row>
      </sheetData>
      <sheetData sheetId="797">
        <row r="52">
          <cell r="B52" t="str">
            <v>Main Panel</v>
          </cell>
        </row>
      </sheetData>
      <sheetData sheetId="798">
        <row r="52">
          <cell r="B52" t="str">
            <v>Main Panel</v>
          </cell>
        </row>
      </sheetData>
      <sheetData sheetId="799">
        <row r="52">
          <cell r="B52" t="str">
            <v>Main Panel</v>
          </cell>
        </row>
      </sheetData>
      <sheetData sheetId="800">
        <row r="52">
          <cell r="B52" t="str">
            <v>Main Panel</v>
          </cell>
        </row>
      </sheetData>
      <sheetData sheetId="801">
        <row r="52">
          <cell r="B52" t="str">
            <v>Main Panel</v>
          </cell>
        </row>
      </sheetData>
      <sheetData sheetId="802">
        <row r="52">
          <cell r="B52" t="str">
            <v>Main Panel</v>
          </cell>
        </row>
      </sheetData>
      <sheetData sheetId="803">
        <row r="52">
          <cell r="B52" t="str">
            <v>Main Panel</v>
          </cell>
        </row>
      </sheetData>
      <sheetData sheetId="804">
        <row r="52">
          <cell r="B52" t="str">
            <v>Main Panel</v>
          </cell>
        </row>
      </sheetData>
      <sheetData sheetId="805">
        <row r="52">
          <cell r="B52" t="str">
            <v>Main Panel</v>
          </cell>
        </row>
      </sheetData>
      <sheetData sheetId="806">
        <row r="52">
          <cell r="B52" t="str">
            <v>Main Panel</v>
          </cell>
        </row>
      </sheetData>
      <sheetData sheetId="807">
        <row r="52">
          <cell r="B52" t="str">
            <v>Main Panel</v>
          </cell>
        </row>
      </sheetData>
      <sheetData sheetId="808">
        <row r="52">
          <cell r="B52" t="str">
            <v>Main Panel</v>
          </cell>
        </row>
      </sheetData>
      <sheetData sheetId="809">
        <row r="52">
          <cell r="B52" t="str">
            <v>Main Panel</v>
          </cell>
        </row>
      </sheetData>
      <sheetData sheetId="810">
        <row r="52">
          <cell r="B52" t="str">
            <v>Main Panel</v>
          </cell>
        </row>
      </sheetData>
      <sheetData sheetId="811">
        <row r="52">
          <cell r="B52" t="str">
            <v>Main Panel</v>
          </cell>
        </row>
      </sheetData>
      <sheetData sheetId="812">
        <row r="52">
          <cell r="B52" t="str">
            <v>Main Panel</v>
          </cell>
        </row>
      </sheetData>
      <sheetData sheetId="813">
        <row r="52">
          <cell r="B52" t="str">
            <v>Main Panel</v>
          </cell>
        </row>
      </sheetData>
      <sheetData sheetId="814">
        <row r="52">
          <cell r="B52" t="str">
            <v>Main Panel</v>
          </cell>
        </row>
      </sheetData>
      <sheetData sheetId="815">
        <row r="52">
          <cell r="B52" t="str">
            <v>Main Panel</v>
          </cell>
        </row>
      </sheetData>
      <sheetData sheetId="816">
        <row r="52">
          <cell r="B52" t="str">
            <v>Main Panel</v>
          </cell>
        </row>
      </sheetData>
      <sheetData sheetId="817">
        <row r="52">
          <cell r="B52" t="str">
            <v>Main Panel</v>
          </cell>
        </row>
      </sheetData>
      <sheetData sheetId="818">
        <row r="52">
          <cell r="B52" t="str">
            <v>Main Panel</v>
          </cell>
        </row>
      </sheetData>
      <sheetData sheetId="819">
        <row r="52">
          <cell r="B52" t="str">
            <v>Main Panel</v>
          </cell>
        </row>
      </sheetData>
      <sheetData sheetId="820">
        <row r="52">
          <cell r="B52" t="str">
            <v>Main Panel</v>
          </cell>
        </row>
      </sheetData>
      <sheetData sheetId="821">
        <row r="52">
          <cell r="B52" t="str">
            <v>Main Panel</v>
          </cell>
        </row>
      </sheetData>
      <sheetData sheetId="822">
        <row r="52">
          <cell r="B52" t="str">
            <v>Main Panel</v>
          </cell>
        </row>
      </sheetData>
      <sheetData sheetId="823">
        <row r="52">
          <cell r="B52" t="str">
            <v>Main Panel</v>
          </cell>
        </row>
      </sheetData>
      <sheetData sheetId="824">
        <row r="52">
          <cell r="B52" t="str">
            <v>Main Panel</v>
          </cell>
        </row>
      </sheetData>
      <sheetData sheetId="825">
        <row r="52">
          <cell r="B52" t="str">
            <v>Main Panel</v>
          </cell>
        </row>
      </sheetData>
      <sheetData sheetId="826">
        <row r="52">
          <cell r="B52" t="str">
            <v>Main Panel</v>
          </cell>
        </row>
      </sheetData>
      <sheetData sheetId="827">
        <row r="52">
          <cell r="B52" t="str">
            <v>Main Panel</v>
          </cell>
        </row>
      </sheetData>
      <sheetData sheetId="828">
        <row r="52">
          <cell r="B52" t="str">
            <v>Main Panel</v>
          </cell>
        </row>
      </sheetData>
      <sheetData sheetId="829">
        <row r="52">
          <cell r="B52" t="str">
            <v>Main Panel</v>
          </cell>
        </row>
      </sheetData>
      <sheetData sheetId="830">
        <row r="52">
          <cell r="B52" t="str">
            <v>Main Panel</v>
          </cell>
        </row>
      </sheetData>
      <sheetData sheetId="831">
        <row r="52">
          <cell r="B52" t="str">
            <v>Main Panel</v>
          </cell>
        </row>
      </sheetData>
      <sheetData sheetId="832">
        <row r="52">
          <cell r="B52" t="str">
            <v>Main Panel</v>
          </cell>
        </row>
      </sheetData>
      <sheetData sheetId="833">
        <row r="52">
          <cell r="B52" t="str">
            <v>Main Panel</v>
          </cell>
        </row>
      </sheetData>
      <sheetData sheetId="834">
        <row r="52">
          <cell r="B52" t="str">
            <v>Main Panel</v>
          </cell>
        </row>
      </sheetData>
      <sheetData sheetId="835">
        <row r="52">
          <cell r="B52" t="str">
            <v>Main Panel</v>
          </cell>
        </row>
      </sheetData>
      <sheetData sheetId="836">
        <row r="52">
          <cell r="B52" t="str">
            <v>Main Panel</v>
          </cell>
        </row>
      </sheetData>
      <sheetData sheetId="837">
        <row r="52">
          <cell r="B52" t="str">
            <v>Main Panel</v>
          </cell>
        </row>
      </sheetData>
      <sheetData sheetId="838">
        <row r="52">
          <cell r="B52" t="str">
            <v>Main Panel</v>
          </cell>
        </row>
      </sheetData>
      <sheetData sheetId="839">
        <row r="52">
          <cell r="B52" t="str">
            <v>Main Panel</v>
          </cell>
        </row>
      </sheetData>
      <sheetData sheetId="840">
        <row r="52">
          <cell r="B52" t="str">
            <v>Main Panel</v>
          </cell>
        </row>
      </sheetData>
      <sheetData sheetId="841">
        <row r="52">
          <cell r="B52" t="str">
            <v>Main Panel</v>
          </cell>
        </row>
      </sheetData>
      <sheetData sheetId="842">
        <row r="52">
          <cell r="B52" t="str">
            <v>Main Panel</v>
          </cell>
        </row>
      </sheetData>
      <sheetData sheetId="843">
        <row r="52">
          <cell r="B52" t="str">
            <v>Main Panel</v>
          </cell>
        </row>
      </sheetData>
      <sheetData sheetId="844">
        <row r="52">
          <cell r="B52" t="str">
            <v>Main Panel</v>
          </cell>
        </row>
      </sheetData>
      <sheetData sheetId="845">
        <row r="52">
          <cell r="B52" t="str">
            <v>Main Panel</v>
          </cell>
        </row>
      </sheetData>
      <sheetData sheetId="846">
        <row r="52">
          <cell r="B52" t="str">
            <v>Main Panel</v>
          </cell>
        </row>
      </sheetData>
      <sheetData sheetId="847">
        <row r="52">
          <cell r="B52" t="str">
            <v>Main Panel</v>
          </cell>
        </row>
      </sheetData>
      <sheetData sheetId="848">
        <row r="52">
          <cell r="B52" t="str">
            <v>Main Panel</v>
          </cell>
        </row>
      </sheetData>
      <sheetData sheetId="849">
        <row r="52">
          <cell r="B52" t="str">
            <v>Main Panel</v>
          </cell>
        </row>
      </sheetData>
      <sheetData sheetId="850">
        <row r="52">
          <cell r="B52" t="str">
            <v>Main Panel</v>
          </cell>
        </row>
      </sheetData>
      <sheetData sheetId="851">
        <row r="52">
          <cell r="B52" t="str">
            <v>Main Panel</v>
          </cell>
        </row>
      </sheetData>
      <sheetData sheetId="852">
        <row r="52">
          <cell r="B52" t="str">
            <v>Main Panel</v>
          </cell>
        </row>
      </sheetData>
      <sheetData sheetId="853">
        <row r="52">
          <cell r="B52" t="str">
            <v>Main Panel</v>
          </cell>
        </row>
      </sheetData>
      <sheetData sheetId="854">
        <row r="52">
          <cell r="B52" t="str">
            <v>Main Panel</v>
          </cell>
        </row>
      </sheetData>
      <sheetData sheetId="855">
        <row r="52">
          <cell r="B52" t="str">
            <v>Main Panel</v>
          </cell>
        </row>
      </sheetData>
      <sheetData sheetId="856">
        <row r="52">
          <cell r="B52" t="str">
            <v>Main Panel</v>
          </cell>
        </row>
      </sheetData>
      <sheetData sheetId="857">
        <row r="52">
          <cell r="B52" t="str">
            <v>Main Panel</v>
          </cell>
        </row>
      </sheetData>
      <sheetData sheetId="858">
        <row r="52">
          <cell r="B52" t="str">
            <v>Main Panel</v>
          </cell>
        </row>
      </sheetData>
      <sheetData sheetId="859">
        <row r="52">
          <cell r="B52" t="str">
            <v>Main Panel</v>
          </cell>
        </row>
      </sheetData>
      <sheetData sheetId="860">
        <row r="52">
          <cell r="B52" t="str">
            <v>Main Panel</v>
          </cell>
        </row>
      </sheetData>
      <sheetData sheetId="861">
        <row r="52">
          <cell r="B52" t="str">
            <v>Main Panel</v>
          </cell>
        </row>
      </sheetData>
      <sheetData sheetId="862">
        <row r="52">
          <cell r="B52" t="str">
            <v>Main Panel</v>
          </cell>
        </row>
      </sheetData>
      <sheetData sheetId="863">
        <row r="52">
          <cell r="B52" t="str">
            <v>Main Panel</v>
          </cell>
        </row>
      </sheetData>
      <sheetData sheetId="864">
        <row r="52">
          <cell r="B52" t="str">
            <v>Main Panel</v>
          </cell>
        </row>
      </sheetData>
      <sheetData sheetId="865">
        <row r="52">
          <cell r="B52" t="str">
            <v>Main Panel</v>
          </cell>
        </row>
      </sheetData>
      <sheetData sheetId="866">
        <row r="52">
          <cell r="B52" t="str">
            <v>Main Panel</v>
          </cell>
        </row>
      </sheetData>
      <sheetData sheetId="867">
        <row r="52">
          <cell r="B52" t="str">
            <v>Main Panel</v>
          </cell>
        </row>
      </sheetData>
      <sheetData sheetId="868">
        <row r="52">
          <cell r="B52" t="str">
            <v>Main Panel</v>
          </cell>
        </row>
      </sheetData>
      <sheetData sheetId="869">
        <row r="52">
          <cell r="B52" t="str">
            <v>Main Panel</v>
          </cell>
        </row>
      </sheetData>
      <sheetData sheetId="870">
        <row r="52">
          <cell r="B52" t="str">
            <v>Main Panel</v>
          </cell>
        </row>
      </sheetData>
      <sheetData sheetId="871">
        <row r="52">
          <cell r="B52" t="str">
            <v>Main Panel</v>
          </cell>
        </row>
      </sheetData>
      <sheetData sheetId="872">
        <row r="52">
          <cell r="B52" t="str">
            <v>Main Panel</v>
          </cell>
        </row>
      </sheetData>
      <sheetData sheetId="873">
        <row r="52">
          <cell r="B52" t="str">
            <v>Main Panel</v>
          </cell>
        </row>
      </sheetData>
      <sheetData sheetId="874">
        <row r="52">
          <cell r="B52" t="str">
            <v>Main Panel</v>
          </cell>
        </row>
      </sheetData>
      <sheetData sheetId="875">
        <row r="52">
          <cell r="B52" t="str">
            <v>Main Panel</v>
          </cell>
        </row>
      </sheetData>
      <sheetData sheetId="876">
        <row r="52">
          <cell r="B52" t="str">
            <v>Main Panel</v>
          </cell>
        </row>
      </sheetData>
      <sheetData sheetId="877">
        <row r="52">
          <cell r="B52" t="str">
            <v>Main Panel</v>
          </cell>
        </row>
      </sheetData>
      <sheetData sheetId="878">
        <row r="52">
          <cell r="B52" t="str">
            <v>Main Panel</v>
          </cell>
        </row>
      </sheetData>
      <sheetData sheetId="879">
        <row r="52">
          <cell r="B52" t="str">
            <v>Main Panel</v>
          </cell>
        </row>
      </sheetData>
      <sheetData sheetId="880">
        <row r="52">
          <cell r="B52" t="str">
            <v>Main Panel</v>
          </cell>
        </row>
      </sheetData>
      <sheetData sheetId="881">
        <row r="52">
          <cell r="B52" t="str">
            <v>Main Panel</v>
          </cell>
        </row>
      </sheetData>
      <sheetData sheetId="882">
        <row r="52">
          <cell r="B52" t="str">
            <v>Main Panel</v>
          </cell>
        </row>
      </sheetData>
      <sheetData sheetId="883">
        <row r="52">
          <cell r="B52" t="str">
            <v>Main Panel</v>
          </cell>
        </row>
      </sheetData>
      <sheetData sheetId="884">
        <row r="52">
          <cell r="B52" t="str">
            <v>Main Panel</v>
          </cell>
        </row>
      </sheetData>
      <sheetData sheetId="885">
        <row r="52">
          <cell r="B52" t="str">
            <v>Main Panel</v>
          </cell>
        </row>
      </sheetData>
      <sheetData sheetId="886">
        <row r="52">
          <cell r="B52" t="str">
            <v>Main Panel</v>
          </cell>
        </row>
      </sheetData>
      <sheetData sheetId="887">
        <row r="52">
          <cell r="B52" t="str">
            <v>Main Panel</v>
          </cell>
        </row>
      </sheetData>
      <sheetData sheetId="888">
        <row r="52">
          <cell r="B52" t="str">
            <v>Main Panel</v>
          </cell>
        </row>
      </sheetData>
      <sheetData sheetId="889">
        <row r="52">
          <cell r="B52" t="str">
            <v>Main Panel</v>
          </cell>
        </row>
      </sheetData>
      <sheetData sheetId="890">
        <row r="52">
          <cell r="B52" t="str">
            <v>Main Panel</v>
          </cell>
        </row>
      </sheetData>
      <sheetData sheetId="891">
        <row r="52">
          <cell r="B52" t="str">
            <v>Main Panel</v>
          </cell>
        </row>
      </sheetData>
      <sheetData sheetId="892">
        <row r="52">
          <cell r="B52" t="str">
            <v>Main Panel</v>
          </cell>
        </row>
      </sheetData>
      <sheetData sheetId="893">
        <row r="52">
          <cell r="B52" t="str">
            <v>Main Panel</v>
          </cell>
        </row>
      </sheetData>
      <sheetData sheetId="894">
        <row r="52">
          <cell r="B52" t="str">
            <v>Main Panel</v>
          </cell>
        </row>
      </sheetData>
      <sheetData sheetId="895">
        <row r="52">
          <cell r="B52" t="str">
            <v>Main Panel</v>
          </cell>
        </row>
      </sheetData>
      <sheetData sheetId="896">
        <row r="52">
          <cell r="B52" t="str">
            <v>Main Panel</v>
          </cell>
        </row>
      </sheetData>
      <sheetData sheetId="897">
        <row r="52">
          <cell r="B52" t="str">
            <v>Main Panel</v>
          </cell>
        </row>
      </sheetData>
      <sheetData sheetId="898">
        <row r="52">
          <cell r="B52" t="str">
            <v>Main Panel</v>
          </cell>
        </row>
      </sheetData>
      <sheetData sheetId="899">
        <row r="52">
          <cell r="B52" t="str">
            <v>Main Panel</v>
          </cell>
        </row>
      </sheetData>
      <sheetData sheetId="900">
        <row r="52">
          <cell r="B52" t="str">
            <v>Main Panel</v>
          </cell>
        </row>
      </sheetData>
      <sheetData sheetId="901">
        <row r="52">
          <cell r="B52" t="str">
            <v>Main Panel</v>
          </cell>
        </row>
      </sheetData>
      <sheetData sheetId="902">
        <row r="52">
          <cell r="B52" t="str">
            <v>Main Panel</v>
          </cell>
        </row>
      </sheetData>
      <sheetData sheetId="903">
        <row r="52">
          <cell r="B52" t="str">
            <v>Main Panel</v>
          </cell>
        </row>
      </sheetData>
      <sheetData sheetId="904">
        <row r="52">
          <cell r="B52" t="str">
            <v>Main Panel</v>
          </cell>
        </row>
      </sheetData>
      <sheetData sheetId="905">
        <row r="52">
          <cell r="B52" t="str">
            <v>Main Panel</v>
          </cell>
        </row>
      </sheetData>
      <sheetData sheetId="906">
        <row r="52">
          <cell r="B52" t="str">
            <v>Main Panel</v>
          </cell>
        </row>
      </sheetData>
      <sheetData sheetId="907">
        <row r="52">
          <cell r="B52" t="str">
            <v>Main Panel</v>
          </cell>
        </row>
      </sheetData>
      <sheetData sheetId="908">
        <row r="52">
          <cell r="B52" t="str">
            <v>Main Panel</v>
          </cell>
        </row>
      </sheetData>
      <sheetData sheetId="909">
        <row r="52">
          <cell r="B52" t="str">
            <v>Main Panel</v>
          </cell>
        </row>
      </sheetData>
      <sheetData sheetId="910">
        <row r="52">
          <cell r="B52" t="str">
            <v>Main Panel</v>
          </cell>
        </row>
      </sheetData>
      <sheetData sheetId="911">
        <row r="52">
          <cell r="B52" t="str">
            <v>Main Panel</v>
          </cell>
        </row>
      </sheetData>
      <sheetData sheetId="912">
        <row r="52">
          <cell r="B52" t="str">
            <v>Main Panel</v>
          </cell>
        </row>
      </sheetData>
      <sheetData sheetId="913">
        <row r="52">
          <cell r="B52" t="str">
            <v>Main Panel</v>
          </cell>
        </row>
      </sheetData>
      <sheetData sheetId="914">
        <row r="52">
          <cell r="B52" t="str">
            <v>Main Panel</v>
          </cell>
        </row>
      </sheetData>
      <sheetData sheetId="915">
        <row r="52">
          <cell r="B52" t="str">
            <v>Main Panel</v>
          </cell>
        </row>
      </sheetData>
      <sheetData sheetId="916">
        <row r="52">
          <cell r="B52" t="str">
            <v>Main Panel</v>
          </cell>
        </row>
      </sheetData>
      <sheetData sheetId="917">
        <row r="52">
          <cell r="B52" t="str">
            <v>Main Panel</v>
          </cell>
        </row>
      </sheetData>
      <sheetData sheetId="918">
        <row r="52">
          <cell r="B52" t="str">
            <v>Main Panel</v>
          </cell>
        </row>
      </sheetData>
      <sheetData sheetId="919">
        <row r="52">
          <cell r="B52" t="str">
            <v>Main Panel</v>
          </cell>
        </row>
      </sheetData>
      <sheetData sheetId="920">
        <row r="52">
          <cell r="B52" t="str">
            <v>Main Panel</v>
          </cell>
        </row>
      </sheetData>
      <sheetData sheetId="921">
        <row r="52">
          <cell r="B52" t="str">
            <v>Main Panel</v>
          </cell>
        </row>
      </sheetData>
      <sheetData sheetId="922">
        <row r="52">
          <cell r="B52" t="str">
            <v>Main Panel</v>
          </cell>
        </row>
      </sheetData>
      <sheetData sheetId="923">
        <row r="52">
          <cell r="B52" t="str">
            <v>Main Panel</v>
          </cell>
        </row>
      </sheetData>
      <sheetData sheetId="924">
        <row r="52">
          <cell r="B52" t="str">
            <v>Main Panel</v>
          </cell>
        </row>
      </sheetData>
      <sheetData sheetId="925">
        <row r="52">
          <cell r="B52" t="str">
            <v>Main Panel</v>
          </cell>
        </row>
      </sheetData>
      <sheetData sheetId="926">
        <row r="52">
          <cell r="B52" t="str">
            <v>Main Panel</v>
          </cell>
        </row>
      </sheetData>
      <sheetData sheetId="927">
        <row r="52">
          <cell r="B52" t="str">
            <v>Main Panel</v>
          </cell>
        </row>
      </sheetData>
      <sheetData sheetId="928">
        <row r="52">
          <cell r="B52" t="str">
            <v>Main Panel</v>
          </cell>
        </row>
      </sheetData>
      <sheetData sheetId="929">
        <row r="52">
          <cell r="B52" t="str">
            <v>Main Panel</v>
          </cell>
        </row>
      </sheetData>
      <sheetData sheetId="930">
        <row r="52">
          <cell r="B52" t="str">
            <v>Main Panel</v>
          </cell>
        </row>
      </sheetData>
      <sheetData sheetId="931">
        <row r="52">
          <cell r="B52" t="str">
            <v>Main Panel</v>
          </cell>
        </row>
      </sheetData>
      <sheetData sheetId="932">
        <row r="52">
          <cell r="B52" t="str">
            <v>Main Panel</v>
          </cell>
        </row>
      </sheetData>
      <sheetData sheetId="933">
        <row r="52">
          <cell r="B52" t="str">
            <v>Main Panel</v>
          </cell>
        </row>
      </sheetData>
      <sheetData sheetId="934">
        <row r="52">
          <cell r="B52" t="str">
            <v>Main Panel</v>
          </cell>
        </row>
      </sheetData>
      <sheetData sheetId="935">
        <row r="52">
          <cell r="B52" t="str">
            <v>Main Panel</v>
          </cell>
        </row>
      </sheetData>
      <sheetData sheetId="936">
        <row r="52">
          <cell r="B52" t="str">
            <v>Main Panel</v>
          </cell>
        </row>
      </sheetData>
      <sheetData sheetId="937">
        <row r="52">
          <cell r="B52" t="str">
            <v>Main Panel</v>
          </cell>
        </row>
      </sheetData>
      <sheetData sheetId="938">
        <row r="52">
          <cell r="B52" t="str">
            <v>Main Panel</v>
          </cell>
        </row>
      </sheetData>
      <sheetData sheetId="939">
        <row r="52">
          <cell r="B52" t="str">
            <v>Main Panel</v>
          </cell>
        </row>
      </sheetData>
      <sheetData sheetId="940">
        <row r="52">
          <cell r="B52" t="str">
            <v>Main Panel</v>
          </cell>
        </row>
      </sheetData>
      <sheetData sheetId="941">
        <row r="52">
          <cell r="B52" t="str">
            <v>Main Panel</v>
          </cell>
        </row>
      </sheetData>
      <sheetData sheetId="942">
        <row r="52">
          <cell r="B52" t="str">
            <v>Main Panel</v>
          </cell>
        </row>
      </sheetData>
      <sheetData sheetId="943">
        <row r="52">
          <cell r="B52" t="str">
            <v>Main Panel</v>
          </cell>
        </row>
      </sheetData>
      <sheetData sheetId="944">
        <row r="52">
          <cell r="B52" t="str">
            <v>Main Panel</v>
          </cell>
        </row>
      </sheetData>
      <sheetData sheetId="945">
        <row r="52">
          <cell r="B52" t="str">
            <v>Main Panel</v>
          </cell>
        </row>
      </sheetData>
      <sheetData sheetId="946">
        <row r="52">
          <cell r="B52" t="str">
            <v>Main Panel</v>
          </cell>
        </row>
      </sheetData>
      <sheetData sheetId="947">
        <row r="52">
          <cell r="B52" t="str">
            <v>Main Panel</v>
          </cell>
        </row>
      </sheetData>
      <sheetData sheetId="948">
        <row r="52">
          <cell r="B52" t="str">
            <v>Main Panel</v>
          </cell>
        </row>
      </sheetData>
      <sheetData sheetId="949">
        <row r="52">
          <cell r="B52" t="str">
            <v>Main Panel</v>
          </cell>
        </row>
      </sheetData>
      <sheetData sheetId="950">
        <row r="52">
          <cell r="B52" t="str">
            <v>Main Panel</v>
          </cell>
        </row>
      </sheetData>
      <sheetData sheetId="951">
        <row r="52">
          <cell r="B52" t="str">
            <v>Main Panel</v>
          </cell>
        </row>
      </sheetData>
      <sheetData sheetId="952">
        <row r="52">
          <cell r="B52" t="str">
            <v>Main Panel</v>
          </cell>
        </row>
      </sheetData>
      <sheetData sheetId="953">
        <row r="52">
          <cell r="B52" t="str">
            <v>Main Panel</v>
          </cell>
        </row>
      </sheetData>
      <sheetData sheetId="954">
        <row r="52">
          <cell r="B52" t="str">
            <v>Main Panel</v>
          </cell>
        </row>
      </sheetData>
      <sheetData sheetId="955">
        <row r="52">
          <cell r="B52" t="str">
            <v>Main Panel</v>
          </cell>
        </row>
      </sheetData>
      <sheetData sheetId="956">
        <row r="52">
          <cell r="B52" t="str">
            <v>Main Panel</v>
          </cell>
        </row>
      </sheetData>
      <sheetData sheetId="957">
        <row r="52">
          <cell r="B52" t="str">
            <v>Main Panel</v>
          </cell>
        </row>
      </sheetData>
      <sheetData sheetId="958">
        <row r="52">
          <cell r="B52" t="str">
            <v>Main Panel</v>
          </cell>
        </row>
      </sheetData>
      <sheetData sheetId="959">
        <row r="52">
          <cell r="B52" t="str">
            <v>Main Panel</v>
          </cell>
        </row>
      </sheetData>
      <sheetData sheetId="960">
        <row r="52">
          <cell r="B52" t="str">
            <v>Main Panel</v>
          </cell>
        </row>
      </sheetData>
      <sheetData sheetId="961">
        <row r="52">
          <cell r="B52" t="str">
            <v>Main Panel</v>
          </cell>
        </row>
      </sheetData>
      <sheetData sheetId="962">
        <row r="52">
          <cell r="B52" t="str">
            <v>Main Panel</v>
          </cell>
        </row>
      </sheetData>
      <sheetData sheetId="963">
        <row r="52">
          <cell r="B52" t="str">
            <v>Main Panel</v>
          </cell>
        </row>
      </sheetData>
      <sheetData sheetId="964">
        <row r="52">
          <cell r="B52" t="str">
            <v>Main Panel</v>
          </cell>
        </row>
      </sheetData>
      <sheetData sheetId="965">
        <row r="52">
          <cell r="B52" t="str">
            <v>Main Panel</v>
          </cell>
        </row>
      </sheetData>
      <sheetData sheetId="966">
        <row r="52">
          <cell r="B52" t="str">
            <v>Main Panel</v>
          </cell>
        </row>
      </sheetData>
      <sheetData sheetId="967">
        <row r="52">
          <cell r="B52" t="str">
            <v>Main Panel</v>
          </cell>
        </row>
      </sheetData>
      <sheetData sheetId="968">
        <row r="52">
          <cell r="B52" t="str">
            <v>Main Panel</v>
          </cell>
        </row>
      </sheetData>
      <sheetData sheetId="969">
        <row r="52">
          <cell r="B52" t="str">
            <v>Main Panel</v>
          </cell>
        </row>
      </sheetData>
      <sheetData sheetId="970">
        <row r="52">
          <cell r="B52" t="str">
            <v>Main Panel</v>
          </cell>
        </row>
      </sheetData>
      <sheetData sheetId="971">
        <row r="52">
          <cell r="B52" t="str">
            <v>Main Panel</v>
          </cell>
        </row>
      </sheetData>
      <sheetData sheetId="972">
        <row r="52">
          <cell r="B52" t="str">
            <v>Main Panel</v>
          </cell>
        </row>
      </sheetData>
      <sheetData sheetId="973">
        <row r="52">
          <cell r="B52" t="str">
            <v>Main Panel</v>
          </cell>
        </row>
      </sheetData>
      <sheetData sheetId="974">
        <row r="52">
          <cell r="B52" t="str">
            <v>Main Panel</v>
          </cell>
        </row>
      </sheetData>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refreshError="1"/>
      <sheetData sheetId="1011" refreshError="1"/>
      <sheetData sheetId="1012" refreshError="1"/>
      <sheetData sheetId="1013">
        <row r="52">
          <cell r="B52" t="str">
            <v>Main Panel</v>
          </cell>
        </row>
      </sheetData>
      <sheetData sheetId="1014">
        <row r="52">
          <cell r="B52" t="str">
            <v>Main Panel</v>
          </cell>
        </row>
      </sheetData>
      <sheetData sheetId="1015">
        <row r="52">
          <cell r="B52" t="str">
            <v>Main Panel</v>
          </cell>
        </row>
      </sheetData>
      <sheetData sheetId="1016">
        <row r="52">
          <cell r="B52" t="str">
            <v>Main Panel</v>
          </cell>
        </row>
      </sheetData>
      <sheetData sheetId="1017">
        <row r="52">
          <cell r="B52" t="str">
            <v>Main Panel</v>
          </cell>
        </row>
      </sheetData>
      <sheetData sheetId="1018">
        <row r="52">
          <cell r="B52" t="str">
            <v>Main Panel</v>
          </cell>
        </row>
      </sheetData>
      <sheetData sheetId="1019">
        <row r="52">
          <cell r="B52" t="str">
            <v>Main Panel</v>
          </cell>
        </row>
      </sheetData>
      <sheetData sheetId="1020">
        <row r="52">
          <cell r="B52" t="str">
            <v>Main Panel</v>
          </cell>
        </row>
      </sheetData>
      <sheetData sheetId="1021">
        <row r="52">
          <cell r="B52" t="str">
            <v>Main Panel</v>
          </cell>
        </row>
      </sheetData>
      <sheetData sheetId="1022">
        <row r="52">
          <cell r="B52" t="str">
            <v>Main Panel</v>
          </cell>
        </row>
      </sheetData>
      <sheetData sheetId="1023">
        <row r="52">
          <cell r="B52" t="str">
            <v>Main Panel</v>
          </cell>
        </row>
      </sheetData>
      <sheetData sheetId="1024">
        <row r="52">
          <cell r="B52" t="str">
            <v>Main Panel</v>
          </cell>
        </row>
      </sheetData>
      <sheetData sheetId="1025">
        <row r="52">
          <cell r="B52" t="str">
            <v>Main Panel</v>
          </cell>
        </row>
      </sheetData>
      <sheetData sheetId="1026">
        <row r="52">
          <cell r="B52" t="str">
            <v>Main Panel</v>
          </cell>
        </row>
      </sheetData>
      <sheetData sheetId="1027">
        <row r="52">
          <cell r="B52" t="str">
            <v>Main Panel</v>
          </cell>
        </row>
      </sheetData>
      <sheetData sheetId="1028">
        <row r="52">
          <cell r="B52" t="str">
            <v>Main Panel</v>
          </cell>
        </row>
      </sheetData>
      <sheetData sheetId="1029">
        <row r="52">
          <cell r="B52" t="str">
            <v>Main Panel</v>
          </cell>
        </row>
      </sheetData>
      <sheetData sheetId="1030">
        <row r="52">
          <cell r="B52" t="str">
            <v>Main Panel</v>
          </cell>
        </row>
      </sheetData>
      <sheetData sheetId="1031">
        <row r="52">
          <cell r="B52" t="str">
            <v>Main Panel</v>
          </cell>
        </row>
      </sheetData>
      <sheetData sheetId="1032">
        <row r="52">
          <cell r="B52" t="str">
            <v>Main Panel</v>
          </cell>
        </row>
      </sheetData>
      <sheetData sheetId="1033">
        <row r="52">
          <cell r="B52" t="str">
            <v>Main Panel</v>
          </cell>
        </row>
      </sheetData>
      <sheetData sheetId="1034">
        <row r="52">
          <cell r="B52" t="str">
            <v>Main Panel</v>
          </cell>
        </row>
      </sheetData>
      <sheetData sheetId="1035">
        <row r="52">
          <cell r="B52" t="str">
            <v>Main Panel</v>
          </cell>
        </row>
      </sheetData>
      <sheetData sheetId="1036">
        <row r="52">
          <cell r="B52" t="str">
            <v>Main Panel</v>
          </cell>
        </row>
      </sheetData>
      <sheetData sheetId="1037">
        <row r="52">
          <cell r="B52" t="str">
            <v>Main Panel</v>
          </cell>
        </row>
      </sheetData>
      <sheetData sheetId="1038">
        <row r="52">
          <cell r="B52" t="str">
            <v>Main Panel</v>
          </cell>
        </row>
      </sheetData>
      <sheetData sheetId="1039">
        <row r="52">
          <cell r="B52" t="str">
            <v>Main Panel</v>
          </cell>
        </row>
      </sheetData>
      <sheetData sheetId="1040">
        <row r="52">
          <cell r="B52" t="str">
            <v>Main Panel</v>
          </cell>
        </row>
      </sheetData>
      <sheetData sheetId="1041">
        <row r="52">
          <cell r="B52" t="str">
            <v>Main Panel</v>
          </cell>
        </row>
      </sheetData>
      <sheetData sheetId="1042">
        <row r="52">
          <cell r="B52" t="str">
            <v>Main Panel</v>
          </cell>
        </row>
      </sheetData>
      <sheetData sheetId="1043">
        <row r="52">
          <cell r="B52" t="str">
            <v>Main Panel</v>
          </cell>
        </row>
      </sheetData>
      <sheetData sheetId="1044">
        <row r="52">
          <cell r="B52" t="str">
            <v>Main Panel</v>
          </cell>
        </row>
      </sheetData>
      <sheetData sheetId="1045">
        <row r="52">
          <cell r="B52" t="str">
            <v>Main Panel</v>
          </cell>
        </row>
      </sheetData>
      <sheetData sheetId="1046">
        <row r="52">
          <cell r="B52" t="str">
            <v>Main Panel</v>
          </cell>
        </row>
      </sheetData>
      <sheetData sheetId="1047">
        <row r="52">
          <cell r="B52" t="str">
            <v>Main Panel</v>
          </cell>
        </row>
      </sheetData>
      <sheetData sheetId="1048">
        <row r="52">
          <cell r="B52" t="str">
            <v>Main Panel</v>
          </cell>
        </row>
      </sheetData>
      <sheetData sheetId="1049">
        <row r="52">
          <cell r="B52" t="str">
            <v>Main Panel</v>
          </cell>
        </row>
      </sheetData>
      <sheetData sheetId="1050">
        <row r="52">
          <cell r="B52" t="str">
            <v>Main Panel</v>
          </cell>
        </row>
      </sheetData>
      <sheetData sheetId="1051">
        <row r="52">
          <cell r="B52" t="str">
            <v>Main Panel</v>
          </cell>
        </row>
      </sheetData>
      <sheetData sheetId="1052">
        <row r="52">
          <cell r="B52" t="str">
            <v>Main Panel</v>
          </cell>
        </row>
      </sheetData>
      <sheetData sheetId="1053">
        <row r="52">
          <cell r="B52" t="str">
            <v>Main Panel</v>
          </cell>
        </row>
      </sheetData>
      <sheetData sheetId="1054">
        <row r="52">
          <cell r="B52" t="str">
            <v>Main Panel</v>
          </cell>
        </row>
      </sheetData>
      <sheetData sheetId="1055">
        <row r="52">
          <cell r="B52" t="str">
            <v>Main Panel</v>
          </cell>
        </row>
      </sheetData>
      <sheetData sheetId="1056">
        <row r="52">
          <cell r="B52" t="str">
            <v>Main Panel</v>
          </cell>
        </row>
      </sheetData>
      <sheetData sheetId="1057">
        <row r="52">
          <cell r="B52" t="str">
            <v>Main Panel</v>
          </cell>
        </row>
      </sheetData>
      <sheetData sheetId="1058">
        <row r="52">
          <cell r="B52" t="str">
            <v>Main Panel</v>
          </cell>
        </row>
      </sheetData>
      <sheetData sheetId="1059">
        <row r="52">
          <cell r="B52" t="str">
            <v>Main Panel</v>
          </cell>
        </row>
      </sheetData>
      <sheetData sheetId="1060">
        <row r="52">
          <cell r="B52" t="str">
            <v>Main Panel</v>
          </cell>
        </row>
      </sheetData>
      <sheetData sheetId="1061">
        <row r="52">
          <cell r="B52" t="str">
            <v>Main Panel</v>
          </cell>
        </row>
      </sheetData>
      <sheetData sheetId="1062">
        <row r="52">
          <cell r="B52" t="str">
            <v>Main Panel</v>
          </cell>
        </row>
      </sheetData>
      <sheetData sheetId="1063">
        <row r="52">
          <cell r="B52" t="str">
            <v>Main Panel</v>
          </cell>
        </row>
      </sheetData>
      <sheetData sheetId="1064">
        <row r="52">
          <cell r="B52" t="str">
            <v>Main Panel</v>
          </cell>
        </row>
      </sheetData>
      <sheetData sheetId="1065">
        <row r="52">
          <cell r="B52" t="str">
            <v>Main Panel</v>
          </cell>
        </row>
      </sheetData>
      <sheetData sheetId="1066">
        <row r="52">
          <cell r="B52" t="str">
            <v>Main Panel</v>
          </cell>
        </row>
      </sheetData>
      <sheetData sheetId="1067">
        <row r="52">
          <cell r="B52" t="str">
            <v>Main Panel</v>
          </cell>
        </row>
      </sheetData>
      <sheetData sheetId="1068">
        <row r="52">
          <cell r="B52" t="str">
            <v>Main Panel</v>
          </cell>
        </row>
      </sheetData>
      <sheetData sheetId="1069">
        <row r="52">
          <cell r="B52" t="str">
            <v>Main Panel</v>
          </cell>
        </row>
      </sheetData>
      <sheetData sheetId="1070">
        <row r="52">
          <cell r="B52" t="str">
            <v>Main Panel</v>
          </cell>
        </row>
      </sheetData>
      <sheetData sheetId="1071">
        <row r="52">
          <cell r="B52" t="str">
            <v>Main Panel</v>
          </cell>
        </row>
      </sheetData>
      <sheetData sheetId="1072">
        <row r="52">
          <cell r="B52" t="str">
            <v>Main Panel</v>
          </cell>
        </row>
      </sheetData>
      <sheetData sheetId="1073">
        <row r="52">
          <cell r="B52" t="str">
            <v>Main Panel</v>
          </cell>
        </row>
      </sheetData>
      <sheetData sheetId="1074">
        <row r="52">
          <cell r="B52" t="str">
            <v>Main Panel</v>
          </cell>
        </row>
      </sheetData>
      <sheetData sheetId="1075">
        <row r="52">
          <cell r="B52" t="str">
            <v>Main Panel</v>
          </cell>
        </row>
      </sheetData>
      <sheetData sheetId="1076">
        <row r="52">
          <cell r="B52" t="str">
            <v>Main Panel</v>
          </cell>
        </row>
      </sheetData>
      <sheetData sheetId="1077">
        <row r="52">
          <cell r="B52" t="str">
            <v>Main Panel</v>
          </cell>
        </row>
      </sheetData>
      <sheetData sheetId="1078">
        <row r="52">
          <cell r="B52" t="str">
            <v>Main Panel</v>
          </cell>
        </row>
      </sheetData>
      <sheetData sheetId="1079">
        <row r="52">
          <cell r="B52" t="str">
            <v>Main Panel</v>
          </cell>
        </row>
      </sheetData>
      <sheetData sheetId="1080">
        <row r="52">
          <cell r="B52" t="str">
            <v>Main Panel</v>
          </cell>
        </row>
      </sheetData>
      <sheetData sheetId="1081">
        <row r="52">
          <cell r="B52" t="str">
            <v>Main Panel</v>
          </cell>
        </row>
      </sheetData>
      <sheetData sheetId="1082">
        <row r="52">
          <cell r="B52" t="str">
            <v>Main Panel</v>
          </cell>
        </row>
      </sheetData>
      <sheetData sheetId="1083">
        <row r="52">
          <cell r="B52" t="str">
            <v>Main Panel</v>
          </cell>
        </row>
      </sheetData>
      <sheetData sheetId="1084">
        <row r="52">
          <cell r="B52" t="str">
            <v>Main Panel</v>
          </cell>
        </row>
      </sheetData>
      <sheetData sheetId="1085">
        <row r="52">
          <cell r="B52" t="str">
            <v>Main Panel</v>
          </cell>
        </row>
      </sheetData>
      <sheetData sheetId="1086">
        <row r="52">
          <cell r="B52" t="str">
            <v>Main Panel</v>
          </cell>
        </row>
      </sheetData>
      <sheetData sheetId="1087">
        <row r="52">
          <cell r="B52" t="str">
            <v>Main Panel</v>
          </cell>
        </row>
      </sheetData>
      <sheetData sheetId="1088">
        <row r="52">
          <cell r="B52" t="str">
            <v>Main Panel</v>
          </cell>
        </row>
      </sheetData>
      <sheetData sheetId="1089">
        <row r="52">
          <cell r="B52" t="str">
            <v>Main Panel</v>
          </cell>
        </row>
      </sheetData>
      <sheetData sheetId="1090">
        <row r="52">
          <cell r="B52" t="str">
            <v>Main Panel</v>
          </cell>
        </row>
      </sheetData>
      <sheetData sheetId="1091">
        <row r="52">
          <cell r="B52" t="str">
            <v>Main Panel</v>
          </cell>
        </row>
      </sheetData>
      <sheetData sheetId="1092">
        <row r="52">
          <cell r="B52" t="str">
            <v>Main Panel</v>
          </cell>
        </row>
      </sheetData>
      <sheetData sheetId="1093">
        <row r="52">
          <cell r="B52" t="str">
            <v>Main Panel</v>
          </cell>
        </row>
      </sheetData>
      <sheetData sheetId="1094">
        <row r="52">
          <cell r="B52" t="str">
            <v>Main Panel</v>
          </cell>
        </row>
      </sheetData>
      <sheetData sheetId="1095">
        <row r="52">
          <cell r="B52" t="str">
            <v>Main Panel</v>
          </cell>
        </row>
      </sheetData>
      <sheetData sheetId="1096">
        <row r="52">
          <cell r="B52" t="str">
            <v>Main Panel</v>
          </cell>
        </row>
      </sheetData>
      <sheetData sheetId="1097">
        <row r="52">
          <cell r="B52" t="str">
            <v>Main Panel</v>
          </cell>
        </row>
      </sheetData>
      <sheetData sheetId="1098">
        <row r="52">
          <cell r="B52" t="str">
            <v>Main Panel</v>
          </cell>
        </row>
      </sheetData>
      <sheetData sheetId="1099">
        <row r="52">
          <cell r="B52" t="str">
            <v>Main Panel</v>
          </cell>
        </row>
      </sheetData>
      <sheetData sheetId="1100">
        <row r="52">
          <cell r="B52" t="str">
            <v>Main Panel</v>
          </cell>
        </row>
      </sheetData>
      <sheetData sheetId="1101">
        <row r="52">
          <cell r="B52" t="str">
            <v>Main Panel</v>
          </cell>
        </row>
      </sheetData>
      <sheetData sheetId="1102">
        <row r="52">
          <cell r="B52" t="str">
            <v>Main Panel</v>
          </cell>
        </row>
      </sheetData>
      <sheetData sheetId="1103">
        <row r="52">
          <cell r="B52" t="str">
            <v>Main Panel</v>
          </cell>
        </row>
      </sheetData>
      <sheetData sheetId="1104">
        <row r="52">
          <cell r="B52" t="str">
            <v>Main Panel</v>
          </cell>
        </row>
      </sheetData>
      <sheetData sheetId="1105">
        <row r="52">
          <cell r="B52" t="str">
            <v>Main Panel</v>
          </cell>
        </row>
      </sheetData>
      <sheetData sheetId="1106">
        <row r="52">
          <cell r="B52" t="str">
            <v>Main Panel</v>
          </cell>
        </row>
      </sheetData>
      <sheetData sheetId="1107">
        <row r="52">
          <cell r="B52" t="str">
            <v>Main Panel</v>
          </cell>
        </row>
      </sheetData>
      <sheetData sheetId="1108">
        <row r="52">
          <cell r="B52" t="str">
            <v>Main Panel</v>
          </cell>
        </row>
      </sheetData>
      <sheetData sheetId="1109">
        <row r="52">
          <cell r="B52" t="str">
            <v>Main Panel</v>
          </cell>
        </row>
      </sheetData>
      <sheetData sheetId="1110">
        <row r="52">
          <cell r="B52" t="str">
            <v>Main Panel</v>
          </cell>
        </row>
      </sheetData>
      <sheetData sheetId="1111">
        <row r="52">
          <cell r="B52" t="str">
            <v>Main Panel</v>
          </cell>
        </row>
      </sheetData>
      <sheetData sheetId="1112">
        <row r="52">
          <cell r="B52" t="str">
            <v>Main Panel</v>
          </cell>
        </row>
      </sheetData>
      <sheetData sheetId="1113">
        <row r="52">
          <cell r="B52" t="str">
            <v>Main Panel</v>
          </cell>
        </row>
      </sheetData>
      <sheetData sheetId="1114">
        <row r="52">
          <cell r="B52" t="str">
            <v>Main Panel</v>
          </cell>
        </row>
      </sheetData>
      <sheetData sheetId="1115">
        <row r="52">
          <cell r="B52" t="str">
            <v>Main Panel</v>
          </cell>
        </row>
      </sheetData>
      <sheetData sheetId="1116">
        <row r="52">
          <cell r="B52" t="str">
            <v>Main Panel</v>
          </cell>
        </row>
      </sheetData>
      <sheetData sheetId="1117">
        <row r="52">
          <cell r="B52" t="str">
            <v>Main Panel</v>
          </cell>
        </row>
      </sheetData>
      <sheetData sheetId="1118">
        <row r="52">
          <cell r="B52" t="str">
            <v>Main Panel</v>
          </cell>
        </row>
      </sheetData>
      <sheetData sheetId="1119">
        <row r="52">
          <cell r="B52" t="str">
            <v>Main Panel</v>
          </cell>
        </row>
      </sheetData>
      <sheetData sheetId="1120">
        <row r="52">
          <cell r="B52" t="str">
            <v>Main Panel</v>
          </cell>
        </row>
      </sheetData>
      <sheetData sheetId="1121">
        <row r="52">
          <cell r="B52" t="str">
            <v>Main Panel</v>
          </cell>
        </row>
      </sheetData>
      <sheetData sheetId="1122">
        <row r="52">
          <cell r="B52" t="str">
            <v>Main Panel</v>
          </cell>
        </row>
      </sheetData>
      <sheetData sheetId="1123">
        <row r="52">
          <cell r="B52" t="str">
            <v>Main Panel</v>
          </cell>
        </row>
      </sheetData>
      <sheetData sheetId="1124">
        <row r="52">
          <cell r="B52" t="str">
            <v>Main Panel</v>
          </cell>
        </row>
      </sheetData>
      <sheetData sheetId="1125">
        <row r="52">
          <cell r="B52" t="str">
            <v>Main Panel</v>
          </cell>
        </row>
      </sheetData>
      <sheetData sheetId="1126">
        <row r="52">
          <cell r="B52" t="str">
            <v>Main Panel</v>
          </cell>
        </row>
      </sheetData>
      <sheetData sheetId="1127">
        <row r="52">
          <cell r="B52" t="str">
            <v>Main Panel</v>
          </cell>
        </row>
      </sheetData>
      <sheetData sheetId="1128">
        <row r="52">
          <cell r="B52" t="str">
            <v>Main Panel</v>
          </cell>
        </row>
      </sheetData>
      <sheetData sheetId="1129">
        <row r="52">
          <cell r="B52" t="str">
            <v>Main Panel</v>
          </cell>
        </row>
      </sheetData>
      <sheetData sheetId="1130">
        <row r="52">
          <cell r="B52" t="str">
            <v>Main Panel</v>
          </cell>
        </row>
      </sheetData>
      <sheetData sheetId="1131">
        <row r="52">
          <cell r="B52" t="str">
            <v>Main Panel</v>
          </cell>
        </row>
      </sheetData>
      <sheetData sheetId="1132">
        <row r="52">
          <cell r="B52" t="str">
            <v>Main Panel</v>
          </cell>
        </row>
      </sheetData>
      <sheetData sheetId="1133">
        <row r="52">
          <cell r="B52" t="str">
            <v>Main Panel</v>
          </cell>
        </row>
      </sheetData>
      <sheetData sheetId="1134">
        <row r="52">
          <cell r="B52" t="str">
            <v>Main Panel</v>
          </cell>
        </row>
      </sheetData>
      <sheetData sheetId="1135">
        <row r="52">
          <cell r="B52" t="str">
            <v>Main Panel</v>
          </cell>
        </row>
      </sheetData>
      <sheetData sheetId="1136">
        <row r="52">
          <cell r="B52" t="str">
            <v>Main Panel</v>
          </cell>
        </row>
      </sheetData>
      <sheetData sheetId="1137">
        <row r="52">
          <cell r="B52" t="str">
            <v>Main Panel</v>
          </cell>
        </row>
      </sheetData>
      <sheetData sheetId="1138">
        <row r="52">
          <cell r="B52" t="str">
            <v>Main Panel</v>
          </cell>
        </row>
      </sheetData>
      <sheetData sheetId="1139">
        <row r="52">
          <cell r="B52" t="str">
            <v>Main Panel</v>
          </cell>
        </row>
      </sheetData>
      <sheetData sheetId="1140">
        <row r="52">
          <cell r="B52" t="str">
            <v>Main Panel</v>
          </cell>
        </row>
      </sheetData>
      <sheetData sheetId="1141">
        <row r="52">
          <cell r="B52" t="str">
            <v>Main Panel</v>
          </cell>
        </row>
      </sheetData>
      <sheetData sheetId="1142">
        <row r="52">
          <cell r="B52" t="str">
            <v>Main Panel</v>
          </cell>
        </row>
      </sheetData>
      <sheetData sheetId="1143">
        <row r="52">
          <cell r="B52" t="str">
            <v>Main Panel</v>
          </cell>
        </row>
      </sheetData>
      <sheetData sheetId="1144">
        <row r="52">
          <cell r="B52" t="str">
            <v>Main Panel</v>
          </cell>
        </row>
      </sheetData>
      <sheetData sheetId="1145">
        <row r="52">
          <cell r="B52" t="str">
            <v>Main Panel</v>
          </cell>
        </row>
      </sheetData>
      <sheetData sheetId="1146">
        <row r="52">
          <cell r="B52" t="str">
            <v>Main Panel</v>
          </cell>
        </row>
      </sheetData>
      <sheetData sheetId="1147">
        <row r="52">
          <cell r="B52" t="str">
            <v>Main Panel</v>
          </cell>
        </row>
      </sheetData>
      <sheetData sheetId="1148">
        <row r="52">
          <cell r="B52" t="str">
            <v>Main Panel</v>
          </cell>
        </row>
      </sheetData>
      <sheetData sheetId="1149">
        <row r="52">
          <cell r="B52" t="str">
            <v>Main Panel</v>
          </cell>
        </row>
      </sheetData>
      <sheetData sheetId="1150">
        <row r="52">
          <cell r="B52" t="str">
            <v>Main Panel</v>
          </cell>
        </row>
      </sheetData>
      <sheetData sheetId="1151">
        <row r="52">
          <cell r="B52" t="str">
            <v>Main Panel</v>
          </cell>
        </row>
      </sheetData>
      <sheetData sheetId="1152">
        <row r="52">
          <cell r="B52" t="str">
            <v>Main Panel</v>
          </cell>
        </row>
      </sheetData>
      <sheetData sheetId="1153">
        <row r="52">
          <cell r="B52" t="str">
            <v>Main Panel</v>
          </cell>
        </row>
      </sheetData>
      <sheetData sheetId="1154">
        <row r="52">
          <cell r="B52" t="str">
            <v>Main Panel</v>
          </cell>
        </row>
      </sheetData>
      <sheetData sheetId="1155">
        <row r="52">
          <cell r="B52" t="str">
            <v>Main Panel</v>
          </cell>
        </row>
      </sheetData>
      <sheetData sheetId="1156">
        <row r="52">
          <cell r="B52" t="str">
            <v>Main Panel</v>
          </cell>
        </row>
      </sheetData>
      <sheetData sheetId="1157">
        <row r="52">
          <cell r="B52" t="str">
            <v>Main Panel</v>
          </cell>
        </row>
      </sheetData>
      <sheetData sheetId="1158">
        <row r="52">
          <cell r="B52" t="str">
            <v>Main Panel</v>
          </cell>
        </row>
      </sheetData>
      <sheetData sheetId="1159">
        <row r="52">
          <cell r="B52" t="str">
            <v>Main Panel</v>
          </cell>
        </row>
      </sheetData>
      <sheetData sheetId="1160">
        <row r="52">
          <cell r="B52" t="str">
            <v>Main Panel</v>
          </cell>
        </row>
      </sheetData>
      <sheetData sheetId="1161">
        <row r="52">
          <cell r="B52" t="str">
            <v>Main Panel</v>
          </cell>
        </row>
      </sheetData>
      <sheetData sheetId="1162">
        <row r="52">
          <cell r="B52" t="str">
            <v>Main Panel</v>
          </cell>
        </row>
      </sheetData>
      <sheetData sheetId="1163">
        <row r="52">
          <cell r="B52" t="str">
            <v>Main Panel</v>
          </cell>
        </row>
      </sheetData>
      <sheetData sheetId="1164">
        <row r="52">
          <cell r="B52" t="str">
            <v>Main Panel</v>
          </cell>
        </row>
      </sheetData>
      <sheetData sheetId="1165">
        <row r="52">
          <cell r="B52" t="str">
            <v>Main Panel</v>
          </cell>
        </row>
      </sheetData>
      <sheetData sheetId="1166">
        <row r="52">
          <cell r="B52" t="str">
            <v>Main Panel</v>
          </cell>
        </row>
      </sheetData>
      <sheetData sheetId="1167">
        <row r="52">
          <cell r="B52" t="str">
            <v>Main Panel</v>
          </cell>
        </row>
      </sheetData>
      <sheetData sheetId="1168">
        <row r="52">
          <cell r="B52" t="str">
            <v>Main Panel</v>
          </cell>
        </row>
      </sheetData>
      <sheetData sheetId="1169">
        <row r="52">
          <cell r="B52" t="str">
            <v>Main Panel</v>
          </cell>
        </row>
      </sheetData>
      <sheetData sheetId="1170">
        <row r="52">
          <cell r="B52" t="str">
            <v>Main Panel</v>
          </cell>
        </row>
      </sheetData>
      <sheetData sheetId="1171">
        <row r="52">
          <cell r="B52" t="str">
            <v>Main Panel</v>
          </cell>
        </row>
      </sheetData>
      <sheetData sheetId="1172">
        <row r="52">
          <cell r="B52" t="str">
            <v>Main Panel</v>
          </cell>
        </row>
      </sheetData>
      <sheetData sheetId="1173">
        <row r="52">
          <cell r="B52" t="str">
            <v>Main Panel</v>
          </cell>
        </row>
      </sheetData>
      <sheetData sheetId="1174">
        <row r="52">
          <cell r="B52" t="str">
            <v>Main Panel</v>
          </cell>
        </row>
      </sheetData>
      <sheetData sheetId="1175">
        <row r="52">
          <cell r="B52" t="str">
            <v>Main Panel</v>
          </cell>
        </row>
      </sheetData>
      <sheetData sheetId="1176">
        <row r="52">
          <cell r="B52" t="str">
            <v>Main Panel</v>
          </cell>
        </row>
      </sheetData>
      <sheetData sheetId="1177">
        <row r="52">
          <cell r="B52" t="str">
            <v>Main Panel</v>
          </cell>
        </row>
      </sheetData>
      <sheetData sheetId="1178">
        <row r="52">
          <cell r="B52" t="str">
            <v>Main Panel</v>
          </cell>
        </row>
      </sheetData>
      <sheetData sheetId="1179">
        <row r="52">
          <cell r="B52" t="str">
            <v>Main Panel</v>
          </cell>
        </row>
      </sheetData>
      <sheetData sheetId="1180">
        <row r="52">
          <cell r="B52" t="str">
            <v>Main Panel</v>
          </cell>
        </row>
      </sheetData>
      <sheetData sheetId="1181">
        <row r="52">
          <cell r="B52" t="str">
            <v>Main Panel</v>
          </cell>
        </row>
      </sheetData>
      <sheetData sheetId="1182">
        <row r="52">
          <cell r="B52" t="str">
            <v>Main Panel</v>
          </cell>
        </row>
      </sheetData>
      <sheetData sheetId="1183">
        <row r="52">
          <cell r="B52" t="str">
            <v>Main Panel</v>
          </cell>
        </row>
      </sheetData>
      <sheetData sheetId="1184">
        <row r="52">
          <cell r="B52" t="str">
            <v>Main Panel</v>
          </cell>
        </row>
      </sheetData>
      <sheetData sheetId="1185">
        <row r="52">
          <cell r="B52" t="str">
            <v>Main Panel</v>
          </cell>
        </row>
      </sheetData>
      <sheetData sheetId="1186">
        <row r="52">
          <cell r="B52" t="str">
            <v>Main Panel</v>
          </cell>
        </row>
      </sheetData>
      <sheetData sheetId="1187">
        <row r="52">
          <cell r="B52" t="str">
            <v>Main Panel</v>
          </cell>
        </row>
      </sheetData>
      <sheetData sheetId="1188">
        <row r="52">
          <cell r="B52" t="str">
            <v>Main Panel</v>
          </cell>
        </row>
      </sheetData>
      <sheetData sheetId="1189">
        <row r="52">
          <cell r="B52" t="str">
            <v>Main Panel</v>
          </cell>
        </row>
      </sheetData>
      <sheetData sheetId="1190">
        <row r="52">
          <cell r="B52" t="str">
            <v>Main Panel</v>
          </cell>
        </row>
      </sheetData>
      <sheetData sheetId="1191">
        <row r="52">
          <cell r="B52" t="str">
            <v>Main Panel</v>
          </cell>
        </row>
      </sheetData>
      <sheetData sheetId="1192">
        <row r="52">
          <cell r="B52" t="str">
            <v>Main Panel</v>
          </cell>
        </row>
      </sheetData>
      <sheetData sheetId="1193">
        <row r="52">
          <cell r="B52" t="str">
            <v>Main Panel</v>
          </cell>
        </row>
      </sheetData>
      <sheetData sheetId="1194">
        <row r="52">
          <cell r="B52" t="str">
            <v>Main Panel</v>
          </cell>
        </row>
      </sheetData>
      <sheetData sheetId="1195">
        <row r="52">
          <cell r="B52" t="str">
            <v>Main Panel</v>
          </cell>
        </row>
      </sheetData>
      <sheetData sheetId="1196">
        <row r="52">
          <cell r="B52" t="str">
            <v>Main Panel</v>
          </cell>
        </row>
      </sheetData>
      <sheetData sheetId="1197">
        <row r="52">
          <cell r="B52" t="str">
            <v>Main Panel</v>
          </cell>
        </row>
      </sheetData>
      <sheetData sheetId="1198">
        <row r="52">
          <cell r="B52" t="str">
            <v>Main Panel</v>
          </cell>
        </row>
      </sheetData>
      <sheetData sheetId="1199">
        <row r="52">
          <cell r="B52" t="str">
            <v>Main Panel</v>
          </cell>
        </row>
      </sheetData>
      <sheetData sheetId="1200">
        <row r="52">
          <cell r="B52" t="str">
            <v>Main Panel</v>
          </cell>
        </row>
      </sheetData>
      <sheetData sheetId="1201">
        <row r="52">
          <cell r="B52" t="str">
            <v>Main Panel</v>
          </cell>
        </row>
      </sheetData>
      <sheetData sheetId="1202">
        <row r="52">
          <cell r="B52" t="str">
            <v>Main Panel</v>
          </cell>
        </row>
      </sheetData>
      <sheetData sheetId="1203">
        <row r="52">
          <cell r="B52" t="str">
            <v>Main Panel</v>
          </cell>
        </row>
      </sheetData>
      <sheetData sheetId="1204">
        <row r="52">
          <cell r="B52" t="str">
            <v>Main Panel</v>
          </cell>
        </row>
      </sheetData>
      <sheetData sheetId="1205">
        <row r="52">
          <cell r="B52" t="str">
            <v>Main Panel</v>
          </cell>
        </row>
      </sheetData>
      <sheetData sheetId="1206">
        <row r="52">
          <cell r="B52" t="str">
            <v>Main Panel</v>
          </cell>
        </row>
      </sheetData>
      <sheetData sheetId="1207">
        <row r="52">
          <cell r="B52" t="str">
            <v>Main Panel</v>
          </cell>
        </row>
      </sheetData>
      <sheetData sheetId="1208">
        <row r="52">
          <cell r="B52" t="str">
            <v>Main Panel</v>
          </cell>
        </row>
      </sheetData>
      <sheetData sheetId="1209">
        <row r="52">
          <cell r="B52" t="str">
            <v>Main Panel</v>
          </cell>
        </row>
      </sheetData>
      <sheetData sheetId="1210">
        <row r="52">
          <cell r="B52" t="str">
            <v>Main Panel</v>
          </cell>
        </row>
      </sheetData>
      <sheetData sheetId="1211">
        <row r="52">
          <cell r="B52" t="str">
            <v>Main Panel</v>
          </cell>
        </row>
      </sheetData>
      <sheetData sheetId="1212">
        <row r="52">
          <cell r="B52" t="str">
            <v>Main Panel</v>
          </cell>
        </row>
      </sheetData>
      <sheetData sheetId="1213">
        <row r="52">
          <cell r="B52" t="str">
            <v>Main Panel</v>
          </cell>
        </row>
      </sheetData>
      <sheetData sheetId="1214">
        <row r="52">
          <cell r="B52" t="str">
            <v>Main Panel</v>
          </cell>
        </row>
      </sheetData>
      <sheetData sheetId="1215">
        <row r="52">
          <cell r="B52" t="str">
            <v>Main Panel</v>
          </cell>
        </row>
      </sheetData>
      <sheetData sheetId="1216">
        <row r="52">
          <cell r="B52" t="str">
            <v>Main Panel</v>
          </cell>
        </row>
      </sheetData>
      <sheetData sheetId="1217">
        <row r="52">
          <cell r="B52" t="str">
            <v>Main Panel</v>
          </cell>
        </row>
      </sheetData>
      <sheetData sheetId="1218">
        <row r="52">
          <cell r="B52" t="str">
            <v>Main Panel</v>
          </cell>
        </row>
      </sheetData>
      <sheetData sheetId="1219">
        <row r="52">
          <cell r="B52" t="str">
            <v>Main Panel</v>
          </cell>
        </row>
      </sheetData>
      <sheetData sheetId="1220">
        <row r="52">
          <cell r="B52" t="str">
            <v>Main Panel</v>
          </cell>
        </row>
      </sheetData>
      <sheetData sheetId="1221">
        <row r="52">
          <cell r="B52" t="str">
            <v>Main Panel</v>
          </cell>
        </row>
      </sheetData>
      <sheetData sheetId="1222">
        <row r="52">
          <cell r="B52" t="str">
            <v>Main Panel</v>
          </cell>
        </row>
      </sheetData>
      <sheetData sheetId="1223">
        <row r="52">
          <cell r="B52" t="str">
            <v>Main Panel</v>
          </cell>
        </row>
      </sheetData>
      <sheetData sheetId="1224">
        <row r="52">
          <cell r="B52" t="str">
            <v>Main Panel</v>
          </cell>
        </row>
      </sheetData>
      <sheetData sheetId="1225">
        <row r="52">
          <cell r="B52" t="str">
            <v>Main Panel</v>
          </cell>
        </row>
      </sheetData>
      <sheetData sheetId="1226">
        <row r="52">
          <cell r="B52" t="str">
            <v>Main Panel</v>
          </cell>
        </row>
      </sheetData>
      <sheetData sheetId="1227">
        <row r="52">
          <cell r="B52" t="str">
            <v>Main Panel</v>
          </cell>
        </row>
      </sheetData>
      <sheetData sheetId="1228">
        <row r="52">
          <cell r="B52" t="str">
            <v>Main Panel</v>
          </cell>
        </row>
      </sheetData>
      <sheetData sheetId="1229">
        <row r="52">
          <cell r="B52" t="str">
            <v>Main Panel</v>
          </cell>
        </row>
      </sheetData>
      <sheetData sheetId="1230">
        <row r="52">
          <cell r="B52" t="str">
            <v>Main Panel</v>
          </cell>
        </row>
      </sheetData>
      <sheetData sheetId="1231">
        <row r="52">
          <cell r="B52" t="str">
            <v>Main Panel</v>
          </cell>
        </row>
      </sheetData>
      <sheetData sheetId="1232">
        <row r="52">
          <cell r="B52" t="str">
            <v>Main Panel</v>
          </cell>
        </row>
      </sheetData>
      <sheetData sheetId="1233">
        <row r="52">
          <cell r="B52" t="str">
            <v>Main Panel</v>
          </cell>
        </row>
      </sheetData>
      <sheetData sheetId="1234">
        <row r="52">
          <cell r="B52" t="str">
            <v>Main Panel</v>
          </cell>
        </row>
      </sheetData>
      <sheetData sheetId="1235">
        <row r="52">
          <cell r="B52" t="str">
            <v>Main Panel</v>
          </cell>
        </row>
      </sheetData>
      <sheetData sheetId="1236">
        <row r="52">
          <cell r="B52" t="str">
            <v>Main Panel</v>
          </cell>
        </row>
      </sheetData>
      <sheetData sheetId="1237">
        <row r="52">
          <cell r="B52" t="str">
            <v>Main Panel</v>
          </cell>
        </row>
      </sheetData>
      <sheetData sheetId="1238">
        <row r="52">
          <cell r="B52" t="str">
            <v>Main Panel</v>
          </cell>
        </row>
      </sheetData>
      <sheetData sheetId="1239">
        <row r="52">
          <cell r="B52" t="str">
            <v>Main Panel</v>
          </cell>
        </row>
      </sheetData>
      <sheetData sheetId="1240">
        <row r="52">
          <cell r="B52" t="str">
            <v>Main Panel</v>
          </cell>
        </row>
      </sheetData>
      <sheetData sheetId="1241">
        <row r="52">
          <cell r="B52" t="str">
            <v>Main Panel</v>
          </cell>
        </row>
      </sheetData>
      <sheetData sheetId="1242">
        <row r="52">
          <cell r="B52" t="str">
            <v>Main Panel</v>
          </cell>
        </row>
      </sheetData>
      <sheetData sheetId="1243">
        <row r="52">
          <cell r="B52" t="str">
            <v>Main Panel</v>
          </cell>
        </row>
      </sheetData>
      <sheetData sheetId="1244">
        <row r="52">
          <cell r="B52" t="str">
            <v>Main Panel</v>
          </cell>
        </row>
      </sheetData>
      <sheetData sheetId="1245">
        <row r="52">
          <cell r="B52" t="str">
            <v>Main Panel</v>
          </cell>
        </row>
      </sheetData>
      <sheetData sheetId="1246">
        <row r="52">
          <cell r="B52" t="str">
            <v>Main Panel</v>
          </cell>
        </row>
      </sheetData>
      <sheetData sheetId="1247">
        <row r="52">
          <cell r="B52" t="str">
            <v>Main Panel</v>
          </cell>
        </row>
      </sheetData>
      <sheetData sheetId="1248">
        <row r="52">
          <cell r="B52" t="str">
            <v>Main Panel</v>
          </cell>
        </row>
      </sheetData>
      <sheetData sheetId="1249">
        <row r="52">
          <cell r="B52" t="str">
            <v>Main Panel</v>
          </cell>
        </row>
      </sheetData>
      <sheetData sheetId="1250">
        <row r="52">
          <cell r="B52" t="str">
            <v>Main Panel</v>
          </cell>
        </row>
      </sheetData>
      <sheetData sheetId="1251">
        <row r="52">
          <cell r="B52" t="str">
            <v>Main Panel</v>
          </cell>
        </row>
      </sheetData>
      <sheetData sheetId="1252">
        <row r="52">
          <cell r="B52" t="str">
            <v>Main Panel</v>
          </cell>
        </row>
      </sheetData>
      <sheetData sheetId="1253">
        <row r="52">
          <cell r="B52" t="str">
            <v>Main Panel</v>
          </cell>
        </row>
      </sheetData>
      <sheetData sheetId="1254">
        <row r="52">
          <cell r="B52" t="str">
            <v>Main Panel</v>
          </cell>
        </row>
      </sheetData>
      <sheetData sheetId="1255">
        <row r="52">
          <cell r="B52" t="str">
            <v>Main Panel</v>
          </cell>
        </row>
      </sheetData>
      <sheetData sheetId="1256">
        <row r="52">
          <cell r="B52" t="str">
            <v>Main Panel</v>
          </cell>
        </row>
      </sheetData>
      <sheetData sheetId="1257">
        <row r="52">
          <cell r="B52" t="str">
            <v>Main Panel</v>
          </cell>
        </row>
      </sheetData>
      <sheetData sheetId="1258">
        <row r="52">
          <cell r="B52" t="str">
            <v>Main Panel</v>
          </cell>
        </row>
      </sheetData>
      <sheetData sheetId="1259">
        <row r="52">
          <cell r="B52" t="str">
            <v>Main Panel</v>
          </cell>
        </row>
      </sheetData>
      <sheetData sheetId="1260">
        <row r="52">
          <cell r="B52" t="str">
            <v>Main Panel</v>
          </cell>
        </row>
      </sheetData>
      <sheetData sheetId="1261">
        <row r="52">
          <cell r="B52" t="str">
            <v>Main Panel</v>
          </cell>
        </row>
      </sheetData>
      <sheetData sheetId="1262">
        <row r="52">
          <cell r="B52" t="str">
            <v>Main Panel</v>
          </cell>
        </row>
      </sheetData>
      <sheetData sheetId="1263">
        <row r="52">
          <cell r="B52" t="str">
            <v>Main Panel</v>
          </cell>
        </row>
      </sheetData>
      <sheetData sheetId="1264">
        <row r="52">
          <cell r="B52" t="str">
            <v>Main Panel</v>
          </cell>
        </row>
      </sheetData>
      <sheetData sheetId="1265">
        <row r="52">
          <cell r="B52" t="str">
            <v>Main Panel</v>
          </cell>
        </row>
      </sheetData>
      <sheetData sheetId="1266">
        <row r="52">
          <cell r="B52" t="str">
            <v>Main Panel</v>
          </cell>
        </row>
      </sheetData>
      <sheetData sheetId="1267">
        <row r="52">
          <cell r="B52" t="str">
            <v>Main Panel</v>
          </cell>
        </row>
      </sheetData>
      <sheetData sheetId="1268">
        <row r="52">
          <cell r="B52" t="str">
            <v>Main Panel</v>
          </cell>
        </row>
      </sheetData>
      <sheetData sheetId="1269">
        <row r="52">
          <cell r="B52" t="str">
            <v>Main Panel</v>
          </cell>
        </row>
      </sheetData>
      <sheetData sheetId="1270">
        <row r="52">
          <cell r="B52" t="str">
            <v>Main Panel</v>
          </cell>
        </row>
      </sheetData>
      <sheetData sheetId="1271">
        <row r="52">
          <cell r="B52" t="str">
            <v>Main Panel</v>
          </cell>
        </row>
      </sheetData>
      <sheetData sheetId="1272">
        <row r="52">
          <cell r="B52" t="str">
            <v>Main Panel</v>
          </cell>
        </row>
      </sheetData>
      <sheetData sheetId="1273">
        <row r="52">
          <cell r="B52" t="str">
            <v>Main Panel</v>
          </cell>
        </row>
      </sheetData>
      <sheetData sheetId="1274">
        <row r="52">
          <cell r="B52" t="str">
            <v>Main Panel</v>
          </cell>
        </row>
      </sheetData>
      <sheetData sheetId="1275">
        <row r="52">
          <cell r="B52" t="str">
            <v>Main Panel</v>
          </cell>
        </row>
      </sheetData>
      <sheetData sheetId="1276">
        <row r="52">
          <cell r="B52" t="str">
            <v>Main Panel</v>
          </cell>
        </row>
      </sheetData>
      <sheetData sheetId="1277">
        <row r="52">
          <cell r="B52" t="str">
            <v>Main Panel</v>
          </cell>
        </row>
      </sheetData>
      <sheetData sheetId="1278">
        <row r="52">
          <cell r="B52" t="str">
            <v>Main Panel</v>
          </cell>
        </row>
      </sheetData>
      <sheetData sheetId="1279">
        <row r="52">
          <cell r="B52" t="str">
            <v>Main Panel</v>
          </cell>
        </row>
      </sheetData>
      <sheetData sheetId="1280">
        <row r="52">
          <cell r="B52" t="str">
            <v>Main Panel</v>
          </cell>
        </row>
      </sheetData>
      <sheetData sheetId="1281">
        <row r="52">
          <cell r="B52" t="str">
            <v>Main Panel</v>
          </cell>
        </row>
      </sheetData>
      <sheetData sheetId="1282">
        <row r="52">
          <cell r="B52" t="str">
            <v>Main Panel</v>
          </cell>
        </row>
      </sheetData>
      <sheetData sheetId="1283">
        <row r="52">
          <cell r="B52" t="str">
            <v>Main Panel</v>
          </cell>
        </row>
      </sheetData>
      <sheetData sheetId="1284">
        <row r="52">
          <cell r="B52" t="str">
            <v>Main Panel</v>
          </cell>
        </row>
      </sheetData>
      <sheetData sheetId="1285">
        <row r="52">
          <cell r="B52" t="str">
            <v>Main Panel</v>
          </cell>
        </row>
      </sheetData>
      <sheetData sheetId="1286">
        <row r="52">
          <cell r="B52" t="str">
            <v>Main Panel</v>
          </cell>
        </row>
      </sheetData>
      <sheetData sheetId="1287">
        <row r="52">
          <cell r="B52" t="str">
            <v>Main Panel</v>
          </cell>
        </row>
      </sheetData>
      <sheetData sheetId="1288">
        <row r="52">
          <cell r="B52" t="str">
            <v>Main Panel</v>
          </cell>
        </row>
      </sheetData>
      <sheetData sheetId="1289">
        <row r="52">
          <cell r="B52" t="str">
            <v>Main Panel</v>
          </cell>
        </row>
      </sheetData>
      <sheetData sheetId="1290">
        <row r="52">
          <cell r="B52" t="str">
            <v>Main Panel</v>
          </cell>
        </row>
      </sheetData>
      <sheetData sheetId="1291">
        <row r="52">
          <cell r="B52" t="str">
            <v>Main Panel</v>
          </cell>
        </row>
      </sheetData>
      <sheetData sheetId="1292">
        <row r="52">
          <cell r="B52" t="str">
            <v>Main Panel</v>
          </cell>
        </row>
      </sheetData>
      <sheetData sheetId="1293">
        <row r="52">
          <cell r="B52" t="str">
            <v>Main Panel</v>
          </cell>
        </row>
      </sheetData>
      <sheetData sheetId="1294">
        <row r="52">
          <cell r="B52" t="str">
            <v>Main Panel</v>
          </cell>
        </row>
      </sheetData>
      <sheetData sheetId="1295">
        <row r="52">
          <cell r="B52" t="str">
            <v>Main Panel</v>
          </cell>
        </row>
      </sheetData>
      <sheetData sheetId="1296">
        <row r="52">
          <cell r="B52" t="str">
            <v>Main Panel</v>
          </cell>
        </row>
      </sheetData>
      <sheetData sheetId="1297">
        <row r="52">
          <cell r="B52" t="str">
            <v>Main Panel</v>
          </cell>
        </row>
      </sheetData>
      <sheetData sheetId="1298">
        <row r="52">
          <cell r="B52" t="str">
            <v>Main Panel</v>
          </cell>
        </row>
      </sheetData>
      <sheetData sheetId="1299">
        <row r="52">
          <cell r="B52" t="str">
            <v>Main Panel</v>
          </cell>
        </row>
      </sheetData>
      <sheetData sheetId="1300">
        <row r="52">
          <cell r="B52" t="str">
            <v>Main Panel</v>
          </cell>
        </row>
      </sheetData>
      <sheetData sheetId="1301">
        <row r="52">
          <cell r="B52" t="str">
            <v>Main Panel</v>
          </cell>
        </row>
      </sheetData>
      <sheetData sheetId="1302">
        <row r="52">
          <cell r="B52" t="str">
            <v>Main Panel</v>
          </cell>
        </row>
      </sheetData>
      <sheetData sheetId="1303">
        <row r="52">
          <cell r="B52" t="str">
            <v>Main Panel</v>
          </cell>
        </row>
      </sheetData>
      <sheetData sheetId="1304">
        <row r="52">
          <cell r="B52" t="str">
            <v>Main Panel</v>
          </cell>
        </row>
      </sheetData>
      <sheetData sheetId="1305">
        <row r="52">
          <cell r="B52" t="str">
            <v>Main Panel</v>
          </cell>
        </row>
      </sheetData>
      <sheetData sheetId="1306">
        <row r="52">
          <cell r="B52" t="str">
            <v>Main Panel</v>
          </cell>
        </row>
      </sheetData>
      <sheetData sheetId="1307">
        <row r="52">
          <cell r="B52" t="str">
            <v>Main Panel</v>
          </cell>
        </row>
      </sheetData>
      <sheetData sheetId="1308">
        <row r="52">
          <cell r="B52" t="str">
            <v>Main Panel</v>
          </cell>
        </row>
      </sheetData>
      <sheetData sheetId="1309">
        <row r="52">
          <cell r="B52" t="str">
            <v>Main Panel</v>
          </cell>
        </row>
      </sheetData>
      <sheetData sheetId="1310">
        <row r="52">
          <cell r="B52" t="str">
            <v>Main Panel</v>
          </cell>
        </row>
      </sheetData>
      <sheetData sheetId="1311">
        <row r="52">
          <cell r="B52" t="str">
            <v>Main Panel</v>
          </cell>
        </row>
      </sheetData>
      <sheetData sheetId="1312">
        <row r="52">
          <cell r="B52" t="str">
            <v>Main Panel</v>
          </cell>
        </row>
      </sheetData>
      <sheetData sheetId="1313">
        <row r="52">
          <cell r="B52" t="str">
            <v>Main Panel</v>
          </cell>
        </row>
      </sheetData>
      <sheetData sheetId="1314">
        <row r="52">
          <cell r="B52" t="str">
            <v>Main Panel</v>
          </cell>
        </row>
      </sheetData>
      <sheetData sheetId="1315">
        <row r="52">
          <cell r="B52" t="str">
            <v>Main Panel</v>
          </cell>
        </row>
      </sheetData>
      <sheetData sheetId="1316">
        <row r="52">
          <cell r="B52" t="str">
            <v>Main Panel</v>
          </cell>
        </row>
      </sheetData>
      <sheetData sheetId="1317">
        <row r="52">
          <cell r="B52" t="str">
            <v>Main Panel</v>
          </cell>
        </row>
      </sheetData>
      <sheetData sheetId="1318">
        <row r="52">
          <cell r="B52" t="str">
            <v>Main Panel</v>
          </cell>
        </row>
      </sheetData>
      <sheetData sheetId="1319">
        <row r="52">
          <cell r="B52" t="str">
            <v>Main Panel</v>
          </cell>
        </row>
      </sheetData>
      <sheetData sheetId="1320">
        <row r="52">
          <cell r="B52" t="str">
            <v>Main Panel</v>
          </cell>
        </row>
      </sheetData>
      <sheetData sheetId="1321">
        <row r="52">
          <cell r="B52" t="str">
            <v>Main Panel</v>
          </cell>
        </row>
      </sheetData>
      <sheetData sheetId="1322">
        <row r="52">
          <cell r="B52" t="str">
            <v>Main Panel</v>
          </cell>
        </row>
      </sheetData>
      <sheetData sheetId="1323">
        <row r="52">
          <cell r="B52" t="str">
            <v>Main Panel</v>
          </cell>
        </row>
      </sheetData>
      <sheetData sheetId="1324">
        <row r="52">
          <cell r="B52" t="str">
            <v>Main Panel</v>
          </cell>
        </row>
      </sheetData>
      <sheetData sheetId="1325">
        <row r="52">
          <cell r="B52" t="str">
            <v>Main Panel</v>
          </cell>
        </row>
      </sheetData>
      <sheetData sheetId="1326">
        <row r="52">
          <cell r="B52" t="str">
            <v>Main Panel</v>
          </cell>
        </row>
      </sheetData>
      <sheetData sheetId="1327">
        <row r="52">
          <cell r="B52" t="str">
            <v>Main Panel</v>
          </cell>
        </row>
      </sheetData>
      <sheetData sheetId="1328">
        <row r="52">
          <cell r="B52" t="str">
            <v>Main Panel</v>
          </cell>
        </row>
      </sheetData>
      <sheetData sheetId="1329">
        <row r="52">
          <cell r="B52" t="str">
            <v>Main Panel</v>
          </cell>
        </row>
      </sheetData>
      <sheetData sheetId="1330">
        <row r="52">
          <cell r="B52" t="str">
            <v>Main Panel</v>
          </cell>
        </row>
      </sheetData>
      <sheetData sheetId="1331">
        <row r="52">
          <cell r="B52" t="str">
            <v>Main Panel</v>
          </cell>
        </row>
      </sheetData>
      <sheetData sheetId="1332">
        <row r="52">
          <cell r="B52" t="str">
            <v>Main Panel</v>
          </cell>
        </row>
      </sheetData>
      <sheetData sheetId="1333">
        <row r="52">
          <cell r="B52" t="str">
            <v>Main Panel</v>
          </cell>
        </row>
      </sheetData>
      <sheetData sheetId="1334">
        <row r="52">
          <cell r="B52" t="str">
            <v>Main Panel</v>
          </cell>
        </row>
      </sheetData>
      <sheetData sheetId="1335">
        <row r="52">
          <cell r="B52" t="str">
            <v>Main Panel</v>
          </cell>
        </row>
      </sheetData>
      <sheetData sheetId="1336">
        <row r="52">
          <cell r="B52" t="str">
            <v>Main Panel</v>
          </cell>
        </row>
      </sheetData>
      <sheetData sheetId="1337">
        <row r="52">
          <cell r="B52" t="str">
            <v>Main Panel</v>
          </cell>
        </row>
      </sheetData>
      <sheetData sheetId="1338">
        <row r="52">
          <cell r="B52" t="str">
            <v>Main Panel</v>
          </cell>
        </row>
      </sheetData>
      <sheetData sheetId="1339">
        <row r="52">
          <cell r="B52" t="str">
            <v>Main Panel</v>
          </cell>
        </row>
      </sheetData>
      <sheetData sheetId="1340">
        <row r="52">
          <cell r="B52" t="str">
            <v>Main Panel</v>
          </cell>
        </row>
      </sheetData>
      <sheetData sheetId="1341">
        <row r="52">
          <cell r="B52" t="str">
            <v>Main Panel</v>
          </cell>
        </row>
      </sheetData>
      <sheetData sheetId="1342">
        <row r="52">
          <cell r="B52" t="str">
            <v>Main Panel</v>
          </cell>
        </row>
      </sheetData>
      <sheetData sheetId="1343">
        <row r="52">
          <cell r="B52" t="str">
            <v>Main Panel</v>
          </cell>
        </row>
      </sheetData>
      <sheetData sheetId="1344">
        <row r="52">
          <cell r="B52" t="str">
            <v>Main Panel</v>
          </cell>
        </row>
      </sheetData>
      <sheetData sheetId="1345">
        <row r="52">
          <cell r="B52" t="str">
            <v>Main Panel</v>
          </cell>
        </row>
      </sheetData>
      <sheetData sheetId="1346">
        <row r="52">
          <cell r="B52" t="str">
            <v>Main Panel</v>
          </cell>
        </row>
      </sheetData>
      <sheetData sheetId="1347">
        <row r="52">
          <cell r="B52" t="str">
            <v>Main Panel</v>
          </cell>
        </row>
      </sheetData>
      <sheetData sheetId="1348">
        <row r="52">
          <cell r="B52" t="str">
            <v>Main Panel</v>
          </cell>
        </row>
      </sheetData>
      <sheetData sheetId="1349">
        <row r="52">
          <cell r="B52" t="str">
            <v>Main Panel</v>
          </cell>
        </row>
      </sheetData>
      <sheetData sheetId="1350">
        <row r="52">
          <cell r="B52" t="str">
            <v>Main Panel</v>
          </cell>
        </row>
      </sheetData>
      <sheetData sheetId="1351">
        <row r="52">
          <cell r="B52" t="str">
            <v>Main Panel</v>
          </cell>
        </row>
      </sheetData>
      <sheetData sheetId="1352">
        <row r="52">
          <cell r="B52" t="str">
            <v>Main Panel</v>
          </cell>
        </row>
      </sheetData>
      <sheetData sheetId="1353">
        <row r="52">
          <cell r="B52" t="str">
            <v>Main Panel</v>
          </cell>
        </row>
      </sheetData>
      <sheetData sheetId="1354">
        <row r="52">
          <cell r="B52" t="str">
            <v>Main Panel</v>
          </cell>
        </row>
      </sheetData>
      <sheetData sheetId="1355">
        <row r="52">
          <cell r="B52" t="str">
            <v>Main Panel</v>
          </cell>
        </row>
      </sheetData>
      <sheetData sheetId="1356">
        <row r="52">
          <cell r="B52" t="str">
            <v>Main Panel</v>
          </cell>
        </row>
      </sheetData>
      <sheetData sheetId="1357">
        <row r="52">
          <cell r="B52" t="str">
            <v>Main Panel</v>
          </cell>
        </row>
      </sheetData>
      <sheetData sheetId="1358">
        <row r="52">
          <cell r="B52" t="str">
            <v>Main Panel</v>
          </cell>
        </row>
      </sheetData>
      <sheetData sheetId="1359">
        <row r="52">
          <cell r="B52" t="str">
            <v>Main Panel</v>
          </cell>
        </row>
      </sheetData>
      <sheetData sheetId="1360">
        <row r="52">
          <cell r="B52" t="str">
            <v>Main Panel</v>
          </cell>
        </row>
      </sheetData>
      <sheetData sheetId="1361">
        <row r="52">
          <cell r="B52" t="str">
            <v>Main Panel</v>
          </cell>
        </row>
      </sheetData>
      <sheetData sheetId="1362">
        <row r="52">
          <cell r="B52" t="str">
            <v>Main Panel</v>
          </cell>
        </row>
      </sheetData>
      <sheetData sheetId="1363">
        <row r="52">
          <cell r="B52" t="str">
            <v>Main Panel</v>
          </cell>
        </row>
      </sheetData>
      <sheetData sheetId="1364">
        <row r="52">
          <cell r="B52" t="str">
            <v>Main Panel</v>
          </cell>
        </row>
      </sheetData>
      <sheetData sheetId="1365">
        <row r="52">
          <cell r="B52" t="str">
            <v>Main Panel</v>
          </cell>
        </row>
      </sheetData>
      <sheetData sheetId="1366">
        <row r="52">
          <cell r="B52" t="str">
            <v>Main Panel</v>
          </cell>
        </row>
      </sheetData>
      <sheetData sheetId="1367">
        <row r="52">
          <cell r="B52" t="str">
            <v>Main Panel</v>
          </cell>
        </row>
      </sheetData>
      <sheetData sheetId="1368">
        <row r="52">
          <cell r="B52" t="str">
            <v>Main Panel</v>
          </cell>
        </row>
      </sheetData>
      <sheetData sheetId="1369">
        <row r="52">
          <cell r="B52" t="str">
            <v>Main Panel</v>
          </cell>
        </row>
      </sheetData>
      <sheetData sheetId="1370">
        <row r="52">
          <cell r="B52" t="str">
            <v>Main Panel</v>
          </cell>
        </row>
      </sheetData>
      <sheetData sheetId="1371">
        <row r="52">
          <cell r="B52" t="str">
            <v>Main Panel</v>
          </cell>
        </row>
      </sheetData>
      <sheetData sheetId="1372">
        <row r="52">
          <cell r="B52" t="str">
            <v>Main Panel</v>
          </cell>
        </row>
      </sheetData>
      <sheetData sheetId="1373">
        <row r="52">
          <cell r="B52" t="str">
            <v>Main Panel</v>
          </cell>
        </row>
      </sheetData>
      <sheetData sheetId="1374">
        <row r="52">
          <cell r="B52" t="str">
            <v>Main Panel</v>
          </cell>
        </row>
      </sheetData>
      <sheetData sheetId="1375">
        <row r="52">
          <cell r="B52" t="str">
            <v>Main Panel</v>
          </cell>
        </row>
      </sheetData>
      <sheetData sheetId="1376">
        <row r="52">
          <cell r="B52" t="str">
            <v>Main Panel</v>
          </cell>
        </row>
      </sheetData>
      <sheetData sheetId="1377">
        <row r="52">
          <cell r="B52" t="str">
            <v>Main Panel</v>
          </cell>
        </row>
      </sheetData>
      <sheetData sheetId="1378">
        <row r="52">
          <cell r="B52" t="str">
            <v>Main Panel</v>
          </cell>
        </row>
      </sheetData>
      <sheetData sheetId="1379">
        <row r="52">
          <cell r="B52" t="str">
            <v>Main Panel</v>
          </cell>
        </row>
      </sheetData>
      <sheetData sheetId="1380">
        <row r="52">
          <cell r="B52" t="str">
            <v>Main Panel</v>
          </cell>
        </row>
      </sheetData>
      <sheetData sheetId="1381">
        <row r="52">
          <cell r="B52" t="str">
            <v>Main Panel</v>
          </cell>
        </row>
      </sheetData>
      <sheetData sheetId="1382">
        <row r="52">
          <cell r="B52" t="str">
            <v>Main Panel</v>
          </cell>
        </row>
      </sheetData>
      <sheetData sheetId="1383">
        <row r="52">
          <cell r="B52" t="str">
            <v>Main Panel</v>
          </cell>
        </row>
      </sheetData>
      <sheetData sheetId="1384">
        <row r="52">
          <cell r="B52" t="str">
            <v>Main Panel</v>
          </cell>
        </row>
      </sheetData>
      <sheetData sheetId="1385">
        <row r="52">
          <cell r="B52" t="str">
            <v>Main Panel</v>
          </cell>
        </row>
      </sheetData>
      <sheetData sheetId="1386">
        <row r="52">
          <cell r="B52" t="str">
            <v>Main Panel</v>
          </cell>
        </row>
      </sheetData>
      <sheetData sheetId="1387">
        <row r="52">
          <cell r="B52" t="str">
            <v>Main Panel</v>
          </cell>
        </row>
      </sheetData>
      <sheetData sheetId="1388">
        <row r="52">
          <cell r="B52" t="str">
            <v>Main Panel</v>
          </cell>
        </row>
      </sheetData>
      <sheetData sheetId="1389">
        <row r="52">
          <cell r="B52" t="str">
            <v>Main Panel</v>
          </cell>
        </row>
      </sheetData>
      <sheetData sheetId="1390">
        <row r="52">
          <cell r="B52" t="str">
            <v>Main Panel</v>
          </cell>
        </row>
      </sheetData>
      <sheetData sheetId="1391">
        <row r="52">
          <cell r="B52" t="str">
            <v>Main Panel</v>
          </cell>
        </row>
      </sheetData>
      <sheetData sheetId="1392">
        <row r="52">
          <cell r="B52" t="str">
            <v>Main Panel</v>
          </cell>
        </row>
      </sheetData>
      <sheetData sheetId="1393">
        <row r="52">
          <cell r="B52" t="str">
            <v>Main Panel</v>
          </cell>
        </row>
      </sheetData>
      <sheetData sheetId="1394">
        <row r="52">
          <cell r="B52" t="str">
            <v>Main Panel</v>
          </cell>
        </row>
      </sheetData>
      <sheetData sheetId="1395">
        <row r="52">
          <cell r="B52" t="str">
            <v>Main Panel</v>
          </cell>
        </row>
      </sheetData>
      <sheetData sheetId="1396">
        <row r="52">
          <cell r="B52" t="str">
            <v>Main Panel</v>
          </cell>
        </row>
      </sheetData>
      <sheetData sheetId="1397">
        <row r="52">
          <cell r="B52" t="str">
            <v>Main Panel</v>
          </cell>
        </row>
      </sheetData>
      <sheetData sheetId="1398">
        <row r="52">
          <cell r="B52" t="str">
            <v>Main Panel</v>
          </cell>
        </row>
      </sheetData>
      <sheetData sheetId="1399">
        <row r="52">
          <cell r="B52" t="str">
            <v>Main Panel</v>
          </cell>
        </row>
      </sheetData>
      <sheetData sheetId="1400">
        <row r="52">
          <cell r="B52" t="str">
            <v>Main Panel</v>
          </cell>
        </row>
      </sheetData>
      <sheetData sheetId="1401">
        <row r="52">
          <cell r="B52" t="str">
            <v>Main Panel</v>
          </cell>
        </row>
      </sheetData>
      <sheetData sheetId="1402">
        <row r="52">
          <cell r="B52" t="str">
            <v>Main Panel</v>
          </cell>
        </row>
      </sheetData>
      <sheetData sheetId="1403">
        <row r="52">
          <cell r="B52" t="str">
            <v>Main Panel</v>
          </cell>
        </row>
      </sheetData>
      <sheetData sheetId="1404">
        <row r="52">
          <cell r="B52" t="str">
            <v>Main Panel</v>
          </cell>
        </row>
      </sheetData>
      <sheetData sheetId="1405">
        <row r="52">
          <cell r="B52" t="str">
            <v>Main Panel</v>
          </cell>
        </row>
      </sheetData>
      <sheetData sheetId="1406">
        <row r="52">
          <cell r="B52" t="str">
            <v>Main Panel</v>
          </cell>
        </row>
      </sheetData>
      <sheetData sheetId="1407">
        <row r="52">
          <cell r="B52" t="str">
            <v>Main Panel</v>
          </cell>
        </row>
      </sheetData>
      <sheetData sheetId="1408">
        <row r="52">
          <cell r="B52" t="str">
            <v>Main Panel</v>
          </cell>
        </row>
      </sheetData>
      <sheetData sheetId="1409">
        <row r="52">
          <cell r="B52" t="str">
            <v>Main Panel</v>
          </cell>
        </row>
      </sheetData>
      <sheetData sheetId="1410">
        <row r="52">
          <cell r="B52" t="str">
            <v>Main Panel</v>
          </cell>
        </row>
      </sheetData>
      <sheetData sheetId="1411">
        <row r="52">
          <cell r="B52" t="str">
            <v>Main Panel</v>
          </cell>
        </row>
      </sheetData>
      <sheetData sheetId="1412">
        <row r="52">
          <cell r="B52" t="str">
            <v>Main Panel</v>
          </cell>
        </row>
      </sheetData>
      <sheetData sheetId="1413">
        <row r="52">
          <cell r="B52" t="str">
            <v>Main Panel</v>
          </cell>
        </row>
      </sheetData>
      <sheetData sheetId="1414">
        <row r="52">
          <cell r="B52" t="str">
            <v>Main Panel</v>
          </cell>
        </row>
      </sheetData>
      <sheetData sheetId="1415">
        <row r="52">
          <cell r="B52" t="str">
            <v>Main Panel</v>
          </cell>
        </row>
      </sheetData>
      <sheetData sheetId="1416">
        <row r="52">
          <cell r="B52" t="str">
            <v>Main Panel</v>
          </cell>
        </row>
      </sheetData>
      <sheetData sheetId="1417">
        <row r="52">
          <cell r="B52" t="str">
            <v>Main Panel</v>
          </cell>
        </row>
      </sheetData>
      <sheetData sheetId="1418">
        <row r="52">
          <cell r="B52" t="str">
            <v>Main Panel</v>
          </cell>
        </row>
      </sheetData>
      <sheetData sheetId="1419">
        <row r="52">
          <cell r="B52" t="str">
            <v>Main Panel</v>
          </cell>
        </row>
      </sheetData>
      <sheetData sheetId="1420">
        <row r="52">
          <cell r="B52" t="str">
            <v>Main Panel</v>
          </cell>
        </row>
      </sheetData>
      <sheetData sheetId="1421">
        <row r="52">
          <cell r="B52" t="str">
            <v>Main Panel</v>
          </cell>
        </row>
      </sheetData>
      <sheetData sheetId="1422">
        <row r="52">
          <cell r="B52" t="str">
            <v>Main Panel</v>
          </cell>
        </row>
      </sheetData>
      <sheetData sheetId="1423">
        <row r="52">
          <cell r="B52" t="str">
            <v>Main Panel</v>
          </cell>
        </row>
      </sheetData>
      <sheetData sheetId="1424">
        <row r="52">
          <cell r="B52" t="str">
            <v>Main Panel</v>
          </cell>
        </row>
      </sheetData>
      <sheetData sheetId="1425">
        <row r="52">
          <cell r="B52" t="str">
            <v>Main Panel</v>
          </cell>
        </row>
      </sheetData>
      <sheetData sheetId="1426">
        <row r="52">
          <cell r="B52" t="str">
            <v>Main Panel</v>
          </cell>
        </row>
      </sheetData>
      <sheetData sheetId="1427">
        <row r="52">
          <cell r="B52" t="str">
            <v>Main Panel</v>
          </cell>
        </row>
      </sheetData>
      <sheetData sheetId="1428">
        <row r="52">
          <cell r="B52" t="str">
            <v>Main Panel</v>
          </cell>
        </row>
      </sheetData>
      <sheetData sheetId="1429">
        <row r="52">
          <cell r="B52" t="str">
            <v>Main Panel</v>
          </cell>
        </row>
      </sheetData>
      <sheetData sheetId="1430">
        <row r="52">
          <cell r="B52" t="str">
            <v>Main Panel</v>
          </cell>
        </row>
      </sheetData>
      <sheetData sheetId="1431">
        <row r="52">
          <cell r="B52" t="str">
            <v>Main Panel</v>
          </cell>
        </row>
      </sheetData>
      <sheetData sheetId="1432">
        <row r="52">
          <cell r="B52" t="str">
            <v>Main Panel</v>
          </cell>
        </row>
      </sheetData>
      <sheetData sheetId="1433">
        <row r="52">
          <cell r="B52" t="str">
            <v>Main Panel</v>
          </cell>
        </row>
      </sheetData>
      <sheetData sheetId="1434">
        <row r="52">
          <cell r="B52" t="str">
            <v>Main Panel</v>
          </cell>
        </row>
      </sheetData>
      <sheetData sheetId="1435">
        <row r="52">
          <cell r="B52" t="str">
            <v>Main Panel</v>
          </cell>
        </row>
      </sheetData>
      <sheetData sheetId="1436">
        <row r="52">
          <cell r="B52" t="str">
            <v>Main Panel</v>
          </cell>
        </row>
      </sheetData>
      <sheetData sheetId="1437">
        <row r="52">
          <cell r="B52" t="str">
            <v>Main Panel</v>
          </cell>
        </row>
      </sheetData>
      <sheetData sheetId="1438">
        <row r="52">
          <cell r="B52" t="str">
            <v>Main Panel</v>
          </cell>
        </row>
      </sheetData>
      <sheetData sheetId="1439">
        <row r="52">
          <cell r="B52" t="str">
            <v>Main Panel</v>
          </cell>
        </row>
      </sheetData>
      <sheetData sheetId="1440">
        <row r="52">
          <cell r="B52" t="str">
            <v>Main Panel</v>
          </cell>
        </row>
      </sheetData>
      <sheetData sheetId="1441">
        <row r="52">
          <cell r="B52" t="str">
            <v>Main Panel</v>
          </cell>
        </row>
      </sheetData>
      <sheetData sheetId="1442">
        <row r="52">
          <cell r="B52" t="str">
            <v>Main Panel</v>
          </cell>
        </row>
      </sheetData>
      <sheetData sheetId="1443">
        <row r="52">
          <cell r="B52" t="str">
            <v>Main Panel</v>
          </cell>
        </row>
      </sheetData>
      <sheetData sheetId="1444">
        <row r="52">
          <cell r="B52" t="str">
            <v>Main Panel</v>
          </cell>
        </row>
      </sheetData>
      <sheetData sheetId="1445">
        <row r="52">
          <cell r="B52" t="str">
            <v>Main Panel</v>
          </cell>
        </row>
      </sheetData>
      <sheetData sheetId="1446">
        <row r="52">
          <cell r="B52" t="str">
            <v>Main Panel</v>
          </cell>
        </row>
      </sheetData>
      <sheetData sheetId="1447">
        <row r="52">
          <cell r="B52" t="str">
            <v>Main Panel</v>
          </cell>
        </row>
      </sheetData>
      <sheetData sheetId="1448">
        <row r="52">
          <cell r="B52" t="str">
            <v>Main Panel</v>
          </cell>
        </row>
      </sheetData>
      <sheetData sheetId="1449">
        <row r="52">
          <cell r="B52" t="str">
            <v>Main Panel</v>
          </cell>
        </row>
      </sheetData>
      <sheetData sheetId="1450">
        <row r="52">
          <cell r="B52" t="str">
            <v>Main Panel</v>
          </cell>
        </row>
      </sheetData>
      <sheetData sheetId="1451">
        <row r="52">
          <cell r="B52" t="str">
            <v>Main Panel</v>
          </cell>
        </row>
      </sheetData>
      <sheetData sheetId="1452">
        <row r="52">
          <cell r="B52" t="str">
            <v>Main Panel</v>
          </cell>
        </row>
      </sheetData>
      <sheetData sheetId="1453">
        <row r="52">
          <cell r="B52" t="str">
            <v>Main Panel</v>
          </cell>
        </row>
      </sheetData>
      <sheetData sheetId="1454">
        <row r="52">
          <cell r="B52" t="str">
            <v>Main Panel</v>
          </cell>
        </row>
      </sheetData>
      <sheetData sheetId="1455">
        <row r="52">
          <cell r="B52" t="str">
            <v>Main Panel</v>
          </cell>
        </row>
      </sheetData>
      <sheetData sheetId="1456">
        <row r="52">
          <cell r="B52" t="str">
            <v>Main Panel</v>
          </cell>
        </row>
      </sheetData>
      <sheetData sheetId="1457">
        <row r="52">
          <cell r="B52" t="str">
            <v>Main Panel</v>
          </cell>
        </row>
      </sheetData>
      <sheetData sheetId="1458">
        <row r="52">
          <cell r="B52" t="str">
            <v>Main Panel</v>
          </cell>
        </row>
      </sheetData>
      <sheetData sheetId="1459">
        <row r="52">
          <cell r="B52" t="str">
            <v>Main Panel</v>
          </cell>
        </row>
      </sheetData>
      <sheetData sheetId="1460">
        <row r="52">
          <cell r="B52" t="str">
            <v>Main Panel</v>
          </cell>
        </row>
      </sheetData>
      <sheetData sheetId="1461">
        <row r="52">
          <cell r="B52" t="str">
            <v>Main Panel</v>
          </cell>
        </row>
      </sheetData>
      <sheetData sheetId="1462">
        <row r="52">
          <cell r="B52" t="str">
            <v>Main Panel</v>
          </cell>
        </row>
      </sheetData>
      <sheetData sheetId="1463">
        <row r="52">
          <cell r="B52" t="str">
            <v>Main Panel</v>
          </cell>
        </row>
      </sheetData>
      <sheetData sheetId="1464">
        <row r="52">
          <cell r="B52" t="str">
            <v>Main Panel</v>
          </cell>
        </row>
      </sheetData>
      <sheetData sheetId="1465">
        <row r="52">
          <cell r="B52" t="str">
            <v>Main Panel</v>
          </cell>
        </row>
      </sheetData>
      <sheetData sheetId="1466">
        <row r="52">
          <cell r="B52" t="str">
            <v>Main Panel</v>
          </cell>
        </row>
      </sheetData>
      <sheetData sheetId="1467">
        <row r="52">
          <cell r="B52" t="str">
            <v>Main Panel</v>
          </cell>
        </row>
      </sheetData>
      <sheetData sheetId="1468" refreshError="1"/>
      <sheetData sheetId="1469">
        <row r="52">
          <cell r="B52" t="str">
            <v>Main Panel</v>
          </cell>
        </row>
      </sheetData>
      <sheetData sheetId="1470">
        <row r="52">
          <cell r="B52" t="str">
            <v>Main Panel</v>
          </cell>
        </row>
      </sheetData>
      <sheetData sheetId="1471">
        <row r="52">
          <cell r="B52" t="str">
            <v>Main Panel</v>
          </cell>
        </row>
      </sheetData>
      <sheetData sheetId="1472">
        <row r="52">
          <cell r="B52" t="str">
            <v>Main Panel</v>
          </cell>
        </row>
      </sheetData>
      <sheetData sheetId="1473">
        <row r="52">
          <cell r="B52" t="str">
            <v>Main Panel</v>
          </cell>
        </row>
      </sheetData>
      <sheetData sheetId="1474">
        <row r="52">
          <cell r="B52" t="str">
            <v>Main Panel</v>
          </cell>
        </row>
      </sheetData>
      <sheetData sheetId="1475">
        <row r="52">
          <cell r="B52" t="str">
            <v>Main Panel</v>
          </cell>
        </row>
      </sheetData>
      <sheetData sheetId="1476">
        <row r="52">
          <cell r="B52" t="str">
            <v>Main Panel</v>
          </cell>
        </row>
      </sheetData>
      <sheetData sheetId="1477">
        <row r="52">
          <cell r="B52" t="str">
            <v>Main Panel</v>
          </cell>
        </row>
      </sheetData>
      <sheetData sheetId="1478">
        <row r="52">
          <cell r="B52" t="str">
            <v>Main Panel</v>
          </cell>
        </row>
      </sheetData>
      <sheetData sheetId="1479">
        <row r="52">
          <cell r="B52" t="str">
            <v>Main Panel</v>
          </cell>
        </row>
      </sheetData>
      <sheetData sheetId="1480">
        <row r="52">
          <cell r="B52" t="str">
            <v>Main Panel</v>
          </cell>
        </row>
      </sheetData>
      <sheetData sheetId="1481">
        <row r="52">
          <cell r="B52" t="str">
            <v>Main Panel</v>
          </cell>
        </row>
      </sheetData>
      <sheetData sheetId="1482">
        <row r="52">
          <cell r="B52" t="str">
            <v>Main Panel</v>
          </cell>
        </row>
      </sheetData>
      <sheetData sheetId="1483">
        <row r="52">
          <cell r="B52" t="str">
            <v>Main Panel</v>
          </cell>
        </row>
      </sheetData>
      <sheetData sheetId="1484">
        <row r="52">
          <cell r="B52" t="str">
            <v>Main Panel</v>
          </cell>
        </row>
      </sheetData>
      <sheetData sheetId="1485">
        <row r="52">
          <cell r="B52" t="str">
            <v>Main Panel</v>
          </cell>
        </row>
      </sheetData>
      <sheetData sheetId="1486">
        <row r="52">
          <cell r="B52" t="str">
            <v>Main Panel</v>
          </cell>
        </row>
      </sheetData>
      <sheetData sheetId="1487">
        <row r="52">
          <cell r="B52" t="str">
            <v>Main Panel</v>
          </cell>
        </row>
      </sheetData>
      <sheetData sheetId="1488">
        <row r="52">
          <cell r="B52" t="str">
            <v>Main Panel</v>
          </cell>
        </row>
      </sheetData>
      <sheetData sheetId="1489">
        <row r="52">
          <cell r="B52" t="str">
            <v>Main Panel</v>
          </cell>
        </row>
      </sheetData>
      <sheetData sheetId="1490">
        <row r="52">
          <cell r="B52" t="str">
            <v>Main Panel</v>
          </cell>
        </row>
      </sheetData>
      <sheetData sheetId="1491">
        <row r="52">
          <cell r="B52" t="str">
            <v>Main Panel</v>
          </cell>
        </row>
      </sheetData>
      <sheetData sheetId="1492">
        <row r="52">
          <cell r="B52" t="str">
            <v>Main Panel</v>
          </cell>
        </row>
      </sheetData>
      <sheetData sheetId="1493">
        <row r="52">
          <cell r="B52" t="str">
            <v>Main Panel</v>
          </cell>
        </row>
      </sheetData>
      <sheetData sheetId="1494">
        <row r="52">
          <cell r="B52" t="str">
            <v>Main Panel</v>
          </cell>
        </row>
      </sheetData>
      <sheetData sheetId="1495">
        <row r="52">
          <cell r="B52" t="str">
            <v>Main Panel</v>
          </cell>
        </row>
      </sheetData>
      <sheetData sheetId="1496">
        <row r="52">
          <cell r="B52" t="str">
            <v>Main Panel</v>
          </cell>
        </row>
      </sheetData>
      <sheetData sheetId="1497">
        <row r="52">
          <cell r="B52" t="str">
            <v>Main Panel</v>
          </cell>
        </row>
      </sheetData>
      <sheetData sheetId="1498">
        <row r="52">
          <cell r="B52" t="str">
            <v>Main Panel</v>
          </cell>
        </row>
      </sheetData>
      <sheetData sheetId="1499">
        <row r="52">
          <cell r="B52" t="str">
            <v>Main Panel</v>
          </cell>
        </row>
      </sheetData>
      <sheetData sheetId="1500">
        <row r="52">
          <cell r="B52" t="str">
            <v>Main Panel</v>
          </cell>
        </row>
      </sheetData>
      <sheetData sheetId="1501">
        <row r="52">
          <cell r="B52" t="str">
            <v>Main Panel</v>
          </cell>
        </row>
      </sheetData>
      <sheetData sheetId="1502">
        <row r="52">
          <cell r="B52" t="str">
            <v>Main Panel</v>
          </cell>
        </row>
      </sheetData>
      <sheetData sheetId="1503"/>
      <sheetData sheetId="1504"/>
      <sheetData sheetId="1505"/>
      <sheetData sheetId="1506"/>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efreshError="1"/>
      <sheetData sheetId="1517" refreshError="1"/>
      <sheetData sheetId="1518" refreshError="1"/>
      <sheetData sheetId="1519" refreshError="1"/>
      <sheetData sheetId="1520" refreshError="1"/>
      <sheetData sheetId="1521" refreshError="1"/>
      <sheetData sheetId="1522" refreshError="1"/>
      <sheetData sheetId="1523" refreshError="1"/>
      <sheetData sheetId="1524" refreshError="1"/>
      <sheetData sheetId="1525" refreshError="1"/>
      <sheetData sheetId="1526" refreshError="1"/>
      <sheetData sheetId="1527" refreshError="1"/>
      <sheetData sheetId="1528" refreshError="1"/>
      <sheetData sheetId="1529" refreshError="1"/>
      <sheetData sheetId="1530" refreshError="1"/>
      <sheetData sheetId="1531" refreshError="1"/>
      <sheetData sheetId="1532" refreshError="1"/>
      <sheetData sheetId="1533" refreshError="1"/>
      <sheetData sheetId="1534" refreshError="1"/>
      <sheetData sheetId="1535" refreshError="1"/>
      <sheetData sheetId="1536" refreshError="1"/>
      <sheetData sheetId="1537" refreshError="1"/>
      <sheetData sheetId="1538" refreshError="1"/>
      <sheetData sheetId="1539" refreshError="1"/>
      <sheetData sheetId="1540" refreshError="1"/>
      <sheetData sheetId="1541" refreshError="1"/>
      <sheetData sheetId="1542" refreshError="1"/>
      <sheetData sheetId="1543" refreshError="1"/>
      <sheetData sheetId="1544" refreshError="1"/>
      <sheetData sheetId="1545">
        <row r="52">
          <cell r="B52" t="str">
            <v>Main Panel</v>
          </cell>
        </row>
      </sheetData>
      <sheetData sheetId="1546">
        <row r="52">
          <cell r="B52" t="str">
            <v>Main Panel</v>
          </cell>
        </row>
      </sheetData>
      <sheetData sheetId="1547">
        <row r="52">
          <cell r="B52" t="str">
            <v>Main Panel</v>
          </cell>
        </row>
      </sheetData>
      <sheetData sheetId="1548">
        <row r="52">
          <cell r="B52" t="str">
            <v>Main Panel</v>
          </cell>
        </row>
      </sheetData>
      <sheetData sheetId="1549">
        <row r="52">
          <cell r="B52" t="str">
            <v>Main Panel</v>
          </cell>
        </row>
      </sheetData>
      <sheetData sheetId="1550">
        <row r="52">
          <cell r="B52" t="str">
            <v>Main Panel</v>
          </cell>
        </row>
      </sheetData>
      <sheetData sheetId="1551">
        <row r="52">
          <cell r="B52" t="str">
            <v>Main Panel</v>
          </cell>
        </row>
      </sheetData>
      <sheetData sheetId="1552">
        <row r="52">
          <cell r="B52" t="str">
            <v>Main Panel</v>
          </cell>
        </row>
      </sheetData>
      <sheetData sheetId="1553">
        <row r="52">
          <cell r="B52" t="str">
            <v>Main Panel</v>
          </cell>
        </row>
      </sheetData>
      <sheetData sheetId="1554">
        <row r="52">
          <cell r="B52" t="str">
            <v>Main Panel</v>
          </cell>
        </row>
      </sheetData>
      <sheetData sheetId="1555">
        <row r="52">
          <cell r="B52" t="str">
            <v>Main Panel</v>
          </cell>
        </row>
      </sheetData>
      <sheetData sheetId="1556">
        <row r="52">
          <cell r="B52" t="str">
            <v>Main Panel</v>
          </cell>
        </row>
      </sheetData>
      <sheetData sheetId="1557">
        <row r="52">
          <cell r="B52" t="str">
            <v>Main Panel</v>
          </cell>
        </row>
      </sheetData>
      <sheetData sheetId="1558">
        <row r="52">
          <cell r="B52" t="str">
            <v>Main Panel</v>
          </cell>
        </row>
      </sheetData>
      <sheetData sheetId="1559">
        <row r="52">
          <cell r="B52" t="str">
            <v>Main Panel</v>
          </cell>
        </row>
      </sheetData>
      <sheetData sheetId="1560">
        <row r="52">
          <cell r="B52" t="str">
            <v>Main Panel</v>
          </cell>
        </row>
      </sheetData>
      <sheetData sheetId="1561">
        <row r="52">
          <cell r="B52" t="str">
            <v>Main Panel</v>
          </cell>
        </row>
      </sheetData>
      <sheetData sheetId="1562">
        <row r="52">
          <cell r="B52" t="str">
            <v>Main Panel</v>
          </cell>
        </row>
      </sheetData>
      <sheetData sheetId="1563">
        <row r="52">
          <cell r="B52" t="str">
            <v>Main Panel</v>
          </cell>
        </row>
      </sheetData>
      <sheetData sheetId="1564">
        <row r="52">
          <cell r="B52" t="str">
            <v>Main Panel</v>
          </cell>
        </row>
      </sheetData>
      <sheetData sheetId="1565">
        <row r="52">
          <cell r="B52" t="str">
            <v>Main Panel</v>
          </cell>
        </row>
      </sheetData>
      <sheetData sheetId="1566">
        <row r="52">
          <cell r="B52" t="str">
            <v>Main Panel</v>
          </cell>
        </row>
      </sheetData>
      <sheetData sheetId="1567">
        <row r="52">
          <cell r="B52" t="str">
            <v>Main Panel</v>
          </cell>
        </row>
      </sheetData>
      <sheetData sheetId="1568">
        <row r="52">
          <cell r="B52" t="str">
            <v>Main Panel</v>
          </cell>
        </row>
      </sheetData>
      <sheetData sheetId="1569">
        <row r="52">
          <cell r="B52" t="str">
            <v>Main Panel</v>
          </cell>
        </row>
      </sheetData>
      <sheetData sheetId="1570">
        <row r="52">
          <cell r="B52" t="str">
            <v>Main Panel</v>
          </cell>
        </row>
      </sheetData>
      <sheetData sheetId="1571">
        <row r="52">
          <cell r="B52" t="str">
            <v>Main Panel</v>
          </cell>
        </row>
      </sheetData>
      <sheetData sheetId="1572">
        <row r="52">
          <cell r="B52" t="str">
            <v>Main Panel</v>
          </cell>
        </row>
      </sheetData>
      <sheetData sheetId="1573">
        <row r="52">
          <cell r="B52" t="str">
            <v>Main Panel</v>
          </cell>
        </row>
      </sheetData>
      <sheetData sheetId="1574">
        <row r="52">
          <cell r="B52" t="str">
            <v>Main Panel</v>
          </cell>
        </row>
      </sheetData>
      <sheetData sheetId="1575">
        <row r="52">
          <cell r="B52" t="str">
            <v>Main Panel</v>
          </cell>
        </row>
      </sheetData>
      <sheetData sheetId="1576">
        <row r="52">
          <cell r="B52" t="str">
            <v>Main Panel</v>
          </cell>
        </row>
      </sheetData>
      <sheetData sheetId="1577">
        <row r="52">
          <cell r="B52" t="str">
            <v>Main Panel</v>
          </cell>
        </row>
      </sheetData>
      <sheetData sheetId="1578">
        <row r="52">
          <cell r="B52" t="str">
            <v>Main Panel</v>
          </cell>
        </row>
      </sheetData>
      <sheetData sheetId="1579">
        <row r="52">
          <cell r="B52" t="str">
            <v>Main Panel</v>
          </cell>
        </row>
      </sheetData>
      <sheetData sheetId="1580"/>
      <sheetData sheetId="1581"/>
      <sheetData sheetId="1582"/>
      <sheetData sheetId="1583"/>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refreshError="1"/>
      <sheetData sheetId="1606" refreshError="1"/>
      <sheetData sheetId="1607" refreshError="1"/>
      <sheetData sheetId="1608" refreshError="1"/>
      <sheetData sheetId="1609" refreshError="1"/>
      <sheetData sheetId="1610" refreshError="1"/>
      <sheetData sheetId="1611" refreshError="1"/>
      <sheetData sheetId="1612" refreshError="1"/>
      <sheetData sheetId="1613" refreshError="1"/>
      <sheetData sheetId="1614" refreshError="1"/>
      <sheetData sheetId="1615" refreshError="1"/>
      <sheetData sheetId="1616" refreshError="1"/>
      <sheetData sheetId="1617" refreshError="1"/>
      <sheetData sheetId="1618" refreshError="1"/>
      <sheetData sheetId="1619" refreshError="1"/>
      <sheetData sheetId="1620" refreshError="1"/>
      <sheetData sheetId="1621" refreshError="1"/>
      <sheetData sheetId="1622">
        <row r="52">
          <cell r="B52" t="str">
            <v>Main Panel</v>
          </cell>
        </row>
      </sheetData>
      <sheetData sheetId="1623">
        <row r="52">
          <cell r="B52" t="str">
            <v>Main Panel</v>
          </cell>
        </row>
      </sheetData>
      <sheetData sheetId="1624">
        <row r="52">
          <cell r="B52" t="str">
            <v>Main Panel</v>
          </cell>
        </row>
      </sheetData>
      <sheetData sheetId="1625">
        <row r="52">
          <cell r="B52" t="str">
            <v>Main Panel</v>
          </cell>
        </row>
      </sheetData>
      <sheetData sheetId="1626">
        <row r="52">
          <cell r="B52" t="str">
            <v>Main Panel</v>
          </cell>
        </row>
      </sheetData>
      <sheetData sheetId="1627">
        <row r="52">
          <cell r="B52" t="str">
            <v>Main Panel</v>
          </cell>
        </row>
      </sheetData>
      <sheetData sheetId="1628">
        <row r="52">
          <cell r="B52" t="str">
            <v>Main Panel</v>
          </cell>
        </row>
      </sheetData>
      <sheetData sheetId="1629">
        <row r="52">
          <cell r="B52" t="str">
            <v>Main Panel</v>
          </cell>
        </row>
      </sheetData>
      <sheetData sheetId="1630">
        <row r="52">
          <cell r="B52" t="str">
            <v>Main Panel</v>
          </cell>
        </row>
      </sheetData>
      <sheetData sheetId="1631">
        <row r="52">
          <cell r="B52" t="str">
            <v>Main Panel</v>
          </cell>
        </row>
      </sheetData>
      <sheetData sheetId="1632">
        <row r="52">
          <cell r="B52" t="str">
            <v>Main Panel</v>
          </cell>
        </row>
      </sheetData>
      <sheetData sheetId="1633">
        <row r="52">
          <cell r="B52" t="str">
            <v>Main Panel</v>
          </cell>
        </row>
      </sheetData>
      <sheetData sheetId="1634">
        <row r="52">
          <cell r="B52" t="str">
            <v>Main Panel</v>
          </cell>
        </row>
      </sheetData>
      <sheetData sheetId="1635">
        <row r="52">
          <cell r="B52" t="str">
            <v>Main Panel</v>
          </cell>
        </row>
      </sheetData>
      <sheetData sheetId="1636">
        <row r="52">
          <cell r="B52" t="str">
            <v>Main Panel</v>
          </cell>
        </row>
      </sheetData>
      <sheetData sheetId="1637">
        <row r="52">
          <cell r="B52" t="str">
            <v>Main Panel</v>
          </cell>
        </row>
      </sheetData>
      <sheetData sheetId="1638">
        <row r="52">
          <cell r="B52" t="str">
            <v>Main Panel</v>
          </cell>
        </row>
      </sheetData>
      <sheetData sheetId="1639">
        <row r="52">
          <cell r="B52" t="str">
            <v>Main Panel</v>
          </cell>
        </row>
      </sheetData>
      <sheetData sheetId="1640">
        <row r="52">
          <cell r="B52" t="str">
            <v>Main Panel</v>
          </cell>
        </row>
      </sheetData>
      <sheetData sheetId="1641">
        <row r="52">
          <cell r="B52" t="str">
            <v>Main Panel</v>
          </cell>
        </row>
      </sheetData>
      <sheetData sheetId="1642">
        <row r="52">
          <cell r="B52" t="str">
            <v>Main Panel</v>
          </cell>
        </row>
      </sheetData>
      <sheetData sheetId="1643">
        <row r="52">
          <cell r="B52" t="str">
            <v>Main Panel</v>
          </cell>
        </row>
      </sheetData>
      <sheetData sheetId="1644">
        <row r="52">
          <cell r="B52" t="str">
            <v>Main Panel</v>
          </cell>
        </row>
      </sheetData>
      <sheetData sheetId="1645">
        <row r="52">
          <cell r="B52" t="str">
            <v>Main Panel</v>
          </cell>
        </row>
      </sheetData>
      <sheetData sheetId="1646">
        <row r="52">
          <cell r="B52" t="str">
            <v>Main Panel</v>
          </cell>
        </row>
      </sheetData>
      <sheetData sheetId="1647">
        <row r="52">
          <cell r="B52" t="str">
            <v>Main Panel</v>
          </cell>
        </row>
      </sheetData>
      <sheetData sheetId="1648">
        <row r="52">
          <cell r="B52" t="str">
            <v>Main Panel</v>
          </cell>
        </row>
      </sheetData>
      <sheetData sheetId="1649">
        <row r="52">
          <cell r="B52" t="str">
            <v>Main Panel</v>
          </cell>
        </row>
      </sheetData>
      <sheetData sheetId="1650">
        <row r="52">
          <cell r="B52" t="str">
            <v>Main Panel</v>
          </cell>
        </row>
      </sheetData>
      <sheetData sheetId="1651">
        <row r="52">
          <cell r="B52" t="str">
            <v>Main Panel</v>
          </cell>
        </row>
      </sheetData>
      <sheetData sheetId="1652">
        <row r="52">
          <cell r="B52" t="str">
            <v>Main Panel</v>
          </cell>
        </row>
      </sheetData>
      <sheetData sheetId="1653">
        <row r="52">
          <cell r="B52" t="str">
            <v>Main Panel</v>
          </cell>
        </row>
      </sheetData>
      <sheetData sheetId="1654">
        <row r="52">
          <cell r="B52" t="str">
            <v>Main Panel</v>
          </cell>
        </row>
      </sheetData>
      <sheetData sheetId="1655">
        <row r="52">
          <cell r="B52" t="str">
            <v>Main Panel</v>
          </cell>
        </row>
      </sheetData>
      <sheetData sheetId="1656">
        <row r="52">
          <cell r="B52" t="str">
            <v>Main Panel</v>
          </cell>
        </row>
      </sheetData>
      <sheetData sheetId="1657"/>
      <sheetData sheetId="1658"/>
      <sheetData sheetId="1659"/>
      <sheetData sheetId="1660"/>
      <sheetData sheetId="1661" refreshError="1"/>
      <sheetData sheetId="1662" refreshError="1"/>
      <sheetData sheetId="1663" refreshError="1"/>
      <sheetData sheetId="1664" refreshError="1"/>
      <sheetData sheetId="1665" refreshError="1"/>
      <sheetData sheetId="1666" refreshError="1"/>
      <sheetData sheetId="1667" refreshError="1"/>
      <sheetData sheetId="1668" refreshError="1"/>
      <sheetData sheetId="1669" refreshError="1"/>
      <sheetData sheetId="1670" refreshError="1"/>
      <sheetData sheetId="1671" refreshError="1"/>
      <sheetData sheetId="1672" refreshError="1"/>
      <sheetData sheetId="1673" refreshError="1"/>
      <sheetData sheetId="1674" refreshError="1"/>
      <sheetData sheetId="1675" refreshError="1"/>
      <sheetData sheetId="1676" refreshError="1"/>
      <sheetData sheetId="1677" refreshError="1"/>
      <sheetData sheetId="1678" refreshError="1"/>
      <sheetData sheetId="1679" refreshError="1"/>
      <sheetData sheetId="1680" refreshError="1"/>
      <sheetData sheetId="1681" refreshError="1"/>
      <sheetData sheetId="1682" refreshError="1"/>
      <sheetData sheetId="1683" refreshError="1"/>
      <sheetData sheetId="1684" refreshError="1"/>
      <sheetData sheetId="1685" refreshError="1"/>
      <sheetData sheetId="1686" refreshError="1"/>
      <sheetData sheetId="1687" refreshError="1"/>
      <sheetData sheetId="1688" refreshError="1"/>
      <sheetData sheetId="1689" refreshError="1"/>
      <sheetData sheetId="1690" refreshError="1"/>
      <sheetData sheetId="1691" refreshError="1"/>
      <sheetData sheetId="1692" refreshError="1"/>
      <sheetData sheetId="1693" refreshError="1"/>
      <sheetData sheetId="1694" refreshError="1"/>
      <sheetData sheetId="1695" refreshError="1"/>
      <sheetData sheetId="1696" refreshError="1"/>
      <sheetData sheetId="1697" refreshError="1"/>
      <sheetData sheetId="1698" refreshError="1"/>
      <sheetData sheetId="1699" refreshError="1"/>
      <sheetData sheetId="1700">
        <row r="52">
          <cell r="B52" t="str">
            <v>Main Panel</v>
          </cell>
        </row>
      </sheetData>
      <sheetData sheetId="1701">
        <row r="52">
          <cell r="B52" t="str">
            <v>Main Panel</v>
          </cell>
        </row>
      </sheetData>
      <sheetData sheetId="1702">
        <row r="52">
          <cell r="B52" t="str">
            <v>Main Panel</v>
          </cell>
        </row>
      </sheetData>
      <sheetData sheetId="1703">
        <row r="52">
          <cell r="B52" t="str">
            <v>Main Panel</v>
          </cell>
        </row>
      </sheetData>
      <sheetData sheetId="1704">
        <row r="52">
          <cell r="B52" t="str">
            <v>Main Panel</v>
          </cell>
        </row>
      </sheetData>
      <sheetData sheetId="1705">
        <row r="52">
          <cell r="B52" t="str">
            <v>Main Panel</v>
          </cell>
        </row>
      </sheetData>
      <sheetData sheetId="1706">
        <row r="52">
          <cell r="B52" t="str">
            <v>Main Panel</v>
          </cell>
        </row>
      </sheetData>
      <sheetData sheetId="1707">
        <row r="52">
          <cell r="B52" t="str">
            <v>Main Panel</v>
          </cell>
        </row>
      </sheetData>
      <sheetData sheetId="1708">
        <row r="52">
          <cell r="B52" t="str">
            <v>Main Panel</v>
          </cell>
        </row>
      </sheetData>
      <sheetData sheetId="1709">
        <row r="52">
          <cell r="B52" t="str">
            <v>Main Panel</v>
          </cell>
        </row>
      </sheetData>
      <sheetData sheetId="1710">
        <row r="52">
          <cell r="B52" t="str">
            <v>Main Panel</v>
          </cell>
        </row>
      </sheetData>
      <sheetData sheetId="1711">
        <row r="52">
          <cell r="B52" t="str">
            <v>Main Panel</v>
          </cell>
        </row>
      </sheetData>
      <sheetData sheetId="1712">
        <row r="52">
          <cell r="B52" t="str">
            <v>Main Panel</v>
          </cell>
        </row>
      </sheetData>
      <sheetData sheetId="1713">
        <row r="52">
          <cell r="B52" t="str">
            <v>Main Panel</v>
          </cell>
        </row>
      </sheetData>
      <sheetData sheetId="1714">
        <row r="52">
          <cell r="B52" t="str">
            <v>Main Panel</v>
          </cell>
        </row>
      </sheetData>
      <sheetData sheetId="1715">
        <row r="52">
          <cell r="B52" t="str">
            <v>Main Panel</v>
          </cell>
        </row>
      </sheetData>
      <sheetData sheetId="1716">
        <row r="52">
          <cell r="B52" t="str">
            <v>Main Panel</v>
          </cell>
        </row>
      </sheetData>
      <sheetData sheetId="1717">
        <row r="52">
          <cell r="B52" t="str">
            <v>Main Panel</v>
          </cell>
        </row>
      </sheetData>
      <sheetData sheetId="1718">
        <row r="52">
          <cell r="B52" t="str">
            <v>Main Panel</v>
          </cell>
        </row>
      </sheetData>
      <sheetData sheetId="1719">
        <row r="52">
          <cell r="B52" t="str">
            <v>Main Panel</v>
          </cell>
        </row>
      </sheetData>
      <sheetData sheetId="1720">
        <row r="52">
          <cell r="B52" t="str">
            <v>Main Panel</v>
          </cell>
        </row>
      </sheetData>
      <sheetData sheetId="1721">
        <row r="52">
          <cell r="B52" t="str">
            <v>Main Panel</v>
          </cell>
        </row>
      </sheetData>
      <sheetData sheetId="1722">
        <row r="52">
          <cell r="B52" t="str">
            <v>Main Panel</v>
          </cell>
        </row>
      </sheetData>
      <sheetData sheetId="1723">
        <row r="52">
          <cell r="B52" t="str">
            <v>Main Panel</v>
          </cell>
        </row>
      </sheetData>
      <sheetData sheetId="1724">
        <row r="52">
          <cell r="B52" t="str">
            <v>Main Panel</v>
          </cell>
        </row>
      </sheetData>
      <sheetData sheetId="1725">
        <row r="52">
          <cell r="B52" t="str">
            <v>Main Panel</v>
          </cell>
        </row>
      </sheetData>
      <sheetData sheetId="1726">
        <row r="52">
          <cell r="B52" t="str">
            <v>Main Panel</v>
          </cell>
        </row>
      </sheetData>
      <sheetData sheetId="1727">
        <row r="52">
          <cell r="B52" t="str">
            <v>Main Panel</v>
          </cell>
        </row>
      </sheetData>
      <sheetData sheetId="1728">
        <row r="52">
          <cell r="B52" t="str">
            <v>Main Panel</v>
          </cell>
        </row>
      </sheetData>
      <sheetData sheetId="1729">
        <row r="52">
          <cell r="B52" t="str">
            <v>Main Panel</v>
          </cell>
        </row>
      </sheetData>
      <sheetData sheetId="1730">
        <row r="52">
          <cell r="B52" t="str">
            <v>Main Panel</v>
          </cell>
        </row>
      </sheetData>
      <sheetData sheetId="1731">
        <row r="52">
          <cell r="B52" t="str">
            <v>Main Panel</v>
          </cell>
        </row>
      </sheetData>
      <sheetData sheetId="1732">
        <row r="52">
          <cell r="B52" t="str">
            <v>Main Panel</v>
          </cell>
        </row>
      </sheetData>
      <sheetData sheetId="1733">
        <row r="52">
          <cell r="B52" t="str">
            <v>Main Panel</v>
          </cell>
        </row>
      </sheetData>
      <sheetData sheetId="1734">
        <row r="52">
          <cell r="B52" t="str">
            <v>Main Panel</v>
          </cell>
        </row>
      </sheetData>
      <sheetData sheetId="1735"/>
      <sheetData sheetId="1736"/>
      <sheetData sheetId="1737"/>
      <sheetData sheetId="1738"/>
      <sheetData sheetId="1739" refreshError="1"/>
      <sheetData sheetId="1740" refreshError="1"/>
      <sheetData sheetId="1741" refreshError="1"/>
      <sheetData sheetId="1742" refreshError="1"/>
      <sheetData sheetId="1743" refreshError="1"/>
      <sheetData sheetId="1744" refreshError="1"/>
      <sheetData sheetId="1745" refreshError="1"/>
      <sheetData sheetId="1746" refreshError="1"/>
      <sheetData sheetId="1747" refreshError="1"/>
      <sheetData sheetId="1748" refreshError="1"/>
      <sheetData sheetId="1749" refreshError="1"/>
      <sheetData sheetId="1750" refreshError="1"/>
      <sheetData sheetId="1751" refreshError="1"/>
      <sheetData sheetId="1752" refreshError="1"/>
      <sheetData sheetId="1753" refreshError="1"/>
      <sheetData sheetId="1754" refreshError="1"/>
      <sheetData sheetId="1755" refreshError="1"/>
      <sheetData sheetId="1756" refreshError="1"/>
      <sheetData sheetId="1757" refreshError="1"/>
      <sheetData sheetId="1758" refreshError="1"/>
      <sheetData sheetId="1759" refreshError="1"/>
      <sheetData sheetId="1760" refreshError="1"/>
      <sheetData sheetId="1761" refreshError="1"/>
      <sheetData sheetId="1762" refreshError="1"/>
      <sheetData sheetId="1763" refreshError="1"/>
      <sheetData sheetId="1764" refreshError="1"/>
      <sheetData sheetId="1765" refreshError="1"/>
      <sheetData sheetId="1766" refreshError="1"/>
      <sheetData sheetId="1767" refreshError="1"/>
      <sheetData sheetId="1768" refreshError="1"/>
      <sheetData sheetId="1769" refreshError="1"/>
      <sheetData sheetId="1770" refreshError="1"/>
      <sheetData sheetId="1771" refreshError="1"/>
      <sheetData sheetId="1772" refreshError="1"/>
      <sheetData sheetId="1773" refreshError="1"/>
      <sheetData sheetId="1774" refreshError="1"/>
      <sheetData sheetId="1775" refreshError="1"/>
      <sheetData sheetId="1776" refreshError="1"/>
      <sheetData sheetId="1777" refreshError="1"/>
      <sheetData sheetId="1778" refreshError="1"/>
      <sheetData sheetId="1779" refreshError="1"/>
      <sheetData sheetId="1780" refreshError="1"/>
      <sheetData sheetId="1781" refreshError="1"/>
      <sheetData sheetId="1782" refreshError="1"/>
      <sheetData sheetId="1783" refreshError="1"/>
      <sheetData sheetId="1784" refreshError="1"/>
      <sheetData sheetId="1785" refreshError="1"/>
      <sheetData sheetId="1786" refreshError="1"/>
      <sheetData sheetId="1787" refreshError="1"/>
      <sheetData sheetId="1788" refreshError="1"/>
      <sheetData sheetId="1789" refreshError="1"/>
      <sheetData sheetId="1790" refreshError="1"/>
      <sheetData sheetId="1791" refreshError="1"/>
      <sheetData sheetId="1792" refreshError="1"/>
      <sheetData sheetId="1793" refreshError="1"/>
      <sheetData sheetId="1794" refreshError="1"/>
      <sheetData sheetId="1795" refreshError="1"/>
      <sheetData sheetId="1796" refreshError="1"/>
      <sheetData sheetId="1797" refreshError="1"/>
      <sheetData sheetId="1798" refreshError="1"/>
      <sheetData sheetId="1799" refreshError="1"/>
      <sheetData sheetId="1800" refreshError="1"/>
      <sheetData sheetId="1801" refreshError="1"/>
      <sheetData sheetId="1802" refreshError="1"/>
      <sheetData sheetId="1803" refreshError="1"/>
      <sheetData sheetId="1804" refreshError="1"/>
      <sheetData sheetId="1805" refreshError="1"/>
      <sheetData sheetId="1806" refreshError="1"/>
      <sheetData sheetId="1807" refreshError="1"/>
      <sheetData sheetId="1808" refreshError="1"/>
      <sheetData sheetId="1809" refreshError="1"/>
      <sheetData sheetId="1810" refreshError="1"/>
      <sheetData sheetId="1811" refreshError="1"/>
      <sheetData sheetId="1812" refreshError="1"/>
      <sheetData sheetId="1813" refreshError="1"/>
      <sheetData sheetId="1814" refreshError="1"/>
      <sheetData sheetId="1815" refreshError="1"/>
      <sheetData sheetId="1816" refreshError="1"/>
      <sheetData sheetId="1817" refreshError="1"/>
      <sheetData sheetId="1818" refreshError="1"/>
      <sheetData sheetId="1819" refreshError="1"/>
      <sheetData sheetId="1820" refreshError="1"/>
      <sheetData sheetId="1821" refreshError="1"/>
      <sheetData sheetId="1822" refreshError="1"/>
      <sheetData sheetId="1823" refreshError="1"/>
      <sheetData sheetId="1824" refreshError="1"/>
      <sheetData sheetId="1825" refreshError="1"/>
      <sheetData sheetId="1826" refreshError="1"/>
      <sheetData sheetId="1827" refreshError="1"/>
      <sheetData sheetId="1828" refreshError="1"/>
      <sheetData sheetId="1829" refreshError="1"/>
      <sheetData sheetId="1830" refreshError="1"/>
      <sheetData sheetId="1831" refreshError="1"/>
      <sheetData sheetId="1832" refreshError="1"/>
      <sheetData sheetId="1833" refreshError="1"/>
      <sheetData sheetId="1834" refreshError="1"/>
      <sheetData sheetId="1835" refreshError="1"/>
      <sheetData sheetId="1836" refreshError="1"/>
      <sheetData sheetId="1837" refreshError="1"/>
      <sheetData sheetId="1838" refreshError="1"/>
      <sheetData sheetId="1839" refreshError="1"/>
      <sheetData sheetId="1840" refreshError="1"/>
      <sheetData sheetId="1841" refreshError="1"/>
      <sheetData sheetId="1842" refreshError="1"/>
      <sheetData sheetId="1843" refreshError="1"/>
      <sheetData sheetId="1844" refreshError="1"/>
      <sheetData sheetId="1845" refreshError="1"/>
      <sheetData sheetId="1846" refreshError="1"/>
      <sheetData sheetId="1847" refreshError="1"/>
      <sheetData sheetId="1848" refreshError="1"/>
      <sheetData sheetId="1849" refreshError="1"/>
      <sheetData sheetId="1850" refreshError="1"/>
      <sheetData sheetId="1851" refreshError="1"/>
      <sheetData sheetId="1852" refreshError="1"/>
      <sheetData sheetId="1853" refreshError="1"/>
      <sheetData sheetId="1854" refreshError="1"/>
      <sheetData sheetId="1855">
        <row r="52">
          <cell r="B52" t="str">
            <v>Main Panel</v>
          </cell>
        </row>
      </sheetData>
      <sheetData sheetId="1856">
        <row r="52">
          <cell r="B52" t="str">
            <v>Main Panel</v>
          </cell>
        </row>
      </sheetData>
      <sheetData sheetId="1857">
        <row r="52">
          <cell r="B52" t="str">
            <v>Main Panel</v>
          </cell>
        </row>
      </sheetData>
      <sheetData sheetId="1858">
        <row r="52">
          <cell r="B52" t="str">
            <v>Main Panel</v>
          </cell>
        </row>
      </sheetData>
      <sheetData sheetId="1859">
        <row r="52">
          <cell r="B52" t="str">
            <v>Main Panel</v>
          </cell>
        </row>
      </sheetData>
      <sheetData sheetId="1860">
        <row r="52">
          <cell r="B52" t="str">
            <v>Main Panel</v>
          </cell>
        </row>
      </sheetData>
      <sheetData sheetId="1861">
        <row r="52">
          <cell r="B52" t="str">
            <v>Main Panel</v>
          </cell>
        </row>
      </sheetData>
      <sheetData sheetId="1862">
        <row r="52">
          <cell r="B52" t="str">
            <v>Main Panel</v>
          </cell>
        </row>
      </sheetData>
      <sheetData sheetId="1863">
        <row r="52">
          <cell r="B52" t="str">
            <v>Main Panel</v>
          </cell>
        </row>
      </sheetData>
      <sheetData sheetId="1864">
        <row r="52">
          <cell r="B52" t="str">
            <v>Main Panel</v>
          </cell>
        </row>
      </sheetData>
      <sheetData sheetId="1865">
        <row r="52">
          <cell r="B52" t="str">
            <v>Main Panel</v>
          </cell>
        </row>
      </sheetData>
      <sheetData sheetId="1866">
        <row r="52">
          <cell r="B52" t="str">
            <v>Main Panel</v>
          </cell>
        </row>
      </sheetData>
      <sheetData sheetId="1867">
        <row r="52">
          <cell r="B52" t="str">
            <v>Main Panel</v>
          </cell>
        </row>
      </sheetData>
      <sheetData sheetId="1868">
        <row r="52">
          <cell r="B52" t="str">
            <v>Main Panel</v>
          </cell>
        </row>
      </sheetData>
      <sheetData sheetId="1869">
        <row r="52">
          <cell r="B52" t="str">
            <v>Main Panel</v>
          </cell>
        </row>
      </sheetData>
      <sheetData sheetId="1870">
        <row r="52">
          <cell r="B52" t="str">
            <v>Main Panel</v>
          </cell>
        </row>
      </sheetData>
      <sheetData sheetId="1871">
        <row r="52">
          <cell r="B52" t="str">
            <v>Main Panel</v>
          </cell>
        </row>
      </sheetData>
      <sheetData sheetId="1872">
        <row r="52">
          <cell r="B52" t="str">
            <v>Main Panel</v>
          </cell>
        </row>
      </sheetData>
      <sheetData sheetId="1873">
        <row r="52">
          <cell r="B52" t="str">
            <v>Main Panel</v>
          </cell>
        </row>
      </sheetData>
      <sheetData sheetId="1874">
        <row r="52">
          <cell r="B52" t="str">
            <v>Main Panel</v>
          </cell>
        </row>
      </sheetData>
      <sheetData sheetId="1875">
        <row r="52">
          <cell r="B52" t="str">
            <v>Main Panel</v>
          </cell>
        </row>
      </sheetData>
      <sheetData sheetId="1876">
        <row r="52">
          <cell r="B52" t="str">
            <v>Main Panel</v>
          </cell>
        </row>
      </sheetData>
      <sheetData sheetId="1877">
        <row r="52">
          <cell r="B52" t="str">
            <v>Main Panel</v>
          </cell>
        </row>
      </sheetData>
      <sheetData sheetId="1878">
        <row r="52">
          <cell r="B52" t="str">
            <v>Main Panel</v>
          </cell>
        </row>
      </sheetData>
      <sheetData sheetId="1879">
        <row r="52">
          <cell r="B52" t="str">
            <v>Main Panel</v>
          </cell>
        </row>
      </sheetData>
      <sheetData sheetId="1880">
        <row r="52">
          <cell r="B52" t="str">
            <v>Main Panel</v>
          </cell>
        </row>
      </sheetData>
      <sheetData sheetId="1881">
        <row r="52">
          <cell r="B52" t="str">
            <v>Main Panel</v>
          </cell>
        </row>
      </sheetData>
      <sheetData sheetId="1882">
        <row r="52">
          <cell r="B52" t="str">
            <v>Main Panel</v>
          </cell>
        </row>
      </sheetData>
      <sheetData sheetId="1883">
        <row r="52">
          <cell r="B52" t="str">
            <v>Main Panel</v>
          </cell>
        </row>
      </sheetData>
      <sheetData sheetId="1884">
        <row r="52">
          <cell r="B52" t="str">
            <v>Main Panel</v>
          </cell>
        </row>
      </sheetData>
      <sheetData sheetId="1885">
        <row r="52">
          <cell r="B52" t="str">
            <v>Main Panel</v>
          </cell>
        </row>
      </sheetData>
      <sheetData sheetId="1886">
        <row r="52">
          <cell r="B52" t="str">
            <v>Main Panel</v>
          </cell>
        </row>
      </sheetData>
      <sheetData sheetId="1887">
        <row r="52">
          <cell r="B52" t="str">
            <v>Main Panel</v>
          </cell>
        </row>
      </sheetData>
      <sheetData sheetId="1888">
        <row r="52">
          <cell r="B52" t="str">
            <v>Main Panel</v>
          </cell>
        </row>
      </sheetData>
      <sheetData sheetId="1889">
        <row r="52">
          <cell r="B52" t="str">
            <v>Main Panel</v>
          </cell>
        </row>
      </sheetData>
      <sheetData sheetId="1890">
        <row r="52">
          <cell r="B52" t="str">
            <v>Main Panel</v>
          </cell>
        </row>
      </sheetData>
      <sheetData sheetId="1891">
        <row r="52">
          <cell r="B52" t="str">
            <v>Main Panel</v>
          </cell>
        </row>
      </sheetData>
      <sheetData sheetId="1892">
        <row r="52">
          <cell r="B52" t="str">
            <v>Main Panel</v>
          </cell>
        </row>
      </sheetData>
      <sheetData sheetId="1893">
        <row r="52">
          <cell r="B52" t="str">
            <v>Main Panel</v>
          </cell>
        </row>
      </sheetData>
      <sheetData sheetId="1894">
        <row r="52">
          <cell r="B52" t="str">
            <v>Main Panel</v>
          </cell>
        </row>
      </sheetData>
      <sheetData sheetId="1895">
        <row r="52">
          <cell r="B52" t="str">
            <v>Main Panel</v>
          </cell>
        </row>
      </sheetData>
      <sheetData sheetId="1896">
        <row r="52">
          <cell r="B52" t="str">
            <v>Main Panel</v>
          </cell>
        </row>
      </sheetData>
      <sheetData sheetId="1897">
        <row r="52">
          <cell r="B52" t="str">
            <v>Main Panel</v>
          </cell>
        </row>
      </sheetData>
      <sheetData sheetId="1898">
        <row r="52">
          <cell r="B52" t="str">
            <v>Main Panel</v>
          </cell>
        </row>
      </sheetData>
      <sheetData sheetId="1899">
        <row r="52">
          <cell r="B52" t="str">
            <v>Main Panel</v>
          </cell>
        </row>
      </sheetData>
      <sheetData sheetId="1900">
        <row r="52">
          <cell r="B52" t="str">
            <v>Main Panel</v>
          </cell>
        </row>
      </sheetData>
      <sheetData sheetId="1901">
        <row r="52">
          <cell r="B52" t="str">
            <v>Main Panel</v>
          </cell>
        </row>
      </sheetData>
      <sheetData sheetId="1902">
        <row r="52">
          <cell r="B52" t="str">
            <v>Main Panel</v>
          </cell>
        </row>
      </sheetData>
      <sheetData sheetId="1903">
        <row r="52">
          <cell r="B52" t="str">
            <v>Main Panel</v>
          </cell>
        </row>
      </sheetData>
      <sheetData sheetId="1904">
        <row r="52">
          <cell r="B52" t="str">
            <v>Main Panel</v>
          </cell>
        </row>
      </sheetData>
      <sheetData sheetId="1905">
        <row r="52">
          <cell r="B52" t="str">
            <v>Main Panel</v>
          </cell>
        </row>
      </sheetData>
      <sheetData sheetId="1906">
        <row r="52">
          <cell r="B52" t="str">
            <v>Main Panel</v>
          </cell>
        </row>
      </sheetData>
      <sheetData sheetId="1907">
        <row r="52">
          <cell r="B52" t="str">
            <v>Main Panel</v>
          </cell>
        </row>
      </sheetData>
      <sheetData sheetId="1908">
        <row r="52">
          <cell r="B52" t="str">
            <v>Main Panel</v>
          </cell>
        </row>
      </sheetData>
      <sheetData sheetId="1909">
        <row r="52">
          <cell r="B52" t="str">
            <v>Main Panel</v>
          </cell>
        </row>
      </sheetData>
      <sheetData sheetId="1910">
        <row r="52">
          <cell r="B52" t="str">
            <v>Main Panel</v>
          </cell>
        </row>
      </sheetData>
      <sheetData sheetId="1911">
        <row r="52">
          <cell r="B52" t="str">
            <v>Main Panel</v>
          </cell>
        </row>
      </sheetData>
      <sheetData sheetId="1912">
        <row r="52">
          <cell r="B52" t="str">
            <v>Main Panel</v>
          </cell>
        </row>
      </sheetData>
      <sheetData sheetId="1913">
        <row r="52">
          <cell r="B52" t="str">
            <v>Main Panel</v>
          </cell>
        </row>
      </sheetData>
      <sheetData sheetId="1914">
        <row r="52">
          <cell r="B52" t="str">
            <v>Main Panel</v>
          </cell>
        </row>
      </sheetData>
      <sheetData sheetId="1915">
        <row r="52">
          <cell r="B52" t="str">
            <v>Main Panel</v>
          </cell>
        </row>
      </sheetData>
      <sheetData sheetId="1916">
        <row r="52">
          <cell r="B52" t="str">
            <v>Main Panel</v>
          </cell>
        </row>
      </sheetData>
      <sheetData sheetId="1917">
        <row r="52">
          <cell r="B52" t="str">
            <v>Main Panel</v>
          </cell>
        </row>
      </sheetData>
      <sheetData sheetId="1918">
        <row r="52">
          <cell r="B52" t="str">
            <v>Main Panel</v>
          </cell>
        </row>
      </sheetData>
      <sheetData sheetId="1919">
        <row r="52">
          <cell r="B52" t="str">
            <v>Main Panel</v>
          </cell>
        </row>
      </sheetData>
      <sheetData sheetId="1920">
        <row r="52">
          <cell r="B52" t="str">
            <v>Main Panel</v>
          </cell>
        </row>
      </sheetData>
      <sheetData sheetId="1921">
        <row r="52">
          <cell r="B52" t="str">
            <v>Main Panel</v>
          </cell>
        </row>
      </sheetData>
      <sheetData sheetId="1922">
        <row r="52">
          <cell r="B52" t="str">
            <v>Main Panel</v>
          </cell>
        </row>
      </sheetData>
      <sheetData sheetId="1923">
        <row r="52">
          <cell r="B52" t="str">
            <v>Main Panel</v>
          </cell>
        </row>
      </sheetData>
      <sheetData sheetId="1924">
        <row r="52">
          <cell r="B52" t="str">
            <v>Main Panel</v>
          </cell>
        </row>
      </sheetData>
      <sheetData sheetId="1925">
        <row r="52">
          <cell r="B52" t="str">
            <v>Main Panel</v>
          </cell>
        </row>
      </sheetData>
      <sheetData sheetId="1926">
        <row r="52">
          <cell r="B52" t="str">
            <v>Main Panel</v>
          </cell>
        </row>
      </sheetData>
      <sheetData sheetId="1927">
        <row r="52">
          <cell r="B52" t="str">
            <v>Main Panel</v>
          </cell>
        </row>
      </sheetData>
      <sheetData sheetId="1928">
        <row r="52">
          <cell r="B52" t="str">
            <v>Main Panel</v>
          </cell>
        </row>
      </sheetData>
      <sheetData sheetId="1929">
        <row r="52">
          <cell r="B52" t="str">
            <v>Main Panel</v>
          </cell>
        </row>
      </sheetData>
      <sheetData sheetId="1930">
        <row r="52">
          <cell r="B52" t="str">
            <v>Main Panel</v>
          </cell>
        </row>
      </sheetData>
      <sheetData sheetId="1931">
        <row r="52">
          <cell r="B52" t="str">
            <v>Main Panel</v>
          </cell>
        </row>
      </sheetData>
      <sheetData sheetId="1932">
        <row r="52">
          <cell r="B52" t="str">
            <v>Main Panel</v>
          </cell>
        </row>
      </sheetData>
      <sheetData sheetId="1933">
        <row r="52">
          <cell r="B52" t="str">
            <v>Main Panel</v>
          </cell>
        </row>
      </sheetData>
      <sheetData sheetId="1934">
        <row r="52">
          <cell r="B52" t="str">
            <v>Main Panel</v>
          </cell>
        </row>
      </sheetData>
      <sheetData sheetId="1935">
        <row r="52">
          <cell r="B52" t="str">
            <v>Main Panel</v>
          </cell>
        </row>
      </sheetData>
      <sheetData sheetId="1936">
        <row r="52">
          <cell r="B52" t="str">
            <v>Main Panel</v>
          </cell>
        </row>
      </sheetData>
      <sheetData sheetId="1937">
        <row r="52">
          <cell r="B52" t="str">
            <v>Main Panel</v>
          </cell>
        </row>
      </sheetData>
      <sheetData sheetId="1938">
        <row r="52">
          <cell r="B52" t="str">
            <v>Main Panel</v>
          </cell>
        </row>
      </sheetData>
      <sheetData sheetId="1939">
        <row r="52">
          <cell r="B52" t="str">
            <v>Main Panel</v>
          </cell>
        </row>
      </sheetData>
      <sheetData sheetId="1940">
        <row r="52">
          <cell r="B52" t="str">
            <v>Main Panel</v>
          </cell>
        </row>
      </sheetData>
      <sheetData sheetId="1941">
        <row r="52">
          <cell r="B52" t="str">
            <v>Main Panel</v>
          </cell>
        </row>
      </sheetData>
      <sheetData sheetId="1942">
        <row r="52">
          <cell r="B52" t="str">
            <v>Main Panel</v>
          </cell>
        </row>
      </sheetData>
      <sheetData sheetId="1943">
        <row r="52">
          <cell r="B52" t="str">
            <v>Main Panel</v>
          </cell>
        </row>
      </sheetData>
      <sheetData sheetId="1944">
        <row r="52">
          <cell r="B52" t="str">
            <v>Main Panel</v>
          </cell>
        </row>
      </sheetData>
      <sheetData sheetId="1945">
        <row r="52">
          <cell r="B52" t="str">
            <v>Main Panel</v>
          </cell>
        </row>
      </sheetData>
      <sheetData sheetId="1946">
        <row r="52">
          <cell r="B52" t="str">
            <v>Main Panel</v>
          </cell>
        </row>
      </sheetData>
      <sheetData sheetId="1947">
        <row r="52">
          <cell r="B52" t="str">
            <v>Main Panel</v>
          </cell>
        </row>
      </sheetData>
      <sheetData sheetId="1948">
        <row r="52">
          <cell r="B52" t="str">
            <v>Main Panel</v>
          </cell>
        </row>
      </sheetData>
      <sheetData sheetId="1949">
        <row r="52">
          <cell r="B52" t="str">
            <v>Main Panel</v>
          </cell>
        </row>
      </sheetData>
      <sheetData sheetId="1950">
        <row r="52">
          <cell r="B52" t="str">
            <v>Main Panel</v>
          </cell>
        </row>
      </sheetData>
      <sheetData sheetId="1951">
        <row r="52">
          <cell r="B52" t="str">
            <v>Main Panel</v>
          </cell>
        </row>
      </sheetData>
      <sheetData sheetId="1952">
        <row r="52">
          <cell r="B52" t="str">
            <v>Main Panel</v>
          </cell>
        </row>
      </sheetData>
      <sheetData sheetId="1953">
        <row r="52">
          <cell r="B52" t="str">
            <v>Main Panel</v>
          </cell>
        </row>
      </sheetData>
      <sheetData sheetId="1954">
        <row r="52">
          <cell r="B52" t="str">
            <v>Main Panel</v>
          </cell>
        </row>
      </sheetData>
      <sheetData sheetId="1955">
        <row r="52">
          <cell r="B52" t="str">
            <v>Main Panel</v>
          </cell>
        </row>
      </sheetData>
      <sheetData sheetId="1956">
        <row r="52">
          <cell r="B52" t="str">
            <v>Main Panel</v>
          </cell>
        </row>
      </sheetData>
      <sheetData sheetId="1957">
        <row r="52">
          <cell r="B52" t="str">
            <v>Main Panel</v>
          </cell>
        </row>
      </sheetData>
      <sheetData sheetId="1958">
        <row r="52">
          <cell r="B52" t="str">
            <v>Main Panel</v>
          </cell>
        </row>
      </sheetData>
      <sheetData sheetId="1959">
        <row r="52">
          <cell r="B52" t="str">
            <v>Main Panel</v>
          </cell>
        </row>
      </sheetData>
      <sheetData sheetId="1960">
        <row r="52">
          <cell r="B52" t="str">
            <v>Main Panel</v>
          </cell>
        </row>
      </sheetData>
      <sheetData sheetId="1961">
        <row r="52">
          <cell r="B52" t="str">
            <v>Main Panel</v>
          </cell>
        </row>
      </sheetData>
      <sheetData sheetId="1962">
        <row r="52">
          <cell r="B52" t="str">
            <v>Main Panel</v>
          </cell>
        </row>
      </sheetData>
      <sheetData sheetId="1963">
        <row r="52">
          <cell r="B52" t="str">
            <v>Main Panel</v>
          </cell>
        </row>
      </sheetData>
      <sheetData sheetId="1964">
        <row r="52">
          <cell r="B52" t="str">
            <v>Main Panel</v>
          </cell>
        </row>
      </sheetData>
      <sheetData sheetId="1965">
        <row r="52">
          <cell r="B52" t="str">
            <v>Main Panel</v>
          </cell>
        </row>
      </sheetData>
      <sheetData sheetId="1966">
        <row r="52">
          <cell r="B52" t="str">
            <v>Main Panel</v>
          </cell>
        </row>
      </sheetData>
      <sheetData sheetId="1967">
        <row r="52">
          <cell r="B52" t="str">
            <v>Main Panel</v>
          </cell>
        </row>
      </sheetData>
      <sheetData sheetId="1968">
        <row r="52">
          <cell r="B52" t="str">
            <v>Main Panel</v>
          </cell>
        </row>
      </sheetData>
      <sheetData sheetId="1969">
        <row r="52">
          <cell r="B52" t="str">
            <v>Main Panel</v>
          </cell>
        </row>
      </sheetData>
      <sheetData sheetId="1970">
        <row r="52">
          <cell r="B52" t="str">
            <v>Main Panel</v>
          </cell>
        </row>
      </sheetData>
      <sheetData sheetId="1971">
        <row r="52">
          <cell r="B52" t="str">
            <v>Main Panel</v>
          </cell>
        </row>
      </sheetData>
      <sheetData sheetId="1972">
        <row r="52">
          <cell r="B52" t="str">
            <v>Main Panel</v>
          </cell>
        </row>
      </sheetData>
      <sheetData sheetId="1973">
        <row r="52">
          <cell r="B52" t="str">
            <v>Main Panel</v>
          </cell>
        </row>
      </sheetData>
      <sheetData sheetId="1974">
        <row r="52">
          <cell r="B52" t="str">
            <v>Main Panel</v>
          </cell>
        </row>
      </sheetData>
      <sheetData sheetId="1975">
        <row r="52">
          <cell r="B52" t="str">
            <v>Main Panel</v>
          </cell>
        </row>
      </sheetData>
      <sheetData sheetId="1976">
        <row r="52">
          <cell r="B52" t="str">
            <v>Main Panel</v>
          </cell>
        </row>
      </sheetData>
      <sheetData sheetId="1977">
        <row r="52">
          <cell r="B52" t="str">
            <v>Main Panel</v>
          </cell>
        </row>
      </sheetData>
      <sheetData sheetId="1978">
        <row r="52">
          <cell r="B52" t="str">
            <v>Main Panel</v>
          </cell>
        </row>
      </sheetData>
      <sheetData sheetId="1979">
        <row r="52">
          <cell r="B52" t="str">
            <v>Main Panel</v>
          </cell>
        </row>
      </sheetData>
      <sheetData sheetId="1980">
        <row r="52">
          <cell r="B52" t="str">
            <v>Main Panel</v>
          </cell>
        </row>
      </sheetData>
      <sheetData sheetId="1981">
        <row r="52">
          <cell r="B52" t="str">
            <v>Main Panel</v>
          </cell>
        </row>
      </sheetData>
      <sheetData sheetId="1982">
        <row r="52">
          <cell r="B52" t="str">
            <v>Main Panel</v>
          </cell>
        </row>
      </sheetData>
      <sheetData sheetId="1983">
        <row r="52">
          <cell r="B52" t="str">
            <v>Main Panel</v>
          </cell>
        </row>
      </sheetData>
      <sheetData sheetId="1984">
        <row r="52">
          <cell r="B52" t="str">
            <v>Main Panel</v>
          </cell>
        </row>
      </sheetData>
      <sheetData sheetId="1985">
        <row r="52">
          <cell r="B52" t="str">
            <v>Main Panel</v>
          </cell>
        </row>
      </sheetData>
      <sheetData sheetId="1986">
        <row r="52">
          <cell r="B52" t="str">
            <v>Main Panel</v>
          </cell>
        </row>
      </sheetData>
      <sheetData sheetId="1987">
        <row r="52">
          <cell r="B52" t="str">
            <v>Main Panel</v>
          </cell>
        </row>
      </sheetData>
      <sheetData sheetId="1988">
        <row r="52">
          <cell r="B52" t="str">
            <v>Main Panel</v>
          </cell>
        </row>
      </sheetData>
      <sheetData sheetId="1989">
        <row r="52">
          <cell r="B52" t="str">
            <v>Main Panel</v>
          </cell>
        </row>
      </sheetData>
      <sheetData sheetId="1990">
        <row r="52">
          <cell r="B52" t="str">
            <v>Main Panel</v>
          </cell>
        </row>
      </sheetData>
      <sheetData sheetId="1991">
        <row r="52">
          <cell r="B52" t="str">
            <v>Main Panel</v>
          </cell>
        </row>
      </sheetData>
      <sheetData sheetId="1992">
        <row r="52">
          <cell r="B52" t="str">
            <v>Main Panel</v>
          </cell>
        </row>
      </sheetData>
      <sheetData sheetId="1993">
        <row r="52">
          <cell r="B52" t="str">
            <v>Main Panel</v>
          </cell>
        </row>
      </sheetData>
      <sheetData sheetId="1994">
        <row r="52">
          <cell r="B52" t="str">
            <v>Main Panel</v>
          </cell>
        </row>
      </sheetData>
      <sheetData sheetId="1995">
        <row r="52">
          <cell r="B52" t="str">
            <v>Main Panel</v>
          </cell>
        </row>
      </sheetData>
      <sheetData sheetId="1996">
        <row r="52">
          <cell r="B52" t="str">
            <v>Main Panel</v>
          </cell>
        </row>
      </sheetData>
      <sheetData sheetId="1997">
        <row r="52">
          <cell r="B52" t="str">
            <v>Main Panel</v>
          </cell>
        </row>
      </sheetData>
      <sheetData sheetId="1998">
        <row r="52">
          <cell r="B52" t="str">
            <v>Main Panel</v>
          </cell>
        </row>
      </sheetData>
      <sheetData sheetId="1999">
        <row r="52">
          <cell r="B52" t="str">
            <v>Main Panel</v>
          </cell>
        </row>
      </sheetData>
      <sheetData sheetId="2000">
        <row r="52">
          <cell r="B52" t="str">
            <v>Main Panel</v>
          </cell>
        </row>
      </sheetData>
      <sheetData sheetId="2001">
        <row r="52">
          <cell r="B52" t="str">
            <v>Main Panel</v>
          </cell>
        </row>
      </sheetData>
      <sheetData sheetId="2002">
        <row r="52">
          <cell r="B52" t="str">
            <v>Main Panel</v>
          </cell>
        </row>
      </sheetData>
      <sheetData sheetId="2003">
        <row r="52">
          <cell r="B52" t="str">
            <v>Main Panel</v>
          </cell>
        </row>
      </sheetData>
      <sheetData sheetId="2004">
        <row r="52">
          <cell r="B52" t="str">
            <v>Main Panel</v>
          </cell>
        </row>
      </sheetData>
      <sheetData sheetId="2005">
        <row r="52">
          <cell r="B52" t="str">
            <v>Main Panel</v>
          </cell>
        </row>
      </sheetData>
      <sheetData sheetId="2006">
        <row r="52">
          <cell r="B52" t="str">
            <v>Main Panel</v>
          </cell>
        </row>
      </sheetData>
      <sheetData sheetId="2007">
        <row r="52">
          <cell r="B52" t="str">
            <v>Main Panel</v>
          </cell>
        </row>
      </sheetData>
      <sheetData sheetId="2008">
        <row r="52">
          <cell r="B52" t="str">
            <v>Main Panel</v>
          </cell>
        </row>
      </sheetData>
      <sheetData sheetId="2009">
        <row r="52">
          <cell r="B52" t="str">
            <v>Main Panel</v>
          </cell>
        </row>
      </sheetData>
      <sheetData sheetId="2010">
        <row r="52">
          <cell r="B52" t="str">
            <v>Main Panel</v>
          </cell>
        </row>
      </sheetData>
      <sheetData sheetId="2011">
        <row r="52">
          <cell r="B52" t="str">
            <v>Main Panel</v>
          </cell>
        </row>
      </sheetData>
      <sheetData sheetId="2012">
        <row r="52">
          <cell r="B52" t="str">
            <v>Main Panel</v>
          </cell>
        </row>
      </sheetData>
      <sheetData sheetId="2013">
        <row r="52">
          <cell r="B52" t="str">
            <v>Main Panel</v>
          </cell>
        </row>
      </sheetData>
      <sheetData sheetId="2014">
        <row r="52">
          <cell r="B52" t="str">
            <v>Main Panel</v>
          </cell>
        </row>
      </sheetData>
      <sheetData sheetId="2015">
        <row r="52">
          <cell r="B52" t="str">
            <v>Main Panel</v>
          </cell>
        </row>
      </sheetData>
      <sheetData sheetId="2016">
        <row r="52">
          <cell r="B52" t="str">
            <v>Main Panel</v>
          </cell>
        </row>
      </sheetData>
      <sheetData sheetId="2017">
        <row r="52">
          <cell r="B52" t="str">
            <v>Main Panel</v>
          </cell>
        </row>
      </sheetData>
      <sheetData sheetId="2018">
        <row r="52">
          <cell r="B52" t="str">
            <v>Main Panel</v>
          </cell>
        </row>
      </sheetData>
      <sheetData sheetId="2019">
        <row r="52">
          <cell r="B52" t="str">
            <v>Main Panel</v>
          </cell>
        </row>
      </sheetData>
      <sheetData sheetId="2020">
        <row r="52">
          <cell r="B52" t="str">
            <v>Main Panel</v>
          </cell>
        </row>
      </sheetData>
      <sheetData sheetId="2021">
        <row r="52">
          <cell r="B52" t="str">
            <v>Main Panel</v>
          </cell>
        </row>
      </sheetData>
      <sheetData sheetId="2022">
        <row r="52">
          <cell r="B52" t="str">
            <v>Main Panel</v>
          </cell>
        </row>
      </sheetData>
      <sheetData sheetId="2023">
        <row r="52">
          <cell r="B52" t="str">
            <v>Main Panel</v>
          </cell>
        </row>
      </sheetData>
      <sheetData sheetId="2024">
        <row r="52">
          <cell r="B52" t="str">
            <v>Main Panel</v>
          </cell>
        </row>
      </sheetData>
      <sheetData sheetId="2025">
        <row r="52">
          <cell r="B52" t="str">
            <v>Main Panel</v>
          </cell>
        </row>
      </sheetData>
      <sheetData sheetId="2026">
        <row r="52">
          <cell r="B52" t="str">
            <v>Main Panel</v>
          </cell>
        </row>
      </sheetData>
      <sheetData sheetId="2027">
        <row r="52">
          <cell r="B52" t="str">
            <v>Main Panel</v>
          </cell>
        </row>
      </sheetData>
      <sheetData sheetId="2028">
        <row r="52">
          <cell r="B52" t="str">
            <v>Main Panel</v>
          </cell>
        </row>
      </sheetData>
      <sheetData sheetId="2029">
        <row r="52">
          <cell r="B52" t="str">
            <v>Main Panel</v>
          </cell>
        </row>
      </sheetData>
      <sheetData sheetId="2030">
        <row r="52">
          <cell r="B52" t="str">
            <v>Main Panel</v>
          </cell>
        </row>
      </sheetData>
      <sheetData sheetId="2031">
        <row r="52">
          <cell r="B52" t="str">
            <v>Main Panel</v>
          </cell>
        </row>
      </sheetData>
      <sheetData sheetId="2032">
        <row r="52">
          <cell r="B52" t="str">
            <v>Main Panel</v>
          </cell>
        </row>
      </sheetData>
      <sheetData sheetId="2033">
        <row r="52">
          <cell r="B52" t="str">
            <v>Main Panel</v>
          </cell>
        </row>
      </sheetData>
      <sheetData sheetId="2034">
        <row r="52">
          <cell r="B52" t="str">
            <v>Main Panel</v>
          </cell>
        </row>
      </sheetData>
      <sheetData sheetId="2035">
        <row r="52">
          <cell r="B52" t="str">
            <v>Main Panel</v>
          </cell>
        </row>
      </sheetData>
      <sheetData sheetId="2036">
        <row r="52">
          <cell r="B52" t="str">
            <v>Main Panel</v>
          </cell>
        </row>
      </sheetData>
      <sheetData sheetId="2037">
        <row r="52">
          <cell r="B52" t="str">
            <v>Main Panel</v>
          </cell>
        </row>
      </sheetData>
      <sheetData sheetId="2038">
        <row r="52">
          <cell r="B52" t="str">
            <v>Main Panel</v>
          </cell>
        </row>
      </sheetData>
      <sheetData sheetId="2039">
        <row r="52">
          <cell r="B52" t="str">
            <v>Main Panel</v>
          </cell>
        </row>
      </sheetData>
      <sheetData sheetId="2040">
        <row r="52">
          <cell r="B52" t="str">
            <v>Main Panel</v>
          </cell>
        </row>
      </sheetData>
      <sheetData sheetId="2041">
        <row r="52">
          <cell r="B52" t="str">
            <v>Main Panel</v>
          </cell>
        </row>
      </sheetData>
      <sheetData sheetId="2042">
        <row r="52">
          <cell r="B52" t="str">
            <v>Main Panel</v>
          </cell>
        </row>
      </sheetData>
      <sheetData sheetId="2043">
        <row r="52">
          <cell r="B52" t="str">
            <v>Main Panel</v>
          </cell>
        </row>
      </sheetData>
      <sheetData sheetId="2044">
        <row r="52">
          <cell r="B52" t="str">
            <v>Main Panel</v>
          </cell>
        </row>
      </sheetData>
      <sheetData sheetId="2045">
        <row r="52">
          <cell r="B52" t="str">
            <v>Main Panel</v>
          </cell>
        </row>
      </sheetData>
      <sheetData sheetId="2046">
        <row r="52">
          <cell r="B52" t="str">
            <v>Main Panel</v>
          </cell>
        </row>
      </sheetData>
      <sheetData sheetId="2047">
        <row r="52">
          <cell r="B52" t="str">
            <v>Main Panel</v>
          </cell>
        </row>
      </sheetData>
      <sheetData sheetId="2048">
        <row r="52">
          <cell r="B52" t="str">
            <v>Main Panel</v>
          </cell>
        </row>
      </sheetData>
      <sheetData sheetId="2049">
        <row r="52">
          <cell r="B52" t="str">
            <v>Main Panel</v>
          </cell>
        </row>
      </sheetData>
      <sheetData sheetId="2050">
        <row r="52">
          <cell r="B52" t="str">
            <v>Main Panel</v>
          </cell>
        </row>
      </sheetData>
      <sheetData sheetId="2051">
        <row r="52">
          <cell r="B52" t="str">
            <v>Main Panel</v>
          </cell>
        </row>
      </sheetData>
      <sheetData sheetId="2052">
        <row r="52">
          <cell r="B52" t="str">
            <v>Main Panel</v>
          </cell>
        </row>
      </sheetData>
      <sheetData sheetId="2053">
        <row r="52">
          <cell r="B52" t="str">
            <v>Main Panel</v>
          </cell>
        </row>
      </sheetData>
      <sheetData sheetId="2054">
        <row r="52">
          <cell r="B52" t="str">
            <v>Main Panel</v>
          </cell>
        </row>
      </sheetData>
      <sheetData sheetId="2055">
        <row r="52">
          <cell r="B52" t="str">
            <v>Main Panel</v>
          </cell>
        </row>
      </sheetData>
      <sheetData sheetId="2056">
        <row r="52">
          <cell r="B52" t="str">
            <v>Main Panel</v>
          </cell>
        </row>
      </sheetData>
      <sheetData sheetId="2057">
        <row r="52">
          <cell r="B52" t="str">
            <v>Main Panel</v>
          </cell>
        </row>
      </sheetData>
      <sheetData sheetId="2058">
        <row r="52">
          <cell r="B52" t="str">
            <v>Main Panel</v>
          </cell>
        </row>
      </sheetData>
      <sheetData sheetId="2059">
        <row r="52">
          <cell r="B52" t="str">
            <v>Main Panel</v>
          </cell>
        </row>
      </sheetData>
      <sheetData sheetId="2060">
        <row r="52">
          <cell r="B52" t="str">
            <v>Main Panel</v>
          </cell>
        </row>
      </sheetData>
      <sheetData sheetId="2061">
        <row r="52">
          <cell r="B52" t="str">
            <v>Main Panel</v>
          </cell>
        </row>
      </sheetData>
      <sheetData sheetId="2062">
        <row r="52">
          <cell r="B52" t="str">
            <v>Main Panel</v>
          </cell>
        </row>
      </sheetData>
      <sheetData sheetId="2063">
        <row r="52">
          <cell r="B52" t="str">
            <v>Main Panel</v>
          </cell>
        </row>
      </sheetData>
      <sheetData sheetId="2064">
        <row r="52">
          <cell r="B52" t="str">
            <v>Main Panel</v>
          </cell>
        </row>
      </sheetData>
      <sheetData sheetId="2065">
        <row r="52">
          <cell r="B52" t="str">
            <v>Main Panel</v>
          </cell>
        </row>
      </sheetData>
      <sheetData sheetId="2066">
        <row r="52">
          <cell r="B52" t="str">
            <v>Main Panel</v>
          </cell>
        </row>
      </sheetData>
      <sheetData sheetId="2067">
        <row r="52">
          <cell r="B52" t="str">
            <v>Main Panel</v>
          </cell>
        </row>
      </sheetData>
      <sheetData sheetId="2068">
        <row r="52">
          <cell r="B52" t="str">
            <v>Main Panel</v>
          </cell>
        </row>
      </sheetData>
      <sheetData sheetId="2069">
        <row r="52">
          <cell r="B52" t="str">
            <v>Main Panel</v>
          </cell>
        </row>
      </sheetData>
      <sheetData sheetId="2070">
        <row r="52">
          <cell r="B52" t="str">
            <v>Main Panel</v>
          </cell>
        </row>
      </sheetData>
      <sheetData sheetId="2071">
        <row r="52">
          <cell r="B52" t="str">
            <v>Main Panel</v>
          </cell>
        </row>
      </sheetData>
      <sheetData sheetId="2072">
        <row r="52">
          <cell r="B52" t="str">
            <v>Main Panel</v>
          </cell>
        </row>
      </sheetData>
      <sheetData sheetId="2073">
        <row r="52">
          <cell r="B52" t="str">
            <v>Main Panel</v>
          </cell>
        </row>
      </sheetData>
      <sheetData sheetId="2074">
        <row r="52">
          <cell r="B52" t="str">
            <v>Main Panel</v>
          </cell>
        </row>
      </sheetData>
      <sheetData sheetId="2075">
        <row r="52">
          <cell r="B52" t="str">
            <v>Main Panel</v>
          </cell>
        </row>
      </sheetData>
      <sheetData sheetId="2076">
        <row r="52">
          <cell r="B52" t="str">
            <v>Main Panel</v>
          </cell>
        </row>
      </sheetData>
      <sheetData sheetId="2077">
        <row r="52">
          <cell r="B52" t="str">
            <v>Main Panel</v>
          </cell>
        </row>
      </sheetData>
      <sheetData sheetId="2078">
        <row r="52">
          <cell r="B52" t="str">
            <v>Main Panel</v>
          </cell>
        </row>
      </sheetData>
      <sheetData sheetId="2079">
        <row r="52">
          <cell r="B52" t="str">
            <v>Main Panel</v>
          </cell>
        </row>
      </sheetData>
      <sheetData sheetId="2080">
        <row r="52">
          <cell r="B52" t="str">
            <v>Main Panel</v>
          </cell>
        </row>
      </sheetData>
      <sheetData sheetId="2081">
        <row r="52">
          <cell r="B52" t="str">
            <v>Main Panel</v>
          </cell>
        </row>
      </sheetData>
      <sheetData sheetId="2082">
        <row r="52">
          <cell r="B52" t="str">
            <v>Main Panel</v>
          </cell>
        </row>
      </sheetData>
      <sheetData sheetId="2083">
        <row r="52">
          <cell r="B52" t="str">
            <v>Main Panel</v>
          </cell>
        </row>
      </sheetData>
      <sheetData sheetId="2084">
        <row r="52">
          <cell r="B52" t="str">
            <v>Main Panel</v>
          </cell>
        </row>
      </sheetData>
      <sheetData sheetId="2085">
        <row r="52">
          <cell r="B52" t="str">
            <v>Main Panel</v>
          </cell>
        </row>
      </sheetData>
      <sheetData sheetId="2086">
        <row r="52">
          <cell r="B52" t="str">
            <v>Main Panel</v>
          </cell>
        </row>
      </sheetData>
      <sheetData sheetId="2087">
        <row r="52">
          <cell r="B52" t="str">
            <v>Main Panel</v>
          </cell>
        </row>
      </sheetData>
      <sheetData sheetId="2088">
        <row r="52">
          <cell r="B52" t="str">
            <v>Main Panel</v>
          </cell>
        </row>
      </sheetData>
      <sheetData sheetId="2089">
        <row r="52">
          <cell r="B52" t="str">
            <v>Main Panel</v>
          </cell>
        </row>
      </sheetData>
      <sheetData sheetId="2090">
        <row r="52">
          <cell r="B52" t="str">
            <v>Main Panel</v>
          </cell>
        </row>
      </sheetData>
      <sheetData sheetId="2091">
        <row r="52">
          <cell r="B52" t="str">
            <v>Main Panel</v>
          </cell>
        </row>
      </sheetData>
      <sheetData sheetId="2092">
        <row r="52">
          <cell r="B52" t="str">
            <v>Main Panel</v>
          </cell>
        </row>
      </sheetData>
      <sheetData sheetId="2093">
        <row r="52">
          <cell r="B52" t="str">
            <v>Main Panel</v>
          </cell>
        </row>
      </sheetData>
      <sheetData sheetId="2094">
        <row r="52">
          <cell r="B52" t="str">
            <v>Main Panel</v>
          </cell>
        </row>
      </sheetData>
      <sheetData sheetId="2095">
        <row r="52">
          <cell r="B52" t="str">
            <v>Main Panel</v>
          </cell>
        </row>
      </sheetData>
      <sheetData sheetId="2096">
        <row r="52">
          <cell r="B52" t="str">
            <v>Main Panel</v>
          </cell>
        </row>
      </sheetData>
      <sheetData sheetId="2097">
        <row r="52">
          <cell r="B52" t="str">
            <v>Main Panel</v>
          </cell>
        </row>
      </sheetData>
      <sheetData sheetId="2098">
        <row r="52">
          <cell r="B52" t="str">
            <v>Main Panel</v>
          </cell>
        </row>
      </sheetData>
      <sheetData sheetId="2099">
        <row r="52">
          <cell r="B52" t="str">
            <v>Main Panel</v>
          </cell>
        </row>
      </sheetData>
      <sheetData sheetId="2100">
        <row r="52">
          <cell r="B52" t="str">
            <v>Main Panel</v>
          </cell>
        </row>
      </sheetData>
      <sheetData sheetId="2101">
        <row r="52">
          <cell r="B52" t="str">
            <v>Main Panel</v>
          </cell>
        </row>
      </sheetData>
      <sheetData sheetId="2102">
        <row r="52">
          <cell r="B52" t="str">
            <v>Main Panel</v>
          </cell>
        </row>
      </sheetData>
      <sheetData sheetId="2103">
        <row r="52">
          <cell r="B52" t="str">
            <v>Main Panel</v>
          </cell>
        </row>
      </sheetData>
      <sheetData sheetId="2104">
        <row r="52">
          <cell r="B52" t="str">
            <v>Main Panel</v>
          </cell>
        </row>
      </sheetData>
      <sheetData sheetId="2105">
        <row r="52">
          <cell r="B52" t="str">
            <v>Main Panel</v>
          </cell>
        </row>
      </sheetData>
      <sheetData sheetId="2106">
        <row r="52">
          <cell r="B52" t="str">
            <v>Main Panel</v>
          </cell>
        </row>
      </sheetData>
      <sheetData sheetId="2107">
        <row r="52">
          <cell r="B52" t="str">
            <v>Main Panel</v>
          </cell>
        </row>
      </sheetData>
      <sheetData sheetId="2108">
        <row r="52">
          <cell r="B52" t="str">
            <v>Main Panel</v>
          </cell>
        </row>
      </sheetData>
      <sheetData sheetId="2109">
        <row r="52">
          <cell r="B52" t="str">
            <v>Main Panel</v>
          </cell>
        </row>
      </sheetData>
      <sheetData sheetId="2110">
        <row r="52">
          <cell r="B52" t="str">
            <v>Main Panel</v>
          </cell>
        </row>
      </sheetData>
      <sheetData sheetId="2111">
        <row r="52">
          <cell r="B52" t="str">
            <v>Main Panel</v>
          </cell>
        </row>
      </sheetData>
      <sheetData sheetId="2112">
        <row r="52">
          <cell r="B52" t="str">
            <v>Main Panel</v>
          </cell>
        </row>
      </sheetData>
      <sheetData sheetId="2113">
        <row r="52">
          <cell r="B52" t="str">
            <v>Main Panel</v>
          </cell>
        </row>
      </sheetData>
      <sheetData sheetId="2114">
        <row r="52">
          <cell r="B52" t="str">
            <v>Main Panel</v>
          </cell>
        </row>
      </sheetData>
      <sheetData sheetId="2115">
        <row r="52">
          <cell r="B52" t="str">
            <v>Main Panel</v>
          </cell>
        </row>
      </sheetData>
      <sheetData sheetId="2116">
        <row r="52">
          <cell r="B52" t="str">
            <v>Main Panel</v>
          </cell>
        </row>
      </sheetData>
      <sheetData sheetId="2117">
        <row r="52">
          <cell r="B52" t="str">
            <v>Main Panel</v>
          </cell>
        </row>
      </sheetData>
      <sheetData sheetId="2118">
        <row r="52">
          <cell r="B52" t="str">
            <v>Main Panel</v>
          </cell>
        </row>
      </sheetData>
      <sheetData sheetId="2119">
        <row r="52">
          <cell r="B52" t="str">
            <v>Main Panel</v>
          </cell>
        </row>
      </sheetData>
      <sheetData sheetId="2120">
        <row r="52">
          <cell r="B52" t="str">
            <v>Main Panel</v>
          </cell>
        </row>
      </sheetData>
      <sheetData sheetId="2121">
        <row r="52">
          <cell r="B52" t="str">
            <v>Main Panel</v>
          </cell>
        </row>
      </sheetData>
      <sheetData sheetId="2122"/>
      <sheetData sheetId="2123"/>
      <sheetData sheetId="2124"/>
      <sheetData sheetId="2125"/>
      <sheetData sheetId="2126" refreshError="1"/>
      <sheetData sheetId="2127" refreshError="1"/>
      <sheetData sheetId="2128" refreshError="1"/>
      <sheetData sheetId="2129" refreshError="1"/>
      <sheetData sheetId="2130" refreshError="1"/>
      <sheetData sheetId="2131" refreshError="1"/>
      <sheetData sheetId="2132" refreshError="1"/>
      <sheetData sheetId="2133" refreshError="1"/>
      <sheetData sheetId="2134" refreshError="1"/>
      <sheetData sheetId="2135" refreshError="1"/>
      <sheetData sheetId="2136" refreshError="1"/>
      <sheetData sheetId="2137" refreshError="1"/>
      <sheetData sheetId="2138" refreshError="1"/>
      <sheetData sheetId="2139" refreshError="1"/>
      <sheetData sheetId="2140" refreshError="1"/>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refreshError="1"/>
      <sheetData sheetId="2150" refreshError="1"/>
      <sheetData sheetId="2151" refreshError="1"/>
      <sheetData sheetId="2152" refreshError="1"/>
      <sheetData sheetId="2153" refreshError="1"/>
      <sheetData sheetId="2154" refreshError="1"/>
      <sheetData sheetId="2155" refreshError="1"/>
      <sheetData sheetId="2156" refreshError="1"/>
      <sheetData sheetId="2157" refreshError="1"/>
      <sheetData sheetId="2158" refreshError="1"/>
      <sheetData sheetId="2159" refreshError="1"/>
      <sheetData sheetId="2160" refreshError="1"/>
      <sheetData sheetId="2161" refreshError="1"/>
      <sheetData sheetId="2162" refreshError="1"/>
      <sheetData sheetId="2163" refreshError="1"/>
      <sheetData sheetId="2164" refreshError="1"/>
      <sheetData sheetId="2165">
        <row r="52">
          <cell r="B52" t="str">
            <v>Main Panel</v>
          </cell>
        </row>
      </sheetData>
      <sheetData sheetId="2166">
        <row r="52">
          <cell r="B52" t="str">
            <v>Main Panel</v>
          </cell>
        </row>
      </sheetData>
      <sheetData sheetId="2167">
        <row r="52">
          <cell r="B52" t="str">
            <v>Main Panel</v>
          </cell>
        </row>
      </sheetData>
      <sheetData sheetId="2168">
        <row r="52">
          <cell r="B52" t="str">
            <v>Main Panel</v>
          </cell>
        </row>
      </sheetData>
      <sheetData sheetId="2169">
        <row r="52">
          <cell r="B52" t="str">
            <v>Main Panel</v>
          </cell>
        </row>
      </sheetData>
      <sheetData sheetId="2170">
        <row r="52">
          <cell r="B52" t="str">
            <v>Main Panel</v>
          </cell>
        </row>
      </sheetData>
      <sheetData sheetId="2171">
        <row r="52">
          <cell r="B52" t="str">
            <v>Main Panel</v>
          </cell>
        </row>
      </sheetData>
      <sheetData sheetId="2172">
        <row r="52">
          <cell r="B52" t="str">
            <v>Main Panel</v>
          </cell>
        </row>
      </sheetData>
      <sheetData sheetId="2173">
        <row r="52">
          <cell r="B52" t="str">
            <v>Main Panel</v>
          </cell>
        </row>
      </sheetData>
      <sheetData sheetId="2174">
        <row r="52">
          <cell r="B52" t="str">
            <v>Main Panel</v>
          </cell>
        </row>
      </sheetData>
      <sheetData sheetId="2175">
        <row r="52">
          <cell r="B52" t="str">
            <v>Main Panel</v>
          </cell>
        </row>
      </sheetData>
      <sheetData sheetId="2176">
        <row r="52">
          <cell r="B52" t="str">
            <v>Main Panel</v>
          </cell>
        </row>
      </sheetData>
      <sheetData sheetId="2177">
        <row r="52">
          <cell r="B52" t="str">
            <v>Main Panel</v>
          </cell>
        </row>
      </sheetData>
      <sheetData sheetId="2178">
        <row r="52">
          <cell r="B52" t="str">
            <v>Main Panel</v>
          </cell>
        </row>
      </sheetData>
      <sheetData sheetId="2179">
        <row r="52">
          <cell r="B52" t="str">
            <v>Main Panel</v>
          </cell>
        </row>
      </sheetData>
      <sheetData sheetId="2180">
        <row r="52">
          <cell r="B52" t="str">
            <v>Main Panel</v>
          </cell>
        </row>
      </sheetData>
      <sheetData sheetId="2181">
        <row r="52">
          <cell r="B52" t="str">
            <v>Main Panel</v>
          </cell>
        </row>
      </sheetData>
      <sheetData sheetId="2182">
        <row r="52">
          <cell r="B52" t="str">
            <v>Main Panel</v>
          </cell>
        </row>
      </sheetData>
      <sheetData sheetId="2183">
        <row r="52">
          <cell r="B52" t="str">
            <v>Main Panel</v>
          </cell>
        </row>
      </sheetData>
      <sheetData sheetId="2184">
        <row r="52">
          <cell r="B52" t="str">
            <v>Main Panel</v>
          </cell>
        </row>
      </sheetData>
      <sheetData sheetId="2185">
        <row r="52">
          <cell r="B52" t="str">
            <v>Main Panel</v>
          </cell>
        </row>
      </sheetData>
      <sheetData sheetId="2186">
        <row r="52">
          <cell r="B52" t="str">
            <v>Main Panel</v>
          </cell>
        </row>
      </sheetData>
      <sheetData sheetId="2187">
        <row r="52">
          <cell r="B52" t="str">
            <v>Main Panel</v>
          </cell>
        </row>
      </sheetData>
      <sheetData sheetId="2188">
        <row r="52">
          <cell r="B52" t="str">
            <v>Main Panel</v>
          </cell>
        </row>
      </sheetData>
      <sheetData sheetId="2189">
        <row r="52">
          <cell r="B52" t="str">
            <v>Main Panel</v>
          </cell>
        </row>
      </sheetData>
      <sheetData sheetId="2190">
        <row r="52">
          <cell r="B52" t="str">
            <v>Main Panel</v>
          </cell>
        </row>
      </sheetData>
      <sheetData sheetId="2191">
        <row r="52">
          <cell r="B52" t="str">
            <v>Main Panel</v>
          </cell>
        </row>
      </sheetData>
      <sheetData sheetId="2192">
        <row r="52">
          <cell r="B52" t="str">
            <v>Main Panel</v>
          </cell>
        </row>
      </sheetData>
      <sheetData sheetId="2193">
        <row r="52">
          <cell r="B52" t="str">
            <v>Main Panel</v>
          </cell>
        </row>
      </sheetData>
      <sheetData sheetId="2194">
        <row r="52">
          <cell r="B52" t="str">
            <v>Main Panel</v>
          </cell>
        </row>
      </sheetData>
      <sheetData sheetId="2195">
        <row r="52">
          <cell r="B52" t="str">
            <v>Main Panel</v>
          </cell>
        </row>
      </sheetData>
      <sheetData sheetId="2196">
        <row r="52">
          <cell r="B52" t="str">
            <v>Main Panel</v>
          </cell>
        </row>
      </sheetData>
      <sheetData sheetId="2197">
        <row r="52">
          <cell r="B52" t="str">
            <v>Main Panel</v>
          </cell>
        </row>
      </sheetData>
      <sheetData sheetId="2198">
        <row r="52">
          <cell r="B52" t="str">
            <v>Main Panel</v>
          </cell>
        </row>
      </sheetData>
      <sheetData sheetId="2199">
        <row r="52">
          <cell r="B52" t="str">
            <v>Main Panel</v>
          </cell>
        </row>
      </sheetData>
      <sheetData sheetId="2200"/>
      <sheetData sheetId="2201"/>
      <sheetData sheetId="2202"/>
      <sheetData sheetId="2203"/>
      <sheetData sheetId="2204" refreshError="1"/>
      <sheetData sheetId="2205" refreshError="1"/>
      <sheetData sheetId="2206" refreshError="1"/>
      <sheetData sheetId="2207" refreshError="1"/>
      <sheetData sheetId="2208" refreshError="1"/>
      <sheetData sheetId="2209" refreshError="1"/>
      <sheetData sheetId="2210" refreshError="1"/>
      <sheetData sheetId="2211" refreshError="1"/>
      <sheetData sheetId="2212" refreshError="1"/>
      <sheetData sheetId="2213" refreshError="1"/>
      <sheetData sheetId="2214" refreshError="1"/>
      <sheetData sheetId="2215" refreshError="1"/>
      <sheetData sheetId="2216" refreshError="1"/>
      <sheetData sheetId="2217" refreshError="1"/>
      <sheetData sheetId="2218" refreshError="1"/>
      <sheetData sheetId="2219" refreshError="1"/>
      <sheetData sheetId="2220" refreshError="1"/>
      <sheetData sheetId="2221" refreshError="1"/>
      <sheetData sheetId="2222" refreshError="1"/>
      <sheetData sheetId="2223" refreshError="1"/>
      <sheetData sheetId="2224" refreshError="1"/>
      <sheetData sheetId="2225" refreshError="1"/>
      <sheetData sheetId="2226" refreshError="1"/>
      <sheetData sheetId="2227" refreshError="1"/>
      <sheetData sheetId="2228" refreshError="1"/>
      <sheetData sheetId="2229" refreshError="1"/>
      <sheetData sheetId="2230" refreshError="1"/>
      <sheetData sheetId="2231" refreshError="1"/>
      <sheetData sheetId="2232" refreshError="1"/>
      <sheetData sheetId="2233" refreshError="1"/>
      <sheetData sheetId="2234" refreshError="1"/>
      <sheetData sheetId="2235" refreshError="1"/>
      <sheetData sheetId="2236" refreshError="1"/>
      <sheetData sheetId="2237" refreshError="1"/>
      <sheetData sheetId="2238" refreshError="1"/>
      <sheetData sheetId="2239" refreshError="1"/>
      <sheetData sheetId="2240" refreshError="1"/>
      <sheetData sheetId="2241" refreshError="1"/>
      <sheetData sheetId="2242" refreshError="1"/>
      <sheetData sheetId="2243" refreshError="1"/>
      <sheetData sheetId="2244" refreshError="1"/>
      <sheetData sheetId="2245" refreshError="1"/>
      <sheetData sheetId="2246" refreshError="1"/>
      <sheetData sheetId="2247" refreshError="1"/>
      <sheetData sheetId="2248" refreshError="1"/>
      <sheetData sheetId="2249" refreshError="1"/>
      <sheetData sheetId="2250" refreshError="1"/>
      <sheetData sheetId="2251" refreshError="1"/>
      <sheetData sheetId="2252" refreshError="1"/>
      <sheetData sheetId="2253" refreshError="1"/>
      <sheetData sheetId="2254" refreshError="1"/>
      <sheetData sheetId="2255" refreshError="1"/>
      <sheetData sheetId="2256" refreshError="1"/>
      <sheetData sheetId="2257" refreshError="1"/>
      <sheetData sheetId="2258" refreshError="1"/>
      <sheetData sheetId="2259" refreshError="1"/>
      <sheetData sheetId="2260" refreshError="1"/>
      <sheetData sheetId="2261" refreshError="1"/>
      <sheetData sheetId="2262" refreshError="1"/>
      <sheetData sheetId="2263" refreshError="1"/>
      <sheetData sheetId="2264" refreshError="1"/>
      <sheetData sheetId="2265" refreshError="1"/>
      <sheetData sheetId="2266" refreshError="1"/>
      <sheetData sheetId="2267" refreshError="1"/>
      <sheetData sheetId="2268" refreshError="1"/>
      <sheetData sheetId="2269" refreshError="1"/>
      <sheetData sheetId="2270" refreshError="1"/>
      <sheetData sheetId="2271" refreshError="1"/>
      <sheetData sheetId="2272" refreshError="1"/>
      <sheetData sheetId="2273" refreshError="1"/>
      <sheetData sheetId="2274" refreshError="1"/>
      <sheetData sheetId="2275" refreshError="1"/>
      <sheetData sheetId="2276" refreshError="1"/>
      <sheetData sheetId="2277" refreshError="1"/>
      <sheetData sheetId="2278" refreshError="1"/>
      <sheetData sheetId="2279" refreshError="1"/>
      <sheetData sheetId="2280" refreshError="1"/>
      <sheetData sheetId="2281" refreshError="1"/>
      <sheetData sheetId="2282">
        <row r="52">
          <cell r="B52" t="str">
            <v>Main Panel</v>
          </cell>
        </row>
      </sheetData>
      <sheetData sheetId="2283">
        <row r="52">
          <cell r="B52" t="str">
            <v>Main Panel</v>
          </cell>
        </row>
      </sheetData>
      <sheetData sheetId="2284">
        <row r="52">
          <cell r="B52" t="str">
            <v>Main Panel</v>
          </cell>
        </row>
      </sheetData>
      <sheetData sheetId="2285">
        <row r="52">
          <cell r="B52" t="str">
            <v>Main Panel</v>
          </cell>
        </row>
      </sheetData>
      <sheetData sheetId="2286">
        <row r="52">
          <cell r="B52" t="str">
            <v>Main Panel</v>
          </cell>
        </row>
      </sheetData>
      <sheetData sheetId="2287">
        <row r="52">
          <cell r="B52" t="str">
            <v>Main Panel</v>
          </cell>
        </row>
      </sheetData>
      <sheetData sheetId="2288">
        <row r="52">
          <cell r="B52" t="str">
            <v>Main Panel</v>
          </cell>
        </row>
      </sheetData>
      <sheetData sheetId="2289">
        <row r="52">
          <cell r="B52" t="str">
            <v>Main Panel</v>
          </cell>
        </row>
      </sheetData>
      <sheetData sheetId="2290">
        <row r="52">
          <cell r="B52" t="str">
            <v>Main Panel</v>
          </cell>
        </row>
      </sheetData>
      <sheetData sheetId="2291">
        <row r="52">
          <cell r="B52" t="str">
            <v>Main Panel</v>
          </cell>
        </row>
      </sheetData>
      <sheetData sheetId="2292">
        <row r="52">
          <cell r="B52" t="str">
            <v>Main Panel</v>
          </cell>
        </row>
      </sheetData>
      <sheetData sheetId="2293">
        <row r="52">
          <cell r="B52" t="str">
            <v>Main Panel</v>
          </cell>
        </row>
      </sheetData>
      <sheetData sheetId="2294">
        <row r="52">
          <cell r="B52" t="str">
            <v>Main Panel</v>
          </cell>
        </row>
      </sheetData>
      <sheetData sheetId="2295">
        <row r="52">
          <cell r="B52" t="str">
            <v>Main Panel</v>
          </cell>
        </row>
      </sheetData>
      <sheetData sheetId="2296">
        <row r="52">
          <cell r="B52" t="str">
            <v>Main Panel</v>
          </cell>
        </row>
      </sheetData>
      <sheetData sheetId="2297">
        <row r="52">
          <cell r="B52" t="str">
            <v>Main Panel</v>
          </cell>
        </row>
      </sheetData>
      <sheetData sheetId="2298">
        <row r="52">
          <cell r="B52" t="str">
            <v>Main Panel</v>
          </cell>
        </row>
      </sheetData>
      <sheetData sheetId="2299">
        <row r="52">
          <cell r="B52" t="str">
            <v>Main Panel</v>
          </cell>
        </row>
      </sheetData>
      <sheetData sheetId="2300">
        <row r="52">
          <cell r="B52" t="str">
            <v>Main Panel</v>
          </cell>
        </row>
      </sheetData>
      <sheetData sheetId="2301">
        <row r="52">
          <cell r="B52" t="str">
            <v>Main Panel</v>
          </cell>
        </row>
      </sheetData>
      <sheetData sheetId="2302">
        <row r="52">
          <cell r="B52" t="str">
            <v>Main Panel</v>
          </cell>
        </row>
      </sheetData>
      <sheetData sheetId="2303">
        <row r="52">
          <cell r="B52" t="str">
            <v>Main Panel</v>
          </cell>
        </row>
      </sheetData>
      <sheetData sheetId="2304">
        <row r="52">
          <cell r="B52" t="str">
            <v>Main Panel</v>
          </cell>
        </row>
      </sheetData>
      <sheetData sheetId="2305">
        <row r="52">
          <cell r="B52" t="str">
            <v>Main Panel</v>
          </cell>
        </row>
      </sheetData>
      <sheetData sheetId="2306">
        <row r="52">
          <cell r="B52" t="str">
            <v>Main Panel</v>
          </cell>
        </row>
      </sheetData>
      <sheetData sheetId="2307">
        <row r="52">
          <cell r="B52" t="str">
            <v>Main Panel</v>
          </cell>
        </row>
      </sheetData>
      <sheetData sheetId="2308">
        <row r="52">
          <cell r="B52" t="str">
            <v>Main Panel</v>
          </cell>
        </row>
      </sheetData>
      <sheetData sheetId="2309">
        <row r="52">
          <cell r="B52" t="str">
            <v>Main Panel</v>
          </cell>
        </row>
      </sheetData>
      <sheetData sheetId="2310">
        <row r="52">
          <cell r="B52" t="str">
            <v>Main Panel</v>
          </cell>
        </row>
      </sheetData>
      <sheetData sheetId="2311">
        <row r="52">
          <cell r="B52" t="str">
            <v>Main Panel</v>
          </cell>
        </row>
      </sheetData>
      <sheetData sheetId="2312">
        <row r="52">
          <cell r="B52" t="str">
            <v>Main Panel</v>
          </cell>
        </row>
      </sheetData>
      <sheetData sheetId="2313">
        <row r="52">
          <cell r="B52" t="str">
            <v>Main Panel</v>
          </cell>
        </row>
      </sheetData>
      <sheetData sheetId="2314">
        <row r="52">
          <cell r="B52" t="str">
            <v>Main Panel</v>
          </cell>
        </row>
      </sheetData>
      <sheetData sheetId="2315">
        <row r="52">
          <cell r="B52" t="str">
            <v>Main Panel</v>
          </cell>
        </row>
      </sheetData>
      <sheetData sheetId="2316">
        <row r="52">
          <cell r="B52" t="str">
            <v>Main Panel</v>
          </cell>
        </row>
      </sheetData>
      <sheetData sheetId="2317">
        <row r="52">
          <cell r="B52" t="str">
            <v>Main Panel</v>
          </cell>
        </row>
      </sheetData>
      <sheetData sheetId="2318">
        <row r="52">
          <cell r="B52" t="str">
            <v>Main Panel</v>
          </cell>
        </row>
      </sheetData>
      <sheetData sheetId="2319">
        <row r="52">
          <cell r="B52" t="str">
            <v>Main Panel</v>
          </cell>
        </row>
      </sheetData>
      <sheetData sheetId="2320">
        <row r="52">
          <cell r="B52" t="str">
            <v>Main Panel</v>
          </cell>
        </row>
      </sheetData>
      <sheetData sheetId="2321">
        <row r="52">
          <cell r="B52" t="str">
            <v>Main Panel</v>
          </cell>
        </row>
      </sheetData>
      <sheetData sheetId="2322">
        <row r="52">
          <cell r="B52" t="str">
            <v>Main Panel</v>
          </cell>
        </row>
      </sheetData>
      <sheetData sheetId="2323">
        <row r="52">
          <cell r="B52" t="str">
            <v>Main Panel</v>
          </cell>
        </row>
      </sheetData>
      <sheetData sheetId="2324">
        <row r="52">
          <cell r="B52" t="str">
            <v>Main Panel</v>
          </cell>
        </row>
      </sheetData>
      <sheetData sheetId="2325">
        <row r="52">
          <cell r="B52" t="str">
            <v>Main Panel</v>
          </cell>
        </row>
      </sheetData>
      <sheetData sheetId="2326">
        <row r="52">
          <cell r="B52" t="str">
            <v>Main Panel</v>
          </cell>
        </row>
      </sheetData>
      <sheetData sheetId="2327">
        <row r="52">
          <cell r="B52" t="str">
            <v>Main Panel</v>
          </cell>
        </row>
      </sheetData>
      <sheetData sheetId="2328">
        <row r="52">
          <cell r="B52" t="str">
            <v>Main Panel</v>
          </cell>
        </row>
      </sheetData>
      <sheetData sheetId="2329">
        <row r="52">
          <cell r="B52" t="str">
            <v>Main Panel</v>
          </cell>
        </row>
      </sheetData>
      <sheetData sheetId="2330">
        <row r="52">
          <cell r="B52" t="str">
            <v>Main Panel</v>
          </cell>
        </row>
      </sheetData>
      <sheetData sheetId="2331">
        <row r="52">
          <cell r="B52" t="str">
            <v>Main Panel</v>
          </cell>
        </row>
      </sheetData>
      <sheetData sheetId="2332">
        <row r="52">
          <cell r="B52" t="str">
            <v>Main Panel</v>
          </cell>
        </row>
      </sheetData>
      <sheetData sheetId="2333">
        <row r="52">
          <cell r="B52" t="str">
            <v>Main Panel</v>
          </cell>
        </row>
      </sheetData>
      <sheetData sheetId="2334">
        <row r="52">
          <cell r="B52" t="str">
            <v>Main Panel</v>
          </cell>
        </row>
      </sheetData>
      <sheetData sheetId="2335">
        <row r="52">
          <cell r="B52" t="str">
            <v>Main Panel</v>
          </cell>
        </row>
      </sheetData>
      <sheetData sheetId="2336">
        <row r="52">
          <cell r="B52" t="str">
            <v>Main Panel</v>
          </cell>
        </row>
      </sheetData>
      <sheetData sheetId="2337">
        <row r="52">
          <cell r="B52" t="str">
            <v>Main Panel</v>
          </cell>
        </row>
      </sheetData>
      <sheetData sheetId="2338">
        <row r="52">
          <cell r="B52" t="str">
            <v>Main Panel</v>
          </cell>
        </row>
      </sheetData>
      <sheetData sheetId="2339">
        <row r="52">
          <cell r="B52" t="str">
            <v>Main Panel</v>
          </cell>
        </row>
      </sheetData>
      <sheetData sheetId="2340">
        <row r="52">
          <cell r="B52" t="str">
            <v>Main Panel</v>
          </cell>
        </row>
      </sheetData>
      <sheetData sheetId="2341">
        <row r="52">
          <cell r="B52" t="str">
            <v>Main Panel</v>
          </cell>
        </row>
      </sheetData>
      <sheetData sheetId="2342">
        <row r="52">
          <cell r="B52" t="str">
            <v>Main Panel</v>
          </cell>
        </row>
      </sheetData>
      <sheetData sheetId="2343">
        <row r="52">
          <cell r="B52" t="str">
            <v>Main Panel</v>
          </cell>
        </row>
      </sheetData>
      <sheetData sheetId="2344">
        <row r="52">
          <cell r="B52" t="str">
            <v>Main Panel</v>
          </cell>
        </row>
      </sheetData>
      <sheetData sheetId="2345">
        <row r="52">
          <cell r="B52" t="str">
            <v>Main Panel</v>
          </cell>
        </row>
      </sheetData>
      <sheetData sheetId="2346">
        <row r="52">
          <cell r="B52" t="str">
            <v>Main Panel</v>
          </cell>
        </row>
      </sheetData>
      <sheetData sheetId="2347">
        <row r="52">
          <cell r="B52" t="str">
            <v>Main Panel</v>
          </cell>
        </row>
      </sheetData>
      <sheetData sheetId="2348">
        <row r="52">
          <cell r="B52" t="str">
            <v>Main Panel</v>
          </cell>
        </row>
      </sheetData>
      <sheetData sheetId="2349">
        <row r="52">
          <cell r="B52" t="str">
            <v>Main Panel</v>
          </cell>
        </row>
      </sheetData>
      <sheetData sheetId="2350">
        <row r="52">
          <cell r="B52" t="str">
            <v>Main Panel</v>
          </cell>
        </row>
      </sheetData>
      <sheetData sheetId="2351">
        <row r="52">
          <cell r="B52" t="str">
            <v>Main Panel</v>
          </cell>
        </row>
      </sheetData>
      <sheetData sheetId="2352">
        <row r="52">
          <cell r="B52" t="str">
            <v>Main Panel</v>
          </cell>
        </row>
      </sheetData>
      <sheetData sheetId="2353">
        <row r="52">
          <cell r="B52" t="str">
            <v>Main Panel</v>
          </cell>
        </row>
      </sheetData>
      <sheetData sheetId="2354">
        <row r="52">
          <cell r="B52" t="str">
            <v>Main Panel</v>
          </cell>
        </row>
      </sheetData>
      <sheetData sheetId="2355">
        <row r="52">
          <cell r="B52" t="str">
            <v>Main Panel</v>
          </cell>
        </row>
      </sheetData>
      <sheetData sheetId="2356">
        <row r="52">
          <cell r="B52" t="str">
            <v>Main Panel</v>
          </cell>
        </row>
      </sheetData>
      <sheetData sheetId="2357">
        <row r="52">
          <cell r="B52" t="str">
            <v>Main Panel</v>
          </cell>
        </row>
      </sheetData>
      <sheetData sheetId="2358">
        <row r="52">
          <cell r="B52" t="str">
            <v>Main Panel</v>
          </cell>
        </row>
      </sheetData>
      <sheetData sheetId="2359">
        <row r="52">
          <cell r="B52" t="str">
            <v>Main Panel</v>
          </cell>
        </row>
      </sheetData>
      <sheetData sheetId="2360">
        <row r="52">
          <cell r="B52" t="str">
            <v>Main Panel</v>
          </cell>
        </row>
      </sheetData>
      <sheetData sheetId="2361">
        <row r="52">
          <cell r="B52" t="str">
            <v>Main Panel</v>
          </cell>
        </row>
      </sheetData>
      <sheetData sheetId="2362">
        <row r="52">
          <cell r="B52" t="str">
            <v>Main Panel</v>
          </cell>
        </row>
      </sheetData>
      <sheetData sheetId="2363">
        <row r="52">
          <cell r="B52" t="str">
            <v>Main Panel</v>
          </cell>
        </row>
      </sheetData>
      <sheetData sheetId="2364">
        <row r="52">
          <cell r="B52" t="str">
            <v>Main Panel</v>
          </cell>
        </row>
      </sheetData>
      <sheetData sheetId="2365">
        <row r="52">
          <cell r="B52" t="str">
            <v>Main Panel</v>
          </cell>
        </row>
      </sheetData>
      <sheetData sheetId="2366">
        <row r="52">
          <cell r="B52" t="str">
            <v>Main Panel</v>
          </cell>
        </row>
      </sheetData>
      <sheetData sheetId="2367">
        <row r="52">
          <cell r="B52" t="str">
            <v>Main Panel</v>
          </cell>
        </row>
      </sheetData>
      <sheetData sheetId="2368">
        <row r="52">
          <cell r="B52" t="str">
            <v>Main Panel</v>
          </cell>
        </row>
      </sheetData>
      <sheetData sheetId="2369">
        <row r="52">
          <cell r="B52" t="str">
            <v>Main Panel</v>
          </cell>
        </row>
      </sheetData>
      <sheetData sheetId="2370">
        <row r="52">
          <cell r="B52" t="str">
            <v>Main Panel</v>
          </cell>
        </row>
      </sheetData>
      <sheetData sheetId="2371">
        <row r="52">
          <cell r="B52" t="str">
            <v>Main Panel</v>
          </cell>
        </row>
      </sheetData>
      <sheetData sheetId="2372">
        <row r="52">
          <cell r="B52" t="str">
            <v>Main Panel</v>
          </cell>
        </row>
      </sheetData>
      <sheetData sheetId="2373">
        <row r="52">
          <cell r="B52" t="str">
            <v>Main Panel</v>
          </cell>
        </row>
      </sheetData>
      <sheetData sheetId="2374">
        <row r="52">
          <cell r="B52" t="str">
            <v>Main Panel</v>
          </cell>
        </row>
      </sheetData>
      <sheetData sheetId="2375">
        <row r="52">
          <cell r="B52" t="str">
            <v>Main Panel</v>
          </cell>
        </row>
      </sheetData>
      <sheetData sheetId="2376">
        <row r="52">
          <cell r="B52" t="str">
            <v>Main Panel</v>
          </cell>
        </row>
      </sheetData>
      <sheetData sheetId="2377">
        <row r="52">
          <cell r="B52" t="str">
            <v>Main Panel</v>
          </cell>
        </row>
      </sheetData>
      <sheetData sheetId="2378">
        <row r="52">
          <cell r="B52" t="str">
            <v>Main Panel</v>
          </cell>
        </row>
      </sheetData>
      <sheetData sheetId="2379">
        <row r="52">
          <cell r="B52" t="str">
            <v>Main Panel</v>
          </cell>
        </row>
      </sheetData>
      <sheetData sheetId="2380">
        <row r="52">
          <cell r="B52" t="str">
            <v>Main Panel</v>
          </cell>
        </row>
      </sheetData>
      <sheetData sheetId="2381">
        <row r="52">
          <cell r="B52" t="str">
            <v>Main Panel</v>
          </cell>
        </row>
      </sheetData>
      <sheetData sheetId="2382">
        <row r="52">
          <cell r="B52" t="str">
            <v>Main Panel</v>
          </cell>
        </row>
      </sheetData>
      <sheetData sheetId="2383">
        <row r="52">
          <cell r="B52" t="str">
            <v>Main Panel</v>
          </cell>
        </row>
      </sheetData>
      <sheetData sheetId="2384">
        <row r="52">
          <cell r="B52" t="str">
            <v>Main Panel</v>
          </cell>
        </row>
      </sheetData>
      <sheetData sheetId="2385">
        <row r="52">
          <cell r="B52" t="str">
            <v>Main Panel</v>
          </cell>
        </row>
      </sheetData>
      <sheetData sheetId="2386">
        <row r="52">
          <cell r="B52" t="str">
            <v>Main Panel</v>
          </cell>
        </row>
      </sheetData>
      <sheetData sheetId="2387">
        <row r="52">
          <cell r="B52" t="str">
            <v>Main Panel</v>
          </cell>
        </row>
      </sheetData>
      <sheetData sheetId="2388">
        <row r="52">
          <cell r="B52" t="str">
            <v>Main Panel</v>
          </cell>
        </row>
      </sheetData>
      <sheetData sheetId="2389">
        <row r="52">
          <cell r="B52" t="str">
            <v>Main Panel</v>
          </cell>
        </row>
      </sheetData>
      <sheetData sheetId="2390">
        <row r="52">
          <cell r="B52" t="str">
            <v>Main Panel</v>
          </cell>
        </row>
      </sheetData>
      <sheetData sheetId="2391">
        <row r="52">
          <cell r="B52" t="str">
            <v>Main Panel</v>
          </cell>
        </row>
      </sheetData>
      <sheetData sheetId="2392">
        <row r="52">
          <cell r="B52" t="str">
            <v>Main Panel</v>
          </cell>
        </row>
      </sheetData>
      <sheetData sheetId="2393">
        <row r="52">
          <cell r="B52" t="str">
            <v>Main Panel</v>
          </cell>
        </row>
      </sheetData>
      <sheetData sheetId="2394">
        <row r="52">
          <cell r="B52" t="str">
            <v>Main Panel</v>
          </cell>
        </row>
      </sheetData>
      <sheetData sheetId="2395">
        <row r="52">
          <cell r="B52" t="str">
            <v>Main Panel</v>
          </cell>
        </row>
      </sheetData>
      <sheetData sheetId="2396">
        <row r="52">
          <cell r="B52" t="str">
            <v>Main Panel</v>
          </cell>
        </row>
      </sheetData>
      <sheetData sheetId="2397">
        <row r="52">
          <cell r="B52" t="str">
            <v>Main Panel</v>
          </cell>
        </row>
      </sheetData>
      <sheetData sheetId="2398">
        <row r="52">
          <cell r="B52" t="str">
            <v>Main Panel</v>
          </cell>
        </row>
      </sheetData>
      <sheetData sheetId="2399">
        <row r="52">
          <cell r="B52" t="str">
            <v>Main Panel</v>
          </cell>
        </row>
      </sheetData>
      <sheetData sheetId="2400">
        <row r="52">
          <cell r="B52" t="str">
            <v>Main Panel</v>
          </cell>
        </row>
      </sheetData>
      <sheetData sheetId="2401">
        <row r="52">
          <cell r="B52" t="str">
            <v>Main Panel</v>
          </cell>
        </row>
      </sheetData>
      <sheetData sheetId="2402">
        <row r="52">
          <cell r="B52" t="str">
            <v>Main Panel</v>
          </cell>
        </row>
      </sheetData>
      <sheetData sheetId="2403">
        <row r="52">
          <cell r="B52" t="str">
            <v>Main Panel</v>
          </cell>
        </row>
      </sheetData>
      <sheetData sheetId="2404">
        <row r="52">
          <cell r="B52" t="str">
            <v>Main Panel</v>
          </cell>
        </row>
      </sheetData>
      <sheetData sheetId="2405">
        <row r="52">
          <cell r="B52" t="str">
            <v>Main Panel</v>
          </cell>
        </row>
      </sheetData>
      <sheetData sheetId="2406">
        <row r="52">
          <cell r="B52" t="str">
            <v>Main Panel</v>
          </cell>
        </row>
      </sheetData>
      <sheetData sheetId="2407">
        <row r="52">
          <cell r="B52" t="str">
            <v>Main Panel</v>
          </cell>
        </row>
      </sheetData>
      <sheetData sheetId="2408">
        <row r="52">
          <cell r="B52" t="str">
            <v>Main Panel</v>
          </cell>
        </row>
      </sheetData>
      <sheetData sheetId="2409">
        <row r="52">
          <cell r="B52" t="str">
            <v>Main Panel</v>
          </cell>
        </row>
      </sheetData>
      <sheetData sheetId="2410">
        <row r="52">
          <cell r="B52" t="str">
            <v>Main Panel</v>
          </cell>
        </row>
      </sheetData>
      <sheetData sheetId="2411">
        <row r="52">
          <cell r="B52" t="str">
            <v>Main Panel</v>
          </cell>
        </row>
      </sheetData>
      <sheetData sheetId="2412">
        <row r="52">
          <cell r="B52" t="str">
            <v>Main Panel</v>
          </cell>
        </row>
      </sheetData>
      <sheetData sheetId="2413">
        <row r="52">
          <cell r="B52" t="str">
            <v>Main Panel</v>
          </cell>
        </row>
      </sheetData>
      <sheetData sheetId="2414">
        <row r="52">
          <cell r="B52" t="str">
            <v>Main Panel</v>
          </cell>
        </row>
      </sheetData>
      <sheetData sheetId="2415">
        <row r="52">
          <cell r="B52" t="str">
            <v>Main Panel</v>
          </cell>
        </row>
      </sheetData>
      <sheetData sheetId="2416">
        <row r="52">
          <cell r="B52" t="str">
            <v>Main Panel</v>
          </cell>
        </row>
      </sheetData>
      <sheetData sheetId="2417">
        <row r="52">
          <cell r="B52" t="str">
            <v>Main Panel</v>
          </cell>
        </row>
      </sheetData>
      <sheetData sheetId="2418">
        <row r="52">
          <cell r="B52" t="str">
            <v>Main Panel</v>
          </cell>
        </row>
      </sheetData>
      <sheetData sheetId="2419">
        <row r="52">
          <cell r="B52" t="str">
            <v>Main Panel</v>
          </cell>
        </row>
      </sheetData>
      <sheetData sheetId="2420">
        <row r="52">
          <cell r="B52" t="str">
            <v>Main Panel</v>
          </cell>
        </row>
      </sheetData>
      <sheetData sheetId="2421">
        <row r="52">
          <cell r="B52" t="str">
            <v>Main Panel</v>
          </cell>
        </row>
      </sheetData>
      <sheetData sheetId="2422">
        <row r="52">
          <cell r="B52" t="str">
            <v>Main Panel</v>
          </cell>
        </row>
      </sheetData>
      <sheetData sheetId="2423">
        <row r="52">
          <cell r="B52" t="str">
            <v>Main Panel</v>
          </cell>
        </row>
      </sheetData>
      <sheetData sheetId="2424">
        <row r="52">
          <cell r="B52" t="str">
            <v>Main Panel</v>
          </cell>
        </row>
      </sheetData>
      <sheetData sheetId="2425">
        <row r="52">
          <cell r="B52" t="str">
            <v>Main Panel</v>
          </cell>
        </row>
      </sheetData>
      <sheetData sheetId="2426">
        <row r="52">
          <cell r="B52" t="str">
            <v>Main Panel</v>
          </cell>
        </row>
      </sheetData>
      <sheetData sheetId="2427">
        <row r="52">
          <cell r="B52" t="str">
            <v>Main Panel</v>
          </cell>
        </row>
      </sheetData>
      <sheetData sheetId="2428">
        <row r="52">
          <cell r="B52" t="str">
            <v>Main Panel</v>
          </cell>
        </row>
      </sheetData>
      <sheetData sheetId="2429">
        <row r="52">
          <cell r="B52" t="str">
            <v>Main Panel</v>
          </cell>
        </row>
      </sheetData>
      <sheetData sheetId="2430">
        <row r="52">
          <cell r="B52" t="str">
            <v>Main Panel</v>
          </cell>
        </row>
      </sheetData>
      <sheetData sheetId="2431">
        <row r="52">
          <cell r="B52" t="str">
            <v>Main Panel</v>
          </cell>
        </row>
      </sheetData>
      <sheetData sheetId="2432">
        <row r="52">
          <cell r="B52" t="str">
            <v>Main Panel</v>
          </cell>
        </row>
      </sheetData>
      <sheetData sheetId="2433">
        <row r="52">
          <cell r="B52" t="str">
            <v>Main Panel</v>
          </cell>
        </row>
      </sheetData>
      <sheetData sheetId="2434">
        <row r="52">
          <cell r="B52" t="str">
            <v>Main Panel</v>
          </cell>
        </row>
      </sheetData>
      <sheetData sheetId="2435">
        <row r="52">
          <cell r="B52" t="str">
            <v>Main Panel</v>
          </cell>
        </row>
      </sheetData>
      <sheetData sheetId="2436">
        <row r="52">
          <cell r="B52" t="str">
            <v>Main Panel</v>
          </cell>
        </row>
      </sheetData>
      <sheetData sheetId="2437">
        <row r="52">
          <cell r="B52" t="str">
            <v>Main Panel</v>
          </cell>
        </row>
      </sheetData>
      <sheetData sheetId="2438">
        <row r="52">
          <cell r="B52" t="str">
            <v>Main Panel</v>
          </cell>
        </row>
      </sheetData>
      <sheetData sheetId="2439">
        <row r="52">
          <cell r="B52" t="str">
            <v>Main Panel</v>
          </cell>
        </row>
      </sheetData>
      <sheetData sheetId="2440">
        <row r="52">
          <cell r="B52" t="str">
            <v>Main Panel</v>
          </cell>
        </row>
      </sheetData>
      <sheetData sheetId="2441">
        <row r="52">
          <cell r="B52" t="str">
            <v>Main Panel</v>
          </cell>
        </row>
      </sheetData>
      <sheetData sheetId="2442">
        <row r="52">
          <cell r="B52" t="str">
            <v>Main Panel</v>
          </cell>
        </row>
      </sheetData>
      <sheetData sheetId="2443">
        <row r="52">
          <cell r="B52" t="str">
            <v>Main Panel</v>
          </cell>
        </row>
      </sheetData>
      <sheetData sheetId="2444">
        <row r="52">
          <cell r="B52" t="str">
            <v>Main Panel</v>
          </cell>
        </row>
      </sheetData>
      <sheetData sheetId="2445">
        <row r="52">
          <cell r="B52" t="str">
            <v>Main Panel</v>
          </cell>
        </row>
      </sheetData>
      <sheetData sheetId="2446">
        <row r="52">
          <cell r="B52" t="str">
            <v>Main Panel</v>
          </cell>
        </row>
      </sheetData>
      <sheetData sheetId="2447">
        <row r="52">
          <cell r="B52" t="str">
            <v>Main Panel</v>
          </cell>
        </row>
      </sheetData>
      <sheetData sheetId="2448">
        <row r="52">
          <cell r="B52" t="str">
            <v>Main Panel</v>
          </cell>
        </row>
      </sheetData>
      <sheetData sheetId="2449">
        <row r="52">
          <cell r="B52" t="str">
            <v>Main Panel</v>
          </cell>
        </row>
      </sheetData>
      <sheetData sheetId="2450">
        <row r="52">
          <cell r="B52" t="str">
            <v>Main Panel</v>
          </cell>
        </row>
      </sheetData>
      <sheetData sheetId="2451">
        <row r="52">
          <cell r="B52" t="str">
            <v>Main Panel</v>
          </cell>
        </row>
      </sheetData>
      <sheetData sheetId="2452">
        <row r="52">
          <cell r="B52" t="str">
            <v>Main Panel</v>
          </cell>
        </row>
      </sheetData>
      <sheetData sheetId="2453">
        <row r="52">
          <cell r="B52" t="str">
            <v>Main Panel</v>
          </cell>
        </row>
      </sheetData>
      <sheetData sheetId="2454">
        <row r="52">
          <cell r="B52" t="str">
            <v>Main Panel</v>
          </cell>
        </row>
      </sheetData>
      <sheetData sheetId="2455">
        <row r="52">
          <cell r="B52" t="str">
            <v>Main Panel</v>
          </cell>
        </row>
      </sheetData>
      <sheetData sheetId="2456">
        <row r="52">
          <cell r="B52" t="str">
            <v>Main Panel</v>
          </cell>
        </row>
      </sheetData>
      <sheetData sheetId="2457">
        <row r="52">
          <cell r="B52" t="str">
            <v>Main Panel</v>
          </cell>
        </row>
      </sheetData>
      <sheetData sheetId="2458">
        <row r="52">
          <cell r="B52" t="str">
            <v>Main Panel</v>
          </cell>
        </row>
      </sheetData>
      <sheetData sheetId="2459">
        <row r="52">
          <cell r="B52" t="str">
            <v>Main Panel</v>
          </cell>
        </row>
      </sheetData>
      <sheetData sheetId="2460">
        <row r="52">
          <cell r="B52" t="str">
            <v>Main Panel</v>
          </cell>
        </row>
      </sheetData>
      <sheetData sheetId="2461">
        <row r="52">
          <cell r="B52" t="str">
            <v>Main Panel</v>
          </cell>
        </row>
      </sheetData>
      <sheetData sheetId="2462">
        <row r="52">
          <cell r="B52" t="str">
            <v>Main Panel</v>
          </cell>
        </row>
      </sheetData>
      <sheetData sheetId="2463">
        <row r="52">
          <cell r="B52" t="str">
            <v>Main Panel</v>
          </cell>
        </row>
      </sheetData>
      <sheetData sheetId="2464">
        <row r="52">
          <cell r="B52" t="str">
            <v>Main Panel</v>
          </cell>
        </row>
      </sheetData>
      <sheetData sheetId="2465">
        <row r="52">
          <cell r="B52" t="str">
            <v>Main Panel</v>
          </cell>
        </row>
      </sheetData>
      <sheetData sheetId="2466">
        <row r="52">
          <cell r="B52" t="str">
            <v>Main Panel</v>
          </cell>
        </row>
      </sheetData>
      <sheetData sheetId="2467">
        <row r="52">
          <cell r="B52" t="str">
            <v>Main Panel</v>
          </cell>
        </row>
      </sheetData>
      <sheetData sheetId="2468">
        <row r="52">
          <cell r="B52" t="str">
            <v>Main Panel</v>
          </cell>
        </row>
      </sheetData>
      <sheetData sheetId="2469">
        <row r="52">
          <cell r="B52" t="str">
            <v>Main Panel</v>
          </cell>
        </row>
      </sheetData>
      <sheetData sheetId="2470">
        <row r="52">
          <cell r="B52" t="str">
            <v>Main Panel</v>
          </cell>
        </row>
      </sheetData>
      <sheetData sheetId="2471">
        <row r="52">
          <cell r="B52" t="str">
            <v>Main Panel</v>
          </cell>
        </row>
      </sheetData>
      <sheetData sheetId="2472">
        <row r="52">
          <cell r="B52" t="str">
            <v>Main Panel</v>
          </cell>
        </row>
      </sheetData>
      <sheetData sheetId="2473">
        <row r="52">
          <cell r="B52" t="str">
            <v>Main Panel</v>
          </cell>
        </row>
      </sheetData>
      <sheetData sheetId="2474">
        <row r="52">
          <cell r="B52" t="str">
            <v>Main Panel</v>
          </cell>
        </row>
      </sheetData>
      <sheetData sheetId="2475">
        <row r="52">
          <cell r="B52" t="str">
            <v>Main Panel</v>
          </cell>
        </row>
      </sheetData>
      <sheetData sheetId="2476">
        <row r="52">
          <cell r="B52" t="str">
            <v>Main Panel</v>
          </cell>
        </row>
      </sheetData>
      <sheetData sheetId="2477" refreshError="1"/>
      <sheetData sheetId="2478" refreshError="1"/>
      <sheetData sheetId="2479" refreshError="1"/>
      <sheetData sheetId="2480" refreshError="1"/>
      <sheetData sheetId="2481" refreshError="1"/>
      <sheetData sheetId="2482" refreshError="1"/>
      <sheetData sheetId="2483" refreshError="1"/>
      <sheetData sheetId="2484" refreshError="1"/>
      <sheetData sheetId="2485" refreshError="1"/>
      <sheetData sheetId="2486" refreshError="1"/>
      <sheetData sheetId="2487" refreshError="1"/>
      <sheetData sheetId="2488" refreshError="1"/>
      <sheetData sheetId="2489" refreshError="1"/>
      <sheetData sheetId="2490" refreshError="1"/>
      <sheetData sheetId="2491" refreshError="1"/>
      <sheetData sheetId="2492" refreshError="1"/>
      <sheetData sheetId="2493" refreshError="1"/>
      <sheetData sheetId="2494" refreshError="1"/>
      <sheetData sheetId="2495" refreshError="1"/>
      <sheetData sheetId="2496" refreshError="1"/>
      <sheetData sheetId="2497" refreshError="1"/>
      <sheetData sheetId="2498" refreshError="1"/>
      <sheetData sheetId="2499" refreshError="1"/>
      <sheetData sheetId="2500" refreshError="1"/>
      <sheetData sheetId="2501" refreshError="1"/>
      <sheetData sheetId="2502" refreshError="1"/>
      <sheetData sheetId="2503" refreshError="1"/>
      <sheetData sheetId="2504" refreshError="1"/>
      <sheetData sheetId="2505" refreshError="1"/>
      <sheetData sheetId="2506" refreshError="1"/>
      <sheetData sheetId="2507" refreshError="1"/>
      <sheetData sheetId="2508" refreshError="1"/>
      <sheetData sheetId="2509" refreshError="1"/>
      <sheetData sheetId="2510" refreshError="1"/>
      <sheetData sheetId="2511" refreshError="1"/>
      <sheetData sheetId="2512" refreshError="1"/>
      <sheetData sheetId="2513" refreshError="1"/>
      <sheetData sheetId="2514" refreshError="1"/>
      <sheetData sheetId="2515" refreshError="1"/>
      <sheetData sheetId="2516">
        <row r="52">
          <cell r="B52" t="str">
            <v>Main Panel</v>
          </cell>
        </row>
      </sheetData>
      <sheetData sheetId="2517">
        <row r="52">
          <cell r="B52" t="str">
            <v>Main Panel</v>
          </cell>
        </row>
      </sheetData>
      <sheetData sheetId="2518">
        <row r="52">
          <cell r="B52" t="str">
            <v>Main Panel</v>
          </cell>
        </row>
      </sheetData>
      <sheetData sheetId="2519">
        <row r="52">
          <cell r="B52" t="str">
            <v>Main Panel</v>
          </cell>
        </row>
      </sheetData>
      <sheetData sheetId="2520">
        <row r="52">
          <cell r="B52" t="str">
            <v>Main Panel</v>
          </cell>
        </row>
      </sheetData>
      <sheetData sheetId="2521">
        <row r="52">
          <cell r="B52" t="str">
            <v>Main Panel</v>
          </cell>
        </row>
      </sheetData>
      <sheetData sheetId="2522">
        <row r="52">
          <cell r="B52" t="str">
            <v>Main Panel</v>
          </cell>
        </row>
      </sheetData>
      <sheetData sheetId="2523">
        <row r="52">
          <cell r="B52" t="str">
            <v>Main Panel</v>
          </cell>
        </row>
      </sheetData>
      <sheetData sheetId="2524">
        <row r="52">
          <cell r="B52" t="str">
            <v>Main Panel</v>
          </cell>
        </row>
      </sheetData>
      <sheetData sheetId="2525">
        <row r="52">
          <cell r="B52" t="str">
            <v>Main Panel</v>
          </cell>
        </row>
      </sheetData>
      <sheetData sheetId="2526">
        <row r="52">
          <cell r="B52" t="str">
            <v>Main Panel</v>
          </cell>
        </row>
      </sheetData>
      <sheetData sheetId="2527">
        <row r="52">
          <cell r="B52" t="str">
            <v>Main Panel</v>
          </cell>
        </row>
      </sheetData>
      <sheetData sheetId="2528">
        <row r="52">
          <cell r="B52" t="str">
            <v>Main Panel</v>
          </cell>
        </row>
      </sheetData>
      <sheetData sheetId="2529">
        <row r="52">
          <cell r="B52" t="str">
            <v>Main Panel</v>
          </cell>
        </row>
      </sheetData>
      <sheetData sheetId="2530">
        <row r="52">
          <cell r="B52" t="str">
            <v>Main Panel</v>
          </cell>
        </row>
      </sheetData>
      <sheetData sheetId="2531">
        <row r="52">
          <cell r="B52" t="str">
            <v>Main Panel</v>
          </cell>
        </row>
      </sheetData>
      <sheetData sheetId="2532">
        <row r="52">
          <cell r="B52" t="str">
            <v>Main Panel</v>
          </cell>
        </row>
      </sheetData>
      <sheetData sheetId="2533">
        <row r="52">
          <cell r="B52" t="str">
            <v>Main Panel</v>
          </cell>
        </row>
      </sheetData>
      <sheetData sheetId="2534">
        <row r="52">
          <cell r="B52" t="str">
            <v>Main Panel</v>
          </cell>
        </row>
      </sheetData>
      <sheetData sheetId="2535">
        <row r="52">
          <cell r="B52" t="str">
            <v>Main Panel</v>
          </cell>
        </row>
      </sheetData>
      <sheetData sheetId="2536">
        <row r="52">
          <cell r="B52" t="str">
            <v>Main Panel</v>
          </cell>
        </row>
      </sheetData>
      <sheetData sheetId="2537">
        <row r="52">
          <cell r="B52" t="str">
            <v>Main Panel</v>
          </cell>
        </row>
      </sheetData>
      <sheetData sheetId="2538">
        <row r="52">
          <cell r="B52" t="str">
            <v>Main Panel</v>
          </cell>
        </row>
      </sheetData>
      <sheetData sheetId="2539">
        <row r="52">
          <cell r="B52" t="str">
            <v>Main Panel</v>
          </cell>
        </row>
      </sheetData>
      <sheetData sheetId="2540">
        <row r="52">
          <cell r="B52" t="str">
            <v>Main Panel</v>
          </cell>
        </row>
      </sheetData>
      <sheetData sheetId="2541">
        <row r="52">
          <cell r="B52" t="str">
            <v>Main Panel</v>
          </cell>
        </row>
      </sheetData>
      <sheetData sheetId="2542">
        <row r="52">
          <cell r="B52" t="str">
            <v>Main Panel</v>
          </cell>
        </row>
      </sheetData>
      <sheetData sheetId="2543">
        <row r="52">
          <cell r="B52" t="str">
            <v>Main Panel</v>
          </cell>
        </row>
      </sheetData>
      <sheetData sheetId="2544">
        <row r="52">
          <cell r="B52" t="str">
            <v>Main Panel</v>
          </cell>
        </row>
      </sheetData>
      <sheetData sheetId="2545">
        <row r="52">
          <cell r="B52" t="str">
            <v>Main Panel</v>
          </cell>
        </row>
      </sheetData>
      <sheetData sheetId="2546">
        <row r="52">
          <cell r="B52" t="str">
            <v>Main Panel</v>
          </cell>
        </row>
      </sheetData>
      <sheetData sheetId="2547">
        <row r="52">
          <cell r="B52" t="str">
            <v>Main Panel</v>
          </cell>
        </row>
      </sheetData>
      <sheetData sheetId="2548">
        <row r="52">
          <cell r="B52" t="str">
            <v>Main Panel</v>
          </cell>
        </row>
      </sheetData>
      <sheetData sheetId="2549">
        <row r="52">
          <cell r="B52" t="str">
            <v>Main Panel</v>
          </cell>
        </row>
      </sheetData>
      <sheetData sheetId="2550">
        <row r="52">
          <cell r="B52" t="str">
            <v>Main Panel</v>
          </cell>
        </row>
      </sheetData>
      <sheetData sheetId="2551">
        <row r="52">
          <cell r="B52" t="str">
            <v>Main Panel</v>
          </cell>
        </row>
      </sheetData>
      <sheetData sheetId="2552">
        <row r="52">
          <cell r="B52" t="str">
            <v>Main Panel</v>
          </cell>
        </row>
      </sheetData>
      <sheetData sheetId="2553">
        <row r="52">
          <cell r="B52" t="str">
            <v>Main Panel</v>
          </cell>
        </row>
      </sheetData>
      <sheetData sheetId="2554">
        <row r="52">
          <cell r="B52" t="str">
            <v>Main Panel</v>
          </cell>
        </row>
      </sheetData>
      <sheetData sheetId="2555">
        <row r="52">
          <cell r="B52" t="str">
            <v>Main Panel</v>
          </cell>
        </row>
      </sheetData>
      <sheetData sheetId="2556">
        <row r="52">
          <cell r="B52" t="str">
            <v>Main Panel</v>
          </cell>
        </row>
      </sheetData>
      <sheetData sheetId="2557">
        <row r="52">
          <cell r="B52" t="str">
            <v>Main Panel</v>
          </cell>
        </row>
      </sheetData>
      <sheetData sheetId="2558">
        <row r="52">
          <cell r="B52" t="str">
            <v>Main Panel</v>
          </cell>
        </row>
      </sheetData>
      <sheetData sheetId="2559">
        <row r="52">
          <cell r="B52" t="str">
            <v>Main Panel</v>
          </cell>
        </row>
      </sheetData>
      <sheetData sheetId="2560">
        <row r="52">
          <cell r="B52" t="str">
            <v>Main Panel</v>
          </cell>
        </row>
      </sheetData>
      <sheetData sheetId="2561">
        <row r="52">
          <cell r="B52" t="str">
            <v>Main Panel</v>
          </cell>
        </row>
      </sheetData>
      <sheetData sheetId="2562">
        <row r="52">
          <cell r="B52" t="str">
            <v>Main Panel</v>
          </cell>
        </row>
      </sheetData>
      <sheetData sheetId="2563">
        <row r="52">
          <cell r="B52" t="str">
            <v>Main Panel</v>
          </cell>
        </row>
      </sheetData>
      <sheetData sheetId="2564">
        <row r="52">
          <cell r="B52" t="str">
            <v>Main Panel</v>
          </cell>
        </row>
      </sheetData>
      <sheetData sheetId="2565">
        <row r="52">
          <cell r="B52" t="str">
            <v>Main Panel</v>
          </cell>
        </row>
      </sheetData>
      <sheetData sheetId="2566">
        <row r="52">
          <cell r="B52" t="str">
            <v>Main Panel</v>
          </cell>
        </row>
      </sheetData>
      <sheetData sheetId="2567">
        <row r="52">
          <cell r="B52" t="str">
            <v>Main Panel</v>
          </cell>
        </row>
      </sheetData>
      <sheetData sheetId="2568">
        <row r="52">
          <cell r="B52" t="str">
            <v>Main Panel</v>
          </cell>
        </row>
      </sheetData>
      <sheetData sheetId="2569">
        <row r="52">
          <cell r="B52" t="str">
            <v>Main Panel</v>
          </cell>
        </row>
      </sheetData>
      <sheetData sheetId="2570">
        <row r="52">
          <cell r="B52" t="str">
            <v>Main Panel</v>
          </cell>
        </row>
      </sheetData>
      <sheetData sheetId="2571">
        <row r="52">
          <cell r="B52" t="str">
            <v>Main Panel</v>
          </cell>
        </row>
      </sheetData>
      <sheetData sheetId="2572">
        <row r="52">
          <cell r="B52" t="str">
            <v>Main Panel</v>
          </cell>
        </row>
      </sheetData>
      <sheetData sheetId="2573">
        <row r="52">
          <cell r="B52" t="str">
            <v>Main Panel</v>
          </cell>
        </row>
      </sheetData>
      <sheetData sheetId="2574">
        <row r="52">
          <cell r="B52" t="str">
            <v>Main Panel</v>
          </cell>
        </row>
      </sheetData>
      <sheetData sheetId="2575">
        <row r="52">
          <cell r="B52" t="str">
            <v>Main Panel</v>
          </cell>
        </row>
      </sheetData>
      <sheetData sheetId="2576">
        <row r="52">
          <cell r="B52" t="str">
            <v>Main Panel</v>
          </cell>
        </row>
      </sheetData>
      <sheetData sheetId="2577">
        <row r="52">
          <cell r="B52" t="str">
            <v>Main Panel</v>
          </cell>
        </row>
      </sheetData>
      <sheetData sheetId="2578">
        <row r="52">
          <cell r="B52" t="str">
            <v>Main Panel</v>
          </cell>
        </row>
      </sheetData>
      <sheetData sheetId="2579">
        <row r="52">
          <cell r="B52" t="str">
            <v>Main Panel</v>
          </cell>
        </row>
      </sheetData>
      <sheetData sheetId="2580">
        <row r="52">
          <cell r="B52" t="str">
            <v>Main Panel</v>
          </cell>
        </row>
      </sheetData>
      <sheetData sheetId="2581">
        <row r="52">
          <cell r="B52" t="str">
            <v>Main Panel</v>
          </cell>
        </row>
      </sheetData>
      <sheetData sheetId="2582">
        <row r="52">
          <cell r="B52" t="str">
            <v>Main Panel</v>
          </cell>
        </row>
      </sheetData>
      <sheetData sheetId="2583">
        <row r="52">
          <cell r="B52" t="str">
            <v>Main Panel</v>
          </cell>
        </row>
      </sheetData>
      <sheetData sheetId="2584">
        <row r="52">
          <cell r="B52" t="str">
            <v>Main Panel</v>
          </cell>
        </row>
      </sheetData>
      <sheetData sheetId="2585">
        <row r="52">
          <cell r="B52" t="str">
            <v>Main Panel</v>
          </cell>
        </row>
      </sheetData>
      <sheetData sheetId="2586">
        <row r="52">
          <cell r="B52" t="str">
            <v>Main Panel</v>
          </cell>
        </row>
      </sheetData>
      <sheetData sheetId="2587">
        <row r="52">
          <cell r="B52" t="str">
            <v>Main Panel</v>
          </cell>
        </row>
      </sheetData>
      <sheetData sheetId="2588">
        <row r="52">
          <cell r="B52" t="str">
            <v>Main Panel</v>
          </cell>
        </row>
      </sheetData>
      <sheetData sheetId="2589">
        <row r="52">
          <cell r="B52" t="str">
            <v>Main Panel</v>
          </cell>
        </row>
      </sheetData>
      <sheetData sheetId="2590">
        <row r="52">
          <cell r="B52" t="str">
            <v>Main Panel</v>
          </cell>
        </row>
      </sheetData>
      <sheetData sheetId="2591">
        <row r="52">
          <cell r="B52" t="str">
            <v>Main Panel</v>
          </cell>
        </row>
      </sheetData>
      <sheetData sheetId="2592">
        <row r="52">
          <cell r="B52" t="str">
            <v>Main Panel</v>
          </cell>
        </row>
      </sheetData>
      <sheetData sheetId="2593">
        <row r="52">
          <cell r="B52" t="str">
            <v>Main Panel</v>
          </cell>
        </row>
      </sheetData>
      <sheetData sheetId="2594">
        <row r="52">
          <cell r="B52" t="str">
            <v>Main Panel</v>
          </cell>
        </row>
      </sheetData>
      <sheetData sheetId="2595">
        <row r="52">
          <cell r="B52" t="str">
            <v>Main Panel</v>
          </cell>
        </row>
      </sheetData>
      <sheetData sheetId="2596">
        <row r="52">
          <cell r="B52" t="str">
            <v>Main Panel</v>
          </cell>
        </row>
      </sheetData>
      <sheetData sheetId="2597">
        <row r="52">
          <cell r="B52" t="str">
            <v>Main Panel</v>
          </cell>
        </row>
      </sheetData>
      <sheetData sheetId="2598">
        <row r="52">
          <cell r="B52" t="str">
            <v>Main Panel</v>
          </cell>
        </row>
      </sheetData>
      <sheetData sheetId="2599">
        <row r="52">
          <cell r="B52" t="str">
            <v>Main Panel</v>
          </cell>
        </row>
      </sheetData>
      <sheetData sheetId="2600">
        <row r="52">
          <cell r="B52" t="str">
            <v>Main Panel</v>
          </cell>
        </row>
      </sheetData>
      <sheetData sheetId="2601">
        <row r="52">
          <cell r="B52" t="str">
            <v>Main Panel</v>
          </cell>
        </row>
      </sheetData>
      <sheetData sheetId="2602">
        <row r="52">
          <cell r="B52" t="str">
            <v>Main Panel</v>
          </cell>
        </row>
      </sheetData>
      <sheetData sheetId="2603">
        <row r="52">
          <cell r="B52" t="str">
            <v>Main Panel</v>
          </cell>
        </row>
      </sheetData>
      <sheetData sheetId="2604">
        <row r="52">
          <cell r="B52" t="str">
            <v>Main Panel</v>
          </cell>
        </row>
      </sheetData>
      <sheetData sheetId="2605">
        <row r="52">
          <cell r="B52" t="str">
            <v>Main Panel</v>
          </cell>
        </row>
      </sheetData>
      <sheetData sheetId="2606">
        <row r="52">
          <cell r="B52" t="str">
            <v>Main Panel</v>
          </cell>
        </row>
      </sheetData>
      <sheetData sheetId="2607">
        <row r="52">
          <cell r="B52" t="str">
            <v>Main Panel</v>
          </cell>
        </row>
      </sheetData>
      <sheetData sheetId="2608">
        <row r="52">
          <cell r="B52" t="str">
            <v>Main Panel</v>
          </cell>
        </row>
      </sheetData>
      <sheetData sheetId="2609">
        <row r="52">
          <cell r="B52" t="str">
            <v>Main Panel</v>
          </cell>
        </row>
      </sheetData>
      <sheetData sheetId="2610">
        <row r="52">
          <cell r="B52" t="str">
            <v>Main Panel</v>
          </cell>
        </row>
      </sheetData>
      <sheetData sheetId="2611">
        <row r="52">
          <cell r="B52" t="str">
            <v>Main Panel</v>
          </cell>
        </row>
      </sheetData>
      <sheetData sheetId="2612">
        <row r="52">
          <cell r="B52" t="str">
            <v>Main Panel</v>
          </cell>
        </row>
      </sheetData>
      <sheetData sheetId="2613">
        <row r="52">
          <cell r="B52" t="str">
            <v>Main Panel</v>
          </cell>
        </row>
      </sheetData>
      <sheetData sheetId="2614">
        <row r="52">
          <cell r="B52" t="str">
            <v>Main Panel</v>
          </cell>
        </row>
      </sheetData>
      <sheetData sheetId="2615">
        <row r="52">
          <cell r="B52" t="str">
            <v>Main Panel</v>
          </cell>
        </row>
      </sheetData>
      <sheetData sheetId="2616">
        <row r="52">
          <cell r="B52" t="str">
            <v>Main Panel</v>
          </cell>
        </row>
      </sheetData>
      <sheetData sheetId="2617">
        <row r="52">
          <cell r="B52" t="str">
            <v>Main Panel</v>
          </cell>
        </row>
      </sheetData>
      <sheetData sheetId="2618">
        <row r="52">
          <cell r="B52" t="str">
            <v>Main Panel</v>
          </cell>
        </row>
      </sheetData>
      <sheetData sheetId="2619">
        <row r="52">
          <cell r="B52" t="str">
            <v>Main Panel</v>
          </cell>
        </row>
      </sheetData>
      <sheetData sheetId="2620">
        <row r="52">
          <cell r="B52" t="str">
            <v>Main Panel</v>
          </cell>
        </row>
      </sheetData>
      <sheetData sheetId="2621">
        <row r="52">
          <cell r="B52" t="str">
            <v>Main Panel</v>
          </cell>
        </row>
      </sheetData>
      <sheetData sheetId="2622">
        <row r="52">
          <cell r="B52" t="str">
            <v>Main Panel</v>
          </cell>
        </row>
      </sheetData>
      <sheetData sheetId="2623">
        <row r="52">
          <cell r="B52" t="str">
            <v>Main Panel</v>
          </cell>
        </row>
      </sheetData>
      <sheetData sheetId="2624">
        <row r="52">
          <cell r="B52" t="str">
            <v>Main Panel</v>
          </cell>
        </row>
      </sheetData>
      <sheetData sheetId="2625">
        <row r="52">
          <cell r="B52" t="str">
            <v>Main Panel</v>
          </cell>
        </row>
      </sheetData>
      <sheetData sheetId="2626">
        <row r="52">
          <cell r="B52" t="str">
            <v>Main Panel</v>
          </cell>
        </row>
      </sheetData>
      <sheetData sheetId="2627">
        <row r="52">
          <cell r="B52" t="str">
            <v>Main Panel</v>
          </cell>
        </row>
      </sheetData>
      <sheetData sheetId="2628">
        <row r="52">
          <cell r="B52" t="str">
            <v>Main Panel</v>
          </cell>
        </row>
      </sheetData>
      <sheetData sheetId="2629">
        <row r="52">
          <cell r="B52" t="str">
            <v>Main Panel</v>
          </cell>
        </row>
      </sheetData>
      <sheetData sheetId="2630">
        <row r="52">
          <cell r="B52" t="str">
            <v>Main Panel</v>
          </cell>
        </row>
      </sheetData>
      <sheetData sheetId="2631">
        <row r="52">
          <cell r="B52" t="str">
            <v>Main Panel</v>
          </cell>
        </row>
      </sheetData>
      <sheetData sheetId="2632">
        <row r="52">
          <cell r="B52" t="str">
            <v>Main Panel</v>
          </cell>
        </row>
      </sheetData>
      <sheetData sheetId="2633">
        <row r="52">
          <cell r="B52" t="str">
            <v>Main Panel</v>
          </cell>
        </row>
      </sheetData>
      <sheetData sheetId="2634">
        <row r="52">
          <cell r="B52" t="str">
            <v>Main Panel</v>
          </cell>
        </row>
      </sheetData>
      <sheetData sheetId="2635">
        <row r="52">
          <cell r="B52" t="str">
            <v>Main Panel</v>
          </cell>
        </row>
      </sheetData>
      <sheetData sheetId="2636">
        <row r="52">
          <cell r="B52" t="str">
            <v>Main Panel</v>
          </cell>
        </row>
      </sheetData>
      <sheetData sheetId="2637">
        <row r="52">
          <cell r="B52" t="str">
            <v>Main Panel</v>
          </cell>
        </row>
      </sheetData>
      <sheetData sheetId="2638">
        <row r="52">
          <cell r="B52" t="str">
            <v>Main Panel</v>
          </cell>
        </row>
      </sheetData>
      <sheetData sheetId="2639">
        <row r="52">
          <cell r="B52" t="str">
            <v>Main Panel</v>
          </cell>
        </row>
      </sheetData>
      <sheetData sheetId="2640">
        <row r="52">
          <cell r="B52" t="str">
            <v>Main Panel</v>
          </cell>
        </row>
      </sheetData>
      <sheetData sheetId="2641">
        <row r="52">
          <cell r="B52" t="str">
            <v>Main Panel</v>
          </cell>
        </row>
      </sheetData>
      <sheetData sheetId="2642">
        <row r="52">
          <cell r="B52" t="str">
            <v>Main Panel</v>
          </cell>
        </row>
      </sheetData>
      <sheetData sheetId="2643">
        <row r="52">
          <cell r="B52" t="str">
            <v>Main Panel</v>
          </cell>
        </row>
      </sheetData>
      <sheetData sheetId="2644">
        <row r="52">
          <cell r="B52" t="str">
            <v>Main Panel</v>
          </cell>
        </row>
      </sheetData>
      <sheetData sheetId="2645">
        <row r="52">
          <cell r="B52" t="str">
            <v>Main Panel</v>
          </cell>
        </row>
      </sheetData>
      <sheetData sheetId="2646">
        <row r="52">
          <cell r="B52" t="str">
            <v>Main Panel</v>
          </cell>
        </row>
      </sheetData>
      <sheetData sheetId="2647">
        <row r="52">
          <cell r="B52" t="str">
            <v>Main Panel</v>
          </cell>
        </row>
      </sheetData>
      <sheetData sheetId="2648">
        <row r="52">
          <cell r="B52" t="str">
            <v>Main Panel</v>
          </cell>
        </row>
      </sheetData>
      <sheetData sheetId="2649">
        <row r="52">
          <cell r="B52" t="str">
            <v>Main Panel</v>
          </cell>
        </row>
      </sheetData>
      <sheetData sheetId="2650">
        <row r="52">
          <cell r="B52" t="str">
            <v>Main Panel</v>
          </cell>
        </row>
      </sheetData>
      <sheetData sheetId="2651">
        <row r="52">
          <cell r="B52" t="str">
            <v>Main Panel</v>
          </cell>
        </row>
      </sheetData>
      <sheetData sheetId="2652">
        <row r="52">
          <cell r="B52" t="str">
            <v>Main Panel</v>
          </cell>
        </row>
      </sheetData>
      <sheetData sheetId="2653">
        <row r="52">
          <cell r="B52" t="str">
            <v>Main Panel</v>
          </cell>
        </row>
      </sheetData>
      <sheetData sheetId="2654">
        <row r="52">
          <cell r="B52" t="str">
            <v>Main Panel</v>
          </cell>
        </row>
      </sheetData>
      <sheetData sheetId="2655">
        <row r="52">
          <cell r="B52" t="str">
            <v>Main Panel</v>
          </cell>
        </row>
      </sheetData>
      <sheetData sheetId="2656">
        <row r="52">
          <cell r="B52" t="str">
            <v>Main Panel</v>
          </cell>
        </row>
      </sheetData>
      <sheetData sheetId="2657">
        <row r="52">
          <cell r="B52" t="str">
            <v>Main Panel</v>
          </cell>
        </row>
      </sheetData>
      <sheetData sheetId="2658">
        <row r="52">
          <cell r="B52" t="str">
            <v>Main Panel</v>
          </cell>
        </row>
      </sheetData>
      <sheetData sheetId="2659">
        <row r="52">
          <cell r="B52" t="str">
            <v>Main Panel</v>
          </cell>
        </row>
      </sheetData>
      <sheetData sheetId="2660">
        <row r="52">
          <cell r="B52" t="str">
            <v>Main Panel</v>
          </cell>
        </row>
      </sheetData>
      <sheetData sheetId="2661">
        <row r="52">
          <cell r="B52" t="str">
            <v>Main Panel</v>
          </cell>
        </row>
      </sheetData>
      <sheetData sheetId="2662">
        <row r="52">
          <cell r="B52" t="str">
            <v>Main Panel</v>
          </cell>
        </row>
      </sheetData>
      <sheetData sheetId="2663">
        <row r="52">
          <cell r="B52" t="str">
            <v>Main Panel</v>
          </cell>
        </row>
      </sheetData>
      <sheetData sheetId="2664">
        <row r="52">
          <cell r="B52" t="str">
            <v>Main Panel</v>
          </cell>
        </row>
      </sheetData>
      <sheetData sheetId="2665">
        <row r="52">
          <cell r="B52" t="str">
            <v>Main Panel</v>
          </cell>
        </row>
      </sheetData>
      <sheetData sheetId="2666">
        <row r="52">
          <cell r="B52" t="str">
            <v>Main Panel</v>
          </cell>
        </row>
      </sheetData>
      <sheetData sheetId="2667">
        <row r="52">
          <cell r="B52" t="str">
            <v>Main Panel</v>
          </cell>
        </row>
      </sheetData>
      <sheetData sheetId="2668">
        <row r="52">
          <cell r="B52" t="str">
            <v>Main Panel</v>
          </cell>
        </row>
      </sheetData>
      <sheetData sheetId="2669">
        <row r="52">
          <cell r="B52" t="str">
            <v>Main Panel</v>
          </cell>
        </row>
      </sheetData>
      <sheetData sheetId="2670">
        <row r="52">
          <cell r="B52" t="str">
            <v>Main Panel</v>
          </cell>
        </row>
      </sheetData>
      <sheetData sheetId="2671">
        <row r="52">
          <cell r="B52" t="str">
            <v>Main Panel</v>
          </cell>
        </row>
      </sheetData>
      <sheetData sheetId="2672">
        <row r="52">
          <cell r="B52" t="str">
            <v>Main Panel</v>
          </cell>
        </row>
      </sheetData>
      <sheetData sheetId="2673">
        <row r="52">
          <cell r="B52" t="str">
            <v>Main Panel</v>
          </cell>
        </row>
      </sheetData>
      <sheetData sheetId="2674">
        <row r="52">
          <cell r="B52" t="str">
            <v>Main Panel</v>
          </cell>
        </row>
      </sheetData>
      <sheetData sheetId="2675">
        <row r="52">
          <cell r="B52" t="str">
            <v>Main Panel</v>
          </cell>
        </row>
      </sheetData>
      <sheetData sheetId="2676">
        <row r="52">
          <cell r="B52" t="str">
            <v>Main Panel</v>
          </cell>
        </row>
      </sheetData>
      <sheetData sheetId="2677">
        <row r="52">
          <cell r="B52" t="str">
            <v>Main Panel</v>
          </cell>
        </row>
      </sheetData>
      <sheetData sheetId="2678">
        <row r="52">
          <cell r="B52" t="str">
            <v>Main Panel</v>
          </cell>
        </row>
      </sheetData>
      <sheetData sheetId="2679">
        <row r="52">
          <cell r="B52" t="str">
            <v>Main Panel</v>
          </cell>
        </row>
      </sheetData>
      <sheetData sheetId="2680">
        <row r="52">
          <cell r="B52" t="str">
            <v>Main Panel</v>
          </cell>
        </row>
      </sheetData>
      <sheetData sheetId="2681">
        <row r="52">
          <cell r="B52" t="str">
            <v>Main Panel</v>
          </cell>
        </row>
      </sheetData>
      <sheetData sheetId="2682">
        <row r="52">
          <cell r="B52" t="str">
            <v>Main Panel</v>
          </cell>
        </row>
      </sheetData>
      <sheetData sheetId="2683">
        <row r="52">
          <cell r="B52" t="str">
            <v>Main Panel</v>
          </cell>
        </row>
      </sheetData>
      <sheetData sheetId="2684">
        <row r="52">
          <cell r="B52" t="str">
            <v>Main Panel</v>
          </cell>
        </row>
      </sheetData>
      <sheetData sheetId="2685">
        <row r="52">
          <cell r="B52" t="str">
            <v>Main Panel</v>
          </cell>
        </row>
      </sheetData>
      <sheetData sheetId="2686">
        <row r="52">
          <cell r="B52" t="str">
            <v>Main Panel</v>
          </cell>
        </row>
      </sheetData>
      <sheetData sheetId="2687">
        <row r="52">
          <cell r="B52" t="str">
            <v>Main Panel</v>
          </cell>
        </row>
      </sheetData>
      <sheetData sheetId="2688">
        <row r="52">
          <cell r="B52" t="str">
            <v>Main Panel</v>
          </cell>
        </row>
      </sheetData>
      <sheetData sheetId="2689">
        <row r="52">
          <cell r="B52" t="str">
            <v>Main Panel</v>
          </cell>
        </row>
      </sheetData>
      <sheetData sheetId="2690">
        <row r="52">
          <cell r="B52" t="str">
            <v>Main Panel</v>
          </cell>
        </row>
      </sheetData>
      <sheetData sheetId="2691">
        <row r="52">
          <cell r="B52" t="str">
            <v>Main Panel</v>
          </cell>
        </row>
      </sheetData>
      <sheetData sheetId="2692">
        <row r="52">
          <cell r="B52" t="str">
            <v>Main Panel</v>
          </cell>
        </row>
      </sheetData>
      <sheetData sheetId="2693">
        <row r="52">
          <cell r="B52" t="str">
            <v>Main Panel</v>
          </cell>
        </row>
      </sheetData>
      <sheetData sheetId="2694">
        <row r="52">
          <cell r="B52" t="str">
            <v>Main Panel</v>
          </cell>
        </row>
      </sheetData>
      <sheetData sheetId="2695">
        <row r="52">
          <cell r="B52" t="str">
            <v>Main Panel</v>
          </cell>
        </row>
      </sheetData>
      <sheetData sheetId="2696">
        <row r="52">
          <cell r="B52" t="str">
            <v>Main Panel</v>
          </cell>
        </row>
      </sheetData>
      <sheetData sheetId="2697">
        <row r="52">
          <cell r="B52" t="str">
            <v>Main Panel</v>
          </cell>
        </row>
      </sheetData>
      <sheetData sheetId="2698">
        <row r="52">
          <cell r="B52" t="str">
            <v>Main Panel</v>
          </cell>
        </row>
      </sheetData>
      <sheetData sheetId="2699">
        <row r="52">
          <cell r="B52" t="str">
            <v>Main Panel</v>
          </cell>
        </row>
      </sheetData>
      <sheetData sheetId="2700">
        <row r="52">
          <cell r="B52" t="str">
            <v>Main Panel</v>
          </cell>
        </row>
      </sheetData>
      <sheetData sheetId="2701">
        <row r="52">
          <cell r="B52" t="str">
            <v>Main Panel</v>
          </cell>
        </row>
      </sheetData>
      <sheetData sheetId="2702">
        <row r="52">
          <cell r="B52" t="str">
            <v>Main Panel</v>
          </cell>
        </row>
      </sheetData>
      <sheetData sheetId="2703">
        <row r="52">
          <cell r="B52" t="str">
            <v>Main Panel</v>
          </cell>
        </row>
      </sheetData>
      <sheetData sheetId="2704">
        <row r="52">
          <cell r="B52" t="str">
            <v>Main Panel</v>
          </cell>
        </row>
      </sheetData>
      <sheetData sheetId="2705">
        <row r="52">
          <cell r="B52" t="str">
            <v>Main Panel</v>
          </cell>
        </row>
      </sheetData>
      <sheetData sheetId="2706">
        <row r="52">
          <cell r="B52" t="str">
            <v>Main Panel</v>
          </cell>
        </row>
      </sheetData>
      <sheetData sheetId="2707">
        <row r="52">
          <cell r="B52" t="str">
            <v>Main Panel</v>
          </cell>
        </row>
      </sheetData>
      <sheetData sheetId="2708">
        <row r="52">
          <cell r="B52" t="str">
            <v>Main Panel</v>
          </cell>
        </row>
      </sheetData>
      <sheetData sheetId="2709">
        <row r="52">
          <cell r="B52" t="str">
            <v>Main Panel</v>
          </cell>
        </row>
      </sheetData>
      <sheetData sheetId="2710">
        <row r="52">
          <cell r="B52" t="str">
            <v>Main Panel</v>
          </cell>
        </row>
      </sheetData>
      <sheetData sheetId="2711">
        <row r="52">
          <cell r="B52" t="str">
            <v>Main Panel</v>
          </cell>
        </row>
      </sheetData>
      <sheetData sheetId="2712">
        <row r="52">
          <cell r="B52" t="str">
            <v>Main Panel</v>
          </cell>
        </row>
      </sheetData>
      <sheetData sheetId="2713">
        <row r="52">
          <cell r="B52" t="str">
            <v>Main Panel</v>
          </cell>
        </row>
      </sheetData>
      <sheetData sheetId="2714">
        <row r="52">
          <cell r="B52" t="str">
            <v>Main Panel</v>
          </cell>
        </row>
      </sheetData>
      <sheetData sheetId="2715">
        <row r="52">
          <cell r="B52" t="str">
            <v>Main Panel</v>
          </cell>
        </row>
      </sheetData>
      <sheetData sheetId="2716">
        <row r="52">
          <cell r="B52" t="str">
            <v>Main Panel</v>
          </cell>
        </row>
      </sheetData>
      <sheetData sheetId="2717">
        <row r="52">
          <cell r="B52" t="str">
            <v>Main Panel</v>
          </cell>
        </row>
      </sheetData>
      <sheetData sheetId="2718">
        <row r="52">
          <cell r="B52" t="str">
            <v>Main Panel</v>
          </cell>
        </row>
      </sheetData>
      <sheetData sheetId="2719">
        <row r="52">
          <cell r="B52" t="str">
            <v>Main Panel</v>
          </cell>
        </row>
      </sheetData>
      <sheetData sheetId="2720">
        <row r="52">
          <cell r="B52" t="str">
            <v>Main Panel</v>
          </cell>
        </row>
      </sheetData>
      <sheetData sheetId="2721">
        <row r="52">
          <cell r="B52" t="str">
            <v>Main Panel</v>
          </cell>
        </row>
      </sheetData>
      <sheetData sheetId="2722">
        <row r="52">
          <cell r="B52" t="str">
            <v>Main Panel</v>
          </cell>
        </row>
      </sheetData>
      <sheetData sheetId="2723">
        <row r="52">
          <cell r="B52" t="str">
            <v>Main Panel</v>
          </cell>
        </row>
      </sheetData>
      <sheetData sheetId="2724">
        <row r="52">
          <cell r="B52" t="str">
            <v>Main Panel</v>
          </cell>
        </row>
      </sheetData>
      <sheetData sheetId="2725">
        <row r="52">
          <cell r="B52" t="str">
            <v>Main Panel</v>
          </cell>
        </row>
      </sheetData>
      <sheetData sheetId="2726">
        <row r="52">
          <cell r="B52" t="str">
            <v>Main Panel</v>
          </cell>
        </row>
      </sheetData>
      <sheetData sheetId="2727">
        <row r="52">
          <cell r="B52" t="str">
            <v>Main Panel</v>
          </cell>
        </row>
      </sheetData>
      <sheetData sheetId="2728">
        <row r="52">
          <cell r="B52" t="str">
            <v>Main Panel</v>
          </cell>
        </row>
      </sheetData>
      <sheetData sheetId="2729">
        <row r="52">
          <cell r="B52" t="str">
            <v>Main Panel</v>
          </cell>
        </row>
      </sheetData>
      <sheetData sheetId="2730">
        <row r="52">
          <cell r="B52" t="str">
            <v>Main Panel</v>
          </cell>
        </row>
      </sheetData>
      <sheetData sheetId="2731">
        <row r="52">
          <cell r="B52" t="str">
            <v>Main Panel</v>
          </cell>
        </row>
      </sheetData>
      <sheetData sheetId="2732">
        <row r="52">
          <cell r="B52" t="str">
            <v>Main Panel</v>
          </cell>
        </row>
      </sheetData>
      <sheetData sheetId="2733">
        <row r="52">
          <cell r="B52" t="str">
            <v>Main Panel</v>
          </cell>
        </row>
      </sheetData>
      <sheetData sheetId="2734">
        <row r="52">
          <cell r="B52" t="str">
            <v>Main Panel</v>
          </cell>
        </row>
      </sheetData>
      <sheetData sheetId="2735">
        <row r="52">
          <cell r="B52" t="str">
            <v>Main Panel</v>
          </cell>
        </row>
      </sheetData>
      <sheetData sheetId="2736">
        <row r="52">
          <cell r="B52" t="str">
            <v>Main Panel</v>
          </cell>
        </row>
      </sheetData>
      <sheetData sheetId="2737">
        <row r="52">
          <cell r="B52" t="str">
            <v>Main Panel</v>
          </cell>
        </row>
      </sheetData>
      <sheetData sheetId="2738">
        <row r="52">
          <cell r="B52" t="str">
            <v>Main Panel</v>
          </cell>
        </row>
      </sheetData>
      <sheetData sheetId="2739">
        <row r="52">
          <cell r="B52" t="str">
            <v>Main Panel</v>
          </cell>
        </row>
      </sheetData>
      <sheetData sheetId="2740">
        <row r="52">
          <cell r="B52" t="str">
            <v>Main Panel</v>
          </cell>
        </row>
      </sheetData>
      <sheetData sheetId="2741">
        <row r="52">
          <cell r="B52" t="str">
            <v>Main Panel</v>
          </cell>
        </row>
      </sheetData>
      <sheetData sheetId="2742">
        <row r="52">
          <cell r="B52" t="str">
            <v>Main Panel</v>
          </cell>
        </row>
      </sheetData>
      <sheetData sheetId="2743">
        <row r="52">
          <cell r="B52" t="str">
            <v>Main Panel</v>
          </cell>
        </row>
      </sheetData>
      <sheetData sheetId="2744">
        <row r="52">
          <cell r="B52" t="str">
            <v>Main Panel</v>
          </cell>
        </row>
      </sheetData>
      <sheetData sheetId="2745">
        <row r="52">
          <cell r="B52" t="str">
            <v>Main Panel</v>
          </cell>
        </row>
      </sheetData>
      <sheetData sheetId="2746">
        <row r="52">
          <cell r="B52" t="str">
            <v>Main Panel</v>
          </cell>
        </row>
      </sheetData>
      <sheetData sheetId="2747">
        <row r="52">
          <cell r="B52" t="str">
            <v>Main Panel</v>
          </cell>
        </row>
      </sheetData>
      <sheetData sheetId="2748">
        <row r="52">
          <cell r="B52" t="str">
            <v>Main Panel</v>
          </cell>
        </row>
      </sheetData>
      <sheetData sheetId="2749">
        <row r="52">
          <cell r="B52" t="str">
            <v>Main Panel</v>
          </cell>
        </row>
      </sheetData>
      <sheetData sheetId="2750">
        <row r="52">
          <cell r="B52" t="str">
            <v>Main Panel</v>
          </cell>
        </row>
      </sheetData>
      <sheetData sheetId="2751">
        <row r="52">
          <cell r="B52" t="str">
            <v>Main Panel</v>
          </cell>
        </row>
      </sheetData>
      <sheetData sheetId="2752">
        <row r="52">
          <cell r="B52" t="str">
            <v>Main Panel</v>
          </cell>
        </row>
      </sheetData>
      <sheetData sheetId="2753">
        <row r="52">
          <cell r="B52" t="str">
            <v>Main Panel</v>
          </cell>
        </row>
      </sheetData>
      <sheetData sheetId="2754">
        <row r="52">
          <cell r="B52" t="str">
            <v>Main Panel</v>
          </cell>
        </row>
      </sheetData>
      <sheetData sheetId="2755">
        <row r="52">
          <cell r="B52" t="str">
            <v>Main Panel</v>
          </cell>
        </row>
      </sheetData>
      <sheetData sheetId="2756">
        <row r="52">
          <cell r="B52" t="str">
            <v>Main Panel</v>
          </cell>
        </row>
      </sheetData>
      <sheetData sheetId="2757">
        <row r="52">
          <cell r="B52" t="str">
            <v>Main Panel</v>
          </cell>
        </row>
      </sheetData>
      <sheetData sheetId="2758">
        <row r="52">
          <cell r="B52" t="str">
            <v>Main Panel</v>
          </cell>
        </row>
      </sheetData>
      <sheetData sheetId="2759">
        <row r="52">
          <cell r="B52" t="str">
            <v>Main Panel</v>
          </cell>
        </row>
      </sheetData>
      <sheetData sheetId="2760">
        <row r="52">
          <cell r="B52" t="str">
            <v>Main Panel</v>
          </cell>
        </row>
      </sheetData>
      <sheetData sheetId="2761">
        <row r="52">
          <cell r="B52" t="str">
            <v>Main Panel</v>
          </cell>
        </row>
      </sheetData>
      <sheetData sheetId="2762">
        <row r="52">
          <cell r="B52" t="str">
            <v>Main Panel</v>
          </cell>
        </row>
      </sheetData>
      <sheetData sheetId="2763">
        <row r="52">
          <cell r="B52" t="str">
            <v>Main Panel</v>
          </cell>
        </row>
      </sheetData>
      <sheetData sheetId="2764">
        <row r="52">
          <cell r="B52" t="str">
            <v>Main Panel</v>
          </cell>
        </row>
      </sheetData>
      <sheetData sheetId="2765">
        <row r="52">
          <cell r="B52" t="str">
            <v>Main Panel</v>
          </cell>
        </row>
      </sheetData>
      <sheetData sheetId="2766">
        <row r="52">
          <cell r="B52" t="str">
            <v>Main Panel</v>
          </cell>
        </row>
      </sheetData>
      <sheetData sheetId="2767">
        <row r="52">
          <cell r="B52" t="str">
            <v>Main Panel</v>
          </cell>
        </row>
      </sheetData>
      <sheetData sheetId="2768">
        <row r="52">
          <cell r="B52" t="str">
            <v>Main Panel</v>
          </cell>
        </row>
      </sheetData>
      <sheetData sheetId="2769">
        <row r="52">
          <cell r="B52" t="str">
            <v>Main Panel</v>
          </cell>
        </row>
      </sheetData>
      <sheetData sheetId="2770">
        <row r="52">
          <cell r="B52" t="str">
            <v>Main Panel</v>
          </cell>
        </row>
      </sheetData>
      <sheetData sheetId="2771">
        <row r="52">
          <cell r="B52" t="str">
            <v>Main Panel</v>
          </cell>
        </row>
      </sheetData>
      <sheetData sheetId="2772">
        <row r="52">
          <cell r="B52" t="str">
            <v>Main Panel</v>
          </cell>
        </row>
      </sheetData>
      <sheetData sheetId="2773">
        <row r="52">
          <cell r="B52" t="str">
            <v>Main Panel</v>
          </cell>
        </row>
      </sheetData>
      <sheetData sheetId="2774">
        <row r="52">
          <cell r="B52" t="str">
            <v>Main Panel</v>
          </cell>
        </row>
      </sheetData>
      <sheetData sheetId="2775">
        <row r="52">
          <cell r="B52" t="str">
            <v>Main Panel</v>
          </cell>
        </row>
      </sheetData>
      <sheetData sheetId="2776">
        <row r="52">
          <cell r="B52" t="str">
            <v>Main Panel</v>
          </cell>
        </row>
      </sheetData>
      <sheetData sheetId="2777">
        <row r="52">
          <cell r="B52" t="str">
            <v>Main Panel</v>
          </cell>
        </row>
      </sheetData>
      <sheetData sheetId="2778">
        <row r="52">
          <cell r="B52" t="str">
            <v>Main Panel</v>
          </cell>
        </row>
      </sheetData>
      <sheetData sheetId="2779">
        <row r="52">
          <cell r="B52" t="str">
            <v>Main Panel</v>
          </cell>
        </row>
      </sheetData>
      <sheetData sheetId="2780">
        <row r="52">
          <cell r="B52" t="str">
            <v>Main Panel</v>
          </cell>
        </row>
      </sheetData>
      <sheetData sheetId="2781">
        <row r="52">
          <cell r="B52" t="str">
            <v>Main Panel</v>
          </cell>
        </row>
      </sheetData>
      <sheetData sheetId="2782">
        <row r="52">
          <cell r="B52" t="str">
            <v>Main Panel</v>
          </cell>
        </row>
      </sheetData>
      <sheetData sheetId="2783">
        <row r="52">
          <cell r="B52" t="str">
            <v>Main Panel</v>
          </cell>
        </row>
      </sheetData>
      <sheetData sheetId="2784">
        <row r="52">
          <cell r="B52" t="str">
            <v>Main Panel</v>
          </cell>
        </row>
      </sheetData>
      <sheetData sheetId="2785">
        <row r="52">
          <cell r="B52" t="str">
            <v>Main Panel</v>
          </cell>
        </row>
      </sheetData>
      <sheetData sheetId="2786">
        <row r="52">
          <cell r="B52" t="str">
            <v>Main Panel</v>
          </cell>
        </row>
      </sheetData>
      <sheetData sheetId="2787">
        <row r="52">
          <cell r="B52" t="str">
            <v>Main Panel</v>
          </cell>
        </row>
      </sheetData>
      <sheetData sheetId="2788">
        <row r="52">
          <cell r="B52" t="str">
            <v>Main Panel</v>
          </cell>
        </row>
      </sheetData>
      <sheetData sheetId="2789">
        <row r="52">
          <cell r="B52" t="str">
            <v>Main Panel</v>
          </cell>
        </row>
      </sheetData>
      <sheetData sheetId="2790">
        <row r="52">
          <cell r="B52" t="str">
            <v>Main Panel</v>
          </cell>
        </row>
      </sheetData>
      <sheetData sheetId="2791">
        <row r="52">
          <cell r="B52" t="str">
            <v>Main Panel</v>
          </cell>
        </row>
      </sheetData>
      <sheetData sheetId="2792">
        <row r="52">
          <cell r="B52" t="str">
            <v>Main Panel</v>
          </cell>
        </row>
      </sheetData>
      <sheetData sheetId="2793">
        <row r="52">
          <cell r="B52" t="str">
            <v>Main Panel</v>
          </cell>
        </row>
      </sheetData>
      <sheetData sheetId="2794">
        <row r="52">
          <cell r="B52" t="str">
            <v>Main Panel</v>
          </cell>
        </row>
      </sheetData>
      <sheetData sheetId="2795">
        <row r="52">
          <cell r="B52" t="str">
            <v>Main Panel</v>
          </cell>
        </row>
      </sheetData>
      <sheetData sheetId="2796">
        <row r="52">
          <cell r="B52" t="str">
            <v>Main Panel</v>
          </cell>
        </row>
      </sheetData>
      <sheetData sheetId="2797">
        <row r="52">
          <cell r="B52" t="str">
            <v>Main Panel</v>
          </cell>
        </row>
      </sheetData>
      <sheetData sheetId="2798">
        <row r="52">
          <cell r="B52" t="str">
            <v>Main Panel</v>
          </cell>
        </row>
      </sheetData>
      <sheetData sheetId="2799">
        <row r="52">
          <cell r="B52" t="str">
            <v>Main Panel</v>
          </cell>
        </row>
      </sheetData>
      <sheetData sheetId="2800">
        <row r="52">
          <cell r="B52" t="str">
            <v>Main Panel</v>
          </cell>
        </row>
      </sheetData>
      <sheetData sheetId="2801">
        <row r="52">
          <cell r="B52" t="str">
            <v>Main Panel</v>
          </cell>
        </row>
      </sheetData>
      <sheetData sheetId="2802">
        <row r="52">
          <cell r="B52" t="str">
            <v>Main Panel</v>
          </cell>
        </row>
      </sheetData>
      <sheetData sheetId="2803">
        <row r="52">
          <cell r="B52" t="str">
            <v>Main Panel</v>
          </cell>
        </row>
      </sheetData>
      <sheetData sheetId="2804">
        <row r="52">
          <cell r="B52" t="str">
            <v>Main Panel</v>
          </cell>
        </row>
      </sheetData>
      <sheetData sheetId="2805">
        <row r="52">
          <cell r="B52" t="str">
            <v>Main Panel</v>
          </cell>
        </row>
      </sheetData>
      <sheetData sheetId="2806">
        <row r="52">
          <cell r="B52" t="str">
            <v>Main Panel</v>
          </cell>
        </row>
      </sheetData>
      <sheetData sheetId="2807">
        <row r="52">
          <cell r="B52" t="str">
            <v>Main Panel</v>
          </cell>
        </row>
      </sheetData>
      <sheetData sheetId="2808">
        <row r="52">
          <cell r="B52" t="str">
            <v>Main Panel</v>
          </cell>
        </row>
      </sheetData>
      <sheetData sheetId="2809">
        <row r="52">
          <cell r="B52" t="str">
            <v>Main Panel</v>
          </cell>
        </row>
      </sheetData>
      <sheetData sheetId="2810">
        <row r="52">
          <cell r="B52" t="str">
            <v>Main Panel</v>
          </cell>
        </row>
      </sheetData>
      <sheetData sheetId="2811">
        <row r="52">
          <cell r="B52" t="str">
            <v>Main Panel</v>
          </cell>
        </row>
      </sheetData>
      <sheetData sheetId="2812">
        <row r="52">
          <cell r="B52" t="str">
            <v>Main Panel</v>
          </cell>
        </row>
      </sheetData>
      <sheetData sheetId="2813">
        <row r="52">
          <cell r="B52" t="str">
            <v>Main Panel</v>
          </cell>
        </row>
      </sheetData>
      <sheetData sheetId="2814">
        <row r="52">
          <cell r="B52" t="str">
            <v>Main Panel</v>
          </cell>
        </row>
      </sheetData>
      <sheetData sheetId="2815">
        <row r="52">
          <cell r="B52" t="str">
            <v>Main Panel</v>
          </cell>
        </row>
      </sheetData>
      <sheetData sheetId="2816">
        <row r="52">
          <cell r="B52" t="str">
            <v>Main Panel</v>
          </cell>
        </row>
      </sheetData>
      <sheetData sheetId="2817">
        <row r="52">
          <cell r="B52" t="str">
            <v>Main Panel</v>
          </cell>
        </row>
      </sheetData>
      <sheetData sheetId="2818">
        <row r="52">
          <cell r="B52" t="str">
            <v>Main Panel</v>
          </cell>
        </row>
      </sheetData>
      <sheetData sheetId="2819">
        <row r="52">
          <cell r="B52" t="str">
            <v>Main Panel</v>
          </cell>
        </row>
      </sheetData>
      <sheetData sheetId="2820">
        <row r="52">
          <cell r="B52" t="str">
            <v>Main Panel</v>
          </cell>
        </row>
      </sheetData>
      <sheetData sheetId="2821">
        <row r="52">
          <cell r="B52" t="str">
            <v>Main Panel</v>
          </cell>
        </row>
      </sheetData>
      <sheetData sheetId="2822">
        <row r="52">
          <cell r="B52" t="str">
            <v>Main Panel</v>
          </cell>
        </row>
      </sheetData>
      <sheetData sheetId="2823">
        <row r="52">
          <cell r="B52" t="str">
            <v>Main Panel</v>
          </cell>
        </row>
      </sheetData>
      <sheetData sheetId="2824">
        <row r="52">
          <cell r="B52" t="str">
            <v>Main Panel</v>
          </cell>
        </row>
      </sheetData>
      <sheetData sheetId="2825">
        <row r="52">
          <cell r="B52" t="str">
            <v>Main Panel</v>
          </cell>
        </row>
      </sheetData>
      <sheetData sheetId="2826">
        <row r="52">
          <cell r="B52" t="str">
            <v>Main Panel</v>
          </cell>
        </row>
      </sheetData>
      <sheetData sheetId="2827">
        <row r="52">
          <cell r="B52" t="str">
            <v>Main Panel</v>
          </cell>
        </row>
      </sheetData>
      <sheetData sheetId="2828">
        <row r="52">
          <cell r="B52" t="str">
            <v>Main Panel</v>
          </cell>
        </row>
      </sheetData>
      <sheetData sheetId="2829">
        <row r="52">
          <cell r="B52" t="str">
            <v>Main Panel</v>
          </cell>
        </row>
      </sheetData>
      <sheetData sheetId="2830">
        <row r="52">
          <cell r="B52" t="str">
            <v>Main Panel</v>
          </cell>
        </row>
      </sheetData>
      <sheetData sheetId="2831">
        <row r="52">
          <cell r="B52" t="str">
            <v>Main Panel</v>
          </cell>
        </row>
      </sheetData>
      <sheetData sheetId="2832">
        <row r="52">
          <cell r="B52" t="str">
            <v>Main Panel</v>
          </cell>
        </row>
      </sheetData>
      <sheetData sheetId="2833">
        <row r="52">
          <cell r="B52" t="str">
            <v>Main Panel</v>
          </cell>
        </row>
      </sheetData>
      <sheetData sheetId="2834">
        <row r="52">
          <cell r="B52" t="str">
            <v>Main Panel</v>
          </cell>
        </row>
      </sheetData>
      <sheetData sheetId="2835">
        <row r="52">
          <cell r="B52" t="str">
            <v>Main Panel</v>
          </cell>
        </row>
      </sheetData>
      <sheetData sheetId="2836">
        <row r="52">
          <cell r="B52" t="str">
            <v>Main Panel</v>
          </cell>
        </row>
      </sheetData>
      <sheetData sheetId="2837">
        <row r="52">
          <cell r="B52" t="str">
            <v>Main Panel</v>
          </cell>
        </row>
      </sheetData>
      <sheetData sheetId="2838">
        <row r="52">
          <cell r="B52" t="str">
            <v>Main Panel</v>
          </cell>
        </row>
      </sheetData>
      <sheetData sheetId="2839">
        <row r="52">
          <cell r="B52" t="str">
            <v>Main Panel</v>
          </cell>
        </row>
      </sheetData>
      <sheetData sheetId="2840">
        <row r="52">
          <cell r="B52" t="str">
            <v>Main Panel</v>
          </cell>
        </row>
      </sheetData>
      <sheetData sheetId="2841">
        <row r="52">
          <cell r="B52" t="str">
            <v>Main Panel</v>
          </cell>
        </row>
      </sheetData>
      <sheetData sheetId="2842">
        <row r="52">
          <cell r="B52" t="str">
            <v>Main Panel</v>
          </cell>
        </row>
      </sheetData>
      <sheetData sheetId="2843">
        <row r="52">
          <cell r="B52" t="str">
            <v>Main Panel</v>
          </cell>
        </row>
      </sheetData>
      <sheetData sheetId="2844">
        <row r="52">
          <cell r="B52" t="str">
            <v>Main Panel</v>
          </cell>
        </row>
      </sheetData>
      <sheetData sheetId="2845">
        <row r="52">
          <cell r="B52" t="str">
            <v>Main Panel</v>
          </cell>
        </row>
      </sheetData>
      <sheetData sheetId="2846">
        <row r="52">
          <cell r="B52" t="str">
            <v>Main Panel</v>
          </cell>
        </row>
      </sheetData>
      <sheetData sheetId="2847">
        <row r="52">
          <cell r="B52" t="str">
            <v>Main Panel</v>
          </cell>
        </row>
      </sheetData>
      <sheetData sheetId="2848">
        <row r="52">
          <cell r="B52" t="str">
            <v>Main Panel</v>
          </cell>
        </row>
      </sheetData>
      <sheetData sheetId="2849">
        <row r="52">
          <cell r="B52" t="str">
            <v>Main Panel</v>
          </cell>
        </row>
      </sheetData>
      <sheetData sheetId="2850">
        <row r="52">
          <cell r="B52" t="str">
            <v>Main Panel</v>
          </cell>
        </row>
      </sheetData>
      <sheetData sheetId="2851">
        <row r="52">
          <cell r="B52" t="str">
            <v>Main Panel</v>
          </cell>
        </row>
      </sheetData>
      <sheetData sheetId="2852">
        <row r="52">
          <cell r="B52" t="str">
            <v>Main Panel</v>
          </cell>
        </row>
      </sheetData>
      <sheetData sheetId="2853">
        <row r="52">
          <cell r="B52" t="str">
            <v>Main Panel</v>
          </cell>
        </row>
      </sheetData>
      <sheetData sheetId="2854">
        <row r="52">
          <cell r="B52" t="str">
            <v>Main Panel</v>
          </cell>
        </row>
      </sheetData>
      <sheetData sheetId="2855">
        <row r="52">
          <cell r="B52" t="str">
            <v>Main Panel</v>
          </cell>
        </row>
      </sheetData>
      <sheetData sheetId="2856">
        <row r="52">
          <cell r="B52" t="str">
            <v>Main Panel</v>
          </cell>
        </row>
      </sheetData>
      <sheetData sheetId="2857">
        <row r="52">
          <cell r="B52" t="str">
            <v>Main Panel</v>
          </cell>
        </row>
      </sheetData>
      <sheetData sheetId="2858">
        <row r="52">
          <cell r="B52" t="str">
            <v>Main Panel</v>
          </cell>
        </row>
      </sheetData>
      <sheetData sheetId="2859">
        <row r="52">
          <cell r="B52" t="str">
            <v>Main Panel</v>
          </cell>
        </row>
      </sheetData>
      <sheetData sheetId="2860">
        <row r="52">
          <cell r="B52" t="str">
            <v>Main Panel</v>
          </cell>
        </row>
      </sheetData>
      <sheetData sheetId="2861">
        <row r="52">
          <cell r="B52" t="str">
            <v>Main Panel</v>
          </cell>
        </row>
      </sheetData>
      <sheetData sheetId="2862">
        <row r="52">
          <cell r="B52" t="str">
            <v>Main Panel</v>
          </cell>
        </row>
      </sheetData>
      <sheetData sheetId="2863">
        <row r="52">
          <cell r="B52" t="str">
            <v>Main Panel</v>
          </cell>
        </row>
      </sheetData>
      <sheetData sheetId="2864">
        <row r="52">
          <cell r="B52" t="str">
            <v>Main Panel</v>
          </cell>
        </row>
      </sheetData>
      <sheetData sheetId="2865">
        <row r="52">
          <cell r="B52" t="str">
            <v>Main Panel</v>
          </cell>
        </row>
      </sheetData>
      <sheetData sheetId="2866">
        <row r="52">
          <cell r="B52" t="str">
            <v>Main Panel</v>
          </cell>
        </row>
      </sheetData>
      <sheetData sheetId="2867" refreshError="1"/>
      <sheetData sheetId="2868" refreshError="1"/>
      <sheetData sheetId="2869" refreshError="1"/>
      <sheetData sheetId="2870" refreshError="1"/>
      <sheetData sheetId="2871" refreshError="1"/>
      <sheetData sheetId="2872" refreshError="1"/>
      <sheetData sheetId="2873" refreshError="1"/>
      <sheetData sheetId="2874" refreshError="1"/>
      <sheetData sheetId="2875" refreshError="1"/>
      <sheetData sheetId="2876" refreshError="1"/>
      <sheetData sheetId="2877" refreshError="1"/>
      <sheetData sheetId="2878" refreshError="1"/>
      <sheetData sheetId="2879" refreshError="1"/>
      <sheetData sheetId="2880" refreshError="1"/>
      <sheetData sheetId="2881" refreshError="1"/>
      <sheetData sheetId="2882" refreshError="1"/>
      <sheetData sheetId="2883" refreshError="1"/>
      <sheetData sheetId="2884" refreshError="1"/>
      <sheetData sheetId="2885" refreshError="1"/>
      <sheetData sheetId="2886" refreshError="1"/>
      <sheetData sheetId="2887" refreshError="1"/>
      <sheetData sheetId="2888" refreshError="1"/>
      <sheetData sheetId="2889" refreshError="1"/>
      <sheetData sheetId="2890" refreshError="1"/>
      <sheetData sheetId="2891" refreshError="1"/>
      <sheetData sheetId="2892" refreshError="1"/>
      <sheetData sheetId="2893" refreshError="1"/>
      <sheetData sheetId="2894" refreshError="1"/>
      <sheetData sheetId="2895" refreshError="1"/>
      <sheetData sheetId="2896" refreshError="1"/>
      <sheetData sheetId="2897" refreshError="1"/>
      <sheetData sheetId="2898" refreshError="1"/>
      <sheetData sheetId="2899" refreshError="1"/>
      <sheetData sheetId="2900" refreshError="1"/>
      <sheetData sheetId="2901" refreshError="1"/>
      <sheetData sheetId="2902" refreshError="1"/>
      <sheetData sheetId="2903" refreshError="1"/>
      <sheetData sheetId="2904" refreshError="1"/>
      <sheetData sheetId="2905" refreshError="1"/>
      <sheetData sheetId="2906" refreshError="1"/>
      <sheetData sheetId="2907" refreshError="1"/>
      <sheetData sheetId="2908" refreshError="1"/>
      <sheetData sheetId="2909" refreshError="1"/>
      <sheetData sheetId="2910" refreshError="1"/>
      <sheetData sheetId="2911" refreshError="1"/>
      <sheetData sheetId="2912" refreshError="1"/>
      <sheetData sheetId="2913" refreshError="1"/>
      <sheetData sheetId="2914" refreshError="1"/>
      <sheetData sheetId="2915" refreshError="1"/>
      <sheetData sheetId="2916" refreshError="1"/>
      <sheetData sheetId="2917" refreshError="1"/>
      <sheetData sheetId="2918" refreshError="1"/>
      <sheetData sheetId="2919" refreshError="1"/>
      <sheetData sheetId="2920" refreshError="1"/>
      <sheetData sheetId="2921" refreshError="1"/>
      <sheetData sheetId="2922" refreshError="1"/>
      <sheetData sheetId="2923" refreshError="1"/>
      <sheetData sheetId="2924" refreshError="1"/>
      <sheetData sheetId="2925" refreshError="1"/>
      <sheetData sheetId="2926" refreshError="1"/>
      <sheetData sheetId="2927" refreshError="1"/>
      <sheetData sheetId="2928" refreshError="1"/>
      <sheetData sheetId="2929" refreshError="1"/>
      <sheetData sheetId="2930" refreshError="1"/>
      <sheetData sheetId="2931" refreshError="1"/>
      <sheetData sheetId="2932" refreshError="1"/>
      <sheetData sheetId="2933" refreshError="1"/>
      <sheetData sheetId="2934" refreshError="1"/>
      <sheetData sheetId="2935" refreshError="1"/>
      <sheetData sheetId="2936" refreshError="1"/>
      <sheetData sheetId="2937" refreshError="1"/>
      <sheetData sheetId="2938" refreshError="1"/>
      <sheetData sheetId="2939" refreshError="1"/>
      <sheetData sheetId="2940" refreshError="1"/>
      <sheetData sheetId="2941" refreshError="1"/>
      <sheetData sheetId="2942" refreshError="1"/>
      <sheetData sheetId="2943" refreshError="1"/>
      <sheetData sheetId="2944" refreshError="1"/>
      <sheetData sheetId="2945" refreshError="1"/>
      <sheetData sheetId="2946" refreshError="1"/>
      <sheetData sheetId="2947" refreshError="1"/>
      <sheetData sheetId="2948" refreshError="1"/>
      <sheetData sheetId="2949" refreshError="1"/>
      <sheetData sheetId="2950" refreshError="1"/>
      <sheetData sheetId="2951" refreshError="1"/>
      <sheetData sheetId="2952" refreshError="1"/>
      <sheetData sheetId="2953" refreshError="1"/>
      <sheetData sheetId="2954" refreshError="1"/>
      <sheetData sheetId="2955" refreshError="1"/>
      <sheetData sheetId="2956" refreshError="1"/>
      <sheetData sheetId="2957" refreshError="1"/>
      <sheetData sheetId="2958" refreshError="1"/>
      <sheetData sheetId="2959" refreshError="1"/>
      <sheetData sheetId="2960" refreshError="1"/>
      <sheetData sheetId="2961" refreshError="1"/>
      <sheetData sheetId="2962" refreshError="1"/>
      <sheetData sheetId="2963" refreshError="1"/>
      <sheetData sheetId="2964" refreshError="1"/>
      <sheetData sheetId="2965" refreshError="1"/>
      <sheetData sheetId="2966" refreshError="1"/>
      <sheetData sheetId="2967" refreshError="1"/>
      <sheetData sheetId="2968" refreshError="1"/>
      <sheetData sheetId="2969" refreshError="1"/>
      <sheetData sheetId="2970" refreshError="1"/>
      <sheetData sheetId="2971" refreshError="1"/>
      <sheetData sheetId="2972" refreshError="1"/>
      <sheetData sheetId="2973" refreshError="1"/>
      <sheetData sheetId="2974" refreshError="1"/>
      <sheetData sheetId="2975" refreshError="1"/>
      <sheetData sheetId="2976" refreshError="1"/>
      <sheetData sheetId="2977" refreshError="1"/>
      <sheetData sheetId="2978" refreshError="1"/>
      <sheetData sheetId="2979" refreshError="1"/>
      <sheetData sheetId="2980" refreshError="1"/>
      <sheetData sheetId="2981" refreshError="1"/>
      <sheetData sheetId="2982" refreshError="1"/>
      <sheetData sheetId="2983" refreshError="1"/>
      <sheetData sheetId="2984" refreshError="1"/>
      <sheetData sheetId="2985" refreshError="1"/>
      <sheetData sheetId="2986" refreshError="1"/>
      <sheetData sheetId="2987" refreshError="1"/>
      <sheetData sheetId="2988" refreshError="1"/>
      <sheetData sheetId="2989" refreshError="1"/>
      <sheetData sheetId="2990" refreshError="1"/>
      <sheetData sheetId="2991" refreshError="1"/>
      <sheetData sheetId="2992" refreshError="1"/>
      <sheetData sheetId="2993" refreshError="1"/>
      <sheetData sheetId="2994" refreshError="1"/>
      <sheetData sheetId="2995" refreshError="1"/>
      <sheetData sheetId="2996" refreshError="1"/>
      <sheetData sheetId="2997" refreshError="1"/>
      <sheetData sheetId="2998" refreshError="1"/>
      <sheetData sheetId="2999" refreshError="1"/>
      <sheetData sheetId="3000" refreshError="1"/>
      <sheetData sheetId="3001" refreshError="1"/>
      <sheetData sheetId="3002" refreshError="1"/>
      <sheetData sheetId="3003" refreshError="1"/>
      <sheetData sheetId="3004" refreshError="1"/>
      <sheetData sheetId="3005" refreshError="1"/>
      <sheetData sheetId="3006" refreshError="1"/>
      <sheetData sheetId="3007" refreshError="1"/>
      <sheetData sheetId="3008" refreshError="1"/>
      <sheetData sheetId="3009" refreshError="1"/>
      <sheetData sheetId="3010" refreshError="1"/>
      <sheetData sheetId="3011" refreshError="1"/>
      <sheetData sheetId="3012" refreshError="1"/>
      <sheetData sheetId="3013" refreshError="1"/>
      <sheetData sheetId="3014" refreshError="1"/>
      <sheetData sheetId="3015" refreshError="1"/>
      <sheetData sheetId="3016" refreshError="1"/>
      <sheetData sheetId="3017" refreshError="1"/>
      <sheetData sheetId="3018" refreshError="1"/>
      <sheetData sheetId="3019" refreshError="1"/>
      <sheetData sheetId="3020" refreshError="1"/>
      <sheetData sheetId="3021" refreshError="1"/>
      <sheetData sheetId="3022" refreshError="1"/>
      <sheetData sheetId="3023" refreshError="1"/>
      <sheetData sheetId="3024" refreshError="1"/>
      <sheetData sheetId="3025" refreshError="1"/>
      <sheetData sheetId="3026" refreshError="1"/>
      <sheetData sheetId="3027" refreshError="1"/>
      <sheetData sheetId="3028" refreshError="1"/>
      <sheetData sheetId="3029" refreshError="1"/>
      <sheetData sheetId="3030" refreshError="1"/>
      <sheetData sheetId="3031" refreshError="1"/>
      <sheetData sheetId="3032" refreshError="1"/>
      <sheetData sheetId="3033" refreshError="1"/>
      <sheetData sheetId="3034" refreshError="1"/>
      <sheetData sheetId="3035" refreshError="1"/>
      <sheetData sheetId="3036" refreshError="1"/>
      <sheetData sheetId="3037" refreshError="1"/>
      <sheetData sheetId="3038" refreshError="1"/>
      <sheetData sheetId="3039" refreshError="1"/>
      <sheetData sheetId="3040" refreshError="1"/>
      <sheetData sheetId="3041" refreshError="1"/>
      <sheetData sheetId="3042" refreshError="1"/>
      <sheetData sheetId="3043" refreshError="1"/>
      <sheetData sheetId="3044" refreshError="1"/>
      <sheetData sheetId="3045" refreshError="1"/>
      <sheetData sheetId="3046" refreshError="1"/>
      <sheetData sheetId="3047" refreshError="1"/>
      <sheetData sheetId="3048" refreshError="1"/>
      <sheetData sheetId="3049" refreshError="1"/>
      <sheetData sheetId="3050" refreshError="1"/>
      <sheetData sheetId="3051" refreshError="1"/>
      <sheetData sheetId="3052" refreshError="1"/>
      <sheetData sheetId="3053" refreshError="1"/>
      <sheetData sheetId="3054" refreshError="1"/>
      <sheetData sheetId="3055" refreshError="1"/>
      <sheetData sheetId="3056" refreshError="1"/>
      <sheetData sheetId="3057" refreshError="1"/>
      <sheetData sheetId="3058" refreshError="1"/>
      <sheetData sheetId="3059" refreshError="1"/>
      <sheetData sheetId="3060" refreshError="1"/>
      <sheetData sheetId="3061" refreshError="1"/>
      <sheetData sheetId="3062" refreshError="1"/>
      <sheetData sheetId="3063" refreshError="1"/>
      <sheetData sheetId="3064" refreshError="1"/>
      <sheetData sheetId="3065" refreshError="1"/>
      <sheetData sheetId="3066" refreshError="1"/>
      <sheetData sheetId="3067" refreshError="1"/>
      <sheetData sheetId="3068" refreshError="1"/>
      <sheetData sheetId="3069" refreshError="1"/>
      <sheetData sheetId="3070" refreshError="1"/>
      <sheetData sheetId="3071" refreshError="1"/>
      <sheetData sheetId="3072" refreshError="1"/>
      <sheetData sheetId="3073" refreshError="1"/>
      <sheetData sheetId="3074" refreshError="1"/>
      <sheetData sheetId="3075" refreshError="1"/>
      <sheetData sheetId="3076" refreshError="1"/>
      <sheetData sheetId="3077" refreshError="1"/>
      <sheetData sheetId="3078" refreshError="1"/>
      <sheetData sheetId="3079" refreshError="1"/>
      <sheetData sheetId="3080" refreshError="1"/>
      <sheetData sheetId="3081" refreshError="1"/>
      <sheetData sheetId="3082" refreshError="1"/>
      <sheetData sheetId="3083" refreshError="1"/>
      <sheetData sheetId="3084" refreshError="1"/>
      <sheetData sheetId="3085" refreshError="1"/>
      <sheetData sheetId="3086" refreshError="1"/>
      <sheetData sheetId="3087" refreshError="1"/>
      <sheetData sheetId="3088" refreshError="1"/>
      <sheetData sheetId="3089" refreshError="1"/>
      <sheetData sheetId="3090" refreshError="1"/>
      <sheetData sheetId="3091" refreshError="1"/>
      <sheetData sheetId="3092" refreshError="1"/>
      <sheetData sheetId="3093" refreshError="1"/>
      <sheetData sheetId="3094" refreshError="1"/>
      <sheetData sheetId="3095" refreshError="1"/>
      <sheetData sheetId="3096" refreshError="1"/>
      <sheetData sheetId="3097" refreshError="1"/>
      <sheetData sheetId="3098" refreshError="1"/>
      <sheetData sheetId="3099" refreshError="1"/>
      <sheetData sheetId="3100" refreshError="1"/>
      <sheetData sheetId="3101" refreshError="1"/>
      <sheetData sheetId="3102" refreshError="1"/>
      <sheetData sheetId="3103" refreshError="1"/>
      <sheetData sheetId="3104" refreshError="1"/>
      <sheetData sheetId="3105" refreshError="1"/>
      <sheetData sheetId="3106" refreshError="1"/>
      <sheetData sheetId="3107" refreshError="1"/>
      <sheetData sheetId="3108" refreshError="1"/>
      <sheetData sheetId="3109" refreshError="1"/>
      <sheetData sheetId="3110" refreshError="1"/>
      <sheetData sheetId="3111" refreshError="1"/>
      <sheetData sheetId="3112" refreshError="1"/>
      <sheetData sheetId="3113" refreshError="1"/>
      <sheetData sheetId="3114" refreshError="1"/>
      <sheetData sheetId="3115" refreshError="1"/>
      <sheetData sheetId="3116" refreshError="1"/>
      <sheetData sheetId="3117" refreshError="1"/>
      <sheetData sheetId="3118" refreshError="1"/>
      <sheetData sheetId="3119" refreshError="1"/>
      <sheetData sheetId="3120" refreshError="1"/>
      <sheetData sheetId="3121" refreshError="1"/>
      <sheetData sheetId="3122" refreshError="1"/>
      <sheetData sheetId="3123" refreshError="1"/>
      <sheetData sheetId="3124" refreshError="1"/>
      <sheetData sheetId="3125" refreshError="1"/>
      <sheetData sheetId="3126" refreshError="1"/>
      <sheetData sheetId="3127" refreshError="1"/>
      <sheetData sheetId="3128" refreshError="1"/>
      <sheetData sheetId="3129" refreshError="1"/>
      <sheetData sheetId="3130" refreshError="1"/>
      <sheetData sheetId="3131" refreshError="1"/>
      <sheetData sheetId="3132" refreshError="1"/>
      <sheetData sheetId="3133" refreshError="1"/>
      <sheetData sheetId="3134" refreshError="1"/>
      <sheetData sheetId="3135" refreshError="1"/>
      <sheetData sheetId="3136" refreshError="1"/>
      <sheetData sheetId="3137" refreshError="1"/>
      <sheetData sheetId="3138" refreshError="1"/>
      <sheetData sheetId="3139" refreshError="1"/>
      <sheetData sheetId="3140" refreshError="1"/>
      <sheetData sheetId="3141" refreshError="1"/>
      <sheetData sheetId="3142" refreshError="1"/>
      <sheetData sheetId="3143" refreshError="1"/>
      <sheetData sheetId="3144" refreshError="1"/>
      <sheetData sheetId="3145" refreshError="1"/>
      <sheetData sheetId="3146" refreshError="1"/>
      <sheetData sheetId="3147" refreshError="1"/>
      <sheetData sheetId="3148" refreshError="1"/>
      <sheetData sheetId="3149" refreshError="1"/>
      <sheetData sheetId="3150" refreshError="1"/>
      <sheetData sheetId="3151" refreshError="1"/>
      <sheetData sheetId="3152" refreshError="1"/>
      <sheetData sheetId="3153" refreshError="1"/>
      <sheetData sheetId="3154" refreshError="1"/>
      <sheetData sheetId="3155" refreshError="1"/>
      <sheetData sheetId="3156" refreshError="1"/>
      <sheetData sheetId="3157" refreshError="1"/>
      <sheetData sheetId="3158" refreshError="1"/>
      <sheetData sheetId="3159" refreshError="1"/>
      <sheetData sheetId="3160" refreshError="1"/>
      <sheetData sheetId="3161" refreshError="1"/>
      <sheetData sheetId="3162" refreshError="1"/>
      <sheetData sheetId="3163" refreshError="1"/>
      <sheetData sheetId="3164" refreshError="1"/>
      <sheetData sheetId="3165" refreshError="1"/>
      <sheetData sheetId="3166" refreshError="1"/>
      <sheetData sheetId="3167" refreshError="1"/>
      <sheetData sheetId="3168" refreshError="1"/>
      <sheetData sheetId="3169" refreshError="1"/>
      <sheetData sheetId="3170" refreshError="1"/>
      <sheetData sheetId="3171" refreshError="1"/>
      <sheetData sheetId="3172" refreshError="1"/>
      <sheetData sheetId="3173" refreshError="1"/>
      <sheetData sheetId="3174" refreshError="1"/>
      <sheetData sheetId="3175" refreshError="1"/>
      <sheetData sheetId="3176" refreshError="1"/>
      <sheetData sheetId="3177" refreshError="1"/>
      <sheetData sheetId="3178" refreshError="1"/>
      <sheetData sheetId="3179" refreshError="1"/>
      <sheetData sheetId="3180" refreshError="1"/>
      <sheetData sheetId="3181" refreshError="1"/>
      <sheetData sheetId="3182" refreshError="1"/>
      <sheetData sheetId="3183" refreshError="1"/>
      <sheetData sheetId="3184" refreshError="1"/>
      <sheetData sheetId="3185" refreshError="1"/>
      <sheetData sheetId="3186" refreshError="1"/>
      <sheetData sheetId="3187" refreshError="1"/>
      <sheetData sheetId="3188" refreshError="1"/>
      <sheetData sheetId="3189" refreshError="1"/>
      <sheetData sheetId="3190" refreshError="1"/>
      <sheetData sheetId="3191" refreshError="1"/>
      <sheetData sheetId="3192" refreshError="1"/>
      <sheetData sheetId="3193" refreshError="1"/>
      <sheetData sheetId="3194" refreshError="1"/>
      <sheetData sheetId="3195" refreshError="1"/>
      <sheetData sheetId="3196" refreshError="1"/>
      <sheetData sheetId="3197" refreshError="1"/>
      <sheetData sheetId="3198" refreshError="1"/>
      <sheetData sheetId="3199" refreshError="1"/>
      <sheetData sheetId="3200" refreshError="1"/>
      <sheetData sheetId="3201" refreshError="1"/>
      <sheetData sheetId="3202" refreshError="1"/>
      <sheetData sheetId="3203" refreshError="1"/>
      <sheetData sheetId="3204" refreshError="1"/>
      <sheetData sheetId="3205" refreshError="1"/>
      <sheetData sheetId="3206" refreshError="1"/>
      <sheetData sheetId="3207" refreshError="1"/>
      <sheetData sheetId="3208" refreshError="1"/>
      <sheetData sheetId="3209" refreshError="1"/>
      <sheetData sheetId="3210" refreshError="1"/>
      <sheetData sheetId="3211" refreshError="1"/>
      <sheetData sheetId="3212" refreshError="1"/>
      <sheetData sheetId="3213" refreshError="1"/>
      <sheetData sheetId="3214" refreshError="1"/>
      <sheetData sheetId="3215" refreshError="1"/>
      <sheetData sheetId="3216" refreshError="1"/>
      <sheetData sheetId="3217" refreshError="1"/>
      <sheetData sheetId="3218" refreshError="1"/>
      <sheetData sheetId="3219" refreshError="1"/>
      <sheetData sheetId="3220" refreshError="1"/>
      <sheetData sheetId="3221" refreshError="1"/>
      <sheetData sheetId="3222" refreshError="1"/>
      <sheetData sheetId="3223" refreshError="1"/>
      <sheetData sheetId="3224" refreshError="1"/>
      <sheetData sheetId="3225" refreshError="1"/>
      <sheetData sheetId="3226" refreshError="1"/>
      <sheetData sheetId="3227" refreshError="1"/>
      <sheetData sheetId="3228" refreshError="1"/>
      <sheetData sheetId="3229" refreshError="1"/>
      <sheetData sheetId="3230" refreshError="1"/>
      <sheetData sheetId="3231" refreshError="1"/>
      <sheetData sheetId="3232" refreshError="1"/>
      <sheetData sheetId="3233" refreshError="1"/>
      <sheetData sheetId="3234" refreshError="1"/>
      <sheetData sheetId="3235" refreshError="1"/>
      <sheetData sheetId="3236" refreshError="1"/>
      <sheetData sheetId="3237" refreshError="1"/>
      <sheetData sheetId="3238" refreshError="1"/>
      <sheetData sheetId="3239" refreshError="1"/>
      <sheetData sheetId="3240" refreshError="1"/>
      <sheetData sheetId="3241" refreshError="1"/>
      <sheetData sheetId="3242" refreshError="1"/>
      <sheetData sheetId="3243" refreshError="1"/>
      <sheetData sheetId="3244" refreshError="1"/>
      <sheetData sheetId="3245" refreshError="1"/>
      <sheetData sheetId="3246" refreshError="1"/>
      <sheetData sheetId="3247"/>
      <sheetData sheetId="3248"/>
      <sheetData sheetId="3249"/>
      <sheetData sheetId="3250">
        <row r="52">
          <cell r="B52" t="str">
            <v>Main Panel</v>
          </cell>
        </row>
      </sheetData>
      <sheetData sheetId="3251">
        <row r="52">
          <cell r="B52" t="str">
            <v>Main Panel</v>
          </cell>
        </row>
      </sheetData>
      <sheetData sheetId="3252">
        <row r="52">
          <cell r="B52" t="str">
            <v>Main Panel</v>
          </cell>
        </row>
      </sheetData>
      <sheetData sheetId="3253">
        <row r="52">
          <cell r="B52" t="str">
            <v>Main Panel</v>
          </cell>
        </row>
      </sheetData>
      <sheetData sheetId="3254">
        <row r="52">
          <cell r="B52" t="str">
            <v>Main Panel</v>
          </cell>
        </row>
      </sheetData>
      <sheetData sheetId="3255">
        <row r="52">
          <cell r="B52" t="str">
            <v>Main Panel</v>
          </cell>
        </row>
      </sheetData>
      <sheetData sheetId="3256">
        <row r="52">
          <cell r="B52" t="str">
            <v>Main Panel</v>
          </cell>
        </row>
      </sheetData>
      <sheetData sheetId="3257">
        <row r="52">
          <cell r="B52" t="str">
            <v>Main Panel</v>
          </cell>
        </row>
      </sheetData>
      <sheetData sheetId="3258">
        <row r="52">
          <cell r="B52" t="str">
            <v>Main Panel</v>
          </cell>
        </row>
      </sheetData>
      <sheetData sheetId="3259">
        <row r="52">
          <cell r="B52" t="str">
            <v>Main Panel</v>
          </cell>
        </row>
      </sheetData>
      <sheetData sheetId="3260">
        <row r="52">
          <cell r="B52" t="str">
            <v>Main Panel</v>
          </cell>
        </row>
      </sheetData>
      <sheetData sheetId="3261">
        <row r="52">
          <cell r="B52" t="str">
            <v>Main Panel</v>
          </cell>
        </row>
      </sheetData>
      <sheetData sheetId="3262">
        <row r="52">
          <cell r="B52" t="str">
            <v>Main Panel</v>
          </cell>
        </row>
      </sheetData>
      <sheetData sheetId="3263">
        <row r="52">
          <cell r="B52" t="str">
            <v>Main Panel</v>
          </cell>
        </row>
      </sheetData>
      <sheetData sheetId="3264">
        <row r="52">
          <cell r="B52" t="str">
            <v>Main Panel</v>
          </cell>
        </row>
      </sheetData>
      <sheetData sheetId="3265">
        <row r="52">
          <cell r="B52" t="str">
            <v>Main Panel</v>
          </cell>
        </row>
      </sheetData>
      <sheetData sheetId="3266">
        <row r="52">
          <cell r="B52" t="str">
            <v>Main Panel</v>
          </cell>
        </row>
      </sheetData>
      <sheetData sheetId="3267">
        <row r="52">
          <cell r="B52" t="str">
            <v>Main Panel</v>
          </cell>
        </row>
      </sheetData>
      <sheetData sheetId="3268">
        <row r="52">
          <cell r="B52" t="str">
            <v>Main Panel</v>
          </cell>
        </row>
      </sheetData>
      <sheetData sheetId="3269">
        <row r="52">
          <cell r="B52" t="str">
            <v>Main Panel</v>
          </cell>
        </row>
      </sheetData>
      <sheetData sheetId="3270">
        <row r="52">
          <cell r="B52" t="str">
            <v>Main Panel</v>
          </cell>
        </row>
      </sheetData>
      <sheetData sheetId="3271">
        <row r="52">
          <cell r="B52" t="str">
            <v>Main Panel</v>
          </cell>
        </row>
      </sheetData>
      <sheetData sheetId="3272">
        <row r="52">
          <cell r="B52" t="str">
            <v>Main Panel</v>
          </cell>
        </row>
      </sheetData>
      <sheetData sheetId="3273">
        <row r="52">
          <cell r="B52" t="str">
            <v>Main Panel</v>
          </cell>
        </row>
      </sheetData>
      <sheetData sheetId="3274">
        <row r="52">
          <cell r="B52" t="str">
            <v>Main Panel</v>
          </cell>
        </row>
      </sheetData>
      <sheetData sheetId="3275">
        <row r="52">
          <cell r="B52" t="str">
            <v>Main Panel</v>
          </cell>
        </row>
      </sheetData>
      <sheetData sheetId="3276">
        <row r="52">
          <cell r="B52" t="str">
            <v>Main Panel</v>
          </cell>
        </row>
      </sheetData>
      <sheetData sheetId="3277">
        <row r="52">
          <cell r="B52" t="str">
            <v>Main Panel</v>
          </cell>
        </row>
      </sheetData>
      <sheetData sheetId="3278">
        <row r="52">
          <cell r="B52" t="str">
            <v>Main Panel</v>
          </cell>
        </row>
      </sheetData>
      <sheetData sheetId="3279">
        <row r="52">
          <cell r="B52" t="str">
            <v>Main Panel</v>
          </cell>
        </row>
      </sheetData>
      <sheetData sheetId="3280">
        <row r="52">
          <cell r="B52" t="str">
            <v>Main Panel</v>
          </cell>
        </row>
      </sheetData>
      <sheetData sheetId="3281">
        <row r="52">
          <cell r="B52" t="str">
            <v>Main Panel</v>
          </cell>
        </row>
      </sheetData>
      <sheetData sheetId="3282">
        <row r="52">
          <cell r="B52" t="str">
            <v>Main Panel</v>
          </cell>
        </row>
      </sheetData>
      <sheetData sheetId="3283">
        <row r="52">
          <cell r="B52" t="str">
            <v>Main Panel</v>
          </cell>
        </row>
      </sheetData>
      <sheetData sheetId="3284">
        <row r="52">
          <cell r="B52" t="str">
            <v>Main Panel</v>
          </cell>
        </row>
      </sheetData>
      <sheetData sheetId="3285">
        <row r="52">
          <cell r="B52" t="str">
            <v>Main Panel</v>
          </cell>
        </row>
      </sheetData>
      <sheetData sheetId="3286">
        <row r="52">
          <cell r="B52" t="str">
            <v>Main Panel</v>
          </cell>
        </row>
      </sheetData>
      <sheetData sheetId="3287">
        <row r="52">
          <cell r="B52" t="str">
            <v>Main Panel</v>
          </cell>
        </row>
      </sheetData>
      <sheetData sheetId="3288">
        <row r="52">
          <cell r="B52" t="str">
            <v>Main Panel</v>
          </cell>
        </row>
      </sheetData>
      <sheetData sheetId="3289">
        <row r="52">
          <cell r="B52" t="str">
            <v>Main Panel</v>
          </cell>
        </row>
      </sheetData>
      <sheetData sheetId="3290">
        <row r="52">
          <cell r="B52" t="str">
            <v>Main Panel</v>
          </cell>
        </row>
      </sheetData>
      <sheetData sheetId="3291">
        <row r="52">
          <cell r="B52" t="str">
            <v>Main Panel</v>
          </cell>
        </row>
      </sheetData>
      <sheetData sheetId="3292">
        <row r="52">
          <cell r="B52" t="str">
            <v>Main Panel</v>
          </cell>
        </row>
      </sheetData>
      <sheetData sheetId="3293">
        <row r="52">
          <cell r="B52" t="str">
            <v>Main Panel</v>
          </cell>
        </row>
      </sheetData>
      <sheetData sheetId="3294">
        <row r="52">
          <cell r="B52" t="str">
            <v>Main Panel</v>
          </cell>
        </row>
      </sheetData>
      <sheetData sheetId="3295">
        <row r="52">
          <cell r="B52" t="str">
            <v>Main Panel</v>
          </cell>
        </row>
      </sheetData>
      <sheetData sheetId="3296">
        <row r="52">
          <cell r="B52" t="str">
            <v>Main Panel</v>
          </cell>
        </row>
      </sheetData>
      <sheetData sheetId="3297">
        <row r="52">
          <cell r="B52" t="str">
            <v>Main Panel</v>
          </cell>
        </row>
      </sheetData>
      <sheetData sheetId="3298">
        <row r="52">
          <cell r="B52" t="str">
            <v>Main Panel</v>
          </cell>
        </row>
      </sheetData>
      <sheetData sheetId="3299">
        <row r="52">
          <cell r="B52" t="str">
            <v>Main Panel</v>
          </cell>
        </row>
      </sheetData>
      <sheetData sheetId="3300">
        <row r="52">
          <cell r="B52" t="str">
            <v>Main Panel</v>
          </cell>
        </row>
      </sheetData>
      <sheetData sheetId="3301">
        <row r="52">
          <cell r="B52" t="str">
            <v>Main Panel</v>
          </cell>
        </row>
      </sheetData>
      <sheetData sheetId="3302">
        <row r="52">
          <cell r="B52" t="str">
            <v>Main Panel</v>
          </cell>
        </row>
      </sheetData>
      <sheetData sheetId="3303">
        <row r="52">
          <cell r="B52" t="str">
            <v>Main Panel</v>
          </cell>
        </row>
      </sheetData>
      <sheetData sheetId="3304" refreshError="1"/>
      <sheetData sheetId="3305" refreshError="1"/>
      <sheetData sheetId="3306" refreshError="1"/>
      <sheetData sheetId="3307" refreshError="1"/>
      <sheetData sheetId="3308">
        <row r="52">
          <cell r="B52" t="str">
            <v>Main Panel</v>
          </cell>
        </row>
      </sheetData>
      <sheetData sheetId="3309">
        <row r="52">
          <cell r="B52" t="str">
            <v>Main Panel</v>
          </cell>
        </row>
      </sheetData>
      <sheetData sheetId="3310">
        <row r="52">
          <cell r="B52" t="str">
            <v>Main Panel</v>
          </cell>
        </row>
      </sheetData>
      <sheetData sheetId="3311">
        <row r="52">
          <cell r="B52" t="str">
            <v>Main Panel</v>
          </cell>
        </row>
      </sheetData>
      <sheetData sheetId="3312">
        <row r="52">
          <cell r="B52" t="str">
            <v>Main Panel</v>
          </cell>
        </row>
      </sheetData>
      <sheetData sheetId="3313">
        <row r="52">
          <cell r="B52" t="str">
            <v>Main Panel</v>
          </cell>
        </row>
      </sheetData>
      <sheetData sheetId="3314">
        <row r="52">
          <cell r="B52" t="str">
            <v>Main Panel</v>
          </cell>
        </row>
      </sheetData>
      <sheetData sheetId="3315">
        <row r="52">
          <cell r="B52" t="str">
            <v>Main Panel</v>
          </cell>
        </row>
      </sheetData>
      <sheetData sheetId="3316">
        <row r="52">
          <cell r="B52" t="str">
            <v>Main Panel</v>
          </cell>
        </row>
      </sheetData>
      <sheetData sheetId="3317">
        <row r="52">
          <cell r="B52" t="str">
            <v>Main Panel</v>
          </cell>
        </row>
      </sheetData>
      <sheetData sheetId="3318">
        <row r="52">
          <cell r="B52" t="str">
            <v>Main Panel</v>
          </cell>
        </row>
      </sheetData>
      <sheetData sheetId="3319">
        <row r="52">
          <cell r="B52" t="str">
            <v>Main Panel</v>
          </cell>
        </row>
      </sheetData>
      <sheetData sheetId="3320">
        <row r="52">
          <cell r="B52" t="str">
            <v>Main Panel</v>
          </cell>
        </row>
      </sheetData>
      <sheetData sheetId="3321">
        <row r="52">
          <cell r="B52" t="str">
            <v>Main Panel</v>
          </cell>
        </row>
      </sheetData>
      <sheetData sheetId="3322">
        <row r="52">
          <cell r="B52" t="str">
            <v>Main Panel</v>
          </cell>
        </row>
      </sheetData>
      <sheetData sheetId="3323">
        <row r="52">
          <cell r="B52" t="str">
            <v>Main Panel</v>
          </cell>
        </row>
      </sheetData>
      <sheetData sheetId="3324">
        <row r="52">
          <cell r="B52" t="str">
            <v>Main Panel</v>
          </cell>
        </row>
      </sheetData>
      <sheetData sheetId="3325">
        <row r="52">
          <cell r="B52" t="str">
            <v>Main Panel</v>
          </cell>
        </row>
      </sheetData>
      <sheetData sheetId="3326">
        <row r="52">
          <cell r="B52" t="str">
            <v>Main Panel</v>
          </cell>
        </row>
      </sheetData>
      <sheetData sheetId="3327">
        <row r="52">
          <cell r="B52" t="str">
            <v>Main Panel</v>
          </cell>
        </row>
      </sheetData>
      <sheetData sheetId="3328">
        <row r="52">
          <cell r="B52" t="str">
            <v>Main Panel</v>
          </cell>
        </row>
      </sheetData>
      <sheetData sheetId="3329">
        <row r="52">
          <cell r="B52" t="str">
            <v>Main Panel</v>
          </cell>
        </row>
      </sheetData>
      <sheetData sheetId="3330">
        <row r="52">
          <cell r="B52" t="str">
            <v>Main Panel</v>
          </cell>
        </row>
      </sheetData>
      <sheetData sheetId="3331">
        <row r="52">
          <cell r="B52" t="str">
            <v>Main Panel</v>
          </cell>
        </row>
      </sheetData>
      <sheetData sheetId="3332">
        <row r="52">
          <cell r="B52" t="str">
            <v>Main Panel</v>
          </cell>
        </row>
      </sheetData>
      <sheetData sheetId="3333">
        <row r="52">
          <cell r="B52" t="str">
            <v>Main Panel</v>
          </cell>
        </row>
      </sheetData>
      <sheetData sheetId="3334">
        <row r="52">
          <cell r="B52" t="str">
            <v>Main Panel</v>
          </cell>
        </row>
      </sheetData>
      <sheetData sheetId="3335" refreshError="1"/>
      <sheetData sheetId="3336" refreshError="1"/>
      <sheetData sheetId="3337" refreshError="1"/>
      <sheetData sheetId="3338" refreshError="1"/>
      <sheetData sheetId="3339" refreshError="1"/>
      <sheetData sheetId="3340" refreshError="1"/>
      <sheetData sheetId="3341" refreshError="1"/>
      <sheetData sheetId="3342" refreshError="1"/>
      <sheetData sheetId="3343" refreshError="1"/>
      <sheetData sheetId="3344">
        <row r="52">
          <cell r="B52" t="str">
            <v>Main Panel</v>
          </cell>
        </row>
      </sheetData>
      <sheetData sheetId="3345">
        <row r="52">
          <cell r="B52" t="str">
            <v>Main Panel</v>
          </cell>
        </row>
      </sheetData>
      <sheetData sheetId="3346">
        <row r="52">
          <cell r="B52" t="str">
            <v>Main Panel</v>
          </cell>
        </row>
      </sheetData>
      <sheetData sheetId="3347">
        <row r="52">
          <cell r="B52" t="str">
            <v>Main Panel</v>
          </cell>
        </row>
      </sheetData>
      <sheetData sheetId="3348">
        <row r="52">
          <cell r="B52" t="str">
            <v>Main Panel</v>
          </cell>
        </row>
      </sheetData>
      <sheetData sheetId="3349">
        <row r="52">
          <cell r="B52" t="str">
            <v>Main Panel</v>
          </cell>
        </row>
      </sheetData>
      <sheetData sheetId="3350">
        <row r="52">
          <cell r="B52" t="str">
            <v>Main Panel</v>
          </cell>
        </row>
      </sheetData>
      <sheetData sheetId="3351">
        <row r="52">
          <cell r="B52" t="str">
            <v>Main Panel</v>
          </cell>
        </row>
      </sheetData>
      <sheetData sheetId="3352">
        <row r="52">
          <cell r="B52" t="str">
            <v>Main Panel</v>
          </cell>
        </row>
      </sheetData>
      <sheetData sheetId="3353">
        <row r="52">
          <cell r="B52" t="str">
            <v>Main Panel</v>
          </cell>
        </row>
      </sheetData>
      <sheetData sheetId="3354">
        <row r="52">
          <cell r="B52" t="str">
            <v>Main Panel</v>
          </cell>
        </row>
      </sheetData>
      <sheetData sheetId="3355">
        <row r="52">
          <cell r="B52" t="str">
            <v>Main Panel</v>
          </cell>
        </row>
      </sheetData>
      <sheetData sheetId="3356">
        <row r="52">
          <cell r="B52" t="str">
            <v>Main Panel</v>
          </cell>
        </row>
      </sheetData>
      <sheetData sheetId="3357">
        <row r="52">
          <cell r="B52" t="str">
            <v>Main Panel</v>
          </cell>
        </row>
      </sheetData>
      <sheetData sheetId="3358">
        <row r="52">
          <cell r="B52" t="str">
            <v>Main Panel</v>
          </cell>
        </row>
      </sheetData>
      <sheetData sheetId="3359">
        <row r="52">
          <cell r="B52" t="str">
            <v>Main Panel</v>
          </cell>
        </row>
      </sheetData>
      <sheetData sheetId="3360">
        <row r="52">
          <cell r="B52" t="str">
            <v>Main Panel</v>
          </cell>
        </row>
      </sheetData>
      <sheetData sheetId="3361">
        <row r="52">
          <cell r="B52" t="str">
            <v>Main Panel</v>
          </cell>
        </row>
      </sheetData>
      <sheetData sheetId="3362">
        <row r="52">
          <cell r="B52" t="str">
            <v>Main Panel</v>
          </cell>
        </row>
      </sheetData>
      <sheetData sheetId="3363">
        <row r="52">
          <cell r="B52" t="str">
            <v>Main Panel</v>
          </cell>
        </row>
      </sheetData>
      <sheetData sheetId="3364">
        <row r="52">
          <cell r="B52" t="str">
            <v>Main Panel</v>
          </cell>
        </row>
      </sheetData>
      <sheetData sheetId="3365">
        <row r="52">
          <cell r="B52" t="str">
            <v>Main Panel</v>
          </cell>
        </row>
      </sheetData>
      <sheetData sheetId="3366">
        <row r="52">
          <cell r="B52" t="str">
            <v>Main Panel</v>
          </cell>
        </row>
      </sheetData>
      <sheetData sheetId="3367">
        <row r="52">
          <cell r="B52" t="str">
            <v>Main Panel</v>
          </cell>
        </row>
      </sheetData>
      <sheetData sheetId="3368">
        <row r="52">
          <cell r="B52" t="str">
            <v>Main Panel</v>
          </cell>
        </row>
      </sheetData>
      <sheetData sheetId="3369">
        <row r="52">
          <cell r="B52" t="str">
            <v>Main Panel</v>
          </cell>
        </row>
      </sheetData>
      <sheetData sheetId="3370">
        <row r="52">
          <cell r="B52" t="str">
            <v>Main Panel</v>
          </cell>
        </row>
      </sheetData>
      <sheetData sheetId="3371">
        <row r="52">
          <cell r="B52" t="str">
            <v>Main Panel</v>
          </cell>
        </row>
      </sheetData>
      <sheetData sheetId="3372" refreshError="1"/>
      <sheetData sheetId="3373" refreshError="1"/>
      <sheetData sheetId="3374" refreshError="1"/>
      <sheetData sheetId="3375" refreshError="1"/>
      <sheetData sheetId="3376" refreshError="1"/>
      <sheetData sheetId="3377" refreshError="1"/>
      <sheetData sheetId="3378" refreshError="1"/>
      <sheetData sheetId="3379" refreshError="1"/>
      <sheetData sheetId="3380" refreshError="1"/>
      <sheetData sheetId="3381" refreshError="1"/>
      <sheetData sheetId="3382" refreshError="1"/>
      <sheetData sheetId="3383" refreshError="1"/>
      <sheetData sheetId="3384" refreshError="1"/>
      <sheetData sheetId="3385" refreshError="1"/>
      <sheetData sheetId="3386" refreshError="1"/>
      <sheetData sheetId="3387" refreshError="1"/>
      <sheetData sheetId="3388" refreshError="1"/>
      <sheetData sheetId="3389" refreshError="1"/>
      <sheetData sheetId="3390" refreshError="1"/>
      <sheetData sheetId="3391" refreshError="1"/>
      <sheetData sheetId="3392" refreshError="1"/>
      <sheetData sheetId="3393" refreshError="1"/>
      <sheetData sheetId="3394" refreshError="1"/>
      <sheetData sheetId="3395" refreshError="1"/>
      <sheetData sheetId="3396" refreshError="1"/>
      <sheetData sheetId="3397" refreshError="1"/>
      <sheetData sheetId="3398" refreshError="1"/>
      <sheetData sheetId="3399" refreshError="1"/>
      <sheetData sheetId="3400" refreshError="1"/>
      <sheetData sheetId="3401" refreshError="1"/>
      <sheetData sheetId="3402" refreshError="1"/>
      <sheetData sheetId="3403" refreshError="1"/>
      <sheetData sheetId="3404" refreshError="1"/>
      <sheetData sheetId="3405" refreshError="1"/>
      <sheetData sheetId="3406" refreshError="1"/>
      <sheetData sheetId="3407" refreshError="1"/>
      <sheetData sheetId="3408" refreshError="1"/>
      <sheetData sheetId="3409" refreshError="1"/>
      <sheetData sheetId="3410" refreshError="1"/>
      <sheetData sheetId="3411" refreshError="1"/>
      <sheetData sheetId="3412" refreshError="1"/>
      <sheetData sheetId="3413" refreshError="1"/>
      <sheetData sheetId="3414" refreshError="1"/>
      <sheetData sheetId="3415" refreshError="1"/>
      <sheetData sheetId="3416" refreshError="1"/>
      <sheetData sheetId="3417" refreshError="1"/>
      <sheetData sheetId="3418" refreshError="1"/>
      <sheetData sheetId="3419" refreshError="1"/>
      <sheetData sheetId="3420" refreshError="1"/>
      <sheetData sheetId="3421" refreshError="1"/>
      <sheetData sheetId="3422" refreshError="1"/>
      <sheetData sheetId="3423" refreshError="1"/>
      <sheetData sheetId="3424" refreshError="1"/>
      <sheetData sheetId="3425"/>
      <sheetData sheetId="3426">
        <row r="52">
          <cell r="B52" t="str">
            <v>Main Panel</v>
          </cell>
        </row>
      </sheetData>
      <sheetData sheetId="3427"/>
      <sheetData sheetId="3428">
        <row r="52">
          <cell r="B52" t="str">
            <v>Main Panel</v>
          </cell>
        </row>
      </sheetData>
      <sheetData sheetId="3429">
        <row r="52">
          <cell r="B52" t="str">
            <v>Main Panel</v>
          </cell>
        </row>
      </sheetData>
      <sheetData sheetId="3430">
        <row r="52">
          <cell r="B52" t="str">
            <v>Main Panel</v>
          </cell>
        </row>
      </sheetData>
      <sheetData sheetId="3431">
        <row r="52">
          <cell r="B52" t="str">
            <v>Main Panel</v>
          </cell>
        </row>
      </sheetData>
      <sheetData sheetId="3432">
        <row r="52">
          <cell r="B52" t="str">
            <v>Main Panel</v>
          </cell>
        </row>
      </sheetData>
      <sheetData sheetId="3433">
        <row r="52">
          <cell r="B52" t="str">
            <v>Main Panel</v>
          </cell>
        </row>
      </sheetData>
      <sheetData sheetId="3434">
        <row r="52">
          <cell r="B52" t="str">
            <v>Main Panel</v>
          </cell>
        </row>
      </sheetData>
      <sheetData sheetId="3435">
        <row r="52">
          <cell r="B52" t="str">
            <v>Main Panel</v>
          </cell>
        </row>
      </sheetData>
      <sheetData sheetId="3436">
        <row r="52">
          <cell r="B52" t="str">
            <v>Main Panel</v>
          </cell>
        </row>
      </sheetData>
      <sheetData sheetId="3437">
        <row r="52">
          <cell r="B52" t="str">
            <v>Main Panel</v>
          </cell>
        </row>
      </sheetData>
      <sheetData sheetId="3438">
        <row r="52">
          <cell r="B52" t="str">
            <v>Main Panel</v>
          </cell>
        </row>
      </sheetData>
      <sheetData sheetId="3439">
        <row r="52">
          <cell r="B52" t="str">
            <v>Main Panel</v>
          </cell>
        </row>
      </sheetData>
      <sheetData sheetId="3440">
        <row r="52">
          <cell r="B52" t="str">
            <v>Main Panel</v>
          </cell>
        </row>
      </sheetData>
      <sheetData sheetId="3441">
        <row r="52">
          <cell r="B52" t="str">
            <v>Main Panel</v>
          </cell>
        </row>
      </sheetData>
      <sheetData sheetId="3442">
        <row r="52">
          <cell r="B52" t="str">
            <v>Main Panel</v>
          </cell>
        </row>
      </sheetData>
      <sheetData sheetId="3443">
        <row r="52">
          <cell r="B52" t="str">
            <v>Main Panel</v>
          </cell>
        </row>
      </sheetData>
      <sheetData sheetId="3444">
        <row r="52">
          <cell r="B52" t="str">
            <v>Main Panel</v>
          </cell>
        </row>
      </sheetData>
      <sheetData sheetId="3445">
        <row r="52">
          <cell r="B52" t="str">
            <v>Main Panel</v>
          </cell>
        </row>
      </sheetData>
      <sheetData sheetId="3446">
        <row r="52">
          <cell r="B52" t="str">
            <v>Main Panel</v>
          </cell>
        </row>
      </sheetData>
      <sheetData sheetId="3447">
        <row r="52">
          <cell r="B52" t="str">
            <v>Main Panel</v>
          </cell>
        </row>
      </sheetData>
      <sheetData sheetId="3448">
        <row r="52">
          <cell r="B52" t="str">
            <v>Main Panel</v>
          </cell>
        </row>
      </sheetData>
      <sheetData sheetId="3449">
        <row r="52">
          <cell r="B52" t="str">
            <v>Main Panel</v>
          </cell>
        </row>
      </sheetData>
      <sheetData sheetId="3450">
        <row r="52">
          <cell r="B52" t="str">
            <v>Main Panel</v>
          </cell>
        </row>
      </sheetData>
      <sheetData sheetId="3451">
        <row r="52">
          <cell r="B52" t="str">
            <v>Main Panel</v>
          </cell>
        </row>
      </sheetData>
      <sheetData sheetId="3452">
        <row r="52">
          <cell r="B52" t="str">
            <v>Main Panel</v>
          </cell>
        </row>
      </sheetData>
      <sheetData sheetId="3453">
        <row r="52">
          <cell r="B52" t="str">
            <v>Main Panel</v>
          </cell>
        </row>
      </sheetData>
      <sheetData sheetId="3454">
        <row r="52">
          <cell r="B52" t="str">
            <v>Main Panel</v>
          </cell>
        </row>
      </sheetData>
      <sheetData sheetId="3455">
        <row r="52">
          <cell r="B52" t="str">
            <v>Main Panel</v>
          </cell>
        </row>
      </sheetData>
      <sheetData sheetId="3456">
        <row r="52">
          <cell r="B52" t="str">
            <v>Main Panel</v>
          </cell>
        </row>
      </sheetData>
      <sheetData sheetId="3457">
        <row r="52">
          <cell r="B52" t="str">
            <v>Main Panel</v>
          </cell>
        </row>
      </sheetData>
      <sheetData sheetId="3458">
        <row r="52">
          <cell r="B52" t="str">
            <v>Main Panel</v>
          </cell>
        </row>
      </sheetData>
      <sheetData sheetId="3459">
        <row r="52">
          <cell r="B52" t="str">
            <v>Main Panel</v>
          </cell>
        </row>
      </sheetData>
      <sheetData sheetId="3460">
        <row r="52">
          <cell r="B52" t="str">
            <v>Main Panel</v>
          </cell>
        </row>
      </sheetData>
      <sheetData sheetId="3461">
        <row r="52">
          <cell r="B52" t="str">
            <v>Main Panel</v>
          </cell>
        </row>
      </sheetData>
      <sheetData sheetId="3462">
        <row r="52">
          <cell r="B52" t="str">
            <v>Main Panel</v>
          </cell>
        </row>
      </sheetData>
      <sheetData sheetId="3463">
        <row r="52">
          <cell r="B52" t="str">
            <v>Main Panel</v>
          </cell>
        </row>
      </sheetData>
      <sheetData sheetId="3464">
        <row r="52">
          <cell r="B52" t="str">
            <v>Main Panel</v>
          </cell>
        </row>
      </sheetData>
      <sheetData sheetId="3465">
        <row r="52">
          <cell r="B52" t="str">
            <v>Main Panel</v>
          </cell>
        </row>
      </sheetData>
      <sheetData sheetId="3466">
        <row r="52">
          <cell r="B52" t="str">
            <v>Main Panel</v>
          </cell>
        </row>
      </sheetData>
      <sheetData sheetId="3467">
        <row r="52">
          <cell r="B52" t="str">
            <v>Main Panel</v>
          </cell>
        </row>
      </sheetData>
      <sheetData sheetId="3468">
        <row r="52">
          <cell r="B52" t="str">
            <v>Main Panel</v>
          </cell>
        </row>
      </sheetData>
      <sheetData sheetId="3469">
        <row r="52">
          <cell r="B52" t="str">
            <v>Main Panel</v>
          </cell>
        </row>
      </sheetData>
      <sheetData sheetId="3470">
        <row r="52">
          <cell r="B52" t="str">
            <v>Main Panel</v>
          </cell>
        </row>
      </sheetData>
      <sheetData sheetId="3471">
        <row r="52">
          <cell r="B52" t="str">
            <v>Main Panel</v>
          </cell>
        </row>
      </sheetData>
      <sheetData sheetId="3472">
        <row r="52">
          <cell r="B52" t="str">
            <v>Main Panel</v>
          </cell>
        </row>
      </sheetData>
      <sheetData sheetId="3473">
        <row r="52">
          <cell r="B52" t="str">
            <v>Main Panel</v>
          </cell>
        </row>
      </sheetData>
      <sheetData sheetId="3474">
        <row r="52">
          <cell r="B52" t="str">
            <v>Main Panel</v>
          </cell>
        </row>
      </sheetData>
      <sheetData sheetId="3475">
        <row r="52">
          <cell r="B52" t="str">
            <v>Main Panel</v>
          </cell>
        </row>
      </sheetData>
      <sheetData sheetId="3476">
        <row r="52">
          <cell r="B52" t="str">
            <v>Main Panel</v>
          </cell>
        </row>
      </sheetData>
      <sheetData sheetId="3477">
        <row r="52">
          <cell r="B52" t="str">
            <v>Main Panel</v>
          </cell>
        </row>
      </sheetData>
      <sheetData sheetId="3478">
        <row r="52">
          <cell r="B52" t="str">
            <v>Main Panel</v>
          </cell>
        </row>
      </sheetData>
      <sheetData sheetId="3479">
        <row r="52">
          <cell r="B52" t="str">
            <v>Main Panel</v>
          </cell>
        </row>
      </sheetData>
      <sheetData sheetId="3480" refreshError="1"/>
      <sheetData sheetId="3481" refreshError="1"/>
      <sheetData sheetId="3482" refreshError="1"/>
      <sheetData sheetId="3483" refreshError="1"/>
      <sheetData sheetId="3484" refreshError="1"/>
      <sheetData sheetId="3485" refreshError="1"/>
      <sheetData sheetId="3486">
        <row r="52">
          <cell r="B52" t="str">
            <v>Main Panel</v>
          </cell>
        </row>
      </sheetData>
      <sheetData sheetId="3487">
        <row r="52">
          <cell r="B52" t="str">
            <v>Main Panel</v>
          </cell>
        </row>
      </sheetData>
      <sheetData sheetId="3488">
        <row r="52">
          <cell r="B52" t="str">
            <v>Main Panel</v>
          </cell>
        </row>
      </sheetData>
      <sheetData sheetId="3489">
        <row r="52">
          <cell r="B52" t="str">
            <v>Main Panel</v>
          </cell>
        </row>
      </sheetData>
      <sheetData sheetId="3490">
        <row r="52">
          <cell r="B52" t="str">
            <v>Main Panel</v>
          </cell>
        </row>
      </sheetData>
      <sheetData sheetId="3491">
        <row r="52">
          <cell r="B52" t="str">
            <v>Main Panel</v>
          </cell>
        </row>
      </sheetData>
      <sheetData sheetId="3492">
        <row r="52">
          <cell r="B52" t="str">
            <v>Main Panel</v>
          </cell>
        </row>
      </sheetData>
      <sheetData sheetId="3493">
        <row r="52">
          <cell r="B52" t="str">
            <v>Main Panel</v>
          </cell>
        </row>
      </sheetData>
      <sheetData sheetId="3494">
        <row r="52">
          <cell r="B52" t="str">
            <v>Main Panel</v>
          </cell>
        </row>
      </sheetData>
      <sheetData sheetId="3495">
        <row r="52">
          <cell r="B52" t="str">
            <v>Main Panel</v>
          </cell>
        </row>
      </sheetData>
      <sheetData sheetId="3496">
        <row r="52">
          <cell r="B52" t="str">
            <v>Main Panel</v>
          </cell>
        </row>
      </sheetData>
      <sheetData sheetId="3497">
        <row r="52">
          <cell r="B52" t="str">
            <v>Main Panel</v>
          </cell>
        </row>
      </sheetData>
      <sheetData sheetId="3498">
        <row r="52">
          <cell r="B52" t="str">
            <v>Main Panel</v>
          </cell>
        </row>
      </sheetData>
      <sheetData sheetId="3499">
        <row r="52">
          <cell r="B52" t="str">
            <v>Main Panel</v>
          </cell>
        </row>
      </sheetData>
      <sheetData sheetId="3500">
        <row r="52">
          <cell r="B52" t="str">
            <v>Main Panel</v>
          </cell>
        </row>
      </sheetData>
      <sheetData sheetId="3501">
        <row r="52">
          <cell r="B52" t="str">
            <v>Main Panel</v>
          </cell>
        </row>
      </sheetData>
      <sheetData sheetId="3502">
        <row r="52">
          <cell r="B52" t="str">
            <v>Main Panel</v>
          </cell>
        </row>
      </sheetData>
      <sheetData sheetId="3503">
        <row r="52">
          <cell r="B52" t="str">
            <v>Main Panel</v>
          </cell>
        </row>
      </sheetData>
      <sheetData sheetId="3504">
        <row r="52">
          <cell r="B52" t="str">
            <v>Main Panel</v>
          </cell>
        </row>
      </sheetData>
      <sheetData sheetId="3505">
        <row r="52">
          <cell r="B52" t="str">
            <v>Main Panel</v>
          </cell>
        </row>
      </sheetData>
      <sheetData sheetId="3506">
        <row r="52">
          <cell r="B52" t="str">
            <v>Main Panel</v>
          </cell>
        </row>
      </sheetData>
      <sheetData sheetId="3507">
        <row r="52">
          <cell r="B52" t="str">
            <v>Main Panel</v>
          </cell>
        </row>
      </sheetData>
      <sheetData sheetId="3508">
        <row r="52">
          <cell r="B52" t="str">
            <v>Main Panel</v>
          </cell>
        </row>
      </sheetData>
      <sheetData sheetId="3509">
        <row r="52">
          <cell r="B52" t="str">
            <v>Main Panel</v>
          </cell>
        </row>
      </sheetData>
      <sheetData sheetId="3510">
        <row r="52">
          <cell r="B52" t="str">
            <v>Main Panel</v>
          </cell>
        </row>
      </sheetData>
      <sheetData sheetId="3511">
        <row r="52">
          <cell r="B52" t="str">
            <v>Main Panel</v>
          </cell>
        </row>
      </sheetData>
      <sheetData sheetId="3512">
        <row r="52">
          <cell r="B52" t="str">
            <v>Main Panel</v>
          </cell>
        </row>
      </sheetData>
      <sheetData sheetId="3513">
        <row r="52">
          <cell r="B52" t="str">
            <v>Main Panel</v>
          </cell>
        </row>
      </sheetData>
      <sheetData sheetId="3514">
        <row r="52">
          <cell r="B52" t="str">
            <v>Main Panel</v>
          </cell>
        </row>
      </sheetData>
      <sheetData sheetId="3515">
        <row r="52">
          <cell r="B52" t="str">
            <v>Main Panel</v>
          </cell>
        </row>
      </sheetData>
      <sheetData sheetId="3516">
        <row r="52">
          <cell r="B52" t="str">
            <v>Main Panel</v>
          </cell>
        </row>
      </sheetData>
      <sheetData sheetId="3517">
        <row r="52">
          <cell r="B52" t="str">
            <v>Main Panel</v>
          </cell>
        </row>
      </sheetData>
      <sheetData sheetId="3518" refreshError="1"/>
      <sheetData sheetId="3519" refreshError="1"/>
      <sheetData sheetId="3520" refreshError="1"/>
      <sheetData sheetId="3521" refreshError="1"/>
      <sheetData sheetId="3522" refreshError="1"/>
      <sheetData sheetId="3523" refreshError="1"/>
      <sheetData sheetId="3524">
        <row r="52">
          <cell r="B52" t="str">
            <v>Main Panel</v>
          </cell>
        </row>
      </sheetData>
      <sheetData sheetId="3525" refreshError="1"/>
      <sheetData sheetId="3526">
        <row r="52">
          <cell r="B52" t="str">
            <v>Main Panel</v>
          </cell>
        </row>
      </sheetData>
      <sheetData sheetId="3527">
        <row r="52">
          <cell r="B52" t="str">
            <v>Main Panel</v>
          </cell>
        </row>
      </sheetData>
      <sheetData sheetId="3528">
        <row r="52">
          <cell r="B52" t="str">
            <v>Main Panel</v>
          </cell>
        </row>
      </sheetData>
      <sheetData sheetId="3529">
        <row r="52">
          <cell r="B52" t="str">
            <v>Main Panel</v>
          </cell>
        </row>
      </sheetData>
      <sheetData sheetId="3530">
        <row r="52">
          <cell r="B52" t="str">
            <v>Main Panel</v>
          </cell>
        </row>
      </sheetData>
      <sheetData sheetId="3531">
        <row r="52">
          <cell r="B52" t="str">
            <v>Main Panel</v>
          </cell>
        </row>
      </sheetData>
      <sheetData sheetId="3532">
        <row r="52">
          <cell r="B52" t="str">
            <v>Main Panel</v>
          </cell>
        </row>
      </sheetData>
      <sheetData sheetId="3533">
        <row r="52">
          <cell r="B52" t="str">
            <v>Main Panel</v>
          </cell>
        </row>
      </sheetData>
      <sheetData sheetId="3534">
        <row r="52">
          <cell r="B52" t="str">
            <v>Main Panel</v>
          </cell>
        </row>
      </sheetData>
      <sheetData sheetId="3535">
        <row r="52">
          <cell r="B52" t="str">
            <v>Main Panel</v>
          </cell>
        </row>
      </sheetData>
      <sheetData sheetId="3536">
        <row r="52">
          <cell r="B52" t="str">
            <v>Main Panel</v>
          </cell>
        </row>
      </sheetData>
      <sheetData sheetId="3537">
        <row r="52">
          <cell r="B52" t="str">
            <v>Main Panel</v>
          </cell>
        </row>
      </sheetData>
      <sheetData sheetId="3538">
        <row r="52">
          <cell r="B52" t="str">
            <v>Main Panel</v>
          </cell>
        </row>
      </sheetData>
      <sheetData sheetId="3539">
        <row r="52">
          <cell r="B52" t="str">
            <v>Main Panel</v>
          </cell>
        </row>
      </sheetData>
      <sheetData sheetId="3540">
        <row r="52">
          <cell r="B52" t="str">
            <v>Main Panel</v>
          </cell>
        </row>
      </sheetData>
      <sheetData sheetId="3541">
        <row r="52">
          <cell r="B52" t="str">
            <v>Main Panel</v>
          </cell>
        </row>
      </sheetData>
      <sheetData sheetId="3542">
        <row r="52">
          <cell r="B52" t="str">
            <v>Main Panel</v>
          </cell>
        </row>
      </sheetData>
      <sheetData sheetId="3543">
        <row r="52">
          <cell r="B52" t="str">
            <v>Main Panel</v>
          </cell>
        </row>
      </sheetData>
      <sheetData sheetId="3544">
        <row r="52">
          <cell r="B52" t="str">
            <v>Main Panel</v>
          </cell>
        </row>
      </sheetData>
      <sheetData sheetId="3545">
        <row r="52">
          <cell r="B52" t="str">
            <v>Main Panel</v>
          </cell>
        </row>
      </sheetData>
      <sheetData sheetId="3546">
        <row r="52">
          <cell r="B52" t="str">
            <v>Main Panel</v>
          </cell>
        </row>
      </sheetData>
      <sheetData sheetId="3547">
        <row r="52">
          <cell r="B52" t="str">
            <v>Main Panel</v>
          </cell>
        </row>
      </sheetData>
      <sheetData sheetId="3548">
        <row r="52">
          <cell r="B52" t="str">
            <v>Main Panel</v>
          </cell>
        </row>
      </sheetData>
      <sheetData sheetId="3549">
        <row r="52">
          <cell r="B52" t="str">
            <v>Main Panel</v>
          </cell>
        </row>
      </sheetData>
      <sheetData sheetId="3550">
        <row r="52">
          <cell r="B52" t="str">
            <v>Main Panel</v>
          </cell>
        </row>
      </sheetData>
      <sheetData sheetId="3551">
        <row r="52">
          <cell r="B52" t="str">
            <v>Main Panel</v>
          </cell>
        </row>
      </sheetData>
      <sheetData sheetId="3552">
        <row r="52">
          <cell r="B52" t="str">
            <v>Main Panel</v>
          </cell>
        </row>
      </sheetData>
      <sheetData sheetId="3553">
        <row r="52">
          <cell r="B52" t="str">
            <v>Main Panel</v>
          </cell>
        </row>
      </sheetData>
      <sheetData sheetId="3554">
        <row r="52">
          <cell r="B52" t="str">
            <v>Main Panel</v>
          </cell>
        </row>
      </sheetData>
      <sheetData sheetId="3555">
        <row r="52">
          <cell r="B52" t="str">
            <v>Main Panel</v>
          </cell>
        </row>
      </sheetData>
      <sheetData sheetId="3556">
        <row r="52">
          <cell r="B52" t="str">
            <v>Main Panel</v>
          </cell>
        </row>
      </sheetData>
      <sheetData sheetId="3557">
        <row r="52">
          <cell r="B52" t="str">
            <v>Main Panel</v>
          </cell>
        </row>
      </sheetData>
      <sheetData sheetId="3558">
        <row r="52">
          <cell r="B52" t="str">
            <v>Main Panel</v>
          </cell>
        </row>
      </sheetData>
      <sheetData sheetId="3559">
        <row r="52">
          <cell r="B52" t="str">
            <v>Main Panel</v>
          </cell>
        </row>
      </sheetData>
      <sheetData sheetId="3560">
        <row r="52">
          <cell r="B52" t="str">
            <v>Main Panel</v>
          </cell>
        </row>
      </sheetData>
      <sheetData sheetId="3561">
        <row r="52">
          <cell r="B52" t="str">
            <v>Main Panel</v>
          </cell>
        </row>
      </sheetData>
      <sheetData sheetId="3562">
        <row r="52">
          <cell r="B52" t="str">
            <v>Main Panel</v>
          </cell>
        </row>
      </sheetData>
      <sheetData sheetId="3563">
        <row r="52">
          <cell r="B52" t="str">
            <v>Main Panel</v>
          </cell>
        </row>
      </sheetData>
      <sheetData sheetId="3564">
        <row r="52">
          <cell r="B52" t="str">
            <v>Main Panel</v>
          </cell>
        </row>
      </sheetData>
      <sheetData sheetId="3565">
        <row r="52">
          <cell r="B52" t="str">
            <v>Main Panel</v>
          </cell>
        </row>
      </sheetData>
      <sheetData sheetId="3566">
        <row r="52">
          <cell r="B52" t="str">
            <v>Main Panel</v>
          </cell>
        </row>
      </sheetData>
      <sheetData sheetId="3567">
        <row r="52">
          <cell r="B52" t="str">
            <v>Main Panel</v>
          </cell>
        </row>
      </sheetData>
      <sheetData sheetId="3568">
        <row r="52">
          <cell r="B52" t="str">
            <v>Main Panel</v>
          </cell>
        </row>
      </sheetData>
      <sheetData sheetId="3569">
        <row r="52">
          <cell r="B52" t="str">
            <v>Main Panel</v>
          </cell>
        </row>
      </sheetData>
      <sheetData sheetId="3570">
        <row r="52">
          <cell r="B52" t="str">
            <v>Main Panel</v>
          </cell>
        </row>
      </sheetData>
      <sheetData sheetId="3571">
        <row r="52">
          <cell r="B52" t="str">
            <v>Main Panel</v>
          </cell>
        </row>
      </sheetData>
      <sheetData sheetId="3572">
        <row r="52">
          <cell r="B52" t="str">
            <v>Main Panel</v>
          </cell>
        </row>
      </sheetData>
      <sheetData sheetId="3573">
        <row r="52">
          <cell r="B52" t="str">
            <v>Main Panel</v>
          </cell>
        </row>
      </sheetData>
      <sheetData sheetId="3574">
        <row r="52">
          <cell r="B52" t="str">
            <v>Main Panel</v>
          </cell>
        </row>
      </sheetData>
      <sheetData sheetId="3575">
        <row r="52">
          <cell r="B52" t="str">
            <v>Main Panel</v>
          </cell>
        </row>
      </sheetData>
      <sheetData sheetId="3576">
        <row r="52">
          <cell r="B52" t="str">
            <v>Main Panel</v>
          </cell>
        </row>
      </sheetData>
      <sheetData sheetId="3577">
        <row r="52">
          <cell r="B52" t="str">
            <v>Main Panel</v>
          </cell>
        </row>
      </sheetData>
      <sheetData sheetId="3578">
        <row r="52">
          <cell r="B52" t="str">
            <v>Main Panel</v>
          </cell>
        </row>
      </sheetData>
      <sheetData sheetId="3579">
        <row r="52">
          <cell r="B52" t="str">
            <v>Main Panel</v>
          </cell>
        </row>
      </sheetData>
      <sheetData sheetId="3580">
        <row r="52">
          <cell r="B52" t="str">
            <v>Main Panel</v>
          </cell>
        </row>
      </sheetData>
      <sheetData sheetId="3581">
        <row r="52">
          <cell r="B52" t="str">
            <v>Main Panel</v>
          </cell>
        </row>
      </sheetData>
      <sheetData sheetId="3582">
        <row r="52">
          <cell r="B52" t="str">
            <v>Main Panel</v>
          </cell>
        </row>
      </sheetData>
      <sheetData sheetId="3583">
        <row r="52">
          <cell r="B52" t="str">
            <v>Main Panel</v>
          </cell>
        </row>
      </sheetData>
      <sheetData sheetId="3584">
        <row r="52">
          <cell r="B52" t="str">
            <v>Main Panel</v>
          </cell>
        </row>
      </sheetData>
      <sheetData sheetId="3585">
        <row r="52">
          <cell r="B52" t="str">
            <v>Main Panel</v>
          </cell>
        </row>
      </sheetData>
      <sheetData sheetId="3586">
        <row r="52">
          <cell r="B52" t="str">
            <v>Main Panel</v>
          </cell>
        </row>
      </sheetData>
      <sheetData sheetId="3587" refreshError="1"/>
      <sheetData sheetId="3588" refreshError="1"/>
      <sheetData sheetId="3589" refreshError="1"/>
      <sheetData sheetId="3590" refreshError="1"/>
      <sheetData sheetId="3591" refreshError="1"/>
      <sheetData sheetId="3592" refreshError="1"/>
      <sheetData sheetId="3593" refreshError="1"/>
      <sheetData sheetId="3594" refreshError="1"/>
      <sheetData sheetId="3595" refreshError="1"/>
      <sheetData sheetId="3596" refreshError="1"/>
      <sheetData sheetId="3597" refreshError="1"/>
      <sheetData sheetId="3598" refreshError="1"/>
      <sheetData sheetId="3599" refreshError="1"/>
      <sheetData sheetId="3600" refreshError="1"/>
      <sheetData sheetId="3601" refreshError="1"/>
      <sheetData sheetId="3602" refreshError="1"/>
      <sheetData sheetId="3603" refreshError="1"/>
      <sheetData sheetId="3604" refreshError="1"/>
      <sheetData sheetId="3605" refreshError="1"/>
      <sheetData sheetId="3606" refreshError="1"/>
      <sheetData sheetId="3607" refreshError="1"/>
      <sheetData sheetId="3608" refreshError="1"/>
      <sheetData sheetId="3609" refreshError="1"/>
      <sheetData sheetId="3610" refreshError="1"/>
      <sheetData sheetId="3611" refreshError="1"/>
      <sheetData sheetId="3612" refreshError="1"/>
      <sheetData sheetId="3613" refreshError="1"/>
      <sheetData sheetId="3614" refreshError="1"/>
      <sheetData sheetId="3615" refreshError="1"/>
      <sheetData sheetId="3616" refreshError="1"/>
      <sheetData sheetId="3617" refreshError="1"/>
      <sheetData sheetId="3618" refreshError="1"/>
      <sheetData sheetId="3619" refreshError="1"/>
      <sheetData sheetId="3620" refreshError="1"/>
      <sheetData sheetId="3621" refreshError="1"/>
      <sheetData sheetId="3622" refreshError="1"/>
      <sheetData sheetId="3623" refreshError="1"/>
      <sheetData sheetId="3624" refreshError="1"/>
      <sheetData sheetId="3625" refreshError="1"/>
      <sheetData sheetId="3626" refreshError="1"/>
      <sheetData sheetId="3627" refreshError="1"/>
      <sheetData sheetId="3628" refreshError="1"/>
      <sheetData sheetId="3629" refreshError="1"/>
      <sheetData sheetId="3630" refreshError="1"/>
      <sheetData sheetId="3631" refreshError="1"/>
      <sheetData sheetId="3632" refreshError="1"/>
      <sheetData sheetId="3633" refreshError="1"/>
      <sheetData sheetId="3634" refreshError="1"/>
      <sheetData sheetId="3635" refreshError="1"/>
      <sheetData sheetId="3636" refreshError="1"/>
      <sheetData sheetId="3637" refreshError="1"/>
      <sheetData sheetId="3638" refreshError="1"/>
      <sheetData sheetId="3639" refreshError="1"/>
      <sheetData sheetId="3640" refreshError="1"/>
      <sheetData sheetId="3641" refreshError="1"/>
      <sheetData sheetId="3642" refreshError="1"/>
      <sheetData sheetId="3643" refreshError="1"/>
      <sheetData sheetId="3644" refreshError="1"/>
      <sheetData sheetId="3645" refreshError="1"/>
      <sheetData sheetId="3646" refreshError="1"/>
      <sheetData sheetId="3647" refreshError="1"/>
      <sheetData sheetId="3648" refreshError="1"/>
      <sheetData sheetId="3649" refreshError="1"/>
      <sheetData sheetId="3650" refreshError="1"/>
      <sheetData sheetId="3651" refreshError="1"/>
      <sheetData sheetId="3652" refreshError="1"/>
      <sheetData sheetId="3653" refreshError="1"/>
      <sheetData sheetId="3654" refreshError="1"/>
      <sheetData sheetId="3655" refreshError="1"/>
      <sheetData sheetId="3656" refreshError="1"/>
      <sheetData sheetId="3657" refreshError="1"/>
      <sheetData sheetId="3658" refreshError="1"/>
      <sheetData sheetId="3659" refreshError="1"/>
      <sheetData sheetId="3660" refreshError="1"/>
      <sheetData sheetId="3661" refreshError="1"/>
      <sheetData sheetId="3662" refreshError="1"/>
      <sheetData sheetId="3663" refreshError="1"/>
      <sheetData sheetId="3664" refreshError="1"/>
      <sheetData sheetId="3665" refreshError="1"/>
      <sheetData sheetId="3666" refreshError="1"/>
      <sheetData sheetId="3667" refreshError="1"/>
      <sheetData sheetId="3668" refreshError="1"/>
      <sheetData sheetId="3669" refreshError="1"/>
      <sheetData sheetId="3670" refreshError="1"/>
      <sheetData sheetId="3671" refreshError="1"/>
      <sheetData sheetId="3672" refreshError="1"/>
      <sheetData sheetId="3673" refreshError="1"/>
      <sheetData sheetId="3674" refreshError="1"/>
      <sheetData sheetId="3675" refreshError="1"/>
      <sheetData sheetId="3676" refreshError="1"/>
      <sheetData sheetId="3677" refreshError="1"/>
      <sheetData sheetId="3678" refreshError="1"/>
      <sheetData sheetId="3679" refreshError="1"/>
      <sheetData sheetId="3680" refreshError="1"/>
      <sheetData sheetId="3681" refreshError="1"/>
      <sheetData sheetId="3682" refreshError="1"/>
      <sheetData sheetId="3683" refreshError="1"/>
      <sheetData sheetId="3684" refreshError="1"/>
      <sheetData sheetId="3685" refreshError="1"/>
      <sheetData sheetId="3686" refreshError="1"/>
      <sheetData sheetId="3687" refreshError="1"/>
      <sheetData sheetId="3688" refreshError="1"/>
      <sheetData sheetId="3689" refreshError="1"/>
      <sheetData sheetId="3690" refreshError="1"/>
      <sheetData sheetId="3691" refreshError="1"/>
      <sheetData sheetId="3692" refreshError="1"/>
      <sheetData sheetId="3693" refreshError="1"/>
      <sheetData sheetId="3694" refreshError="1"/>
      <sheetData sheetId="3695" refreshError="1"/>
      <sheetData sheetId="3696" refreshError="1"/>
      <sheetData sheetId="3697" refreshError="1"/>
      <sheetData sheetId="3698" refreshError="1"/>
      <sheetData sheetId="3699" refreshError="1"/>
      <sheetData sheetId="3700" refreshError="1"/>
      <sheetData sheetId="3701" refreshError="1"/>
      <sheetData sheetId="3702" refreshError="1"/>
      <sheetData sheetId="3703" refreshError="1"/>
      <sheetData sheetId="3704" refreshError="1"/>
      <sheetData sheetId="3705" refreshError="1"/>
      <sheetData sheetId="3706" refreshError="1"/>
      <sheetData sheetId="3707" refreshError="1"/>
      <sheetData sheetId="3708" refreshError="1"/>
      <sheetData sheetId="3709" refreshError="1"/>
      <sheetData sheetId="3710" refreshError="1"/>
      <sheetData sheetId="3711" refreshError="1"/>
      <sheetData sheetId="3712" refreshError="1"/>
      <sheetData sheetId="3713" refreshError="1"/>
      <sheetData sheetId="3714" refreshError="1"/>
      <sheetData sheetId="3715" refreshError="1"/>
      <sheetData sheetId="3716" refreshError="1"/>
      <sheetData sheetId="3717" refreshError="1"/>
      <sheetData sheetId="3718" refreshError="1"/>
      <sheetData sheetId="3719" refreshError="1"/>
      <sheetData sheetId="3720" refreshError="1"/>
      <sheetData sheetId="3721" refreshError="1"/>
      <sheetData sheetId="3722" refreshError="1"/>
      <sheetData sheetId="3723" refreshError="1"/>
      <sheetData sheetId="3724" refreshError="1"/>
      <sheetData sheetId="3725" refreshError="1"/>
      <sheetData sheetId="3726" refreshError="1"/>
      <sheetData sheetId="3727" refreshError="1"/>
      <sheetData sheetId="3728" refreshError="1"/>
      <sheetData sheetId="3729" refreshError="1"/>
      <sheetData sheetId="3730" refreshError="1"/>
      <sheetData sheetId="3731" refreshError="1"/>
      <sheetData sheetId="3732" refreshError="1"/>
      <sheetData sheetId="3733" refreshError="1"/>
      <sheetData sheetId="3734" refreshError="1"/>
      <sheetData sheetId="3735" refreshError="1"/>
      <sheetData sheetId="3736" refreshError="1"/>
      <sheetData sheetId="3737" refreshError="1"/>
      <sheetData sheetId="3738" refreshError="1"/>
      <sheetData sheetId="3739" refreshError="1"/>
      <sheetData sheetId="3740" refreshError="1"/>
      <sheetData sheetId="3741" refreshError="1"/>
      <sheetData sheetId="3742" refreshError="1"/>
      <sheetData sheetId="3743" refreshError="1"/>
      <sheetData sheetId="3744" refreshError="1"/>
      <sheetData sheetId="3745" refreshError="1"/>
      <sheetData sheetId="3746" refreshError="1"/>
      <sheetData sheetId="3747" refreshError="1"/>
      <sheetData sheetId="3748" refreshError="1"/>
      <sheetData sheetId="3749" refreshError="1"/>
      <sheetData sheetId="3750" refreshError="1"/>
      <sheetData sheetId="3751" refreshError="1"/>
      <sheetData sheetId="3752" refreshError="1"/>
      <sheetData sheetId="3753" refreshError="1"/>
      <sheetData sheetId="3754" refreshError="1"/>
      <sheetData sheetId="3755" refreshError="1"/>
      <sheetData sheetId="3756" refreshError="1"/>
      <sheetData sheetId="3757" refreshError="1"/>
      <sheetData sheetId="3758" refreshError="1"/>
      <sheetData sheetId="3759" refreshError="1"/>
      <sheetData sheetId="3760" refreshError="1"/>
      <sheetData sheetId="3761" refreshError="1"/>
      <sheetData sheetId="3762" refreshError="1"/>
      <sheetData sheetId="3763" refreshError="1"/>
      <sheetData sheetId="3764" refreshError="1"/>
      <sheetData sheetId="3765" refreshError="1"/>
      <sheetData sheetId="3766" refreshError="1"/>
      <sheetData sheetId="3767" refreshError="1"/>
      <sheetData sheetId="3768" refreshError="1"/>
      <sheetData sheetId="3769" refreshError="1"/>
      <sheetData sheetId="3770" refreshError="1"/>
      <sheetData sheetId="3771" refreshError="1"/>
      <sheetData sheetId="3772" refreshError="1"/>
      <sheetData sheetId="3773">
        <row r="52">
          <cell r="B52" t="str">
            <v>Main Panel</v>
          </cell>
        </row>
      </sheetData>
      <sheetData sheetId="3774">
        <row r="52">
          <cell r="B52" t="str">
            <v>Main Panel</v>
          </cell>
        </row>
      </sheetData>
      <sheetData sheetId="3775">
        <row r="52">
          <cell r="B52" t="str">
            <v>Main Panel</v>
          </cell>
        </row>
      </sheetData>
      <sheetData sheetId="3776">
        <row r="52">
          <cell r="B52" t="str">
            <v>Main Panel</v>
          </cell>
        </row>
      </sheetData>
      <sheetData sheetId="3777">
        <row r="52">
          <cell r="B52" t="str">
            <v>Main Panel</v>
          </cell>
        </row>
      </sheetData>
      <sheetData sheetId="3778">
        <row r="52">
          <cell r="B52" t="str">
            <v>Main Panel</v>
          </cell>
        </row>
      </sheetData>
      <sheetData sheetId="3779">
        <row r="52">
          <cell r="B52" t="str">
            <v>Main Panel</v>
          </cell>
        </row>
      </sheetData>
      <sheetData sheetId="3780">
        <row r="52">
          <cell r="B52" t="str">
            <v>Main Panel</v>
          </cell>
        </row>
      </sheetData>
      <sheetData sheetId="3781">
        <row r="52">
          <cell r="B52" t="str">
            <v>Main Panel</v>
          </cell>
        </row>
      </sheetData>
      <sheetData sheetId="3782">
        <row r="52">
          <cell r="B52" t="str">
            <v>Main Panel</v>
          </cell>
        </row>
      </sheetData>
      <sheetData sheetId="3783">
        <row r="52">
          <cell r="B52" t="str">
            <v>Main Panel</v>
          </cell>
        </row>
      </sheetData>
      <sheetData sheetId="3784">
        <row r="52">
          <cell r="B52" t="str">
            <v>Main Panel</v>
          </cell>
        </row>
      </sheetData>
      <sheetData sheetId="3785">
        <row r="52">
          <cell r="B52" t="str">
            <v>Main Panel</v>
          </cell>
        </row>
      </sheetData>
      <sheetData sheetId="3786">
        <row r="52">
          <cell r="B52" t="str">
            <v>Main Panel</v>
          </cell>
        </row>
      </sheetData>
      <sheetData sheetId="3787">
        <row r="52">
          <cell r="B52" t="str">
            <v>Main Panel</v>
          </cell>
        </row>
      </sheetData>
      <sheetData sheetId="3788">
        <row r="52">
          <cell r="B52" t="str">
            <v>Main Panel</v>
          </cell>
        </row>
      </sheetData>
      <sheetData sheetId="3789">
        <row r="52">
          <cell r="B52" t="str">
            <v>Main Panel</v>
          </cell>
        </row>
      </sheetData>
      <sheetData sheetId="3790">
        <row r="52">
          <cell r="B52" t="str">
            <v>Main Panel</v>
          </cell>
        </row>
      </sheetData>
      <sheetData sheetId="3791">
        <row r="52">
          <cell r="B52" t="str">
            <v>Main Panel</v>
          </cell>
        </row>
      </sheetData>
      <sheetData sheetId="3792">
        <row r="52">
          <cell r="B52" t="str">
            <v>Main Panel</v>
          </cell>
        </row>
      </sheetData>
      <sheetData sheetId="3793">
        <row r="52">
          <cell r="B52" t="str">
            <v>Main Panel</v>
          </cell>
        </row>
      </sheetData>
      <sheetData sheetId="3794">
        <row r="52">
          <cell r="B52" t="str">
            <v>Main Panel</v>
          </cell>
        </row>
      </sheetData>
      <sheetData sheetId="3795">
        <row r="52">
          <cell r="B52" t="str">
            <v>Main Panel</v>
          </cell>
        </row>
      </sheetData>
      <sheetData sheetId="3796">
        <row r="52">
          <cell r="B52" t="str">
            <v>Main Panel</v>
          </cell>
        </row>
      </sheetData>
      <sheetData sheetId="3797">
        <row r="52">
          <cell r="B52" t="str">
            <v>Main Panel</v>
          </cell>
        </row>
      </sheetData>
      <sheetData sheetId="3798">
        <row r="52">
          <cell r="B52" t="str">
            <v>Main Panel</v>
          </cell>
        </row>
      </sheetData>
      <sheetData sheetId="3799">
        <row r="52">
          <cell r="B52" t="str">
            <v>Main Panel</v>
          </cell>
        </row>
      </sheetData>
      <sheetData sheetId="3800">
        <row r="52">
          <cell r="B52" t="str">
            <v>Main Panel</v>
          </cell>
        </row>
      </sheetData>
      <sheetData sheetId="3801">
        <row r="52">
          <cell r="B52" t="str">
            <v>Main Panel</v>
          </cell>
        </row>
      </sheetData>
      <sheetData sheetId="3802">
        <row r="52">
          <cell r="B52" t="str">
            <v>Main Panel</v>
          </cell>
        </row>
      </sheetData>
      <sheetData sheetId="3803">
        <row r="52">
          <cell r="B52" t="str">
            <v>Main Panel</v>
          </cell>
        </row>
      </sheetData>
      <sheetData sheetId="3804">
        <row r="52">
          <cell r="B52" t="str">
            <v>Main Panel</v>
          </cell>
        </row>
      </sheetData>
      <sheetData sheetId="3805">
        <row r="52">
          <cell r="B52" t="str">
            <v>Main Panel</v>
          </cell>
        </row>
      </sheetData>
      <sheetData sheetId="3806">
        <row r="52">
          <cell r="B52" t="str">
            <v>Main Panel</v>
          </cell>
        </row>
      </sheetData>
      <sheetData sheetId="3807">
        <row r="52">
          <cell r="B52" t="str">
            <v>Main Panel</v>
          </cell>
        </row>
      </sheetData>
      <sheetData sheetId="3808">
        <row r="52">
          <cell r="B52" t="str">
            <v>Main Panel</v>
          </cell>
        </row>
      </sheetData>
      <sheetData sheetId="3809">
        <row r="52">
          <cell r="B52" t="str">
            <v>Main Panel</v>
          </cell>
        </row>
      </sheetData>
      <sheetData sheetId="3810">
        <row r="52">
          <cell r="B52" t="str">
            <v>Main Panel</v>
          </cell>
        </row>
      </sheetData>
      <sheetData sheetId="3811">
        <row r="52">
          <cell r="B52" t="str">
            <v>Main Panel</v>
          </cell>
        </row>
      </sheetData>
      <sheetData sheetId="3812">
        <row r="52">
          <cell r="B52" t="str">
            <v>Main Panel</v>
          </cell>
        </row>
      </sheetData>
      <sheetData sheetId="3813">
        <row r="52">
          <cell r="B52" t="str">
            <v>Main Panel</v>
          </cell>
        </row>
      </sheetData>
      <sheetData sheetId="3814">
        <row r="52">
          <cell r="B52" t="str">
            <v>Main Panel</v>
          </cell>
        </row>
      </sheetData>
      <sheetData sheetId="3815">
        <row r="52">
          <cell r="B52" t="str">
            <v>Main Panel</v>
          </cell>
        </row>
      </sheetData>
      <sheetData sheetId="3816">
        <row r="52">
          <cell r="B52" t="str">
            <v>Main Panel</v>
          </cell>
        </row>
      </sheetData>
      <sheetData sheetId="3817">
        <row r="52">
          <cell r="B52" t="str">
            <v>Main Panel</v>
          </cell>
        </row>
      </sheetData>
      <sheetData sheetId="3818">
        <row r="52">
          <cell r="B52" t="str">
            <v>Main Panel</v>
          </cell>
        </row>
      </sheetData>
      <sheetData sheetId="3819">
        <row r="52">
          <cell r="B52" t="str">
            <v>Main Panel</v>
          </cell>
        </row>
      </sheetData>
      <sheetData sheetId="3820">
        <row r="52">
          <cell r="B52" t="str">
            <v>Main Panel</v>
          </cell>
        </row>
      </sheetData>
      <sheetData sheetId="3821">
        <row r="52">
          <cell r="B52" t="str">
            <v>Main Panel</v>
          </cell>
        </row>
      </sheetData>
      <sheetData sheetId="3822">
        <row r="52">
          <cell r="B52" t="str">
            <v>Main Panel</v>
          </cell>
        </row>
      </sheetData>
      <sheetData sheetId="3823">
        <row r="52">
          <cell r="B52" t="str">
            <v>Main Panel</v>
          </cell>
        </row>
      </sheetData>
      <sheetData sheetId="3824">
        <row r="52">
          <cell r="B52" t="str">
            <v>Main Panel</v>
          </cell>
        </row>
      </sheetData>
      <sheetData sheetId="3825">
        <row r="52">
          <cell r="B52" t="str">
            <v>Main Panel</v>
          </cell>
        </row>
      </sheetData>
      <sheetData sheetId="3826">
        <row r="52">
          <cell r="B52" t="str">
            <v>Main Panel</v>
          </cell>
        </row>
      </sheetData>
      <sheetData sheetId="3827">
        <row r="52">
          <cell r="B52" t="str">
            <v>Main Panel</v>
          </cell>
        </row>
      </sheetData>
      <sheetData sheetId="3828">
        <row r="52">
          <cell r="B52" t="str">
            <v>Main Panel</v>
          </cell>
        </row>
      </sheetData>
      <sheetData sheetId="3829">
        <row r="52">
          <cell r="B52" t="str">
            <v>Main Panel</v>
          </cell>
        </row>
      </sheetData>
      <sheetData sheetId="3830">
        <row r="52">
          <cell r="B52" t="str">
            <v>Main Panel</v>
          </cell>
        </row>
      </sheetData>
      <sheetData sheetId="3831">
        <row r="52">
          <cell r="B52" t="str">
            <v>Main Panel</v>
          </cell>
        </row>
      </sheetData>
      <sheetData sheetId="3832">
        <row r="52">
          <cell r="B52" t="str">
            <v>Main Panel</v>
          </cell>
        </row>
      </sheetData>
      <sheetData sheetId="3833">
        <row r="52">
          <cell r="B52" t="str">
            <v>Main Panel</v>
          </cell>
        </row>
      </sheetData>
      <sheetData sheetId="3834">
        <row r="52">
          <cell r="B52" t="str">
            <v>Main Panel</v>
          </cell>
        </row>
      </sheetData>
      <sheetData sheetId="3835">
        <row r="52">
          <cell r="B52" t="str">
            <v>Main Panel</v>
          </cell>
        </row>
      </sheetData>
      <sheetData sheetId="3836">
        <row r="52">
          <cell r="B52" t="str">
            <v>Main Panel</v>
          </cell>
        </row>
      </sheetData>
      <sheetData sheetId="3837">
        <row r="52">
          <cell r="B52" t="str">
            <v>Main Panel</v>
          </cell>
        </row>
      </sheetData>
      <sheetData sheetId="3838">
        <row r="52">
          <cell r="B52" t="str">
            <v>Main Panel</v>
          </cell>
        </row>
      </sheetData>
      <sheetData sheetId="3839">
        <row r="52">
          <cell r="B52" t="str">
            <v>Main Panel</v>
          </cell>
        </row>
      </sheetData>
      <sheetData sheetId="3840">
        <row r="52">
          <cell r="B52" t="str">
            <v>Main Panel</v>
          </cell>
        </row>
      </sheetData>
      <sheetData sheetId="3841">
        <row r="52">
          <cell r="B52" t="str">
            <v>Main Panel</v>
          </cell>
        </row>
      </sheetData>
      <sheetData sheetId="3842">
        <row r="52">
          <cell r="B52" t="str">
            <v>Main Panel</v>
          </cell>
        </row>
      </sheetData>
      <sheetData sheetId="3843">
        <row r="52">
          <cell r="B52" t="str">
            <v>Main Panel</v>
          </cell>
        </row>
      </sheetData>
      <sheetData sheetId="3844">
        <row r="52">
          <cell r="B52" t="str">
            <v>Main Panel</v>
          </cell>
        </row>
      </sheetData>
      <sheetData sheetId="3845">
        <row r="52">
          <cell r="B52" t="str">
            <v>Main Panel</v>
          </cell>
        </row>
      </sheetData>
      <sheetData sheetId="3846">
        <row r="52">
          <cell r="B52" t="str">
            <v>Main Panel</v>
          </cell>
        </row>
      </sheetData>
      <sheetData sheetId="3847">
        <row r="52">
          <cell r="B52" t="str">
            <v>Main Panel</v>
          </cell>
        </row>
      </sheetData>
      <sheetData sheetId="3848">
        <row r="52">
          <cell r="B52" t="str">
            <v>Main Panel</v>
          </cell>
        </row>
      </sheetData>
      <sheetData sheetId="3849">
        <row r="52">
          <cell r="B52" t="str">
            <v>Main Panel</v>
          </cell>
        </row>
      </sheetData>
      <sheetData sheetId="3850">
        <row r="52">
          <cell r="B52" t="str">
            <v>Main Panel</v>
          </cell>
        </row>
      </sheetData>
      <sheetData sheetId="3851">
        <row r="52">
          <cell r="B52" t="str">
            <v>Main Panel</v>
          </cell>
        </row>
      </sheetData>
      <sheetData sheetId="3852">
        <row r="52">
          <cell r="B52" t="str">
            <v>Main Panel</v>
          </cell>
        </row>
      </sheetData>
      <sheetData sheetId="3853">
        <row r="52">
          <cell r="B52" t="str">
            <v>Main Panel</v>
          </cell>
        </row>
      </sheetData>
      <sheetData sheetId="3854">
        <row r="52">
          <cell r="B52" t="str">
            <v>Main Panel</v>
          </cell>
        </row>
      </sheetData>
      <sheetData sheetId="3855">
        <row r="52">
          <cell r="B52" t="str">
            <v>Main Panel</v>
          </cell>
        </row>
      </sheetData>
      <sheetData sheetId="3856">
        <row r="52">
          <cell r="B52" t="str">
            <v>Main Panel</v>
          </cell>
        </row>
      </sheetData>
      <sheetData sheetId="3857">
        <row r="52">
          <cell r="B52" t="str">
            <v>Main Panel</v>
          </cell>
        </row>
      </sheetData>
      <sheetData sheetId="3858">
        <row r="52">
          <cell r="B52" t="str">
            <v>Main Panel</v>
          </cell>
        </row>
      </sheetData>
      <sheetData sheetId="3859">
        <row r="52">
          <cell r="B52" t="str">
            <v>Main Panel</v>
          </cell>
        </row>
      </sheetData>
      <sheetData sheetId="3860">
        <row r="52">
          <cell r="B52" t="str">
            <v>Main Panel</v>
          </cell>
        </row>
      </sheetData>
      <sheetData sheetId="3861">
        <row r="52">
          <cell r="B52" t="str">
            <v>Main Panel</v>
          </cell>
        </row>
      </sheetData>
      <sheetData sheetId="3862">
        <row r="52">
          <cell r="B52" t="str">
            <v>Main Panel</v>
          </cell>
        </row>
      </sheetData>
      <sheetData sheetId="3863">
        <row r="52">
          <cell r="B52" t="str">
            <v>Main Panel</v>
          </cell>
        </row>
      </sheetData>
      <sheetData sheetId="3864">
        <row r="52">
          <cell r="B52" t="str">
            <v>Main Panel</v>
          </cell>
        </row>
      </sheetData>
      <sheetData sheetId="3865">
        <row r="52">
          <cell r="B52" t="str">
            <v>Main Panel</v>
          </cell>
        </row>
      </sheetData>
      <sheetData sheetId="3866">
        <row r="52">
          <cell r="B52" t="str">
            <v>Main Panel</v>
          </cell>
        </row>
      </sheetData>
      <sheetData sheetId="3867">
        <row r="52">
          <cell r="B52" t="str">
            <v>Main Panel</v>
          </cell>
        </row>
      </sheetData>
      <sheetData sheetId="3868">
        <row r="52">
          <cell r="B52" t="str">
            <v>Main Panel</v>
          </cell>
        </row>
      </sheetData>
      <sheetData sheetId="3869">
        <row r="52">
          <cell r="B52" t="str">
            <v>Main Panel</v>
          </cell>
        </row>
      </sheetData>
      <sheetData sheetId="3870">
        <row r="52">
          <cell r="B52" t="str">
            <v>Main Panel</v>
          </cell>
        </row>
      </sheetData>
      <sheetData sheetId="3871">
        <row r="52">
          <cell r="B52" t="str">
            <v>Main Panel</v>
          </cell>
        </row>
      </sheetData>
      <sheetData sheetId="3872">
        <row r="52">
          <cell r="B52" t="str">
            <v>Main Panel</v>
          </cell>
        </row>
      </sheetData>
      <sheetData sheetId="3873">
        <row r="52">
          <cell r="B52" t="str">
            <v>Main Panel</v>
          </cell>
        </row>
      </sheetData>
      <sheetData sheetId="3874">
        <row r="52">
          <cell r="B52" t="str">
            <v>Main Panel</v>
          </cell>
        </row>
      </sheetData>
      <sheetData sheetId="3875">
        <row r="52">
          <cell r="B52" t="str">
            <v>Main Panel</v>
          </cell>
        </row>
      </sheetData>
      <sheetData sheetId="3876">
        <row r="52">
          <cell r="B52" t="str">
            <v>Main Panel</v>
          </cell>
        </row>
      </sheetData>
      <sheetData sheetId="3877">
        <row r="52">
          <cell r="B52" t="str">
            <v>Main Panel</v>
          </cell>
        </row>
      </sheetData>
      <sheetData sheetId="3878">
        <row r="52">
          <cell r="B52" t="str">
            <v>Main Panel</v>
          </cell>
        </row>
      </sheetData>
      <sheetData sheetId="3879">
        <row r="52">
          <cell r="B52" t="str">
            <v>Main Panel</v>
          </cell>
        </row>
      </sheetData>
      <sheetData sheetId="3880">
        <row r="52">
          <cell r="B52" t="str">
            <v>Main Panel</v>
          </cell>
        </row>
      </sheetData>
      <sheetData sheetId="3881">
        <row r="52">
          <cell r="B52" t="str">
            <v>Main Panel</v>
          </cell>
        </row>
      </sheetData>
      <sheetData sheetId="3882">
        <row r="52">
          <cell r="B52" t="str">
            <v>Main Panel</v>
          </cell>
        </row>
      </sheetData>
      <sheetData sheetId="3883">
        <row r="52">
          <cell r="B52" t="str">
            <v>Main Panel</v>
          </cell>
        </row>
      </sheetData>
      <sheetData sheetId="3884">
        <row r="52">
          <cell r="B52" t="str">
            <v>Main Panel</v>
          </cell>
        </row>
      </sheetData>
      <sheetData sheetId="3885">
        <row r="52">
          <cell r="B52" t="str">
            <v>Main Panel</v>
          </cell>
        </row>
      </sheetData>
      <sheetData sheetId="3886">
        <row r="52">
          <cell r="B52" t="str">
            <v>Main Panel</v>
          </cell>
        </row>
      </sheetData>
      <sheetData sheetId="3887">
        <row r="52">
          <cell r="B52" t="str">
            <v>Main Panel</v>
          </cell>
        </row>
      </sheetData>
      <sheetData sheetId="3888">
        <row r="52">
          <cell r="B52" t="str">
            <v>Main Panel</v>
          </cell>
        </row>
      </sheetData>
      <sheetData sheetId="3889">
        <row r="52">
          <cell r="B52" t="str">
            <v>Main Panel</v>
          </cell>
        </row>
      </sheetData>
      <sheetData sheetId="3890">
        <row r="52">
          <cell r="B52" t="str">
            <v>Main Panel</v>
          </cell>
        </row>
      </sheetData>
      <sheetData sheetId="3891">
        <row r="52">
          <cell r="B52" t="str">
            <v>Main Panel</v>
          </cell>
        </row>
      </sheetData>
      <sheetData sheetId="3892">
        <row r="52">
          <cell r="B52" t="str">
            <v>Main Panel</v>
          </cell>
        </row>
      </sheetData>
      <sheetData sheetId="3893">
        <row r="52">
          <cell r="B52" t="str">
            <v>Main Panel</v>
          </cell>
        </row>
      </sheetData>
      <sheetData sheetId="3894">
        <row r="52">
          <cell r="B52" t="str">
            <v>Main Panel</v>
          </cell>
        </row>
      </sheetData>
      <sheetData sheetId="3895">
        <row r="52">
          <cell r="B52" t="str">
            <v>Main Panel</v>
          </cell>
        </row>
      </sheetData>
      <sheetData sheetId="3896">
        <row r="52">
          <cell r="B52" t="str">
            <v>Main Panel</v>
          </cell>
        </row>
      </sheetData>
      <sheetData sheetId="3897">
        <row r="52">
          <cell r="B52" t="str">
            <v>Main Panel</v>
          </cell>
        </row>
      </sheetData>
      <sheetData sheetId="3898">
        <row r="52">
          <cell r="B52" t="str">
            <v>Main Panel</v>
          </cell>
        </row>
      </sheetData>
      <sheetData sheetId="3899">
        <row r="52">
          <cell r="B52" t="str">
            <v>Main Panel</v>
          </cell>
        </row>
      </sheetData>
      <sheetData sheetId="3900">
        <row r="52">
          <cell r="B52" t="str">
            <v>Main Panel</v>
          </cell>
        </row>
      </sheetData>
      <sheetData sheetId="3901">
        <row r="52">
          <cell r="B52" t="str">
            <v>Main Panel</v>
          </cell>
        </row>
      </sheetData>
      <sheetData sheetId="3902">
        <row r="52">
          <cell r="B52" t="str">
            <v>Main Panel</v>
          </cell>
        </row>
      </sheetData>
      <sheetData sheetId="3903">
        <row r="52">
          <cell r="B52" t="str">
            <v>Main Panel</v>
          </cell>
        </row>
      </sheetData>
      <sheetData sheetId="3904">
        <row r="52">
          <cell r="B52" t="str">
            <v>Main Panel</v>
          </cell>
        </row>
      </sheetData>
      <sheetData sheetId="3905">
        <row r="52">
          <cell r="B52" t="str">
            <v>Main Panel</v>
          </cell>
        </row>
      </sheetData>
      <sheetData sheetId="3906">
        <row r="52">
          <cell r="B52" t="str">
            <v>Main Panel</v>
          </cell>
        </row>
      </sheetData>
      <sheetData sheetId="3907">
        <row r="52">
          <cell r="B52" t="str">
            <v>Main Panel</v>
          </cell>
        </row>
      </sheetData>
      <sheetData sheetId="3908">
        <row r="52">
          <cell r="B52" t="str">
            <v>Main Panel</v>
          </cell>
        </row>
      </sheetData>
      <sheetData sheetId="3909">
        <row r="52">
          <cell r="B52" t="str">
            <v>Main Panel</v>
          </cell>
        </row>
      </sheetData>
      <sheetData sheetId="3910">
        <row r="52">
          <cell r="B52" t="str">
            <v>Main Panel</v>
          </cell>
        </row>
      </sheetData>
      <sheetData sheetId="3911">
        <row r="52">
          <cell r="B52" t="str">
            <v>Main Panel</v>
          </cell>
        </row>
      </sheetData>
      <sheetData sheetId="3912">
        <row r="52">
          <cell r="B52" t="str">
            <v>Main Panel</v>
          </cell>
        </row>
      </sheetData>
      <sheetData sheetId="3913">
        <row r="52">
          <cell r="B52" t="str">
            <v>Main Panel</v>
          </cell>
        </row>
      </sheetData>
      <sheetData sheetId="3914">
        <row r="52">
          <cell r="B52" t="str">
            <v>Main Panel</v>
          </cell>
        </row>
      </sheetData>
      <sheetData sheetId="3915">
        <row r="52">
          <cell r="B52" t="str">
            <v>Main Panel</v>
          </cell>
        </row>
      </sheetData>
      <sheetData sheetId="3916">
        <row r="52">
          <cell r="B52" t="str">
            <v>Main Panel</v>
          </cell>
        </row>
      </sheetData>
      <sheetData sheetId="3917">
        <row r="52">
          <cell r="B52" t="str">
            <v>Main Panel</v>
          </cell>
        </row>
      </sheetData>
      <sheetData sheetId="3918">
        <row r="52">
          <cell r="B52" t="str">
            <v>Main Panel</v>
          </cell>
        </row>
      </sheetData>
      <sheetData sheetId="3919">
        <row r="52">
          <cell r="B52" t="str">
            <v>Main Panel</v>
          </cell>
        </row>
      </sheetData>
      <sheetData sheetId="3920">
        <row r="52">
          <cell r="B52" t="str">
            <v>Main Panel</v>
          </cell>
        </row>
      </sheetData>
      <sheetData sheetId="3921">
        <row r="52">
          <cell r="B52" t="str">
            <v>Main Panel</v>
          </cell>
        </row>
      </sheetData>
      <sheetData sheetId="3922">
        <row r="52">
          <cell r="B52" t="str">
            <v>Main Panel</v>
          </cell>
        </row>
      </sheetData>
      <sheetData sheetId="3923">
        <row r="52">
          <cell r="B52" t="str">
            <v>Main Panel</v>
          </cell>
        </row>
      </sheetData>
      <sheetData sheetId="3924">
        <row r="52">
          <cell r="B52" t="str">
            <v>Main Panel</v>
          </cell>
        </row>
      </sheetData>
      <sheetData sheetId="3925">
        <row r="52">
          <cell r="B52" t="str">
            <v>Main Panel</v>
          </cell>
        </row>
      </sheetData>
      <sheetData sheetId="3926">
        <row r="52">
          <cell r="B52" t="str">
            <v>Main Panel</v>
          </cell>
        </row>
      </sheetData>
      <sheetData sheetId="3927">
        <row r="52">
          <cell r="B52" t="str">
            <v>Main Panel</v>
          </cell>
        </row>
      </sheetData>
      <sheetData sheetId="3928">
        <row r="52">
          <cell r="B52" t="str">
            <v>Main Panel</v>
          </cell>
        </row>
      </sheetData>
      <sheetData sheetId="3929">
        <row r="52">
          <cell r="B52" t="str">
            <v>Main Panel</v>
          </cell>
        </row>
      </sheetData>
      <sheetData sheetId="3930">
        <row r="52">
          <cell r="B52" t="str">
            <v>Main Panel</v>
          </cell>
        </row>
      </sheetData>
      <sheetData sheetId="3931">
        <row r="52">
          <cell r="B52" t="str">
            <v>Main Panel</v>
          </cell>
        </row>
      </sheetData>
      <sheetData sheetId="3932">
        <row r="52">
          <cell r="B52" t="str">
            <v>Main Panel</v>
          </cell>
        </row>
      </sheetData>
      <sheetData sheetId="3933">
        <row r="52">
          <cell r="B52" t="str">
            <v>Main Panel</v>
          </cell>
        </row>
      </sheetData>
      <sheetData sheetId="3934">
        <row r="52">
          <cell r="B52" t="str">
            <v>Main Panel</v>
          </cell>
        </row>
      </sheetData>
      <sheetData sheetId="3935">
        <row r="52">
          <cell r="B52" t="str">
            <v>Main Panel</v>
          </cell>
        </row>
      </sheetData>
      <sheetData sheetId="3936">
        <row r="52">
          <cell r="B52" t="str">
            <v>Main Panel</v>
          </cell>
        </row>
      </sheetData>
      <sheetData sheetId="3937">
        <row r="52">
          <cell r="B52" t="str">
            <v>Main Panel</v>
          </cell>
        </row>
      </sheetData>
      <sheetData sheetId="3938">
        <row r="52">
          <cell r="B52" t="str">
            <v>Main Panel</v>
          </cell>
        </row>
      </sheetData>
      <sheetData sheetId="3939">
        <row r="52">
          <cell r="B52" t="str">
            <v>Main Panel</v>
          </cell>
        </row>
      </sheetData>
      <sheetData sheetId="3940">
        <row r="52">
          <cell r="B52" t="str">
            <v>Main Panel</v>
          </cell>
        </row>
      </sheetData>
      <sheetData sheetId="3941">
        <row r="52">
          <cell r="B52" t="str">
            <v>Main Panel</v>
          </cell>
        </row>
      </sheetData>
      <sheetData sheetId="3942">
        <row r="52">
          <cell r="B52" t="str">
            <v>Main Panel</v>
          </cell>
        </row>
      </sheetData>
      <sheetData sheetId="3943">
        <row r="52">
          <cell r="B52" t="str">
            <v>Main Panel</v>
          </cell>
        </row>
      </sheetData>
      <sheetData sheetId="3944">
        <row r="52">
          <cell r="B52" t="str">
            <v>Main Panel</v>
          </cell>
        </row>
      </sheetData>
      <sheetData sheetId="3945">
        <row r="52">
          <cell r="B52" t="str">
            <v>Main Panel</v>
          </cell>
        </row>
      </sheetData>
      <sheetData sheetId="3946">
        <row r="52">
          <cell r="B52" t="str">
            <v>Main Panel</v>
          </cell>
        </row>
      </sheetData>
      <sheetData sheetId="3947">
        <row r="52">
          <cell r="B52" t="str">
            <v>Main Panel</v>
          </cell>
        </row>
      </sheetData>
      <sheetData sheetId="3948">
        <row r="52">
          <cell r="B52" t="str">
            <v>Main Panel</v>
          </cell>
        </row>
      </sheetData>
      <sheetData sheetId="3949">
        <row r="52">
          <cell r="B52" t="str">
            <v>Main Panel</v>
          </cell>
        </row>
      </sheetData>
      <sheetData sheetId="3950">
        <row r="52">
          <cell r="B52" t="str">
            <v>Main Panel</v>
          </cell>
        </row>
      </sheetData>
      <sheetData sheetId="3951">
        <row r="52">
          <cell r="B52" t="str">
            <v>Main Panel</v>
          </cell>
        </row>
      </sheetData>
      <sheetData sheetId="3952">
        <row r="52">
          <cell r="B52" t="str">
            <v>Main Panel</v>
          </cell>
        </row>
      </sheetData>
      <sheetData sheetId="3953">
        <row r="52">
          <cell r="B52" t="str">
            <v>Main Panel</v>
          </cell>
        </row>
      </sheetData>
      <sheetData sheetId="3954">
        <row r="52">
          <cell r="B52" t="str">
            <v>Main Panel</v>
          </cell>
        </row>
      </sheetData>
      <sheetData sheetId="3955">
        <row r="52">
          <cell r="B52" t="str">
            <v>Main Panel</v>
          </cell>
        </row>
      </sheetData>
      <sheetData sheetId="3956">
        <row r="52">
          <cell r="B52" t="str">
            <v>Main Panel</v>
          </cell>
        </row>
      </sheetData>
      <sheetData sheetId="3957">
        <row r="52">
          <cell r="B52" t="str">
            <v>Main Panel</v>
          </cell>
        </row>
      </sheetData>
      <sheetData sheetId="3958">
        <row r="52">
          <cell r="B52" t="str">
            <v>Main Panel</v>
          </cell>
        </row>
      </sheetData>
      <sheetData sheetId="3959">
        <row r="52">
          <cell r="B52" t="str">
            <v>Main Panel</v>
          </cell>
        </row>
      </sheetData>
      <sheetData sheetId="3960">
        <row r="52">
          <cell r="B52" t="str">
            <v>Main Panel</v>
          </cell>
        </row>
      </sheetData>
      <sheetData sheetId="3961">
        <row r="52">
          <cell r="B52" t="str">
            <v>Main Panel</v>
          </cell>
        </row>
      </sheetData>
      <sheetData sheetId="3962">
        <row r="52">
          <cell r="B52" t="str">
            <v>Main Panel</v>
          </cell>
        </row>
      </sheetData>
      <sheetData sheetId="3963">
        <row r="52">
          <cell r="B52" t="str">
            <v>Main Panel</v>
          </cell>
        </row>
      </sheetData>
      <sheetData sheetId="3964">
        <row r="52">
          <cell r="B52" t="str">
            <v>Main Panel</v>
          </cell>
        </row>
      </sheetData>
      <sheetData sheetId="3965">
        <row r="52">
          <cell r="B52" t="str">
            <v>Main Panel</v>
          </cell>
        </row>
      </sheetData>
      <sheetData sheetId="3966">
        <row r="52">
          <cell r="B52" t="str">
            <v>Main Panel</v>
          </cell>
        </row>
      </sheetData>
      <sheetData sheetId="3967">
        <row r="52">
          <cell r="B52" t="str">
            <v>Main Panel</v>
          </cell>
        </row>
      </sheetData>
      <sheetData sheetId="3968">
        <row r="52">
          <cell r="B52" t="str">
            <v>Main Panel</v>
          </cell>
        </row>
      </sheetData>
      <sheetData sheetId="3969">
        <row r="52">
          <cell r="B52" t="str">
            <v>Main Panel</v>
          </cell>
        </row>
      </sheetData>
      <sheetData sheetId="3970">
        <row r="52">
          <cell r="B52" t="str">
            <v>Main Panel</v>
          </cell>
        </row>
      </sheetData>
      <sheetData sheetId="3971">
        <row r="52">
          <cell r="B52" t="str">
            <v>Main Panel</v>
          </cell>
        </row>
      </sheetData>
      <sheetData sheetId="3972">
        <row r="52">
          <cell r="B52" t="str">
            <v>Main Panel</v>
          </cell>
        </row>
      </sheetData>
      <sheetData sheetId="3973">
        <row r="52">
          <cell r="B52" t="str">
            <v>Main Panel</v>
          </cell>
        </row>
      </sheetData>
      <sheetData sheetId="3974">
        <row r="52">
          <cell r="B52" t="str">
            <v>Main Panel</v>
          </cell>
        </row>
      </sheetData>
      <sheetData sheetId="3975">
        <row r="52">
          <cell r="B52" t="str">
            <v>Main Panel</v>
          </cell>
        </row>
      </sheetData>
      <sheetData sheetId="3976">
        <row r="52">
          <cell r="B52" t="str">
            <v>Main Panel</v>
          </cell>
        </row>
      </sheetData>
      <sheetData sheetId="3977">
        <row r="52">
          <cell r="B52" t="str">
            <v>Main Panel</v>
          </cell>
        </row>
      </sheetData>
      <sheetData sheetId="3978">
        <row r="52">
          <cell r="B52" t="str">
            <v>Main Panel</v>
          </cell>
        </row>
      </sheetData>
      <sheetData sheetId="3979">
        <row r="52">
          <cell r="B52" t="str">
            <v>Main Panel</v>
          </cell>
        </row>
      </sheetData>
      <sheetData sheetId="3980">
        <row r="52">
          <cell r="B52" t="str">
            <v>Main Panel</v>
          </cell>
        </row>
      </sheetData>
      <sheetData sheetId="3981">
        <row r="52">
          <cell r="B52" t="str">
            <v>Main Panel</v>
          </cell>
        </row>
      </sheetData>
      <sheetData sheetId="3982">
        <row r="52">
          <cell r="B52" t="str">
            <v>Main Panel</v>
          </cell>
        </row>
      </sheetData>
      <sheetData sheetId="3983">
        <row r="52">
          <cell r="B52" t="str">
            <v>Main Panel</v>
          </cell>
        </row>
      </sheetData>
      <sheetData sheetId="3984">
        <row r="52">
          <cell r="B52" t="str">
            <v>Main Panel</v>
          </cell>
        </row>
      </sheetData>
      <sheetData sheetId="3985">
        <row r="52">
          <cell r="B52" t="str">
            <v>Main Panel</v>
          </cell>
        </row>
      </sheetData>
      <sheetData sheetId="3986">
        <row r="52">
          <cell r="B52" t="str">
            <v>Main Panel</v>
          </cell>
        </row>
      </sheetData>
      <sheetData sheetId="3987">
        <row r="52">
          <cell r="B52" t="str">
            <v>Main Panel</v>
          </cell>
        </row>
      </sheetData>
      <sheetData sheetId="3988">
        <row r="52">
          <cell r="B52" t="str">
            <v>Main Panel</v>
          </cell>
        </row>
      </sheetData>
      <sheetData sheetId="3989">
        <row r="52">
          <cell r="B52" t="str">
            <v>Main Panel</v>
          </cell>
        </row>
      </sheetData>
      <sheetData sheetId="3990">
        <row r="52">
          <cell r="B52" t="str">
            <v>Main Panel</v>
          </cell>
        </row>
      </sheetData>
      <sheetData sheetId="3991">
        <row r="52">
          <cell r="B52" t="str">
            <v>Main Panel</v>
          </cell>
        </row>
      </sheetData>
      <sheetData sheetId="3992">
        <row r="52">
          <cell r="B52" t="str">
            <v>Main Panel</v>
          </cell>
        </row>
      </sheetData>
      <sheetData sheetId="3993">
        <row r="52">
          <cell r="B52" t="str">
            <v>Main Panel</v>
          </cell>
        </row>
      </sheetData>
      <sheetData sheetId="3994">
        <row r="52">
          <cell r="B52" t="str">
            <v>Main Panel</v>
          </cell>
        </row>
      </sheetData>
      <sheetData sheetId="3995">
        <row r="52">
          <cell r="B52" t="str">
            <v>Main Panel</v>
          </cell>
        </row>
      </sheetData>
      <sheetData sheetId="3996">
        <row r="52">
          <cell r="B52" t="str">
            <v>Main Panel</v>
          </cell>
        </row>
      </sheetData>
      <sheetData sheetId="3997">
        <row r="52">
          <cell r="B52" t="str">
            <v>Main Panel</v>
          </cell>
        </row>
      </sheetData>
      <sheetData sheetId="3998">
        <row r="52">
          <cell r="B52" t="str">
            <v>Main Panel</v>
          </cell>
        </row>
      </sheetData>
      <sheetData sheetId="3999">
        <row r="52">
          <cell r="B52" t="str">
            <v>Main Panel</v>
          </cell>
        </row>
      </sheetData>
      <sheetData sheetId="4000">
        <row r="52">
          <cell r="B52" t="str">
            <v>Main Panel</v>
          </cell>
        </row>
      </sheetData>
      <sheetData sheetId="4001">
        <row r="52">
          <cell r="B52" t="str">
            <v>Main Panel</v>
          </cell>
        </row>
      </sheetData>
      <sheetData sheetId="4002">
        <row r="52">
          <cell r="B52" t="str">
            <v>Main Panel</v>
          </cell>
        </row>
      </sheetData>
      <sheetData sheetId="4003">
        <row r="52">
          <cell r="B52" t="str">
            <v>Main Panel</v>
          </cell>
        </row>
      </sheetData>
      <sheetData sheetId="4004">
        <row r="52">
          <cell r="B52" t="str">
            <v>Main Panel</v>
          </cell>
        </row>
      </sheetData>
      <sheetData sheetId="4005">
        <row r="52">
          <cell r="B52" t="str">
            <v>Main Panel</v>
          </cell>
        </row>
      </sheetData>
      <sheetData sheetId="4006">
        <row r="52">
          <cell r="B52" t="str">
            <v>Main Panel</v>
          </cell>
        </row>
      </sheetData>
      <sheetData sheetId="4007">
        <row r="52">
          <cell r="B52" t="str">
            <v>Main Panel</v>
          </cell>
        </row>
      </sheetData>
      <sheetData sheetId="4008">
        <row r="52">
          <cell r="B52" t="str">
            <v>Main Panel</v>
          </cell>
        </row>
      </sheetData>
      <sheetData sheetId="4009">
        <row r="52">
          <cell r="B52" t="str">
            <v>Main Panel</v>
          </cell>
        </row>
      </sheetData>
      <sheetData sheetId="4010">
        <row r="52">
          <cell r="B52" t="str">
            <v>Main Panel</v>
          </cell>
        </row>
      </sheetData>
      <sheetData sheetId="4011">
        <row r="52">
          <cell r="B52" t="str">
            <v>Main Panel</v>
          </cell>
        </row>
      </sheetData>
      <sheetData sheetId="4012">
        <row r="52">
          <cell r="B52" t="str">
            <v>Main Panel</v>
          </cell>
        </row>
      </sheetData>
      <sheetData sheetId="4013">
        <row r="52">
          <cell r="B52" t="str">
            <v>Main Panel</v>
          </cell>
        </row>
      </sheetData>
      <sheetData sheetId="4014">
        <row r="52">
          <cell r="B52" t="str">
            <v>Main Panel</v>
          </cell>
        </row>
      </sheetData>
      <sheetData sheetId="4015">
        <row r="52">
          <cell r="B52" t="str">
            <v>Main Panel</v>
          </cell>
        </row>
      </sheetData>
      <sheetData sheetId="4016">
        <row r="52">
          <cell r="B52" t="str">
            <v>Main Panel</v>
          </cell>
        </row>
      </sheetData>
      <sheetData sheetId="4017">
        <row r="52">
          <cell r="B52" t="str">
            <v>Main Panel</v>
          </cell>
        </row>
      </sheetData>
      <sheetData sheetId="4018">
        <row r="52">
          <cell r="B52" t="str">
            <v>Main Panel</v>
          </cell>
        </row>
      </sheetData>
      <sheetData sheetId="4019">
        <row r="52">
          <cell r="B52" t="str">
            <v>Main Panel</v>
          </cell>
        </row>
      </sheetData>
      <sheetData sheetId="4020">
        <row r="52">
          <cell r="B52" t="str">
            <v>Main Panel</v>
          </cell>
        </row>
      </sheetData>
      <sheetData sheetId="4021">
        <row r="52">
          <cell r="B52" t="str">
            <v>Main Panel</v>
          </cell>
        </row>
      </sheetData>
      <sheetData sheetId="4022">
        <row r="52">
          <cell r="B52" t="str">
            <v>Main Panel</v>
          </cell>
        </row>
      </sheetData>
      <sheetData sheetId="4023">
        <row r="52">
          <cell r="B52" t="str">
            <v>Main Panel</v>
          </cell>
        </row>
      </sheetData>
      <sheetData sheetId="4024">
        <row r="52">
          <cell r="B52" t="str">
            <v>Main Panel</v>
          </cell>
        </row>
      </sheetData>
      <sheetData sheetId="4025">
        <row r="52">
          <cell r="B52" t="str">
            <v>Main Panel</v>
          </cell>
        </row>
      </sheetData>
      <sheetData sheetId="4026">
        <row r="52">
          <cell r="B52" t="str">
            <v>Main Panel</v>
          </cell>
        </row>
      </sheetData>
      <sheetData sheetId="4027">
        <row r="52">
          <cell r="B52" t="str">
            <v>Main Panel</v>
          </cell>
        </row>
      </sheetData>
      <sheetData sheetId="4028">
        <row r="52">
          <cell r="B52" t="str">
            <v>Main Panel</v>
          </cell>
        </row>
      </sheetData>
      <sheetData sheetId="4029">
        <row r="52">
          <cell r="B52" t="str">
            <v>Main Panel</v>
          </cell>
        </row>
      </sheetData>
      <sheetData sheetId="4030">
        <row r="52">
          <cell r="B52" t="str">
            <v>Main Panel</v>
          </cell>
        </row>
      </sheetData>
      <sheetData sheetId="4031">
        <row r="52">
          <cell r="B52" t="str">
            <v>Main Panel</v>
          </cell>
        </row>
      </sheetData>
      <sheetData sheetId="4032">
        <row r="52">
          <cell r="B52" t="str">
            <v>Main Panel</v>
          </cell>
        </row>
      </sheetData>
      <sheetData sheetId="4033">
        <row r="52">
          <cell r="B52" t="str">
            <v>Main Panel</v>
          </cell>
        </row>
      </sheetData>
      <sheetData sheetId="4034">
        <row r="52">
          <cell r="B52" t="str">
            <v>Main Panel</v>
          </cell>
        </row>
      </sheetData>
      <sheetData sheetId="4035">
        <row r="52">
          <cell r="B52" t="str">
            <v>Main Panel</v>
          </cell>
        </row>
      </sheetData>
      <sheetData sheetId="4036">
        <row r="52">
          <cell r="B52" t="str">
            <v>Main Panel</v>
          </cell>
        </row>
      </sheetData>
      <sheetData sheetId="4037">
        <row r="52">
          <cell r="B52" t="str">
            <v>Main Panel</v>
          </cell>
        </row>
      </sheetData>
      <sheetData sheetId="4038">
        <row r="52">
          <cell r="B52" t="str">
            <v>Main Panel</v>
          </cell>
        </row>
      </sheetData>
      <sheetData sheetId="4039">
        <row r="52">
          <cell r="B52" t="str">
            <v>Main Panel</v>
          </cell>
        </row>
      </sheetData>
      <sheetData sheetId="4040">
        <row r="52">
          <cell r="B52" t="str">
            <v>Main Panel</v>
          </cell>
        </row>
      </sheetData>
      <sheetData sheetId="4041">
        <row r="52">
          <cell r="B52" t="str">
            <v>Main Panel</v>
          </cell>
        </row>
      </sheetData>
      <sheetData sheetId="4042">
        <row r="52">
          <cell r="B52" t="str">
            <v>Main Panel</v>
          </cell>
        </row>
      </sheetData>
      <sheetData sheetId="4043">
        <row r="52">
          <cell r="B52" t="str">
            <v>Main Panel</v>
          </cell>
        </row>
      </sheetData>
      <sheetData sheetId="4044">
        <row r="52">
          <cell r="B52" t="str">
            <v>Main Panel</v>
          </cell>
        </row>
      </sheetData>
      <sheetData sheetId="4045">
        <row r="52">
          <cell r="B52" t="str">
            <v>Main Panel</v>
          </cell>
        </row>
      </sheetData>
      <sheetData sheetId="4046">
        <row r="52">
          <cell r="B52" t="str">
            <v>Main Panel</v>
          </cell>
        </row>
      </sheetData>
      <sheetData sheetId="4047">
        <row r="52">
          <cell r="B52" t="str">
            <v>Main Panel</v>
          </cell>
        </row>
      </sheetData>
      <sheetData sheetId="4048">
        <row r="52">
          <cell r="B52" t="str">
            <v>Main Panel</v>
          </cell>
        </row>
      </sheetData>
      <sheetData sheetId="4049">
        <row r="52">
          <cell r="B52" t="str">
            <v>Main Panel</v>
          </cell>
        </row>
      </sheetData>
      <sheetData sheetId="4050">
        <row r="52">
          <cell r="B52" t="str">
            <v>Main Panel</v>
          </cell>
        </row>
      </sheetData>
      <sheetData sheetId="4051">
        <row r="52">
          <cell r="B52" t="str">
            <v>Main Panel</v>
          </cell>
        </row>
      </sheetData>
      <sheetData sheetId="4052">
        <row r="52">
          <cell r="B52" t="str">
            <v>Main Panel</v>
          </cell>
        </row>
      </sheetData>
      <sheetData sheetId="4053">
        <row r="52">
          <cell r="B52" t="str">
            <v>Main Panel</v>
          </cell>
        </row>
      </sheetData>
      <sheetData sheetId="4054">
        <row r="52">
          <cell r="B52" t="str">
            <v>Main Panel</v>
          </cell>
        </row>
      </sheetData>
      <sheetData sheetId="4055">
        <row r="52">
          <cell r="B52" t="str">
            <v>Main Panel</v>
          </cell>
        </row>
      </sheetData>
      <sheetData sheetId="4056">
        <row r="52">
          <cell r="B52" t="str">
            <v>Main Panel</v>
          </cell>
        </row>
      </sheetData>
      <sheetData sheetId="4057">
        <row r="52">
          <cell r="B52" t="str">
            <v>Main Panel</v>
          </cell>
        </row>
      </sheetData>
      <sheetData sheetId="4058">
        <row r="52">
          <cell r="B52" t="str">
            <v>Main Panel</v>
          </cell>
        </row>
      </sheetData>
      <sheetData sheetId="4059">
        <row r="52">
          <cell r="B52" t="str">
            <v>Main Panel</v>
          </cell>
        </row>
      </sheetData>
      <sheetData sheetId="4060">
        <row r="52">
          <cell r="B52" t="str">
            <v>Main Panel</v>
          </cell>
        </row>
      </sheetData>
      <sheetData sheetId="4061">
        <row r="52">
          <cell r="B52" t="str">
            <v>Main Panel</v>
          </cell>
        </row>
      </sheetData>
      <sheetData sheetId="4062">
        <row r="52">
          <cell r="B52" t="str">
            <v>Main Panel</v>
          </cell>
        </row>
      </sheetData>
      <sheetData sheetId="4063">
        <row r="52">
          <cell r="B52" t="str">
            <v>Main Panel</v>
          </cell>
        </row>
      </sheetData>
      <sheetData sheetId="4064">
        <row r="52">
          <cell r="B52" t="str">
            <v>Main Panel</v>
          </cell>
        </row>
      </sheetData>
      <sheetData sheetId="4065">
        <row r="52">
          <cell r="B52" t="str">
            <v>Main Panel</v>
          </cell>
        </row>
      </sheetData>
      <sheetData sheetId="4066">
        <row r="52">
          <cell r="B52" t="str">
            <v>Main Panel</v>
          </cell>
        </row>
      </sheetData>
      <sheetData sheetId="4067">
        <row r="52">
          <cell r="B52" t="str">
            <v>Main Panel</v>
          </cell>
        </row>
      </sheetData>
      <sheetData sheetId="4068">
        <row r="52">
          <cell r="B52" t="str">
            <v>Main Panel</v>
          </cell>
        </row>
      </sheetData>
      <sheetData sheetId="4069">
        <row r="52">
          <cell r="B52" t="str">
            <v>Main Panel</v>
          </cell>
        </row>
      </sheetData>
      <sheetData sheetId="4070">
        <row r="52">
          <cell r="B52" t="str">
            <v>Main Panel</v>
          </cell>
        </row>
      </sheetData>
      <sheetData sheetId="4071">
        <row r="52">
          <cell r="B52" t="str">
            <v>Main Panel</v>
          </cell>
        </row>
      </sheetData>
      <sheetData sheetId="4072">
        <row r="52">
          <cell r="B52" t="str">
            <v>Main Panel</v>
          </cell>
        </row>
      </sheetData>
      <sheetData sheetId="4073">
        <row r="52">
          <cell r="B52" t="str">
            <v>Main Panel</v>
          </cell>
        </row>
      </sheetData>
      <sheetData sheetId="4074">
        <row r="52">
          <cell r="B52" t="str">
            <v>Main Panel</v>
          </cell>
        </row>
      </sheetData>
      <sheetData sheetId="4075">
        <row r="52">
          <cell r="B52" t="str">
            <v>Main Panel</v>
          </cell>
        </row>
      </sheetData>
      <sheetData sheetId="4076">
        <row r="52">
          <cell r="B52" t="str">
            <v>Main Panel</v>
          </cell>
        </row>
      </sheetData>
      <sheetData sheetId="4077">
        <row r="52">
          <cell r="B52" t="str">
            <v>Main Panel</v>
          </cell>
        </row>
      </sheetData>
      <sheetData sheetId="4078">
        <row r="52">
          <cell r="B52" t="str">
            <v>Main Panel</v>
          </cell>
        </row>
      </sheetData>
      <sheetData sheetId="4079">
        <row r="52">
          <cell r="B52" t="str">
            <v>Main Panel</v>
          </cell>
        </row>
      </sheetData>
      <sheetData sheetId="4080">
        <row r="52">
          <cell r="B52" t="str">
            <v>Main Panel</v>
          </cell>
        </row>
      </sheetData>
      <sheetData sheetId="4081">
        <row r="52">
          <cell r="B52" t="str">
            <v>Main Panel</v>
          </cell>
        </row>
      </sheetData>
      <sheetData sheetId="4082">
        <row r="52">
          <cell r="B52" t="str">
            <v>Main Panel</v>
          </cell>
        </row>
      </sheetData>
      <sheetData sheetId="4083">
        <row r="52">
          <cell r="B52" t="str">
            <v>Main Panel</v>
          </cell>
        </row>
      </sheetData>
      <sheetData sheetId="4084">
        <row r="52">
          <cell r="B52" t="str">
            <v>Main Panel</v>
          </cell>
        </row>
      </sheetData>
      <sheetData sheetId="4085">
        <row r="52">
          <cell r="B52" t="str">
            <v>Main Panel</v>
          </cell>
        </row>
      </sheetData>
      <sheetData sheetId="4086">
        <row r="52">
          <cell r="B52" t="str">
            <v>Main Panel</v>
          </cell>
        </row>
      </sheetData>
      <sheetData sheetId="4087">
        <row r="52">
          <cell r="B52" t="str">
            <v>Main Panel</v>
          </cell>
        </row>
      </sheetData>
      <sheetData sheetId="4088">
        <row r="52">
          <cell r="B52" t="str">
            <v>Main Panel</v>
          </cell>
        </row>
      </sheetData>
      <sheetData sheetId="4089">
        <row r="52">
          <cell r="B52" t="str">
            <v>Main Panel</v>
          </cell>
        </row>
      </sheetData>
      <sheetData sheetId="4090">
        <row r="52">
          <cell r="B52" t="str">
            <v>Main Panel</v>
          </cell>
        </row>
      </sheetData>
      <sheetData sheetId="4091">
        <row r="52">
          <cell r="B52" t="str">
            <v>Main Panel</v>
          </cell>
        </row>
      </sheetData>
      <sheetData sheetId="4092">
        <row r="52">
          <cell r="B52" t="str">
            <v>Main Panel</v>
          </cell>
        </row>
      </sheetData>
      <sheetData sheetId="4093">
        <row r="52">
          <cell r="B52" t="str">
            <v>Main Panel</v>
          </cell>
        </row>
      </sheetData>
      <sheetData sheetId="4094">
        <row r="52">
          <cell r="B52" t="str">
            <v>Main Panel</v>
          </cell>
        </row>
      </sheetData>
      <sheetData sheetId="4095">
        <row r="52">
          <cell r="B52" t="str">
            <v>Main Panel</v>
          </cell>
        </row>
      </sheetData>
      <sheetData sheetId="4096">
        <row r="52">
          <cell r="B52" t="str">
            <v>Main Panel</v>
          </cell>
        </row>
      </sheetData>
      <sheetData sheetId="4097">
        <row r="52">
          <cell r="B52" t="str">
            <v>Main Panel</v>
          </cell>
        </row>
      </sheetData>
      <sheetData sheetId="4098" refreshError="1"/>
      <sheetData sheetId="4099">
        <row r="52">
          <cell r="B52" t="str">
            <v>Main Panel</v>
          </cell>
        </row>
      </sheetData>
      <sheetData sheetId="4100">
        <row r="52">
          <cell r="B52" t="str">
            <v>Main Panel</v>
          </cell>
        </row>
      </sheetData>
      <sheetData sheetId="4101" refreshError="1"/>
      <sheetData sheetId="4102" refreshError="1"/>
      <sheetData sheetId="4103" refreshError="1"/>
      <sheetData sheetId="4104" refreshError="1"/>
      <sheetData sheetId="4105" refreshError="1"/>
      <sheetData sheetId="4106" refreshError="1"/>
      <sheetData sheetId="4107" refreshError="1"/>
      <sheetData sheetId="4108" refreshError="1"/>
      <sheetData sheetId="4109" refreshError="1"/>
      <sheetData sheetId="4110" refreshError="1"/>
      <sheetData sheetId="4111" refreshError="1"/>
      <sheetData sheetId="4112" refreshError="1"/>
      <sheetData sheetId="4113" refreshError="1"/>
      <sheetData sheetId="4114" refreshError="1"/>
      <sheetData sheetId="4115" refreshError="1"/>
      <sheetData sheetId="4116" refreshError="1"/>
      <sheetData sheetId="4117" refreshError="1"/>
      <sheetData sheetId="4118" refreshError="1"/>
      <sheetData sheetId="4119" refreshError="1"/>
      <sheetData sheetId="4120" refreshError="1"/>
      <sheetData sheetId="4121" refreshError="1"/>
      <sheetData sheetId="4122" refreshError="1"/>
      <sheetData sheetId="4123" refreshError="1"/>
      <sheetData sheetId="4124" refreshError="1"/>
      <sheetData sheetId="4125" refreshError="1"/>
      <sheetData sheetId="4126" refreshError="1"/>
      <sheetData sheetId="4127" refreshError="1"/>
      <sheetData sheetId="4128" refreshError="1"/>
      <sheetData sheetId="4129" refreshError="1"/>
      <sheetData sheetId="4130" refreshError="1"/>
      <sheetData sheetId="4131" refreshError="1"/>
      <sheetData sheetId="4132" refreshError="1"/>
      <sheetData sheetId="4133" refreshError="1"/>
      <sheetData sheetId="4134" refreshError="1"/>
      <sheetData sheetId="4135" refreshError="1"/>
      <sheetData sheetId="4136"/>
      <sheetData sheetId="4137" refreshError="1"/>
      <sheetData sheetId="4138" refreshError="1"/>
      <sheetData sheetId="4139" refreshError="1"/>
      <sheetData sheetId="4140" refreshError="1"/>
      <sheetData sheetId="4141">
        <row r="52">
          <cell r="B52" t="str">
            <v>Main Panel</v>
          </cell>
        </row>
      </sheetData>
      <sheetData sheetId="4142" refreshError="1"/>
      <sheetData sheetId="4143" refreshError="1"/>
      <sheetData sheetId="4144" refreshError="1"/>
      <sheetData sheetId="4145" refreshError="1"/>
      <sheetData sheetId="4146" refreshError="1"/>
      <sheetData sheetId="4147" refreshError="1"/>
      <sheetData sheetId="4148" refreshError="1"/>
      <sheetData sheetId="4149" refreshError="1"/>
      <sheetData sheetId="4150" refreshError="1"/>
      <sheetData sheetId="4151">
        <row r="52">
          <cell r="B52" t="str">
            <v>Main Panel</v>
          </cell>
        </row>
      </sheetData>
      <sheetData sheetId="4152">
        <row r="52">
          <cell r="B52" t="str">
            <v>Main Panel</v>
          </cell>
        </row>
      </sheetData>
      <sheetData sheetId="4153">
        <row r="52">
          <cell r="B52" t="str">
            <v>Main Panel</v>
          </cell>
        </row>
      </sheetData>
      <sheetData sheetId="4154">
        <row r="52">
          <cell r="B52" t="str">
            <v>Main Panel</v>
          </cell>
        </row>
      </sheetData>
      <sheetData sheetId="4155">
        <row r="52">
          <cell r="B52" t="str">
            <v>Main Panel</v>
          </cell>
        </row>
      </sheetData>
      <sheetData sheetId="4156">
        <row r="52">
          <cell r="B52" t="str">
            <v>Main Panel</v>
          </cell>
        </row>
      </sheetData>
      <sheetData sheetId="4157">
        <row r="52">
          <cell r="B52" t="str">
            <v>Main Panel</v>
          </cell>
        </row>
      </sheetData>
      <sheetData sheetId="4158">
        <row r="52">
          <cell r="B52" t="str">
            <v>Main Panel</v>
          </cell>
        </row>
      </sheetData>
      <sheetData sheetId="4159">
        <row r="52">
          <cell r="B52" t="str">
            <v>Main Panel</v>
          </cell>
        </row>
      </sheetData>
      <sheetData sheetId="4160">
        <row r="52">
          <cell r="B52" t="str">
            <v>Main Panel</v>
          </cell>
        </row>
      </sheetData>
      <sheetData sheetId="4161">
        <row r="52">
          <cell r="B52" t="str">
            <v>Main Panel</v>
          </cell>
        </row>
      </sheetData>
      <sheetData sheetId="4162">
        <row r="52">
          <cell r="B52" t="str">
            <v>Main Panel</v>
          </cell>
        </row>
      </sheetData>
      <sheetData sheetId="4163" refreshError="1"/>
      <sheetData sheetId="4164" refreshError="1"/>
      <sheetData sheetId="4165" refreshError="1"/>
      <sheetData sheetId="4166" refreshError="1"/>
      <sheetData sheetId="4167" refreshError="1"/>
      <sheetData sheetId="4168" refreshError="1"/>
      <sheetData sheetId="4169" refreshError="1"/>
      <sheetData sheetId="4170" refreshError="1"/>
      <sheetData sheetId="4171" refreshError="1"/>
      <sheetData sheetId="4172" refreshError="1"/>
      <sheetData sheetId="4173" refreshError="1"/>
      <sheetData sheetId="4174" refreshError="1"/>
      <sheetData sheetId="4175" refreshError="1"/>
      <sheetData sheetId="4176" refreshError="1"/>
      <sheetData sheetId="4177" refreshError="1"/>
      <sheetData sheetId="4178">
        <row r="52">
          <cell r="B52" t="str">
            <v>Main Panel</v>
          </cell>
        </row>
      </sheetData>
      <sheetData sheetId="4179">
        <row r="52">
          <cell r="B52" t="str">
            <v>Main Panel</v>
          </cell>
        </row>
      </sheetData>
      <sheetData sheetId="4180">
        <row r="52">
          <cell r="B52" t="str">
            <v>Main Panel</v>
          </cell>
        </row>
      </sheetData>
      <sheetData sheetId="4181">
        <row r="52">
          <cell r="B52" t="str">
            <v>Main Panel</v>
          </cell>
        </row>
      </sheetData>
      <sheetData sheetId="4182">
        <row r="52">
          <cell r="B52" t="str">
            <v>Main Panel</v>
          </cell>
        </row>
      </sheetData>
      <sheetData sheetId="4183">
        <row r="52">
          <cell r="B52" t="str">
            <v>Main Panel</v>
          </cell>
        </row>
      </sheetData>
      <sheetData sheetId="4184">
        <row r="52">
          <cell r="B52" t="str">
            <v>Main Panel</v>
          </cell>
        </row>
      </sheetData>
      <sheetData sheetId="4185">
        <row r="52">
          <cell r="B52" t="str">
            <v>Main Panel</v>
          </cell>
        </row>
      </sheetData>
      <sheetData sheetId="4186">
        <row r="52">
          <cell r="B52" t="str">
            <v>Main Panel</v>
          </cell>
        </row>
      </sheetData>
      <sheetData sheetId="4187">
        <row r="52">
          <cell r="B52" t="str">
            <v>Main Panel</v>
          </cell>
        </row>
      </sheetData>
      <sheetData sheetId="4188">
        <row r="52">
          <cell r="B52" t="str">
            <v>Main Panel</v>
          </cell>
        </row>
      </sheetData>
      <sheetData sheetId="4189">
        <row r="52">
          <cell r="B52" t="str">
            <v>Main Panel</v>
          </cell>
        </row>
      </sheetData>
      <sheetData sheetId="4190">
        <row r="52">
          <cell r="B52" t="str">
            <v>Main Panel</v>
          </cell>
        </row>
      </sheetData>
      <sheetData sheetId="4191">
        <row r="52">
          <cell r="B52" t="str">
            <v>Main Panel</v>
          </cell>
        </row>
      </sheetData>
      <sheetData sheetId="4192">
        <row r="52">
          <cell r="B52" t="str">
            <v>Main Panel</v>
          </cell>
        </row>
      </sheetData>
      <sheetData sheetId="4193">
        <row r="52">
          <cell r="B52" t="str">
            <v>Main Panel</v>
          </cell>
        </row>
      </sheetData>
      <sheetData sheetId="4194">
        <row r="52">
          <cell r="B52" t="str">
            <v>Main Panel</v>
          </cell>
        </row>
      </sheetData>
      <sheetData sheetId="4195">
        <row r="52">
          <cell r="B52" t="str">
            <v>Main Panel</v>
          </cell>
        </row>
      </sheetData>
      <sheetData sheetId="4196">
        <row r="52">
          <cell r="B52" t="str">
            <v>Main Panel</v>
          </cell>
        </row>
      </sheetData>
      <sheetData sheetId="4197">
        <row r="52">
          <cell r="B52" t="str">
            <v>Main Panel</v>
          </cell>
        </row>
      </sheetData>
      <sheetData sheetId="4198">
        <row r="52">
          <cell r="B52" t="str">
            <v>Main Panel</v>
          </cell>
        </row>
      </sheetData>
      <sheetData sheetId="4199">
        <row r="52">
          <cell r="B52" t="str">
            <v>Main Panel</v>
          </cell>
        </row>
      </sheetData>
      <sheetData sheetId="4200">
        <row r="52">
          <cell r="B52" t="str">
            <v>Main Panel</v>
          </cell>
        </row>
      </sheetData>
      <sheetData sheetId="4201">
        <row r="52">
          <cell r="B52" t="str">
            <v>Main Panel</v>
          </cell>
        </row>
      </sheetData>
      <sheetData sheetId="4202">
        <row r="52">
          <cell r="B52" t="str">
            <v>Main Panel</v>
          </cell>
        </row>
      </sheetData>
      <sheetData sheetId="4203">
        <row r="52">
          <cell r="B52" t="str">
            <v>Main Panel</v>
          </cell>
        </row>
      </sheetData>
      <sheetData sheetId="4204">
        <row r="52">
          <cell r="B52" t="str">
            <v>Main Panel</v>
          </cell>
        </row>
      </sheetData>
      <sheetData sheetId="4205">
        <row r="52">
          <cell r="B52" t="str">
            <v>Main Panel</v>
          </cell>
        </row>
      </sheetData>
      <sheetData sheetId="4206">
        <row r="52">
          <cell r="B52" t="str">
            <v>Main Panel</v>
          </cell>
        </row>
      </sheetData>
      <sheetData sheetId="4207">
        <row r="52">
          <cell r="B52" t="str">
            <v>Main Panel</v>
          </cell>
        </row>
      </sheetData>
      <sheetData sheetId="4208">
        <row r="52">
          <cell r="B52" t="str">
            <v>Main Panel</v>
          </cell>
        </row>
      </sheetData>
      <sheetData sheetId="4209">
        <row r="52">
          <cell r="B52" t="str">
            <v>Main Panel</v>
          </cell>
        </row>
      </sheetData>
      <sheetData sheetId="4210">
        <row r="52">
          <cell r="B52" t="str">
            <v>Main Panel</v>
          </cell>
        </row>
      </sheetData>
      <sheetData sheetId="4211">
        <row r="52">
          <cell r="B52" t="str">
            <v>Main Panel</v>
          </cell>
        </row>
      </sheetData>
      <sheetData sheetId="4212">
        <row r="52">
          <cell r="B52" t="str">
            <v>Main Panel</v>
          </cell>
        </row>
      </sheetData>
      <sheetData sheetId="4213">
        <row r="52">
          <cell r="B52" t="str">
            <v>Main Panel</v>
          </cell>
        </row>
      </sheetData>
      <sheetData sheetId="4214">
        <row r="52">
          <cell r="B52" t="str">
            <v>Main Panel</v>
          </cell>
        </row>
      </sheetData>
      <sheetData sheetId="4215">
        <row r="52">
          <cell r="B52" t="str">
            <v>Main Panel</v>
          </cell>
        </row>
      </sheetData>
      <sheetData sheetId="4216">
        <row r="52">
          <cell r="B52" t="str">
            <v>Main Panel</v>
          </cell>
        </row>
      </sheetData>
      <sheetData sheetId="4217">
        <row r="52">
          <cell r="B52" t="str">
            <v>Main Panel</v>
          </cell>
        </row>
      </sheetData>
      <sheetData sheetId="4218">
        <row r="52">
          <cell r="B52" t="str">
            <v>Main Panel</v>
          </cell>
        </row>
      </sheetData>
      <sheetData sheetId="4219">
        <row r="52">
          <cell r="B52" t="str">
            <v>Main Panel</v>
          </cell>
        </row>
      </sheetData>
      <sheetData sheetId="4220">
        <row r="52">
          <cell r="B52" t="str">
            <v>Main Panel</v>
          </cell>
        </row>
      </sheetData>
      <sheetData sheetId="4221">
        <row r="52">
          <cell r="B52" t="str">
            <v>Main Panel</v>
          </cell>
        </row>
      </sheetData>
      <sheetData sheetId="4222">
        <row r="52">
          <cell r="B52" t="str">
            <v>Main Panel</v>
          </cell>
        </row>
      </sheetData>
      <sheetData sheetId="4223">
        <row r="52">
          <cell r="B52" t="str">
            <v>Main Panel</v>
          </cell>
        </row>
      </sheetData>
      <sheetData sheetId="4224">
        <row r="52">
          <cell r="B52" t="str">
            <v>Main Panel</v>
          </cell>
        </row>
      </sheetData>
      <sheetData sheetId="4225">
        <row r="52">
          <cell r="B52" t="str">
            <v>Main Panel</v>
          </cell>
        </row>
      </sheetData>
      <sheetData sheetId="4226">
        <row r="52">
          <cell r="B52" t="str">
            <v>Main Panel</v>
          </cell>
        </row>
      </sheetData>
      <sheetData sheetId="4227">
        <row r="52">
          <cell r="B52" t="str">
            <v>Main Panel</v>
          </cell>
        </row>
      </sheetData>
      <sheetData sheetId="4228">
        <row r="52">
          <cell r="B52" t="str">
            <v>Main Panel</v>
          </cell>
        </row>
      </sheetData>
      <sheetData sheetId="4229">
        <row r="52">
          <cell r="B52" t="str">
            <v>Main Panel</v>
          </cell>
        </row>
      </sheetData>
      <sheetData sheetId="4230">
        <row r="52">
          <cell r="B52" t="str">
            <v>Main Panel</v>
          </cell>
        </row>
      </sheetData>
      <sheetData sheetId="4231">
        <row r="52">
          <cell r="B52" t="str">
            <v>Main Panel</v>
          </cell>
        </row>
      </sheetData>
      <sheetData sheetId="4232">
        <row r="52">
          <cell r="B52" t="str">
            <v>Main Panel</v>
          </cell>
        </row>
      </sheetData>
      <sheetData sheetId="4233">
        <row r="52">
          <cell r="B52" t="str">
            <v>Main Panel</v>
          </cell>
        </row>
      </sheetData>
      <sheetData sheetId="4234">
        <row r="52">
          <cell r="B52" t="str">
            <v>Main Panel</v>
          </cell>
        </row>
      </sheetData>
      <sheetData sheetId="4235">
        <row r="52">
          <cell r="B52" t="str">
            <v>Main Panel</v>
          </cell>
        </row>
      </sheetData>
      <sheetData sheetId="4236">
        <row r="52">
          <cell r="B52" t="str">
            <v>Main Panel</v>
          </cell>
        </row>
      </sheetData>
      <sheetData sheetId="4237">
        <row r="52">
          <cell r="B52" t="str">
            <v>Main Panel</v>
          </cell>
        </row>
      </sheetData>
      <sheetData sheetId="4238">
        <row r="52">
          <cell r="B52" t="str">
            <v>Main Panel</v>
          </cell>
        </row>
      </sheetData>
      <sheetData sheetId="4239">
        <row r="52">
          <cell r="B52" t="str">
            <v>Main Panel</v>
          </cell>
        </row>
      </sheetData>
      <sheetData sheetId="4240">
        <row r="52">
          <cell r="B52" t="str">
            <v>Main Panel</v>
          </cell>
        </row>
      </sheetData>
      <sheetData sheetId="4241">
        <row r="52">
          <cell r="B52" t="str">
            <v>Main Panel</v>
          </cell>
        </row>
      </sheetData>
      <sheetData sheetId="4242">
        <row r="52">
          <cell r="B52" t="str">
            <v>Main Panel</v>
          </cell>
        </row>
      </sheetData>
      <sheetData sheetId="4243">
        <row r="52">
          <cell r="B52" t="str">
            <v>Main Panel</v>
          </cell>
        </row>
      </sheetData>
      <sheetData sheetId="4244">
        <row r="52">
          <cell r="B52" t="str">
            <v>Main Panel</v>
          </cell>
        </row>
      </sheetData>
      <sheetData sheetId="4245">
        <row r="52">
          <cell r="B52" t="str">
            <v>Main Panel</v>
          </cell>
        </row>
      </sheetData>
      <sheetData sheetId="4246">
        <row r="52">
          <cell r="B52" t="str">
            <v>Main Panel</v>
          </cell>
        </row>
      </sheetData>
      <sheetData sheetId="4247">
        <row r="52">
          <cell r="B52" t="str">
            <v>Main Panel</v>
          </cell>
        </row>
      </sheetData>
      <sheetData sheetId="4248">
        <row r="52">
          <cell r="B52" t="str">
            <v>Main Panel</v>
          </cell>
        </row>
      </sheetData>
      <sheetData sheetId="4249" refreshError="1"/>
      <sheetData sheetId="4250">
        <row r="52">
          <cell r="B52" t="str">
            <v>Main Panel</v>
          </cell>
        </row>
      </sheetData>
      <sheetData sheetId="4251" refreshError="1"/>
      <sheetData sheetId="4252">
        <row r="52">
          <cell r="B52" t="str">
            <v>Main Panel</v>
          </cell>
        </row>
      </sheetData>
      <sheetData sheetId="4253">
        <row r="52">
          <cell r="B52" t="str">
            <v>Main Panel</v>
          </cell>
        </row>
      </sheetData>
      <sheetData sheetId="4254">
        <row r="52">
          <cell r="B52" t="str">
            <v>Main Panel</v>
          </cell>
        </row>
      </sheetData>
      <sheetData sheetId="4255">
        <row r="52">
          <cell r="B52" t="str">
            <v>Main Panel</v>
          </cell>
        </row>
      </sheetData>
      <sheetData sheetId="4256">
        <row r="52">
          <cell r="B52" t="str">
            <v>Main Panel</v>
          </cell>
        </row>
      </sheetData>
      <sheetData sheetId="4257">
        <row r="52">
          <cell r="B52" t="str">
            <v>Main Panel</v>
          </cell>
        </row>
      </sheetData>
      <sheetData sheetId="4258">
        <row r="52">
          <cell r="B52" t="str">
            <v>Main Panel</v>
          </cell>
        </row>
      </sheetData>
      <sheetData sheetId="4259" refreshError="1"/>
      <sheetData sheetId="4260" refreshError="1"/>
      <sheetData sheetId="4261" refreshError="1"/>
      <sheetData sheetId="4262" refreshError="1"/>
      <sheetData sheetId="4263" refreshError="1"/>
      <sheetData sheetId="4264" refreshError="1"/>
      <sheetData sheetId="4265" refreshError="1"/>
      <sheetData sheetId="4266" refreshError="1"/>
      <sheetData sheetId="4267" refreshError="1"/>
      <sheetData sheetId="4268" refreshError="1"/>
      <sheetData sheetId="4269" refreshError="1"/>
      <sheetData sheetId="4270" refreshError="1"/>
      <sheetData sheetId="4271" refreshError="1"/>
      <sheetData sheetId="4272" refreshError="1"/>
      <sheetData sheetId="4273" refreshError="1"/>
      <sheetData sheetId="4274" refreshError="1"/>
      <sheetData sheetId="4275" refreshError="1"/>
      <sheetData sheetId="4276" refreshError="1"/>
      <sheetData sheetId="4277" refreshError="1"/>
      <sheetData sheetId="4278" refreshError="1"/>
      <sheetData sheetId="4279" refreshError="1"/>
      <sheetData sheetId="4280" refreshError="1"/>
      <sheetData sheetId="4281" refreshError="1"/>
      <sheetData sheetId="4282" refreshError="1"/>
      <sheetData sheetId="4283" refreshError="1"/>
      <sheetData sheetId="4284" refreshError="1"/>
      <sheetData sheetId="4285" refreshError="1"/>
      <sheetData sheetId="4286" refreshError="1"/>
      <sheetData sheetId="4287" refreshError="1"/>
      <sheetData sheetId="4288" refreshError="1"/>
      <sheetData sheetId="4289" refreshError="1"/>
      <sheetData sheetId="4290" refreshError="1"/>
      <sheetData sheetId="4291" refreshError="1"/>
      <sheetData sheetId="4292" refreshError="1"/>
      <sheetData sheetId="4293" refreshError="1"/>
      <sheetData sheetId="4294" refreshError="1"/>
      <sheetData sheetId="4295" refreshError="1"/>
      <sheetData sheetId="4296" refreshError="1"/>
      <sheetData sheetId="4297" refreshError="1"/>
      <sheetData sheetId="4298" refreshError="1"/>
      <sheetData sheetId="4299" refreshError="1"/>
      <sheetData sheetId="4300" refreshError="1"/>
      <sheetData sheetId="4301" refreshError="1"/>
      <sheetData sheetId="4302" refreshError="1"/>
      <sheetData sheetId="4303" refreshError="1"/>
      <sheetData sheetId="4304" refreshError="1"/>
      <sheetData sheetId="4305" refreshError="1"/>
      <sheetData sheetId="4306" refreshError="1"/>
      <sheetData sheetId="4307" refreshError="1"/>
      <sheetData sheetId="4308" refreshError="1"/>
      <sheetData sheetId="4309" refreshError="1"/>
      <sheetData sheetId="4310" refreshError="1"/>
      <sheetData sheetId="4311" refreshError="1"/>
      <sheetData sheetId="4312" refreshError="1"/>
      <sheetData sheetId="4313" refreshError="1"/>
      <sheetData sheetId="4314" refreshError="1"/>
      <sheetData sheetId="4315" refreshError="1"/>
      <sheetData sheetId="4316" refreshError="1"/>
      <sheetData sheetId="4317" refreshError="1"/>
      <sheetData sheetId="4318" refreshError="1"/>
      <sheetData sheetId="4319" refreshError="1"/>
      <sheetData sheetId="4320" refreshError="1"/>
      <sheetData sheetId="4321" refreshError="1"/>
      <sheetData sheetId="4322" refreshError="1"/>
      <sheetData sheetId="4323" refreshError="1"/>
      <sheetData sheetId="4324" refreshError="1"/>
      <sheetData sheetId="4325" refreshError="1"/>
      <sheetData sheetId="4326" refreshError="1"/>
      <sheetData sheetId="4327" refreshError="1"/>
      <sheetData sheetId="4328" refreshError="1"/>
      <sheetData sheetId="4329" refreshError="1"/>
      <sheetData sheetId="4330" refreshError="1"/>
      <sheetData sheetId="4331" refreshError="1"/>
      <sheetData sheetId="4332" refreshError="1"/>
      <sheetData sheetId="4333" refreshError="1"/>
      <sheetData sheetId="4334" refreshError="1"/>
      <sheetData sheetId="4335" refreshError="1"/>
      <sheetData sheetId="4336" refreshError="1"/>
      <sheetData sheetId="4337" refreshError="1"/>
      <sheetData sheetId="4338" refreshError="1"/>
      <sheetData sheetId="4339" refreshError="1"/>
      <sheetData sheetId="4340"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
      <sheetName val="TS Memo"/>
      <sheetName val="Sp Report"/>
      <sheetName val="note"/>
      <sheetName val="BTR"/>
      <sheetName val="mlead"/>
      <sheetName val="lead"/>
      <sheetName val="RMR"/>
      <sheetName val="CD Data (Morth)"/>
      <sheetName val="Rd Det Est"/>
      <sheetName val="Rd abs Est"/>
      <sheetName val="HP Det est"/>
      <sheetName val="HP Abs Est"/>
      <sheetName val="CBR"/>
      <sheetName val="Gen Abs"/>
      <sheetName val="DATA_PRG"/>
      <sheetName val="DATA"/>
      <sheetName val="leads"/>
      <sheetName val="Rates-May-14"/>
    </sheetNames>
    <sheetDataSet>
      <sheetData sheetId="0"/>
      <sheetData sheetId="1"/>
      <sheetData sheetId="2">
        <row r="27">
          <cell r="E27" t="str">
            <v>VIJAYAWADA</v>
          </cell>
        </row>
        <row r="28">
          <cell r="E28" t="str">
            <v>VIJAYAWADA</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 sheetId="18" refreshError="1"/>
      <sheetData sheetId="19" refreshError="1"/>
      <sheetData sheetId="20"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Ret wall"/>
      <sheetName val="Road data"/>
      <sheetName val="BTR"/>
      <sheetName val="RMR"/>
      <sheetName val="certificates"/>
      <sheetName val="mlead"/>
      <sheetName val="Cover"/>
      <sheetName val="SPT vs PHI"/>
      <sheetName val="Input"/>
      <sheetName val="Lead state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8">
          <cell r="C8">
            <v>75</v>
          </cell>
        </row>
        <row r="18">
          <cell r="C18">
            <v>113.5</v>
          </cell>
        </row>
        <row r="23">
          <cell r="D23">
            <v>146.6</v>
          </cell>
        </row>
        <row r="44">
          <cell r="D44">
            <v>226.9</v>
          </cell>
        </row>
      </sheetData>
      <sheetData sheetId="16" refreshError="1"/>
      <sheetData sheetId="17" refreshError="1"/>
      <sheetData sheetId="18" refreshError="1"/>
      <sheetData sheetId="19"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Ret wall"/>
      <sheetName val="Road data"/>
      <sheetName val="BTR"/>
      <sheetName val="RMR"/>
      <sheetName val="certificates"/>
      <sheetName val="mlead"/>
      <sheetName val="Cover"/>
      <sheetName val="SPT vs PHI"/>
      <sheetName val="Input"/>
      <sheetName val="Lead state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8">
          <cell r="C8">
            <v>75</v>
          </cell>
        </row>
        <row r="18">
          <cell r="C18">
            <v>113.5</v>
          </cell>
        </row>
        <row r="23">
          <cell r="D23">
            <v>146.6</v>
          </cell>
        </row>
        <row r="44">
          <cell r="D44">
            <v>226.9</v>
          </cell>
        </row>
      </sheetData>
      <sheetData sheetId="16" refreshError="1"/>
      <sheetData sheetId="17" refreshError="1"/>
      <sheetData sheetId="18" refreshError="1"/>
      <sheetData sheetId="19"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Abs CD"/>
      <sheetName val="2R 800"/>
      <sheetName val="Gen abs"/>
      <sheetName val="mlea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1">
          <cell r="C11">
            <v>86.4</v>
          </cell>
        </row>
        <row r="73">
          <cell r="D73">
            <v>326.20000000000005</v>
          </cell>
        </row>
      </sheetData>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Abs CD"/>
      <sheetName val="2R 800"/>
      <sheetName val="Gen abs"/>
      <sheetName val="mlea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1">
          <cell r="C11">
            <v>86.4</v>
          </cell>
        </row>
        <row r="73">
          <cell r="D73">
            <v>326.20000000000005</v>
          </cell>
        </row>
      </sheetData>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Gen abs"/>
      <sheetName val="Spn report"/>
      <sheetName val="abs road"/>
      <sheetName val="HP abs"/>
      <sheetName val="HP det"/>
      <sheetName val="R_Det"/>
      <sheetName val="BTR"/>
      <sheetName val="RMR"/>
      <sheetName val="Road data"/>
      <sheetName val="certificates"/>
      <sheetName val="Line"/>
      <sheetName val="ECV"/>
      <sheetName val="Material_Rates"/>
      <sheetName val="mlead"/>
      <sheetName val="TS_memo"/>
      <sheetName val="Gen_abs"/>
      <sheetName val="Spn_report"/>
      <sheetName val="abs_road"/>
      <sheetName val="HP_abs"/>
      <sheetName val="HP_det"/>
      <sheetName val="Road_data"/>
      <sheetName val="Cover"/>
      <sheetName val="MRATES"/>
      <sheetName val="detls"/>
      <sheetName val="Specification"/>
      <sheetName val="Sheet1"/>
      <sheetName val="Data"/>
      <sheetName val="final abstract"/>
      <sheetName val="Lead statement"/>
      <sheetName val="Bitumen trunk"/>
      <sheetName val="Feeder"/>
      <sheetName val="R99 etc"/>
      <sheetName val="Trunk unpaved"/>
      <sheetName val="HDPE"/>
      <sheetName val="pvc_basic"/>
      <sheetName val="SSR 2010-11 Rates"/>
      <sheetName val="Material"/>
      <sheetName val="Works"/>
      <sheetName val="General"/>
      <sheetName val="wh_data"/>
      <sheetName val="wh_data_R"/>
      <sheetName val="CPHEEO"/>
      <sheetName val="input"/>
      <sheetName val="rdamdata"/>
      <sheetName val="Plant &amp;  Machinery"/>
      <sheetName val="Estimate "/>
      <sheetName val="DATA-2005-06"/>
      <sheetName val="col-reinft1"/>
      <sheetName val="labour"/>
      <sheetName val="Rates"/>
      <sheetName val="upa"/>
      <sheetName val="COLUMN"/>
      <sheetName val="data existing_do not delete"/>
      <sheetName val="Analysis"/>
      <sheetName val="Elect."/>
      <sheetName val="office"/>
      <sheetName val="Lab"/>
      <sheetName val="Material&amp;equipment"/>
      <sheetName val="SPT vs PHI"/>
      <sheetName val="SSR 2014-15 Rates"/>
      <sheetName val="Data_Base"/>
      <sheetName val="m"/>
      <sheetName val="habs-list"/>
      <sheetName val="nodes"/>
      <sheetName val="Sheet2"/>
      <sheetName val="lead-st"/>
      <sheetName val="Lead"/>
      <sheetName val="r"/>
      <sheetName val="l"/>
      <sheetName val="Sheet5"/>
      <sheetName val="DATA_PRG"/>
      <sheetName val="civ data"/>
      <sheetName val="segments-details"/>
      <sheetName val="int-Dia-hdpe"/>
      <sheetName val="int-Dia-pvc"/>
      <sheetName val="sup dat"/>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refreshError="1">
        <row r="48">
          <cell r="I48">
            <v>470</v>
          </cell>
        </row>
      </sheetData>
      <sheetData sheetId="10" refreshError="1"/>
      <sheetData sheetId="11" refreshError="1">
        <row r="31">
          <cell r="D31">
            <v>20</v>
          </cell>
        </row>
      </sheetData>
      <sheetData sheetId="12" refreshError="1">
        <row r="7">
          <cell r="C7" t="str">
            <v>Forming embankment with Side earth by mechanical means upto SDR including pre-watering of soil , removal of top soil, excavation of soils , depositing the soils on the embankment, spreading soil, breaking clods, sectioning , grading and consolidation with</v>
          </cell>
        </row>
        <row r="32">
          <cell r="C32" t="str">
            <v>Forming embankment with borrowed useful earth from outside road boundary by mechanical means upto SDR with all leads and lifts including pre-watering of soil at borrow area, removal of top soil, excavation of soils at borrowed area, conveyance of soil, de</v>
          </cell>
        </row>
        <row r="60">
          <cell r="C60" t="str">
            <v>Construction of Granular sub-base by providing   HBG material confirming to Grading - III of MoRT&amp;H Table 400-2 including cost,  seigniorage charges and conveyance of all materials to work site and spreading in uniform layers with motor grader or by appro</v>
          </cell>
        </row>
        <row r="84">
          <cell r="C84" t="str">
            <v xml:space="preserve">Scarifying the existing granular  surface   to a depth of 50 mm by  Manual means including all labour charges etc., complete as per MoRT&amp;H (4th Revision) Specn. No.305.4.3  for finished item of work.  </v>
          </cell>
        </row>
        <row r="99">
          <cell r="C99" t="str">
            <v>Providing, Laying, Spreading for a compacted thickness of 75 mm, using  stone aggregates of Grade - II - H.B.G. ( IRC ) Metal (Machine crushed metal for 22.40mm and below) as per Table 400-7&amp;9 of MoRT&amp;H Specification 404 of 4th revision for Water Bound Ma</v>
          </cell>
        </row>
        <row r="123">
          <cell r="C123" t="str">
            <v>Providing, Laying, Spreading for a compacted thickness of 75 mm, using  stone aggregates of Grade - III - H.B.G. ( IRC ) Metal  (Machine crushed metal for 22.40mm and below) as per Table 400-7&amp; 9 of MoRT&amp;H Specification 404 of 4th revision for Water Bound</v>
          </cell>
        </row>
        <row r="174">
          <cell r="C174" t="str">
            <v>Providing and laying surface dressing  in single coat using 6 mm nominal size IRC HBG machine crushed stone aggregates @ 0.004 cum / sqm on a layer of bitumen binder of   60/70 grade @ 0.75 kg / sqm including cost, seigniorage and conveyance of all materi</v>
          </cell>
        </row>
        <row r="200">
          <cell r="C200" t="str">
            <v xml:space="preserve">Providing and applying tack coat with bitumen Emulsion (Medium settting) (Bulk) using Emulsion pressure distributor at the rate of 0.20 kgs per sqm on the prepared bituminous/granular surface cleaned with mechanical broom for finished item of work as per </v>
          </cell>
        </row>
        <row r="220">
          <cell r="C220" t="str">
            <v>Providing , laying of close graded premix surfacing material ( Mixed seal surfacing) of 20 mm thickness by  hot mix plant  using hard blasted granite crushed aggregates of  13.2mm to 0.09mm (Type 'B')  as per table 500-26 of specification 512 of MoRT&amp;H (4</v>
          </cell>
        </row>
        <row r="249">
          <cell r="C249" t="str">
            <v>Construction of Gravel shoulders  including cost,  seigniorage charges and conveyance of all materials to work site and spreading in uniform layers by approved means,  on prepared surface  and compacting with vibratory roller to achieve the desired densit</v>
          </cell>
        </row>
        <row r="316">
          <cell r="C316" t="str">
            <v>Earthwork excavation in soils upto SDR  by mechanical means for foundations of structures as per drawing and technical specification including setting out, construction of shoring and bracing, removal of stumps and other deleterious matter, dressing sides</v>
          </cell>
        </row>
        <row r="336">
          <cell r="C336" t="str">
            <v>Providing  first class bedding with Granular material below the pipes of  Hume pipe culverts suitably compacted / rammed including cost, seigniorage and conveyance of materials to site etc.,  complete as per drawing and MoRT&amp;H Specification  2900 ( 4th Re</v>
          </cell>
        </row>
        <row r="354">
          <cell r="K354">
            <v>367</v>
          </cell>
        </row>
        <row r="356">
          <cell r="C356" t="str">
            <v>Providing Vibrated Cement Concrete (1:3:6) mix using 40mm size HBG crushed stone aggregate and fine aggregate conforming to table 1000-2 of MoRT&amp;H including cost, seigniorage conveyance of all materials to site and labour charges, centering, machine mixin</v>
          </cell>
        </row>
        <row r="404">
          <cell r="C404" t="str">
            <v>Providing, laying Reinforced cement concrete Hume pipes of 600mm/800mm/1000mm Dia., NP-3 class for pipe culverts  including cost and conveyance of Pipes etc., complete and Labour charges for laying, jointing of 600mm/800mm/1000mm dia. R.C.C Hume pipes  in</v>
          </cell>
        </row>
        <row r="451">
          <cell r="C451" t="str">
            <v>Filling in between body walls  with gravel including cost ,conveyance and  seigniorage of all materials to site etc., complete  as per   Clause 710.1.4 of IRC : 78and as per  MoRT&amp;H Specification No. 2200 &amp; 2907 (4th Revision) and as per Drawing and techn</v>
          </cell>
        </row>
        <row r="559">
          <cell r="C559" t="str">
            <v>Vibrated reinforced cement concrete M 20 grade  using  20mm &amp; 10mm  HBG crushed stone aggregate (Coarse aggregate conforming to table 1000-1 and fine aggregate conforming to table 1000-2) including cost, seigniorage conveyance of all materials to site and</v>
          </cell>
        </row>
      </sheetData>
      <sheetData sheetId="13" refreshError="1"/>
      <sheetData sheetId="14" refreshError="1"/>
      <sheetData sheetId="15"/>
      <sheetData sheetId="16" refreshError="1"/>
      <sheetData sheetId="17" refreshError="1"/>
      <sheetData sheetId="18" refreshError="1"/>
      <sheetData sheetId="19" refreshError="1"/>
      <sheetData sheetId="20" refreshError="1"/>
      <sheetData sheetId="21"/>
      <sheetData sheetId="22"/>
      <sheetData sheetId="23"/>
      <sheetData sheetId="24">
        <row r="7">
          <cell r="C7" t="str">
            <v>Forming embankment with Side earth by mechanical means upto SDR including pre-watering of soil , removal of top soil, excavation of soils , depositing the soils on the embankment, spreading soil, breaking clods, sectioning , grading and consolidation with</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Internal roads"/>
      <sheetName val="Truss Data"/>
      <sheetName val="Truss Data (2)"/>
      <sheetName val="C.page"/>
      <sheetName val="C.page (2)"/>
      <sheetName val="Water supp (2)"/>
      <sheetName val="Compound wall"/>
      <sheetName val="Shops"/>
      <sheetName val="E.O"/>
      <sheetName val="Toilets"/>
      <sheetName val="Data"/>
      <sheetName val="Roads"/>
      <sheetName val="Lead statement"/>
      <sheetName val="Conveyance ch"/>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2">
          <cell r="P12">
            <v>1540.08</v>
          </cell>
        </row>
      </sheetData>
      <sheetData sheetId="14"/>
      <sheetData sheetId="15"/>
      <sheetData sheetId="16"/>
      <sheetData sheetId="17"/>
      <sheetData sheetId="18"/>
      <sheetData sheetId="19"/>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
      <sheetName val="C.page  (2)"/>
      <sheetName val="C.page  (3)"/>
      <sheetName val="C.page  (4)"/>
      <sheetName val="C.page  (5)"/>
      <sheetName val="Truss Data (2)"/>
      <sheetName val="Truss Data"/>
      <sheetName val="Coverd shed"/>
      <sheetName val="Varandah"/>
      <sheetName val="Structures"/>
      <sheetName val="Water supp"/>
      <sheetName val="Structures (2)"/>
      <sheetName val="CC"/>
      <sheetName val="CC (N)"/>
      <sheetName val="Data"/>
      <sheetName val="Lead statement"/>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Internal roads"/>
      <sheetName val="Truss Data"/>
      <sheetName val="Truss Data (2)"/>
      <sheetName val="C.page"/>
      <sheetName val="C.page (2)"/>
      <sheetName val="Water supp (2)"/>
      <sheetName val="Compound wall"/>
      <sheetName val="Shops"/>
      <sheetName val="E.O"/>
      <sheetName val="Toilets"/>
      <sheetName val="Data"/>
      <sheetName val="Roads"/>
      <sheetName val="Lead statement"/>
      <sheetName val="Conveyance ch"/>
      <sheetName val="SSR 2010-11 Rates"/>
      <sheetName val="Hire charges"/>
      <sheetName val="centering"/>
      <sheetName val="40KL-250KL Estimate &amp; data"/>
      <sheetName val="CI specials for OHSR"/>
      <sheetName val="Usage"/>
      <sheetName val="Common "/>
      <sheetName val="Gener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2">
          <cell r="P12">
            <v>1540.08</v>
          </cell>
        </row>
        <row r="13">
          <cell r="P13">
            <v>1110.08</v>
          </cell>
        </row>
      </sheetData>
      <sheetData sheetId="14"/>
      <sheetData sheetId="15"/>
      <sheetData sheetId="16"/>
      <sheetData sheetId="17"/>
      <sheetData sheetId="18"/>
      <sheetData sheetId="19"/>
      <sheetData sheetId="20" refreshError="1"/>
      <sheetData sheetId="21" refreshError="1"/>
      <sheetData sheetId="22"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Akoli"/>
      <sheetName val="Annex-C"/>
      <sheetName val="ES-akoli"/>
      <sheetName val="abs-akoli"/>
      <sheetName val="abs (2)akoli"/>
      <sheetName val="est-Akoli"/>
      <sheetName val="Cd nam"/>
      <sheetName val="cd namnoor 1"/>
      <sheetName val="sub-1"/>
      <sheetName val="sub-2"/>
      <sheetName val="sub-3"/>
      <sheetName val="sub-4"/>
      <sheetName val="ewcal (2)-akoli"/>
      <sheetName val="ewcal-akoli"/>
      <sheetName val="cover-Akoli"/>
      <sheetName val="Ann-Korta"/>
      <sheetName val="cover-korta"/>
      <sheetName val="Culvert-3"/>
      <sheetName val="Culvert-(2)"/>
      <sheetName val="Culvert-1"/>
      <sheetName val="abs (2)ko"/>
      <sheetName val="abs-korta"/>
      <sheetName val="est-korta"/>
      <sheetName val="ES-korta"/>
      <sheetName val="ewcal-korta (2)"/>
      <sheetName val="ewcal-korta"/>
      <sheetName val="Lead"/>
      <sheetName val="data"/>
      <sheetName val="abs_(2)akoli"/>
      <sheetName val="Cd_nam"/>
      <sheetName val="cd_namnoor_1"/>
      <sheetName val="ewcal_(2)-akoli"/>
      <sheetName val="abs_(2)ko"/>
      <sheetName val="ewcal-korta_(2)"/>
      <sheetName val="Data.F8.BTR"/>
      <sheetName val="abs_(2)akoli1"/>
      <sheetName val="Cd_nam1"/>
      <sheetName val="cd_namnoor_11"/>
      <sheetName val="ewcal_(2)-akoli1"/>
      <sheetName val="abs_(2)ko1"/>
      <sheetName val="ewcal-korta_(2)1"/>
      <sheetName val="Data_F8_BTR"/>
      <sheetName val="r"/>
      <sheetName val="HDPE"/>
      <sheetName val="DI"/>
      <sheetName val="pvc"/>
      <sheetName val="pvc_basic"/>
      <sheetName val="hdpe_basic"/>
      <sheetName val="Common "/>
      <sheetName val="Work_sheet"/>
      <sheetName val="t_prsr"/>
      <sheetName val="id"/>
      <sheetName val="GN_ST_10"/>
      <sheetName val="GN-ST-10"/>
      <sheetName val="data existing_do not delete"/>
      <sheetName val="Usage"/>
      <sheetName val="General"/>
      <sheetName val="Cover"/>
      <sheetName val="MRATES"/>
      <sheetName val="segments-details"/>
      <sheetName val="int-Dia-hdpe"/>
      <sheetName val="habs-list"/>
      <sheetName val="int-Dia-pvc"/>
      <sheetName val="DATA-BASE"/>
      <sheetName val="DATA-ABSTRACT"/>
      <sheetName val="coverpage"/>
      <sheetName val="Road data"/>
      <sheetName val="leads"/>
      <sheetName val="maya"/>
      <sheetName val="Sheet1"/>
      <sheetName val="rdamdata"/>
      <sheetName val="lead-st"/>
      <sheetName val="GF SB Ok "/>
      <sheetName val="Specification report"/>
      <sheetName val="Compound wall  Ok"/>
      <sheetName val="Bitumen trunk"/>
      <sheetName val="Feeder"/>
      <sheetName val="R99 etc"/>
      <sheetName val="Trunk unpaved"/>
      <sheetName val="Material"/>
      <sheetName val="Works"/>
      <sheetName val="RMR"/>
      <sheetName val="Class IV Qtr. Ele"/>
      <sheetName val="Lead statement"/>
      <sheetName val="Levels"/>
      <sheetName val="BWSCPlt"/>
      <sheetName val="CI"/>
      <sheetName val="G.R.P"/>
      <sheetName val="PSC REVISED"/>
      <sheetName val="Sheet1 (2)"/>
      <sheetName val="m"/>
      <sheetName val="HDPE-pipe-rates"/>
      <sheetName val="pvc-pipe-rates"/>
      <sheetName val="m1"/>
      <sheetName val="v"/>
      <sheetName val="Rate"/>
      <sheetName val="cover-Akoly"/>
      <sheetName val="cover-oorta"/>
      <sheetName val="ewcal-korti_(2)1"/>
      <sheetName val="int-Diá-pvc"/>
      <sheetName val="Analy_7-10"/>
      <sheetName val="DataInput"/>
      <sheetName val="DataInput-1"/>
      <sheetName val="DI Rate Analysis"/>
      <sheetName val="Lead statement ss5"/>
      <sheetName val="SUMP1420KL@HW"/>
      <sheetName val="Sheet2"/>
      <sheetName val="MRMECADAMoad data"/>
      <sheetName val="Design"/>
      <sheetName val="Process"/>
      <sheetName val="R_Det"/>
      <sheetName val="ABS"/>
      <sheetName val="DATA_PRG"/>
      <sheetName val="sg-clay(d)"/>
      <sheetName val="Main sheet"/>
      <sheetName val="stone"/>
      <sheetName val="Convey"/>
      <sheetName val="abs_(2)akoli2"/>
      <sheetName val="Cd_nam2"/>
      <sheetName val="cd_namnoor_12"/>
      <sheetName val="ewcal_(2)-akoli2"/>
      <sheetName val="abs_(2)ko2"/>
      <sheetName val="ewcal-korta_(2)2"/>
      <sheetName val="Data_F8_BTR1"/>
      <sheetName val="Common_"/>
      <sheetName val="data_existing_do_not_delete"/>
      <sheetName val="p&amp;m"/>
      <sheetName val="Boq (Main Building)"/>
      <sheetName val="ewst"/>
      <sheetName val="PRECAST lightconc-II"/>
      <sheetName val="Labour"/>
      <sheetName val="Plant &amp;  Machinery"/>
      <sheetName val="MRoad data"/>
      <sheetName val="Design of two-way slab"/>
      <sheetName val="zone-8"/>
      <sheetName val="MHNO_LEV"/>
      <sheetName val="Data rough"/>
      <sheetName val="Main"/>
      <sheetName val="dlvoid"/>
      <sheetName val="slab"/>
      <sheetName val="Staff Acco."/>
      <sheetName val="C-data"/>
      <sheetName val="Rates"/>
      <sheetName val="Road_data"/>
      <sheetName val="abs_(2)akoli3"/>
      <sheetName val="Cd_nam3"/>
      <sheetName val="cd_namnoor_13"/>
      <sheetName val="ewcal_(2)-akoli3"/>
      <sheetName val="abs_(2)ko3"/>
      <sheetName val="ewcal-korta_(2)3"/>
      <sheetName val="Data_F8_BTR2"/>
      <sheetName val="data_existing_do_not_delete1"/>
      <sheetName val="Road_data1"/>
      <sheetName val="Common_1"/>
      <sheetName val="Av.G Level"/>
      <sheetName val="BTR"/>
      <sheetName val="GenAbst"/>
      <sheetName val="Sheet9"/>
      <sheetName val="Data-ELSR"/>
      <sheetName val=" Data -Valves"/>
      <sheetName val="sch"/>
      <sheetName val="Lookup"/>
      <sheetName val="Abs PMRL"/>
      <sheetName val="51"/>
      <sheetName val="mlead"/>
      <sheetName val="DATA-2005-06"/>
      <sheetName val="pop"/>
      <sheetName val="HS 30.04.2015.Final"/>
      <sheetName val="nodes"/>
      <sheetName val="int-Dia"/>
      <sheetName val="JAWAHAR-hyd-original"/>
      <sheetName val="Rates SSR 2008-09"/>
      <sheetName val="ssr-rates"/>
      <sheetName val="hdpe_rates"/>
      <sheetName val="hdpe_wt-r"/>
      <sheetName val="pvc-rates"/>
      <sheetName val="PVC weights"/>
      <sheetName val="index"/>
      <sheetName val="moments-table(tri)"/>
      <sheetName val="HPs HPs"/>
      <sheetName val="detls"/>
      <sheetName val="pumping main"/>
      <sheetName val="hdpe weights"/>
      <sheetName val=" data sheet "/>
      <sheetName val="HS 1"/>
      <sheetName val="0000000000000"/>
      <sheetName val="TBAL9697 -group wise  sdpl"/>
      <sheetName val="RAFT"/>
      <sheetName val="scour depth"/>
      <sheetName val="Boq"/>
      <sheetName val="Road data-TDR"/>
      <sheetName val="Summary"/>
      <sheetName val="PUMP_DATA"/>
      <sheetName val="water-hammar-strenght"/>
      <sheetName val="wh_data"/>
      <sheetName val="wh_data_R"/>
      <sheetName val="CPHEEO"/>
      <sheetName val="input"/>
      <sheetName val="joinery data"/>
      <sheetName val="abs road"/>
      <sheetName val="BS8007"/>
      <sheetName val="LOCAL RATES"/>
      <sheetName val="GM&amp;PM WE1 EST"/>
      <sheetName val="BWSCP"/>
      <sheetName val="Detailed"/>
      <sheetName val="AV_GRP ms bwsc"/>
      <sheetName val="Sheet3"/>
      <sheetName val="Master data"/>
      <sheetName val="TCS_Schedule (2)"/>
      <sheetName val="GF_SB_Ok_"/>
      <sheetName val="Specification_report"/>
      <sheetName val="Compound_wall__Ok"/>
      <sheetName val="Bitumen_trunk"/>
      <sheetName val="R99_etc"/>
      <sheetName val="Trunk_unpaved"/>
      <sheetName val="Class_IV_Qtr__Ele"/>
      <sheetName val="Lead_statement"/>
      <sheetName val="G_R_P"/>
      <sheetName val="PSC_REVISED"/>
      <sheetName val="Sheet1_(2)"/>
      <sheetName val="Lead_statement_ss5"/>
      <sheetName val="DI_Rate_Analysis"/>
      <sheetName val="MRMECADAMoad_data"/>
      <sheetName val="Main_sheet"/>
      <sheetName val="zone-2"/>
      <sheetName val="Valves"/>
      <sheetName val="MS Rates"/>
      <sheetName val="boredetails"/>
      <sheetName val="Challan"/>
      <sheetName val="dump"/>
      <sheetName val="ultmom"/>
      <sheetName val="CC Road"/>
      <sheetName val="MTC-estimate"/>
      <sheetName val="ESTIMATE"/>
      <sheetName val="Masonry"/>
      <sheetName val="sup dat"/>
      <sheetName val="nandipet intra"/>
      <sheetName val="hdpe-rates"/>
      <sheetName val="Quarry"/>
      <sheetName val="Line"/>
      <sheetName val="CRUST"/>
      <sheetName val="QDTS"/>
      <sheetName val="C.D.Abs.Est."/>
      <sheetName val="CS "/>
      <sheetName val="_5wgdhabfinal00_01"/>
      <sheetName val="Z1_DATA"/>
      <sheetName val="PM&amp;GM"/>
      <sheetName val="AV-PVC"/>
      <sheetName val="DI gate-DI"/>
      <sheetName val="DIgate_PVC "/>
      <sheetName val="wh"/>
      <sheetName val="CPI"/>
      <sheetName val="WPI C"/>
      <sheetName val="WPI all"/>
      <sheetName val="WPI HM"/>
      <sheetName val="WPI S"/>
      <sheetName val="SSR 2014-15 Rates"/>
      <sheetName val="Data_Base"/>
      <sheetName val="Factory_rates"/>
      <sheetName val="Specification"/>
      <sheetName val="road est"/>
      <sheetName val="LIST"/>
      <sheetName val="Mp-team 1"/>
      <sheetName val="Bridge Data 2005-06"/>
      <sheetName val="Road Detail Est."/>
      <sheetName val="Road"/>
      <sheetName val="title"/>
      <sheetName val="pier design"/>
      <sheetName val="Rate 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ertificates"/>
      <sheetName val="Cover"/>
      <sheetName val="Sp. Report"/>
      <sheetName val="TSmemo"/>
      <sheetName val="BTR"/>
      <sheetName val="RMR"/>
      <sheetName val="Rd.Data"/>
      <sheetName val="C.D.Data (Morth)"/>
      <sheetName val="Rd.Det.Est"/>
      <sheetName val="Gen.Abs."/>
      <sheetName val="Rd.abs.Est"/>
      <sheetName val="Abs_p_04"/>
      <sheetName val="Abs.p_01"/>
      <sheetName val="Abs.cc"/>
      <sheetName val="Abs_ret"/>
      <sheetName val="Abs_vent&amp;pipe"/>
      <sheetName val="Abs_slab"/>
      <sheetName val="Abs_box"/>
      <sheetName val="Det. 1Rx800"/>
      <sheetName val="Det. 2Rx800"/>
      <sheetName val="Det. CC"/>
      <sheetName val="CD_DET_PIPE_1R"/>
      <sheetName val="Slab det est"/>
      <sheetName val="CD_DET_1CELL_BOX"/>
      <sheetName val="CD_DET_4CELL_BOX"/>
      <sheetName val="CBR"/>
      <sheetName val="mlead"/>
      <sheetName val="Leads"/>
      <sheetName val="rdamdata"/>
      <sheetName val="DATA"/>
      <sheetName val="DetEst"/>
      <sheetName val="coverpage"/>
      <sheetName val="Road data"/>
      <sheetName val="MRATES"/>
      <sheetName val="Lead statement"/>
      <sheetName val="r"/>
      <sheetName val="EDWise"/>
      <sheetName val="Labour"/>
      <sheetName val="Material"/>
      <sheetName val="Plant &amp;  Machinery"/>
      <sheetName val="Drains Est"/>
      <sheetName val="Rd.Est"/>
      <sheetName val="abs road"/>
      <sheetName val="maya"/>
      <sheetName val="RMR "/>
      <sheetName val="Road data "/>
      <sheetName val="Abutment"/>
      <sheetName val="Sketch"/>
      <sheetName val="MRoad data"/>
      <sheetName val="Abs_CD_2"/>
      <sheetName val="road est"/>
      <sheetName val="ECV"/>
      <sheetName val="Road Detail Est."/>
      <sheetName val="R_Det"/>
      <sheetName val="C-data"/>
      <sheetName val="Basicrates"/>
      <sheetName val="Input"/>
      <sheetName val="Lead"/>
      <sheetName val="Masonry"/>
      <sheetName val="GEN_abstrct"/>
      <sheetName val="Data (2)"/>
    </sheetNames>
    <sheetDataSet>
      <sheetData sheetId="0"/>
      <sheetData sheetId="1"/>
      <sheetData sheetId="2"/>
      <sheetData sheetId="3" refreshError="1">
        <row r="8">
          <cell r="C8" t="str">
            <v xml:space="preserve">Improvements to  Madhavaram-Kamsalipalem Road from Km 0/0 to 4/8 in West Godavari District </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 abs"/>
      <sheetName val="certificates"/>
      <sheetName val="coverpage"/>
      <sheetName val="TS memo"/>
      <sheetName val="Spn report"/>
      <sheetName val="BTR"/>
      <sheetName val="RMR"/>
      <sheetName val="Road data"/>
      <sheetName val="R_Det"/>
      <sheetName val="abs road"/>
      <sheetName val="HP DET 600"/>
      <sheetName val="HP det"/>
      <sheetName val="HP abs"/>
      <sheetName val="cc drain det "/>
      <sheetName val="cc drain abstract"/>
      <sheetName val="CC Pavement  det"/>
      <sheetName val="Sheet5"/>
      <sheetName val="RT wall"/>
      <sheetName val="Det _Ret"/>
      <sheetName val="CBR"/>
      <sheetName val="mlead"/>
      <sheetName val="Gen_abs"/>
      <sheetName val="TS_memo"/>
      <sheetName val="Spn_report"/>
      <sheetName val="Road_data"/>
      <sheetName val="abs_road"/>
      <sheetName val="HP_DET_600"/>
      <sheetName val="HP_det"/>
      <sheetName val="HP_abs"/>
      <sheetName val="cc_drain_det_"/>
      <sheetName val="cc_drain_abstract"/>
      <sheetName val="CC_Pavement__det"/>
      <sheetName val="RT_wall"/>
      <sheetName val="Det__Ret"/>
      <sheetName val="Cover"/>
      <sheetName val="Material"/>
      <sheetName val="Works"/>
      <sheetName val="General"/>
      <sheetName val="Data"/>
      <sheetName val="LEAD"/>
      <sheetName val="Estimate 10.00 Lakhs "/>
      <sheetName val="v"/>
      <sheetName val="Usage"/>
      <sheetName val="Common "/>
      <sheetName val="Lead statement"/>
      <sheetName val="Bitumen trunk"/>
      <sheetName val="Feeder"/>
      <sheetName val="R99 etc"/>
      <sheetName val="Trunk unpaved"/>
      <sheetName val="Data.F8.BTR"/>
      <sheetName val="HDPE"/>
      <sheetName val="DI"/>
      <sheetName val="pvc"/>
      <sheetName val="hdpe_basic"/>
      <sheetName val="pvc_basic"/>
      <sheetName val="office"/>
      <sheetName val="Lab"/>
      <sheetName val="Material&amp;equipment"/>
      <sheetName val="DISCOUNT"/>
      <sheetName val="m"/>
      <sheetName val="Boq"/>
      <sheetName val="COLUMN"/>
      <sheetName val="TBAL9697 -group wise  sdpl"/>
      <sheetName val="Specification report"/>
      <sheetName val="CPHEEO"/>
      <sheetName val="wh_data_R"/>
      <sheetName val="wh_data"/>
      <sheetName val="input"/>
      <sheetName val="MRATES"/>
      <sheetName val="Sheet1"/>
      <sheetName val="r"/>
      <sheetName val="quarry"/>
      <sheetName val="C-data"/>
      <sheetName val="1-Pop Proj"/>
      <sheetName val="lead-st"/>
      <sheetName val="rdamdata"/>
      <sheetName val="Gen_abs1"/>
      <sheetName val="TS_memo1"/>
      <sheetName val="Spn_report1"/>
      <sheetName val="Road_data1"/>
      <sheetName val="abs_road1"/>
      <sheetName val="HP_DET_6001"/>
      <sheetName val="HP_det1"/>
      <sheetName val="HP_abs1"/>
      <sheetName val="cc_drain_det_1"/>
      <sheetName val="cc_drain_abstract1"/>
      <sheetName val="CC_Pavement__det1"/>
      <sheetName val="RT_wall1"/>
      <sheetName val="Det__Ret1"/>
      <sheetName val="Estimate_10_00_Lakhs_"/>
      <sheetName val="Common_"/>
      <sheetName val="Lead_statement"/>
      <sheetName val="Bitumen_trunk"/>
      <sheetName val="R99_etc"/>
      <sheetName val="Trunk_unpaved"/>
      <sheetName val="Data_F8_BTR"/>
      <sheetName val="segments-details"/>
      <sheetName val="habs-list"/>
      <sheetName val="int-Dia-hdpe"/>
      <sheetName val="int-Dia-pvc"/>
      <sheetName val="Labour"/>
      <sheetName val="Plant &amp;  Machinery"/>
      <sheetName val="Sheet1 (2)"/>
      <sheetName val="Sheet2"/>
      <sheetName val="pvc-pipe-rates"/>
      <sheetName val="ESTIMATE"/>
      <sheetName val="BWSCPlt"/>
      <sheetName val="CI"/>
      <sheetName val="G.R.P"/>
      <sheetName val="PSC REVISED"/>
      <sheetName val="Bridge Data 2005-06"/>
      <sheetName val="Work_sheet"/>
      <sheetName val="road est"/>
    </sheetNames>
    <sheetDataSet>
      <sheetData sheetId="0" refreshError="1"/>
      <sheetData sheetId="1" refreshError="1"/>
      <sheetData sheetId="2" refreshError="1"/>
      <sheetData sheetId="3" refreshError="1"/>
      <sheetData sheetId="4">
        <row r="27">
          <cell r="E27" t="str">
            <v>SRIKAKULAM</v>
          </cell>
        </row>
      </sheetData>
      <sheetData sheetId="5"/>
      <sheetData sheetId="6"/>
      <sheetData sheetId="7" refreshError="1"/>
      <sheetData sheetId="8"/>
      <sheetData sheetId="9">
        <row r="30">
          <cell r="K30">
            <v>43.7</v>
          </cell>
        </row>
        <row r="89">
          <cell r="K89">
            <v>1.6</v>
          </cell>
        </row>
        <row r="116">
          <cell r="K116">
            <v>1001</v>
          </cell>
        </row>
        <row r="142">
          <cell r="K142">
            <v>1078</v>
          </cell>
        </row>
        <row r="173">
          <cell r="K173">
            <v>17.100000000000001</v>
          </cell>
        </row>
        <row r="197">
          <cell r="K197">
            <v>3.6</v>
          </cell>
        </row>
        <row r="234">
          <cell r="K234">
            <v>3203</v>
          </cell>
        </row>
        <row r="251">
          <cell r="K251">
            <v>234</v>
          </cell>
        </row>
      </sheetData>
      <sheetData sheetId="10" refreshError="1">
        <row r="31">
          <cell r="I31">
            <v>53310</v>
          </cell>
        </row>
      </sheetData>
      <sheetData sheetId="11"/>
      <sheetData sheetId="12" refreshError="1"/>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ow r="30">
          <cell r="K30">
            <v>43.7</v>
          </cell>
        </row>
      </sheetData>
      <sheetData sheetId="25">
        <row r="30">
          <cell r="K30">
            <v>43.7</v>
          </cell>
        </row>
      </sheetData>
      <sheetData sheetId="26">
        <row r="30">
          <cell r="K30">
            <v>43.7</v>
          </cell>
        </row>
      </sheetData>
      <sheetData sheetId="27">
        <row r="30">
          <cell r="K30">
            <v>43.7</v>
          </cell>
        </row>
      </sheetData>
      <sheetData sheetId="28" refreshError="1"/>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sheetData sheetId="76"/>
      <sheetData sheetId="77"/>
      <sheetData sheetId="78"/>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04-05"/>
      <sheetName val="Lead"/>
      <sheetName val="sub-data "/>
      <sheetName val="Data.F8.BTR"/>
      <sheetName val="F6-Estt"/>
      <sheetName val="sub estt"/>
      <sheetName val="Labour"/>
      <sheetName val="Machinery"/>
      <sheetName val="Sheet1"/>
      <sheetName val="Data_F8_BTR"/>
      <sheetName val="lead-st"/>
      <sheetName val="rdamdata"/>
      <sheetName val="Cover-MEstt_"/>
      <sheetName val="ABST(PART_B)_"/>
      <sheetName val="F6-Gnrl_Abstrt"/>
      <sheetName val="sub-data_"/>
      <sheetName val="sub_estt"/>
      <sheetName val="Work_sheet"/>
      <sheetName val="Common "/>
      <sheetName val="r"/>
      <sheetName val="Cover-MEstt_1"/>
      <sheetName val="ABST(PART_B)_1"/>
      <sheetName val="F6-Gnrl_Abstrt1"/>
      <sheetName val="sub-data_1"/>
      <sheetName val="Data_F8_BTR1"/>
      <sheetName val="sub_estt1"/>
      <sheetName val="Common_"/>
      <sheetName val="MRATES"/>
      <sheetName val="DATA_PRG"/>
      <sheetName val="Material"/>
      <sheetName val="Plant &amp;  Machinery"/>
      <sheetName val="segments-details"/>
      <sheetName val="int-Dia-hdpe"/>
      <sheetName val="habs-list"/>
      <sheetName val="int-Dia-pvc"/>
      <sheetName val="Lead statement ss5"/>
      <sheetName val="DATA"/>
      <sheetName val="Road data"/>
      <sheetName val="mlead"/>
      <sheetName val="abs road"/>
      <sheetName val="R_Det"/>
      <sheetName val="Works"/>
      <sheetName val="RMR"/>
      <sheetName val="General"/>
      <sheetName val="v"/>
      <sheetName val="t_prsr"/>
      <sheetName val="id"/>
      <sheetName val="wh_data"/>
      <sheetName val="wh_data_R"/>
      <sheetName val="CPHEEO"/>
      <sheetName val="input"/>
      <sheetName val="Class IV Qtr. Ele"/>
      <sheetName val="coverpage"/>
      <sheetName val="Lead statement"/>
      <sheetName val="m"/>
      <sheetName val="Levels"/>
      <sheetName val="PUMP_DATA"/>
      <sheetName val="GROUND FLOOR"/>
      <sheetName val="leads"/>
      <sheetName val="CI"/>
      <sheetName val="DI"/>
      <sheetName val="G.R.P"/>
      <sheetName val="HDPE"/>
      <sheetName val="PSC REVISED"/>
      <sheetName val="pvc"/>
      <sheetName val="F6-Est4"/>
      <sheetName val="nodes"/>
      <sheetName val="int-Dia"/>
      <sheetName val="JAWAHAR-hyd-original"/>
      <sheetName val="BWSCPlt"/>
      <sheetName val="maya"/>
      <sheetName val="sub-dapa "/>
      <sheetName val="LS"/>
      <sheetName val="Plant 㫨  Machinery"/>
      <sheetName val="Bitumen trunk"/>
      <sheetName val="Feeder"/>
      <sheetName val="R99 etc"/>
      <sheetName val="Trunk unpaved"/>
      <sheetName val="DATA_ENTRY"/>
      <sheetName val="CPI"/>
      <sheetName val="WPI C"/>
      <sheetName val="WPI all"/>
      <sheetName val="WPI HM"/>
      <sheetName val="WPI S"/>
      <sheetName val="SPT vs PHI"/>
      <sheetName val="Cover"/>
      <sheetName val="Bridge Data 2005-06"/>
      <sheetName val="Rate"/>
      <sheetName val="PM&amp;GM"/>
      <sheetName val="AV-PVC"/>
      <sheetName val="DI gate-DI"/>
      <sheetName val="DIgate_PVC "/>
      <sheetName val="sg-clay(d)"/>
      <sheetName val="DATA-BASE"/>
      <sheetName val="DATA-ABSTRACT"/>
      <sheetName val="Data 07-08 "/>
      <sheetName val="SSR 2015-16"/>
      <sheetName val="DATA SHEET FOR 2012 - 13"/>
      <sheetName val="Main sheet"/>
      <sheetName val="Nspt-smp-final-ORIGINAL"/>
      <sheetName val="Sorted"/>
      <sheetName val="ABS"/>
      <sheetName val="SUMP1420KL@HW"/>
      <sheetName val="Sheet2"/>
      <sheetName val="Specification"/>
      <sheetName val="Avenue Plantation "/>
      <sheetName val="farmyard"/>
      <sheetName val="In put soft"/>
      <sheetName val="softscape data "/>
      <sheetName val="est input"/>
      <sheetName val="C-data  2)"/>
      <sheetName val="conveyance "/>
      <sheetName val="Civil SoR"/>
      <sheetName val="WS SoR "/>
      <sheetName val="C-data  for sub est"/>
      <sheetName val="Chain link mesh "/>
      <sheetName val="MS Grill CW"/>
      <sheetName val=" SS Gate (2)"/>
      <sheetName val=" Barbed wire (2)"/>
      <sheetName val="Genera Abstract Estimate "/>
      <sheetName val="Joinery"/>
      <sheetName val="WS Data"/>
      <sheetName val="Entrance Arch ( H )"/>
      <sheetName val="Entrance Arch ( CH )"/>
      <sheetName val="Soft Scape"/>
      <sheetName val="1.Hard Scape "/>
      <sheetName val="2"/>
      <sheetName val="Sliding Gate"/>
      <sheetName val="Boundary Wall"/>
      <sheetName val="Toilet 5X3m"/>
      <sheetName val="Shower Area 4X1.5m"/>
      <sheetName val="Cremains Room 5X5m"/>
      <sheetName val="Office Room 6X6m"/>
      <sheetName val="Security Room 3X3m"/>
      <sheetName val="Store Room 6X5.7m"/>
      <sheetName val="Mortury 6X6m"/>
      <sheetName val="Pre Ritual Area 8X8m"/>
      <sheetName val="Post Ritual Area 6X5m"/>
      <sheetName val="Electric Crematorioum 15X15m"/>
      <sheetName val="Conventional Crematorium6.2X5.2"/>
      <sheetName val="Office cum Security Room 7X4m"/>
      <sheetName val="Chain link mesh fencing "/>
      <sheetName val="gen"/>
      <sheetName val="Rates"/>
      <sheetName val="hdpe_basic"/>
      <sheetName val="pvc_basic"/>
      <sheetName val="Data-ELSR"/>
      <sheetName val="zone-8"/>
      <sheetName val="MHNO_LEV"/>
      <sheetName val=" Data -Valves"/>
      <sheetName val="Cover-MEstt_2"/>
      <sheetName val="ABST(PART_B)_2"/>
      <sheetName val="F6-Gnrl_Abstrt2"/>
      <sheetName val="sub-data_2"/>
      <sheetName val="Data_F8_BTR2"/>
      <sheetName val="sub_estt2"/>
      <sheetName val="Common_1"/>
      <sheetName val="Plant_&amp;__Machinery"/>
      <sheetName val="Lead_statement_ss5"/>
      <sheetName val="Lead_statement"/>
      <sheetName val="Road_data"/>
      <sheetName val="abs_road"/>
      <sheetName val="Class_IV_Qtr__Ele"/>
      <sheetName val="Boq"/>
      <sheetName val="TBAL9697 -group wise  sdpl"/>
      <sheetName val="Process"/>
      <sheetName val="Specification report"/>
      <sheetName val="Sheet9"/>
      <sheetName val="1V800"/>
      <sheetName val="p&amp;m"/>
      <sheetName val="habs-details"/>
      <sheetName val="hab-details"/>
      <sheetName val="INPUT-DATA"/>
      <sheetName val="DL CAL"/>
      <sheetName val="SSR 2014-15 Rates"/>
      <sheetName val="Flanged Beams"/>
      <sheetName val="Rectangular Beam"/>
      <sheetName val="not req 3"/>
      <sheetName val="ultmom"/>
      <sheetName val="dlvoid"/>
      <sheetName val="final abstract"/>
      <sheetName val="detail'02"/>
      <sheetName val="G_R_P"/>
      <sheetName val="PSC_REVISED"/>
      <sheetName val="Cover-MEstt_3"/>
      <sheetName val="ABST(PART_B)_3"/>
      <sheetName val="F6-Gnrl_Abstrt3"/>
      <sheetName val="sub-data_3"/>
      <sheetName val="Data_F8_BTR3"/>
      <sheetName val="sub_estt3"/>
      <sheetName val="Common_2"/>
      <sheetName val="Lead_statement_ss51"/>
      <sheetName val="G_R_P1"/>
      <sheetName val="PSC_REVISED1"/>
      <sheetName val="Plant_&amp;__Machinery1"/>
      <sheetName val="Rd.Est"/>
      <sheetName val="Data rough"/>
      <sheetName val="Convey"/>
      <sheetName val="C.D.Abs.Est."/>
      <sheetName val="ESTIMATE"/>
      <sheetName val="Mortars"/>
      <sheetName val="bundqty"/>
      <sheetName val="hdpe weights"/>
      <sheetName val="data existing_do not delete"/>
      <sheetName val="m1"/>
      <sheetName val="Lead Distance"/>
      <sheetName val="WATER-HAMMER"/>
      <sheetName val="20kL-design-final"/>
      <sheetName val="wh"/>
      <sheetName val="AV-HDPE"/>
      <sheetName val="Di_gate-HDPE"/>
      <sheetName val="detls"/>
      <sheetName val="crop water req.(Kh)  "/>
      <sheetName val="Bund"/>
      <sheetName val="SSR 2010-11 Rates"/>
      <sheetName val="Data well"/>
      <sheetName val="Formulas"/>
      <sheetName val="SITE OVERHEADS"/>
      <sheetName val="BALAN1"/>
      <sheetName val="BTR"/>
      <sheetName val="Line"/>
      <sheetName val="Valves"/>
      <sheetName val="MS Rates"/>
      <sheetName val="co_5"/>
      <sheetName val="hdpe-rates"/>
      <sheetName val="pvc-rates"/>
      <sheetName val="AV-BWSC&amp;MS"/>
      <sheetName val="AV_AC"/>
      <sheetName val="di_Gate_AC"/>
      <sheetName val="Digate-BWSCP-MS"/>
      <sheetName val="DI_gate_di"/>
      <sheetName val="LEAD (2)"/>
      <sheetName val="water-hammar-strenght"/>
      <sheetName val="FORM7"/>
      <sheetName val="LOCAL RATES"/>
      <sheetName val="TOP SLAB-beams"/>
      <sheetName val="conc-foot-gradeslab"/>
      <sheetName val="C-data"/>
      <sheetName val="MRoad data"/>
      <sheetName val="Detail In Door Stad"/>
      <sheetName val="_5wgdhabfinal00_01"/>
      <sheetName val="Elect."/>
      <sheetName val="PVC weights"/>
      <sheetName val="index"/>
      <sheetName val="Global factors"/>
      <sheetName val="Z1_DATA"/>
      <sheetName val="BM-HOOP"/>
      <sheetName val="Iocount"/>
      <sheetName val="ewst"/>
      <sheetName val="l"/>
      <sheetName val="Road_data1"/>
      <sheetName val="abs_road1"/>
      <sheetName val="Class_IV_Qtr__Ele1"/>
      <sheetName val="Lead_statement1"/>
      <sheetName val="GROUND_FLOOR"/>
      <sheetName val="Bridge_Data_2005-06"/>
      <sheetName val="Data_07-08_"/>
      <sheetName val="DI_gate-DI"/>
      <sheetName val="DIgate_PVC_"/>
      <sheetName val="Bitumen_trunk"/>
      <sheetName val="R99_etc"/>
      <sheetName val="Trunk_unpaved"/>
      <sheetName val="sub-dapa_"/>
      <sheetName val="Plant_㫨__Machinery"/>
      <sheetName val="Avenue_Plantation_"/>
      <sheetName val="In_put_soft"/>
      <sheetName val="softscape_data_"/>
      <sheetName val="est_input"/>
      <sheetName val="C-data__2)"/>
      <sheetName val="conveyance_"/>
      <sheetName val="Civil_SoR"/>
      <sheetName val="WS_SoR_"/>
      <sheetName val="C-data__for_sub_est"/>
      <sheetName val="Chain_link_mesh_"/>
      <sheetName val="MS_Grill_CW"/>
      <sheetName val="_SS_Gate_(2)"/>
      <sheetName val="_Barbed_wire_(2)"/>
      <sheetName val="Genera_Abstract_Estimate_"/>
      <sheetName val="WS_Data"/>
      <sheetName val="Entrance_Arch_(_H_)"/>
      <sheetName val="Entrance_Arch_(_CH_)"/>
      <sheetName val="Soft_Scape"/>
      <sheetName val="1_Hard_Scape_"/>
      <sheetName val="Sliding_Gate"/>
      <sheetName val="Boundary_Wall"/>
      <sheetName val="Toilet_5X3m"/>
      <sheetName val="Shower_Area_4X1_5m"/>
      <sheetName val="Cremains_Room_5X5m"/>
      <sheetName val="Office_Room_6X6m"/>
      <sheetName val="Security_Room_3X3m"/>
      <sheetName val="Store_Room_6X5_7m"/>
      <sheetName val="Mortury_6X6m"/>
      <sheetName val="Pre_Ritual_Area_8X8m"/>
      <sheetName val="Post_Ritual_Area_6X5m"/>
      <sheetName val="Electric_Crematorioum_15X15m"/>
      <sheetName val="Conventional_Crematorium6_2X5_2"/>
      <sheetName val="Office_cum_Security_Room_7X4m"/>
      <sheetName val="Chain_link_mesh_fencing_"/>
      <sheetName val="SPT_vs_PHI"/>
      <sheetName val="WPI_C"/>
      <sheetName val="WPI_all"/>
      <sheetName val="WPI_HM"/>
      <sheetName val="WPI_S"/>
      <sheetName val="SSR_2015-16"/>
      <sheetName val="DATA_SHEET_FOR_2012_-_13"/>
      <sheetName val="Main_sheet"/>
      <sheetName val="_Data_-Valves"/>
      <sheetName val="BS8007"/>
      <sheetName val="D2_CO"/>
      <sheetName val="Detailed"/>
      <sheetName val="ssr-rates"/>
      <sheetName val="1-Pop Proj"/>
      <sheetName val="sand"/>
      <sheetName val="stone"/>
      <sheetName val="Hyd_Stmt"/>
      <sheetName val="pop"/>
      <sheetName val="Quarry"/>
      <sheetName val="CRUST"/>
      <sheetName val="QDTS"/>
      <sheetName val="nandipet intra"/>
      <sheetName val="Sheet3"/>
      <sheetName val="dump"/>
      <sheetName val="factors"/>
      <sheetName val="foundation(V)"/>
      <sheetName val="Main"/>
      <sheetName val="data-WC"/>
      <sheetName val="DATA SHEET FOR 2014-15"/>
      <sheetName val="SSR 2016-17"/>
      <sheetName val="Road data-TDR"/>
      <sheetName val="TCS_Schedule (2)"/>
      <sheetName val="137-140"/>
      <sheetName val="141-142"/>
      <sheetName val="ElectricalSSR"/>
      <sheetName val="Earthwork MCW"/>
      <sheetName val="TCS Proposed"/>
      <sheetName val="sup dat"/>
      <sheetName val="#REF"/>
      <sheetName val="checked"/>
      <sheetName val="other rates"/>
      <sheetName val="MTC-estimate"/>
      <sheetName val="Gen Abs"/>
      <sheetName val="DATA-CD"/>
      <sheetName val="AV-DI"/>
      <sheetName val="scour-DI-CI"/>
      <sheetName val="scour-pvc-hdpe-psc-bwsc"/>
      <sheetName val="Bill_amt_qty_cc_1"/>
      <sheetName val="Data-2010-11"/>
      <sheetName val="PLAN_FEB97"/>
      <sheetName val="MRMECADAMoad data"/>
      <sheetName val="Road Detail Est."/>
      <sheetName val="1000000000000"/>
      <sheetName val="Drains Est"/>
      <sheetName val="Relig-place"/>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sheetData sheetId="104"/>
      <sheetData sheetId="105" refreshError="1"/>
      <sheetData sheetId="106" refreshError="1"/>
      <sheetData sheetId="107"/>
      <sheetData sheetId="108"/>
      <sheetData sheetId="109"/>
      <sheetData sheetId="110"/>
      <sheetData sheetId="111"/>
      <sheetData sheetId="112"/>
      <sheetData sheetId="113"/>
      <sheetData sheetId="114"/>
      <sheetData sheetId="115"/>
      <sheetData sheetId="116"/>
      <sheetData sheetId="117"/>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sheetData sheetId="15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sheetData sheetId="21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CPHEEO"/>
      <sheetName val="CPHEEO_Change"/>
      <sheetName val="wh_data"/>
      <sheetName val="wh_data_R"/>
      <sheetName val="Eco_dia_bhopal"/>
      <sheetName val="IWWA"/>
      <sheetName val="economical_auto"/>
      <sheetName val="economical_OFF_manual"/>
      <sheetName val="final abstract"/>
      <sheetName val="Estimate "/>
      <sheetName val="Det. Secty bld"/>
      <sheetName val="Proforma -II "/>
      <sheetName val="Cover"/>
      <sheetName val="col-reinft1"/>
      <sheetName val="RMR"/>
      <sheetName val="Road data"/>
      <sheetName val="Data"/>
      <sheetName val="detls"/>
      <sheetName val="Lead statement"/>
      <sheetName val="Class IV Qtr. Ele"/>
      <sheetName val="bom"/>
      <sheetName val="Estimate 10.00 Lakhs "/>
      <sheetName val="Usage"/>
      <sheetName val="Common "/>
      <sheetName val="General"/>
      <sheetName val="leads"/>
      <sheetName val="MRATES"/>
      <sheetName val="C-data"/>
      <sheetName val="HDPE"/>
      <sheetName val="pvc_basic"/>
      <sheetName val="DI"/>
      <sheetName val="pvc"/>
      <sheetName val="data existing_do not delete"/>
      <sheetName val="p&amp;m"/>
      <sheetName val="final_abstract"/>
      <sheetName val="Estimate_"/>
      <sheetName val="Det__Secty_bld"/>
      <sheetName val="Proforma_-II_"/>
      <sheetName val="Labour"/>
      <sheetName val="Material"/>
      <sheetName val="Plant &amp;  Machinery"/>
      <sheetName val="mlead"/>
      <sheetName val="abs road"/>
      <sheetName val="R_Det"/>
      <sheetName val="maya"/>
      <sheetName val="t_prsr"/>
      <sheetName val="id"/>
      <sheetName val="m"/>
      <sheetName val="Sheet2"/>
      <sheetName val="Sheet9"/>
    </sheetNames>
    <sheetDataSet>
      <sheetData sheetId="0" refreshError="1">
        <row r="4">
          <cell r="C4">
            <v>2</v>
          </cell>
        </row>
        <row r="5">
          <cell r="C5">
            <v>10</v>
          </cell>
        </row>
        <row r="6">
          <cell r="C6">
            <v>20</v>
          </cell>
        </row>
        <row r="8">
          <cell r="C8">
            <v>2004</v>
          </cell>
          <cell r="F8">
            <v>58509</v>
          </cell>
          <cell r="H8">
            <v>2437.875</v>
          </cell>
          <cell r="K8">
            <v>0.1462725</v>
          </cell>
        </row>
        <row r="9">
          <cell r="C9">
            <v>2014</v>
          </cell>
          <cell r="F9">
            <v>71322</v>
          </cell>
          <cell r="H9">
            <v>2971.75</v>
          </cell>
          <cell r="K9">
            <v>0.17830499999999999</v>
          </cell>
        </row>
        <row r="10">
          <cell r="C10">
            <v>2024</v>
          </cell>
          <cell r="F10">
            <v>86941</v>
          </cell>
          <cell r="H10">
            <v>3622.5416666666665</v>
          </cell>
          <cell r="K10">
            <v>0.2173525</v>
          </cell>
        </row>
        <row r="11">
          <cell r="C11">
            <v>34.700000000000003</v>
          </cell>
        </row>
        <row r="17">
          <cell r="C17">
            <v>8000</v>
          </cell>
          <cell r="E17">
            <v>10720</v>
          </cell>
        </row>
      </sheetData>
      <sheetData sheetId="1" refreshError="1">
        <row r="2">
          <cell r="AO2" t="str">
            <v>PVC</v>
          </cell>
          <cell r="AY2" t="str">
            <v>PVC</v>
          </cell>
          <cell r="AZ2" t="str">
            <v>HDPE</v>
          </cell>
          <cell r="BA2" t="str">
            <v>CI</v>
          </cell>
          <cell r="BB2" t="str">
            <v>DI</v>
          </cell>
          <cell r="BC2" t="str">
            <v>PSC</v>
          </cell>
          <cell r="BD2" t="str">
            <v>GRP</v>
          </cell>
          <cell r="BE2" t="str">
            <v>BWSP</v>
          </cell>
          <cell r="BF2" t="str">
            <v>GI</v>
          </cell>
          <cell r="BG2" t="str">
            <v>RCC</v>
          </cell>
          <cell r="BH2" t="str">
            <v>AC</v>
          </cell>
          <cell r="BK2" t="str">
            <v>PVC</v>
          </cell>
          <cell r="BL2">
            <v>1</v>
          </cell>
        </row>
        <row r="3">
          <cell r="Z3" t="str">
            <v>PVC</v>
          </cell>
          <cell r="AO3" t="str">
            <v>4kg/sqcm</v>
          </cell>
          <cell r="AP3" t="str">
            <v>4kg/sqcm</v>
          </cell>
          <cell r="AQ3" t="str">
            <v>LA</v>
          </cell>
          <cell r="AR3" t="str">
            <v>K7</v>
          </cell>
          <cell r="AS3" t="str">
            <v>6kg/sqcm</v>
          </cell>
          <cell r="AT3" t="str">
            <v>12kg/sqcm</v>
          </cell>
          <cell r="AU3" t="str">
            <v>Class-15</v>
          </cell>
          <cell r="AV3" t="str">
            <v>3Bar</v>
          </cell>
          <cell r="AY3">
            <v>315</v>
          </cell>
          <cell r="AZ3">
            <v>400</v>
          </cell>
          <cell r="BA3">
            <v>1000</v>
          </cell>
          <cell r="BB3">
            <v>1100</v>
          </cell>
          <cell r="BC3">
            <v>1300</v>
          </cell>
          <cell r="BD3">
            <v>1000</v>
          </cell>
          <cell r="BE3">
            <v>1600</v>
          </cell>
          <cell r="BF3">
            <v>65</v>
          </cell>
          <cell r="BG3">
            <v>1200</v>
          </cell>
          <cell r="BH3">
            <v>1000</v>
          </cell>
          <cell r="BK3" t="str">
            <v>HDPE</v>
          </cell>
          <cell r="BL3">
            <v>2</v>
          </cell>
        </row>
        <row r="4">
          <cell r="Z4" t="str">
            <v>HDPE</v>
          </cell>
          <cell r="AY4">
            <v>280</v>
          </cell>
          <cell r="AZ4">
            <v>355</v>
          </cell>
          <cell r="BA4">
            <v>900</v>
          </cell>
          <cell r="BB4">
            <v>1000</v>
          </cell>
          <cell r="BC4">
            <v>1200</v>
          </cell>
          <cell r="BD4">
            <v>900</v>
          </cell>
          <cell r="BE4">
            <v>1500</v>
          </cell>
          <cell r="BF4">
            <v>50</v>
          </cell>
          <cell r="BG4">
            <v>1100</v>
          </cell>
          <cell r="BH4">
            <v>900</v>
          </cell>
        </row>
        <row r="5">
          <cell r="Z5" t="str">
            <v>CI</v>
          </cell>
          <cell r="AY5">
            <v>250</v>
          </cell>
          <cell r="AZ5">
            <v>315</v>
          </cell>
          <cell r="BA5">
            <v>800</v>
          </cell>
          <cell r="BB5">
            <v>900</v>
          </cell>
          <cell r="BC5">
            <v>1100</v>
          </cell>
          <cell r="BD5">
            <v>800</v>
          </cell>
          <cell r="BE5">
            <v>1400</v>
          </cell>
          <cell r="BF5">
            <v>40</v>
          </cell>
          <cell r="BG5">
            <v>1000</v>
          </cell>
          <cell r="BH5">
            <v>850</v>
          </cell>
        </row>
        <row r="6">
          <cell r="Z6" t="str">
            <v>DI</v>
          </cell>
          <cell r="AY6">
            <v>225</v>
          </cell>
          <cell r="AZ6">
            <v>280</v>
          </cell>
          <cell r="BA6">
            <v>750</v>
          </cell>
          <cell r="BB6">
            <v>800</v>
          </cell>
          <cell r="BC6">
            <v>1000</v>
          </cell>
          <cell r="BD6">
            <v>700</v>
          </cell>
          <cell r="BE6">
            <v>1300</v>
          </cell>
          <cell r="BF6">
            <v>32</v>
          </cell>
          <cell r="BG6">
            <v>900</v>
          </cell>
          <cell r="BH6">
            <v>800</v>
          </cell>
        </row>
        <row r="7">
          <cell r="Z7" t="str">
            <v>PSC</v>
          </cell>
          <cell r="AY7">
            <v>200</v>
          </cell>
          <cell r="AZ7">
            <v>250</v>
          </cell>
          <cell r="BA7">
            <v>700</v>
          </cell>
          <cell r="BB7">
            <v>750</v>
          </cell>
          <cell r="BC7">
            <v>900</v>
          </cell>
          <cell r="BD7">
            <v>600</v>
          </cell>
          <cell r="BE7">
            <v>1200</v>
          </cell>
          <cell r="BF7">
            <v>25</v>
          </cell>
          <cell r="BG7">
            <v>800</v>
          </cell>
          <cell r="BH7">
            <v>750</v>
          </cell>
        </row>
        <row r="8">
          <cell r="Z8" t="str">
            <v>GRP</v>
          </cell>
          <cell r="AY8">
            <v>180</v>
          </cell>
          <cell r="AZ8">
            <v>225</v>
          </cell>
          <cell r="BA8">
            <v>600</v>
          </cell>
          <cell r="BB8">
            <v>700</v>
          </cell>
          <cell r="BC8">
            <v>800</v>
          </cell>
          <cell r="BD8">
            <v>500</v>
          </cell>
          <cell r="BE8">
            <v>1100</v>
          </cell>
          <cell r="BF8">
            <v>0</v>
          </cell>
          <cell r="BG8">
            <v>700</v>
          </cell>
          <cell r="BH8">
            <v>700</v>
          </cell>
        </row>
        <row r="9">
          <cell r="Z9" t="str">
            <v>BWSP</v>
          </cell>
          <cell r="AY9">
            <v>160</v>
          </cell>
          <cell r="AZ9">
            <v>200</v>
          </cell>
          <cell r="BA9">
            <v>500</v>
          </cell>
          <cell r="BB9">
            <v>600</v>
          </cell>
          <cell r="BC9">
            <v>700</v>
          </cell>
          <cell r="BD9">
            <v>450</v>
          </cell>
          <cell r="BE9">
            <v>1000</v>
          </cell>
          <cell r="BF9">
            <v>0</v>
          </cell>
          <cell r="BG9">
            <v>600</v>
          </cell>
          <cell r="BH9">
            <v>600</v>
          </cell>
        </row>
        <row r="10">
          <cell r="C10">
            <v>75</v>
          </cell>
          <cell r="L10">
            <v>14.562795458989429</v>
          </cell>
          <cell r="Z10" t="str">
            <v>GI</v>
          </cell>
          <cell r="AY10">
            <v>140</v>
          </cell>
          <cell r="AZ10">
            <v>180</v>
          </cell>
          <cell r="BA10">
            <v>450</v>
          </cell>
          <cell r="BB10">
            <v>500</v>
          </cell>
          <cell r="BC10">
            <v>600</v>
          </cell>
          <cell r="BD10">
            <v>400</v>
          </cell>
          <cell r="BE10">
            <v>900</v>
          </cell>
          <cell r="BF10">
            <v>0</v>
          </cell>
          <cell r="BG10">
            <v>500</v>
          </cell>
          <cell r="BH10">
            <v>500</v>
          </cell>
        </row>
        <row r="11">
          <cell r="C11">
            <v>8000</v>
          </cell>
          <cell r="Z11" t="str">
            <v>RCC</v>
          </cell>
          <cell r="AY11">
            <v>125</v>
          </cell>
          <cell r="AZ11">
            <v>160</v>
          </cell>
          <cell r="BA11">
            <v>400</v>
          </cell>
          <cell r="BB11">
            <v>450</v>
          </cell>
          <cell r="BC11">
            <v>500</v>
          </cell>
          <cell r="BD11">
            <v>350</v>
          </cell>
          <cell r="BE11">
            <v>800</v>
          </cell>
          <cell r="BF11">
            <v>0</v>
          </cell>
          <cell r="BG11">
            <v>450</v>
          </cell>
          <cell r="BH11">
            <v>450</v>
          </cell>
        </row>
        <row r="12">
          <cell r="Z12" t="str">
            <v>AC</v>
          </cell>
          <cell r="AY12">
            <v>110</v>
          </cell>
          <cell r="AZ12">
            <v>140</v>
          </cell>
          <cell r="BA12">
            <v>350</v>
          </cell>
          <cell r="BB12">
            <v>400</v>
          </cell>
          <cell r="BC12">
            <v>450</v>
          </cell>
          <cell r="BD12">
            <v>0</v>
          </cell>
          <cell r="BE12">
            <v>700</v>
          </cell>
          <cell r="BF12">
            <v>0</v>
          </cell>
          <cell r="BG12">
            <v>400</v>
          </cell>
          <cell r="BH12">
            <v>400</v>
          </cell>
        </row>
        <row r="13">
          <cell r="C13">
            <v>10</v>
          </cell>
          <cell r="J13">
            <v>23935.126326238744</v>
          </cell>
          <cell r="L13">
            <v>23935.119360485845</v>
          </cell>
          <cell r="AY13">
            <v>90</v>
          </cell>
          <cell r="AZ13">
            <v>125</v>
          </cell>
          <cell r="BA13">
            <v>300</v>
          </cell>
          <cell r="BB13">
            <v>350</v>
          </cell>
          <cell r="BC13">
            <v>400</v>
          </cell>
          <cell r="BE13">
            <v>600</v>
          </cell>
          <cell r="BF13">
            <v>0</v>
          </cell>
          <cell r="BG13">
            <v>350</v>
          </cell>
          <cell r="BH13">
            <v>350</v>
          </cell>
        </row>
        <row r="14">
          <cell r="AY14">
            <v>75</v>
          </cell>
          <cell r="AZ14">
            <v>110</v>
          </cell>
          <cell r="BA14">
            <v>250</v>
          </cell>
          <cell r="BB14">
            <v>300</v>
          </cell>
          <cell r="BC14">
            <v>350</v>
          </cell>
          <cell r="BE14">
            <v>500</v>
          </cell>
          <cell r="BF14">
            <v>0</v>
          </cell>
          <cell r="BH14">
            <v>300</v>
          </cell>
        </row>
        <row r="15">
          <cell r="AY15">
            <v>63</v>
          </cell>
          <cell r="AZ15">
            <v>90</v>
          </cell>
          <cell r="BA15">
            <v>200</v>
          </cell>
          <cell r="BB15">
            <v>250</v>
          </cell>
          <cell r="BE15">
            <v>400</v>
          </cell>
          <cell r="BH15">
            <v>250</v>
          </cell>
        </row>
        <row r="16">
          <cell r="AY16">
            <v>0</v>
          </cell>
          <cell r="AZ16">
            <v>75</v>
          </cell>
          <cell r="BA16">
            <v>150</v>
          </cell>
          <cell r="BB16">
            <v>200</v>
          </cell>
          <cell r="BE16">
            <v>300</v>
          </cell>
          <cell r="BH16">
            <v>200</v>
          </cell>
        </row>
        <row r="17">
          <cell r="C17">
            <v>20</v>
          </cell>
          <cell r="AZ17">
            <v>63</v>
          </cell>
          <cell r="BA17">
            <v>125</v>
          </cell>
          <cell r="BB17">
            <v>150</v>
          </cell>
          <cell r="BE17">
            <v>250</v>
          </cell>
          <cell r="BH17">
            <v>150</v>
          </cell>
        </row>
        <row r="18">
          <cell r="AZ18">
            <v>0</v>
          </cell>
          <cell r="BA18">
            <v>100</v>
          </cell>
          <cell r="BB18">
            <v>125</v>
          </cell>
          <cell r="BH18">
            <v>125</v>
          </cell>
        </row>
        <row r="39">
          <cell r="BA39">
            <v>80</v>
          </cell>
          <cell r="BB39">
            <v>100</v>
          </cell>
          <cell r="BH39">
            <v>100</v>
          </cell>
        </row>
        <row r="40">
          <cell r="BH40">
            <v>80</v>
          </cell>
        </row>
      </sheetData>
      <sheetData sheetId="2" refreshError="1"/>
      <sheetData sheetId="3" refreshError="1">
        <row r="2">
          <cell r="J2" t="str">
            <v>AC</v>
          </cell>
          <cell r="L2" t="str">
            <v>HDPE</v>
          </cell>
          <cell r="M2" t="str">
            <v>4kg/sqcm</v>
          </cell>
          <cell r="N2" t="str">
            <v>6kg/sqcm</v>
          </cell>
          <cell r="O2" t="str">
            <v>8kg/sqcm</v>
          </cell>
          <cell r="P2" t="str">
            <v>10kg/sqcm</v>
          </cell>
          <cell r="R2" t="str">
            <v>HDPE</v>
          </cell>
        </row>
        <row r="3">
          <cell r="A3">
            <v>63</v>
          </cell>
          <cell r="B3">
            <v>3.5000000000000001E-3</v>
          </cell>
          <cell r="C3">
            <v>4.2000000000000006E-3</v>
          </cell>
          <cell r="D3">
            <v>6.6E-3</v>
          </cell>
          <cell r="E3">
            <v>63</v>
          </cell>
          <cell r="F3">
            <v>5.6000000000000001E-2</v>
          </cell>
          <cell r="G3">
            <v>5.4600000000000003E-2</v>
          </cell>
          <cell r="H3">
            <v>4.9799999999999997E-2</v>
          </cell>
          <cell r="J3" t="str">
            <v>BWSP</v>
          </cell>
          <cell r="L3">
            <v>63</v>
          </cell>
          <cell r="M3">
            <v>83.65</v>
          </cell>
          <cell r="N3">
            <v>106.30000000000001</v>
          </cell>
          <cell r="O3">
            <v>128</v>
          </cell>
          <cell r="R3" t="str">
            <v>PVC</v>
          </cell>
        </row>
        <row r="4">
          <cell r="A4">
            <v>75</v>
          </cell>
          <cell r="B4">
            <v>4.0000000000000001E-3</v>
          </cell>
          <cell r="C4">
            <v>4.9000000000000007E-3</v>
          </cell>
          <cell r="D4">
            <v>7.7999999999999996E-3</v>
          </cell>
          <cell r="E4">
            <v>75</v>
          </cell>
          <cell r="F4">
            <v>6.7000000000000004E-2</v>
          </cell>
          <cell r="G4">
            <v>6.5200000000000008E-2</v>
          </cell>
          <cell r="H4">
            <v>5.9400000000000001E-2</v>
          </cell>
          <cell r="J4" t="str">
            <v>CI</v>
          </cell>
          <cell r="L4">
            <v>75</v>
          </cell>
          <cell r="M4">
            <v>106.15</v>
          </cell>
          <cell r="N4">
            <v>141.35</v>
          </cell>
          <cell r="O4">
            <v>171.70000000000002</v>
          </cell>
          <cell r="R4" t="str">
            <v>CI</v>
          </cell>
        </row>
        <row r="5">
          <cell r="A5">
            <v>90</v>
          </cell>
          <cell r="B5">
            <v>5.0000000000000001E-3</v>
          </cell>
          <cell r="C5">
            <v>5.7999999999999996E-3</v>
          </cell>
          <cell r="D5">
            <v>9.300000000000001E-3</v>
          </cell>
          <cell r="E5">
            <v>90</v>
          </cell>
          <cell r="F5">
            <v>0.08</v>
          </cell>
          <cell r="G5">
            <v>7.8400000000000011E-2</v>
          </cell>
          <cell r="H5">
            <v>7.1400000000000005E-2</v>
          </cell>
          <cell r="J5" t="str">
            <v>DI</v>
          </cell>
          <cell r="L5">
            <v>90</v>
          </cell>
          <cell r="M5">
            <v>144.95000000000002</v>
          </cell>
          <cell r="N5">
            <v>192.85000000000002</v>
          </cell>
          <cell r="O5">
            <v>237.5</v>
          </cell>
          <cell r="R5" t="str">
            <v>DI</v>
          </cell>
        </row>
        <row r="6">
          <cell r="A6">
            <v>110</v>
          </cell>
          <cell r="B6">
            <v>6.0000000000000001E-3</v>
          </cell>
          <cell r="C6">
            <v>7.0999999999999995E-3</v>
          </cell>
          <cell r="D6">
            <v>1.12E-2</v>
          </cell>
          <cell r="E6">
            <v>110</v>
          </cell>
          <cell r="F6">
            <v>9.8000000000000004E-2</v>
          </cell>
          <cell r="G6">
            <v>9.5799999999999996E-2</v>
          </cell>
          <cell r="H6">
            <v>8.7599999999999997E-2</v>
          </cell>
          <cell r="J6" t="str">
            <v>GRP</v>
          </cell>
          <cell r="L6">
            <v>110</v>
          </cell>
          <cell r="M6">
            <v>204.20000000000002</v>
          </cell>
          <cell r="N6">
            <v>276.55</v>
          </cell>
          <cell r="O6">
            <v>342.6</v>
          </cell>
          <cell r="R6" t="str">
            <v>AC</v>
          </cell>
        </row>
        <row r="7">
          <cell r="A7">
            <v>125</v>
          </cell>
          <cell r="B7">
            <v>6.7999999999999996E-3</v>
          </cell>
          <cell r="C7">
            <v>8.0000000000000002E-3</v>
          </cell>
          <cell r="D7">
            <v>1.2800000000000001E-2</v>
          </cell>
          <cell r="E7">
            <v>125</v>
          </cell>
          <cell r="F7">
            <v>0.1114</v>
          </cell>
          <cell r="G7">
            <v>0.109</v>
          </cell>
          <cell r="H7">
            <v>9.9400000000000002E-2</v>
          </cell>
          <cell r="J7" t="str">
            <v>HDPE</v>
          </cell>
          <cell r="L7">
            <v>125</v>
          </cell>
          <cell r="M7">
            <v>254.60000000000002</v>
          </cell>
          <cell r="N7">
            <v>346.70000000000005</v>
          </cell>
          <cell r="O7">
            <v>433.05</v>
          </cell>
          <cell r="R7" t="str">
            <v>PSC</v>
          </cell>
        </row>
        <row r="8">
          <cell r="A8">
            <v>140</v>
          </cell>
          <cell r="B8">
            <v>7.6E-3</v>
          </cell>
          <cell r="C8">
            <v>8.9999999999999993E-3</v>
          </cell>
          <cell r="D8">
            <v>1.43E-2</v>
          </cell>
          <cell r="E8">
            <v>140</v>
          </cell>
          <cell r="F8">
            <v>0.12479999999999999</v>
          </cell>
          <cell r="G8">
            <v>0.122</v>
          </cell>
          <cell r="H8">
            <v>0.1114</v>
          </cell>
          <cell r="J8" t="str">
            <v>PSC</v>
          </cell>
          <cell r="L8">
            <v>140</v>
          </cell>
          <cell r="M8">
            <v>308.8</v>
          </cell>
          <cell r="N8">
            <v>427.35</v>
          </cell>
          <cell r="O8">
            <v>534.65</v>
          </cell>
          <cell r="R8" t="str">
            <v>GRP</v>
          </cell>
        </row>
        <row r="9">
          <cell r="A9">
            <v>160</v>
          </cell>
          <cell r="B9">
            <v>8.6E-3</v>
          </cell>
          <cell r="C9">
            <v>1.0199999999999999E-2</v>
          </cell>
          <cell r="D9">
            <v>1.6300000000000002E-2</v>
          </cell>
          <cell r="E9">
            <v>160</v>
          </cell>
          <cell r="F9">
            <v>0.14280000000000001</v>
          </cell>
          <cell r="G9">
            <v>0.1396</v>
          </cell>
          <cell r="H9">
            <v>0.12740000000000001</v>
          </cell>
          <cell r="J9" t="str">
            <v>PVC</v>
          </cell>
          <cell r="L9">
            <v>160</v>
          </cell>
          <cell r="M9">
            <v>400.55</v>
          </cell>
          <cell r="N9">
            <v>553.6</v>
          </cell>
          <cell r="O9">
            <v>693.15000000000009</v>
          </cell>
          <cell r="R9" t="str">
            <v>BWSP</v>
          </cell>
        </row>
        <row r="10">
          <cell r="A10">
            <v>180</v>
          </cell>
          <cell r="B10">
            <v>9.6999999999999986E-3</v>
          </cell>
          <cell r="C10">
            <v>1.15E-2</v>
          </cell>
          <cell r="D10">
            <v>1.83E-2</v>
          </cell>
          <cell r="E10">
            <v>180</v>
          </cell>
          <cell r="F10">
            <v>0.16059999999999999</v>
          </cell>
          <cell r="G10">
            <v>0.157</v>
          </cell>
          <cell r="H10">
            <v>0.1434</v>
          </cell>
          <cell r="L10">
            <v>180</v>
          </cell>
          <cell r="M10">
            <v>495.95000000000005</v>
          </cell>
          <cell r="N10">
            <v>688</v>
          </cell>
          <cell r="O10">
            <v>869.35</v>
          </cell>
        </row>
        <row r="11">
          <cell r="A11">
            <v>200</v>
          </cell>
          <cell r="B11">
            <v>1.0699999999999999E-2</v>
          </cell>
          <cell r="C11">
            <v>1.2699999999999999E-2</v>
          </cell>
          <cell r="D11">
            <v>2.0300000000000002E-2</v>
          </cell>
          <cell r="E11">
            <v>200</v>
          </cell>
          <cell r="F11">
            <v>0.17859999999999998</v>
          </cell>
          <cell r="G11">
            <v>0.17460000000000001</v>
          </cell>
          <cell r="H11">
            <v>0.15940000000000001</v>
          </cell>
          <cell r="L11">
            <v>200</v>
          </cell>
          <cell r="M11">
            <v>598.75</v>
          </cell>
          <cell r="N11">
            <v>843.65000000000009</v>
          </cell>
          <cell r="O11">
            <v>1063.2</v>
          </cell>
        </row>
        <row r="12">
          <cell r="A12">
            <v>225</v>
          </cell>
          <cell r="B12">
            <v>1.2E-2</v>
          </cell>
          <cell r="C12">
            <v>1.43E-2</v>
          </cell>
          <cell r="D12">
            <v>2.2800000000000001E-2</v>
          </cell>
          <cell r="E12">
            <v>225</v>
          </cell>
          <cell r="F12">
            <v>0.20100000000000001</v>
          </cell>
          <cell r="G12">
            <v>0.19640000000000002</v>
          </cell>
          <cell r="H12">
            <v>0.1794</v>
          </cell>
          <cell r="L12">
            <v>225</v>
          </cell>
          <cell r="M12">
            <v>773.75</v>
          </cell>
          <cell r="N12">
            <v>1085.3500000000001</v>
          </cell>
          <cell r="O12">
            <v>1370.75</v>
          </cell>
        </row>
        <row r="13">
          <cell r="A13">
            <v>250</v>
          </cell>
          <cell r="B13">
            <v>1.3300000000000001E-2</v>
          </cell>
          <cell r="C13">
            <v>1.5800000000000002E-2</v>
          </cell>
          <cell r="D13">
            <v>2.53E-2</v>
          </cell>
          <cell r="E13">
            <v>250</v>
          </cell>
          <cell r="F13">
            <v>0.22340000000000002</v>
          </cell>
          <cell r="G13">
            <v>0.21840000000000001</v>
          </cell>
          <cell r="H13">
            <v>0.19939999999999999</v>
          </cell>
          <cell r="L13">
            <v>250</v>
          </cell>
          <cell r="M13">
            <v>946.65000000000009</v>
          </cell>
          <cell r="N13">
            <v>1326.5500000000002</v>
          </cell>
          <cell r="O13">
            <v>1684.7</v>
          </cell>
        </row>
        <row r="14">
          <cell r="A14">
            <v>280</v>
          </cell>
          <cell r="B14">
            <v>1.49E-2</v>
          </cell>
          <cell r="C14">
            <v>1.77E-2</v>
          </cell>
          <cell r="D14">
            <v>2.8300000000000002E-2</v>
          </cell>
          <cell r="E14">
            <v>280</v>
          </cell>
          <cell r="F14">
            <v>0.25019999999999998</v>
          </cell>
          <cell r="G14">
            <v>0.24459999999999998</v>
          </cell>
          <cell r="H14">
            <v>0.22340000000000002</v>
          </cell>
          <cell r="L14">
            <v>280</v>
          </cell>
          <cell r="M14">
            <v>1167.75</v>
          </cell>
          <cell r="N14">
            <v>1650.45</v>
          </cell>
          <cell r="O14">
            <v>2096.75</v>
          </cell>
        </row>
        <row r="15">
          <cell r="A15">
            <v>315</v>
          </cell>
          <cell r="B15">
            <v>1.67E-2</v>
          </cell>
          <cell r="C15">
            <v>0.02</v>
          </cell>
          <cell r="D15">
            <v>3.1800000000000002E-2</v>
          </cell>
          <cell r="E15">
            <v>315</v>
          </cell>
          <cell r="F15">
            <v>0.28160000000000002</v>
          </cell>
          <cell r="G15">
            <v>0.27500000000000002</v>
          </cell>
          <cell r="H15">
            <v>0.25140000000000001</v>
          </cell>
          <cell r="L15">
            <v>315</v>
          </cell>
          <cell r="M15">
            <v>1472.2</v>
          </cell>
          <cell r="N15">
            <v>2079.0500000000002</v>
          </cell>
          <cell r="O15">
            <v>2641.4</v>
          </cell>
        </row>
        <row r="16">
          <cell r="A16">
            <v>355</v>
          </cell>
          <cell r="B16">
            <v>1.8800000000000001E-2</v>
          </cell>
          <cell r="C16">
            <v>2.23E-2</v>
          </cell>
          <cell r="D16">
            <v>3.5799999999999998E-2</v>
          </cell>
          <cell r="E16">
            <v>355</v>
          </cell>
          <cell r="F16">
            <v>0.31739999999999996</v>
          </cell>
          <cell r="G16">
            <v>0.31039999999999995</v>
          </cell>
          <cell r="H16">
            <v>0.28339999999999999</v>
          </cell>
        </row>
        <row r="17">
          <cell r="A17">
            <v>400</v>
          </cell>
          <cell r="B17">
            <v>2.2100000000000002E-2</v>
          </cell>
          <cell r="C17">
            <v>2.63E-2</v>
          </cell>
          <cell r="D17">
            <v>4.2099999999999999E-2</v>
          </cell>
          <cell r="E17">
            <v>400</v>
          </cell>
          <cell r="F17">
            <v>0.35580000000000001</v>
          </cell>
          <cell r="G17">
            <v>0.34739999999999999</v>
          </cell>
          <cell r="H17">
            <v>0.31580000000000003</v>
          </cell>
        </row>
        <row r="20">
          <cell r="L20" t="str">
            <v>PVC</v>
          </cell>
          <cell r="M20" t="str">
            <v>4kg/sqcm</v>
          </cell>
          <cell r="N20" t="str">
            <v>6kg/sqcm</v>
          </cell>
          <cell r="O20" t="str">
            <v>10kg/sqcm</v>
          </cell>
        </row>
        <row r="21">
          <cell r="A21">
            <v>63</v>
          </cell>
          <cell r="B21">
            <v>1.9E-3</v>
          </cell>
          <cell r="C21">
            <v>2.7000000000000001E-3</v>
          </cell>
          <cell r="D21">
            <v>4.0999999999999995E-3</v>
          </cell>
          <cell r="L21">
            <v>63</v>
          </cell>
        </row>
        <row r="22">
          <cell r="A22">
            <v>75</v>
          </cell>
          <cell r="B22">
            <v>2.2000000000000001E-3</v>
          </cell>
          <cell r="C22">
            <v>3.0999999999999999E-3</v>
          </cell>
          <cell r="D22">
            <v>4.9000000000000007E-3</v>
          </cell>
          <cell r="L22">
            <v>75</v>
          </cell>
        </row>
        <row r="23">
          <cell r="A23">
            <v>90</v>
          </cell>
          <cell r="B23">
            <v>2.5999999999999999E-3</v>
          </cell>
          <cell r="C23">
            <v>3.7000000000000002E-3</v>
          </cell>
          <cell r="D23">
            <v>5.7000000000000002E-3</v>
          </cell>
          <cell r="L23">
            <v>90</v>
          </cell>
        </row>
        <row r="24">
          <cell r="A24">
            <v>110</v>
          </cell>
          <cell r="B24">
            <v>3.0000000000000001E-3</v>
          </cell>
          <cell r="C24">
            <v>4.3E-3</v>
          </cell>
          <cell r="D24">
            <v>7.0999999999999995E-3</v>
          </cell>
          <cell r="L24">
            <v>110</v>
          </cell>
        </row>
        <row r="25">
          <cell r="A25">
            <v>125</v>
          </cell>
          <cell r="B25">
            <v>3.3999999999999998E-3</v>
          </cell>
          <cell r="C25">
            <v>5.0000000000000001E-3</v>
          </cell>
          <cell r="D25">
            <v>8.0000000000000002E-3</v>
          </cell>
          <cell r="L25">
            <v>125</v>
          </cell>
        </row>
        <row r="26">
          <cell r="A26">
            <v>140</v>
          </cell>
          <cell r="B26">
            <v>3.8E-3</v>
          </cell>
          <cell r="C26">
            <v>5.4999999999999997E-3</v>
          </cell>
          <cell r="D26">
            <v>8.8999999999999999E-3</v>
          </cell>
          <cell r="L26">
            <v>140</v>
          </cell>
        </row>
        <row r="27">
          <cell r="A27">
            <v>160</v>
          </cell>
          <cell r="B27">
            <v>4.3E-3</v>
          </cell>
          <cell r="C27">
            <v>6.1999999999999998E-3</v>
          </cell>
          <cell r="D27">
            <v>1.0199999999999999E-2</v>
          </cell>
          <cell r="L27">
            <v>160</v>
          </cell>
        </row>
        <row r="28">
          <cell r="A28">
            <v>180</v>
          </cell>
          <cell r="B28">
            <v>4.9000000000000007E-3</v>
          </cell>
          <cell r="C28">
            <v>7.0999999999999995E-3</v>
          </cell>
          <cell r="D28">
            <v>1.14E-2</v>
          </cell>
          <cell r="L28">
            <v>180</v>
          </cell>
        </row>
        <row r="29">
          <cell r="A29">
            <v>200</v>
          </cell>
          <cell r="B29">
            <v>5.3E-3</v>
          </cell>
          <cell r="C29">
            <v>7.9000000000000008E-3</v>
          </cell>
          <cell r="D29">
            <v>1.2699999999999999E-2</v>
          </cell>
          <cell r="L29">
            <v>200</v>
          </cell>
        </row>
        <row r="30">
          <cell r="A30">
            <v>225</v>
          </cell>
          <cell r="B30">
            <v>6.0000000000000001E-3</v>
          </cell>
          <cell r="C30">
            <v>8.6E-3</v>
          </cell>
          <cell r="D30">
            <v>1.43E-2</v>
          </cell>
          <cell r="L30">
            <v>225</v>
          </cell>
        </row>
        <row r="31">
          <cell r="A31">
            <v>250</v>
          </cell>
          <cell r="B31">
            <v>6.4999999999999997E-3</v>
          </cell>
          <cell r="C31">
            <v>9.8000000000000014E-3</v>
          </cell>
          <cell r="D31">
            <v>1.5900000000000001E-2</v>
          </cell>
          <cell r="L31">
            <v>250</v>
          </cell>
        </row>
        <row r="32">
          <cell r="A32">
            <v>280</v>
          </cell>
          <cell r="B32">
            <v>7.4000000000000003E-3</v>
          </cell>
          <cell r="C32">
            <v>1.0999999999999999E-2</v>
          </cell>
          <cell r="D32">
            <v>1.78E-2</v>
          </cell>
          <cell r="L32">
            <v>280</v>
          </cell>
        </row>
        <row r="33">
          <cell r="A33">
            <v>315</v>
          </cell>
          <cell r="B33">
            <v>8.3000000000000001E-3</v>
          </cell>
          <cell r="C33">
            <v>1.24E-2</v>
          </cell>
          <cell r="D33">
            <v>1.9899999999999998E-2</v>
          </cell>
          <cell r="L33">
            <v>315</v>
          </cell>
        </row>
        <row r="35">
          <cell r="L35" t="str">
            <v>AC</v>
          </cell>
          <cell r="M35" t="str">
            <v>Class-15</v>
          </cell>
          <cell r="N35" t="str">
            <v>Class-20</v>
          </cell>
          <cell r="O35" t="str">
            <v>Class-25</v>
          </cell>
        </row>
        <row r="36">
          <cell r="L36">
            <v>80</v>
          </cell>
          <cell r="M36">
            <v>167.85000000000002</v>
          </cell>
          <cell r="N36">
            <v>175.05</v>
          </cell>
          <cell r="O36">
            <v>199.4</v>
          </cell>
        </row>
        <row r="37">
          <cell r="L37">
            <v>100</v>
          </cell>
          <cell r="M37">
            <v>199.60000000000002</v>
          </cell>
          <cell r="N37">
            <v>228.8</v>
          </cell>
          <cell r="O37">
            <v>264.35000000000002</v>
          </cell>
        </row>
        <row r="38">
          <cell r="L38">
            <v>125</v>
          </cell>
          <cell r="M38">
            <v>238.9</v>
          </cell>
          <cell r="N38">
            <v>275.05</v>
          </cell>
          <cell r="O38">
            <v>324.75</v>
          </cell>
        </row>
        <row r="39">
          <cell r="L39">
            <v>150</v>
          </cell>
          <cell r="M39">
            <v>304.05</v>
          </cell>
          <cell r="N39">
            <v>357.95000000000005</v>
          </cell>
          <cell r="O39">
            <v>426.40000000000003</v>
          </cell>
        </row>
        <row r="40">
          <cell r="L40">
            <v>200</v>
          </cell>
          <cell r="M40">
            <v>458.15000000000003</v>
          </cell>
          <cell r="N40">
            <v>550.45000000000005</v>
          </cell>
          <cell r="O40">
            <v>675.15000000000009</v>
          </cell>
        </row>
        <row r="41">
          <cell r="L41">
            <v>250</v>
          </cell>
          <cell r="M41">
            <v>557.85</v>
          </cell>
          <cell r="N41">
            <v>689.55000000000007</v>
          </cell>
          <cell r="O41">
            <v>842.15000000000009</v>
          </cell>
        </row>
        <row r="42">
          <cell r="L42">
            <v>300</v>
          </cell>
          <cell r="M42">
            <v>743.15000000000009</v>
          </cell>
          <cell r="N42">
            <v>932.85</v>
          </cell>
          <cell r="O42">
            <v>1163.05</v>
          </cell>
        </row>
        <row r="43">
          <cell r="L43">
            <v>350</v>
          </cell>
          <cell r="M43">
            <v>912.45</v>
          </cell>
          <cell r="N43">
            <v>1149.5</v>
          </cell>
          <cell r="O43">
            <v>1416.0500000000002</v>
          </cell>
        </row>
        <row r="44">
          <cell r="L44">
            <v>400</v>
          </cell>
          <cell r="M44">
            <v>1174.7</v>
          </cell>
          <cell r="N44">
            <v>1493.1000000000001</v>
          </cell>
          <cell r="O44">
            <v>1828.5</v>
          </cell>
        </row>
        <row r="45">
          <cell r="L45">
            <v>450</v>
          </cell>
          <cell r="M45">
            <v>1370.3000000000002</v>
          </cell>
          <cell r="N45">
            <v>1771.0500000000002</v>
          </cell>
          <cell r="O45">
            <v>2191.9500000000003</v>
          </cell>
        </row>
        <row r="46">
          <cell r="L46">
            <v>500</v>
          </cell>
          <cell r="M46">
            <v>1684</v>
          </cell>
          <cell r="N46">
            <v>2159.35</v>
          </cell>
          <cell r="O46">
            <v>2678.3</v>
          </cell>
        </row>
        <row r="47">
          <cell r="L47">
            <v>600</v>
          </cell>
          <cell r="M47">
            <v>2303.3000000000002</v>
          </cell>
          <cell r="N47">
            <v>2950.15</v>
          </cell>
          <cell r="O47">
            <v>3714.15</v>
          </cell>
        </row>
        <row r="60">
          <cell r="L60" t="str">
            <v>CI</v>
          </cell>
          <cell r="M60" t="str">
            <v>LA</v>
          </cell>
          <cell r="N60" t="str">
            <v>A</v>
          </cell>
          <cell r="O60" t="str">
            <v>B</v>
          </cell>
        </row>
        <row r="61">
          <cell r="A61">
            <v>80</v>
          </cell>
          <cell r="B61">
            <v>7.1999999999999998E-3</v>
          </cell>
          <cell r="C61">
            <v>7.9000000000000008E-3</v>
          </cell>
          <cell r="D61">
            <v>8.6E-3</v>
          </cell>
          <cell r="L61">
            <v>80</v>
          </cell>
          <cell r="M61">
            <v>557.75</v>
          </cell>
          <cell r="N61">
            <v>601.05000000000007</v>
          </cell>
          <cell r="O61">
            <v>640.55000000000007</v>
          </cell>
        </row>
        <row r="62">
          <cell r="A62">
            <v>100</v>
          </cell>
          <cell r="B62">
            <v>7.4999999999999997E-3</v>
          </cell>
          <cell r="C62">
            <v>8.3000000000000001E-3</v>
          </cell>
          <cell r="D62">
            <v>8.9999999999999993E-3</v>
          </cell>
          <cell r="L62">
            <v>100</v>
          </cell>
          <cell r="M62">
            <v>668.1</v>
          </cell>
          <cell r="N62">
            <v>729.55000000000007</v>
          </cell>
          <cell r="O62">
            <v>774.1</v>
          </cell>
        </row>
        <row r="63">
          <cell r="A63">
            <v>125</v>
          </cell>
          <cell r="B63">
            <v>7.9000000000000008E-3</v>
          </cell>
          <cell r="C63">
            <v>8.6999999999999994E-3</v>
          </cell>
          <cell r="D63">
            <v>9.4999999999999998E-3</v>
          </cell>
          <cell r="L63">
            <v>125</v>
          </cell>
          <cell r="M63">
            <v>828.1</v>
          </cell>
          <cell r="N63">
            <v>898.05000000000007</v>
          </cell>
          <cell r="O63">
            <v>962.65000000000009</v>
          </cell>
        </row>
        <row r="64">
          <cell r="A64">
            <v>150</v>
          </cell>
          <cell r="B64">
            <v>8.3000000000000001E-3</v>
          </cell>
          <cell r="C64">
            <v>9.1999999999999998E-3</v>
          </cell>
          <cell r="D64">
            <v>0.01</v>
          </cell>
          <cell r="L64">
            <v>150</v>
          </cell>
          <cell r="M64">
            <v>987.75</v>
          </cell>
          <cell r="N64">
            <v>1076.05</v>
          </cell>
          <cell r="O64">
            <v>1154.05</v>
          </cell>
        </row>
        <row r="65">
          <cell r="A65">
            <v>200</v>
          </cell>
          <cell r="B65">
            <v>9.1999999999999998E-3</v>
          </cell>
          <cell r="C65">
            <v>1.01E-2</v>
          </cell>
          <cell r="D65">
            <v>1.0999999999999999E-2</v>
          </cell>
          <cell r="L65">
            <v>200</v>
          </cell>
          <cell r="M65">
            <v>1432.6000000000001</v>
          </cell>
          <cell r="N65">
            <v>1547.4</v>
          </cell>
          <cell r="O65">
            <v>1667.3500000000001</v>
          </cell>
        </row>
        <row r="66">
          <cell r="A66">
            <v>250</v>
          </cell>
          <cell r="B66">
            <v>0.01</v>
          </cell>
          <cell r="C66">
            <v>1.0999999999999999E-2</v>
          </cell>
          <cell r="D66">
            <v>1.2E-2</v>
          </cell>
          <cell r="L66">
            <v>250</v>
          </cell>
          <cell r="M66">
            <v>1910.15</v>
          </cell>
          <cell r="N66">
            <v>2072</v>
          </cell>
          <cell r="O66">
            <v>2233.9</v>
          </cell>
        </row>
        <row r="67">
          <cell r="A67">
            <v>300</v>
          </cell>
          <cell r="B67">
            <v>1.0800000000000001E-2</v>
          </cell>
          <cell r="C67">
            <v>1.1900000000000001E-2</v>
          </cell>
          <cell r="D67">
            <v>1.2999999999999999E-2</v>
          </cell>
          <cell r="L67">
            <v>300</v>
          </cell>
          <cell r="M67">
            <v>2460.8000000000002</v>
          </cell>
          <cell r="N67">
            <v>2680.25</v>
          </cell>
          <cell r="O67">
            <v>2894.8500000000004</v>
          </cell>
        </row>
        <row r="68">
          <cell r="A68">
            <v>350</v>
          </cell>
          <cell r="B68">
            <v>1.1699999999999999E-2</v>
          </cell>
          <cell r="C68">
            <v>1.2800000000000001E-2</v>
          </cell>
          <cell r="D68">
            <v>1.4E-2</v>
          </cell>
          <cell r="L68">
            <v>350</v>
          </cell>
          <cell r="M68">
            <v>3108.1000000000004</v>
          </cell>
          <cell r="N68">
            <v>3359.3</v>
          </cell>
          <cell r="O68">
            <v>3631.2000000000003</v>
          </cell>
        </row>
        <row r="69">
          <cell r="A69">
            <v>400</v>
          </cell>
          <cell r="B69">
            <v>1.2500000000000001E-2</v>
          </cell>
          <cell r="C69">
            <v>1.3800000000000002E-2</v>
          </cell>
          <cell r="D69">
            <v>1.4999999999999999E-2</v>
          </cell>
          <cell r="L69">
            <v>400</v>
          </cell>
          <cell r="M69">
            <v>3779.9500000000003</v>
          </cell>
          <cell r="N69">
            <v>4116.4000000000005</v>
          </cell>
          <cell r="O69">
            <v>4431.8</v>
          </cell>
        </row>
        <row r="70">
          <cell r="A70">
            <v>450</v>
          </cell>
          <cell r="B70">
            <v>1.3300000000000001E-2</v>
          </cell>
          <cell r="C70">
            <v>1.47E-2</v>
          </cell>
          <cell r="D70">
            <v>1.6E-2</v>
          </cell>
          <cell r="L70">
            <v>450</v>
          </cell>
          <cell r="M70">
            <v>4570.45</v>
          </cell>
          <cell r="N70">
            <v>5004.25</v>
          </cell>
          <cell r="O70">
            <v>5385.05</v>
          </cell>
        </row>
        <row r="71">
          <cell r="A71">
            <v>500</v>
          </cell>
          <cell r="B71">
            <v>1.4199999999999999E-2</v>
          </cell>
          <cell r="C71">
            <v>1.5599999999999999E-2</v>
          </cell>
          <cell r="D71">
            <v>1.7000000000000001E-2</v>
          </cell>
          <cell r="L71">
            <v>500</v>
          </cell>
          <cell r="M71">
            <v>5457.6500000000005</v>
          </cell>
          <cell r="N71">
            <v>5926.8</v>
          </cell>
          <cell r="O71">
            <v>6395.9000000000005</v>
          </cell>
        </row>
        <row r="72">
          <cell r="A72">
            <v>600</v>
          </cell>
          <cell r="B72">
            <v>1.5800000000000002E-2</v>
          </cell>
          <cell r="C72">
            <v>1.7399999999999999E-2</v>
          </cell>
          <cell r="D72">
            <v>1.9E-2</v>
          </cell>
          <cell r="L72">
            <v>600</v>
          </cell>
          <cell r="M72">
            <v>7189.75</v>
          </cell>
          <cell r="N72">
            <v>7825.1</v>
          </cell>
          <cell r="O72">
            <v>8455.5</v>
          </cell>
        </row>
        <row r="73">
          <cell r="A73">
            <v>700</v>
          </cell>
          <cell r="B73">
            <v>1.7500000000000002E-2</v>
          </cell>
          <cell r="C73">
            <v>1.9300000000000001E-2</v>
          </cell>
          <cell r="D73">
            <v>2.1000000000000001E-2</v>
          </cell>
          <cell r="L73">
            <v>700</v>
          </cell>
          <cell r="M73">
            <v>9631.4500000000007</v>
          </cell>
          <cell r="N73">
            <v>10493.800000000001</v>
          </cell>
          <cell r="O73">
            <v>11311.5</v>
          </cell>
        </row>
        <row r="74">
          <cell r="A74">
            <v>750</v>
          </cell>
          <cell r="B74">
            <v>1.83E-2</v>
          </cell>
          <cell r="C74">
            <v>2.0199999999999999E-2</v>
          </cell>
          <cell r="D74">
            <v>2.1999999999999999E-2</v>
          </cell>
          <cell r="L74">
            <v>750</v>
          </cell>
          <cell r="M74">
            <v>11141.5</v>
          </cell>
          <cell r="N74">
            <v>12149</v>
          </cell>
          <cell r="O74">
            <v>13150.85</v>
          </cell>
        </row>
        <row r="75">
          <cell r="A75">
            <v>800</v>
          </cell>
          <cell r="B75">
            <v>1.9199999999999998E-2</v>
          </cell>
          <cell r="C75">
            <v>2.1100000000000001E-2</v>
          </cell>
          <cell r="D75">
            <v>2.3E-2</v>
          </cell>
          <cell r="L75">
            <v>800</v>
          </cell>
          <cell r="M75">
            <v>12482.25</v>
          </cell>
          <cell r="N75">
            <v>13564.5</v>
          </cell>
          <cell r="O75">
            <v>14641.050000000001</v>
          </cell>
        </row>
        <row r="76">
          <cell r="A76">
            <v>900</v>
          </cell>
          <cell r="B76">
            <v>2.0799999999999999E-2</v>
          </cell>
          <cell r="C76">
            <v>2.29E-2</v>
          </cell>
          <cell r="D76">
            <v>2.5000000000000001E-2</v>
          </cell>
          <cell r="L76">
            <v>900</v>
          </cell>
          <cell r="M76">
            <v>15197.400000000001</v>
          </cell>
          <cell r="N76">
            <v>16539.350000000002</v>
          </cell>
          <cell r="O76">
            <v>17881.600000000002</v>
          </cell>
        </row>
        <row r="77">
          <cell r="A77">
            <v>1000</v>
          </cell>
          <cell r="B77">
            <v>2.2499999999999999E-2</v>
          </cell>
          <cell r="C77">
            <v>2.4799999999999999E-2</v>
          </cell>
          <cell r="D77">
            <v>2.7E-2</v>
          </cell>
          <cell r="L77">
            <v>1000</v>
          </cell>
          <cell r="M77">
            <v>18228.55</v>
          </cell>
          <cell r="N77">
            <v>19864.100000000002</v>
          </cell>
          <cell r="O77">
            <v>21425.25</v>
          </cell>
        </row>
        <row r="78">
          <cell r="A78">
            <v>1050</v>
          </cell>
          <cell r="B78">
            <v>2.3600000000000003E-2</v>
          </cell>
          <cell r="C78">
            <v>2.5999999999999999E-2</v>
          </cell>
          <cell r="D78">
            <v>2.9000000000000001E-2</v>
          </cell>
        </row>
        <row r="87">
          <cell r="L87" t="str">
            <v>DI</v>
          </cell>
          <cell r="M87" t="str">
            <v>K7</v>
          </cell>
          <cell r="N87" t="str">
            <v>K9</v>
          </cell>
        </row>
        <row r="88">
          <cell r="A88">
            <v>100</v>
          </cell>
          <cell r="B88">
            <v>5.0000000000000001E-3</v>
          </cell>
          <cell r="C88">
            <v>6.0000000000000001E-3</v>
          </cell>
          <cell r="L88">
            <v>100</v>
          </cell>
          <cell r="M88">
            <v>624.75</v>
          </cell>
          <cell r="N88">
            <v>727.30000000000007</v>
          </cell>
        </row>
        <row r="89">
          <cell r="A89">
            <v>125</v>
          </cell>
          <cell r="B89">
            <v>5.0000000000000001E-3</v>
          </cell>
          <cell r="C89">
            <v>6.0000000000000001E-3</v>
          </cell>
          <cell r="L89">
            <v>150</v>
          </cell>
          <cell r="M89">
            <v>860.30000000000007</v>
          </cell>
          <cell r="N89">
            <v>1078.45</v>
          </cell>
        </row>
        <row r="90">
          <cell r="A90">
            <v>150</v>
          </cell>
          <cell r="B90">
            <v>5.0000000000000001E-3</v>
          </cell>
          <cell r="C90">
            <v>6.0000000000000001E-3</v>
          </cell>
          <cell r="L90">
            <v>200</v>
          </cell>
          <cell r="M90">
            <v>1277.3000000000002</v>
          </cell>
          <cell r="N90">
            <v>1434.5500000000002</v>
          </cell>
        </row>
        <row r="91">
          <cell r="A91">
            <v>200</v>
          </cell>
          <cell r="B91">
            <v>5.0000000000000001E-3</v>
          </cell>
          <cell r="C91">
            <v>6.0000000000000001E-3</v>
          </cell>
          <cell r="L91">
            <v>250</v>
          </cell>
          <cell r="M91">
            <v>1698.4</v>
          </cell>
          <cell r="N91">
            <v>1864.65</v>
          </cell>
        </row>
        <row r="92">
          <cell r="A92">
            <v>250</v>
          </cell>
          <cell r="B92">
            <v>5.3E-3</v>
          </cell>
          <cell r="C92">
            <v>6.7999999999999996E-3</v>
          </cell>
          <cell r="L92">
            <v>300</v>
          </cell>
          <cell r="M92">
            <v>2183.35</v>
          </cell>
          <cell r="N92">
            <v>2359.3000000000002</v>
          </cell>
        </row>
        <row r="93">
          <cell r="A93">
            <v>300</v>
          </cell>
          <cell r="B93">
            <v>5.5999999999999999E-3</v>
          </cell>
          <cell r="C93">
            <v>7.1999999999999998E-3</v>
          </cell>
          <cell r="L93">
            <v>350</v>
          </cell>
          <cell r="M93">
            <v>2765.9500000000003</v>
          </cell>
          <cell r="N93">
            <v>2958.7000000000003</v>
          </cell>
        </row>
        <row r="94">
          <cell r="A94">
            <v>350</v>
          </cell>
          <cell r="B94">
            <v>6.0000000000000001E-3</v>
          </cell>
          <cell r="C94">
            <v>7.7000000000000002E-3</v>
          </cell>
          <cell r="L94">
            <v>400</v>
          </cell>
          <cell r="M94">
            <v>3354</v>
          </cell>
          <cell r="N94">
            <v>3563.8500000000004</v>
          </cell>
        </row>
        <row r="95">
          <cell r="A95">
            <v>400</v>
          </cell>
          <cell r="B95">
            <v>6.3E-3</v>
          </cell>
          <cell r="C95">
            <v>8.0999999999999996E-3</v>
          </cell>
          <cell r="L95">
            <v>450</v>
          </cell>
          <cell r="M95">
            <v>4034</v>
          </cell>
          <cell r="N95">
            <v>4257.2</v>
          </cell>
        </row>
        <row r="96">
          <cell r="A96">
            <v>450</v>
          </cell>
          <cell r="B96">
            <v>6.6E-3</v>
          </cell>
          <cell r="C96">
            <v>8.6E-3</v>
          </cell>
          <cell r="L96">
            <v>500</v>
          </cell>
          <cell r="M96">
            <v>4837.4000000000005</v>
          </cell>
          <cell r="N96">
            <v>4984.8500000000004</v>
          </cell>
        </row>
        <row r="97">
          <cell r="A97">
            <v>500</v>
          </cell>
          <cell r="B97">
            <v>7.0000000000000001E-3</v>
          </cell>
          <cell r="C97">
            <v>8.9999999999999993E-3</v>
          </cell>
          <cell r="L97">
            <v>600</v>
          </cell>
          <cell r="M97">
            <v>6420.5</v>
          </cell>
          <cell r="N97">
            <v>6551.35</v>
          </cell>
        </row>
        <row r="98">
          <cell r="A98">
            <v>600</v>
          </cell>
          <cell r="B98">
            <v>7.7000000000000002E-3</v>
          </cell>
          <cell r="C98">
            <v>9.9000000000000008E-3</v>
          </cell>
          <cell r="L98">
            <v>700</v>
          </cell>
          <cell r="M98" t="e">
            <v>#VALUE!</v>
          </cell>
          <cell r="N98">
            <v>8587.15</v>
          </cell>
        </row>
        <row r="99">
          <cell r="A99">
            <v>700</v>
          </cell>
          <cell r="B99">
            <v>8.9999999999999993E-3</v>
          </cell>
          <cell r="C99">
            <v>1.0800000000000001E-2</v>
          </cell>
          <cell r="L99">
            <v>750</v>
          </cell>
          <cell r="M99" t="e">
            <v>#VALUE!</v>
          </cell>
          <cell r="N99">
            <v>9876.85</v>
          </cell>
        </row>
        <row r="100">
          <cell r="A100">
            <v>750</v>
          </cell>
          <cell r="B100">
            <v>9.6999999999999986E-3</v>
          </cell>
          <cell r="C100">
            <v>1.1300000000000001E-2</v>
          </cell>
          <cell r="L100">
            <v>800</v>
          </cell>
          <cell r="M100" t="e">
            <v>#VALUE!</v>
          </cell>
          <cell r="N100">
            <v>10906</v>
          </cell>
        </row>
        <row r="101">
          <cell r="A101">
            <v>800</v>
          </cell>
          <cell r="B101">
            <v>1.04E-2</v>
          </cell>
          <cell r="C101">
            <v>1.1699999999999999E-2</v>
          </cell>
          <cell r="L101">
            <v>900</v>
          </cell>
          <cell r="M101" t="e">
            <v>#VALUE!</v>
          </cell>
          <cell r="N101">
            <v>13281.75</v>
          </cell>
        </row>
        <row r="102">
          <cell r="A102">
            <v>900</v>
          </cell>
          <cell r="B102">
            <v>1.12E-2</v>
          </cell>
          <cell r="C102">
            <v>1.26E-2</v>
          </cell>
          <cell r="L102">
            <v>1000</v>
          </cell>
          <cell r="M102" t="e">
            <v>#VALUE!</v>
          </cell>
          <cell r="N102">
            <v>15696.5</v>
          </cell>
        </row>
        <row r="103">
          <cell r="A103">
            <v>1000</v>
          </cell>
          <cell r="B103">
            <v>1.2E-2</v>
          </cell>
          <cell r="C103">
            <v>1.35E-2</v>
          </cell>
        </row>
        <row r="104">
          <cell r="A104">
            <v>1100</v>
          </cell>
          <cell r="B104">
            <v>1.44E-2</v>
          </cell>
          <cell r="C104">
            <v>1.44E-2</v>
          </cell>
        </row>
        <row r="105">
          <cell r="A105">
            <v>1200</v>
          </cell>
          <cell r="B105">
            <v>1.5300000000000001E-2</v>
          </cell>
          <cell r="C105">
            <v>1.5300000000000001E-2</v>
          </cell>
        </row>
        <row r="106">
          <cell r="A106">
            <v>1400</v>
          </cell>
          <cell r="B106">
            <v>1.7100000000000001E-2</v>
          </cell>
          <cell r="C106">
            <v>1.7100000000000001E-2</v>
          </cell>
        </row>
        <row r="107">
          <cell r="A107">
            <v>1600</v>
          </cell>
          <cell r="B107">
            <v>1.89E-2</v>
          </cell>
          <cell r="C107">
            <v>1.89E-2</v>
          </cell>
        </row>
        <row r="108">
          <cell r="A108">
            <v>1800</v>
          </cell>
          <cell r="B108">
            <v>2.07E-2</v>
          </cell>
          <cell r="C108">
            <v>2.07E-2</v>
          </cell>
        </row>
        <row r="109">
          <cell r="A109">
            <v>2000</v>
          </cell>
          <cell r="B109">
            <v>2.2499999999999999E-2</v>
          </cell>
          <cell r="C109">
            <v>2.2499999999999999E-2</v>
          </cell>
        </row>
        <row r="119">
          <cell r="L119" t="str">
            <v>psc</v>
          </cell>
          <cell r="M119" t="str">
            <v>6kg/sqcm</v>
          </cell>
          <cell r="N119" t="str">
            <v>8kg/sqcm</v>
          </cell>
          <cell r="O119" t="str">
            <v>10kg/sqcm</v>
          </cell>
          <cell r="P119" t="str">
            <v>12kg/sqcm</v>
          </cell>
          <cell r="Q119" t="str">
            <v>14kg/sqcm</v>
          </cell>
          <cell r="R119" t="str">
            <v>16kg/sqcm</v>
          </cell>
        </row>
        <row r="120">
          <cell r="A120">
            <v>350</v>
          </cell>
          <cell r="B120">
            <v>5.7000000000000002E-2</v>
          </cell>
          <cell r="C120">
            <v>5.7000000000000002E-2</v>
          </cell>
          <cell r="D120">
            <v>5.7000000000000002E-2</v>
          </cell>
          <cell r="E120">
            <v>5.7000000000000002E-2</v>
          </cell>
          <cell r="F120">
            <v>5.7000000000000002E-2</v>
          </cell>
          <cell r="G120">
            <v>5.7000000000000002E-2</v>
          </cell>
          <cell r="L120">
            <v>350</v>
          </cell>
          <cell r="M120">
            <v>1259.8500000000001</v>
          </cell>
          <cell r="N120">
            <v>1259.8500000000001</v>
          </cell>
          <cell r="O120">
            <v>1270.3500000000001</v>
          </cell>
        </row>
        <row r="121">
          <cell r="A121">
            <v>400</v>
          </cell>
          <cell r="B121">
            <v>5.7000000000000002E-2</v>
          </cell>
          <cell r="C121">
            <v>5.7000000000000002E-2</v>
          </cell>
          <cell r="D121">
            <v>5.7000000000000002E-2</v>
          </cell>
          <cell r="E121">
            <v>5.7000000000000002E-2</v>
          </cell>
          <cell r="F121">
            <v>5.7000000000000002E-2</v>
          </cell>
          <cell r="G121">
            <v>5.7000000000000002E-2</v>
          </cell>
          <cell r="L121">
            <v>400</v>
          </cell>
          <cell r="M121">
            <v>1354</v>
          </cell>
          <cell r="N121">
            <v>1364.5</v>
          </cell>
          <cell r="O121">
            <v>1375</v>
          </cell>
        </row>
        <row r="122">
          <cell r="A122">
            <v>450</v>
          </cell>
          <cell r="B122">
            <v>5.7000000000000002E-2</v>
          </cell>
          <cell r="C122">
            <v>5.7000000000000002E-2</v>
          </cell>
          <cell r="D122">
            <v>5.7000000000000002E-2</v>
          </cell>
          <cell r="E122">
            <v>5.7000000000000002E-2</v>
          </cell>
          <cell r="F122">
            <v>5.7000000000000002E-2</v>
          </cell>
          <cell r="G122">
            <v>5.7000000000000002E-2</v>
          </cell>
          <cell r="L122">
            <v>450</v>
          </cell>
          <cell r="M122">
            <v>1441.7</v>
          </cell>
          <cell r="N122">
            <v>1452.25</v>
          </cell>
          <cell r="O122">
            <v>1462.75</v>
          </cell>
        </row>
        <row r="123">
          <cell r="A123">
            <v>500</v>
          </cell>
          <cell r="B123">
            <v>6.7000000000000004E-2</v>
          </cell>
          <cell r="C123">
            <v>6.7000000000000004E-2</v>
          </cell>
          <cell r="D123">
            <v>6.7000000000000004E-2</v>
          </cell>
          <cell r="E123">
            <v>6.7000000000000004E-2</v>
          </cell>
          <cell r="F123">
            <v>6.7000000000000004E-2</v>
          </cell>
          <cell r="G123">
            <v>6.7000000000000004E-2</v>
          </cell>
          <cell r="L123">
            <v>500</v>
          </cell>
          <cell r="M123">
            <v>1567.65</v>
          </cell>
          <cell r="N123">
            <v>1578.15</v>
          </cell>
          <cell r="O123">
            <v>1588.65</v>
          </cell>
        </row>
        <row r="124">
          <cell r="A124">
            <v>600</v>
          </cell>
          <cell r="B124">
            <v>7.1999999999999995E-2</v>
          </cell>
          <cell r="C124">
            <v>7.1999999999999995E-2</v>
          </cell>
          <cell r="D124">
            <v>7.1999999999999995E-2</v>
          </cell>
          <cell r="E124">
            <v>7.1999999999999995E-2</v>
          </cell>
          <cell r="F124">
            <v>7.1999999999999995E-2</v>
          </cell>
          <cell r="G124">
            <v>7.1999999999999995E-2</v>
          </cell>
          <cell r="L124">
            <v>600</v>
          </cell>
          <cell r="M124">
            <v>1818.8000000000002</v>
          </cell>
          <cell r="N124">
            <v>1829.3000000000002</v>
          </cell>
          <cell r="O124">
            <v>1850.3000000000002</v>
          </cell>
        </row>
        <row r="125">
          <cell r="A125">
            <v>700</v>
          </cell>
          <cell r="B125">
            <v>7.1999999999999995E-2</v>
          </cell>
          <cell r="C125">
            <v>7.1999999999999995E-2</v>
          </cell>
          <cell r="D125">
            <v>7.1999999999999995E-2</v>
          </cell>
          <cell r="E125">
            <v>7.1999999999999995E-2</v>
          </cell>
          <cell r="F125">
            <v>7.1999999999999995E-2</v>
          </cell>
          <cell r="G125">
            <v>7.1999999999999995E-2</v>
          </cell>
          <cell r="L125">
            <v>700</v>
          </cell>
          <cell r="M125">
            <v>2237.1</v>
          </cell>
          <cell r="N125">
            <v>2247.6</v>
          </cell>
          <cell r="O125">
            <v>2279.15</v>
          </cell>
        </row>
        <row r="126">
          <cell r="A126">
            <v>800</v>
          </cell>
          <cell r="B126">
            <v>7.6999999999999999E-2</v>
          </cell>
          <cell r="C126">
            <v>7.6999999999999999E-2</v>
          </cell>
          <cell r="D126">
            <v>7.6999999999999999E-2</v>
          </cell>
          <cell r="E126">
            <v>7.6999999999999999E-2</v>
          </cell>
          <cell r="F126">
            <v>7.6999999999999999E-2</v>
          </cell>
          <cell r="G126">
            <v>7.6999999999999999E-2</v>
          </cell>
          <cell r="L126">
            <v>800</v>
          </cell>
          <cell r="M126">
            <v>2622.55</v>
          </cell>
          <cell r="N126">
            <v>2643.55</v>
          </cell>
          <cell r="O126">
            <v>2706.6000000000004</v>
          </cell>
        </row>
        <row r="127">
          <cell r="A127">
            <v>900</v>
          </cell>
          <cell r="B127">
            <v>8.2000000000000003E-2</v>
          </cell>
          <cell r="C127">
            <v>8.2000000000000003E-2</v>
          </cell>
          <cell r="D127">
            <v>8.2000000000000003E-2</v>
          </cell>
          <cell r="E127">
            <v>8.2000000000000003E-2</v>
          </cell>
          <cell r="F127">
            <v>8.2000000000000003E-2</v>
          </cell>
          <cell r="G127">
            <v>8.2000000000000003E-2</v>
          </cell>
        </row>
        <row r="128">
          <cell r="A128">
            <v>1000</v>
          </cell>
          <cell r="B128">
            <v>8.2000000000000003E-2</v>
          </cell>
          <cell r="C128">
            <v>8.2000000000000003E-2</v>
          </cell>
          <cell r="D128">
            <v>8.2000000000000003E-2</v>
          </cell>
          <cell r="E128">
            <v>8.2000000000000003E-2</v>
          </cell>
          <cell r="F128">
            <v>8.2000000000000003E-2</v>
          </cell>
          <cell r="G128">
            <v>8.2000000000000003E-2</v>
          </cell>
        </row>
        <row r="129">
          <cell r="A129">
            <v>1100</v>
          </cell>
          <cell r="B129">
            <v>8.6999999999999994E-2</v>
          </cell>
          <cell r="C129">
            <v>8.6999999999999994E-2</v>
          </cell>
          <cell r="D129">
            <v>8.6999999999999994E-2</v>
          </cell>
          <cell r="E129">
            <v>8.6999999999999994E-2</v>
          </cell>
          <cell r="F129">
            <v>8.6999999999999994E-2</v>
          </cell>
          <cell r="G129">
            <v>8.6999999999999994E-2</v>
          </cell>
        </row>
        <row r="139">
          <cell r="L139" t="str">
            <v>BWSP</v>
          </cell>
          <cell r="M139" t="str">
            <v>12kg/sqcm</v>
          </cell>
          <cell r="N139" t="str">
            <v>14kg/sqcm</v>
          </cell>
          <cell r="O139" t="str">
            <v>16kg/sqcm</v>
          </cell>
          <cell r="P139" t="str">
            <v>18kg/sqcm</v>
          </cell>
          <cell r="Q139" t="str">
            <v>20kg/sqcm</v>
          </cell>
          <cell r="R139" t="str">
            <v>22kg/sqcm</v>
          </cell>
          <cell r="S139" t="str">
            <v>24kg/sqcm</v>
          </cell>
          <cell r="T139" t="str">
            <v>26kg/sqcm</v>
          </cell>
          <cell r="U139" t="str">
            <v>28kg/sqcm</v>
          </cell>
          <cell r="V139" t="str">
            <v>30kg/sqcm</v>
          </cell>
          <cell r="W139" t="str">
            <v>32kg/sqcm</v>
          </cell>
        </row>
        <row r="140">
          <cell r="A140">
            <v>250</v>
          </cell>
          <cell r="B140">
            <v>7.2022408963585442E-3</v>
          </cell>
          <cell r="C140">
            <v>7.2022408963585442E-3</v>
          </cell>
          <cell r="D140">
            <v>7.2022408963585442E-3</v>
          </cell>
          <cell r="E140">
            <v>7.2022408963585442E-3</v>
          </cell>
          <cell r="F140">
            <v>7.2022408963585442E-3</v>
          </cell>
          <cell r="G140">
            <v>7.2022408963585442E-3</v>
          </cell>
          <cell r="H140">
            <v>7.2022408963585442E-3</v>
          </cell>
          <cell r="I140">
            <v>7.2022408963585442E-3</v>
          </cell>
          <cell r="J140">
            <v>7.2022408963585442E-3</v>
          </cell>
          <cell r="K140">
            <v>7.2022408963585442E-3</v>
          </cell>
          <cell r="L140">
            <v>250</v>
          </cell>
          <cell r="M140">
            <v>1296.3500000000001</v>
          </cell>
          <cell r="N140">
            <v>1296.3500000000001</v>
          </cell>
          <cell r="O140">
            <v>1296.3500000000001</v>
          </cell>
          <cell r="P140">
            <v>1296.3500000000001</v>
          </cell>
        </row>
        <row r="141">
          <cell r="A141">
            <v>300</v>
          </cell>
          <cell r="B141">
            <v>7.2022408963585442E-3</v>
          </cell>
          <cell r="C141">
            <v>7.2022408963585442E-3</v>
          </cell>
          <cell r="D141">
            <v>7.2022408963585442E-3</v>
          </cell>
          <cell r="E141">
            <v>7.2022408963585442E-3</v>
          </cell>
          <cell r="F141">
            <v>7.2022408963585442E-3</v>
          </cell>
          <cell r="G141">
            <v>7.2022408963585442E-3</v>
          </cell>
          <cell r="H141">
            <v>7.2022408963585442E-3</v>
          </cell>
          <cell r="I141">
            <v>7.2022408963585442E-3</v>
          </cell>
          <cell r="J141">
            <v>7.2022408963585442E-3</v>
          </cell>
          <cell r="K141">
            <v>7.2022408963585442E-3</v>
          </cell>
          <cell r="L141">
            <v>300</v>
          </cell>
          <cell r="M141">
            <v>1462.5</v>
          </cell>
          <cell r="N141">
            <v>1462.5</v>
          </cell>
          <cell r="O141">
            <v>1462.5</v>
          </cell>
          <cell r="P141">
            <v>1462.5</v>
          </cell>
        </row>
        <row r="142">
          <cell r="A142">
            <v>400</v>
          </cell>
          <cell r="B142">
            <v>7.2022408963585442E-3</v>
          </cell>
          <cell r="C142">
            <v>7.2022408963585442E-3</v>
          </cell>
          <cell r="D142">
            <v>7.2022408963585442E-3</v>
          </cell>
          <cell r="E142">
            <v>7.2022408963585442E-3</v>
          </cell>
          <cell r="F142">
            <v>7.2022408963585442E-3</v>
          </cell>
          <cell r="G142">
            <v>7.2022408963585442E-3</v>
          </cell>
          <cell r="H142">
            <v>7.2022408963585442E-3</v>
          </cell>
          <cell r="I142">
            <v>7.2022408963585442E-3</v>
          </cell>
          <cell r="J142">
            <v>7.2022408963585442E-3</v>
          </cell>
          <cell r="K142">
            <v>7.2022408963585442E-3</v>
          </cell>
          <cell r="L142">
            <v>350</v>
          </cell>
          <cell r="M142">
            <v>1776.1000000000001</v>
          </cell>
          <cell r="N142">
            <v>1776.1000000000001</v>
          </cell>
          <cell r="O142">
            <v>1776.1000000000001</v>
          </cell>
          <cell r="P142">
            <v>1776.1000000000001</v>
          </cell>
        </row>
        <row r="143">
          <cell r="A143">
            <v>500</v>
          </cell>
          <cell r="B143">
            <v>7.9025210084033622E-3</v>
          </cell>
          <cell r="C143">
            <v>7.9025210084033622E-3</v>
          </cell>
          <cell r="D143">
            <v>7.9025210084033622E-3</v>
          </cell>
          <cell r="E143">
            <v>7.9025210084033622E-3</v>
          </cell>
          <cell r="F143">
            <v>7.9025210084033622E-3</v>
          </cell>
          <cell r="G143">
            <v>7.9025210084033622E-3</v>
          </cell>
          <cell r="H143">
            <v>7.9025210084033622E-3</v>
          </cell>
          <cell r="I143">
            <v>7.9025210084033622E-3</v>
          </cell>
          <cell r="J143">
            <v>7.9025210084033622E-3</v>
          </cell>
          <cell r="K143">
            <v>7.9025210084033622E-3</v>
          </cell>
          <cell r="L143">
            <v>400</v>
          </cell>
          <cell r="M143">
            <v>1956.5500000000002</v>
          </cell>
          <cell r="N143">
            <v>1956.5500000000002</v>
          </cell>
          <cell r="O143">
            <v>1956.5500000000002</v>
          </cell>
          <cell r="P143">
            <v>1956.5500000000002</v>
          </cell>
        </row>
        <row r="144">
          <cell r="A144">
            <v>600</v>
          </cell>
          <cell r="B144">
            <v>8.3025210084033615E-3</v>
          </cell>
          <cell r="C144">
            <v>8.3025210084033615E-3</v>
          </cell>
          <cell r="D144">
            <v>8.3025210084033615E-3</v>
          </cell>
          <cell r="E144">
            <v>8.3025210084033615E-3</v>
          </cell>
          <cell r="F144">
            <v>8.3025210084033615E-3</v>
          </cell>
          <cell r="G144">
            <v>8.3025210084033615E-3</v>
          </cell>
          <cell r="H144">
            <v>8.3025210084033615E-3</v>
          </cell>
          <cell r="I144">
            <v>8.3025210084033615E-3</v>
          </cell>
          <cell r="J144">
            <v>8.3025210084033615E-3</v>
          </cell>
          <cell r="K144">
            <v>8.3025210084033615E-3</v>
          </cell>
          <cell r="L144">
            <v>450</v>
          </cell>
          <cell r="M144">
            <v>2147.8000000000002</v>
          </cell>
          <cell r="N144">
            <v>2147.8000000000002</v>
          </cell>
          <cell r="O144">
            <v>2147.8000000000002</v>
          </cell>
          <cell r="P144">
            <v>2166.5</v>
          </cell>
        </row>
        <row r="145">
          <cell r="A145">
            <v>700</v>
          </cell>
          <cell r="B145">
            <v>8.3025210084033615E-3</v>
          </cell>
          <cell r="C145">
            <v>8.3025210084033615E-3</v>
          </cell>
          <cell r="D145">
            <v>8.3025210084033615E-3</v>
          </cell>
          <cell r="E145">
            <v>8.3025210084033615E-3</v>
          </cell>
          <cell r="F145">
            <v>8.3025210084033615E-3</v>
          </cell>
          <cell r="G145">
            <v>8.3025210084033615E-3</v>
          </cell>
          <cell r="H145">
            <v>8.3025210084033615E-3</v>
          </cell>
          <cell r="I145">
            <v>8.3025210084033615E-3</v>
          </cell>
          <cell r="J145">
            <v>8.3025210084033615E-3</v>
          </cell>
          <cell r="K145">
            <v>8.3025210084033615E-3</v>
          </cell>
          <cell r="L145">
            <v>500</v>
          </cell>
          <cell r="M145">
            <v>2394.15</v>
          </cell>
          <cell r="N145">
            <v>2394.15</v>
          </cell>
          <cell r="O145">
            <v>2414.9500000000003</v>
          </cell>
          <cell r="P145">
            <v>2517.9</v>
          </cell>
        </row>
        <row r="146">
          <cell r="A146">
            <v>800</v>
          </cell>
          <cell r="B146">
            <v>8.3025210084033615E-3</v>
          </cell>
          <cell r="C146">
            <v>8.3025210084033615E-3</v>
          </cell>
          <cell r="D146">
            <v>8.3025210084033615E-3</v>
          </cell>
          <cell r="E146">
            <v>8.3025210084033615E-3</v>
          </cell>
          <cell r="F146">
            <v>8.3025210084033615E-3</v>
          </cell>
          <cell r="G146">
            <v>8.3025210084033615E-3</v>
          </cell>
          <cell r="H146">
            <v>8.3025210084033615E-3</v>
          </cell>
          <cell r="I146">
            <v>8.3025210084033615E-3</v>
          </cell>
          <cell r="J146">
            <v>8.3025210084033615E-3</v>
          </cell>
          <cell r="K146">
            <v>8.3025210084033615E-3</v>
          </cell>
          <cell r="L146">
            <v>600</v>
          </cell>
          <cell r="M146">
            <v>3110.3500000000004</v>
          </cell>
          <cell r="N146">
            <v>3110.3500000000004</v>
          </cell>
          <cell r="O146">
            <v>3157.15</v>
          </cell>
          <cell r="P146">
            <v>3304.8500000000004</v>
          </cell>
        </row>
        <row r="147">
          <cell r="A147">
            <v>900</v>
          </cell>
          <cell r="B147">
            <v>8.802521008403362E-3</v>
          </cell>
          <cell r="C147">
            <v>8.802521008403362E-3</v>
          </cell>
          <cell r="D147">
            <v>8.802521008403362E-3</v>
          </cell>
          <cell r="E147">
            <v>8.802521008403362E-3</v>
          </cell>
          <cell r="F147">
            <v>8.802521008403362E-3</v>
          </cell>
          <cell r="G147">
            <v>8.802521008403362E-3</v>
          </cell>
          <cell r="H147">
            <v>8.802521008403362E-3</v>
          </cell>
          <cell r="I147">
            <v>8.802521008403362E-3</v>
          </cell>
          <cell r="J147">
            <v>8.802521008403362E-3</v>
          </cell>
          <cell r="K147">
            <v>8.802521008403362E-3</v>
          </cell>
          <cell r="L147">
            <v>700</v>
          </cell>
          <cell r="M147">
            <v>3537.2000000000003</v>
          </cell>
          <cell r="N147">
            <v>3618.3500000000004</v>
          </cell>
          <cell r="O147">
            <v>3826.3500000000004</v>
          </cell>
          <cell r="P147">
            <v>4034.3500000000004</v>
          </cell>
        </row>
        <row r="148">
          <cell r="A148">
            <v>1000</v>
          </cell>
          <cell r="B148">
            <v>8.802521008403362E-3</v>
          </cell>
          <cell r="C148">
            <v>8.802521008403362E-3</v>
          </cell>
          <cell r="D148">
            <v>8.802521008403362E-3</v>
          </cell>
          <cell r="E148">
            <v>8.802521008403362E-3</v>
          </cell>
          <cell r="F148">
            <v>8.802521008403362E-3</v>
          </cell>
          <cell r="G148">
            <v>8.802521008403362E-3</v>
          </cell>
          <cell r="H148">
            <v>8.802521008403362E-3</v>
          </cell>
          <cell r="I148">
            <v>8.802521008403362E-3</v>
          </cell>
          <cell r="J148">
            <v>8.802521008403362E-3</v>
          </cell>
          <cell r="K148">
            <v>8.802521008403362E-3</v>
          </cell>
          <cell r="L148">
            <v>800</v>
          </cell>
          <cell r="M148">
            <v>4022.5</v>
          </cell>
          <cell r="N148">
            <v>4299.1500000000005</v>
          </cell>
          <cell r="O148">
            <v>4566.45</v>
          </cell>
          <cell r="P148">
            <v>4825.4000000000005</v>
          </cell>
        </row>
        <row r="149">
          <cell r="A149">
            <v>1100</v>
          </cell>
          <cell r="B149">
            <v>1.0582633053221289E-2</v>
          </cell>
          <cell r="C149">
            <v>1.0582633053221289E-2</v>
          </cell>
          <cell r="D149">
            <v>1.0582633053221289E-2</v>
          </cell>
          <cell r="E149">
            <v>1.0582633053221289E-2</v>
          </cell>
          <cell r="F149">
            <v>1.0582633053221289E-2</v>
          </cell>
          <cell r="G149">
            <v>1.0582633053221289E-2</v>
          </cell>
          <cell r="H149">
            <v>1.0582633053221289E-2</v>
          </cell>
          <cell r="I149">
            <v>1.0582633053221289E-2</v>
          </cell>
          <cell r="J149">
            <v>1.0582633053221289E-2</v>
          </cell>
          <cell r="K149">
            <v>1.0582633053221289E-2</v>
          </cell>
          <cell r="L149">
            <v>900</v>
          </cell>
        </row>
        <row r="150">
          <cell r="A150">
            <v>1200</v>
          </cell>
          <cell r="B150">
            <v>1.0582633053221289E-2</v>
          </cell>
          <cell r="C150">
            <v>1.0582633053221289E-2</v>
          </cell>
          <cell r="D150">
            <v>1.0582633053221289E-2</v>
          </cell>
          <cell r="E150">
            <v>1.0582633053221289E-2</v>
          </cell>
          <cell r="F150">
            <v>1.0582633053221289E-2</v>
          </cell>
          <cell r="G150">
            <v>1.0582633053221289E-2</v>
          </cell>
          <cell r="H150">
            <v>1.0582633053221289E-2</v>
          </cell>
          <cell r="I150">
            <v>1.0582633053221289E-2</v>
          </cell>
          <cell r="J150">
            <v>1.0582633053221289E-2</v>
          </cell>
          <cell r="K150">
            <v>1.0582633053221289E-2</v>
          </cell>
          <cell r="L150">
            <v>1000</v>
          </cell>
        </row>
        <row r="151">
          <cell r="A151">
            <v>1300</v>
          </cell>
          <cell r="B151">
            <v>1.0582633053221289E-2</v>
          </cell>
          <cell r="C151">
            <v>1.0582633053221289E-2</v>
          </cell>
          <cell r="D151">
            <v>1.0582633053221289E-2</v>
          </cell>
          <cell r="E151">
            <v>1.0582633053221289E-2</v>
          </cell>
          <cell r="F151">
            <v>1.0582633053221289E-2</v>
          </cell>
          <cell r="G151">
            <v>1.0582633053221289E-2</v>
          </cell>
          <cell r="H151">
            <v>1.0582633053221289E-2</v>
          </cell>
          <cell r="I151">
            <v>1.0582633053221289E-2</v>
          </cell>
          <cell r="J151">
            <v>1.0582633053221289E-2</v>
          </cell>
          <cell r="K151">
            <v>1.0582633053221289E-2</v>
          </cell>
        </row>
        <row r="152">
          <cell r="A152">
            <v>1400</v>
          </cell>
          <cell r="B152">
            <v>1.0582633053221289E-2</v>
          </cell>
          <cell r="C152">
            <v>1.0582633053221289E-2</v>
          </cell>
          <cell r="D152">
            <v>1.0582633053221289E-2</v>
          </cell>
          <cell r="E152">
            <v>1.0582633053221289E-2</v>
          </cell>
          <cell r="F152">
            <v>1.0582633053221289E-2</v>
          </cell>
          <cell r="G152">
            <v>1.0582633053221289E-2</v>
          </cell>
          <cell r="H152">
            <v>1.0582633053221289E-2</v>
          </cell>
          <cell r="I152">
            <v>1.0582633053221289E-2</v>
          </cell>
          <cell r="J152">
            <v>1.0582633053221289E-2</v>
          </cell>
          <cell r="K152">
            <v>1.0582633053221289E-2</v>
          </cell>
        </row>
        <row r="153">
          <cell r="A153">
            <v>1500</v>
          </cell>
          <cell r="B153">
            <v>1.0582633053221289E-2</v>
          </cell>
          <cell r="C153">
            <v>1.0582633053221289E-2</v>
          </cell>
          <cell r="D153">
            <v>1.0582633053221289E-2</v>
          </cell>
          <cell r="E153">
            <v>1.0582633053221289E-2</v>
          </cell>
          <cell r="F153">
            <v>1.0582633053221289E-2</v>
          </cell>
          <cell r="G153">
            <v>1.0582633053221289E-2</v>
          </cell>
          <cell r="H153">
            <v>1.0582633053221289E-2</v>
          </cell>
          <cell r="I153">
            <v>1.0582633053221289E-2</v>
          </cell>
          <cell r="J153">
            <v>1.0582633053221289E-2</v>
          </cell>
          <cell r="K153">
            <v>1.0582633053221289E-2</v>
          </cell>
        </row>
        <row r="154">
          <cell r="A154">
            <v>1600</v>
          </cell>
          <cell r="B154">
            <v>1.0582633053221289E-2</v>
          </cell>
          <cell r="C154">
            <v>1.0582633053221289E-2</v>
          </cell>
          <cell r="D154">
            <v>1.0582633053221289E-2</v>
          </cell>
          <cell r="E154">
            <v>1.0582633053221289E-2</v>
          </cell>
          <cell r="F154">
            <v>1.0582633053221289E-2</v>
          </cell>
          <cell r="G154">
            <v>1.0582633053221289E-2</v>
          </cell>
          <cell r="H154">
            <v>1.0582633053221289E-2</v>
          </cell>
          <cell r="I154">
            <v>1.0582633053221289E-2</v>
          </cell>
          <cell r="J154">
            <v>1.0582633053221289E-2</v>
          </cell>
          <cell r="K154">
            <v>1.0582633053221289E-2</v>
          </cell>
        </row>
        <row r="159">
          <cell r="L159" t="str">
            <v>GRP</v>
          </cell>
          <cell r="M159" t="str">
            <v>3Bar</v>
          </cell>
          <cell r="N159" t="str">
            <v>6Bar</v>
          </cell>
          <cell r="O159" t="str">
            <v>9Bar</v>
          </cell>
          <cell r="P159" t="str">
            <v>12Bar</v>
          </cell>
          <cell r="Q159" t="str">
            <v>15Bar</v>
          </cell>
        </row>
        <row r="160">
          <cell r="L160">
            <v>350</v>
          </cell>
          <cell r="M160">
            <v>2562.4500000000003</v>
          </cell>
          <cell r="N160">
            <v>2593.3500000000004</v>
          </cell>
          <cell r="O160">
            <v>2663.9500000000003</v>
          </cell>
          <cell r="P160">
            <v>2728.65</v>
          </cell>
          <cell r="Q160">
            <v>2840.4</v>
          </cell>
        </row>
        <row r="161">
          <cell r="L161">
            <v>400</v>
          </cell>
          <cell r="M161">
            <v>2883.5</v>
          </cell>
          <cell r="N161">
            <v>2993.8</v>
          </cell>
          <cell r="O161">
            <v>3089.3500000000004</v>
          </cell>
          <cell r="P161">
            <v>3215.8500000000004</v>
          </cell>
          <cell r="Q161">
            <v>3327.6000000000004</v>
          </cell>
        </row>
        <row r="162">
          <cell r="L162">
            <v>450</v>
          </cell>
          <cell r="M162">
            <v>3360.75</v>
          </cell>
          <cell r="N162">
            <v>3472.55</v>
          </cell>
          <cell r="O162">
            <v>3638.7000000000003</v>
          </cell>
          <cell r="P162">
            <v>3797.55</v>
          </cell>
          <cell r="Q162">
            <v>3988.7000000000003</v>
          </cell>
        </row>
        <row r="163">
          <cell r="L163">
            <v>500</v>
          </cell>
          <cell r="M163">
            <v>3887.4500000000003</v>
          </cell>
          <cell r="N163">
            <v>4022.75</v>
          </cell>
          <cell r="O163">
            <v>4221.25</v>
          </cell>
          <cell r="P163">
            <v>4450.7</v>
          </cell>
          <cell r="Q163">
            <v>4672.75</v>
          </cell>
        </row>
        <row r="164">
          <cell r="L164">
            <v>600</v>
          </cell>
          <cell r="M164">
            <v>4848.6500000000005</v>
          </cell>
          <cell r="N164">
            <v>5023.6500000000005</v>
          </cell>
          <cell r="O164">
            <v>5292.75</v>
          </cell>
          <cell r="P164">
            <v>5769.2000000000007</v>
          </cell>
          <cell r="Q164">
            <v>6008.9000000000005</v>
          </cell>
        </row>
        <row r="165">
          <cell r="L165">
            <v>700</v>
          </cell>
          <cell r="M165">
            <v>6054</v>
          </cell>
          <cell r="N165">
            <v>6299.55</v>
          </cell>
          <cell r="O165">
            <v>6649.55</v>
          </cell>
          <cell r="P165">
            <v>7189.25</v>
          </cell>
          <cell r="Q165">
            <v>7681.9000000000005</v>
          </cell>
        </row>
        <row r="166">
          <cell r="L166">
            <v>800</v>
          </cell>
          <cell r="M166">
            <v>7357.9000000000005</v>
          </cell>
          <cell r="N166">
            <v>7668.2000000000007</v>
          </cell>
          <cell r="O166">
            <v>8215.2000000000007</v>
          </cell>
          <cell r="P166">
            <v>8866.7000000000007</v>
          </cell>
          <cell r="Q166">
            <v>9510.8000000000011</v>
          </cell>
        </row>
        <row r="167">
          <cell r="L167">
            <v>900</v>
          </cell>
          <cell r="M167">
            <v>9081.9500000000007</v>
          </cell>
          <cell r="N167">
            <v>9430.5</v>
          </cell>
          <cell r="O167">
            <v>10170.200000000001</v>
          </cell>
          <cell r="P167">
            <v>10955.45</v>
          </cell>
          <cell r="Q167">
            <v>11790.75</v>
          </cell>
        </row>
        <row r="168">
          <cell r="L168">
            <v>1000</v>
          </cell>
          <cell r="M168">
            <v>10825.300000000001</v>
          </cell>
          <cell r="N168">
            <v>11278.25</v>
          </cell>
          <cell r="O168">
            <v>12056.2</v>
          </cell>
          <cell r="P168">
            <v>13057.650000000001</v>
          </cell>
          <cell r="Q168">
            <v>14001.75</v>
          </cell>
        </row>
      </sheetData>
      <sheetData sheetId="4" refreshError="1">
        <row r="2">
          <cell r="L2" t="str">
            <v>HDPE</v>
          </cell>
          <cell r="M2" t="str">
            <v>4kg/sqcm</v>
          </cell>
          <cell r="N2" t="str">
            <v>6kg/sqcm</v>
          </cell>
          <cell r="O2" t="str">
            <v>8kg/sqcm</v>
          </cell>
          <cell r="P2" t="str">
            <v>10kg/sqcm</v>
          </cell>
        </row>
        <row r="3">
          <cell r="A3">
            <v>63</v>
          </cell>
          <cell r="L3">
            <v>63</v>
          </cell>
          <cell r="M3">
            <v>57</v>
          </cell>
          <cell r="N3">
            <v>54.6</v>
          </cell>
          <cell r="O3">
            <v>52.2</v>
          </cell>
          <cell r="P3">
            <v>49.8</v>
          </cell>
        </row>
        <row r="4">
          <cell r="A4">
            <v>75</v>
          </cell>
          <cell r="L4">
            <v>75</v>
          </cell>
          <cell r="M4">
            <v>68.2</v>
          </cell>
          <cell r="N4">
            <v>65</v>
          </cell>
          <cell r="O4">
            <v>62.199999999999996</v>
          </cell>
          <cell r="P4">
            <v>59.4</v>
          </cell>
        </row>
        <row r="5">
          <cell r="A5">
            <v>90</v>
          </cell>
          <cell r="L5">
            <v>90</v>
          </cell>
          <cell r="M5">
            <v>81.8</v>
          </cell>
          <cell r="N5">
            <v>78.2</v>
          </cell>
          <cell r="O5">
            <v>74.800000000000011</v>
          </cell>
          <cell r="P5">
            <v>71.400000000000006</v>
          </cell>
        </row>
        <row r="6">
          <cell r="A6">
            <v>110</v>
          </cell>
          <cell r="L6">
            <v>110</v>
          </cell>
          <cell r="M6">
            <v>100</v>
          </cell>
          <cell r="N6">
            <v>95.600000000000009</v>
          </cell>
          <cell r="O6">
            <v>91.399999999999991</v>
          </cell>
          <cell r="P6">
            <v>87.6</v>
          </cell>
        </row>
        <row r="7">
          <cell r="A7">
            <v>125</v>
          </cell>
          <cell r="L7">
            <v>125</v>
          </cell>
          <cell r="M7">
            <v>113.8</v>
          </cell>
          <cell r="N7">
            <v>108.8</v>
          </cell>
          <cell r="O7">
            <v>104</v>
          </cell>
          <cell r="P7">
            <v>99.4</v>
          </cell>
        </row>
        <row r="8">
          <cell r="A8">
            <v>140</v>
          </cell>
          <cell r="L8">
            <v>140</v>
          </cell>
          <cell r="M8">
            <v>127.6</v>
          </cell>
          <cell r="N8">
            <v>122</v>
          </cell>
          <cell r="O8">
            <v>116.6</v>
          </cell>
          <cell r="P8">
            <v>111.4</v>
          </cell>
        </row>
        <row r="9">
          <cell r="A9">
            <v>160</v>
          </cell>
          <cell r="L9">
            <v>160</v>
          </cell>
          <cell r="M9">
            <v>145.80000000000001</v>
          </cell>
          <cell r="N9">
            <v>139.4</v>
          </cell>
          <cell r="O9">
            <v>133.39999999999998</v>
          </cell>
          <cell r="P9">
            <v>127.40000000000002</v>
          </cell>
        </row>
        <row r="10">
          <cell r="A10">
            <v>180</v>
          </cell>
          <cell r="L10">
            <v>180</v>
          </cell>
          <cell r="M10">
            <v>164.20000000000002</v>
          </cell>
          <cell r="N10">
            <v>157</v>
          </cell>
          <cell r="O10">
            <v>150</v>
          </cell>
          <cell r="P10">
            <v>143.4</v>
          </cell>
        </row>
        <row r="11">
          <cell r="A11">
            <v>200</v>
          </cell>
          <cell r="L11">
            <v>200</v>
          </cell>
          <cell r="M11">
            <v>182.60000000000002</v>
          </cell>
          <cell r="N11">
            <v>174.4</v>
          </cell>
          <cell r="O11">
            <v>166.8</v>
          </cell>
          <cell r="P11">
            <v>159.4</v>
          </cell>
        </row>
        <row r="12">
          <cell r="A12">
            <v>225</v>
          </cell>
          <cell r="L12">
            <v>225</v>
          </cell>
          <cell r="M12">
            <v>205.4</v>
          </cell>
          <cell r="N12">
            <v>196.4</v>
          </cell>
          <cell r="O12">
            <v>187.79999999999998</v>
          </cell>
          <cell r="P12">
            <v>179.4</v>
          </cell>
        </row>
        <row r="13">
          <cell r="A13">
            <v>250</v>
          </cell>
          <cell r="L13">
            <v>250</v>
          </cell>
          <cell r="M13">
            <v>228.2</v>
          </cell>
          <cell r="N13">
            <v>218.20000000000002</v>
          </cell>
          <cell r="O13">
            <v>208.6</v>
          </cell>
          <cell r="P13">
            <v>199.4</v>
          </cell>
        </row>
        <row r="14">
          <cell r="A14">
            <v>280</v>
          </cell>
          <cell r="L14">
            <v>280</v>
          </cell>
          <cell r="M14">
            <v>255.80000000000004</v>
          </cell>
          <cell r="N14">
            <v>244.6</v>
          </cell>
          <cell r="O14">
            <v>233.8</v>
          </cell>
          <cell r="P14">
            <v>223.4</v>
          </cell>
        </row>
        <row r="15">
          <cell r="A15">
            <v>315</v>
          </cell>
          <cell r="L15">
            <v>315</v>
          </cell>
          <cell r="M15">
            <v>287.8</v>
          </cell>
          <cell r="N15">
            <v>275.2</v>
          </cell>
          <cell r="O15">
            <v>263</v>
          </cell>
          <cell r="P15">
            <v>251.4</v>
          </cell>
        </row>
        <row r="16">
          <cell r="A16">
            <v>355</v>
          </cell>
          <cell r="L16">
            <v>355</v>
          </cell>
          <cell r="M16">
            <v>324.40000000000003</v>
          </cell>
          <cell r="N16">
            <v>310.2</v>
          </cell>
          <cell r="O16">
            <v>296.59999999999997</v>
          </cell>
          <cell r="P16">
            <v>283.39999999999998</v>
          </cell>
        </row>
        <row r="17">
          <cell r="A17">
            <v>400</v>
          </cell>
          <cell r="L17">
            <v>400</v>
          </cell>
          <cell r="M17">
            <v>364</v>
          </cell>
          <cell r="N17">
            <v>347.2</v>
          </cell>
          <cell r="O17">
            <v>331.2</v>
          </cell>
          <cell r="P17">
            <v>315.8</v>
          </cell>
        </row>
        <row r="20">
          <cell r="L20" t="str">
            <v>PVC</v>
          </cell>
          <cell r="M20" t="str">
            <v>4kg/sqcm</v>
          </cell>
          <cell r="N20" t="str">
            <v>6kg/sqcm</v>
          </cell>
          <cell r="O20" t="str">
            <v>10kg/sqcm</v>
          </cell>
        </row>
        <row r="21">
          <cell r="A21">
            <v>63</v>
          </cell>
          <cell r="L21">
            <v>63</v>
          </cell>
          <cell r="M21">
            <v>59.2</v>
          </cell>
          <cell r="N21">
            <v>57.6</v>
          </cell>
          <cell r="O21">
            <v>54.8</v>
          </cell>
        </row>
        <row r="22">
          <cell r="A22">
            <v>75</v>
          </cell>
          <cell r="L22">
            <v>75</v>
          </cell>
          <cell r="M22">
            <v>70.599999999999994</v>
          </cell>
          <cell r="N22">
            <v>68.8</v>
          </cell>
          <cell r="O22">
            <v>65.2</v>
          </cell>
        </row>
        <row r="23">
          <cell r="A23">
            <v>90</v>
          </cell>
          <cell r="L23">
            <v>90</v>
          </cell>
          <cell r="M23">
            <v>84.8</v>
          </cell>
          <cell r="N23">
            <v>82.6</v>
          </cell>
          <cell r="O23">
            <v>78.599999999999994</v>
          </cell>
        </row>
        <row r="24">
          <cell r="A24">
            <v>110</v>
          </cell>
          <cell r="L24">
            <v>110</v>
          </cell>
          <cell r="M24">
            <v>104</v>
          </cell>
          <cell r="N24">
            <v>101.4</v>
          </cell>
          <cell r="O24">
            <v>95.8</v>
          </cell>
        </row>
        <row r="25">
          <cell r="A25">
            <v>125</v>
          </cell>
          <cell r="L25">
            <v>125</v>
          </cell>
          <cell r="M25">
            <v>118.2</v>
          </cell>
          <cell r="N25">
            <v>115</v>
          </cell>
          <cell r="O25">
            <v>109</v>
          </cell>
        </row>
        <row r="26">
          <cell r="A26">
            <v>140</v>
          </cell>
          <cell r="L26">
            <v>140</v>
          </cell>
          <cell r="M26">
            <v>132.4</v>
          </cell>
          <cell r="N26">
            <v>129</v>
          </cell>
          <cell r="O26">
            <v>122.2</v>
          </cell>
        </row>
        <row r="27">
          <cell r="A27">
            <v>160</v>
          </cell>
          <cell r="L27">
            <v>160</v>
          </cell>
          <cell r="M27">
            <v>151.4</v>
          </cell>
          <cell r="N27">
            <v>147.6</v>
          </cell>
          <cell r="O27">
            <v>139.6</v>
          </cell>
        </row>
        <row r="28">
          <cell r="A28">
            <v>180</v>
          </cell>
          <cell r="L28">
            <v>180</v>
          </cell>
          <cell r="M28">
            <v>170.2</v>
          </cell>
          <cell r="N28">
            <v>165.8</v>
          </cell>
          <cell r="O28">
            <v>157.19999999999999</v>
          </cell>
        </row>
        <row r="29">
          <cell r="A29">
            <v>200</v>
          </cell>
          <cell r="L29">
            <v>200</v>
          </cell>
          <cell r="M29">
            <v>189.4</v>
          </cell>
          <cell r="N29">
            <v>184.2</v>
          </cell>
          <cell r="O29">
            <v>174.6</v>
          </cell>
        </row>
        <row r="30">
          <cell r="A30">
            <v>225</v>
          </cell>
          <cell r="L30">
            <v>225</v>
          </cell>
          <cell r="M30">
            <v>213</v>
          </cell>
          <cell r="N30">
            <v>207.8</v>
          </cell>
          <cell r="O30">
            <v>196.4</v>
          </cell>
        </row>
        <row r="31">
          <cell r="A31">
            <v>250</v>
          </cell>
          <cell r="L31">
            <v>250</v>
          </cell>
          <cell r="M31">
            <v>237</v>
          </cell>
          <cell r="N31">
            <v>230.4</v>
          </cell>
          <cell r="O31">
            <v>218.2</v>
          </cell>
        </row>
        <row r="32">
          <cell r="A32">
            <v>280</v>
          </cell>
          <cell r="L32">
            <v>280</v>
          </cell>
          <cell r="M32">
            <v>265.2</v>
          </cell>
          <cell r="N32">
            <v>258</v>
          </cell>
          <cell r="O32">
            <v>244.4</v>
          </cell>
        </row>
        <row r="33">
          <cell r="A33">
            <v>315</v>
          </cell>
          <cell r="L33">
            <v>315</v>
          </cell>
          <cell r="M33">
            <v>298.39999999999998</v>
          </cell>
          <cell r="N33">
            <v>290.2</v>
          </cell>
          <cell r="O33">
            <v>275.2</v>
          </cell>
        </row>
        <row r="36">
          <cell r="A36">
            <v>80</v>
          </cell>
        </row>
        <row r="37">
          <cell r="A37">
            <v>100</v>
          </cell>
        </row>
        <row r="38">
          <cell r="A38">
            <v>125</v>
          </cell>
        </row>
        <row r="39">
          <cell r="A39">
            <v>150</v>
          </cell>
        </row>
        <row r="40">
          <cell r="A40">
            <v>200</v>
          </cell>
        </row>
        <row r="41">
          <cell r="A41">
            <v>250</v>
          </cell>
        </row>
        <row r="42">
          <cell r="A42">
            <v>300</v>
          </cell>
        </row>
        <row r="43">
          <cell r="A43">
            <v>350</v>
          </cell>
        </row>
        <row r="44">
          <cell r="A44">
            <v>400</v>
          </cell>
        </row>
        <row r="45">
          <cell r="A45">
            <v>450</v>
          </cell>
        </row>
        <row r="46">
          <cell r="A46">
            <v>500</v>
          </cell>
        </row>
        <row r="47">
          <cell r="A47">
            <v>600</v>
          </cell>
        </row>
        <row r="48">
          <cell r="A48">
            <v>700</v>
          </cell>
        </row>
        <row r="49">
          <cell r="A49">
            <v>750</v>
          </cell>
        </row>
        <row r="50">
          <cell r="A50">
            <v>800</v>
          </cell>
        </row>
        <row r="51">
          <cell r="A51">
            <v>850</v>
          </cell>
        </row>
        <row r="52">
          <cell r="A52">
            <v>900</v>
          </cell>
        </row>
        <row r="53">
          <cell r="A53">
            <v>1000</v>
          </cell>
        </row>
        <row r="61">
          <cell r="A61">
            <v>80</v>
          </cell>
        </row>
        <row r="62">
          <cell r="A62">
            <v>100</v>
          </cell>
        </row>
        <row r="63">
          <cell r="A63">
            <v>125</v>
          </cell>
        </row>
        <row r="64">
          <cell r="A64">
            <v>150</v>
          </cell>
        </row>
        <row r="65">
          <cell r="A65">
            <v>200</v>
          </cell>
        </row>
        <row r="66">
          <cell r="A66">
            <v>250</v>
          </cell>
        </row>
        <row r="67">
          <cell r="A67">
            <v>300</v>
          </cell>
        </row>
        <row r="68">
          <cell r="A68">
            <v>350</v>
          </cell>
        </row>
        <row r="69">
          <cell r="A69">
            <v>400</v>
          </cell>
        </row>
        <row r="70">
          <cell r="A70">
            <v>450</v>
          </cell>
        </row>
        <row r="71">
          <cell r="A71">
            <v>500</v>
          </cell>
        </row>
        <row r="72">
          <cell r="A72">
            <v>600</v>
          </cell>
        </row>
        <row r="73">
          <cell r="A73">
            <v>700</v>
          </cell>
        </row>
        <row r="74">
          <cell r="A74">
            <v>750</v>
          </cell>
        </row>
        <row r="75">
          <cell r="A75">
            <v>800</v>
          </cell>
        </row>
        <row r="76">
          <cell r="A76">
            <v>900</v>
          </cell>
        </row>
        <row r="77">
          <cell r="A77">
            <v>1000</v>
          </cell>
        </row>
        <row r="78">
          <cell r="A78">
            <v>1050</v>
          </cell>
        </row>
        <row r="89">
          <cell r="A89">
            <v>100</v>
          </cell>
        </row>
        <row r="90">
          <cell r="A90">
            <v>125</v>
          </cell>
        </row>
        <row r="91">
          <cell r="A91">
            <v>150</v>
          </cell>
        </row>
        <row r="92">
          <cell r="A92">
            <v>200</v>
          </cell>
        </row>
        <row r="93">
          <cell r="A93">
            <v>250</v>
          </cell>
        </row>
        <row r="94">
          <cell r="A94">
            <v>300</v>
          </cell>
        </row>
        <row r="95">
          <cell r="A95">
            <v>350</v>
          </cell>
        </row>
        <row r="96">
          <cell r="A96">
            <v>400</v>
          </cell>
        </row>
        <row r="97">
          <cell r="A97">
            <v>450</v>
          </cell>
        </row>
        <row r="98">
          <cell r="A98">
            <v>500</v>
          </cell>
        </row>
        <row r="99">
          <cell r="A99">
            <v>600</v>
          </cell>
        </row>
        <row r="100">
          <cell r="A100">
            <v>700</v>
          </cell>
        </row>
        <row r="101">
          <cell r="A101">
            <v>750</v>
          </cell>
        </row>
        <row r="102">
          <cell r="A102">
            <v>800</v>
          </cell>
        </row>
        <row r="103">
          <cell r="A103">
            <v>900</v>
          </cell>
        </row>
        <row r="104">
          <cell r="A104">
            <v>1000</v>
          </cell>
        </row>
        <row r="105">
          <cell r="A105">
            <v>1100</v>
          </cell>
        </row>
        <row r="106">
          <cell r="A106">
            <v>1200</v>
          </cell>
        </row>
        <row r="107">
          <cell r="A107">
            <v>1400</v>
          </cell>
        </row>
        <row r="108">
          <cell r="A108">
            <v>1600</v>
          </cell>
        </row>
        <row r="109">
          <cell r="A109">
            <v>1800</v>
          </cell>
        </row>
        <row r="110">
          <cell r="A110">
            <v>2000</v>
          </cell>
        </row>
        <row r="121">
          <cell r="A121">
            <v>350</v>
          </cell>
        </row>
        <row r="122">
          <cell r="A122">
            <v>400</v>
          </cell>
        </row>
        <row r="123">
          <cell r="A123">
            <v>450</v>
          </cell>
        </row>
        <row r="124">
          <cell r="A124">
            <v>500</v>
          </cell>
        </row>
        <row r="125">
          <cell r="A125">
            <v>600</v>
          </cell>
        </row>
        <row r="126">
          <cell r="A126">
            <v>700</v>
          </cell>
        </row>
        <row r="127">
          <cell r="A127">
            <v>800</v>
          </cell>
        </row>
        <row r="128">
          <cell r="A128">
            <v>900</v>
          </cell>
        </row>
        <row r="129">
          <cell r="A129">
            <v>1000</v>
          </cell>
        </row>
        <row r="130">
          <cell r="A130">
            <v>1100</v>
          </cell>
        </row>
        <row r="131">
          <cell r="A131">
            <v>1200</v>
          </cell>
        </row>
        <row r="132">
          <cell r="A132">
            <v>1300</v>
          </cell>
        </row>
        <row r="141">
          <cell r="A141">
            <v>250</v>
          </cell>
        </row>
        <row r="142">
          <cell r="A142">
            <v>300</v>
          </cell>
        </row>
        <row r="143">
          <cell r="A143">
            <v>400</v>
          </cell>
        </row>
        <row r="144">
          <cell r="A144">
            <v>500</v>
          </cell>
        </row>
        <row r="145">
          <cell r="A145">
            <v>600</v>
          </cell>
        </row>
        <row r="146">
          <cell r="A146">
            <v>700</v>
          </cell>
        </row>
        <row r="147">
          <cell r="A147">
            <v>800</v>
          </cell>
        </row>
        <row r="148">
          <cell r="A148">
            <v>900</v>
          </cell>
        </row>
        <row r="149">
          <cell r="A149">
            <v>1000</v>
          </cell>
        </row>
        <row r="150">
          <cell r="A150">
            <v>1100</v>
          </cell>
        </row>
        <row r="151">
          <cell r="A151">
            <v>1200</v>
          </cell>
        </row>
        <row r="152">
          <cell r="A152">
            <v>1300</v>
          </cell>
        </row>
        <row r="153">
          <cell r="A153">
            <v>1400</v>
          </cell>
        </row>
        <row r="154">
          <cell r="A154">
            <v>1500</v>
          </cell>
        </row>
        <row r="155">
          <cell r="A155">
            <v>1600</v>
          </cell>
        </row>
        <row r="195">
          <cell r="P195" t="str">
            <v>AC</v>
          </cell>
          <cell r="Q195">
            <v>0</v>
          </cell>
          <cell r="R195" t="str">
            <v>3 x 10^9</v>
          </cell>
          <cell r="S195">
            <v>3000000000</v>
          </cell>
        </row>
        <row r="196">
          <cell r="P196" t="str">
            <v>CI</v>
          </cell>
          <cell r="Q196">
            <v>0</v>
          </cell>
          <cell r="R196" t="str">
            <v>7.5 x 10^9</v>
          </cell>
          <cell r="S196">
            <v>7500000000</v>
          </cell>
        </row>
        <row r="197">
          <cell r="P197" t="str">
            <v>DI</v>
          </cell>
          <cell r="Q197">
            <v>0</v>
          </cell>
          <cell r="R197" t="str">
            <v>1.7 x 10^10</v>
          </cell>
          <cell r="S197">
            <v>17000000000</v>
          </cell>
        </row>
        <row r="198">
          <cell r="P198" t="str">
            <v>GRP</v>
          </cell>
          <cell r="Q198">
            <v>0</v>
          </cell>
          <cell r="R198" t="str">
            <v>1.8x 10^9</v>
          </cell>
          <cell r="S198">
            <v>1800000000</v>
          </cell>
        </row>
        <row r="199">
          <cell r="P199" t="str">
            <v>HDPE</v>
          </cell>
          <cell r="Q199">
            <v>0</v>
          </cell>
          <cell r="R199" t="str">
            <v>9 x 10^7</v>
          </cell>
          <cell r="S199">
            <v>90000000</v>
          </cell>
        </row>
        <row r="200">
          <cell r="P200" t="str">
            <v>PVC</v>
          </cell>
          <cell r="Q200">
            <v>0</v>
          </cell>
          <cell r="R200" t="str">
            <v>3 x 10^8</v>
          </cell>
          <cell r="S200">
            <v>300000000</v>
          </cell>
        </row>
        <row r="201">
          <cell r="P201" t="str">
            <v>RCC</v>
          </cell>
          <cell r="Q201">
            <v>0</v>
          </cell>
          <cell r="R201" t="str">
            <v>3.1 x 10^9</v>
          </cell>
          <cell r="S201">
            <v>3100000000</v>
          </cell>
        </row>
        <row r="202">
          <cell r="P202" t="str">
            <v>PSC</v>
          </cell>
          <cell r="Q202">
            <v>0</v>
          </cell>
          <cell r="R202" t="str">
            <v>3.5 x 10^9</v>
          </cell>
          <cell r="S202">
            <v>3500000000</v>
          </cell>
        </row>
        <row r="203">
          <cell r="P203" t="str">
            <v>BWSP</v>
          </cell>
          <cell r="Q203">
            <v>0</v>
          </cell>
          <cell r="R203">
            <v>0</v>
          </cell>
          <cell r="S203">
            <v>20000000000</v>
          </cell>
        </row>
        <row r="231">
          <cell r="D231" t="str">
            <v>PVC</v>
          </cell>
          <cell r="E231" t="str">
            <v>4kg/sqcm</v>
          </cell>
          <cell r="F231" t="str">
            <v>6kg/sqcm</v>
          </cell>
          <cell r="G231" t="str">
            <v>10kg/sqcm</v>
          </cell>
        </row>
        <row r="246">
          <cell r="D246" t="str">
            <v>HDPE</v>
          </cell>
          <cell r="E246" t="str">
            <v>4kg/sqcm</v>
          </cell>
          <cell r="F246" t="str">
            <v>6kg/sqcm</v>
          </cell>
          <cell r="G246" t="str">
            <v>8kg/sqcm</v>
          </cell>
          <cell r="H246" t="str">
            <v>10 kg/sqcm</v>
          </cell>
        </row>
        <row r="247">
          <cell r="D247">
            <v>63</v>
          </cell>
          <cell r="E247">
            <v>213.13810628086495</v>
          </cell>
          <cell r="F247">
            <v>256.35135930491134</v>
          </cell>
          <cell r="G247">
            <v>295.6372151543477</v>
          </cell>
          <cell r="H247">
            <v>332.61593181636442</v>
          </cell>
        </row>
        <row r="248">
          <cell r="D248">
            <v>75</v>
          </cell>
          <cell r="E248">
            <v>207.55908795001056</v>
          </cell>
          <cell r="F248">
            <v>256.35135930491128</v>
          </cell>
          <cell r="G248">
            <v>294.87799326379144</v>
          </cell>
          <cell r="H248">
            <v>331.16809920246345</v>
          </cell>
        </row>
        <row r="249">
          <cell r="D249">
            <v>90</v>
          </cell>
          <cell r="E249">
            <v>208.1061495382956</v>
          </cell>
          <cell r="F249">
            <v>253.95967871072116</v>
          </cell>
          <cell r="G249">
            <v>293.10291475397264</v>
          </cell>
          <cell r="H249">
            <v>329.89943299756698</v>
          </cell>
        </row>
        <row r="250">
          <cell r="D250">
            <v>110</v>
          </cell>
          <cell r="E250">
            <v>207.85761288449976</v>
          </cell>
          <cell r="F250">
            <v>253.74159751401822</v>
          </cell>
          <cell r="G250">
            <v>293.30488188133307</v>
          </cell>
          <cell r="H250">
            <v>327.00963573257627</v>
          </cell>
        </row>
        <row r="251">
          <cell r="D251">
            <v>125</v>
          </cell>
          <cell r="E251">
            <v>206.24190238937746</v>
          </cell>
          <cell r="F251">
            <v>252.32573452295159</v>
          </cell>
          <cell r="G251">
            <v>292.21347754638515</v>
          </cell>
          <cell r="H251">
            <v>328.12039551428074</v>
          </cell>
        </row>
        <row r="252">
          <cell r="D252">
            <v>140</v>
          </cell>
          <cell r="E252">
            <v>204.9660015691689</v>
          </cell>
          <cell r="F252">
            <v>251.20995186721223</v>
          </cell>
          <cell r="G252">
            <v>291.35458882097635</v>
          </cell>
          <cell r="H252">
            <v>327.6296468493091</v>
          </cell>
        </row>
        <row r="253">
          <cell r="D253">
            <v>160</v>
          </cell>
          <cell r="E253">
            <v>205.1879225897201</v>
          </cell>
          <cell r="F253">
            <v>251.40387586453377</v>
          </cell>
          <cell r="G253">
            <v>290.4586274018435</v>
          </cell>
          <cell r="H253">
            <v>327.11816835632362</v>
          </cell>
        </row>
        <row r="254">
          <cell r="D254">
            <v>180</v>
          </cell>
          <cell r="E254">
            <v>203.97757492862505</v>
          </cell>
          <cell r="F254">
            <v>250.34698142999673</v>
          </cell>
          <cell r="G254">
            <v>290.87690695550242</v>
          </cell>
          <cell r="H254">
            <v>326.72015149666248</v>
          </cell>
        </row>
        <row r="255">
          <cell r="D255">
            <v>200</v>
          </cell>
          <cell r="E255">
            <v>203.00553518893585</v>
          </cell>
          <cell r="F255">
            <v>250.58879253768859</v>
          </cell>
          <cell r="G255">
            <v>290.20752102046896</v>
          </cell>
          <cell r="H255">
            <v>326.40161110768389</v>
          </cell>
        </row>
        <row r="256">
          <cell r="D256">
            <v>225</v>
          </cell>
          <cell r="E256">
            <v>203.14460489132836</v>
          </cell>
          <cell r="F256">
            <v>249.62070493176157</v>
          </cell>
          <cell r="G256">
            <v>289.5373926074808</v>
          </cell>
          <cell r="H256">
            <v>326.08295735995137</v>
          </cell>
        </row>
        <row r="257">
          <cell r="D257">
            <v>250</v>
          </cell>
          <cell r="E257">
            <v>203.25581081590641</v>
          </cell>
          <cell r="F257">
            <v>249.71761516222978</v>
          </cell>
          <cell r="G257">
            <v>289.80553349211101</v>
          </cell>
          <cell r="H257">
            <v>325.82795239625722</v>
          </cell>
        </row>
        <row r="258">
          <cell r="D258">
            <v>280</v>
          </cell>
          <cell r="E258">
            <v>202.28922071842129</v>
          </cell>
          <cell r="F258">
            <v>248.8758156326374</v>
          </cell>
          <cell r="G258">
            <v>289.20204790635586</v>
          </cell>
          <cell r="H258">
            <v>325.58198548180189</v>
          </cell>
        </row>
        <row r="259">
          <cell r="D259">
            <v>315</v>
          </cell>
          <cell r="E259">
            <v>202.91655069678686</v>
          </cell>
          <cell r="F259">
            <v>248.78911327452838</v>
          </cell>
          <cell r="G259">
            <v>289.28190891332349</v>
          </cell>
          <cell r="H259">
            <v>325.35417748739314</v>
          </cell>
        </row>
        <row r="260">
          <cell r="D260">
            <v>355</v>
          </cell>
          <cell r="E260">
            <v>201.9986373121836</v>
          </cell>
          <cell r="F260">
            <v>242.62296922083161</v>
          </cell>
          <cell r="G260">
            <v>288.70577056463975</v>
          </cell>
          <cell r="H260">
            <v>325.14877913197381</v>
          </cell>
        </row>
        <row r="261">
          <cell r="D261">
            <v>400</v>
          </cell>
          <cell r="E261">
            <v>206.73655298140736</v>
          </cell>
          <cell r="F261">
            <v>254.91792933847492</v>
          </cell>
          <cell r="G261">
            <v>296.20603890522364</v>
          </cell>
          <cell r="H261">
            <v>333.54230876298669</v>
          </cell>
        </row>
        <row r="263">
          <cell r="D263" t="str">
            <v>AC</v>
          </cell>
          <cell r="E263" t="str">
            <v>Class-10</v>
          </cell>
          <cell r="F263" t="str">
            <v>Class-15</v>
          </cell>
          <cell r="G263" t="str">
            <v>Class-20</v>
          </cell>
          <cell r="H263" t="str">
            <v>Class-25</v>
          </cell>
        </row>
        <row r="264">
          <cell r="D264">
            <v>80</v>
          </cell>
          <cell r="E264">
            <v>1133.2916805875477</v>
          </cell>
          <cell r="F264">
            <v>1133.2916805875477</v>
          </cell>
          <cell r="G264">
            <v>1162.8031120881299</v>
          </cell>
          <cell r="H264">
            <v>1200.5396065949487</v>
          </cell>
        </row>
        <row r="265">
          <cell r="D265">
            <v>100</v>
          </cell>
          <cell r="E265">
            <v>1084.5628966681777</v>
          </cell>
          <cell r="F265">
            <v>1096.1538461538462</v>
          </cell>
          <cell r="G265">
            <v>1159.2221339684438</v>
          </cell>
          <cell r="H265">
            <v>1196.5997499324751</v>
          </cell>
        </row>
        <row r="266">
          <cell r="D266">
            <v>125</v>
          </cell>
          <cell r="E266">
            <v>1031.6625350408419</v>
          </cell>
          <cell r="F266">
            <v>1066.8574006753649</v>
          </cell>
          <cell r="G266">
            <v>1120.9457333058433</v>
          </cell>
          <cell r="H266">
            <v>1166.2878172763674</v>
          </cell>
        </row>
        <row r="267">
          <cell r="D267">
            <v>150</v>
          </cell>
          <cell r="E267">
            <v>985.81724590178487</v>
          </cell>
          <cell r="F267">
            <v>1063.2688677963065</v>
          </cell>
          <cell r="G267">
            <v>1117.0810676633291</v>
          </cell>
          <cell r="H267">
            <v>1166.2878172763674</v>
          </cell>
        </row>
        <row r="268">
          <cell r="D268">
            <v>200</v>
          </cell>
          <cell r="E268">
            <v>0</v>
          </cell>
          <cell r="F268">
            <v>1051.5635459110918</v>
          </cell>
          <cell r="G268">
            <v>1117.0810676633291</v>
          </cell>
          <cell r="H268">
            <v>1162.8031120881299</v>
          </cell>
        </row>
        <row r="269">
          <cell r="D269">
            <v>250</v>
          </cell>
          <cell r="E269">
            <v>0</v>
          </cell>
          <cell r="F269">
            <v>1003.9429564741289</v>
          </cell>
          <cell r="G269">
            <v>1077.1987480762975</v>
          </cell>
          <cell r="H269">
            <v>1124.7130781655922</v>
          </cell>
        </row>
        <row r="270">
          <cell r="D270">
            <v>300</v>
          </cell>
          <cell r="E270">
            <v>0</v>
          </cell>
          <cell r="F270">
            <v>998.92448305671371</v>
          </cell>
          <cell r="G270">
            <v>1072.1055812551722</v>
          </cell>
          <cell r="H270">
            <v>1126.5614164349852</v>
          </cell>
        </row>
        <row r="271">
          <cell r="D271">
            <v>350</v>
          </cell>
          <cell r="E271">
            <v>0</v>
          </cell>
          <cell r="F271">
            <v>971.84193374542485</v>
          </cell>
          <cell r="G271">
            <v>1039.7909863316447</v>
          </cell>
          <cell r="H271">
            <v>1096.1538461538464</v>
          </cell>
        </row>
        <row r="272">
          <cell r="D272">
            <v>400</v>
          </cell>
          <cell r="E272">
            <v>0</v>
          </cell>
          <cell r="F272">
            <v>971.84193374542485</v>
          </cell>
          <cell r="G272">
            <v>1044.1592102624193</v>
          </cell>
          <cell r="H272">
            <v>1093.3322333939677</v>
          </cell>
        </row>
        <row r="273">
          <cell r="D273">
            <v>450</v>
          </cell>
          <cell r="E273">
            <v>0</v>
          </cell>
          <cell r="F273">
            <v>966.97475791772536</v>
          </cell>
          <cell r="G273">
            <v>1040.770588786186</v>
          </cell>
          <cell r="H273">
            <v>1091.1032623514257</v>
          </cell>
        </row>
        <row r="274">
          <cell r="D274">
            <v>500</v>
          </cell>
          <cell r="E274">
            <v>0</v>
          </cell>
          <cell r="F274">
            <v>963.00158216074328</v>
          </cell>
          <cell r="G274">
            <v>1038.0146866956741</v>
          </cell>
          <cell r="H274">
            <v>1089.2979528671126</v>
          </cell>
        </row>
        <row r="275">
          <cell r="D275">
            <v>600</v>
          </cell>
          <cell r="E275">
            <v>0</v>
          </cell>
          <cell r="F275">
            <v>964.49994503839025</v>
          </cell>
          <cell r="G275">
            <v>1033.8036564067668</v>
          </cell>
          <cell r="H275">
            <v>1088.5181350727667</v>
          </cell>
        </row>
        <row r="276">
          <cell r="D276">
            <v>700</v>
          </cell>
          <cell r="E276">
            <v>0</v>
          </cell>
          <cell r="F276">
            <v>945.58650342404189</v>
          </cell>
          <cell r="G276">
            <v>1023.6540481141277</v>
          </cell>
          <cell r="H276">
            <v>1081.0963057562724</v>
          </cell>
        </row>
        <row r="277">
          <cell r="D277">
            <v>750</v>
          </cell>
          <cell r="E277">
            <v>0</v>
          </cell>
          <cell r="F277">
            <v>944.18954793993805</v>
          </cell>
          <cell r="G277">
            <v>1022.8507483478636</v>
          </cell>
          <cell r="H277">
            <v>1080.5115147328261</v>
          </cell>
        </row>
        <row r="278">
          <cell r="D278">
            <v>800</v>
          </cell>
          <cell r="E278">
            <v>0</v>
          </cell>
          <cell r="F278">
            <v>946.02130366650908</v>
          </cell>
          <cell r="G278">
            <v>1024.2543526801524</v>
          </cell>
          <cell r="H278">
            <v>1081.5335694055698</v>
          </cell>
        </row>
        <row r="279">
          <cell r="D279">
            <v>850</v>
          </cell>
          <cell r="E279">
            <v>0</v>
          </cell>
          <cell r="F279">
            <v>944.76580038780924</v>
          </cell>
          <cell r="G279">
            <v>1023.5125301130371</v>
          </cell>
          <cell r="H279">
            <v>1080.9932548069442</v>
          </cell>
        </row>
        <row r="280">
          <cell r="D280">
            <v>900</v>
          </cell>
          <cell r="E280">
            <v>0</v>
          </cell>
          <cell r="F280">
            <v>943.64397240411142</v>
          </cell>
          <cell r="G280">
            <v>1022.8507483478636</v>
          </cell>
          <cell r="H280">
            <v>1080.5115147328261</v>
          </cell>
        </row>
        <row r="281">
          <cell r="D281">
            <v>1000</v>
          </cell>
          <cell r="E281">
            <v>0</v>
          </cell>
          <cell r="F281">
            <v>944.18954793993805</v>
          </cell>
          <cell r="G281">
            <v>1023.4134062049413</v>
          </cell>
          <cell r="H281">
            <v>1080.9210815852305</v>
          </cell>
        </row>
        <row r="284">
          <cell r="D284" t="str">
            <v>CI</v>
          </cell>
          <cell r="E284" t="str">
            <v>LA</v>
          </cell>
          <cell r="F284" t="str">
            <v>A</v>
          </cell>
          <cell r="G284" t="str">
            <v>B</v>
          </cell>
        </row>
        <row r="305">
          <cell r="D305" t="str">
            <v>DI</v>
          </cell>
          <cell r="E305" t="str">
            <v>K7</v>
          </cell>
          <cell r="F305" t="str">
            <v>K8</v>
          </cell>
          <cell r="G305" t="str">
            <v>K9</v>
          </cell>
          <cell r="H305" t="str">
            <v>K10</v>
          </cell>
        </row>
        <row r="334">
          <cell r="D334" t="str">
            <v>PSC</v>
          </cell>
          <cell r="E334" t="str">
            <v>6kg/sqcm</v>
          </cell>
          <cell r="F334" t="str">
            <v>8kg/sqcm</v>
          </cell>
          <cell r="G334" t="str">
            <v>10kg/sqcm</v>
          </cell>
          <cell r="H334" t="str">
            <v>12kg/sqcm</v>
          </cell>
          <cell r="I334" t="str">
            <v>14kg/sqcm</v>
          </cell>
          <cell r="J334" t="str">
            <v>16kg/sqcm</v>
          </cell>
        </row>
        <row r="335">
          <cell r="D335">
            <v>350</v>
          </cell>
          <cell r="E335">
            <v>1220.5112385380496</v>
          </cell>
          <cell r="F335">
            <v>1220.5112385380496</v>
          </cell>
          <cell r="G335">
            <v>1220.5112385380496</v>
          </cell>
          <cell r="H335">
            <v>1220.5112385380496</v>
          </cell>
          <cell r="I335">
            <v>1220.5112385380496</v>
          </cell>
          <cell r="J335">
            <v>1220.5112385380496</v>
          </cell>
        </row>
        <row r="336">
          <cell r="D336">
            <v>400</v>
          </cell>
          <cell r="E336">
            <v>1197.9284390833698</v>
          </cell>
          <cell r="F336">
            <v>1197.9284390833698</v>
          </cell>
          <cell r="G336">
            <v>1197.9284390833698</v>
          </cell>
          <cell r="H336">
            <v>1197.9284390833698</v>
          </cell>
          <cell r="I336">
            <v>1197.9284390833698</v>
          </cell>
          <cell r="J336">
            <v>1197.9284390833698</v>
          </cell>
        </row>
        <row r="337">
          <cell r="D337">
            <v>450</v>
          </cell>
          <cell r="E337">
            <v>1176.5545024268672</v>
          </cell>
          <cell r="F337">
            <v>1176.5545024268672</v>
          </cell>
          <cell r="G337">
            <v>1176.5545024268672</v>
          </cell>
          <cell r="H337">
            <v>1176.5545024268672</v>
          </cell>
          <cell r="I337">
            <v>1176.5545024268672</v>
          </cell>
          <cell r="J337">
            <v>1176.5545024268672</v>
          </cell>
        </row>
        <row r="338">
          <cell r="D338">
            <v>500</v>
          </cell>
          <cell r="E338">
            <v>1186.9377367109037</v>
          </cell>
          <cell r="F338">
            <v>1186.9377367109037</v>
          </cell>
          <cell r="G338">
            <v>1186.9377367109037</v>
          </cell>
          <cell r="H338">
            <v>1186.9377367109037</v>
          </cell>
          <cell r="I338">
            <v>1186.9377367109037</v>
          </cell>
          <cell r="J338">
            <v>1186.9377367109037</v>
          </cell>
        </row>
        <row r="339">
          <cell r="D339">
            <v>600</v>
          </cell>
          <cell r="E339">
            <v>1166.2878172763672</v>
          </cell>
          <cell r="F339">
            <v>1166.2878172763672</v>
          </cell>
          <cell r="G339">
            <v>1166.2878172763672</v>
          </cell>
          <cell r="H339">
            <v>1166.2878172763672</v>
          </cell>
          <cell r="I339">
            <v>1166.2878172763672</v>
          </cell>
          <cell r="J339">
            <v>1166.2878172763672</v>
          </cell>
        </row>
        <row r="340">
          <cell r="D340">
            <v>700</v>
          </cell>
          <cell r="E340">
            <v>1135.467178867674</v>
          </cell>
          <cell r="F340">
            <v>1135.467178867674</v>
          </cell>
          <cell r="G340">
            <v>1135.467178867674</v>
          </cell>
          <cell r="H340">
            <v>1135.467178867674</v>
          </cell>
          <cell r="I340">
            <v>1135.467178867674</v>
          </cell>
          <cell r="J340">
            <v>1135.467178867674</v>
          </cell>
        </row>
        <row r="341">
          <cell r="D341">
            <v>800</v>
          </cell>
          <cell r="E341">
            <v>1121.5011092242692</v>
          </cell>
          <cell r="F341">
            <v>1121.5011092242692</v>
          </cell>
          <cell r="G341">
            <v>1121.5011092242692</v>
          </cell>
          <cell r="H341">
            <v>1121.5011092242692</v>
          </cell>
          <cell r="I341">
            <v>1121.5011092242692</v>
          </cell>
          <cell r="J341">
            <v>1121.5011092242692</v>
          </cell>
        </row>
        <row r="342">
          <cell r="D342">
            <v>900</v>
          </cell>
          <cell r="E342">
            <v>1109.6539424355749</v>
          </cell>
          <cell r="F342">
            <v>1109.6539424355749</v>
          </cell>
          <cell r="G342">
            <v>1109.6539424355749</v>
          </cell>
          <cell r="H342">
            <v>1109.6539424355749</v>
          </cell>
          <cell r="I342">
            <v>1109.6539424355749</v>
          </cell>
          <cell r="J342">
            <v>1109.6539424355749</v>
          </cell>
        </row>
        <row r="343">
          <cell r="D343">
            <v>1000</v>
          </cell>
          <cell r="E343">
            <v>1086.1563317143059</v>
          </cell>
          <cell r="F343">
            <v>1086.1563317143059</v>
          </cell>
          <cell r="G343">
            <v>1086.1563317143059</v>
          </cell>
          <cell r="H343">
            <v>1086.1563317143059</v>
          </cell>
          <cell r="I343">
            <v>1086.1563317143059</v>
          </cell>
          <cell r="J343">
            <v>1086.1563317143059</v>
          </cell>
        </row>
        <row r="344">
          <cell r="D344">
            <v>1100</v>
          </cell>
          <cell r="E344">
            <v>1077.8816480661876</v>
          </cell>
          <cell r="F344">
            <v>1077.8816480661876</v>
          </cell>
          <cell r="G344">
            <v>1077.8816480661876</v>
          </cell>
          <cell r="H344">
            <v>1077.8816480661876</v>
          </cell>
          <cell r="I344">
            <v>1077.8816480661876</v>
          </cell>
          <cell r="J344">
            <v>1077.8816480661876</v>
          </cell>
        </row>
        <row r="345">
          <cell r="D345">
            <v>1200</v>
          </cell>
          <cell r="E345">
            <v>1070.6636094105977</v>
          </cell>
          <cell r="F345">
            <v>1070.6636094105977</v>
          </cell>
          <cell r="G345">
            <v>1070.6636094105977</v>
          </cell>
          <cell r="H345">
            <v>1070.6636094105977</v>
          </cell>
          <cell r="I345">
            <v>1070.6636094105977</v>
          </cell>
          <cell r="J345">
            <v>1070.6636094105977</v>
          </cell>
        </row>
        <row r="346">
          <cell r="D346">
            <v>1300</v>
          </cell>
          <cell r="E346">
            <v>1087.0080432874154</v>
          </cell>
          <cell r="F346">
            <v>1087.0080432874154</v>
          </cell>
          <cell r="G346">
            <v>1087.0080432874154</v>
          </cell>
          <cell r="H346">
            <v>1087.0080432874154</v>
          </cell>
          <cell r="I346">
            <v>1087.0080432874154</v>
          </cell>
          <cell r="J346">
            <v>1087.0080432874154</v>
          </cell>
        </row>
        <row r="350">
          <cell r="D350" t="str">
            <v>BWSP</v>
          </cell>
          <cell r="E350" t="str">
            <v>12kg/sqcm</v>
          </cell>
          <cell r="F350" t="str">
            <v>14kg/sqcm</v>
          </cell>
          <cell r="G350" t="str">
            <v>16kg/sqcm</v>
          </cell>
          <cell r="H350" t="str">
            <v>18kg/sqcm</v>
          </cell>
          <cell r="I350" t="str">
            <v>20kg/sqcm</v>
          </cell>
          <cell r="J350" t="str">
            <v>22kg/sqcm</v>
          </cell>
          <cell r="K350" t="str">
            <v>24kg/sqcm</v>
          </cell>
          <cell r="L350" t="str">
            <v>26kg/sqcm</v>
          </cell>
          <cell r="M350" t="str">
            <v>28kg/sqcm</v>
          </cell>
          <cell r="N350" t="str">
            <v>30kg/sqcm</v>
          </cell>
        </row>
        <row r="351">
          <cell r="D351">
            <v>250</v>
          </cell>
          <cell r="E351">
            <v>1230.0236464956424</v>
          </cell>
          <cell r="F351">
            <v>1230.0236464956424</v>
          </cell>
          <cell r="G351">
            <v>1230.0236464956424</v>
          </cell>
          <cell r="H351">
            <v>1230.0236464956424</v>
          </cell>
          <cell r="I351">
            <v>1230.0236464956424</v>
          </cell>
          <cell r="J351">
            <v>1230.0236464956424</v>
          </cell>
          <cell r="K351">
            <v>1230.0236464956424</v>
          </cell>
          <cell r="L351">
            <v>1230.0236464956424</v>
          </cell>
          <cell r="M351">
            <v>1230.0236464956424</v>
          </cell>
          <cell r="N351">
            <v>1230.0236464956424</v>
          </cell>
        </row>
        <row r="352">
          <cell r="D352">
            <v>300</v>
          </cell>
          <cell r="E352">
            <v>1199.8169785158843</v>
          </cell>
          <cell r="F352">
            <v>1199.8169785158843</v>
          </cell>
          <cell r="G352">
            <v>1199.8169785158843</v>
          </cell>
          <cell r="H352">
            <v>1199.8169785158843</v>
          </cell>
          <cell r="I352">
            <v>1199.8169785158843</v>
          </cell>
          <cell r="J352">
            <v>1199.8169785158843</v>
          </cell>
          <cell r="K352">
            <v>1199.8169785158843</v>
          </cell>
          <cell r="L352">
            <v>1199.8169785158843</v>
          </cell>
          <cell r="M352">
            <v>1199.8169785158843</v>
          </cell>
          <cell r="N352">
            <v>1199.8169785158843</v>
          </cell>
        </row>
        <row r="353">
          <cell r="D353">
            <v>400</v>
          </cell>
          <cell r="E353">
            <v>1145.5307177523287</v>
          </cell>
          <cell r="F353">
            <v>1145.5307177523287</v>
          </cell>
          <cell r="G353">
            <v>1145.5307177523287</v>
          </cell>
          <cell r="H353">
            <v>1145.5307177523287</v>
          </cell>
          <cell r="I353">
            <v>1145.5307177523287</v>
          </cell>
          <cell r="J353">
            <v>1145.5307177523287</v>
          </cell>
          <cell r="K353">
            <v>1145.5307177523287</v>
          </cell>
          <cell r="L353">
            <v>1145.5307177523287</v>
          </cell>
          <cell r="M353">
            <v>1145.5307177523287</v>
          </cell>
          <cell r="N353">
            <v>1145.5307177523287</v>
          </cell>
        </row>
        <row r="354">
          <cell r="D354">
            <v>500</v>
          </cell>
          <cell r="E354">
            <v>1118.319446742744</v>
          </cell>
          <cell r="F354">
            <v>1118.319446742744</v>
          </cell>
          <cell r="G354">
            <v>1118.319446742744</v>
          </cell>
          <cell r="H354">
            <v>1118.319446742744</v>
          </cell>
          <cell r="I354">
            <v>1118.319446742744</v>
          </cell>
          <cell r="J354">
            <v>1118.319446742744</v>
          </cell>
          <cell r="K354">
            <v>1118.319446742744</v>
          </cell>
          <cell r="L354">
            <v>1118.319446742744</v>
          </cell>
          <cell r="M354">
            <v>1118.319446742744</v>
          </cell>
          <cell r="N354">
            <v>1118.319446742744</v>
          </cell>
        </row>
        <row r="355">
          <cell r="D355">
            <v>600</v>
          </cell>
          <cell r="E355">
            <v>1088.9772986254682</v>
          </cell>
          <cell r="F355">
            <v>1088.9772986254682</v>
          </cell>
          <cell r="G355">
            <v>1088.9772986254682</v>
          </cell>
          <cell r="H355">
            <v>1088.9772986254682</v>
          </cell>
          <cell r="I355">
            <v>1088.9772986254682</v>
          </cell>
          <cell r="J355">
            <v>1088.9772986254682</v>
          </cell>
          <cell r="K355">
            <v>1088.9772986254682</v>
          </cell>
          <cell r="L355">
            <v>1088.9772986254682</v>
          </cell>
          <cell r="M355">
            <v>1088.9772986254682</v>
          </cell>
          <cell r="N355">
            <v>1088.9772986254682</v>
          </cell>
        </row>
        <row r="356">
          <cell r="D356">
            <v>700</v>
          </cell>
          <cell r="E356">
            <v>1053.081661135629</v>
          </cell>
          <cell r="F356">
            <v>1053.081661135629</v>
          </cell>
          <cell r="G356">
            <v>1053.081661135629</v>
          </cell>
          <cell r="H356">
            <v>1053.081661135629</v>
          </cell>
          <cell r="I356">
            <v>1053.081661135629</v>
          </cell>
          <cell r="J356">
            <v>1053.081661135629</v>
          </cell>
          <cell r="K356">
            <v>1053.081661135629</v>
          </cell>
          <cell r="L356">
            <v>1053.081661135629</v>
          </cell>
          <cell r="M356">
            <v>1053.081661135629</v>
          </cell>
          <cell r="N356">
            <v>1053.081661135629</v>
          </cell>
        </row>
        <row r="357">
          <cell r="D357">
            <v>800</v>
          </cell>
          <cell r="E357">
            <v>1020.5166667069078</v>
          </cell>
          <cell r="F357">
            <v>1020.5166667069078</v>
          </cell>
          <cell r="G357">
            <v>1020.5166667069078</v>
          </cell>
          <cell r="H357">
            <v>1020.5166667069078</v>
          </cell>
          <cell r="I357">
            <v>1020.5166667069078</v>
          </cell>
          <cell r="J357">
            <v>1020.5166667069078</v>
          </cell>
          <cell r="K357">
            <v>1020.5166667069078</v>
          </cell>
          <cell r="L357">
            <v>1020.5166667069078</v>
          </cell>
          <cell r="M357">
            <v>1020.5166667069078</v>
          </cell>
          <cell r="N357">
            <v>1020.5166667069078</v>
          </cell>
        </row>
        <row r="358">
          <cell r="D358">
            <v>900</v>
          </cell>
          <cell r="E358">
            <v>1005.6609659628798</v>
          </cell>
          <cell r="F358">
            <v>1005.6609659628798</v>
          </cell>
          <cell r="G358">
            <v>1005.6609659628798</v>
          </cell>
          <cell r="H358">
            <v>1005.6609659628798</v>
          </cell>
          <cell r="I358">
            <v>1005.6609659628798</v>
          </cell>
          <cell r="J358">
            <v>1005.6609659628798</v>
          </cell>
          <cell r="K358">
            <v>1005.6609659628798</v>
          </cell>
          <cell r="L358">
            <v>1005.6609659628798</v>
          </cell>
          <cell r="M358">
            <v>1005.6609659628798</v>
          </cell>
          <cell r="N358">
            <v>1005.6609659628798</v>
          </cell>
        </row>
        <row r="359">
          <cell r="D359">
            <v>1000</v>
          </cell>
          <cell r="E359">
            <v>978.73809253123136</v>
          </cell>
          <cell r="F359">
            <v>978.73809253123136</v>
          </cell>
          <cell r="G359">
            <v>978.73809253123136</v>
          </cell>
          <cell r="H359">
            <v>978.73809253123136</v>
          </cell>
          <cell r="I359">
            <v>978.73809253123136</v>
          </cell>
          <cell r="J359">
            <v>978.73809253123136</v>
          </cell>
          <cell r="K359">
            <v>978.73809253123136</v>
          </cell>
          <cell r="L359">
            <v>978.73809253123136</v>
          </cell>
          <cell r="M359">
            <v>978.73809253123136</v>
          </cell>
          <cell r="N359">
            <v>978.73809253123136</v>
          </cell>
        </row>
        <row r="360">
          <cell r="D360">
            <v>1100</v>
          </cell>
          <cell r="E360">
            <v>1001.489382966093</v>
          </cell>
          <cell r="F360">
            <v>1001.489382966093</v>
          </cell>
          <cell r="G360">
            <v>1001.489382966093</v>
          </cell>
          <cell r="H360">
            <v>1001.489382966093</v>
          </cell>
          <cell r="I360">
            <v>1001.489382966093</v>
          </cell>
          <cell r="J360">
            <v>1001.489382966093</v>
          </cell>
          <cell r="K360">
            <v>1001.489382966093</v>
          </cell>
          <cell r="L360">
            <v>1001.489382966093</v>
          </cell>
          <cell r="M360">
            <v>1001.489382966093</v>
          </cell>
          <cell r="N360">
            <v>1001.489382966093</v>
          </cell>
        </row>
        <row r="361">
          <cell r="D361">
            <v>1200</v>
          </cell>
          <cell r="E361">
            <v>979.2174271187389</v>
          </cell>
          <cell r="F361">
            <v>979.2174271187389</v>
          </cell>
          <cell r="G361">
            <v>979.2174271187389</v>
          </cell>
          <cell r="H361">
            <v>979.2174271187389</v>
          </cell>
          <cell r="I361">
            <v>979.2174271187389</v>
          </cell>
          <cell r="J361">
            <v>979.2174271187389</v>
          </cell>
          <cell r="K361">
            <v>979.2174271187389</v>
          </cell>
          <cell r="L361">
            <v>979.2174271187389</v>
          </cell>
          <cell r="M361">
            <v>979.2174271187389</v>
          </cell>
          <cell r="N361">
            <v>979.2174271187389</v>
          </cell>
        </row>
        <row r="362">
          <cell r="D362">
            <v>1300</v>
          </cell>
          <cell r="E362">
            <v>958.36821033870376</v>
          </cell>
          <cell r="F362">
            <v>958.36821033870376</v>
          </cell>
          <cell r="G362">
            <v>958.36821033870376</v>
          </cell>
          <cell r="H362">
            <v>958.36821033870376</v>
          </cell>
          <cell r="I362">
            <v>958.36821033870376</v>
          </cell>
          <cell r="J362">
            <v>958.36821033870376</v>
          </cell>
          <cell r="K362">
            <v>958.36821033870376</v>
          </cell>
          <cell r="L362">
            <v>958.36821033870376</v>
          </cell>
          <cell r="M362">
            <v>958.36821033870376</v>
          </cell>
          <cell r="N362">
            <v>958.36821033870376</v>
          </cell>
        </row>
        <row r="363">
          <cell r="D363">
            <v>1400</v>
          </cell>
          <cell r="E363">
            <v>938.79643489959039</v>
          </cell>
          <cell r="F363">
            <v>938.79643489959039</v>
          </cell>
          <cell r="G363">
            <v>938.79643489959039</v>
          </cell>
          <cell r="H363">
            <v>938.79643489959039</v>
          </cell>
          <cell r="I363">
            <v>938.79643489959039</v>
          </cell>
          <cell r="J363">
            <v>938.79643489959039</v>
          </cell>
          <cell r="K363">
            <v>938.79643489959039</v>
          </cell>
          <cell r="L363">
            <v>938.79643489959039</v>
          </cell>
          <cell r="M363">
            <v>938.79643489959039</v>
          </cell>
          <cell r="N363">
            <v>938.79643489959039</v>
          </cell>
        </row>
        <row r="364">
          <cell r="D364">
            <v>1500</v>
          </cell>
          <cell r="E364">
            <v>920.37676305189336</v>
          </cell>
          <cell r="F364">
            <v>920.37676305189336</v>
          </cell>
          <cell r="G364">
            <v>920.37676305189336</v>
          </cell>
          <cell r="H364">
            <v>920.37676305189336</v>
          </cell>
          <cell r="I364">
            <v>920.37676305189336</v>
          </cell>
          <cell r="J364">
            <v>920.37676305189336</v>
          </cell>
          <cell r="K364">
            <v>920.37676305189336</v>
          </cell>
          <cell r="L364">
            <v>920.37676305189336</v>
          </cell>
          <cell r="M364">
            <v>920.37676305189336</v>
          </cell>
          <cell r="N364">
            <v>920.37676305189336</v>
          </cell>
        </row>
        <row r="365">
          <cell r="D365">
            <v>1600</v>
          </cell>
          <cell r="E365">
            <v>903.00042458690609</v>
          </cell>
          <cell r="F365">
            <v>903.00042458690609</v>
          </cell>
          <cell r="G365">
            <v>903.00042458690609</v>
          </cell>
          <cell r="H365">
            <v>903.00042458690609</v>
          </cell>
          <cell r="I365">
            <v>903.00042458690609</v>
          </cell>
          <cell r="J365">
            <v>903.00042458690609</v>
          </cell>
          <cell r="K365">
            <v>903.00042458690609</v>
          </cell>
          <cell r="L365">
            <v>903.00042458690609</v>
          </cell>
          <cell r="M365">
            <v>903.00042458690609</v>
          </cell>
          <cell r="N365">
            <v>903.00042458690609</v>
          </cell>
        </row>
        <row r="368">
          <cell r="D368" t="str">
            <v>GRP</v>
          </cell>
          <cell r="E368" t="str">
            <v>12Bar</v>
          </cell>
          <cell r="F368" t="str">
            <v>15Bar</v>
          </cell>
          <cell r="G368" t="str">
            <v>3Bar</v>
          </cell>
          <cell r="H368" t="str">
            <v>6Bar</v>
          </cell>
          <cell r="I368" t="str">
            <v>9Bar</v>
          </cell>
        </row>
        <row r="369">
          <cell r="E369">
            <v>450</v>
          </cell>
          <cell r="F369">
            <v>480</v>
          </cell>
          <cell r="G369">
            <v>300</v>
          </cell>
          <cell r="H369">
            <v>355</v>
          </cell>
          <cell r="I369">
            <v>405</v>
          </cell>
        </row>
        <row r="377">
          <cell r="B377" t="str">
            <v>PVC</v>
          </cell>
        </row>
        <row r="378">
          <cell r="B378" t="str">
            <v>HDPE</v>
          </cell>
          <cell r="G378" t="str">
            <v>10kg/sqcm</v>
          </cell>
          <cell r="H378">
            <v>100</v>
          </cell>
          <cell r="I378">
            <v>150</v>
          </cell>
          <cell r="K378" t="str">
            <v>Class-25</v>
          </cell>
          <cell r="L378">
            <v>125</v>
          </cell>
          <cell r="M378">
            <v>93.75</v>
          </cell>
          <cell r="O378" t="str">
            <v>B</v>
          </cell>
          <cell r="P378">
            <v>140</v>
          </cell>
          <cell r="Q378">
            <v>140</v>
          </cell>
          <cell r="S378" t="str">
            <v>K10</v>
          </cell>
          <cell r="T378">
            <v>240</v>
          </cell>
          <cell r="U378">
            <v>360</v>
          </cell>
          <cell r="W378" t="str">
            <v>16kg/sqcm</v>
          </cell>
          <cell r="X378">
            <v>107</v>
          </cell>
          <cell r="Y378">
            <v>80</v>
          </cell>
          <cell r="AA378" t="str">
            <v>12kg/sqcm</v>
          </cell>
          <cell r="AB378">
            <v>80</v>
          </cell>
          <cell r="AC378">
            <v>135</v>
          </cell>
          <cell r="AE378" t="str">
            <v>15Bar</v>
          </cell>
          <cell r="AF378">
            <v>150</v>
          </cell>
          <cell r="AG378">
            <v>210</v>
          </cell>
        </row>
        <row r="379">
          <cell r="B379" t="str">
            <v>AC</v>
          </cell>
          <cell r="G379" t="str">
            <v>8kg/sqcm</v>
          </cell>
          <cell r="H379">
            <v>80</v>
          </cell>
          <cell r="I379">
            <v>120</v>
          </cell>
          <cell r="K379" t="str">
            <v>Class-20</v>
          </cell>
          <cell r="L379">
            <v>100</v>
          </cell>
          <cell r="M379">
            <v>150</v>
          </cell>
          <cell r="O379" t="str">
            <v>A</v>
          </cell>
          <cell r="P379">
            <v>125</v>
          </cell>
          <cell r="Q379">
            <v>125</v>
          </cell>
          <cell r="S379" t="str">
            <v>K9</v>
          </cell>
          <cell r="T379">
            <v>180</v>
          </cell>
          <cell r="U379">
            <v>320</v>
          </cell>
          <cell r="W379" t="str">
            <v>14kg/sqcm</v>
          </cell>
          <cell r="X379">
            <v>93</v>
          </cell>
          <cell r="Y379">
            <v>70</v>
          </cell>
          <cell r="AA379" t="str">
            <v>14kg/sqcm</v>
          </cell>
          <cell r="AB379">
            <v>93.333333333333329</v>
          </cell>
          <cell r="AC379">
            <v>157.5</v>
          </cell>
          <cell r="AE379" t="str">
            <v>12Bar</v>
          </cell>
          <cell r="AF379">
            <v>120</v>
          </cell>
          <cell r="AG379">
            <v>168</v>
          </cell>
        </row>
        <row r="380">
          <cell r="B380" t="str">
            <v>CI</v>
          </cell>
          <cell r="G380" t="str">
            <v>6kg/sqcm</v>
          </cell>
          <cell r="H380">
            <v>60</v>
          </cell>
          <cell r="I380">
            <v>90</v>
          </cell>
          <cell r="K380" t="str">
            <v>Class-15</v>
          </cell>
          <cell r="L380">
            <v>75</v>
          </cell>
          <cell r="M380">
            <v>112.5</v>
          </cell>
          <cell r="O380" t="str">
            <v>LA</v>
          </cell>
          <cell r="P380">
            <v>100</v>
          </cell>
          <cell r="Q380">
            <v>100</v>
          </cell>
          <cell r="S380" t="str">
            <v>K8</v>
          </cell>
          <cell r="T380">
            <v>120</v>
          </cell>
          <cell r="U380">
            <v>180</v>
          </cell>
          <cell r="W380" t="str">
            <v>12kg/sqcm</v>
          </cell>
          <cell r="X380">
            <v>80</v>
          </cell>
          <cell r="Y380">
            <v>60</v>
          </cell>
          <cell r="AA380" t="str">
            <v>16kg/sqcm</v>
          </cell>
          <cell r="AB380">
            <v>106.66666666666667</v>
          </cell>
          <cell r="AC380">
            <v>180</v>
          </cell>
          <cell r="AE380" t="str">
            <v>9Bar</v>
          </cell>
          <cell r="AF380">
            <v>90</v>
          </cell>
          <cell r="AG380">
            <v>126</v>
          </cell>
        </row>
        <row r="381">
          <cell r="B381" t="str">
            <v>DI</v>
          </cell>
          <cell r="G381" t="str">
            <v>4kg/sqcm</v>
          </cell>
          <cell r="H381">
            <v>40</v>
          </cell>
          <cell r="I381">
            <v>60</v>
          </cell>
          <cell r="K381" t="str">
            <v>Class-10</v>
          </cell>
          <cell r="L381">
            <v>50</v>
          </cell>
          <cell r="M381">
            <v>75</v>
          </cell>
          <cell r="S381" t="str">
            <v>K7</v>
          </cell>
          <cell r="T381">
            <v>80</v>
          </cell>
          <cell r="U381">
            <v>120</v>
          </cell>
          <cell r="W381" t="str">
            <v>10kg/sqcm</v>
          </cell>
          <cell r="X381">
            <v>67</v>
          </cell>
          <cell r="Y381">
            <v>50</v>
          </cell>
          <cell r="AA381" t="str">
            <v>18kg/sqcm</v>
          </cell>
          <cell r="AB381">
            <v>120</v>
          </cell>
          <cell r="AC381">
            <v>202.5</v>
          </cell>
          <cell r="AE381" t="str">
            <v>6Bar</v>
          </cell>
          <cell r="AF381">
            <v>60</v>
          </cell>
          <cell r="AG381">
            <v>84</v>
          </cell>
        </row>
        <row r="382">
          <cell r="B382" t="str">
            <v>PSC</v>
          </cell>
          <cell r="W382" t="str">
            <v>8kg/sqcm</v>
          </cell>
          <cell r="X382">
            <v>53</v>
          </cell>
          <cell r="Y382">
            <v>40</v>
          </cell>
          <cell r="AA382" t="str">
            <v>20kg/sqcm</v>
          </cell>
          <cell r="AB382">
            <v>133.33333333333334</v>
          </cell>
          <cell r="AC382">
            <v>225</v>
          </cell>
          <cell r="AE382" t="str">
            <v>3Bar</v>
          </cell>
          <cell r="AF382">
            <v>30</v>
          </cell>
          <cell r="AG382">
            <v>42</v>
          </cell>
        </row>
        <row r="383">
          <cell r="B383" t="str">
            <v>BWSP</v>
          </cell>
          <cell r="W383" t="str">
            <v>6kg/sqcm</v>
          </cell>
          <cell r="X383">
            <v>40</v>
          </cell>
          <cell r="Y383">
            <v>30</v>
          </cell>
          <cell r="AA383" t="str">
            <v>22kg/sqcm</v>
          </cell>
          <cell r="AB383">
            <v>146.66666666666666</v>
          </cell>
          <cell r="AC383">
            <v>247.5</v>
          </cell>
        </row>
        <row r="384">
          <cell r="B384" t="str">
            <v>GRP</v>
          </cell>
          <cell r="AA384" t="str">
            <v>24kg/sqcm</v>
          </cell>
          <cell r="AB384">
            <v>160</v>
          </cell>
          <cell r="AC384">
            <v>270</v>
          </cell>
        </row>
        <row r="385">
          <cell r="AA385" t="str">
            <v>26kg/sqcm</v>
          </cell>
          <cell r="AB385">
            <v>173.33333333333334</v>
          </cell>
          <cell r="AC385">
            <v>292.5</v>
          </cell>
        </row>
        <row r="386">
          <cell r="AA386" t="str">
            <v>28kg/sqcm</v>
          </cell>
          <cell r="AB386">
            <v>186.66666666666666</v>
          </cell>
          <cell r="AC386">
            <v>315</v>
          </cell>
        </row>
        <row r="387">
          <cell r="AA387" t="str">
            <v>30kg/sqcm</v>
          </cell>
          <cell r="AB387">
            <v>200</v>
          </cell>
          <cell r="AC387">
            <v>337.5</v>
          </cell>
        </row>
        <row r="1440">
          <cell r="F1440">
            <v>200</v>
          </cell>
          <cell r="G1440">
            <v>275</v>
          </cell>
          <cell r="J1440" t="str">
            <v>15Bar</v>
          </cell>
          <cell r="K1440">
            <v>150</v>
          </cell>
          <cell r="L1440">
            <v>210</v>
          </cell>
          <cell r="N1440" t="str">
            <v>16kg/sqcm</v>
          </cell>
          <cell r="O1440">
            <v>107</v>
          </cell>
          <cell r="P1440">
            <v>80</v>
          </cell>
          <cell r="S1440">
            <v>180</v>
          </cell>
          <cell r="T1440">
            <v>320</v>
          </cell>
          <cell r="W1440">
            <v>140</v>
          </cell>
          <cell r="X1440">
            <v>140</v>
          </cell>
          <cell r="AA1440">
            <v>125</v>
          </cell>
          <cell r="AB1440">
            <v>93.75</v>
          </cell>
          <cell r="AE1440">
            <v>100</v>
          </cell>
          <cell r="AF1440">
            <v>150</v>
          </cell>
          <cell r="AH1440" t="str">
            <v>10kg/sqcm</v>
          </cell>
          <cell r="AI1440">
            <v>100</v>
          </cell>
          <cell r="AL1440" t="str">
            <v>NP2</v>
          </cell>
          <cell r="AM1440">
            <v>0</v>
          </cell>
          <cell r="AN1440">
            <v>0</v>
          </cell>
          <cell r="AP1440" t="str">
            <v>A</v>
          </cell>
        </row>
        <row r="1441">
          <cell r="F1441">
            <v>187</v>
          </cell>
          <cell r="G1441">
            <v>257</v>
          </cell>
          <cell r="J1441" t="str">
            <v>12Bar</v>
          </cell>
          <cell r="K1441">
            <v>120</v>
          </cell>
          <cell r="L1441">
            <v>168</v>
          </cell>
          <cell r="N1441" t="str">
            <v>14kg/sqcm</v>
          </cell>
          <cell r="O1441">
            <v>93</v>
          </cell>
          <cell r="P1441">
            <v>70</v>
          </cell>
          <cell r="S1441">
            <v>80</v>
          </cell>
          <cell r="T1441">
            <v>120</v>
          </cell>
          <cell r="W1441">
            <v>125</v>
          </cell>
          <cell r="X1441">
            <v>125</v>
          </cell>
          <cell r="AA1441">
            <v>100</v>
          </cell>
          <cell r="AB1441">
            <v>150</v>
          </cell>
          <cell r="AE1441">
            <v>60</v>
          </cell>
          <cell r="AF1441">
            <v>90</v>
          </cell>
          <cell r="AH1441" t="str">
            <v>6kg/sqcm</v>
          </cell>
          <cell r="AI1441">
            <v>60</v>
          </cell>
          <cell r="AL1441" t="str">
            <v>NP3</v>
          </cell>
          <cell r="AM1441">
            <v>0</v>
          </cell>
          <cell r="AN1441">
            <v>0</v>
          </cell>
          <cell r="AP1441" t="str">
            <v>B</v>
          </cell>
        </row>
        <row r="1442">
          <cell r="F1442">
            <v>173</v>
          </cell>
          <cell r="G1442">
            <v>238</v>
          </cell>
          <cell r="J1442" t="str">
            <v>9Bar</v>
          </cell>
          <cell r="K1442">
            <v>90</v>
          </cell>
          <cell r="L1442">
            <v>126</v>
          </cell>
          <cell r="N1442" t="str">
            <v>12kg/sqcm</v>
          </cell>
          <cell r="O1442">
            <v>80</v>
          </cell>
          <cell r="P1442">
            <v>60</v>
          </cell>
          <cell r="W1442">
            <v>100</v>
          </cell>
          <cell r="X1442">
            <v>100</v>
          </cell>
          <cell r="AA1442">
            <v>75</v>
          </cell>
          <cell r="AB1442">
            <v>112.5</v>
          </cell>
          <cell r="AE1442">
            <v>40</v>
          </cell>
          <cell r="AF1442">
            <v>60</v>
          </cell>
          <cell r="AH1442" t="str">
            <v>4kg/sqcm</v>
          </cell>
          <cell r="AI1442">
            <v>40</v>
          </cell>
          <cell r="AP1442" t="str">
            <v>C</v>
          </cell>
        </row>
        <row r="1443">
          <cell r="F1443">
            <v>160</v>
          </cell>
          <cell r="G1443">
            <v>220</v>
          </cell>
          <cell r="J1443" t="str">
            <v>6Bar</v>
          </cell>
          <cell r="K1443">
            <v>60</v>
          </cell>
          <cell r="L1443">
            <v>84</v>
          </cell>
          <cell r="N1443" t="str">
            <v>10kg/sqcm</v>
          </cell>
          <cell r="O1443">
            <v>67</v>
          </cell>
          <cell r="P1443">
            <v>50</v>
          </cell>
        </row>
        <row r="1444">
          <cell r="F1444">
            <v>147</v>
          </cell>
          <cell r="G1444">
            <v>202</v>
          </cell>
          <cell r="J1444" t="str">
            <v>3Bar</v>
          </cell>
          <cell r="K1444">
            <v>30</v>
          </cell>
          <cell r="L1444">
            <v>42</v>
          </cell>
          <cell r="N1444" t="str">
            <v>8kg/sqcm</v>
          </cell>
          <cell r="O1444">
            <v>53</v>
          </cell>
          <cell r="P1444">
            <v>40</v>
          </cell>
        </row>
        <row r="1445">
          <cell r="F1445">
            <v>133</v>
          </cell>
          <cell r="G1445">
            <v>183</v>
          </cell>
          <cell r="N1445" t="str">
            <v>6kg/sqcm</v>
          </cell>
          <cell r="O1445">
            <v>40</v>
          </cell>
          <cell r="P1445">
            <v>30</v>
          </cell>
        </row>
        <row r="1446">
          <cell r="F1446">
            <v>120</v>
          </cell>
          <cell r="G1446">
            <v>165</v>
          </cell>
        </row>
        <row r="1447">
          <cell r="F1447">
            <v>107</v>
          </cell>
          <cell r="G1447">
            <v>147</v>
          </cell>
        </row>
        <row r="1448">
          <cell r="F1448">
            <v>93</v>
          </cell>
          <cell r="G1448">
            <v>128</v>
          </cell>
        </row>
        <row r="1449">
          <cell r="F1449">
            <v>80</v>
          </cell>
          <cell r="G1449">
            <v>110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Sheet3"/>
      <sheetName val="INPUT DATA SHEET"/>
      <sheetName val="CONVEYANCE WITHOUT PROFIT CSSR"/>
      <sheetName val="LEAD APDWSC OC"/>
      <sheetName val="DATA APDWSC WITH MA EST"/>
      <sheetName val="NAMED RANGES"/>
      <sheetName val="IRRIGATION PREAMBLE"/>
      <sheetName val="MATERIAL RATES IRRIGATION"/>
      <sheetName val="LABOUR RATES"/>
      <sheetName val="PUBLIC HEALTH ITEMS 1"/>
      <sheetName val="OHSR BASIC RATES"/>
      <sheetName val="BUILDING ITEMS"/>
      <sheetName val="BUILDING ITEMS MODIFIED"/>
      <sheetName val="CENTERING CHARGE BUILDINGS 1"/>
      <sheetName val="CENTERING CHARGE BUILDINGS 2"/>
      <sheetName val="CONVEYANCE"/>
      <sheetName val="CONVEYANCE WITH PROFIT DATA"/>
      <sheetName val="CONVEYANCE WITHOUT PROFIT DATA"/>
      <sheetName val="CONVEYANCE  WITH PROFIT CSSR"/>
      <sheetName val="LOAD UNLOAD PIPES DATA"/>
      <sheetName val="LOAD UNLOAD PIPES CSSR NO PROF "/>
      <sheetName val="CONVEYANCE ABS CSSR NO PROFIT"/>
      <sheetName val="HIRE CHARGES"/>
      <sheetName val="SEIGNORAGE CHARGES"/>
      <sheetName val="BASIC DATA"/>
      <sheetName val="FLOW DIAGRAM"/>
      <sheetName val="CROSS SECTION DIAGRAM"/>
      <sheetName val="EXISTING FACILITIES"/>
      <sheetName val="OHSR CAPACITIES STAGINGS"/>
      <sheetName val="AVERAGE LEADS"/>
      <sheetName val="DESIGN STATEMENT PWSS"/>
      <sheetName val="DESIGN STMNT CPWSS WORKS CE OFF"/>
      <sheetName val="DESIGN STMNT CPWSS APDWSC"/>
      <sheetName val="DESIGN STMNT CPWSS HEAD WORKS 2"/>
      <sheetName val="DESIGN STATEMENT SUMPS OHSRS 2"/>
      <sheetName val="DESIGN STATEMENT SUMPS OHSRS 1"/>
      <sheetName val="HYD STATEMENT NORMAL"/>
      <sheetName val="HYD STATEMENT APDWSC"/>
      <sheetName val="HYD STATEMENT DISTRIBUTION"/>
      <sheetName val="SAMPLE CALC ECO PM HAGEN"/>
      <sheetName val="ECO PM PROFORMA HAGEN"/>
      <sheetName val="SAMPLE CALC ECO PM FORMULA"/>
      <sheetName val="PIPES BASIC RATES"/>
      <sheetName val="ECO PM PROFORMA FORMULA"/>
      <sheetName val="RCC PLAIN END PIPE COUPLINGS"/>
      <sheetName val="RCC S.S PIPES NP CLASS"/>
      <sheetName val="RCC S.S PR CLASS"/>
      <sheetName val="GRP PIPES APPROVED"/>
      <sheetName val="PRESTRESSED NON CYLINDER PIPES"/>
      <sheetName val="PRESTRESSED CYLINDER PIPES"/>
      <sheetName val="AC PIPES APPROVED RATE"/>
      <sheetName val="AC PIPES DGS&amp;D"/>
      <sheetName val="BWSC PIPES APPROVED"/>
      <sheetName val="BWSC PIPES DGS&amp;D"/>
      <sheetName val="GRP PIPES DGS&amp;D"/>
      <sheetName val="HDPE 80 APPROVED"/>
      <sheetName val="HDPE 80 DGS&amp;D"/>
      <sheetName val="HDPE 100 APPROVED"/>
      <sheetName val="HDPE 100 DGS&amp;D"/>
      <sheetName val="PVC PIPES APPROVED"/>
      <sheetName val="PVC PIPES DGS&amp;D"/>
      <sheetName val="PVC-U PIPES SOLVENT DGS&amp;D"/>
      <sheetName val="PVC-U PIPES RINGS DGS&amp;D"/>
      <sheetName val="CILA PIPES APPROVED"/>
      <sheetName val="CILA PIPES DGS&amp;D"/>
      <sheetName val="DI S.S PIPES APPROVED"/>
      <sheetName val="DI S.S PIPES DGS&amp;D"/>
      <sheetName val="DI PLAIN PIPES DGS&amp;D"/>
      <sheetName val="DI FLANGED PIPES DGS&amp;D"/>
      <sheetName val="DI PIPES CONVEYANCE"/>
      <sheetName val="DI FITTINGS"/>
      <sheetName val="CI DI RUBBER RINGS"/>
      <sheetName val="CI SPECIALS RATE"/>
      <sheetName val="MS FLANGE RATES"/>
      <sheetName val="CI DI PIPES WEIGHTS 1"/>
      <sheetName val="CI PIPES WEIGHTS 2"/>
      <sheetName val="CI VALVES"/>
      <sheetName val="DI VALVES 1"/>
      <sheetName val="DI VALVES 2"/>
      <sheetName val="DI VALVES 3"/>
      <sheetName val="CI CAST STEEL VALVES"/>
      <sheetName val="DI VALVES ALL"/>
      <sheetName val="CI MS DISMANTLING JOINTS"/>
      <sheetName val="MISCELLANEOUS ITEMS"/>
      <sheetName val="CID JOINTS"/>
      <sheetName val="PVC PIPE DETAILS"/>
      <sheetName val="HDPE PIPE DETAILS"/>
      <sheetName val="AC PIPE DETAILS"/>
      <sheetName val="CI PIPE DETAILS"/>
      <sheetName val="DI PIPE DETAILS"/>
      <sheetName val="POWER SUPPLY"/>
      <sheetName val="LAYING JOINTING PVC PIPES"/>
      <sheetName val="LAYING JOINTING AC PIPES"/>
      <sheetName val="LAYING JOINTING STONEWARE PIPES"/>
      <sheetName val="LAYING JOINTING CI DI S.S PIPES"/>
      <sheetName val="LAYING JOINTING CI D.F PIPES"/>
      <sheetName val="LAYING JOINTING RCC S.S PIPES"/>
      <sheetName val="LOWERING CI SPECIALS"/>
      <sheetName val="UPROOTING CI RCC STONEWARE"/>
      <sheetName val="CUTTING CI PIPES"/>
      <sheetName val="BACK BONE"/>
      <sheetName val="PM DIA RELATIONSHIP"/>
      <sheetName val="MS PIPES"/>
      <sheetName val="LEAD OC"/>
      <sheetName val="LEAD OC 2"/>
      <sheetName val="LEAD OC 3"/>
      <sheetName val="ABSTRACT PRINT"/>
      <sheetName val="LEAD WITH VAT"/>
      <sheetName val="DATA APDWSC WITH MA OC"/>
      <sheetName val="DATA WITH VAT (3)"/>
      <sheetName val="LABOUR COMPONENT"/>
      <sheetName val="BACK BONE (2)"/>
      <sheetName val="PIPES BASIC RATES (3)"/>
      <sheetName val="DOSING PUMP"/>
      <sheetName val="O&amp;M ESTIMATE"/>
      <sheetName val="FLOW METRES"/>
      <sheetName val="PUMP SETS"/>
      <sheetName val="MICROFILTER"/>
      <sheetName val="named ranges ohbr conical"/>
      <sheetName val="ohbr shaft 90 input cone"/>
      <sheetName val="ohbr shaft 90 est cone"/>
      <sheetName val="named ranges intz tank"/>
      <sheetName val="ohbr shaft 90 input intze"/>
      <sheetName val="ohbr shaft 90 est intze"/>
      <sheetName val="named ranges ajd ohsr"/>
      <sheetName val="ohsr ajd input"/>
      <sheetName val="ohsr ajd est "/>
      <sheetName val="named ranges ohsr single col"/>
      <sheetName val="arws single col ohsr input"/>
      <sheetName val="arws single col ohsr est"/>
      <sheetName val="named ranges ohsr shaft 5kl"/>
      <sheetName val="ohsr shaft 5kl input cone"/>
      <sheetName val="ohsr shaft 5kl est cone"/>
      <sheetName val="named ranges sump col"/>
      <sheetName val="sump flatroof with col input"/>
      <sheetName val="sump flat roof with col est"/>
      <sheetName val="WMQ EST"/>
      <sheetName val="p&amp;m"/>
      <sheetName val="Habcodes"/>
    </sheetNames>
    <sheetDataSet>
      <sheetData sheetId="0">
        <row r="35">
          <cell r="A35" t="str">
            <v>Name of the Scheme : Providing CPWS Scheme to 04 Mandals in Markapur Constituency in Prakasam District</v>
          </cell>
        </row>
      </sheetData>
      <sheetData sheetId="1"/>
      <sheetData sheetId="2">
        <row r="1">
          <cell r="D1" t="str">
            <v>2017-18</v>
          </cell>
        </row>
      </sheetData>
      <sheetData sheetId="3">
        <row r="57">
          <cell r="D57">
            <v>6.68925758042512</v>
          </cell>
        </row>
      </sheetData>
      <sheetData sheetId="4">
        <row r="8">
          <cell r="D8" t="str">
            <v>Vellampalli</v>
          </cell>
        </row>
      </sheetData>
      <sheetData sheetId="5"/>
      <sheetData sheetId="6">
        <row r="2">
          <cell r="A2" t="str">
            <v>0.00-3.00 Mts</v>
          </cell>
        </row>
      </sheetData>
      <sheetData sheetId="7"/>
      <sheetData sheetId="8">
        <row r="86">
          <cell r="E86">
            <v>21</v>
          </cell>
        </row>
      </sheetData>
      <sheetData sheetId="9">
        <row r="6">
          <cell r="E6">
            <v>600</v>
          </cell>
        </row>
      </sheetData>
      <sheetData sheetId="10">
        <row r="429">
          <cell r="D429">
            <v>4028</v>
          </cell>
        </row>
      </sheetData>
      <sheetData sheetId="11">
        <row r="4">
          <cell r="A4">
            <v>1</v>
          </cell>
        </row>
      </sheetData>
      <sheetData sheetId="12">
        <row r="23">
          <cell r="C23" t="str">
            <v>Polished Marble slabs of any variety (Such as Dongari/ Adanga/ Marodh/ Rajganpur etc) 16 mm to 20 mm (average) thick (size 0.457 M x 0.457 M) / (0.6M x 0.6M)</v>
          </cell>
        </row>
        <row r="24">
          <cell r="C24" t="str">
            <v>Polished Marble slabs of any variety (Such as Dongari/ Adanga/ Marodh/ Rajganpur etc) polished 16 mm to 20 mm (average) thick 0.305 M x 0.305 M</v>
          </cell>
        </row>
        <row r="25">
          <cell r="C25" t="str">
            <v>Polished Marble slabs of any variety and gang saw cut (Such as Dongari/ Adanga/ Marodh/ Rajganpur etc) 16 mm to 20 mm (average) thick ( 0.610 M width of any length)</v>
          </cell>
        </row>
        <row r="26">
          <cell r="C26" t="str">
            <v>Polished Marble Tiles 8 mm thick of all sizes and varieties</v>
          </cell>
        </row>
        <row r="27">
          <cell r="C27" t="str">
            <v>Granite stone tiles 8 mm thick (mirror polished of all shades)</v>
          </cell>
        </row>
        <row r="43">
          <cell r="C43" t="str">
            <v>Supply of vitrified floor tiles of size not less than 900x900x10 mm thick regular finish and normal colours</v>
          </cell>
        </row>
        <row r="44">
          <cell r="C44" t="str">
            <v>Supply of vitrified floor tiles of size not less than 795x795x8  mm thick regular finish and normal colours</v>
          </cell>
        </row>
        <row r="45">
          <cell r="C45" t="str">
            <v>Supply of vitrified polished floor tiles of size not less than 598x598x8  mm thick glossy finish and premium  colours</v>
          </cell>
        </row>
        <row r="46">
          <cell r="C46" t="str">
            <v>Supply of vitrified polished floor tiles of size not less than 598x598x8  mm thick regular finish and normal   colours</v>
          </cell>
        </row>
        <row r="47">
          <cell r="C47" t="str">
            <v>Supply of vitrified polished floor tiles of size not less than 400x400x7  mm thick  normal   colours</v>
          </cell>
        </row>
        <row r="48">
          <cell r="C48" t="str">
            <v>Supply of Glass mosaic tiles 1st quality of size 20x20x4 mm thick</v>
          </cell>
        </row>
        <row r="50">
          <cell r="C50" t="str">
            <v>Vitrified polished floor tiles of size not less than 1000*1000*10 mm thickness with nano technology printing and high glossy finish/Premium colours</v>
          </cell>
        </row>
        <row r="51">
          <cell r="C51" t="str">
            <v>Vitrified polished floor tiles of size not less than 795x795x8 mm thickness with nano technology printing and high glossy finish/Premium colours special series</v>
          </cell>
        </row>
        <row r="52">
          <cell r="C52" t="str">
            <v>Vitrified polished floor tiles of size not less than 598x598x8 mm thickness with nano technology printing and high glossy finish Premium colours high glossy finish/premium colours special series</v>
          </cell>
        </row>
        <row r="53">
          <cell r="C53" t="str">
            <v>Vitrified polished floor tiles of size not less than 900x900x10 mm thickness with nano technology printing and high glossy finish Premium colours high glossy finish/premium colours special series</v>
          </cell>
        </row>
      </sheetData>
      <sheetData sheetId="13">
        <row r="28">
          <cell r="F28">
            <v>94</v>
          </cell>
        </row>
      </sheetData>
      <sheetData sheetId="14">
        <row r="8">
          <cell r="D8">
            <v>288</v>
          </cell>
        </row>
      </sheetData>
      <sheetData sheetId="15"/>
      <sheetData sheetId="16"/>
      <sheetData sheetId="17"/>
      <sheetData sheetId="18"/>
      <sheetData sheetId="19"/>
      <sheetData sheetId="20"/>
      <sheetData sheetId="21"/>
      <sheetData sheetId="22">
        <row r="6">
          <cell r="A6">
            <v>0</v>
          </cell>
        </row>
      </sheetData>
      <sheetData sheetId="23">
        <row r="10">
          <cell r="D10">
            <v>88.1</v>
          </cell>
        </row>
      </sheetData>
      <sheetData sheetId="24">
        <row r="8">
          <cell r="E8">
            <v>75</v>
          </cell>
        </row>
      </sheetData>
      <sheetData sheetId="25">
        <row r="22">
          <cell r="D22">
            <v>293</v>
          </cell>
        </row>
        <row r="390">
          <cell r="B390" t="str">
            <v>100 mm dia SW pipe 60cm long SP-1 Class</v>
          </cell>
        </row>
        <row r="391">
          <cell r="B391" t="str">
            <v>150 mm dia SW pipe 60cm long SP-1 Class</v>
          </cell>
        </row>
        <row r="392">
          <cell r="B392" t="str">
            <v>200 mm dia SW pipe 60cm long SP-1 Class</v>
          </cell>
        </row>
        <row r="393">
          <cell r="B393" t="str">
            <v>230 mm dia SW pipe 60cm long SP-1 Class</v>
          </cell>
        </row>
        <row r="394">
          <cell r="B394" t="str">
            <v>250 mm dia SW pipe 60cm long SP-1 Class</v>
          </cell>
        </row>
        <row r="395">
          <cell r="B395" t="str">
            <v>300 mm dia SW pipe 60cm long SP-1 Class</v>
          </cell>
        </row>
        <row r="396">
          <cell r="B396" t="str">
            <v>350 mm dia SW pipe 60cm long SP-1 Class</v>
          </cell>
        </row>
        <row r="397">
          <cell r="B397" t="str">
            <v>400 mm dia SW pipe 60cm long SP-1 Class</v>
          </cell>
        </row>
        <row r="398">
          <cell r="B398" t="str">
            <v>450 mm dia SW pipe 60cm long SP-1 Class</v>
          </cell>
        </row>
        <row r="399">
          <cell r="B399" t="str">
            <v>100 mm dia SW pipe 60cm long SP-2 Class</v>
          </cell>
        </row>
        <row r="400">
          <cell r="B400" t="str">
            <v>150 mm dia SW pipe 60cm long SP-2 Class</v>
          </cell>
        </row>
        <row r="401">
          <cell r="B401" t="str">
            <v>200 mm dia SW pipe 60cm long SP-2 Class</v>
          </cell>
        </row>
        <row r="402">
          <cell r="B402" t="str">
            <v>230 mm dia SW pipe 60cm long SP-2 Class</v>
          </cell>
        </row>
        <row r="403">
          <cell r="B403" t="str">
            <v>250 mm dia SW pipe 60cm long SP-2 Class</v>
          </cell>
        </row>
        <row r="404">
          <cell r="B404" t="str">
            <v>300 mm dia SW pipe 60cm long SP-2 Class</v>
          </cell>
        </row>
        <row r="405">
          <cell r="B405" t="str">
            <v>350 mm dia SW pipe 60cm long SP-2 Class</v>
          </cell>
        </row>
        <row r="406">
          <cell r="B406" t="str">
            <v>400 mm dia SW pipe 60cm long SP-2 Class</v>
          </cell>
        </row>
        <row r="407">
          <cell r="B407" t="str">
            <v>450 mm dia SW pipe 60cm long SP-2 Class</v>
          </cell>
        </row>
        <row r="408">
          <cell r="B408" t="str">
            <v>100 mm dia SW pipe 60cm long SP-3 Class</v>
          </cell>
        </row>
        <row r="409">
          <cell r="B409" t="str">
            <v>150 mm dia SW pipe 60cm long SP-3 Class</v>
          </cell>
        </row>
        <row r="410">
          <cell r="B410" t="str">
            <v>200 mm dia SW pipe 60cm long SP-3 Class</v>
          </cell>
        </row>
        <row r="411">
          <cell r="B411" t="str">
            <v>230 mm dia SW pipe 60cm long SP-3 Class</v>
          </cell>
        </row>
        <row r="412">
          <cell r="B412" t="str">
            <v>250 mm dia SW pipe 60cm long SP-3 Class</v>
          </cell>
        </row>
        <row r="413">
          <cell r="B413" t="str">
            <v>300 mm dia SW pipe 60cm long SP-3 Class</v>
          </cell>
        </row>
        <row r="414">
          <cell r="B414" t="str">
            <v>350 mm dia SW pipe 60cm long SP-3 Class</v>
          </cell>
        </row>
        <row r="415">
          <cell r="B415" t="str">
            <v>400 mm dia SW pipe 60cm long SP-3 Class</v>
          </cell>
        </row>
        <row r="416">
          <cell r="B416" t="str">
            <v>450 mm dia SW pipe 60cm long SP-3 Class</v>
          </cell>
        </row>
        <row r="494">
          <cell r="B494" t="str">
            <v>15 mm Dia GI Pipe : Light</v>
          </cell>
        </row>
        <row r="495">
          <cell r="B495" t="str">
            <v>15 mm Dia GI Pipe : Med</v>
          </cell>
        </row>
        <row r="496">
          <cell r="B496" t="str">
            <v>15 mm Dia GI Pipe : Heavy</v>
          </cell>
        </row>
        <row r="497">
          <cell r="B497" t="str">
            <v>20 mm Dia GI Pipe : Light</v>
          </cell>
        </row>
        <row r="498">
          <cell r="B498" t="str">
            <v>20 mm Dia GI Pipe : Med</v>
          </cell>
        </row>
        <row r="499">
          <cell r="B499" t="str">
            <v>20 mm Dia GI Pipe : Heavy</v>
          </cell>
        </row>
        <row r="500">
          <cell r="B500" t="str">
            <v>25 mm Dia GI Pipe : Light</v>
          </cell>
        </row>
        <row r="501">
          <cell r="B501" t="str">
            <v>25 mm Dia GI Pipe : Med</v>
          </cell>
        </row>
        <row r="502">
          <cell r="B502" t="str">
            <v>25 mm Dia GI Pipe : Heavy</v>
          </cell>
        </row>
        <row r="503">
          <cell r="B503" t="str">
            <v>32 mm Dia GI Pipe : Light</v>
          </cell>
        </row>
        <row r="504">
          <cell r="B504" t="str">
            <v>32 mm Dia GI Pipe : Med</v>
          </cell>
        </row>
        <row r="505">
          <cell r="B505" t="str">
            <v>32 mm Dia GI Pipe : Heavy</v>
          </cell>
        </row>
        <row r="506">
          <cell r="B506" t="str">
            <v>40 mm Dia GI Pipe : Light</v>
          </cell>
        </row>
        <row r="507">
          <cell r="B507" t="str">
            <v>40 mm Dia GI Pipe : Med</v>
          </cell>
        </row>
        <row r="508">
          <cell r="B508" t="str">
            <v>40 mm Dia GI Pipe : Heavy</v>
          </cell>
        </row>
        <row r="509">
          <cell r="B509" t="str">
            <v>50 mm Dia GI Pipe : Light</v>
          </cell>
        </row>
        <row r="510">
          <cell r="B510" t="str">
            <v>50 mm Dia GI Pipe : Med</v>
          </cell>
        </row>
        <row r="511">
          <cell r="B511" t="str">
            <v>50 mm Dia GI Pipe : Heavy</v>
          </cell>
        </row>
        <row r="512">
          <cell r="B512" t="str">
            <v>65 mm Dia GI Pipe : Light</v>
          </cell>
        </row>
        <row r="513">
          <cell r="B513" t="str">
            <v>65 mm Dia GI Pipe : Med</v>
          </cell>
        </row>
        <row r="514">
          <cell r="B514" t="str">
            <v>65 mm Dia GI Pipe : Heavy</v>
          </cell>
        </row>
        <row r="515">
          <cell r="B515" t="str">
            <v>80 mm Dia GI Pipe : Light</v>
          </cell>
        </row>
        <row r="516">
          <cell r="B516" t="str">
            <v>80 mm Dia GI Pipe : Med</v>
          </cell>
        </row>
        <row r="517">
          <cell r="B517" t="str">
            <v>80 mm Dia GI Pipe : Heavy</v>
          </cell>
        </row>
        <row r="518">
          <cell r="B518" t="str">
            <v>100 mm Dia GI Pipe : Light</v>
          </cell>
        </row>
        <row r="519">
          <cell r="B519" t="str">
            <v>100 mm Dia GI Pipe : Med</v>
          </cell>
        </row>
        <row r="520">
          <cell r="B520" t="str">
            <v>100 mm Dia GI Pipe : Heavy</v>
          </cell>
        </row>
        <row r="521">
          <cell r="B521" t="str">
            <v>150 mm Dia GI Pipe : Light</v>
          </cell>
        </row>
        <row r="522">
          <cell r="B522" t="str">
            <v>150 mm Dia GI Pipe : Med</v>
          </cell>
        </row>
        <row r="523">
          <cell r="B523" t="str">
            <v>150 mm Dia GI Pipe : Heavy</v>
          </cell>
        </row>
        <row r="547">
          <cell r="B547" t="str">
            <v>Shahabad/Tandur Rough stone slabs 25 mm Min thickness</v>
          </cell>
        </row>
        <row r="548">
          <cell r="B548" t="str">
            <v>Polished Shahaba/Tandur stone slab 15 to 18 mm</v>
          </cell>
        </row>
        <row r="549">
          <cell r="B549" t="str">
            <v>Polished Black Cuddapah stone 15 mm</v>
          </cell>
        </row>
        <row r="550">
          <cell r="B550" t="str">
            <v>Polished Bethamcherla White stone 25 mm</v>
          </cell>
        </row>
        <row r="551">
          <cell r="B551" t="str">
            <v>Polished Bethamcherla Colour stone 25 mm</v>
          </cell>
        </row>
        <row r="552">
          <cell r="B552" t="str">
            <v>High polished Granite stone 16 to 18 mm thick other than Black /Premium colours</v>
          </cell>
        </row>
        <row r="553">
          <cell r="B553" t="str">
            <v>High polished Granite stone 16 to 18 mm thick other than Black /Regular colours</v>
          </cell>
        </row>
        <row r="554">
          <cell r="B554" t="str">
            <v>High polished Granite stone 16 to 18 mm thick  BlackColour</v>
          </cell>
        </row>
        <row r="555">
          <cell r="B555" t="str">
            <v>Polished Marble slabs 16 to 20 mm thick  of size 0.457x0.457/0.60x0.60 mts</v>
          </cell>
        </row>
        <row r="556">
          <cell r="B556" t="str">
            <v>Polished Marble slabs 16 to 20 mm thick  of size 0.305x0.305 mts</v>
          </cell>
        </row>
        <row r="557">
          <cell r="B557" t="str">
            <v>Polished Marble slabs 16 to 20 mm thick  of size 0.610 mts of any length</v>
          </cell>
        </row>
        <row r="586">
          <cell r="B586" t="str">
            <v xml:space="preserve">Med Teak wood large scantlings upto 2 m </v>
          </cell>
        </row>
        <row r="587">
          <cell r="B587" t="str">
            <v>Med Teak wood large scantlings 2.00-3.00m</v>
          </cell>
        </row>
        <row r="588">
          <cell r="B588" t="str">
            <v>Med Teak wood large scantlings above 3.00</v>
          </cell>
        </row>
        <row r="589">
          <cell r="B589" t="str">
            <v>Med Teak wood planks any  thickness</v>
          </cell>
        </row>
        <row r="590">
          <cell r="B590" t="str">
            <v xml:space="preserve">Best Teak wood large scantlings upto 2 m </v>
          </cell>
        </row>
        <row r="591">
          <cell r="B591" t="str">
            <v>Best Teak wood large scantlings 2.00-3.00m</v>
          </cell>
        </row>
        <row r="592">
          <cell r="B592" t="str">
            <v>Best Teak wood large scantlings above 3.00</v>
          </cell>
        </row>
        <row r="593">
          <cell r="B593" t="str">
            <v>Best Teak wood planks any  thickness</v>
          </cell>
        </row>
        <row r="594">
          <cell r="B594" t="str">
            <v xml:space="preserve">Burma Teak wood large scantlings upto 2 m </v>
          </cell>
        </row>
        <row r="595">
          <cell r="B595" t="str">
            <v>Burma Teak wood large scantlings 2.00-3.00m</v>
          </cell>
        </row>
        <row r="596">
          <cell r="B596" t="str">
            <v>Burma Teak wood large scantlings above 3.00</v>
          </cell>
        </row>
        <row r="597">
          <cell r="B597" t="str">
            <v>Burma Teak wood planks any  thickness</v>
          </cell>
        </row>
        <row r="598">
          <cell r="B598" t="str">
            <v>Assam teak wood scantlings any  thickness</v>
          </cell>
        </row>
        <row r="599">
          <cell r="B599" t="str">
            <v>Assam teak wood planks any thickness</v>
          </cell>
        </row>
        <row r="600">
          <cell r="B600" t="str">
            <v>Sal wood scantlings any  thickness</v>
          </cell>
        </row>
        <row r="601">
          <cell r="B601" t="str">
            <v>Sal wood planks any  thickness</v>
          </cell>
        </row>
        <row r="607">
          <cell r="B607" t="str">
            <v>Plain Float Glass 4 mm thick</v>
          </cell>
        </row>
        <row r="608">
          <cell r="B608" t="str">
            <v>Plain Float Glass 5 mm thick</v>
          </cell>
        </row>
        <row r="609">
          <cell r="B609" t="str">
            <v>Plain Float Glass 6 mm thick</v>
          </cell>
        </row>
        <row r="610">
          <cell r="B610" t="str">
            <v>Plain Float Glass 8 mm thick</v>
          </cell>
        </row>
        <row r="611">
          <cell r="B611" t="str">
            <v>Plain Float Glass 10 mm thick</v>
          </cell>
        </row>
        <row r="612">
          <cell r="B612" t="str">
            <v>Plain Float Glass 12 mm thick</v>
          </cell>
        </row>
        <row r="613">
          <cell r="B613" t="str">
            <v>Tinted - Bronze/ Green Glass 4 mm thick</v>
          </cell>
        </row>
        <row r="614">
          <cell r="B614" t="str">
            <v>Tinted - Bronze/ Green Glass 5 mm thick</v>
          </cell>
        </row>
        <row r="615">
          <cell r="B615" t="str">
            <v>Tinted - Bronze/ Green Glass 6 mm thick</v>
          </cell>
        </row>
        <row r="616">
          <cell r="B616" t="str">
            <v>Tinted - Bronze/ Green Glass 8 mm thick</v>
          </cell>
        </row>
        <row r="617">
          <cell r="B617" t="str">
            <v>Tinted - Bronze/ Green Glass 10 mm thick</v>
          </cell>
        </row>
        <row r="618">
          <cell r="B618" t="str">
            <v>Tinted - Bronze/ Green Glass 12 mm thick</v>
          </cell>
        </row>
        <row r="619">
          <cell r="B619" t="str">
            <v>Pin headed Glass 4 mm thick</v>
          </cell>
        </row>
        <row r="620">
          <cell r="B620" t="str">
            <v>Pin headed Glass 5 mm thick</v>
          </cell>
        </row>
        <row r="621">
          <cell r="B621" t="str">
            <v>Frosted / Ground Glass 4 mm thick</v>
          </cell>
        </row>
        <row r="622">
          <cell r="B622" t="str">
            <v>Frosted / Ground Glass 5 mm thick</v>
          </cell>
        </row>
        <row r="623">
          <cell r="B623" t="str">
            <v>Toughened Plain Glass 5 mm (including Glass)</v>
          </cell>
        </row>
        <row r="624">
          <cell r="B624" t="str">
            <v>Toughened Plain Glass 6 mm (including Glass)</v>
          </cell>
        </row>
        <row r="625">
          <cell r="B625" t="str">
            <v>Toughened Plain Glass 8 mm (including Glass)</v>
          </cell>
        </row>
        <row r="626">
          <cell r="B626" t="str">
            <v>Toughened Plain Glass 10 mm (including Glass)</v>
          </cell>
        </row>
        <row r="627">
          <cell r="B627" t="str">
            <v>Toughened Plain Glass 12 mm (including Glass)</v>
          </cell>
        </row>
        <row r="631">
          <cell r="B631" t="str">
            <v>Brass Tower Bolt-10 mm Bolt (IS:204) 100 mm Long</v>
          </cell>
        </row>
        <row r="632">
          <cell r="B632" t="str">
            <v>Brass Tower Bolt-10 mm Bolt (IS:204) 150 mm Long</v>
          </cell>
        </row>
        <row r="633">
          <cell r="B633" t="str">
            <v>Brass Tower Bolt-10 mm Bolt (IS:204) 200 mm Long</v>
          </cell>
        </row>
        <row r="634">
          <cell r="B634" t="str">
            <v>Brass Tower Bolt-10 mm Bolt (IS:204) 250 mm Long</v>
          </cell>
        </row>
        <row r="635">
          <cell r="B635" t="str">
            <v>Brass Tower Bolt-10 mm Bolt (IS:204) 300 mm Long</v>
          </cell>
        </row>
        <row r="636">
          <cell r="B636" t="str">
            <v>Aluminium Tower Bolt-10 mm Bolt (IS:204) 75 mm Long</v>
          </cell>
        </row>
        <row r="637">
          <cell r="B637" t="str">
            <v>Aluminium Tower Bolt-10 mm Bolt (IS:204) 100 mm Long</v>
          </cell>
        </row>
        <row r="638">
          <cell r="B638" t="str">
            <v>Aluminium Tower Bolt-10 mm Bolt (IS:204) 150 mm Long</v>
          </cell>
        </row>
        <row r="639">
          <cell r="B639" t="str">
            <v>Aluminium Tower Bolt-10 mm Bolt (IS:204) 200 mm Long</v>
          </cell>
        </row>
        <row r="640">
          <cell r="B640" t="str">
            <v>Aluminium Tower Bolt-10 mm Bolt (IS:204) 250 mm Long</v>
          </cell>
        </row>
        <row r="641">
          <cell r="B641" t="str">
            <v>Aluminium Tower Bolt-10 mm Bolt (IS:204) 300 mm Long</v>
          </cell>
        </row>
        <row r="642">
          <cell r="B642" t="str">
            <v>Aluminium Tower Bolt-10 mm Bolt (IS:204) 350 mm Long</v>
          </cell>
        </row>
        <row r="643">
          <cell r="B643" t="str">
            <v>Aluminium Tower Bolt-10 mm Bolt (IS:204) 450 mm Long</v>
          </cell>
        </row>
        <row r="644">
          <cell r="B644" t="str">
            <v>MS-Powder Coated Tower Bolt-10 mm Bolt (IS:204) 100 mm Long</v>
          </cell>
        </row>
        <row r="645">
          <cell r="B645" t="str">
            <v>MS-Powder Coated Tower Bolt-10 mm Bolt (IS:204) 150 mm Long</v>
          </cell>
        </row>
        <row r="646">
          <cell r="B646" t="str">
            <v>MS-Powder Coated Tower Bolt-10 mm Bolt (IS:204) 200 mm Long</v>
          </cell>
        </row>
        <row r="647">
          <cell r="B647" t="str">
            <v>MS-Powder Coated Tower Bolt-10 mm Bolt (IS:204) 250 mm Long</v>
          </cell>
        </row>
        <row r="648">
          <cell r="B648" t="str">
            <v>MS-Powder Coated Tower Bolt-10 mm Bolt (IS:204) 300 mm Long</v>
          </cell>
        </row>
        <row r="650">
          <cell r="B650" t="str">
            <v>Brass Butt hinges (IS:205)- 75 mm Long</v>
          </cell>
        </row>
        <row r="651">
          <cell r="B651" t="str">
            <v>Brass Butt hinges (IS:205)- 100 mm Long</v>
          </cell>
        </row>
        <row r="652">
          <cell r="B652" t="str">
            <v>Brass Butt hinges (IS:205)- 125 mm Long</v>
          </cell>
        </row>
        <row r="653">
          <cell r="B653" t="str">
            <v>Brass Butt hinges (IS:205)- 150 mm Long</v>
          </cell>
        </row>
        <row r="654">
          <cell r="B654" t="str">
            <v>Aluminium Butt hinges (IS:205)- 75 mm Long</v>
          </cell>
        </row>
        <row r="655">
          <cell r="B655" t="str">
            <v>Aluminium Butt hinges (IS:205)- 100 mm Long</v>
          </cell>
        </row>
        <row r="656">
          <cell r="B656" t="str">
            <v>Aluminium Butt hinges (IS:205)- 125 mm Long</v>
          </cell>
        </row>
        <row r="657">
          <cell r="B657" t="str">
            <v>Aluminium Butt hinges (IS:205)- 150 mm Long</v>
          </cell>
        </row>
        <row r="658">
          <cell r="B658" t="str">
            <v>MS-Powder Coated Butt hinges (IS:205)- 75 mm Long</v>
          </cell>
        </row>
        <row r="659">
          <cell r="B659" t="str">
            <v>MS-Powder Coated Butt hinges (IS:205)- 100 mm Long</v>
          </cell>
        </row>
        <row r="660">
          <cell r="B660" t="str">
            <v>MS-Powder Coated Butt hinges (IS:205)- 125 mm Long</v>
          </cell>
        </row>
        <row r="661">
          <cell r="B661" t="str">
            <v>MS-Powder Coated Butt hinges (IS:205)- 150 mm Long</v>
          </cell>
        </row>
        <row r="669">
          <cell r="B669" t="str">
            <v>Brass Aldrop (IS:2681) 300 mm long</v>
          </cell>
        </row>
        <row r="670">
          <cell r="B670" t="str">
            <v>Brass Aldrop (IS:2681) 350 mm long</v>
          </cell>
        </row>
        <row r="671">
          <cell r="B671" t="str">
            <v>Brass Aldrop (IS:2681) 450 mm long</v>
          </cell>
        </row>
        <row r="672">
          <cell r="B672" t="str">
            <v>Aluminium Aldrop (IS:2681) 200 mm long</v>
          </cell>
        </row>
        <row r="673">
          <cell r="B673" t="str">
            <v>Aluminium Aldrop (IS:2681) 250 mm long</v>
          </cell>
        </row>
        <row r="674">
          <cell r="B674" t="str">
            <v>Aluminium Aldrop (IS:2681) 300 mm long</v>
          </cell>
        </row>
        <row r="675">
          <cell r="B675" t="str">
            <v>MS-Powder Coated Aldrop (IS:2681) 200 mm long</v>
          </cell>
        </row>
        <row r="676">
          <cell r="B676" t="str">
            <v>MS-Powder Coated Aldrop (IS:2681) 250 mm long</v>
          </cell>
        </row>
        <row r="677">
          <cell r="B677" t="str">
            <v>MS-Powder Coated Aldrop (IS:2681) 300 mm long</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5">
          <cell r="A5" t="str">
            <v>20PVC4KG</v>
          </cell>
        </row>
        <row r="6">
          <cell r="A6" t="str">
            <v>25PVC4KG</v>
          </cell>
        </row>
        <row r="7">
          <cell r="A7" t="str">
            <v>32PVC4KG</v>
          </cell>
        </row>
        <row r="8">
          <cell r="A8" t="str">
            <v>40PVC4KG</v>
          </cell>
        </row>
        <row r="9">
          <cell r="A9" t="str">
            <v>50PVC4KG</v>
          </cell>
        </row>
        <row r="10">
          <cell r="A10" t="str">
            <v>63PVC4KG</v>
          </cell>
        </row>
        <row r="11">
          <cell r="A11" t="str">
            <v>75PVC4KG</v>
          </cell>
        </row>
        <row r="12">
          <cell r="A12" t="str">
            <v>90PVC4KG</v>
          </cell>
        </row>
        <row r="13">
          <cell r="A13" t="str">
            <v>110PVC4KG</v>
          </cell>
        </row>
        <row r="14">
          <cell r="A14" t="str">
            <v>125PVC4KG</v>
          </cell>
        </row>
        <row r="15">
          <cell r="A15" t="str">
            <v>140PVC4KG</v>
          </cell>
        </row>
        <row r="16">
          <cell r="A16" t="str">
            <v>160PVC4KG</v>
          </cell>
        </row>
        <row r="17">
          <cell r="A17" t="str">
            <v>180PVC4KG</v>
          </cell>
        </row>
        <row r="18">
          <cell r="A18" t="str">
            <v>200PVC4KG</v>
          </cell>
        </row>
        <row r="19">
          <cell r="A19" t="str">
            <v>225PVC4KG</v>
          </cell>
        </row>
        <row r="20">
          <cell r="A20" t="str">
            <v>250PVC4KG</v>
          </cell>
        </row>
        <row r="21">
          <cell r="A21" t="str">
            <v>280PVC4KG</v>
          </cell>
        </row>
        <row r="22">
          <cell r="A22" t="str">
            <v>315PVC4KG</v>
          </cell>
        </row>
        <row r="24">
          <cell r="A24" t="str">
            <v>20PVC6KG</v>
          </cell>
        </row>
        <row r="25">
          <cell r="A25" t="str">
            <v>25PVC6KG</v>
          </cell>
        </row>
        <row r="26">
          <cell r="A26" t="str">
            <v>32PVC6KG</v>
          </cell>
        </row>
        <row r="27">
          <cell r="A27" t="str">
            <v>40PVC6KG</v>
          </cell>
        </row>
        <row r="28">
          <cell r="A28" t="str">
            <v>50PVC6KG</v>
          </cell>
        </row>
        <row r="29">
          <cell r="A29" t="str">
            <v>63PVC6KG</v>
          </cell>
        </row>
        <row r="30">
          <cell r="A30" t="str">
            <v>75PVC6KG</v>
          </cell>
        </row>
        <row r="31">
          <cell r="A31" t="str">
            <v>90PVC6KG</v>
          </cell>
        </row>
        <row r="32">
          <cell r="A32" t="str">
            <v>110PVC6KG</v>
          </cell>
        </row>
        <row r="33">
          <cell r="A33" t="str">
            <v>125PVC6KG</v>
          </cell>
        </row>
        <row r="34">
          <cell r="A34" t="str">
            <v>140PVC6KG</v>
          </cell>
        </row>
        <row r="35">
          <cell r="A35" t="str">
            <v>160PVC6KG</v>
          </cell>
        </row>
        <row r="36">
          <cell r="A36" t="str">
            <v>180PVC6KG</v>
          </cell>
        </row>
        <row r="37">
          <cell r="A37" t="str">
            <v>200PVC6KG</v>
          </cell>
        </row>
        <row r="38">
          <cell r="A38" t="str">
            <v>225PVC6KG</v>
          </cell>
        </row>
        <row r="39">
          <cell r="A39" t="str">
            <v>250PVC6KG</v>
          </cell>
        </row>
        <row r="40">
          <cell r="A40" t="str">
            <v>280PVC6KG</v>
          </cell>
        </row>
        <row r="41">
          <cell r="A41" t="str">
            <v>315PVC6KG</v>
          </cell>
        </row>
        <row r="43">
          <cell r="A43" t="str">
            <v>20PVC10KG</v>
          </cell>
        </row>
        <row r="44">
          <cell r="A44" t="str">
            <v>25PVC10KG</v>
          </cell>
        </row>
        <row r="45">
          <cell r="A45" t="str">
            <v>32PVC10KG</v>
          </cell>
        </row>
        <row r="46">
          <cell r="A46" t="str">
            <v>40PVC10KG</v>
          </cell>
        </row>
        <row r="47">
          <cell r="A47" t="str">
            <v>50PVC10KG</v>
          </cell>
        </row>
        <row r="48">
          <cell r="A48" t="str">
            <v>63PVC10KG</v>
          </cell>
        </row>
        <row r="49">
          <cell r="A49" t="str">
            <v>75PVC10KG</v>
          </cell>
        </row>
        <row r="50">
          <cell r="A50" t="str">
            <v>90PVC10KG</v>
          </cell>
        </row>
        <row r="51">
          <cell r="A51" t="str">
            <v>110PVC10KG</v>
          </cell>
        </row>
        <row r="52">
          <cell r="A52" t="str">
            <v>125PVC10KG</v>
          </cell>
        </row>
        <row r="53">
          <cell r="A53" t="str">
            <v>140PVC10KG</v>
          </cell>
        </row>
        <row r="54">
          <cell r="A54" t="str">
            <v>160PVC10KG</v>
          </cell>
        </row>
        <row r="55">
          <cell r="A55" t="str">
            <v>180PVC10KG</v>
          </cell>
        </row>
        <row r="56">
          <cell r="A56" t="str">
            <v>200PVC10KG</v>
          </cell>
        </row>
        <row r="57">
          <cell r="A57" t="str">
            <v>225PVC10KG</v>
          </cell>
        </row>
        <row r="58">
          <cell r="A58" t="str">
            <v>250PVC10KG</v>
          </cell>
        </row>
        <row r="59">
          <cell r="A59" t="str">
            <v>280PVC10KG</v>
          </cell>
        </row>
        <row r="60">
          <cell r="A60" t="str">
            <v>315PVC10KG</v>
          </cell>
        </row>
        <row r="62">
          <cell r="A62" t="str">
            <v>20HDPE4KG</v>
          </cell>
        </row>
        <row r="63">
          <cell r="A63" t="str">
            <v>25HDPE4KG</v>
          </cell>
        </row>
        <row r="64">
          <cell r="A64" t="str">
            <v>32HDPE4KG</v>
          </cell>
        </row>
        <row r="65">
          <cell r="A65" t="str">
            <v>40HDPE4KG</v>
          </cell>
        </row>
        <row r="66">
          <cell r="A66" t="str">
            <v>50HDPE4KG</v>
          </cell>
        </row>
        <row r="67">
          <cell r="A67" t="str">
            <v>63HDPE4KG</v>
          </cell>
        </row>
        <row r="68">
          <cell r="A68" t="str">
            <v>75HDPE4KG</v>
          </cell>
        </row>
        <row r="69">
          <cell r="A69" t="str">
            <v>90HDPE4KG</v>
          </cell>
        </row>
        <row r="70">
          <cell r="A70" t="str">
            <v>110HDPE4KG</v>
          </cell>
        </row>
        <row r="71">
          <cell r="A71" t="str">
            <v>125HDPE4KG</v>
          </cell>
        </row>
        <row r="72">
          <cell r="A72" t="str">
            <v>140HDPE4KG</v>
          </cell>
        </row>
        <row r="73">
          <cell r="A73" t="str">
            <v>160HDPE4KG</v>
          </cell>
        </row>
        <row r="74">
          <cell r="A74" t="str">
            <v>180HDPE4KG</v>
          </cell>
        </row>
        <row r="75">
          <cell r="A75" t="str">
            <v>200HDPE4KG</v>
          </cell>
        </row>
        <row r="76">
          <cell r="A76" t="str">
            <v>225HDPE4KG</v>
          </cell>
        </row>
        <row r="77">
          <cell r="A77" t="str">
            <v>250HDPE4KG</v>
          </cell>
        </row>
        <row r="78">
          <cell r="A78" t="str">
            <v>280HDPE4KG</v>
          </cell>
        </row>
        <row r="79">
          <cell r="A79" t="str">
            <v>315HDPE4KG</v>
          </cell>
        </row>
        <row r="80">
          <cell r="A80" t="str">
            <v>355HDPE4KG</v>
          </cell>
        </row>
        <row r="81">
          <cell r="A81" t="str">
            <v>400HDPE4KG</v>
          </cell>
        </row>
        <row r="82">
          <cell r="A82" t="str">
            <v>450HDPE4KG</v>
          </cell>
        </row>
        <row r="83">
          <cell r="A83" t="str">
            <v>500HDPE4KG</v>
          </cell>
        </row>
        <row r="84">
          <cell r="A84" t="str">
            <v>560HDPE4KG</v>
          </cell>
        </row>
        <row r="85">
          <cell r="A85" t="str">
            <v>630HDPE4KG</v>
          </cell>
        </row>
        <row r="86">
          <cell r="A86" t="str">
            <v>710HDPE4KG</v>
          </cell>
        </row>
        <row r="87">
          <cell r="A87" t="str">
            <v>800HDPE4KG</v>
          </cell>
        </row>
        <row r="88">
          <cell r="A88" t="str">
            <v>900HDPE4KG</v>
          </cell>
        </row>
        <row r="89">
          <cell r="A89" t="str">
            <v>1000HDPE4KG</v>
          </cell>
        </row>
        <row r="91">
          <cell r="A91" t="str">
            <v>20HDPE6KG</v>
          </cell>
        </row>
        <row r="92">
          <cell r="A92" t="str">
            <v>25HDPE6KG</v>
          </cell>
        </row>
        <row r="93">
          <cell r="A93" t="str">
            <v>32HDPE6KG</v>
          </cell>
        </row>
        <row r="94">
          <cell r="A94" t="str">
            <v>40HDPE6KG</v>
          </cell>
        </row>
        <row r="95">
          <cell r="A95" t="str">
            <v>50HDPE6KG</v>
          </cell>
        </row>
        <row r="96">
          <cell r="A96" t="str">
            <v>63HDPE6KG</v>
          </cell>
        </row>
        <row r="97">
          <cell r="A97" t="str">
            <v>75HDPE6KG</v>
          </cell>
        </row>
        <row r="98">
          <cell r="A98" t="str">
            <v>90HDPE6KG</v>
          </cell>
        </row>
        <row r="99">
          <cell r="A99" t="str">
            <v>110HDPE6KG</v>
          </cell>
        </row>
        <row r="100">
          <cell r="A100" t="str">
            <v>125HDPE6KG</v>
          </cell>
        </row>
        <row r="101">
          <cell r="A101" t="str">
            <v>140HDPE6KG</v>
          </cell>
        </row>
        <row r="102">
          <cell r="A102" t="str">
            <v>160HDPE6KG</v>
          </cell>
        </row>
        <row r="103">
          <cell r="A103" t="str">
            <v>180HDPE6KG</v>
          </cell>
        </row>
        <row r="104">
          <cell r="A104" t="str">
            <v>200HDPE6KG</v>
          </cell>
        </row>
        <row r="105">
          <cell r="A105" t="str">
            <v>225HDPE6KG</v>
          </cell>
        </row>
        <row r="106">
          <cell r="A106" t="str">
            <v>250HDPE6KG</v>
          </cell>
        </row>
        <row r="107">
          <cell r="A107" t="str">
            <v>280HDPE6KG</v>
          </cell>
        </row>
        <row r="108">
          <cell r="A108" t="str">
            <v>315HDPE6KG</v>
          </cell>
        </row>
        <row r="109">
          <cell r="A109" t="str">
            <v>355HDPE6KG</v>
          </cell>
        </row>
        <row r="110">
          <cell r="A110" t="str">
            <v>400HDPE6KG</v>
          </cell>
        </row>
        <row r="111">
          <cell r="A111" t="str">
            <v>450HDPE6KG</v>
          </cell>
        </row>
        <row r="112">
          <cell r="A112" t="str">
            <v>500HDPE6KG</v>
          </cell>
        </row>
        <row r="113">
          <cell r="A113" t="str">
            <v>560HDPE6KG</v>
          </cell>
        </row>
        <row r="114">
          <cell r="A114" t="str">
            <v>630HDPE6KG</v>
          </cell>
        </row>
        <row r="115">
          <cell r="A115" t="str">
            <v>710HDPE6KG</v>
          </cell>
        </row>
        <row r="116">
          <cell r="A116" t="str">
            <v>800HDPE6KG</v>
          </cell>
        </row>
        <row r="117">
          <cell r="A117" t="str">
            <v>900HDPE6KG</v>
          </cell>
        </row>
        <row r="118">
          <cell r="A118" t="str">
            <v>1000HDPE6KG</v>
          </cell>
        </row>
        <row r="120">
          <cell r="A120" t="str">
            <v>20HDPE8KG</v>
          </cell>
        </row>
        <row r="121">
          <cell r="A121" t="str">
            <v>25HDPE8KG</v>
          </cell>
        </row>
        <row r="122">
          <cell r="A122" t="str">
            <v>32HDPE8KG</v>
          </cell>
        </row>
        <row r="123">
          <cell r="A123" t="str">
            <v>40HDPE8KG</v>
          </cell>
        </row>
        <row r="124">
          <cell r="A124" t="str">
            <v>50HDPE8KG</v>
          </cell>
        </row>
        <row r="125">
          <cell r="A125" t="str">
            <v>63HDPE8KG</v>
          </cell>
        </row>
        <row r="126">
          <cell r="A126" t="str">
            <v>75HDPE8KG</v>
          </cell>
        </row>
        <row r="127">
          <cell r="A127" t="str">
            <v>90HDPE8KG</v>
          </cell>
        </row>
        <row r="128">
          <cell r="A128" t="str">
            <v>110HDPE8KG</v>
          </cell>
        </row>
        <row r="129">
          <cell r="A129" t="str">
            <v>125HDPE8KG</v>
          </cell>
        </row>
        <row r="130">
          <cell r="A130" t="str">
            <v>140HDPE8KG</v>
          </cell>
        </row>
        <row r="131">
          <cell r="A131" t="str">
            <v>160HDPE8KG</v>
          </cell>
        </row>
        <row r="132">
          <cell r="A132" t="str">
            <v>180HDPE8KG</v>
          </cell>
        </row>
        <row r="133">
          <cell r="A133" t="str">
            <v>200HDPE8KG</v>
          </cell>
        </row>
        <row r="134">
          <cell r="A134" t="str">
            <v>225HDPE8KG</v>
          </cell>
        </row>
        <row r="135">
          <cell r="A135" t="str">
            <v>250HDPE8KG</v>
          </cell>
        </row>
        <row r="136">
          <cell r="A136" t="str">
            <v>280HDPE8KG</v>
          </cell>
        </row>
        <row r="137">
          <cell r="A137" t="str">
            <v>315HDPE8KG</v>
          </cell>
        </row>
        <row r="138">
          <cell r="A138" t="str">
            <v>355HDPE8KG</v>
          </cell>
        </row>
        <row r="139">
          <cell r="A139" t="str">
            <v>400HDPE8KG</v>
          </cell>
        </row>
        <row r="140">
          <cell r="A140" t="str">
            <v>450HDPE8KG</v>
          </cell>
        </row>
        <row r="141">
          <cell r="A141" t="str">
            <v>500HDPE8KG</v>
          </cell>
        </row>
        <row r="142">
          <cell r="A142" t="str">
            <v>560HDPE8KG</v>
          </cell>
        </row>
        <row r="143">
          <cell r="A143" t="str">
            <v>630HDPE8KG</v>
          </cell>
        </row>
        <row r="144">
          <cell r="A144" t="str">
            <v>710HDPE8KG</v>
          </cell>
        </row>
        <row r="145">
          <cell r="A145" t="str">
            <v>800HDPE8KG</v>
          </cell>
        </row>
        <row r="146">
          <cell r="A146" t="str">
            <v>900HDPE8KG</v>
          </cell>
        </row>
        <row r="148">
          <cell r="A148" t="str">
            <v>20HDPE10KG</v>
          </cell>
        </row>
        <row r="149">
          <cell r="A149" t="str">
            <v>25HDPE10KG</v>
          </cell>
        </row>
        <row r="150">
          <cell r="A150" t="str">
            <v>32HDPE10KG</v>
          </cell>
        </row>
        <row r="151">
          <cell r="A151" t="str">
            <v>40HDPE10KG</v>
          </cell>
        </row>
        <row r="152">
          <cell r="A152" t="str">
            <v>50HDPE10KG</v>
          </cell>
        </row>
        <row r="153">
          <cell r="A153" t="str">
            <v>63HDPE10KG</v>
          </cell>
        </row>
        <row r="154">
          <cell r="A154" t="str">
            <v>75HDPE10KG</v>
          </cell>
        </row>
        <row r="155">
          <cell r="A155" t="str">
            <v>90HDPE10KG</v>
          </cell>
        </row>
        <row r="156">
          <cell r="A156" t="str">
            <v>110HDPE10KG</v>
          </cell>
        </row>
        <row r="157">
          <cell r="A157" t="str">
            <v>125HDPE10KG</v>
          </cell>
        </row>
        <row r="158">
          <cell r="A158" t="str">
            <v>140HDPE10KG</v>
          </cell>
        </row>
        <row r="159">
          <cell r="A159" t="str">
            <v>160HDPE10KG</v>
          </cell>
        </row>
        <row r="160">
          <cell r="A160" t="str">
            <v>180HDPE10KG</v>
          </cell>
        </row>
        <row r="161">
          <cell r="A161" t="str">
            <v>200HDPE10KG</v>
          </cell>
        </row>
        <row r="162">
          <cell r="A162" t="str">
            <v>225HDPE10KG</v>
          </cell>
        </row>
        <row r="163">
          <cell r="A163" t="str">
            <v>250HDPE10KG</v>
          </cell>
        </row>
        <row r="164">
          <cell r="A164" t="str">
            <v>280HDPE10KG</v>
          </cell>
        </row>
        <row r="165">
          <cell r="A165" t="str">
            <v>315HDPE10KG</v>
          </cell>
        </row>
        <row r="166">
          <cell r="A166" t="str">
            <v>355HDPE10KG</v>
          </cell>
        </row>
        <row r="167">
          <cell r="A167" t="str">
            <v>400HDPE10KG</v>
          </cell>
        </row>
        <row r="168">
          <cell r="A168" t="str">
            <v>450HDPE10KG</v>
          </cell>
        </row>
        <row r="169">
          <cell r="A169" t="str">
            <v>500HDPE10KG</v>
          </cell>
        </row>
        <row r="170">
          <cell r="A170" t="str">
            <v>560HDPE10KG</v>
          </cell>
        </row>
        <row r="171">
          <cell r="A171" t="str">
            <v>630HDPE10KG</v>
          </cell>
        </row>
        <row r="172">
          <cell r="A172" t="str">
            <v>710HDPE10KG</v>
          </cell>
        </row>
        <row r="173">
          <cell r="A173" t="str">
            <v>800HDPE10KG</v>
          </cell>
        </row>
        <row r="175">
          <cell r="A175" t="str">
            <v>20HDPE12.50KG</v>
          </cell>
        </row>
        <row r="176">
          <cell r="A176" t="str">
            <v>25HDPE12.50KG</v>
          </cell>
        </row>
        <row r="177">
          <cell r="A177" t="str">
            <v>32HDPE12.50KG</v>
          </cell>
        </row>
        <row r="178">
          <cell r="A178" t="str">
            <v>40HDPE12.50KG</v>
          </cell>
        </row>
        <row r="179">
          <cell r="A179" t="str">
            <v>50HDPE12.50KG</v>
          </cell>
        </row>
        <row r="180">
          <cell r="A180" t="str">
            <v>63HDPE12.50KG</v>
          </cell>
        </row>
        <row r="181">
          <cell r="A181" t="str">
            <v>75HDPE12.50KG</v>
          </cell>
        </row>
        <row r="182">
          <cell r="A182" t="str">
            <v>90HDPE12.50KG</v>
          </cell>
        </row>
        <row r="183">
          <cell r="A183" t="str">
            <v>110HDPE12.50KG</v>
          </cell>
        </row>
        <row r="184">
          <cell r="A184" t="str">
            <v>125HDPE12.50KG</v>
          </cell>
        </row>
        <row r="185">
          <cell r="A185" t="str">
            <v>140HDPE12.50KG</v>
          </cell>
        </row>
        <row r="186">
          <cell r="A186" t="str">
            <v>160HDPE12.50KG</v>
          </cell>
        </row>
        <row r="187">
          <cell r="A187" t="str">
            <v>180HDPE12.50KG</v>
          </cell>
        </row>
        <row r="188">
          <cell r="A188" t="str">
            <v>200HDPE12.50KG</v>
          </cell>
        </row>
        <row r="189">
          <cell r="A189" t="str">
            <v>225HDPE12.50KG</v>
          </cell>
        </row>
        <row r="190">
          <cell r="A190" t="str">
            <v>250HDPE12.50KG</v>
          </cell>
        </row>
        <row r="191">
          <cell r="A191" t="str">
            <v>280HDPE12.50KG</v>
          </cell>
        </row>
        <row r="192">
          <cell r="A192" t="str">
            <v>315HDPE12.50KG</v>
          </cell>
        </row>
        <row r="193">
          <cell r="A193" t="str">
            <v>355HDPE12.50KG</v>
          </cell>
        </row>
        <row r="194">
          <cell r="A194" t="str">
            <v>400HDPE12.50KG</v>
          </cell>
        </row>
        <row r="195">
          <cell r="A195" t="str">
            <v>450HDPE12.50KG</v>
          </cell>
        </row>
        <row r="196">
          <cell r="A196" t="str">
            <v>500HDPE12.50KG</v>
          </cell>
        </row>
        <row r="197">
          <cell r="A197" t="str">
            <v>560HDPE12.50KG</v>
          </cell>
        </row>
        <row r="198">
          <cell r="A198" t="str">
            <v>630HDPE12.50KG</v>
          </cell>
        </row>
        <row r="200">
          <cell r="A200" t="str">
            <v>20HDPE16KG</v>
          </cell>
        </row>
        <row r="201">
          <cell r="A201" t="str">
            <v>25HDPE16KG</v>
          </cell>
        </row>
        <row r="202">
          <cell r="A202" t="str">
            <v>32HDPE16KG</v>
          </cell>
        </row>
        <row r="203">
          <cell r="A203" t="str">
            <v>40HDPE16KG</v>
          </cell>
        </row>
        <row r="204">
          <cell r="A204" t="str">
            <v>50HDPE16KG</v>
          </cell>
        </row>
        <row r="205">
          <cell r="A205" t="str">
            <v>63HDPE16KG</v>
          </cell>
        </row>
        <row r="206">
          <cell r="A206" t="str">
            <v>75HDPE16KG</v>
          </cell>
        </row>
        <row r="207">
          <cell r="A207" t="str">
            <v>90HDPE16KG</v>
          </cell>
        </row>
        <row r="208">
          <cell r="A208" t="str">
            <v>110HDPE16KG</v>
          </cell>
        </row>
        <row r="209">
          <cell r="A209" t="str">
            <v>125HDPE16KG</v>
          </cell>
        </row>
        <row r="210">
          <cell r="A210" t="str">
            <v>140HDPE16KG</v>
          </cell>
        </row>
        <row r="211">
          <cell r="A211" t="str">
            <v>160HDPE16KG</v>
          </cell>
        </row>
        <row r="212">
          <cell r="A212" t="str">
            <v>180HDPE16KG</v>
          </cell>
        </row>
        <row r="213">
          <cell r="A213" t="str">
            <v>200HDPE16KG</v>
          </cell>
        </row>
        <row r="214">
          <cell r="A214" t="str">
            <v>225HDPE16KG</v>
          </cell>
        </row>
        <row r="215">
          <cell r="A215" t="str">
            <v>250HDPE16KG</v>
          </cell>
        </row>
        <row r="216">
          <cell r="A216" t="str">
            <v>280HDPE16KG</v>
          </cell>
        </row>
        <row r="217">
          <cell r="A217" t="str">
            <v>315HDPE16KG</v>
          </cell>
        </row>
        <row r="218">
          <cell r="A218" t="str">
            <v>355HDPE16KG</v>
          </cell>
        </row>
        <row r="219">
          <cell r="A219" t="str">
            <v>400HDPE16KG</v>
          </cell>
        </row>
        <row r="220">
          <cell r="A220" t="str">
            <v>450HDPE16KG</v>
          </cell>
        </row>
        <row r="221">
          <cell r="A221" t="str">
            <v>500HDPE16KG</v>
          </cell>
        </row>
        <row r="223">
          <cell r="A223" t="str">
            <v>80ACCL10</v>
          </cell>
        </row>
        <row r="224">
          <cell r="A224" t="str">
            <v>100ACCL10</v>
          </cell>
        </row>
        <row r="225">
          <cell r="A225" t="str">
            <v>125ACCL10</v>
          </cell>
        </row>
        <row r="226">
          <cell r="A226" t="str">
            <v>150ACCL10</v>
          </cell>
        </row>
        <row r="227">
          <cell r="A227" t="str">
            <v>200ACCL10</v>
          </cell>
        </row>
        <row r="228">
          <cell r="A228" t="str">
            <v>250ACCL10</v>
          </cell>
        </row>
        <row r="229">
          <cell r="A229" t="str">
            <v>300ACCL10</v>
          </cell>
        </row>
        <row r="230">
          <cell r="A230" t="str">
            <v>350ACCL10</v>
          </cell>
        </row>
        <row r="231">
          <cell r="A231" t="str">
            <v>400ACCL10</v>
          </cell>
        </row>
        <row r="232">
          <cell r="A232" t="str">
            <v>450ACCL10</v>
          </cell>
        </row>
        <row r="233">
          <cell r="A233" t="str">
            <v>500ACCL10</v>
          </cell>
        </row>
        <row r="234">
          <cell r="A234" t="str">
            <v>600ACCL10</v>
          </cell>
        </row>
        <row r="235">
          <cell r="A235" t="str">
            <v>700ACCL10</v>
          </cell>
        </row>
        <row r="237">
          <cell r="A237" t="str">
            <v>80ACCL15</v>
          </cell>
        </row>
        <row r="238">
          <cell r="A238" t="str">
            <v>100ACCL15</v>
          </cell>
        </row>
        <row r="239">
          <cell r="A239" t="str">
            <v>125ACCL15</v>
          </cell>
        </row>
        <row r="240">
          <cell r="A240" t="str">
            <v>150ACCL15</v>
          </cell>
        </row>
        <row r="241">
          <cell r="A241" t="str">
            <v>200ACCL15</v>
          </cell>
        </row>
        <row r="242">
          <cell r="A242" t="str">
            <v>250ACCL15</v>
          </cell>
        </row>
        <row r="243">
          <cell r="A243" t="str">
            <v>300ACCL15</v>
          </cell>
        </row>
        <row r="244">
          <cell r="A244" t="str">
            <v>350ACCL15</v>
          </cell>
        </row>
        <row r="245">
          <cell r="A245" t="str">
            <v>400ACCL15</v>
          </cell>
        </row>
        <row r="246">
          <cell r="A246" t="str">
            <v>450ACCL15</v>
          </cell>
        </row>
        <row r="247">
          <cell r="A247" t="str">
            <v>500ACCL15</v>
          </cell>
        </row>
        <row r="248">
          <cell r="A248" t="str">
            <v>600ACCL15</v>
          </cell>
        </row>
        <row r="249">
          <cell r="A249" t="str">
            <v>700ACCL15</v>
          </cell>
        </row>
        <row r="251">
          <cell r="A251" t="str">
            <v>80ACCL20</v>
          </cell>
        </row>
        <row r="252">
          <cell r="A252" t="str">
            <v>100ACCL20</v>
          </cell>
        </row>
        <row r="253">
          <cell r="A253" t="str">
            <v>125ACCL20</v>
          </cell>
        </row>
        <row r="254">
          <cell r="A254" t="str">
            <v>150ACCL20</v>
          </cell>
        </row>
        <row r="255">
          <cell r="A255" t="str">
            <v>200ACCL20</v>
          </cell>
        </row>
        <row r="256">
          <cell r="A256" t="str">
            <v>250ACCL20</v>
          </cell>
        </row>
        <row r="257">
          <cell r="A257" t="str">
            <v>300ACCL20</v>
          </cell>
        </row>
        <row r="258">
          <cell r="A258" t="str">
            <v>350ACCL20</v>
          </cell>
        </row>
        <row r="259">
          <cell r="A259" t="str">
            <v>400ACCL20</v>
          </cell>
        </row>
        <row r="260">
          <cell r="A260" t="str">
            <v>450ACCL20</v>
          </cell>
        </row>
        <row r="261">
          <cell r="A261" t="str">
            <v>500ACCL20</v>
          </cell>
        </row>
        <row r="262">
          <cell r="A262" t="str">
            <v>600ACCL20</v>
          </cell>
        </row>
        <row r="263">
          <cell r="A263" t="str">
            <v>700ACCL20</v>
          </cell>
        </row>
        <row r="265">
          <cell r="A265" t="str">
            <v>80ACCL25</v>
          </cell>
        </row>
        <row r="266">
          <cell r="A266" t="str">
            <v>100ACCL25</v>
          </cell>
        </row>
        <row r="267">
          <cell r="A267" t="str">
            <v>125ACCL25</v>
          </cell>
        </row>
        <row r="268">
          <cell r="A268" t="str">
            <v>150ACCL25</v>
          </cell>
        </row>
        <row r="269">
          <cell r="A269" t="str">
            <v>200ACCL25</v>
          </cell>
        </row>
        <row r="270">
          <cell r="A270" t="str">
            <v>250ACCL25</v>
          </cell>
        </row>
        <row r="271">
          <cell r="A271" t="str">
            <v>300ACCL25</v>
          </cell>
        </row>
        <row r="272">
          <cell r="A272" t="str">
            <v>350ACCL25</v>
          </cell>
        </row>
        <row r="273">
          <cell r="A273" t="str">
            <v>400ACCL25</v>
          </cell>
        </row>
        <row r="274">
          <cell r="A274" t="str">
            <v>450ACCL25</v>
          </cell>
        </row>
        <row r="275">
          <cell r="A275" t="str">
            <v>500ACCL25</v>
          </cell>
        </row>
        <row r="276">
          <cell r="A276" t="str">
            <v>600ACCL25</v>
          </cell>
        </row>
        <row r="277">
          <cell r="A277" t="str">
            <v>700ACCL25</v>
          </cell>
        </row>
        <row r="279">
          <cell r="A279" t="str">
            <v>80CILA</v>
          </cell>
        </row>
        <row r="280">
          <cell r="A280" t="str">
            <v>100CILA</v>
          </cell>
        </row>
        <row r="281">
          <cell r="A281" t="str">
            <v>125CILA</v>
          </cell>
        </row>
        <row r="282">
          <cell r="A282" t="str">
            <v>150CILA</v>
          </cell>
        </row>
        <row r="283">
          <cell r="A283" t="str">
            <v>200CILA</v>
          </cell>
        </row>
        <row r="284">
          <cell r="A284" t="str">
            <v>250CILA</v>
          </cell>
        </row>
        <row r="285">
          <cell r="A285" t="str">
            <v>300CILA</v>
          </cell>
        </row>
        <row r="286">
          <cell r="A286" t="str">
            <v>350CILA</v>
          </cell>
        </row>
        <row r="287">
          <cell r="A287" t="str">
            <v>400CILA</v>
          </cell>
        </row>
        <row r="288">
          <cell r="A288" t="str">
            <v>450CILA</v>
          </cell>
        </row>
        <row r="289">
          <cell r="A289" t="str">
            <v>500CILA</v>
          </cell>
        </row>
        <row r="290">
          <cell r="A290" t="str">
            <v>600CILA</v>
          </cell>
        </row>
        <row r="291">
          <cell r="A291" t="str">
            <v>700CILA</v>
          </cell>
        </row>
        <row r="292">
          <cell r="A292" t="str">
            <v>750CILA</v>
          </cell>
        </row>
        <row r="293">
          <cell r="A293" t="str">
            <v>800CILA</v>
          </cell>
        </row>
        <row r="294">
          <cell r="A294" t="str">
            <v>900CILA</v>
          </cell>
        </row>
        <row r="295">
          <cell r="A295" t="str">
            <v>1000CILA</v>
          </cell>
        </row>
        <row r="297">
          <cell r="A297" t="str">
            <v>80CI A</v>
          </cell>
        </row>
        <row r="298">
          <cell r="A298" t="str">
            <v>100CI A</v>
          </cell>
        </row>
        <row r="299">
          <cell r="A299" t="str">
            <v>125CI A</v>
          </cell>
        </row>
        <row r="300">
          <cell r="A300" t="str">
            <v>150CI A</v>
          </cell>
        </row>
        <row r="301">
          <cell r="A301" t="str">
            <v>200CI A</v>
          </cell>
        </row>
        <row r="302">
          <cell r="A302" t="str">
            <v>250CI A</v>
          </cell>
        </row>
        <row r="303">
          <cell r="A303" t="str">
            <v>300CI A</v>
          </cell>
        </row>
        <row r="304">
          <cell r="A304" t="str">
            <v>350CI A</v>
          </cell>
        </row>
        <row r="305">
          <cell r="A305" t="str">
            <v>400CI A</v>
          </cell>
        </row>
        <row r="306">
          <cell r="A306" t="str">
            <v>450CI A</v>
          </cell>
        </row>
        <row r="307">
          <cell r="A307" t="str">
            <v>500CI A</v>
          </cell>
        </row>
        <row r="308">
          <cell r="A308" t="str">
            <v>600CI A</v>
          </cell>
        </row>
        <row r="309">
          <cell r="A309" t="str">
            <v>700CI A</v>
          </cell>
        </row>
        <row r="310">
          <cell r="A310" t="str">
            <v>750CI A</v>
          </cell>
        </row>
        <row r="311">
          <cell r="A311" t="str">
            <v>800CI A</v>
          </cell>
        </row>
        <row r="312">
          <cell r="A312" t="str">
            <v>900CI A</v>
          </cell>
        </row>
        <row r="313">
          <cell r="A313" t="str">
            <v>1000CI A</v>
          </cell>
        </row>
        <row r="315">
          <cell r="A315" t="str">
            <v>80CI B</v>
          </cell>
        </row>
        <row r="316">
          <cell r="A316" t="str">
            <v>100CI B</v>
          </cell>
        </row>
        <row r="317">
          <cell r="A317" t="str">
            <v>125CI B</v>
          </cell>
        </row>
        <row r="318">
          <cell r="A318" t="str">
            <v>150CI B</v>
          </cell>
        </row>
        <row r="319">
          <cell r="A319" t="str">
            <v>200CI B</v>
          </cell>
        </row>
        <row r="320">
          <cell r="A320" t="str">
            <v>250CI B</v>
          </cell>
        </row>
        <row r="321">
          <cell r="A321" t="str">
            <v>300CI B</v>
          </cell>
        </row>
        <row r="322">
          <cell r="A322" t="str">
            <v>350CI B</v>
          </cell>
        </row>
        <row r="323">
          <cell r="A323" t="str">
            <v>400CI B</v>
          </cell>
        </row>
        <row r="324">
          <cell r="A324" t="str">
            <v>450CI B</v>
          </cell>
        </row>
        <row r="325">
          <cell r="A325" t="str">
            <v>500CI B</v>
          </cell>
        </row>
        <row r="326">
          <cell r="A326" t="str">
            <v>600CI B</v>
          </cell>
        </row>
        <row r="327">
          <cell r="A327" t="str">
            <v>700CI B</v>
          </cell>
        </row>
        <row r="328">
          <cell r="A328" t="str">
            <v>750CI B</v>
          </cell>
        </row>
        <row r="329">
          <cell r="A329" t="str">
            <v>800CI B</v>
          </cell>
        </row>
        <row r="330">
          <cell r="A330" t="str">
            <v>900CI B</v>
          </cell>
        </row>
        <row r="331">
          <cell r="A331" t="str">
            <v>1000CI B</v>
          </cell>
        </row>
        <row r="333">
          <cell r="A333" t="str">
            <v>80CI</v>
          </cell>
        </row>
        <row r="334">
          <cell r="A334" t="str">
            <v>100CI</v>
          </cell>
        </row>
        <row r="335">
          <cell r="A335" t="str">
            <v>125CI</v>
          </cell>
        </row>
        <row r="336">
          <cell r="A336" t="str">
            <v>150CI</v>
          </cell>
        </row>
        <row r="337">
          <cell r="A337" t="str">
            <v>200CI</v>
          </cell>
        </row>
        <row r="338">
          <cell r="A338" t="str">
            <v>250CI</v>
          </cell>
        </row>
        <row r="339">
          <cell r="A339" t="str">
            <v>300CI</v>
          </cell>
        </row>
        <row r="340">
          <cell r="A340" t="str">
            <v>350CI</v>
          </cell>
        </row>
        <row r="341">
          <cell r="A341" t="str">
            <v>400CI</v>
          </cell>
        </row>
        <row r="342">
          <cell r="A342" t="str">
            <v>450CI</v>
          </cell>
        </row>
        <row r="343">
          <cell r="A343" t="str">
            <v>500CI</v>
          </cell>
        </row>
        <row r="344">
          <cell r="A344" t="str">
            <v>600CI</v>
          </cell>
        </row>
        <row r="345">
          <cell r="A345" t="str">
            <v>700CI</v>
          </cell>
        </row>
        <row r="350">
          <cell r="A350" t="str">
            <v>80DI K7</v>
          </cell>
        </row>
        <row r="351">
          <cell r="A351" t="str">
            <v>100DI K7</v>
          </cell>
        </row>
        <row r="352">
          <cell r="A352" t="str">
            <v>125DI K7</v>
          </cell>
        </row>
        <row r="353">
          <cell r="A353" t="str">
            <v>150DI K7</v>
          </cell>
        </row>
        <row r="354">
          <cell r="A354" t="str">
            <v>200DI K7</v>
          </cell>
        </row>
        <row r="355">
          <cell r="A355" t="str">
            <v>250DI K7</v>
          </cell>
        </row>
        <row r="356">
          <cell r="A356" t="str">
            <v>300DI K7</v>
          </cell>
        </row>
        <row r="357">
          <cell r="A357" t="str">
            <v>350DI K7</v>
          </cell>
        </row>
        <row r="358">
          <cell r="A358" t="str">
            <v>400DI K7</v>
          </cell>
        </row>
        <row r="359">
          <cell r="A359" t="str">
            <v>450DI K7</v>
          </cell>
        </row>
        <row r="360">
          <cell r="A360" t="str">
            <v>500DI K7</v>
          </cell>
        </row>
        <row r="361">
          <cell r="A361" t="str">
            <v>600DI K7</v>
          </cell>
        </row>
        <row r="362">
          <cell r="A362" t="str">
            <v>700DI K7</v>
          </cell>
        </row>
        <row r="363">
          <cell r="A363" t="str">
            <v>750DI K7</v>
          </cell>
        </row>
        <row r="364">
          <cell r="A364" t="str">
            <v>800DI K7</v>
          </cell>
        </row>
        <row r="365">
          <cell r="A365" t="str">
            <v>900DI K7</v>
          </cell>
        </row>
        <row r="366">
          <cell r="A366" t="str">
            <v>1000DI K7</v>
          </cell>
        </row>
        <row r="368">
          <cell r="A368" t="str">
            <v>80DI K8</v>
          </cell>
        </row>
        <row r="369">
          <cell r="A369" t="str">
            <v>100DI K8</v>
          </cell>
        </row>
        <row r="370">
          <cell r="A370" t="str">
            <v>125DI K8</v>
          </cell>
        </row>
        <row r="371">
          <cell r="A371" t="str">
            <v>150DI K8</v>
          </cell>
        </row>
        <row r="372">
          <cell r="A372" t="str">
            <v>200DI K8</v>
          </cell>
        </row>
        <row r="373">
          <cell r="A373" t="str">
            <v>250DI K8</v>
          </cell>
        </row>
        <row r="374">
          <cell r="A374" t="str">
            <v>300DI K8</v>
          </cell>
        </row>
        <row r="375">
          <cell r="A375" t="str">
            <v>350DI K8</v>
          </cell>
        </row>
        <row r="376">
          <cell r="A376" t="str">
            <v>400DI K8</v>
          </cell>
        </row>
        <row r="377">
          <cell r="A377" t="str">
            <v>450DI K8</v>
          </cell>
        </row>
        <row r="378">
          <cell r="A378" t="str">
            <v>500DI K8</v>
          </cell>
        </row>
        <row r="379">
          <cell r="A379" t="str">
            <v>600DI K8</v>
          </cell>
        </row>
        <row r="380">
          <cell r="A380" t="str">
            <v>700DI K8</v>
          </cell>
        </row>
        <row r="381">
          <cell r="A381" t="str">
            <v>750DI K8</v>
          </cell>
        </row>
        <row r="382">
          <cell r="A382" t="str">
            <v>800DI K8</v>
          </cell>
        </row>
        <row r="383">
          <cell r="A383" t="str">
            <v>900DI K8</v>
          </cell>
        </row>
        <row r="384">
          <cell r="A384" t="str">
            <v>1000DI K8</v>
          </cell>
        </row>
        <row r="386">
          <cell r="A386" t="str">
            <v>80DI K9</v>
          </cell>
        </row>
        <row r="387">
          <cell r="A387" t="str">
            <v>100DI K9</v>
          </cell>
        </row>
        <row r="388">
          <cell r="A388" t="str">
            <v>125DI K9</v>
          </cell>
        </row>
        <row r="389">
          <cell r="A389" t="str">
            <v>150DI K9</v>
          </cell>
        </row>
        <row r="390">
          <cell r="A390" t="str">
            <v>200DI K9</v>
          </cell>
        </row>
        <row r="391">
          <cell r="A391" t="str">
            <v>250DI K9</v>
          </cell>
        </row>
        <row r="392">
          <cell r="A392" t="str">
            <v>300DI K9</v>
          </cell>
        </row>
        <row r="393">
          <cell r="A393" t="str">
            <v>350DI K9</v>
          </cell>
        </row>
        <row r="394">
          <cell r="A394" t="str">
            <v>400DI K9</v>
          </cell>
        </row>
        <row r="395">
          <cell r="A395" t="str">
            <v>450DI K9</v>
          </cell>
        </row>
        <row r="396">
          <cell r="A396" t="str">
            <v>500DI K9</v>
          </cell>
        </row>
        <row r="397">
          <cell r="A397" t="str">
            <v>600DI K9</v>
          </cell>
        </row>
        <row r="398">
          <cell r="A398" t="str">
            <v>700DI K9</v>
          </cell>
        </row>
        <row r="399">
          <cell r="A399" t="str">
            <v>750DI K9</v>
          </cell>
        </row>
        <row r="400">
          <cell r="A400" t="str">
            <v>800DI K9</v>
          </cell>
        </row>
        <row r="401">
          <cell r="A401" t="str">
            <v>900DI K9</v>
          </cell>
        </row>
        <row r="402">
          <cell r="A402" t="str">
            <v>1000DI K9</v>
          </cell>
        </row>
        <row r="404">
          <cell r="A404" t="str">
            <v>80DI K10</v>
          </cell>
        </row>
        <row r="405">
          <cell r="A405" t="str">
            <v>100DI K10</v>
          </cell>
        </row>
        <row r="406">
          <cell r="A406" t="str">
            <v>125DI K10</v>
          </cell>
        </row>
        <row r="407">
          <cell r="A407" t="str">
            <v>150DI K10</v>
          </cell>
        </row>
        <row r="408">
          <cell r="A408" t="str">
            <v>200DI K10</v>
          </cell>
        </row>
        <row r="409">
          <cell r="A409" t="str">
            <v>250DI K10</v>
          </cell>
        </row>
        <row r="410">
          <cell r="A410" t="str">
            <v>300DI K10</v>
          </cell>
        </row>
        <row r="411">
          <cell r="A411" t="str">
            <v>350DI K10</v>
          </cell>
        </row>
        <row r="412">
          <cell r="A412" t="str">
            <v>400DI K10</v>
          </cell>
        </row>
        <row r="413">
          <cell r="A413" t="str">
            <v>450DI K10</v>
          </cell>
        </row>
        <row r="414">
          <cell r="A414" t="str">
            <v>500DI K10</v>
          </cell>
        </row>
        <row r="415">
          <cell r="A415" t="str">
            <v>600DI K10</v>
          </cell>
        </row>
        <row r="416">
          <cell r="A416" t="str">
            <v>700DI K10</v>
          </cell>
        </row>
        <row r="417">
          <cell r="A417" t="str">
            <v>750DI K10</v>
          </cell>
        </row>
        <row r="418">
          <cell r="A418" t="str">
            <v>800DI K10</v>
          </cell>
        </row>
        <row r="419">
          <cell r="A419" t="str">
            <v>900DI K10</v>
          </cell>
        </row>
        <row r="420">
          <cell r="A420" t="str">
            <v>1000DI K10</v>
          </cell>
        </row>
        <row r="422">
          <cell r="A422" t="str">
            <v>80DI K12</v>
          </cell>
        </row>
        <row r="423">
          <cell r="A423" t="str">
            <v>100DI K12</v>
          </cell>
        </row>
        <row r="424">
          <cell r="A424" t="str">
            <v>125DI K12</v>
          </cell>
        </row>
        <row r="425">
          <cell r="A425" t="str">
            <v>150DI K12</v>
          </cell>
        </row>
        <row r="426">
          <cell r="A426" t="str">
            <v>200DI K12</v>
          </cell>
        </row>
        <row r="427">
          <cell r="A427" t="str">
            <v>250DI K12</v>
          </cell>
        </row>
        <row r="428">
          <cell r="A428" t="str">
            <v>300DI K12</v>
          </cell>
        </row>
        <row r="429">
          <cell r="A429" t="str">
            <v>350DI K12</v>
          </cell>
        </row>
        <row r="430">
          <cell r="A430" t="str">
            <v>400DI K12</v>
          </cell>
        </row>
        <row r="431">
          <cell r="A431" t="str">
            <v>450DI K12</v>
          </cell>
        </row>
        <row r="432">
          <cell r="A432" t="str">
            <v>500DI K12</v>
          </cell>
        </row>
        <row r="433">
          <cell r="A433" t="str">
            <v>600DI K12</v>
          </cell>
        </row>
        <row r="434">
          <cell r="A434" t="str">
            <v>700DI K12</v>
          </cell>
        </row>
        <row r="435">
          <cell r="A435" t="str">
            <v>750DI K12</v>
          </cell>
        </row>
        <row r="436">
          <cell r="A436" t="str">
            <v>800DI K12</v>
          </cell>
        </row>
        <row r="437">
          <cell r="A437" t="str">
            <v>900DI K12</v>
          </cell>
        </row>
        <row r="438">
          <cell r="A438" t="str">
            <v>1000DI K12</v>
          </cell>
        </row>
        <row r="440">
          <cell r="A440" t="str">
            <v>250BWSC 4-12KG</v>
          </cell>
        </row>
        <row r="441">
          <cell r="A441" t="str">
            <v>300BWSC 4-12KG</v>
          </cell>
        </row>
        <row r="442">
          <cell r="A442" t="str">
            <v>350BWSC 4-12KG</v>
          </cell>
        </row>
        <row r="443">
          <cell r="A443" t="str">
            <v>400BWSC 4-12KG</v>
          </cell>
        </row>
        <row r="444">
          <cell r="A444" t="str">
            <v>450BWSC 4-12KG</v>
          </cell>
        </row>
        <row r="445">
          <cell r="A445" t="str">
            <v>500BWSC 4-12KG</v>
          </cell>
        </row>
        <row r="446">
          <cell r="A446" t="str">
            <v>600BWSC 4-12KG</v>
          </cell>
        </row>
        <row r="447">
          <cell r="A447" t="str">
            <v>700BWSC 4-12KG</v>
          </cell>
        </row>
        <row r="448">
          <cell r="A448" t="str">
            <v>800BWSC 4-12KG</v>
          </cell>
        </row>
        <row r="449">
          <cell r="A449" t="str">
            <v>900BWSC 4-12KG</v>
          </cell>
        </row>
        <row r="450">
          <cell r="A450" t="str">
            <v>1000BWSC 4-12KG</v>
          </cell>
        </row>
        <row r="451">
          <cell r="A451" t="str">
            <v>1100BWSC 4-12KG</v>
          </cell>
        </row>
        <row r="452">
          <cell r="A452" t="str">
            <v>1200BWSC 4-12KG</v>
          </cell>
        </row>
        <row r="454">
          <cell r="A454" t="str">
            <v>250BWSC 14KG</v>
          </cell>
        </row>
        <row r="455">
          <cell r="A455" t="str">
            <v>300BWSC 14KG</v>
          </cell>
        </row>
        <row r="456">
          <cell r="A456" t="str">
            <v>350BWSC 14KG</v>
          </cell>
        </row>
        <row r="457">
          <cell r="A457" t="str">
            <v>400BWSC 14KG</v>
          </cell>
        </row>
        <row r="458">
          <cell r="A458" t="str">
            <v>450BWSC 14KG</v>
          </cell>
        </row>
        <row r="459">
          <cell r="A459" t="str">
            <v>500BWSC 14KG</v>
          </cell>
        </row>
        <row r="460">
          <cell r="A460" t="str">
            <v>600BWSC 14KG</v>
          </cell>
        </row>
        <row r="461">
          <cell r="A461" t="str">
            <v>700BWSC 14KG</v>
          </cell>
        </row>
        <row r="462">
          <cell r="A462" t="str">
            <v>800BWSC 14KG</v>
          </cell>
        </row>
        <row r="463">
          <cell r="A463" t="str">
            <v>900BWSC 14KG</v>
          </cell>
        </row>
        <row r="464">
          <cell r="A464" t="str">
            <v>1000BWSC 14KG</v>
          </cell>
        </row>
        <row r="465">
          <cell r="A465" t="str">
            <v>1100BWSC 14KG</v>
          </cell>
        </row>
        <row r="466">
          <cell r="A466" t="str">
            <v>1200BWSC 14KG</v>
          </cell>
        </row>
        <row r="468">
          <cell r="A468" t="str">
            <v>250BWSC 16KG</v>
          </cell>
        </row>
        <row r="469">
          <cell r="A469" t="str">
            <v>300BWSC 16KG</v>
          </cell>
        </row>
        <row r="470">
          <cell r="A470" t="str">
            <v>350BWSC 16KG</v>
          </cell>
        </row>
        <row r="471">
          <cell r="A471" t="str">
            <v>400BWSC 16KG</v>
          </cell>
        </row>
        <row r="472">
          <cell r="A472" t="str">
            <v>450BWSC 16KG</v>
          </cell>
        </row>
        <row r="473">
          <cell r="A473" t="str">
            <v>500BWSC 16KG</v>
          </cell>
        </row>
        <row r="474">
          <cell r="A474" t="str">
            <v>600BWSC 16KG</v>
          </cell>
        </row>
        <row r="475">
          <cell r="A475" t="str">
            <v>700BWSC 16KG</v>
          </cell>
        </row>
        <row r="476">
          <cell r="A476" t="str">
            <v>800BWSC 16KG</v>
          </cell>
        </row>
        <row r="477">
          <cell r="A477" t="str">
            <v>900BWSC 16KG</v>
          </cell>
        </row>
        <row r="478">
          <cell r="A478" t="str">
            <v>1000BWSC 16KG</v>
          </cell>
        </row>
        <row r="479">
          <cell r="A479" t="str">
            <v>1100BWSC 16KG</v>
          </cell>
        </row>
        <row r="480">
          <cell r="A480" t="str">
            <v>1200BWSC 16KG</v>
          </cell>
        </row>
        <row r="482">
          <cell r="A482" t="str">
            <v>250BWSC 18KG</v>
          </cell>
        </row>
        <row r="483">
          <cell r="A483" t="str">
            <v>300BWSC 18KG</v>
          </cell>
        </row>
        <row r="484">
          <cell r="A484" t="str">
            <v>350BWSC 18KG</v>
          </cell>
        </row>
        <row r="485">
          <cell r="A485" t="str">
            <v>400BWSC 18KG</v>
          </cell>
        </row>
        <row r="486">
          <cell r="A486" t="str">
            <v>450BWSC 18KG</v>
          </cell>
        </row>
        <row r="487">
          <cell r="A487" t="str">
            <v>500BWSC 18KG</v>
          </cell>
        </row>
        <row r="488">
          <cell r="A488" t="str">
            <v>600BWSC 18KG</v>
          </cell>
        </row>
        <row r="489">
          <cell r="A489" t="str">
            <v>700BWSC 18KG</v>
          </cell>
        </row>
        <row r="490">
          <cell r="A490" t="str">
            <v>800BWSC 18KG</v>
          </cell>
        </row>
        <row r="491">
          <cell r="A491" t="str">
            <v>900BWSC 18KG</v>
          </cell>
        </row>
        <row r="492">
          <cell r="A492" t="str">
            <v>1000BWSC 18KG</v>
          </cell>
        </row>
        <row r="493">
          <cell r="A493" t="str">
            <v>1100BWSC 18KG</v>
          </cell>
        </row>
        <row r="494">
          <cell r="A494" t="str">
            <v>1200BWSC 18KG</v>
          </cell>
        </row>
        <row r="496">
          <cell r="A496" t="str">
            <v>250BWSC 20KG</v>
          </cell>
        </row>
        <row r="497">
          <cell r="A497" t="str">
            <v>300BWSC 20KG</v>
          </cell>
        </row>
        <row r="498">
          <cell r="A498" t="str">
            <v>350BWSC 20KG</v>
          </cell>
        </row>
        <row r="499">
          <cell r="A499" t="str">
            <v>400BWSC 20KG</v>
          </cell>
        </row>
        <row r="500">
          <cell r="A500" t="str">
            <v>450BWSC 20KG</v>
          </cell>
        </row>
        <row r="501">
          <cell r="A501" t="str">
            <v>500BWSC 20KG</v>
          </cell>
        </row>
        <row r="502">
          <cell r="A502" t="str">
            <v>600BWSC 20KG</v>
          </cell>
        </row>
        <row r="503">
          <cell r="A503" t="str">
            <v>700BWSC 20KG</v>
          </cell>
        </row>
        <row r="504">
          <cell r="A504" t="str">
            <v>800BWSC 20KG</v>
          </cell>
        </row>
        <row r="505">
          <cell r="A505" t="str">
            <v>900BWSC 20KG</v>
          </cell>
        </row>
        <row r="506">
          <cell r="A506" t="str">
            <v>1000BWSC 20KG</v>
          </cell>
        </row>
        <row r="507">
          <cell r="A507" t="str">
            <v>1100BWSC 20KG</v>
          </cell>
        </row>
        <row r="508">
          <cell r="A508" t="str">
            <v>1200BWSC 20KG</v>
          </cell>
        </row>
        <row r="510">
          <cell r="A510" t="str">
            <v>250BWSC 22KG</v>
          </cell>
        </row>
        <row r="511">
          <cell r="A511" t="str">
            <v>300BWSC 22KG</v>
          </cell>
        </row>
        <row r="512">
          <cell r="A512" t="str">
            <v>350BWSC 22KG</v>
          </cell>
        </row>
        <row r="513">
          <cell r="A513" t="str">
            <v>400BWSC 22KG</v>
          </cell>
        </row>
        <row r="514">
          <cell r="A514" t="str">
            <v>450BWSC 22KG</v>
          </cell>
        </row>
        <row r="515">
          <cell r="A515" t="str">
            <v>500BWSC 22KG</v>
          </cell>
        </row>
        <row r="516">
          <cell r="A516" t="str">
            <v>600BWSC 22KG</v>
          </cell>
        </row>
        <row r="517">
          <cell r="A517" t="str">
            <v>700BWSC 22KG</v>
          </cell>
        </row>
        <row r="518">
          <cell r="A518" t="str">
            <v>800BWSC 22KG</v>
          </cell>
        </row>
        <row r="519">
          <cell r="A519" t="str">
            <v>900BWSC 22KG</v>
          </cell>
        </row>
        <row r="520">
          <cell r="A520" t="str">
            <v>1000BWSC 22KG</v>
          </cell>
        </row>
        <row r="521">
          <cell r="A521" t="str">
            <v>1100BWSC 22KG</v>
          </cell>
        </row>
        <row r="522">
          <cell r="A522" t="str">
            <v>1200BWSC 22KG</v>
          </cell>
        </row>
        <row r="524">
          <cell r="A524" t="str">
            <v>250BWSC 24KG</v>
          </cell>
        </row>
        <row r="525">
          <cell r="A525" t="str">
            <v>300BWSC 24KG</v>
          </cell>
        </row>
        <row r="526">
          <cell r="A526" t="str">
            <v>350BWSC 24KG</v>
          </cell>
        </row>
        <row r="527">
          <cell r="A527" t="str">
            <v>400BWSC 24KG</v>
          </cell>
        </row>
        <row r="528">
          <cell r="A528" t="str">
            <v>450BWSC 24KG</v>
          </cell>
        </row>
        <row r="529">
          <cell r="A529" t="str">
            <v>500BWSC 24KG</v>
          </cell>
        </row>
        <row r="530">
          <cell r="A530" t="str">
            <v>600BWSC 24KG</v>
          </cell>
        </row>
        <row r="531">
          <cell r="A531" t="str">
            <v>700BWSC 24KG</v>
          </cell>
        </row>
        <row r="532">
          <cell r="A532" t="str">
            <v>800BWSC 24KG</v>
          </cell>
        </row>
        <row r="533">
          <cell r="A533" t="str">
            <v>900BWSC 24KG</v>
          </cell>
        </row>
        <row r="534">
          <cell r="A534" t="str">
            <v>1000BWSC 24KG</v>
          </cell>
        </row>
        <row r="535">
          <cell r="A535" t="str">
            <v>1100BWSC 24KG</v>
          </cell>
        </row>
        <row r="536">
          <cell r="A536" t="str">
            <v>1200BWSC 24KG</v>
          </cell>
        </row>
        <row r="538">
          <cell r="A538" t="str">
            <v>250BWSC 26KG</v>
          </cell>
        </row>
        <row r="539">
          <cell r="A539" t="str">
            <v>300BWSC 26KG</v>
          </cell>
        </row>
        <row r="540">
          <cell r="A540" t="str">
            <v>350BWSC 26KG</v>
          </cell>
        </row>
        <row r="541">
          <cell r="A541" t="str">
            <v>400BWSC 26KG</v>
          </cell>
        </row>
        <row r="542">
          <cell r="A542" t="str">
            <v>450BWSC 26KG</v>
          </cell>
        </row>
        <row r="543">
          <cell r="A543" t="str">
            <v>500BWSC 26KG</v>
          </cell>
        </row>
        <row r="544">
          <cell r="A544" t="str">
            <v>600BWSC 26KG</v>
          </cell>
        </row>
        <row r="545">
          <cell r="A545" t="str">
            <v>700BWSC 26KG</v>
          </cell>
        </row>
        <row r="546">
          <cell r="A546" t="str">
            <v>800BWSC 26KG</v>
          </cell>
        </row>
        <row r="547">
          <cell r="A547" t="str">
            <v>900BWSC 26KG</v>
          </cell>
        </row>
        <row r="548">
          <cell r="A548" t="str">
            <v>1000BWSC 26KG</v>
          </cell>
        </row>
        <row r="549">
          <cell r="A549" t="str">
            <v>1100BWSC 26KG</v>
          </cell>
        </row>
        <row r="550">
          <cell r="A550" t="str">
            <v>1200BWSC 26KG</v>
          </cell>
        </row>
        <row r="552">
          <cell r="A552" t="str">
            <v>250BWSC 28KG</v>
          </cell>
        </row>
        <row r="553">
          <cell r="A553" t="str">
            <v>300BWSC 28KG</v>
          </cell>
        </row>
        <row r="554">
          <cell r="A554" t="str">
            <v>350BWSC 28KG</v>
          </cell>
        </row>
        <row r="555">
          <cell r="A555" t="str">
            <v>400BWSC 28KG</v>
          </cell>
        </row>
        <row r="556">
          <cell r="A556" t="str">
            <v>450BWSC 28KG</v>
          </cell>
        </row>
        <row r="557">
          <cell r="A557" t="str">
            <v>500BWSC 28KG</v>
          </cell>
        </row>
        <row r="558">
          <cell r="A558" t="str">
            <v>600BWSC 28KG</v>
          </cell>
        </row>
        <row r="559">
          <cell r="A559" t="str">
            <v>700BWSC 28KG</v>
          </cell>
        </row>
        <row r="560">
          <cell r="A560" t="str">
            <v>800BWSC 28KG</v>
          </cell>
        </row>
        <row r="561">
          <cell r="A561" t="str">
            <v>900BWSC 28KG</v>
          </cell>
        </row>
        <row r="562">
          <cell r="A562" t="str">
            <v>1000BWSC 28KG</v>
          </cell>
        </row>
        <row r="563">
          <cell r="A563" t="str">
            <v>1100BWSC 28KG</v>
          </cell>
        </row>
        <row r="564">
          <cell r="A564" t="str">
            <v>1200BWSC 28KG</v>
          </cell>
        </row>
        <row r="566">
          <cell r="A566" t="str">
            <v>250BWSC 30KG</v>
          </cell>
        </row>
        <row r="567">
          <cell r="A567" t="str">
            <v>300BWSC 30KG</v>
          </cell>
        </row>
        <row r="568">
          <cell r="A568" t="str">
            <v>350BWSC 30KG</v>
          </cell>
        </row>
        <row r="569">
          <cell r="A569" t="str">
            <v>400BWSC 30KG</v>
          </cell>
        </row>
        <row r="570">
          <cell r="A570" t="str">
            <v>450BWSC 30KG</v>
          </cell>
        </row>
        <row r="571">
          <cell r="A571" t="str">
            <v>500BWSC 30KG</v>
          </cell>
        </row>
        <row r="572">
          <cell r="A572" t="str">
            <v>600BWSC 30KG</v>
          </cell>
        </row>
        <row r="573">
          <cell r="A573" t="str">
            <v>700BWSC 30KG</v>
          </cell>
        </row>
        <row r="574">
          <cell r="A574" t="str">
            <v>800BWSC 30KG</v>
          </cell>
        </row>
        <row r="575">
          <cell r="A575" t="str">
            <v>900BWSC 30KG</v>
          </cell>
        </row>
        <row r="576">
          <cell r="A576" t="str">
            <v>1000BWSC 30KG</v>
          </cell>
        </row>
        <row r="577">
          <cell r="A577" t="str">
            <v>1100BWSC 30KG</v>
          </cell>
        </row>
        <row r="578">
          <cell r="A578" t="str">
            <v>1200BWSC 30KG</v>
          </cell>
        </row>
        <row r="580">
          <cell r="A580" t="str">
            <v>300GRP 3BAR</v>
          </cell>
        </row>
        <row r="581">
          <cell r="A581" t="str">
            <v>350GRP 3BAR</v>
          </cell>
        </row>
        <row r="582">
          <cell r="A582" t="str">
            <v>400GRP 3BAR</v>
          </cell>
        </row>
        <row r="583">
          <cell r="A583" t="str">
            <v>450GRP 3BAR</v>
          </cell>
        </row>
        <row r="584">
          <cell r="A584" t="str">
            <v>500GRP 3BAR</v>
          </cell>
        </row>
        <row r="585">
          <cell r="A585" t="str">
            <v>600GRP 3BAR</v>
          </cell>
        </row>
        <row r="586">
          <cell r="A586" t="str">
            <v>700GRP 3BAR</v>
          </cell>
        </row>
        <row r="587">
          <cell r="A587" t="str">
            <v>800GRP 3BAR</v>
          </cell>
        </row>
        <row r="588">
          <cell r="A588" t="str">
            <v>900GRP 3BAR</v>
          </cell>
        </row>
        <row r="589">
          <cell r="A589" t="str">
            <v>1000GRP 3BAR</v>
          </cell>
        </row>
        <row r="591">
          <cell r="A591" t="str">
            <v>300GRP 6BAR</v>
          </cell>
        </row>
        <row r="592">
          <cell r="A592" t="str">
            <v>350GRP 6BAR</v>
          </cell>
        </row>
        <row r="593">
          <cell r="A593" t="str">
            <v>400GRP 6BAR</v>
          </cell>
        </row>
        <row r="594">
          <cell r="A594" t="str">
            <v>450GRP 6BAR</v>
          </cell>
        </row>
        <row r="595">
          <cell r="A595" t="str">
            <v>500GRP 6BAR</v>
          </cell>
        </row>
        <row r="596">
          <cell r="A596" t="str">
            <v>600GRP 6BAR</v>
          </cell>
        </row>
        <row r="597">
          <cell r="A597" t="str">
            <v>700GRP 6BAR</v>
          </cell>
        </row>
        <row r="598">
          <cell r="A598" t="str">
            <v>800GRP 6BAR</v>
          </cell>
        </row>
        <row r="599">
          <cell r="A599" t="str">
            <v>900GRP 6BAR</v>
          </cell>
        </row>
        <row r="600">
          <cell r="A600" t="str">
            <v>1000GRP 6BAR</v>
          </cell>
        </row>
        <row r="602">
          <cell r="A602" t="str">
            <v>300GRP 9BAR</v>
          </cell>
        </row>
        <row r="603">
          <cell r="A603" t="str">
            <v>350GRP 9BAR</v>
          </cell>
        </row>
        <row r="604">
          <cell r="A604" t="str">
            <v>400GRP 9BAR</v>
          </cell>
        </row>
        <row r="605">
          <cell r="A605" t="str">
            <v>450GRP 9BAR</v>
          </cell>
        </row>
        <row r="606">
          <cell r="A606" t="str">
            <v>500GRP 9BAR</v>
          </cell>
        </row>
        <row r="607">
          <cell r="A607" t="str">
            <v>600GRP 9BAR</v>
          </cell>
        </row>
        <row r="608">
          <cell r="A608" t="str">
            <v>700GRP 9BAR</v>
          </cell>
        </row>
        <row r="609">
          <cell r="A609" t="str">
            <v>800GRP 9BAR</v>
          </cell>
        </row>
        <row r="610">
          <cell r="A610" t="str">
            <v>900GRP 9BAR</v>
          </cell>
        </row>
        <row r="611">
          <cell r="A611" t="str">
            <v>1000GRP 9BAR</v>
          </cell>
        </row>
        <row r="613">
          <cell r="A613" t="str">
            <v>300GRP 12BAR</v>
          </cell>
        </row>
        <row r="614">
          <cell r="A614" t="str">
            <v>350GRP 12BAR</v>
          </cell>
        </row>
        <row r="615">
          <cell r="A615" t="str">
            <v>400GRP 12BAR</v>
          </cell>
        </row>
        <row r="616">
          <cell r="A616" t="str">
            <v>450GRP 12BAR</v>
          </cell>
        </row>
        <row r="617">
          <cell r="A617" t="str">
            <v>500GRP 12BAR</v>
          </cell>
        </row>
        <row r="618">
          <cell r="A618" t="str">
            <v>600GRP 12BAR</v>
          </cell>
        </row>
        <row r="619">
          <cell r="A619" t="str">
            <v>700GRP 12BAR</v>
          </cell>
        </row>
        <row r="620">
          <cell r="A620" t="str">
            <v>800GRP 12BAR</v>
          </cell>
        </row>
        <row r="621">
          <cell r="A621" t="str">
            <v>900GRP 12BAR</v>
          </cell>
        </row>
        <row r="622">
          <cell r="A622" t="str">
            <v>1000GRP 12BAR</v>
          </cell>
        </row>
        <row r="624">
          <cell r="A624" t="str">
            <v>300GRP 15BAR</v>
          </cell>
        </row>
        <row r="625">
          <cell r="A625" t="str">
            <v>350GRP 15BAR</v>
          </cell>
        </row>
        <row r="626">
          <cell r="A626" t="str">
            <v>400GRP 15BAR</v>
          </cell>
        </row>
        <row r="627">
          <cell r="A627" t="str">
            <v>450GRP 15BAR</v>
          </cell>
        </row>
        <row r="628">
          <cell r="A628" t="str">
            <v>500GRP 15BAR</v>
          </cell>
        </row>
        <row r="629">
          <cell r="A629" t="str">
            <v>600GRP 15BAR</v>
          </cell>
        </row>
        <row r="630">
          <cell r="A630" t="str">
            <v>700GRP 15BAR</v>
          </cell>
        </row>
        <row r="631">
          <cell r="A631" t="str">
            <v>800GRP 15BAR</v>
          </cell>
        </row>
        <row r="632">
          <cell r="A632" t="str">
            <v>900GRP 15BAR</v>
          </cell>
        </row>
        <row r="633">
          <cell r="A633" t="str">
            <v>1000GRP 15BAR</v>
          </cell>
        </row>
        <row r="635">
          <cell r="A635" t="str">
            <v>80 MS 5</v>
          </cell>
        </row>
        <row r="636">
          <cell r="A636" t="str">
            <v>100 MS 5</v>
          </cell>
        </row>
        <row r="637">
          <cell r="A637" t="str">
            <v>125 MS 5</v>
          </cell>
        </row>
        <row r="638">
          <cell r="A638" t="str">
            <v>150 MS 5</v>
          </cell>
        </row>
        <row r="639">
          <cell r="A639" t="str">
            <v>200 MS 5</v>
          </cell>
        </row>
        <row r="640">
          <cell r="A640" t="str">
            <v>250 MS 5</v>
          </cell>
        </row>
        <row r="641">
          <cell r="A641" t="str">
            <v>300 MS 5</v>
          </cell>
        </row>
        <row r="642">
          <cell r="A642" t="str">
            <v>350 MS 5</v>
          </cell>
        </row>
        <row r="643">
          <cell r="A643" t="str">
            <v>400 MS 5</v>
          </cell>
        </row>
        <row r="644">
          <cell r="A644" t="str">
            <v>450 MS 5</v>
          </cell>
        </row>
        <row r="645">
          <cell r="A645" t="str">
            <v>500 MS 5</v>
          </cell>
        </row>
        <row r="646">
          <cell r="A646" t="str">
            <v>600 MS 5</v>
          </cell>
        </row>
        <row r="647">
          <cell r="A647" t="str">
            <v>700 MS 5</v>
          </cell>
        </row>
        <row r="648">
          <cell r="A648" t="str">
            <v>800 MS 5</v>
          </cell>
        </row>
        <row r="649">
          <cell r="A649" t="str">
            <v>900 MS 5</v>
          </cell>
        </row>
        <row r="650">
          <cell r="A650" t="str">
            <v>1000 MS 5</v>
          </cell>
        </row>
        <row r="652">
          <cell r="A652" t="str">
            <v>80 MS 6</v>
          </cell>
        </row>
        <row r="653">
          <cell r="A653" t="str">
            <v>100 MS 6</v>
          </cell>
        </row>
        <row r="654">
          <cell r="A654" t="str">
            <v>125 MS 6</v>
          </cell>
        </row>
        <row r="655">
          <cell r="A655" t="str">
            <v>150 MS 6</v>
          </cell>
        </row>
        <row r="656">
          <cell r="A656" t="str">
            <v>200 MS 6</v>
          </cell>
        </row>
        <row r="657">
          <cell r="A657" t="str">
            <v>250 MS 6</v>
          </cell>
        </row>
        <row r="658">
          <cell r="A658" t="str">
            <v>300 MS 6</v>
          </cell>
        </row>
        <row r="659">
          <cell r="A659" t="str">
            <v>350 MS 6</v>
          </cell>
        </row>
        <row r="660">
          <cell r="A660" t="str">
            <v>400 MS 6</v>
          </cell>
        </row>
        <row r="661">
          <cell r="A661" t="str">
            <v>450 MS 6</v>
          </cell>
        </row>
        <row r="662">
          <cell r="A662" t="str">
            <v>500 MS 6</v>
          </cell>
        </row>
        <row r="663">
          <cell r="A663" t="str">
            <v>600 MS 6</v>
          </cell>
        </row>
        <row r="664">
          <cell r="A664" t="str">
            <v>700 MS 6</v>
          </cell>
        </row>
        <row r="665">
          <cell r="A665" t="str">
            <v>800 MS 6</v>
          </cell>
        </row>
        <row r="666">
          <cell r="A666" t="str">
            <v>900 MS 6</v>
          </cell>
        </row>
        <row r="667">
          <cell r="A667" t="str">
            <v>1000 MS 6</v>
          </cell>
        </row>
        <row r="669">
          <cell r="A669" t="str">
            <v>80 MS 8</v>
          </cell>
        </row>
        <row r="670">
          <cell r="A670" t="str">
            <v>100 MS 8</v>
          </cell>
        </row>
        <row r="671">
          <cell r="A671" t="str">
            <v>125 MS 8</v>
          </cell>
        </row>
        <row r="672">
          <cell r="A672" t="str">
            <v>150 MS 8</v>
          </cell>
        </row>
        <row r="673">
          <cell r="A673" t="str">
            <v>200 MS 8</v>
          </cell>
        </row>
        <row r="674">
          <cell r="A674" t="str">
            <v>250 MS 8</v>
          </cell>
        </row>
        <row r="675">
          <cell r="A675" t="str">
            <v>300 MS 8</v>
          </cell>
        </row>
        <row r="676">
          <cell r="A676" t="str">
            <v>350 MS 8</v>
          </cell>
        </row>
        <row r="677">
          <cell r="A677" t="str">
            <v>400 MS 8</v>
          </cell>
        </row>
        <row r="678">
          <cell r="A678" t="str">
            <v>450 MS 8</v>
          </cell>
        </row>
        <row r="679">
          <cell r="A679" t="str">
            <v>500 MS 8</v>
          </cell>
        </row>
        <row r="680">
          <cell r="A680" t="str">
            <v>600 MS 8</v>
          </cell>
        </row>
        <row r="681">
          <cell r="A681" t="str">
            <v>700 MS 8</v>
          </cell>
        </row>
        <row r="682">
          <cell r="A682" t="str">
            <v>800 MS 8</v>
          </cell>
        </row>
        <row r="683">
          <cell r="A683" t="str">
            <v>900 MS 8</v>
          </cell>
        </row>
        <row r="684">
          <cell r="A684" t="str">
            <v>1000 MS 8</v>
          </cell>
        </row>
        <row r="686">
          <cell r="A686" t="str">
            <v>80 MS 10</v>
          </cell>
        </row>
        <row r="687">
          <cell r="A687" t="str">
            <v>100 MS 10</v>
          </cell>
        </row>
        <row r="688">
          <cell r="A688" t="str">
            <v>125 MS 10</v>
          </cell>
        </row>
        <row r="689">
          <cell r="A689" t="str">
            <v>150 MS 10</v>
          </cell>
        </row>
        <row r="690">
          <cell r="A690" t="str">
            <v>200 MS 10</v>
          </cell>
        </row>
        <row r="691">
          <cell r="A691" t="str">
            <v>250 MS 10</v>
          </cell>
        </row>
        <row r="692">
          <cell r="A692" t="str">
            <v>300 MS 10</v>
          </cell>
        </row>
        <row r="693">
          <cell r="A693" t="str">
            <v>350 MS 10</v>
          </cell>
        </row>
        <row r="694">
          <cell r="A694" t="str">
            <v>400 MS 10</v>
          </cell>
        </row>
        <row r="695">
          <cell r="A695" t="str">
            <v>450 MS 10</v>
          </cell>
        </row>
        <row r="696">
          <cell r="A696" t="str">
            <v>500 MS 10</v>
          </cell>
        </row>
        <row r="697">
          <cell r="A697" t="str">
            <v>600 MS 10</v>
          </cell>
        </row>
        <row r="698">
          <cell r="A698" t="str">
            <v>700 MS 10</v>
          </cell>
        </row>
        <row r="699">
          <cell r="A699" t="str">
            <v>800 MS 10</v>
          </cell>
        </row>
        <row r="700">
          <cell r="A700" t="str">
            <v>900 MS 10</v>
          </cell>
        </row>
        <row r="701">
          <cell r="A701" t="str">
            <v>1000 MS 10</v>
          </cell>
        </row>
      </sheetData>
      <sheetData sheetId="44"/>
      <sheetData sheetId="45"/>
      <sheetData sheetId="46">
        <row r="23">
          <cell r="A23" t="str">
            <v>80 RCC S/S NP2 CLASS</v>
          </cell>
        </row>
        <row r="24">
          <cell r="A24" t="str">
            <v>100 RCC S/S NP2 CLASS</v>
          </cell>
        </row>
        <row r="25">
          <cell r="A25" t="str">
            <v>150 RCC S/S NP2 CLASS</v>
          </cell>
        </row>
        <row r="26">
          <cell r="A26" t="str">
            <v>200 RCC S/S NP2 CLASS</v>
          </cell>
        </row>
        <row r="27">
          <cell r="A27" t="str">
            <v>225 RCC S/S NP2 CLASS</v>
          </cell>
        </row>
        <row r="28">
          <cell r="A28" t="str">
            <v>250 RCC S/S NP2 CLASS</v>
          </cell>
        </row>
        <row r="29">
          <cell r="A29" t="str">
            <v>300 RCC S/S NP2 CLASS</v>
          </cell>
        </row>
        <row r="30">
          <cell r="A30" t="str">
            <v>350 RCC S/S NP2 CLASS</v>
          </cell>
        </row>
        <row r="31">
          <cell r="A31" t="str">
            <v>400 RCC S/S NP2 CLASS</v>
          </cell>
        </row>
        <row r="32">
          <cell r="A32" t="str">
            <v>450 RCC S/S NP2 CLASS</v>
          </cell>
        </row>
        <row r="33">
          <cell r="A33" t="str">
            <v>500 RCC S/S NP2 CLASS</v>
          </cell>
        </row>
        <row r="34">
          <cell r="A34" t="str">
            <v>600 RCC S/S NP2 CLASS</v>
          </cell>
        </row>
        <row r="35">
          <cell r="A35" t="str">
            <v>700 RCC S/S NP2 CLASS</v>
          </cell>
        </row>
        <row r="36">
          <cell r="A36" t="str">
            <v>800 RCC S/S NP2 CLASS</v>
          </cell>
        </row>
        <row r="37">
          <cell r="A37" t="str">
            <v>900 RCC S/S NP2 CLASS</v>
          </cell>
        </row>
        <row r="38">
          <cell r="A38" t="str">
            <v>1000 RCC S/S NP2 CLASS</v>
          </cell>
        </row>
        <row r="39">
          <cell r="A39" t="str">
            <v>1100 RCC S/S NP2 CLASS</v>
          </cell>
        </row>
        <row r="40">
          <cell r="A40" t="str">
            <v>1200 RCC S/S NP2 CLASS</v>
          </cell>
        </row>
        <row r="41">
          <cell r="A41" t="str">
            <v>1400 RCC S/S NP2 CLASS</v>
          </cell>
        </row>
        <row r="42">
          <cell r="A42" t="str">
            <v>1600 RCC S/S NP2 CLASS</v>
          </cell>
        </row>
        <row r="43">
          <cell r="A43" t="str">
            <v>1800 RCC S/S NP2 CLASS</v>
          </cell>
        </row>
        <row r="44">
          <cell r="A44" t="str">
            <v>80 RCC S/S NP3 CLASS</v>
          </cell>
        </row>
        <row r="45">
          <cell r="A45" t="str">
            <v>150 RCC S/S NP3 CLASS</v>
          </cell>
        </row>
        <row r="46">
          <cell r="A46" t="str">
            <v>200 RCC S/S NP3 CLASS</v>
          </cell>
        </row>
        <row r="47">
          <cell r="A47" t="str">
            <v>225 RCC S/S NP3 CLASS</v>
          </cell>
        </row>
        <row r="48">
          <cell r="A48" t="str">
            <v>250 RCC S/S NP3 CLASS</v>
          </cell>
        </row>
        <row r="49">
          <cell r="A49" t="str">
            <v>300 RCC S/S NP3 CLASS</v>
          </cell>
        </row>
        <row r="50">
          <cell r="A50" t="str">
            <v>350 RCC S/S NP3 CLASS</v>
          </cell>
        </row>
        <row r="51">
          <cell r="A51" t="str">
            <v>400 RCC S/S NP3 CLASS</v>
          </cell>
        </row>
        <row r="52">
          <cell r="A52" t="str">
            <v>450 RCC S/S NP3 CLASS</v>
          </cell>
        </row>
        <row r="53">
          <cell r="A53" t="str">
            <v>500 RCC S/S NP3 CLASS</v>
          </cell>
        </row>
        <row r="54">
          <cell r="A54" t="str">
            <v>600 RCC S/S NP3 CLASS</v>
          </cell>
        </row>
        <row r="55">
          <cell r="A55" t="str">
            <v>700 RCC S/S NP3 CLASS</v>
          </cell>
        </row>
        <row r="56">
          <cell r="A56" t="str">
            <v>800 RCC S/S NP3 CLASS</v>
          </cell>
        </row>
        <row r="57">
          <cell r="A57" t="str">
            <v>900 RCC S/S NP3 CLASS</v>
          </cell>
        </row>
        <row r="58">
          <cell r="A58" t="str">
            <v>1000 RCC S/S NP3 CLASS</v>
          </cell>
        </row>
        <row r="59">
          <cell r="A59" t="str">
            <v>1100 RCC S/S NP3 CLASS</v>
          </cell>
        </row>
        <row r="60">
          <cell r="A60" t="str">
            <v>1200 RCC S/S NP3 CLASS</v>
          </cell>
        </row>
        <row r="61">
          <cell r="A61" t="str">
            <v>1400 RCC S/S NP3 CLASS</v>
          </cell>
        </row>
        <row r="62">
          <cell r="A62" t="str">
            <v>1600 RCC S/S NP3 CLASS</v>
          </cell>
        </row>
        <row r="63">
          <cell r="A63" t="str">
            <v>1800 RCC S/S NP3 CLASS</v>
          </cell>
        </row>
        <row r="64">
          <cell r="A64" t="str">
            <v>80 RCC S/S NP4 CLASS</v>
          </cell>
        </row>
        <row r="65">
          <cell r="A65" t="str">
            <v>150 RCC S/S NP4 CLASS</v>
          </cell>
        </row>
        <row r="66">
          <cell r="A66" t="str">
            <v>200 RCC S/S NP4 CLASS</v>
          </cell>
        </row>
        <row r="67">
          <cell r="A67" t="str">
            <v>225 RCC S/S NP4 CLASS</v>
          </cell>
        </row>
        <row r="68">
          <cell r="A68" t="str">
            <v>250 RCC S/S NP4 CLASS</v>
          </cell>
        </row>
        <row r="69">
          <cell r="A69" t="str">
            <v>300 RCC S/S NP4 CLASS</v>
          </cell>
        </row>
        <row r="70">
          <cell r="A70" t="str">
            <v>350 RCC S/S NP4 CLASS</v>
          </cell>
        </row>
        <row r="71">
          <cell r="A71" t="str">
            <v>400 RCC S/S NP4 CLASS</v>
          </cell>
        </row>
        <row r="72">
          <cell r="A72" t="str">
            <v>450 RCC S/S NP4 CLASS</v>
          </cell>
        </row>
        <row r="73">
          <cell r="A73" t="str">
            <v>500 RCC S/S NP4 CLASS</v>
          </cell>
        </row>
        <row r="74">
          <cell r="A74" t="str">
            <v>600 RCC S/S NP4 CLASS</v>
          </cell>
        </row>
        <row r="75">
          <cell r="A75" t="str">
            <v>700 RCC S/S NP4 CLASS</v>
          </cell>
        </row>
        <row r="76">
          <cell r="A76" t="str">
            <v>800 RCC S/S NP4 CLASS</v>
          </cell>
        </row>
        <row r="77">
          <cell r="A77" t="str">
            <v>900 RCC S/S NP4 CLASS</v>
          </cell>
        </row>
        <row r="78">
          <cell r="A78" t="str">
            <v>1000 RCC S/S NP4 CLASS</v>
          </cell>
        </row>
        <row r="79">
          <cell r="A79" t="str">
            <v>1100 RCC S/S NP4 CLASS</v>
          </cell>
        </row>
        <row r="80">
          <cell r="A80" t="str">
            <v>1200 RCC S/S NP4 CLASS</v>
          </cell>
        </row>
        <row r="81">
          <cell r="A81" t="str">
            <v>1400 RCC S/S NP4 CLASS</v>
          </cell>
        </row>
        <row r="82">
          <cell r="A82" t="str">
            <v>1600 RCC S/S NP4 CLASS</v>
          </cell>
        </row>
        <row r="83">
          <cell r="A83" t="str">
            <v>1800 RCC S/S NP4 CLASS</v>
          </cell>
        </row>
      </sheetData>
      <sheetData sheetId="47">
        <row r="24">
          <cell r="A24" t="str">
            <v>80 RCC S/S P1 CLASS</v>
          </cell>
        </row>
        <row r="25">
          <cell r="A25" t="str">
            <v>100 RCC S/S P1 CLASS</v>
          </cell>
        </row>
        <row r="26">
          <cell r="A26" t="str">
            <v>150 RCC S/S P1 CLASS</v>
          </cell>
        </row>
        <row r="27">
          <cell r="A27" t="str">
            <v>200 RCC S/S P1 CLASS</v>
          </cell>
        </row>
        <row r="28">
          <cell r="A28" t="str">
            <v>225 RCC S/S P1 CLASS</v>
          </cell>
        </row>
        <row r="29">
          <cell r="A29" t="str">
            <v>250 RCC S/S P1 CLASS</v>
          </cell>
        </row>
        <row r="30">
          <cell r="A30" t="str">
            <v>300 RCC S/S P1 CLASS</v>
          </cell>
        </row>
        <row r="31">
          <cell r="A31" t="str">
            <v>350 RCC S/S P1 CLASS</v>
          </cell>
        </row>
        <row r="32">
          <cell r="A32" t="str">
            <v>400 RCC S/S P1 CLASS</v>
          </cell>
        </row>
        <row r="33">
          <cell r="A33" t="str">
            <v>450 RCC S/S P1 CLASS</v>
          </cell>
        </row>
        <row r="34">
          <cell r="A34" t="str">
            <v>500 RCC S/S P1 CLASS</v>
          </cell>
        </row>
        <row r="35">
          <cell r="A35" t="str">
            <v>600 RCC S/S P1 CLASS</v>
          </cell>
        </row>
        <row r="36">
          <cell r="A36" t="str">
            <v>700 RCC S/S P1 CLASS</v>
          </cell>
        </row>
        <row r="37">
          <cell r="A37" t="str">
            <v>800 RCC S/S P1 CLASS</v>
          </cell>
        </row>
        <row r="38">
          <cell r="A38" t="str">
            <v>900 RCC S/S P1 CLASS</v>
          </cell>
        </row>
        <row r="39">
          <cell r="A39" t="str">
            <v>1000 RCC S/S P1 CLASS</v>
          </cell>
        </row>
        <row r="40">
          <cell r="A40" t="str">
            <v>1100 RCC S/S P1 CLASS</v>
          </cell>
        </row>
        <row r="41">
          <cell r="A41" t="str">
            <v>1200 RCC S/S P1 CLASS</v>
          </cell>
        </row>
        <row r="42">
          <cell r="A42" t="str">
            <v>80 RCC S/S P2 CLASS</v>
          </cell>
        </row>
        <row r="43">
          <cell r="A43" t="str">
            <v>100 RCC S/S P2 CLASS</v>
          </cell>
        </row>
        <row r="44">
          <cell r="A44" t="str">
            <v>150 RCC S/S P2 CLASS</v>
          </cell>
        </row>
        <row r="45">
          <cell r="A45" t="str">
            <v>200 RCC S/S P2 CLASS</v>
          </cell>
        </row>
        <row r="46">
          <cell r="A46" t="str">
            <v>225 RCC S/S P2 CLASS</v>
          </cell>
        </row>
        <row r="47">
          <cell r="A47" t="str">
            <v>250 RCC S/S P2 CLASS</v>
          </cell>
        </row>
        <row r="48">
          <cell r="A48" t="str">
            <v>300 RCC S/S P2 CLASS</v>
          </cell>
        </row>
        <row r="49">
          <cell r="A49" t="str">
            <v>350 RCC S/S P2 CLASS</v>
          </cell>
        </row>
        <row r="50">
          <cell r="A50" t="str">
            <v>400 RCC S/S P2 CLASS</v>
          </cell>
        </row>
        <row r="51">
          <cell r="A51" t="str">
            <v>450 RCC S/S P2 CLASS</v>
          </cell>
        </row>
        <row r="52">
          <cell r="A52" t="str">
            <v>500 RCC S/S P2 CLASS</v>
          </cell>
        </row>
        <row r="53">
          <cell r="A53" t="str">
            <v>600 RCC S/S P2 CLASS</v>
          </cell>
        </row>
        <row r="54">
          <cell r="A54" t="str">
            <v>700 RCC S/S P2 CLASS</v>
          </cell>
        </row>
        <row r="55">
          <cell r="A55" t="str">
            <v>800 RCC S/S P2 CLASS</v>
          </cell>
        </row>
        <row r="56">
          <cell r="A56" t="str">
            <v>900 RCC S/S P2 CLASS</v>
          </cell>
        </row>
        <row r="57">
          <cell r="A57" t="str">
            <v>1000 RCC S/S P2 CLASS</v>
          </cell>
        </row>
        <row r="58">
          <cell r="A58" t="str">
            <v>1100 RCC S/S P2 CLASS</v>
          </cell>
        </row>
        <row r="59">
          <cell r="A59" t="str">
            <v>1200 RCC S/S P2 CLASS</v>
          </cell>
        </row>
        <row r="60">
          <cell r="A60" t="str">
            <v>80 RCC S/S P3 CLASS</v>
          </cell>
        </row>
        <row r="61">
          <cell r="A61" t="str">
            <v>100 RCC S/S P3 CLASS</v>
          </cell>
        </row>
        <row r="62">
          <cell r="A62" t="str">
            <v>150 RCC S/S P3 CLASS</v>
          </cell>
        </row>
        <row r="63">
          <cell r="A63" t="str">
            <v>200 RCC S/S P3 CLASS</v>
          </cell>
        </row>
        <row r="64">
          <cell r="A64" t="str">
            <v>225 RCC S/S P3 CLASS</v>
          </cell>
        </row>
        <row r="65">
          <cell r="A65" t="str">
            <v>250 RCC S/S P3 CLASS</v>
          </cell>
        </row>
        <row r="66">
          <cell r="A66" t="str">
            <v>300 RCC S/S P3 CLASS</v>
          </cell>
        </row>
        <row r="67">
          <cell r="A67" t="str">
            <v>350 RCC S/S P3 CLASS</v>
          </cell>
        </row>
        <row r="68">
          <cell r="A68" t="str">
            <v>400 RCC S/S P3 CLASS</v>
          </cell>
        </row>
        <row r="69">
          <cell r="A69" t="str">
            <v>450 RCC S/S P3 CLASS</v>
          </cell>
        </row>
        <row r="70">
          <cell r="A70" t="str">
            <v>500 RCC S/S P3 CLASS</v>
          </cell>
        </row>
        <row r="71">
          <cell r="A71" t="str">
            <v>600 RCC S/S P3 CLASS</v>
          </cell>
        </row>
        <row r="72">
          <cell r="A72" t="str">
            <v>700 RCC S/S P3 CLASS</v>
          </cell>
        </row>
        <row r="73">
          <cell r="A73" t="str">
            <v>800 RCC S/S P3 CLASS</v>
          </cell>
        </row>
        <row r="74">
          <cell r="A74" t="str">
            <v>900 RCC S/S P3 CLASS</v>
          </cell>
        </row>
        <row r="75">
          <cell r="A75" t="str">
            <v>1000 RCC S/S P3 CLASS</v>
          </cell>
        </row>
        <row r="76">
          <cell r="A76" t="str">
            <v>1100 RCC S/S P3 CLASS</v>
          </cell>
        </row>
        <row r="77">
          <cell r="A77" t="str">
            <v>1200 RCC S/S P3 CLASS</v>
          </cell>
        </row>
      </sheetData>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16">
          <cell r="G16">
            <v>76.63</v>
          </cell>
        </row>
      </sheetData>
      <sheetData sheetId="74"/>
      <sheetData sheetId="75">
        <row r="4">
          <cell r="A4">
            <v>80</v>
          </cell>
        </row>
      </sheetData>
      <sheetData sheetId="76">
        <row r="26">
          <cell r="B26">
            <v>80</v>
          </cell>
        </row>
      </sheetData>
      <sheetData sheetId="77"/>
      <sheetData sheetId="78"/>
      <sheetData sheetId="79"/>
      <sheetData sheetId="80"/>
      <sheetData sheetId="81"/>
      <sheetData sheetId="82">
        <row r="152">
          <cell r="D152">
            <v>1543</v>
          </cell>
        </row>
      </sheetData>
      <sheetData sheetId="83"/>
      <sheetData sheetId="84">
        <row r="7">
          <cell r="C7">
            <v>93</v>
          </cell>
        </row>
      </sheetData>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ow r="1">
          <cell r="DS1" t="str">
            <v>Manual means : Idle hire charges of trucks not added</v>
          </cell>
          <cell r="EI1" t="str">
            <v>Unsupported height : 3.66m : steel scaffolding</v>
          </cell>
          <cell r="GV1" t="str">
            <v>cement_concrete</v>
          </cell>
        </row>
        <row r="2">
          <cell r="DS2" t="str">
            <v>Manual means : Idle hire charges of trucks added</v>
          </cell>
          <cell r="DU2" t="str">
            <v>Between Basement &amp; Ist Floor</v>
          </cell>
          <cell r="DZ2" t="str">
            <v>Ist Floor</v>
          </cell>
          <cell r="EE2" t="str">
            <v>Between Basement &amp; Ist Floor</v>
          </cell>
          <cell r="EI2" t="str">
            <v>Unsupported height : 4.27m : steel scaffolding</v>
          </cell>
          <cell r="GV2" t="str">
            <v>Cost of Plain CC M20-Nominal Mix with 20mm HBG metalwith Hand mixing</v>
          </cell>
          <cell r="HL2" t="str">
            <v>Cement plastering (1:3) 12mm - Between Basement &amp; Ist Floor</v>
          </cell>
        </row>
        <row r="3">
          <cell r="DS3" t="str">
            <v>Machine means : Idle hire charges of trucks added</v>
          </cell>
          <cell r="DU3" t="str">
            <v>Between Ist &amp; IInd Floor</v>
          </cell>
          <cell r="DZ3" t="str">
            <v>IInd Floor</v>
          </cell>
          <cell r="EE3" t="str">
            <v>Between Ist &amp; IInd Floor</v>
          </cell>
          <cell r="EI3" t="str">
            <v>Unsupported height :4.88m : steel scaffolding</v>
          </cell>
          <cell r="GV3" t="str">
            <v>Cost of Plain CC M10-Nominal Mix with 40mm HBG metal using concrete mixer</v>
          </cell>
          <cell r="HC3" t="str">
            <v>Cost of Plain CC M20-Nominal Mix with 20mm HBG metalwith Hand mixing</v>
          </cell>
          <cell r="HL3" t="str">
            <v>Cement plastering (1:4) 12mm - Between Basement &amp; Ist Floor</v>
          </cell>
        </row>
        <row r="4">
          <cell r="DF4" t="str">
            <v>50 mts</v>
          </cell>
          <cell r="DO4" t="str">
            <v>0.00-3.00</v>
          </cell>
          <cell r="DU4" t="str">
            <v>Between IInd &amp; IIIrd Floor</v>
          </cell>
          <cell r="DZ4" t="str">
            <v>IIIrd Floor</v>
          </cell>
          <cell r="EE4" t="str">
            <v>Between IInd &amp; IIIrd Floor</v>
          </cell>
          <cell r="EI4" t="str">
            <v>Unsupported height :5.49m : steel scaffolding</v>
          </cell>
          <cell r="GV4" t="str">
            <v xml:space="preserve">Cost of PCC Grade M15 - Nominal mix 1:2.5:5 (Hand mixing) with 40mm HBG Graded metal </v>
          </cell>
          <cell r="HC4" t="str">
            <v>Cost of Plain CC M10-Nominal Mix with 40mm HBG metal using concrete mixer</v>
          </cell>
          <cell r="HL4" t="str">
            <v>Cement plastering (1:5) 12mm - Between Basement &amp; Ist Floor</v>
          </cell>
        </row>
        <row r="5">
          <cell r="DF5" t="str">
            <v>100 mts</v>
          </cell>
          <cell r="DO5" t="str">
            <v>3.00-4.00</v>
          </cell>
          <cell r="DU5" t="str">
            <v>Between IIIrd &amp; IVrth Floor</v>
          </cell>
          <cell r="DZ5" t="str">
            <v>IVrth Floor</v>
          </cell>
          <cell r="EE5" t="str">
            <v>Between IIIrd &amp; IVrth Floor</v>
          </cell>
          <cell r="EI5" t="str">
            <v>Unsupported height :6.10m : steel scaffolding</v>
          </cell>
          <cell r="GV5" t="str">
            <v>Cost of CC(1:4:8) with 40mm HBG metal with Hand mixing</v>
          </cell>
          <cell r="HC5" t="str">
            <v xml:space="preserve">Cost of PCC Grade M15 - Nominal mix 1:2.5:5 (Hand mixing) with 40mm HBG Graded metal </v>
          </cell>
          <cell r="HL5" t="str">
            <v>Cement plastering (1:6) 12mm - Between Basement &amp; Ist Floor</v>
          </cell>
        </row>
        <row r="6">
          <cell r="DF6" t="str">
            <v>150 mts</v>
          </cell>
          <cell r="DO6" t="str">
            <v>4.00-5.00</v>
          </cell>
          <cell r="DU6" t="str">
            <v>Between IVth &amp; Vth Floor</v>
          </cell>
          <cell r="DZ6" t="str">
            <v>Vth Floor</v>
          </cell>
          <cell r="EE6" t="str">
            <v>Between IVth &amp; Vth Floor</v>
          </cell>
          <cell r="EI6" t="str">
            <v>Unsupported height :6.71m : steel scaffolding</v>
          </cell>
          <cell r="GV6" t="str">
            <v>Cost of CC(1:4:8) with 40mm HBG metal with Machine mixer</v>
          </cell>
          <cell r="HC6" t="str">
            <v>Cost of CC(1:4:8) with 40mm HBG metal with Hand mixing</v>
          </cell>
          <cell r="HL6" t="str">
            <v>Cement plastering (1:8) 12mm - Between Basement &amp; Ist Floor</v>
          </cell>
        </row>
        <row r="7">
          <cell r="DF7" t="str">
            <v>1 Km</v>
          </cell>
          <cell r="DO7" t="str">
            <v>5.00-6.00</v>
          </cell>
          <cell r="DU7" t="str">
            <v>Between Vth &amp; VIth Floor</v>
          </cell>
          <cell r="DZ7" t="str">
            <v>VIth Floor</v>
          </cell>
          <cell r="EE7" t="str">
            <v>Between Vth &amp; VIth Floor</v>
          </cell>
          <cell r="EI7" t="str">
            <v>Unsupported height : 7.32m : steel scaffolding</v>
          </cell>
          <cell r="GV7" t="str">
            <v>Cost of CC(1:5:10) with 40mm HBG metal with Hand mixing</v>
          </cell>
          <cell r="HC7" t="str">
            <v>Cost of CC(1:4:8) with 40mm HBG metal with Machine mixer</v>
          </cell>
          <cell r="HL7" t="str">
            <v>Cement plastering (1:4) 15mm - Between Basement &amp; Ist Floor</v>
          </cell>
        </row>
        <row r="8">
          <cell r="DF8" t="str">
            <v>2 Km</v>
          </cell>
          <cell r="DO8" t="str">
            <v>6.00-7.00</v>
          </cell>
          <cell r="DU8" t="str">
            <v>BetweenVIth &amp; VIIth Floor</v>
          </cell>
          <cell r="DZ8" t="str">
            <v>VIIth Floor</v>
          </cell>
          <cell r="EE8" t="str">
            <v>BetweenVIth &amp; VIIth Floor</v>
          </cell>
          <cell r="EI8" t="str">
            <v>Unsupported height : 3.66m : wooden scaffolding</v>
          </cell>
          <cell r="GV8" t="str">
            <v>Cost of CC(1:5:10) with 40mm HBG metal with machine mixing</v>
          </cell>
          <cell r="HC8" t="str">
            <v>Cost of CC(1:5:10) with 40mm HBG metal with Hand mixing</v>
          </cell>
          <cell r="HL8" t="str">
            <v>Cement plastering (1:3) 15mm - Between Basement &amp; Ist Floor</v>
          </cell>
        </row>
        <row r="9">
          <cell r="DF9" t="str">
            <v>3 Km</v>
          </cell>
          <cell r="DO9" t="str">
            <v>7.00-8.00</v>
          </cell>
          <cell r="DU9" t="str">
            <v>Between VIIth &amp; VIIIth Floor</v>
          </cell>
          <cell r="DZ9" t="str">
            <v>VIIIth Floor</v>
          </cell>
          <cell r="EE9" t="str">
            <v>Between VIIth &amp; VIIIth Floor</v>
          </cell>
          <cell r="GV9" t="str">
            <v>Cost of CC(1:6:10) with 40mm HBG metal with Hand mixing</v>
          </cell>
          <cell r="HC9" t="str">
            <v>Cost of CC(1:5:10) with 40mm HBG metal with machine mixing</v>
          </cell>
          <cell r="HL9" t="str">
            <v>Cement plastering (1:5) 15mm - Between Basement &amp; Ist Floor</v>
          </cell>
        </row>
        <row r="10">
          <cell r="DF10" t="str">
            <v>4 Km</v>
          </cell>
          <cell r="DO10" t="str">
            <v>8.00-9.00</v>
          </cell>
          <cell r="DU10" t="str">
            <v>Between VIIIth &amp; IXth Floor</v>
          </cell>
          <cell r="DZ10" t="str">
            <v>IXth Floor</v>
          </cell>
          <cell r="EE10" t="str">
            <v>Between VIIIth &amp; IXth Floor</v>
          </cell>
          <cell r="GV10" t="str">
            <v>Cost of CC(1:6:10) with 40mm HBG metal with machine mixing</v>
          </cell>
          <cell r="HC10" t="str">
            <v>Cost of CC(1:6:10) with 40mm HBG metal with Hand mixing</v>
          </cell>
          <cell r="HL10" t="str">
            <v>Cement plastering (1:6) 15mm - Between Basement &amp; Ist Floor</v>
          </cell>
        </row>
        <row r="11">
          <cell r="DF11" t="str">
            <v>5 Km</v>
          </cell>
          <cell r="DO11" t="str">
            <v>9.00-10.00</v>
          </cell>
          <cell r="GV11" t="str">
            <v>Cost of CC(1:3:6) with 40mm HBG metal with hand mixing</v>
          </cell>
          <cell r="HC11" t="str">
            <v>Cost of CC(1:6:10) with 40mm HBG metal with machine mixing</v>
          </cell>
          <cell r="HL11" t="str">
            <v>Cement plastering (1:8) 15mm - Between Basement &amp; Ist Floor</v>
          </cell>
        </row>
        <row r="12">
          <cell r="DF12" t="str">
            <v>6 Km</v>
          </cell>
          <cell r="DO12" t="str">
            <v>10.00-11.00</v>
          </cell>
          <cell r="GV12" t="str">
            <v>Cost of Plain CC M20 with 20mm HBG metal with machine mixing</v>
          </cell>
          <cell r="HC12" t="str">
            <v>Cost of CC(1:3:6) with 40mm HBG metal with hand mixing</v>
          </cell>
          <cell r="HL12" t="str">
            <v>Cement plastering (1:4) 20mm - Between Basement &amp; Ist Floor</v>
          </cell>
        </row>
        <row r="13">
          <cell r="DF13" t="str">
            <v>7 Km</v>
          </cell>
          <cell r="DO13" t="str">
            <v>11.00-12.00</v>
          </cell>
          <cell r="GV13" t="str">
            <v>Cost of Plain CC M15 with 40mm HBG Graded metal with machine mixing</v>
          </cell>
          <cell r="HC13" t="str">
            <v>Cost of Plain CC M20 with 20mm HBG metal with machine mixing</v>
          </cell>
          <cell r="HL13" t="str">
            <v>Cement plastering (1:3) 20mm - Between Basement &amp; Ist Floor</v>
          </cell>
        </row>
        <row r="14">
          <cell r="DF14" t="str">
            <v>8 Km</v>
          </cell>
          <cell r="DO14" t="str">
            <v>12.00-13.00</v>
          </cell>
          <cell r="HC14" t="str">
            <v>Cost of Plain CC M15 with 40mm HBG Graded metal with machine mixing</v>
          </cell>
          <cell r="HL14" t="str">
            <v>Cement plastering (1:5) 20mm - Between Basement &amp; Ist Floor</v>
          </cell>
        </row>
        <row r="15">
          <cell r="DF15" t="str">
            <v>9 Km</v>
          </cell>
          <cell r="DO15" t="str">
            <v>13.00-14.00</v>
          </cell>
          <cell r="HC15" t="str">
            <v>Cost of R.C.C. M-20 Nominal Mix  for Foundations, Plinth, Pedestals (Below Plinth)</v>
          </cell>
          <cell r="HL15" t="str">
            <v>Cement plastering (1:6) 20mm - Between Basement &amp; Ist Floor</v>
          </cell>
        </row>
        <row r="16">
          <cell r="DF16" t="str">
            <v>10 Km</v>
          </cell>
          <cell r="DO16" t="str">
            <v>14.00-15.00</v>
          </cell>
          <cell r="HC16" t="str">
            <v>Cost of R.C.C. M-20 Nominal Mix  for Columns, Lintels, Water tanks, RCC Walls in Buildings</v>
          </cell>
          <cell r="HL16" t="str">
            <v>Cement plastering (1:8) 20mm - Between Basement &amp; Ist Floor</v>
          </cell>
        </row>
        <row r="17">
          <cell r="DF17" t="str">
            <v>11 Km</v>
          </cell>
          <cell r="DO17" t="str">
            <v>15.00-16.00</v>
          </cell>
          <cell r="HC17" t="str">
            <v>Cost of R.C.C. M-20 Nominal Mix  for RCC Slabs,Beams</v>
          </cell>
          <cell r="HL17" t="str">
            <v>Cement plastering (1:1) 12mm-To the Ground Floor</v>
          </cell>
        </row>
        <row r="18">
          <cell r="DF18" t="str">
            <v>12 Km</v>
          </cell>
          <cell r="DO18" t="str">
            <v>16.00-17.00</v>
          </cell>
          <cell r="HC18" t="str">
            <v>Cost of R.C.C. M-30 Design Mix Concrete using WEIGH BATCHER/MIXER  for Foundations, Plinth, Pedestals (Below Plinth)</v>
          </cell>
          <cell r="HL18" t="str">
            <v>Cement plastering (1:1) 12mm-To the ceiling of Ist Floor</v>
          </cell>
        </row>
        <row r="19">
          <cell r="DF19" t="str">
            <v>13 Km</v>
          </cell>
          <cell r="DO19" t="str">
            <v>17.00-18.00</v>
          </cell>
          <cell r="HC19" t="str">
            <v>Cost of R.C.C. M-30 Design Mix Concrete using WEIGH BATCHER/MIXER  for Columns, Lintels, Water tanks, RCC Walls in Buildings</v>
          </cell>
          <cell r="HL19" t="str">
            <v>Cement plastering (1:1.50) 12mm-To the Ground Floor</v>
          </cell>
        </row>
        <row r="20">
          <cell r="DF20" t="str">
            <v>14 Km</v>
          </cell>
          <cell r="DO20" t="str">
            <v>18.00-19.00</v>
          </cell>
          <cell r="HC20" t="str">
            <v>Cost of R.C.C. M-30 Design Mix Concrete using WEIGH BATCHER/MIXER  for RCC Slabs,Beams</v>
          </cell>
          <cell r="HL20" t="str">
            <v>Cement plastering (1:1.50) 12mm-To the ceiling of Ist Floor</v>
          </cell>
        </row>
        <row r="21">
          <cell r="DF21" t="str">
            <v>15 Km</v>
          </cell>
          <cell r="DO21" t="str">
            <v>19.00-20.00</v>
          </cell>
          <cell r="HC21" t="str">
            <v>Cost of RCC-M20 Nominal mix with 20mm HBG Graded metal With Machine mixing</v>
          </cell>
          <cell r="HL21" t="str">
            <v>Cement plastering (1:3) 12mm-To the Ground Floor</v>
          </cell>
        </row>
        <row r="22">
          <cell r="DF22" t="str">
            <v>16 Km</v>
          </cell>
          <cell r="DO22" t="str">
            <v>20.00-21.00</v>
          </cell>
          <cell r="HC22" t="str">
            <v>Cost of RCC-M20 Design mix with 20mm HBG Graded metal With Machine mixing</v>
          </cell>
          <cell r="HL22" t="str">
            <v>Cement plastering (1:3) 12mm-To the ceiling of Ist Floor</v>
          </cell>
        </row>
        <row r="23">
          <cell r="DF23" t="str">
            <v>17 Km</v>
          </cell>
          <cell r="DO23" t="str">
            <v>21.00-22.00</v>
          </cell>
          <cell r="HC23" t="str">
            <v>Cost of RCC-M25 Design mix with 20mm HBG Graded metal With Machine mixing</v>
          </cell>
          <cell r="HL23" t="str">
            <v>Cement plastering (1:4) 12mm-To the Ground Floor</v>
          </cell>
        </row>
        <row r="24">
          <cell r="DF24" t="str">
            <v>18 Km</v>
          </cell>
          <cell r="DO24" t="str">
            <v>22.00-23.00</v>
          </cell>
          <cell r="HC24" t="str">
            <v>Cost of RCC-M30 Design mix with 20mm HBG Graded metal With Machine mixing</v>
          </cell>
          <cell r="HL24" t="str">
            <v>Cement plastering (1:4) 12mm-To the ceiling of Ist Floor</v>
          </cell>
        </row>
        <row r="25">
          <cell r="DF25" t="str">
            <v>19 Km</v>
          </cell>
          <cell r="DO25" t="str">
            <v>23.00-24.00</v>
          </cell>
          <cell r="HC25" t="str">
            <v>Cost of RCC-M35 Design mix with 20mm HBG Graded metal With Machine mixing</v>
          </cell>
          <cell r="HL25" t="str">
            <v>Cement plastering (1:5) 12mm-To the Ground Floor</v>
          </cell>
        </row>
        <row r="26">
          <cell r="DF26" t="str">
            <v>20 Km</v>
          </cell>
          <cell r="DO26" t="str">
            <v>24.00-25.00</v>
          </cell>
          <cell r="HC26" t="str">
            <v>Cost of PCC-M10 Nominal mix (1:3:6) with 40mm HBG metal With Machine mixing for Plain/Renforced concrete in open foundations</v>
          </cell>
          <cell r="HL26" t="str">
            <v>Cement plastering (1:5) 12mm-To the ceiling of Ist Floor</v>
          </cell>
        </row>
        <row r="27">
          <cell r="HC27" t="str">
            <v>Cost of PCC-M10 Nominal mix (1:3:6) with 40mm HBG Graded metal With Hand mixingfor Plain/Renforced concrete in open foundations</v>
          </cell>
          <cell r="HL27" t="str">
            <v>Cement plastering (1:6) 12mm-To the Ground Floor</v>
          </cell>
        </row>
        <row r="28">
          <cell r="HC28" t="str">
            <v>Cost of PCC-M15 Nominal mix (1:2.5:5) with 40mm HBG Graded metal With Machine mixingfor Plain/Renforced concrete in open foundations</v>
          </cell>
          <cell r="HL28" t="str">
            <v>Cement plastering (1:6) 12mm-To the ceiling of Ist Floor</v>
          </cell>
        </row>
        <row r="29">
          <cell r="HC29" t="str">
            <v>Cost of PCC-M15 Nominal mix (1:2.5:5) with 40mm HBG Graded metal With Hand mixingfor Plain/Renforced concrete in open foundations</v>
          </cell>
          <cell r="HL29" t="str">
            <v>Cement plastering (1:1) 15mm-To the Ground Floor</v>
          </cell>
        </row>
        <row r="30">
          <cell r="HC30" t="str">
            <v>Cost of PCC-M20 Nominal mix (1:2:4) with 40mm HBG Graded metal With Machine mixingfor Plain/Renforced concrete in open foundations</v>
          </cell>
          <cell r="HL30" t="str">
            <v>Cement plastering (1:1) 15mm-To the ceiling of Ist Floor</v>
          </cell>
        </row>
        <row r="31">
          <cell r="HC31" t="str">
            <v>Cost of PCC-M20 Nominal mix (1:2:4) with 40mm HBG Graded metal With Hand mixingfor Plain/Renforced concrete in open foundations</v>
          </cell>
          <cell r="HL31" t="str">
            <v>Cement plastering (1:1.50) 15mm-To the Ground Floor</v>
          </cell>
        </row>
        <row r="32">
          <cell r="HC32" t="str">
            <v>Cost of PCC-M15 Design mix with 40mm HBG Graded metal With Machine mixing for Plain/Renforced concrete in open foundations</v>
          </cell>
          <cell r="HL32" t="str">
            <v>Cement plastering (1:1.50) 15mm-To the ceiling of Ist Floor</v>
          </cell>
        </row>
        <row r="33">
          <cell r="HC33" t="str">
            <v>Cost of PCC-M20 Design mix with 40mm HBG Graded metal With Machine mixingfor Plain/Renforced concrete in open foundations</v>
          </cell>
          <cell r="HL33" t="str">
            <v>Cement plastering (1:3) 15mm-To the Ground Floor</v>
          </cell>
        </row>
        <row r="34">
          <cell r="HC34" t="str">
            <v>Cost of RCC-M30 Design mix 1 with 20mm HBG Graded metal With Machine mixing</v>
          </cell>
          <cell r="HL34" t="str">
            <v>Cement plastering (1:3) 15mm-To the ceiling of Ist Floor</v>
          </cell>
        </row>
        <row r="35">
          <cell r="HC35" t="str">
            <v>Cost of RCC-M30 Design mix 2 with 20mm HBG Graded metal With Machine mixing</v>
          </cell>
          <cell r="HL35" t="str">
            <v>Cement plastering (1:4) 15mm-To the Ground Floor</v>
          </cell>
        </row>
        <row r="36">
          <cell r="HC36" t="str">
            <v>Cost of RCC-M30 Design mix 3 with 20mm HBG Graded metal With Machine mixing</v>
          </cell>
          <cell r="HL36" t="str">
            <v>Cement plastering (1:4) 15mm-To the ceiling of Ist Floor</v>
          </cell>
        </row>
        <row r="37">
          <cell r="HC37" t="str">
            <v>Cost of RCC-M30 Design mix 4 with 20mm HBG Graded metal With Machine mixing</v>
          </cell>
          <cell r="HL37" t="str">
            <v>Cement plastering (1:5) 15mm-To the Ground Floor</v>
          </cell>
        </row>
        <row r="38">
          <cell r="HC38" t="str">
            <v>Cost of R.C.C. M-30 Design Mix  for Foundations, Plinth, Pedestals (Below Plinth)</v>
          </cell>
          <cell r="HL38" t="str">
            <v>Cement plastering (1:5) 15mm-To the ceiling of Ist Floor</v>
          </cell>
        </row>
        <row r="39">
          <cell r="HC39" t="str">
            <v>Cost of R.C.C. M-30 Design Mix  for Columns, Lintels, Water tanks, RCC Walls in Buildings</v>
          </cell>
          <cell r="HL39" t="str">
            <v>Cement plastering (1:6) 15mm-To the Ground Floor</v>
          </cell>
        </row>
        <row r="40">
          <cell r="HC40" t="str">
            <v>Cost of R.C.C. M-30 Design Mix  for RCC Slabs,Beams</v>
          </cell>
          <cell r="HL40" t="str">
            <v>Cement plastering (1:6) 15mm-To the ceiling of Ist Floor</v>
          </cell>
        </row>
        <row r="41">
          <cell r="HL41" t="str">
            <v>Cement plastering (1:1) 20mm-To the Ground Floor</v>
          </cell>
        </row>
        <row r="42">
          <cell r="HL42" t="str">
            <v>Cement plastering (1:1) 20mm-To the ceiling of Ist Floor</v>
          </cell>
        </row>
        <row r="43">
          <cell r="HL43" t="str">
            <v>Cement plastering (1:1.50) 20mm-To the Ground Floor</v>
          </cell>
        </row>
        <row r="44">
          <cell r="HL44" t="str">
            <v>Cement plastering (1:1.50) 20mm-To the ceiling of Ist Floor</v>
          </cell>
        </row>
        <row r="45">
          <cell r="HL45" t="str">
            <v>Cement plastering (1:3) 20mm-To the Ground Floor</v>
          </cell>
        </row>
        <row r="46">
          <cell r="HL46" t="str">
            <v>Cement plastering (1:3) 20mm-To the ceiling of Ist Floor</v>
          </cell>
        </row>
        <row r="47">
          <cell r="HL47" t="str">
            <v>Cement plastering (1:4) 20mm-To the Ground Floor</v>
          </cell>
        </row>
        <row r="48">
          <cell r="HL48" t="str">
            <v>Cement plastering (1:4) 20mm-To the ceiling of Ist Floor</v>
          </cell>
        </row>
        <row r="49">
          <cell r="HL49" t="str">
            <v>Cement plastering (1:5) 20mm-To the Ground Floor</v>
          </cell>
        </row>
        <row r="50">
          <cell r="HL50" t="str">
            <v>Cement plastering (1:5) 20mm-To the ceiling of Ist Floor</v>
          </cell>
        </row>
        <row r="51">
          <cell r="HL51" t="str">
            <v>Cement plastering (1:6) 20mm-To the Ground Floor</v>
          </cell>
        </row>
        <row r="52">
          <cell r="HL52" t="str">
            <v>Cement plastering (1:6) 20mm-To the ceiling of Ist Floor</v>
          </cell>
        </row>
      </sheetData>
      <sheetData sheetId="102">
        <row r="2">
          <cell r="A2">
            <v>0</v>
          </cell>
        </row>
      </sheetData>
      <sheetData sheetId="103"/>
      <sheetData sheetId="104"/>
      <sheetData sheetId="105"/>
      <sheetData sheetId="106"/>
      <sheetData sheetId="107"/>
      <sheetData sheetId="108"/>
      <sheetData sheetId="109"/>
      <sheetData sheetId="110"/>
      <sheetData sheetId="111">
        <row r="1">
          <cell r="C1">
            <v>1</v>
          </cell>
        </row>
      </sheetData>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refreshError="1"/>
      <sheetData sheetId="139"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CD-DATA"/>
      <sheetName val="F7-1v1000-0 (3)"/>
      <sheetName val="DATA"/>
      <sheetName val="F6-Estt"/>
      <sheetName val="ABST(PART B) "/>
      <sheetName val="F6-Gnrl Abstrt"/>
      <sheetName val="Cover-MEstt."/>
      <sheetName val="F7-1v1000-0_(3)"/>
      <sheetName val="ABST(PART_B)_"/>
      <sheetName val="F6-Gnrl_Abstrt"/>
      <sheetName val="Cover-MEstt_"/>
      <sheetName val="Road Detail Est."/>
      <sheetName val="Road data"/>
      <sheetName val="detls"/>
      <sheetName val="Levels"/>
      <sheetName val="r"/>
      <sheetName val="cert"/>
      <sheetName val="F7-1v1000-0_(3)1"/>
      <sheetName val="ABST(PART_B)_1"/>
      <sheetName val="F6-Gnrl_Abstrt1"/>
      <sheetName val="Cover-MEstt_1"/>
      <sheetName val="Road_Detail_Est_"/>
      <sheetName val="Road_data"/>
      <sheetName val="R/ad Detail Est."/>
      <sheetName val="leads"/>
      <sheetName val="rdamdata"/>
      <sheetName val="pvc-pipe-rates"/>
      <sheetName val="R_ad Detail Est."/>
      <sheetName val="Specification"/>
      <sheetName val="Plant &amp;  Machinery"/>
      <sheetName val="sch"/>
      <sheetName val="RMR"/>
      <sheetName val="ssr-rates"/>
      <sheetName val="0000000000000"/>
      <sheetName val="R_Det"/>
      <sheetName val="Material"/>
      <sheetName val="Labour"/>
      <sheetName val="MRATES"/>
      <sheetName val="t_prsr"/>
      <sheetName val="wh"/>
      <sheetName val="int-Dia-pvc"/>
      <sheetName val="Input"/>
      <sheetName val="[Yamanapalli to Mahamutharam (M"/>
      <sheetName val="quarry"/>
      <sheetName val="lead-st"/>
      <sheetName val="Rate"/>
      <sheetName val=" data sheet "/>
      <sheetName val="PVC_dia"/>
      <sheetName val="Bitumen trunk"/>
      <sheetName val="Feeder"/>
      <sheetName val="R99 etc"/>
      <sheetName val="Trunk unpaved"/>
      <sheetName val="Cd"/>
      <sheetName val="Cs"/>
      <sheetName val="CPIPE"/>
      <sheetName val="THK"/>
      <sheetName val="CPIPE 1"/>
      <sheetName val="CABLE DATA"/>
      <sheetName val="LEAD STATEMENT"/>
      <sheetName val="m1"/>
      <sheetName val="_Yamanapalli to Mahamutharam (M"/>
      <sheetName val="temp-SDData (2)"/>
      <sheetName val="coverpage"/>
      <sheetName val="Sheet1"/>
      <sheetName val="BWSCPlt"/>
      <sheetName val="CI"/>
      <sheetName val="DI"/>
      <sheetName val="G.R.P"/>
      <sheetName val="HDPE"/>
      <sheetName val="PSC REVISED"/>
      <sheetName val="pvc"/>
      <sheetName val="DATA SHEET"/>
      <sheetName val="PVC weights"/>
      <sheetName val="l"/>
      <sheetName val="maya"/>
      <sheetName val="1-Pop Proj"/>
      <sheetName val="1V of 2m slab"/>
      <sheetName val="2V of 3.0Mslab"/>
      <sheetName val="Sheet2"/>
      <sheetName val="Boq"/>
      <sheetName val="1V800"/>
      <sheetName val="Common "/>
      <sheetName val="sand"/>
      <sheetName val="stone"/>
      <sheetName val="index"/>
      <sheetName val="pvc-rates"/>
      <sheetName val="F7-1v1000-0_(3)2"/>
      <sheetName val="ABST(PART_B)_2"/>
      <sheetName val="F6-Gnrl_Abstrt2"/>
      <sheetName val="Cover-MEstt_2"/>
      <sheetName val="Road_Detail_Est_1"/>
      <sheetName val="Road_data1"/>
      <sheetName val="R/ad_Detail_Est_"/>
      <sheetName val="R_ad_Detail_Est_"/>
      <sheetName val="Plant_&amp;__Machinery"/>
      <sheetName val="_Yamanapalli_to_Mahamutharam__2"/>
      <sheetName val="Line"/>
      <sheetName val="COVER"/>
      <sheetName val="F7-1v1000-0_(3)3"/>
      <sheetName val="ABST(PART_B)_3"/>
      <sheetName val="F6-Gnrl_Abstrt3"/>
      <sheetName val="Cover-MEstt_3"/>
      <sheetName val="Road_Detail_Est_2"/>
      <sheetName val="Road_data2"/>
      <sheetName val="R/ad_Detail_Est_1"/>
      <sheetName val="R_ad_Detail_Est_1"/>
      <sheetName val="Plant_&amp;__Machinery1"/>
      <sheetName val="RECAPITULATION"/>
      <sheetName val="final abstract"/>
      <sheetName val="BOQ_Direct_selling cost"/>
      <sheetName val="Rate analysis"/>
      <sheetName val="GROUND FLOOR"/>
      <sheetName val="R_Det esst"/>
      <sheetName val="v"/>
      <sheetName val="CD_All_No_"/>
      <sheetName val="GA"/>
      <sheetName val="m"/>
      <sheetName val="Rising Main"/>
      <sheetName val="mlead"/>
      <sheetName val="Data.F8.BTR"/>
      <sheetName val="LEAD.2014-15 West"/>
      <sheetName val="MTC-estimate"/>
      <sheetName val="DATA_PRG"/>
      <sheetName val="Usage"/>
      <sheetName val="Staff Acco."/>
      <sheetName val="_Yamanapalli_to_Mahamutharam__3"/>
      <sheetName val="Sorted"/>
      <sheetName val="water-hammar-strenght"/>
      <sheetName val="WATER-HAMMER"/>
      <sheetName val="hdpe weights"/>
      <sheetName val="Nspt-smp-final-ORIGINAL"/>
      <sheetName val="Cable-data"/>
      <sheetName val="well-cap"/>
      <sheetName val="Data_Renuals"/>
      <sheetName val="_Yamanapalli_to_Mahamutharam__4"/>
      <sheetName val="_Yamanapalli_to_Mahamutharam__5"/>
      <sheetName val="p&amp;m"/>
      <sheetName val="Specification report"/>
      <sheetName val="BOXCELL"/>
      <sheetName val="BOXCULVERT"/>
      <sheetName val="Cut Fill"/>
      <sheetName val="FORM5"/>
      <sheetName val="Habitation"/>
      <sheetName val="Maintenance"/>
      <sheetName val="Proforma B"/>
      <sheetName val="RET "/>
      <sheetName val="TOE"/>
      <sheetName val="Traffic"/>
      <sheetName val="Estt"/>
      <sheetName val="Analy"/>
      <sheetName val="HDPE-pipe-rates"/>
      <sheetName val="id"/>
      <sheetName val="Lead Distance"/>
      <sheetName val="Road-furniture "/>
      <sheetName val="Analysis-NH-Roads"/>
      <sheetName val="TBAL9697 -group wise  sdpl"/>
      <sheetName val="HS 1"/>
      <sheetName val="wh_data"/>
      <sheetName val="wh_data_R"/>
      <sheetName val="CPHEEO"/>
      <sheetName val="JAWAHAR-hyd-original"/>
      <sheetName val="LEAD (2)"/>
      <sheetName val="habs-details"/>
      <sheetName val="int-Dia"/>
      <sheetName val="habs-list"/>
      <sheetName val="mas_hab"/>
      <sheetName val="PM&amp;GM"/>
      <sheetName val="mroad data"/>
      <sheetName val="abs"/>
      <sheetName val="pop"/>
      <sheetName val="Data "/>
      <sheetName val="CBL_SIZE"/>
      <sheetName val="Load List"/>
      <sheetName val="CBL_OD"/>
      <sheetName val="_Yamanapalli_to_Mahamutharam__6"/>
      <sheetName val="DATA-BASE"/>
      <sheetName val="DATA-ABSTRACT"/>
      <sheetName val="SSR 2014-15 Rates"/>
      <sheetName val="_Yamanapalli_to_Mahamutharam__7"/>
      <sheetName val="_Yamanapalli_to_Mahamutharam__8"/>
      <sheetName val="Iocount"/>
      <sheetName val="_Yamanapalli_to_Mahamutharam__9"/>
      <sheetName val="_Yamanapalli_to_Mahamutharam_10"/>
      <sheetName val="_Yamanapalli_to_Mahamutharam_11"/>
      <sheetName val="hdpe_basic"/>
      <sheetName val="pvc_basic"/>
      <sheetName val="Sheet1 (2)"/>
      <sheetName val="ewst"/>
      <sheetName val="11.habitations"/>
      <sheetName val="AV-HDPE"/>
      <sheetName val="Di_gate-HDPE"/>
      <sheetName val="PUMP_DATA"/>
      <sheetName val="int-Dia-hdpe"/>
      <sheetName val="FORM7"/>
      <sheetName val="AV_AC"/>
      <sheetName val="di_Gate_AC"/>
      <sheetName val="Digate-BWSCP-MS"/>
      <sheetName val="DI_gate_di"/>
      <sheetName val="hyperstatic"/>
      <sheetName val="Lead 09-10"/>
      <sheetName val="abs road"/>
      <sheetName val="other rates"/>
      <sheetName val="WORDS"/>
      <sheetName val="LOCAL RATES"/>
      <sheetName val="ANALYSIS"/>
      <sheetName val="MRMECADAMoad data"/>
      <sheetName val="road est"/>
      <sheetName val="Schedule"/>
      <sheetName val="_Yamanapalli_to_Mahamutharam_12"/>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XXXXXXX"/>
      <sheetName val="XXXXXXXXXXXX0"/>
      <sheetName val="Cover Page"/>
      <sheetName val="Specification report"/>
      <sheetName val="GA "/>
      <sheetName val="Data -Hostel Building  (2)"/>
      <sheetName val="Est. Expansion joint "/>
      <sheetName val="Sub-estimate electrical"/>
      <sheetName val="LEAD- "/>
      <sheetName val="Rates SSR 2008-09"/>
      <sheetName val="Toilet block "/>
      <sheetName val="Bore well &amp; Motor"/>
      <sheetName val="Sub-estimate for Sanitary &amp; Int"/>
      <sheetName val="Compound wall "/>
      <sheetName val="Doors &amp; Windows "/>
      <sheetName val="MS Windows"/>
      <sheetName val="Bitumen trunk"/>
      <sheetName val="Feeder"/>
      <sheetName val="R99 etc"/>
      <sheetName val="Trunk unpaved"/>
      <sheetName val="Estimate "/>
      <sheetName val="MRATES"/>
      <sheetName val="Data.F8.BTR"/>
      <sheetName val="DATA-BASE"/>
      <sheetName val="DATA-ABSTRACT"/>
      <sheetName val="m"/>
      <sheetName val="LEAD"/>
      <sheetName val="Lead statement"/>
      <sheetName val="SSR 2010-11 Rates"/>
      <sheetName val="wh_data_R"/>
      <sheetName val="GF SB Ok "/>
      <sheetName val="DATA"/>
      <sheetName val="Rates"/>
      <sheetName val="Labour"/>
      <sheetName val="Material"/>
      <sheetName val="Plant &amp;  Machinery"/>
      <sheetName val="HDPE"/>
      <sheetName val="DI"/>
      <sheetName val="pvc"/>
      <sheetName val="IDCCALHYD_GOO"/>
      <sheetName val="hdpe_basic"/>
      <sheetName val="pvc_basic"/>
      <sheetName val="abs road"/>
      <sheetName val="C.D.Abs.Est."/>
      <sheetName val="Dormitory"/>
      <sheetName val="Road data"/>
      <sheetName val="PM&amp;GM"/>
      <sheetName val="AC"/>
      <sheetName val="AV_AC"/>
      <sheetName val="AV-DI"/>
      <sheetName val="AV-PVC"/>
      <sheetName val="BWSCP"/>
      <sheetName val="di_Gate_AC"/>
      <sheetName val="Digate-BWSCP-MS"/>
      <sheetName val="DI_gate_di"/>
      <sheetName val="DIgate_PVC"/>
      <sheetName val="MS "/>
      <sheetName val="scour-DI-CI"/>
      <sheetName val="scour-pvc-hdpe-psc-bwsc"/>
      <sheetName val="UNP-NCW "/>
      <sheetName val="Work_sheet"/>
      <sheetName val="RMR"/>
      <sheetName val="coverpage"/>
      <sheetName val="R_Det"/>
      <sheetName val="Sheet1"/>
      <sheetName val="BWSCPlt"/>
      <sheetName val="CI"/>
      <sheetName val="G.R.P"/>
      <sheetName val="PSC REVISED"/>
      <sheetName val="Road Detail Est."/>
      <sheetName val="C-data"/>
      <sheetName val="r"/>
      <sheetName val="l"/>
      <sheetName val="MRMECADAMoad data"/>
      <sheetName val="GROUND FLOOR"/>
      <sheetName val="SSR 2014-15 Rates"/>
      <sheetName val="Boq"/>
      <sheetName val="v"/>
      <sheetName val="pt-cw"/>
      <sheetName val="Input"/>
      <sheetName val="data existing_do not delete"/>
      <sheetName val="Bridge Data 2005-06"/>
      <sheetName val="maya"/>
      <sheetName val="leads"/>
      <sheetName val="mlead"/>
      <sheetName val="Data_Base"/>
      <sheetName val="Main sheet"/>
      <sheetName val="Common "/>
      <sheetName val="segments-details"/>
      <sheetName val="int-Dia-hdpe"/>
      <sheetName val="habs-list"/>
      <sheetName val="int-Dia-pvc"/>
      <sheetName val="Works"/>
      <sheetName val="General"/>
      <sheetName val="wh_data"/>
      <sheetName val="CPHEEO"/>
    </sheetNames>
    <sheetDataSet>
      <sheetData sheetId="0">
        <row r="160">
          <cell r="B160" t="str">
            <v xml:space="preserve">Executive Engineer, </v>
          </cell>
        </row>
      </sheetData>
      <sheetData sheetId="1"/>
      <sheetData sheetId="2">
        <row r="160">
          <cell r="B160" t="str">
            <v xml:space="preserve">Executive Engineer, </v>
          </cell>
        </row>
      </sheetData>
      <sheetData sheetId="3" refreshError="1">
        <row r="160">
          <cell r="B160" t="str">
            <v xml:space="preserve">Executive Engineer, </v>
          </cell>
          <cell r="E160" t="str">
            <v xml:space="preserve">Dy. Executive Engineer, </v>
          </cell>
          <cell r="I160" t="str">
            <v>Asst. Exe.  Engineer,</v>
          </cell>
        </row>
        <row r="161">
          <cell r="B161" t="str">
            <v xml:space="preserve">APEWIDC, Kadapa   </v>
          </cell>
          <cell r="E161" t="str">
            <v xml:space="preserve">APEWIDC,  Kadapa </v>
          </cell>
          <cell r="I161" t="str">
            <v>APEWIDC, Rajampet</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eder"/>
      <sheetName val="Trunk unpaved"/>
      <sheetName val="R99 etc"/>
      <sheetName val="Bitumen trunk"/>
      <sheetName val="paved"/>
      <sheetName val="defects"/>
      <sheetName val="Labour"/>
      <sheetName val="Material"/>
      <sheetName val="v"/>
      <sheetName val="r"/>
      <sheetName val="lead-st"/>
      <sheetName val="rdamdata"/>
      <sheetName val="wh_data_R"/>
      <sheetName val="data"/>
      <sheetName val="Estimate "/>
      <sheetName val="GROUND FLOOR"/>
      <sheetName val="Lead"/>
      <sheetName val="Trunk_unpaved"/>
      <sheetName val="R99_etc"/>
      <sheetName val="Bitumen_trunk"/>
      <sheetName val="m"/>
      <sheetName val="Leads"/>
      <sheetName val="Trunk_unpaved1"/>
      <sheetName val="R99_etc1"/>
      <sheetName val="Bitumen_trunk1"/>
      <sheetName val="Trunk_unpaved2"/>
      <sheetName val="R99_etc2"/>
      <sheetName val="Bitumen_trunk2"/>
      <sheetName val="Trunk_unpaved3"/>
      <sheetName val="R99_etc3"/>
      <sheetName val="Bitumen_trunk3"/>
      <sheetName val="Sheet1"/>
      <sheetName val="HDPE"/>
      <sheetName val="DI"/>
      <sheetName val="pvc"/>
      <sheetName val="coverpage"/>
      <sheetName val="DATA-BASE"/>
      <sheetName val="Sheet2"/>
      <sheetName val="Plant_&amp;__Machinery"/>
      <sheetName val="sectorwise"/>
      <sheetName val="detls"/>
      <sheetName val="hdpe_weights"/>
      <sheetName val="cover_(2)"/>
      <sheetName val="Levels"/>
      <sheetName val="Plant_&amp;__Machinery2"/>
      <sheetName val="t_prsr"/>
      <sheetName val="PVC_weights"/>
      <sheetName val="Road_data"/>
      <sheetName val="ssr-rates"/>
      <sheetName val="RMR"/>
      <sheetName val="l"/>
      <sheetName val="DATA-ABSTRACT"/>
      <sheetName val="wh"/>
      <sheetName val="hdpe_basic"/>
      <sheetName val="pvc_basic"/>
      <sheetName val="0000000000000"/>
      <sheetName val="index"/>
      <sheetName val="Abs_Road"/>
      <sheetName val="mlead"/>
      <sheetName val="abs road"/>
      <sheetName val="Road data"/>
      <sheetName val="R_Det"/>
      <sheetName val="m1"/>
      <sheetName val="Class IV Qtr. Ele"/>
      <sheetName val="Cover"/>
      <sheetName val="Abs"/>
      <sheetName val="wh_data"/>
      <sheetName val="CPHEEO"/>
      <sheetName val="input"/>
      <sheetName val="Data.F8.BTR"/>
      <sheetName val="id"/>
      <sheetName val="Lead statement"/>
      <sheetName val="MRATES"/>
      <sheetName val="SUMP1420KL@HW"/>
      <sheetName val="C.D.Abs.Est."/>
      <sheetName val="Rates SSR 2008-09"/>
      <sheetName val="bom"/>
      <sheetName val="Nspt-smp-final-ORIGINAL"/>
      <sheetName val="pop"/>
      <sheetName val="Specification report"/>
      <sheetName val="2ABC R+U_Sector_wise_2008_09"/>
      <sheetName val="water-hammar-strenght"/>
      <sheetName val="maya"/>
      <sheetName val="Road Detail Est."/>
      <sheetName val="quarry"/>
      <sheetName val="Data_Base"/>
      <sheetName val="Boq"/>
      <sheetName val="Data_Renuals"/>
      <sheetName val="MRoad data"/>
      <sheetName val="AC"/>
      <sheetName val="AV-BWSC&amp;MS"/>
      <sheetName val="AV_AC"/>
      <sheetName val="AV-DI"/>
      <sheetName val="AV-HDPE"/>
      <sheetName val="di_Gate_AC"/>
      <sheetName val="Digate-BWSCP-MS"/>
      <sheetName val="DI_gate_di"/>
      <sheetName val="Di_gate-HDPE"/>
      <sheetName val="scour-DI-CI"/>
      <sheetName val="scour-pvc-hdpe-psc-bwsc"/>
      <sheetName val="pumping main"/>
      <sheetName val="int-Dia-hdpe"/>
      <sheetName val="int-Dia-pvc"/>
      <sheetName val="_5wgdhabfinal00_01"/>
      <sheetName val="Analysis"/>
      <sheetName val="GM&amp;PM EST- final "/>
      <sheetName val="K.AV-HDPE"/>
      <sheetName val="scour-DI"/>
      <sheetName val="CI-scour-pvc-hdpe-psc-bwsc"/>
      <sheetName val="soft-HDPE"/>
      <sheetName val="soft-PVC"/>
      <sheetName val="DI-AV-DI-final"/>
      <sheetName val="DI-AV-HDPE- Final "/>
      <sheetName val="DI- Final"/>
      <sheetName val="DI_scour-DI-final"/>
      <sheetName val="DI_scour-pvc-hdpe-psc-bwsc"/>
      <sheetName val="DI SV on DI-final "/>
      <sheetName val="DI Sluice_HDPE"/>
      <sheetName val="HDPE-Final "/>
      <sheetName val="hdpe weights"/>
      <sheetName val="PVC weights"/>
      <sheetName val="Sheet9"/>
      <sheetName val="Gravity Main-Jukkal"/>
      <sheetName val="final abstract"/>
      <sheetName val="civ data"/>
      <sheetName val="Lead Sheet1"/>
      <sheetName val="C-data"/>
      <sheetName val="Design"/>
      <sheetName val="Plant &amp;  Machinery"/>
      <sheetName val="data existing_do not delete"/>
      <sheetName val="Trunk_unpaved4"/>
      <sheetName val="R99_etc4"/>
      <sheetName val="Bitumen_trunk4"/>
      <sheetName val="Estimate_"/>
      <sheetName val="GROUND_FLOOR"/>
      <sheetName val="Road_data1"/>
      <sheetName val="Trunk_unpaved5"/>
      <sheetName val="R99_etc5"/>
      <sheetName val="Bitumen_trunk5"/>
      <sheetName val="Estimate_1"/>
      <sheetName val="GROUND_FLOOR1"/>
      <sheetName val="Road_data2"/>
      <sheetName val="JACKWELL"/>
      <sheetName val="MRMECADAMoad data"/>
      <sheetName val="P "/>
      <sheetName val="Grand Abstract  (3)"/>
      <sheetName val="Bridges"/>
      <sheetName val="CBF (2)"/>
      <sheetName val="555555555555555555555555CBF BC "/>
      <sheetName val="CBF SC"/>
      <sheetName val="SDF 2016-17"/>
      <sheetName val="Fisheries Comminuty Halls"/>
      <sheetName val="MPLADS "/>
      <sheetName val="333333333333333333MPP Buildings"/>
      <sheetName val="RGPSA proforma"/>
      <sheetName val="22222222222CRR 2017-18 proforma"/>
      <sheetName val="PVC_dia"/>
      <sheetName val="GM&amp;PM WE1 EST"/>
      <sheetName val="airvalve-AC PN 1.60"/>
      <sheetName val="AV_GRP ms bwsc"/>
      <sheetName val="BWSCP"/>
      <sheetName val="Soft-sluice-AC,GRP PN 1.6"/>
      <sheetName val="soft-sluice-BWSC-MS"/>
      <sheetName val="DI sluice valve"/>
      <sheetName val="DATA_PRG"/>
      <sheetName val="dbl-airvalve-HDPE"/>
      <sheetName val="dbl-airvalve-PVC"/>
      <sheetName val="soft sluice -HDPE"/>
      <sheetName val="DI-kintc air valve-DI"/>
      <sheetName val="PM&amp;GM"/>
      <sheetName val="AV-PVC"/>
      <sheetName val="DI gate-DI"/>
      <sheetName val="DIgate_PVC "/>
      <sheetName val="GM&amp;PM EST"/>
      <sheetName val="D2_CO"/>
      <sheetName val="Rates"/>
      <sheetName val="hdpe-rates"/>
      <sheetName val="pvc-rates"/>
      <sheetName val="nodes"/>
      <sheetName val="int-Dia"/>
      <sheetName val="habs-list"/>
      <sheetName val="JAWAHAR-hyd-original"/>
      <sheetName val="data-WC"/>
      <sheetName val="well"/>
      <sheetName val="PUMP_DATA"/>
      <sheetName val="Abstract of Wargal"/>
      <sheetName val="Factory_rates"/>
      <sheetName val="Specification"/>
      <sheetName val="(Road-Project)"/>
      <sheetName val="p&amp;m"/>
      <sheetName val="BALAN1"/>
      <sheetName val="Class_IV_Qtr__Ele"/>
      <sheetName val="Data_F8_BTR"/>
      <sheetName val="Lead_statement"/>
      <sheetName val="C_D_Abs_Est_"/>
      <sheetName val="Rates_SSR_2008-09"/>
      <sheetName val="Specification_report"/>
      <sheetName val="2ABC_R+U_Sector_wise_2008_09"/>
      <sheetName val="Road_Detail_Est_"/>
      <sheetName val="MRoad_data"/>
      <sheetName val="pumping_main"/>
      <sheetName val="GM&amp;PM_EST-_final_"/>
      <sheetName val="K_AV-HDPE"/>
      <sheetName val="DI-AV-HDPE-_Final_"/>
      <sheetName val="DI-_Final"/>
      <sheetName val="DI_SV_on_DI-final_"/>
      <sheetName val="DI_Sluice_HDPE"/>
      <sheetName val="HDPE-Final_"/>
      <sheetName val="hdpe_weights1"/>
      <sheetName val="PVC_weights1"/>
      <sheetName val="Mp-team 1"/>
      <sheetName val="Habcodes"/>
      <sheetName val="Sheet3"/>
      <sheetName val="Works"/>
      <sheetName val="General"/>
      <sheetName val="SSR 2010-11 Rates"/>
      <sheetName val="pt-cw"/>
      <sheetName val="PROCTOR"/>
      <sheetName val="Bridge Data 2005-06"/>
      <sheetName val="SSR 2014-15 Rates"/>
      <sheetName val="Leads Entry"/>
      <sheetName val="BTR"/>
      <sheetName val="est"/>
      <sheetName val="1v_1000_PC"/>
      <sheetName val="CD abs"/>
      <sheetName val="2v_1000_PC"/>
      <sheetName val="GenAbst"/>
      <sheetName val="Road-furniture"/>
      <sheetName val="1v_600_PC"/>
      <sheetName val="Retaining-wall"/>
      <sheetName val="6v_1000_RDVENTS"/>
      <sheetName val="road est"/>
      <sheetName val="DIgate_PVC"/>
      <sheetName val="MS "/>
      <sheetName val="Line estimates"/>
      <sheetName val="Trunk Main"/>
      <sheetName val="Basis"/>
      <sheetName val="zone-8"/>
      <sheetName val="MHNO_LEV"/>
      <sheetName val="HS 30.04.2015.Final"/>
      <sheetName val="Bed Class"/>
      <sheetName val="Cd"/>
      <sheetName val="Detail In Door Stad"/>
      <sheetName val="CAT_5"/>
      <sheetName val="SPT vs PHI"/>
      <sheetName val="co_5"/>
      <sheetName val="DATA SHEET"/>
      <sheetName val="Sheet5"/>
      <sheetName val="ewst"/>
      <sheetName val="MEXICO-C"/>
      <sheetName val="mas_hab"/>
      <sheetName val="HDPE-pipe-rates"/>
      <sheetName val="pvc-pipe-rates"/>
      <sheetName val="sand"/>
      <sheetName val="stone"/>
      <sheetName val="TOP SLAB-beams"/>
      <sheetName val="Common "/>
      <sheetName val="Gen Abs"/>
      <sheetName val="Conveayance charges"/>
      <sheetName val="Conveyance"/>
      <sheetName val="SCHEDULE"/>
      <sheetName val="schedule nos"/>
      <sheetName val="Database"/>
      <sheetName val="VALV"/>
      <sheetName val="Line"/>
      <sheetName val="CRUST"/>
      <sheetName val="QDTS"/>
      <sheetName val="ADJUS"/>
      <sheetName val="mat-jak (2)"/>
      <sheetName val="mat-Arm"/>
      <sheetName val="mat-jak"/>
      <sheetName val="Abs- bal"/>
      <sheetName val="comparitive- bal"/>
      <sheetName val="Bal Sub"/>
      <sheetName val="Cover- Jak"/>
      <sheetName val="Abs - jak"/>
      <sheetName val="comparitive- jak"/>
      <sheetName val="Cover- Arm"/>
      <sheetName val="Jak Sub"/>
      <sheetName val="Abs- Arm"/>
      <sheetName val="comparitive- arm"/>
      <sheetName val="Arm Sub"/>
      <sheetName val="Arm Sub (2)"/>
      <sheetName val="PART A"/>
      <sheetName val="Open"/>
      <sheetName val="Analy"/>
      <sheetName val="AE Water Supply"/>
      <sheetName val="B A"/>
      <sheetName val="Process"/>
      <sheetName val="final data"/>
      <sheetName val="Basicrates"/>
      <sheetName val="BWSCPlt"/>
      <sheetName val="CI"/>
      <sheetName val="G.R.P"/>
      <sheetName val="PSC REVISED"/>
    </sheetNames>
    <sheetDataSet>
      <sheetData sheetId="0" refreshError="1">
        <row r="1">
          <cell r="A1" t="str">
            <v>Table A5 - Feeder Road Sections</v>
          </cell>
          <cell r="B1">
            <v>0</v>
          </cell>
          <cell r="C1">
            <v>0</v>
          </cell>
          <cell r="D1">
            <v>0</v>
          </cell>
          <cell r="E1" t="str">
            <v>RS 722</v>
          </cell>
          <cell r="F1">
            <v>544</v>
          </cell>
          <cell r="G1" t="str">
            <v>S</v>
          </cell>
          <cell r="H1" t="str">
            <v>F</v>
          </cell>
          <cell r="I1" t="str">
            <v>Shire North TC - Kasangale (junction S139)</v>
          </cell>
          <cell r="J1" t="str">
            <v>T400</v>
          </cell>
          <cell r="K1">
            <v>4</v>
          </cell>
          <cell r="L1">
            <v>10.199999999999999</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Trrrain</v>
          </cell>
          <cell r="J2" t="str">
            <v>District</v>
          </cell>
          <cell r="K2" t="str">
            <v>Map sheet No.</v>
          </cell>
          <cell r="L2" t="str">
            <v>Location comments</v>
          </cell>
        </row>
        <row r="3">
          <cell r="A3" t="str">
            <v>RS 443</v>
          </cell>
          <cell r="B3">
            <v>265</v>
          </cell>
          <cell r="C3" t="str">
            <v>N</v>
          </cell>
          <cell r="D3" t="str">
            <v>F</v>
          </cell>
          <cell r="E3" t="str">
            <v>Davide Kameme - James Kameme</v>
          </cell>
          <cell r="F3" t="str">
            <v>T300</v>
          </cell>
          <cell r="G3">
            <v>1</v>
          </cell>
          <cell r="H3">
            <v>15.2</v>
          </cell>
          <cell r="I3" t="str">
            <v>R</v>
          </cell>
          <cell r="J3" t="str">
            <v>CHITIPA</v>
          </cell>
          <cell r="K3">
            <v>1</v>
          </cell>
          <cell r="L3" t="str">
            <v>Part of RS1</v>
          </cell>
        </row>
        <row r="4">
          <cell r="A4" t="str">
            <v>RS 444</v>
          </cell>
          <cell r="B4">
            <v>266</v>
          </cell>
          <cell r="C4" t="str">
            <v>N</v>
          </cell>
          <cell r="D4" t="str">
            <v>F</v>
          </cell>
          <cell r="E4" t="str">
            <v>Fikolo Mkisi - Winston Kmeme</v>
          </cell>
          <cell r="F4" t="str">
            <v>T301</v>
          </cell>
          <cell r="G4">
            <v>1</v>
          </cell>
          <cell r="H4">
            <v>24.8</v>
          </cell>
          <cell r="I4" t="str">
            <v>R</v>
          </cell>
          <cell r="J4" t="str">
            <v>CHITIPA</v>
          </cell>
          <cell r="K4">
            <v>1</v>
          </cell>
          <cell r="L4" t="str">
            <v>Part of RS1</v>
          </cell>
        </row>
        <row r="5">
          <cell r="A5" t="str">
            <v>RS 445</v>
          </cell>
          <cell r="B5">
            <v>267</v>
          </cell>
          <cell r="C5" t="str">
            <v>N</v>
          </cell>
          <cell r="D5" t="str">
            <v>F</v>
          </cell>
          <cell r="E5" t="str">
            <v>Namatandala - Mwenichinga</v>
          </cell>
          <cell r="F5" t="str">
            <v>T302</v>
          </cell>
          <cell r="G5">
            <v>1</v>
          </cell>
          <cell r="H5">
            <v>22.4</v>
          </cell>
          <cell r="I5" t="str">
            <v>F</v>
          </cell>
          <cell r="J5" t="str">
            <v>CHITIPA</v>
          </cell>
          <cell r="K5">
            <v>1</v>
          </cell>
        </row>
        <row r="6">
          <cell r="A6" t="str">
            <v>RS 446</v>
          </cell>
          <cell r="B6">
            <v>268</v>
          </cell>
          <cell r="C6" t="str">
            <v>N</v>
          </cell>
          <cell r="D6" t="str">
            <v>F</v>
          </cell>
          <cell r="E6" t="str">
            <v>Pinda River - Mwenitete</v>
          </cell>
          <cell r="F6" t="str">
            <v>T303</v>
          </cell>
          <cell r="G6">
            <v>1</v>
          </cell>
          <cell r="H6">
            <v>22.1</v>
          </cell>
          <cell r="I6" t="str">
            <v>R</v>
          </cell>
          <cell r="J6" t="str">
            <v>KARONGA</v>
          </cell>
          <cell r="K6">
            <v>1</v>
          </cell>
        </row>
        <row r="7">
          <cell r="A7" t="str">
            <v>RS 447</v>
          </cell>
          <cell r="B7">
            <v>269</v>
          </cell>
          <cell r="C7" t="str">
            <v>N</v>
          </cell>
          <cell r="D7" t="str">
            <v>F</v>
          </cell>
          <cell r="E7" t="str">
            <v>Wovwe - Uliwa</v>
          </cell>
          <cell r="F7" t="str">
            <v>T304</v>
          </cell>
          <cell r="G7">
            <v>1</v>
          </cell>
          <cell r="H7">
            <v>28.3</v>
          </cell>
          <cell r="I7" t="str">
            <v>F</v>
          </cell>
          <cell r="J7" t="str">
            <v>KARONGA</v>
          </cell>
          <cell r="K7">
            <v>2</v>
          </cell>
        </row>
        <row r="8">
          <cell r="A8" t="str">
            <v>RS 448</v>
          </cell>
          <cell r="B8">
            <v>270</v>
          </cell>
          <cell r="C8" t="str">
            <v>N</v>
          </cell>
          <cell r="D8" t="str">
            <v>F</v>
          </cell>
          <cell r="E8" t="str">
            <v>Hananiya - Chipoka Bawoli</v>
          </cell>
          <cell r="F8" t="str">
            <v>T305</v>
          </cell>
          <cell r="G8">
            <v>1</v>
          </cell>
          <cell r="H8">
            <v>47</v>
          </cell>
          <cell r="I8" t="str">
            <v>R</v>
          </cell>
          <cell r="J8" t="str">
            <v>RUMPHI</v>
          </cell>
          <cell r="K8" t="str">
            <v>2,3</v>
          </cell>
        </row>
        <row r="9">
          <cell r="A9" t="str">
            <v>RS 450</v>
          </cell>
          <cell r="B9">
            <v>272</v>
          </cell>
          <cell r="C9" t="str">
            <v>N</v>
          </cell>
          <cell r="D9" t="str">
            <v>F</v>
          </cell>
          <cell r="E9" t="str">
            <v>Phwamphwa - Uzumara - Usowoya - Malongowe River</v>
          </cell>
          <cell r="F9" t="str">
            <v>T306</v>
          </cell>
          <cell r="G9">
            <v>1</v>
          </cell>
          <cell r="H9">
            <v>42.1</v>
          </cell>
          <cell r="I9" t="str">
            <v>H</v>
          </cell>
          <cell r="J9" t="str">
            <v>RUMPHI</v>
          </cell>
          <cell r="K9">
            <v>3</v>
          </cell>
        </row>
        <row r="10">
          <cell r="A10" t="str">
            <v>RS 449</v>
          </cell>
          <cell r="B10">
            <v>271</v>
          </cell>
          <cell r="C10" t="str">
            <v>N</v>
          </cell>
          <cell r="D10" t="str">
            <v>F</v>
          </cell>
          <cell r="E10" t="str">
            <v>Malongowe River - Bula</v>
          </cell>
          <cell r="F10" t="str">
            <v>T306</v>
          </cell>
          <cell r="G10">
            <v>2</v>
          </cell>
          <cell r="H10">
            <v>19.5</v>
          </cell>
          <cell r="I10" t="str">
            <v>H</v>
          </cell>
          <cell r="J10" t="str">
            <v>MZIMBA</v>
          </cell>
          <cell r="K10">
            <v>3</v>
          </cell>
        </row>
        <row r="11">
          <cell r="A11" t="str">
            <v>RS 451</v>
          </cell>
          <cell r="B11">
            <v>273</v>
          </cell>
          <cell r="C11" t="str">
            <v>N</v>
          </cell>
          <cell r="D11" t="str">
            <v>F</v>
          </cell>
          <cell r="E11" t="str">
            <v>Njakwa - Mthwalo</v>
          </cell>
          <cell r="F11" t="str">
            <v>T308</v>
          </cell>
          <cell r="G11">
            <v>1</v>
          </cell>
          <cell r="H11">
            <v>44</v>
          </cell>
          <cell r="I11" t="str">
            <v>R</v>
          </cell>
          <cell r="J11" t="str">
            <v>MZIMBA</v>
          </cell>
          <cell r="K11">
            <v>3</v>
          </cell>
        </row>
        <row r="12">
          <cell r="A12" t="str">
            <v>RS 452</v>
          </cell>
          <cell r="B12">
            <v>274</v>
          </cell>
          <cell r="C12" t="str">
            <v>N</v>
          </cell>
          <cell r="D12" t="str">
            <v>F</v>
          </cell>
          <cell r="E12" t="str">
            <v>Chesamu - Engucwini</v>
          </cell>
          <cell r="F12" t="str">
            <v>T309</v>
          </cell>
          <cell r="G12">
            <v>1</v>
          </cell>
          <cell r="H12">
            <v>30.7</v>
          </cell>
          <cell r="I12" t="str">
            <v>R</v>
          </cell>
          <cell r="J12" t="str">
            <v>MZIMBA</v>
          </cell>
          <cell r="K12">
            <v>3</v>
          </cell>
          <cell r="L12" t="str">
            <v>Changed designation from T413  to M04</v>
          </cell>
        </row>
        <row r="13">
          <cell r="A13" t="str">
            <v>RS 454</v>
          </cell>
          <cell r="B13">
            <v>276</v>
          </cell>
          <cell r="C13" t="str">
            <v>N</v>
          </cell>
          <cell r="D13" t="str">
            <v>F</v>
          </cell>
          <cell r="E13" t="str">
            <v>Hewe - Vwaza Game Camp</v>
          </cell>
          <cell r="F13" t="str">
            <v>T310</v>
          </cell>
          <cell r="G13">
            <v>1</v>
          </cell>
          <cell r="H13">
            <v>41.5</v>
          </cell>
          <cell r="I13" t="str">
            <v>F</v>
          </cell>
          <cell r="J13" t="str">
            <v>RUMPHI</v>
          </cell>
          <cell r="K13" t="str">
            <v>2,3</v>
          </cell>
          <cell r="L13" t="str">
            <v xml:space="preserve">New section part of RS 330 </v>
          </cell>
        </row>
        <row r="14">
          <cell r="A14" t="str">
            <v>RS 453</v>
          </cell>
          <cell r="B14">
            <v>275</v>
          </cell>
          <cell r="C14" t="str">
            <v>N</v>
          </cell>
          <cell r="D14" t="str">
            <v>F</v>
          </cell>
          <cell r="E14" t="str">
            <v>Vwaza Game Camp - Munyanja</v>
          </cell>
          <cell r="F14" t="str">
            <v>T310</v>
          </cell>
          <cell r="G14">
            <v>2</v>
          </cell>
          <cell r="H14">
            <v>22.1</v>
          </cell>
          <cell r="I14" t="str">
            <v>F</v>
          </cell>
          <cell r="J14" t="str">
            <v>MZIMBA</v>
          </cell>
          <cell r="K14">
            <v>3</v>
          </cell>
        </row>
        <row r="15">
          <cell r="A15" t="str">
            <v>RS 455</v>
          </cell>
          <cell r="B15">
            <v>277</v>
          </cell>
          <cell r="C15" t="str">
            <v>N</v>
          </cell>
          <cell r="D15" t="str">
            <v>F</v>
          </cell>
          <cell r="E15" t="str">
            <v>Munyanja - Sokopo Chinura</v>
          </cell>
          <cell r="F15" t="str">
            <v>T311</v>
          </cell>
          <cell r="G15">
            <v>1</v>
          </cell>
          <cell r="H15">
            <v>29.5</v>
          </cell>
          <cell r="I15" t="str">
            <v>F</v>
          </cell>
          <cell r="J15" t="str">
            <v>MZIMBA</v>
          </cell>
          <cell r="K15">
            <v>3</v>
          </cell>
        </row>
        <row r="16">
          <cell r="A16" t="str">
            <v>RS 456</v>
          </cell>
          <cell r="B16">
            <v>278</v>
          </cell>
          <cell r="C16" t="str">
            <v>N</v>
          </cell>
          <cell r="D16" t="str">
            <v>F</v>
          </cell>
          <cell r="E16" t="str">
            <v>Yesaya Nkosi - Magodi Nyirenda</v>
          </cell>
          <cell r="F16" t="str">
            <v>T312</v>
          </cell>
          <cell r="G16">
            <v>1</v>
          </cell>
          <cell r="H16">
            <v>22</v>
          </cell>
          <cell r="I16" t="str">
            <v>R</v>
          </cell>
          <cell r="J16" t="str">
            <v>MZIMBA</v>
          </cell>
          <cell r="K16">
            <v>3</v>
          </cell>
        </row>
        <row r="17">
          <cell r="A17" t="str">
            <v>RS 457</v>
          </cell>
          <cell r="B17">
            <v>279</v>
          </cell>
          <cell r="C17" t="str">
            <v>N</v>
          </cell>
          <cell r="D17" t="str">
            <v>F</v>
          </cell>
          <cell r="E17" t="str">
            <v>Eswazini - Kamchocho Banda</v>
          </cell>
          <cell r="F17" t="str">
            <v>T313</v>
          </cell>
          <cell r="G17">
            <v>1</v>
          </cell>
          <cell r="H17">
            <v>31.1</v>
          </cell>
          <cell r="I17" t="str">
            <v>R</v>
          </cell>
          <cell r="J17" t="str">
            <v>MZIMBA</v>
          </cell>
          <cell r="K17">
            <v>3</v>
          </cell>
        </row>
        <row r="18">
          <cell r="A18" t="str">
            <v>RS 458</v>
          </cell>
          <cell r="B18">
            <v>280</v>
          </cell>
          <cell r="C18" t="str">
            <v>N</v>
          </cell>
          <cell r="D18" t="str">
            <v>F</v>
          </cell>
          <cell r="E18" t="str">
            <v>Emvuyeni - Emoneni</v>
          </cell>
          <cell r="F18" t="str">
            <v>T314</v>
          </cell>
          <cell r="G18">
            <v>1</v>
          </cell>
          <cell r="H18">
            <v>47</v>
          </cell>
          <cell r="I18" t="str">
            <v>R</v>
          </cell>
          <cell r="J18" t="str">
            <v>MZIMBA</v>
          </cell>
          <cell r="K18">
            <v>3</v>
          </cell>
        </row>
        <row r="19">
          <cell r="A19" t="str">
            <v>RS 459</v>
          </cell>
          <cell r="B19">
            <v>281</v>
          </cell>
          <cell r="C19" t="str">
            <v>N</v>
          </cell>
          <cell r="D19" t="str">
            <v>F</v>
          </cell>
          <cell r="E19" t="str">
            <v>Mbowe - Mazamba Hill</v>
          </cell>
          <cell r="F19" t="str">
            <v>T315</v>
          </cell>
          <cell r="G19">
            <v>1</v>
          </cell>
          <cell r="H19">
            <v>19.8</v>
          </cell>
          <cell r="I19" t="str">
            <v>R</v>
          </cell>
          <cell r="J19" t="str">
            <v>MZIMBA</v>
          </cell>
          <cell r="K19">
            <v>3</v>
          </cell>
        </row>
        <row r="20">
          <cell r="A20" t="str">
            <v>RS 460</v>
          </cell>
          <cell r="B20">
            <v>282</v>
          </cell>
          <cell r="C20" t="str">
            <v>N</v>
          </cell>
          <cell r="D20" t="str">
            <v>F</v>
          </cell>
          <cell r="E20" t="str">
            <v>Choma - Chikwina</v>
          </cell>
          <cell r="F20" t="str">
            <v>T316</v>
          </cell>
          <cell r="G20">
            <v>1</v>
          </cell>
          <cell r="H20">
            <v>12.6</v>
          </cell>
          <cell r="I20" t="str">
            <v>R</v>
          </cell>
          <cell r="J20" t="str">
            <v>NKHATA BAY</v>
          </cell>
          <cell r="K20">
            <v>3</v>
          </cell>
        </row>
        <row r="21">
          <cell r="A21" t="str">
            <v>RS 461</v>
          </cell>
          <cell r="B21">
            <v>283</v>
          </cell>
          <cell r="C21" t="str">
            <v>N</v>
          </cell>
          <cell r="D21" t="str">
            <v>F</v>
          </cell>
          <cell r="E21" t="str">
            <v>Mzenga - Lwazi</v>
          </cell>
          <cell r="F21" t="str">
            <v>T317</v>
          </cell>
          <cell r="G21">
            <v>1</v>
          </cell>
          <cell r="H21">
            <v>23.6</v>
          </cell>
          <cell r="I21" t="str">
            <v>R</v>
          </cell>
          <cell r="J21" t="str">
            <v>NKHATA BAY</v>
          </cell>
          <cell r="K21">
            <v>3</v>
          </cell>
        </row>
        <row r="22">
          <cell r="A22" t="str">
            <v>RS 463</v>
          </cell>
          <cell r="B22">
            <v>285</v>
          </cell>
          <cell r="C22" t="str">
            <v>N</v>
          </cell>
          <cell r="D22" t="str">
            <v>F</v>
          </cell>
          <cell r="E22" t="str">
            <v>Manyamula - Mbawa</v>
          </cell>
          <cell r="F22" t="str">
            <v>T321</v>
          </cell>
          <cell r="G22">
            <v>1</v>
          </cell>
          <cell r="H22">
            <v>19.100000000000001</v>
          </cell>
          <cell r="I22" t="str">
            <v>F</v>
          </cell>
          <cell r="J22" t="str">
            <v>MZIMBA</v>
          </cell>
          <cell r="K22">
            <v>4</v>
          </cell>
          <cell r="L22" t="str">
            <v>New section part of origional RS 179</v>
          </cell>
        </row>
        <row r="23">
          <cell r="A23" t="str">
            <v>RS 524</v>
          </cell>
          <cell r="B23">
            <v>346</v>
          </cell>
          <cell r="C23" t="str">
            <v>C</v>
          </cell>
          <cell r="D23" t="str">
            <v>F</v>
          </cell>
          <cell r="E23" t="str">
            <v>Kamtuwale - Chimaliro Police</v>
          </cell>
          <cell r="F23" t="str">
            <v>T323</v>
          </cell>
          <cell r="G23">
            <v>1</v>
          </cell>
          <cell r="H23">
            <v>36.1</v>
          </cell>
          <cell r="I23" t="str">
            <v>F</v>
          </cell>
          <cell r="J23" t="str">
            <v>KASUNGU</v>
          </cell>
          <cell r="K23">
            <v>5</v>
          </cell>
          <cell r="L23" t="str">
            <v>New section part of origional RS 179</v>
          </cell>
        </row>
        <row r="24">
          <cell r="A24" t="str">
            <v>RS 525</v>
          </cell>
          <cell r="B24">
            <v>347</v>
          </cell>
          <cell r="C24" t="str">
            <v>C</v>
          </cell>
          <cell r="D24" t="str">
            <v>F</v>
          </cell>
          <cell r="E24" t="str">
            <v>Mphomwa - Kamtuwale</v>
          </cell>
          <cell r="F24" t="str">
            <v>T324</v>
          </cell>
          <cell r="G24">
            <v>1</v>
          </cell>
          <cell r="H24">
            <v>11.3</v>
          </cell>
          <cell r="I24" t="str">
            <v>F</v>
          </cell>
          <cell r="J24" t="str">
            <v>KASUNGU</v>
          </cell>
          <cell r="K24">
            <v>5</v>
          </cell>
          <cell r="L24" t="str">
            <v>End point altered from Mphangara Stream to Chatanga</v>
          </cell>
        </row>
        <row r="25">
          <cell r="A25" t="str">
            <v>RS 528</v>
          </cell>
          <cell r="B25">
            <v>350</v>
          </cell>
          <cell r="C25" t="str">
            <v>C</v>
          </cell>
          <cell r="D25" t="str">
            <v>F</v>
          </cell>
          <cell r="E25" t="str">
            <v>Chasato - General Farming Estate</v>
          </cell>
          <cell r="F25" t="str">
            <v>T325</v>
          </cell>
          <cell r="G25">
            <v>1</v>
          </cell>
          <cell r="H25">
            <v>13.6</v>
          </cell>
          <cell r="I25" t="str">
            <v>F</v>
          </cell>
          <cell r="J25" t="str">
            <v>KASUNGU</v>
          </cell>
          <cell r="K25">
            <v>5</v>
          </cell>
        </row>
        <row r="26">
          <cell r="A26" t="str">
            <v>RS 526</v>
          </cell>
          <cell r="B26">
            <v>348</v>
          </cell>
          <cell r="C26" t="str">
            <v>C</v>
          </cell>
          <cell r="D26" t="str">
            <v>F</v>
          </cell>
          <cell r="E26" t="str">
            <v>General Farming Estate - Dwangwa River</v>
          </cell>
          <cell r="F26" t="str">
            <v>T325</v>
          </cell>
          <cell r="G26">
            <v>2</v>
          </cell>
          <cell r="H26">
            <v>15.5</v>
          </cell>
          <cell r="I26" t="str">
            <v>R</v>
          </cell>
          <cell r="J26" t="str">
            <v>KASUNGU</v>
          </cell>
          <cell r="K26">
            <v>5</v>
          </cell>
        </row>
        <row r="27">
          <cell r="A27" t="str">
            <v>RS 527</v>
          </cell>
          <cell r="B27">
            <v>349</v>
          </cell>
          <cell r="C27" t="str">
            <v>C</v>
          </cell>
          <cell r="D27" t="str">
            <v>F</v>
          </cell>
          <cell r="E27" t="str">
            <v>Dwangwa River - Mkanakhoti</v>
          </cell>
          <cell r="F27" t="str">
            <v>T325</v>
          </cell>
          <cell r="G27">
            <v>3</v>
          </cell>
          <cell r="H27">
            <v>16.2</v>
          </cell>
          <cell r="I27" t="str">
            <v>R</v>
          </cell>
          <cell r="J27" t="str">
            <v>KASUNGU</v>
          </cell>
          <cell r="K27">
            <v>5</v>
          </cell>
          <cell r="L27" t="str">
            <v>New section part of origional RS 181</v>
          </cell>
        </row>
        <row r="28">
          <cell r="A28" t="str">
            <v>RS 464</v>
          </cell>
          <cell r="B28">
            <v>286</v>
          </cell>
          <cell r="C28" t="str">
            <v>N</v>
          </cell>
          <cell r="D28" t="str">
            <v>F</v>
          </cell>
          <cell r="E28" t="str">
            <v>Chimaliro Forest-Mabulabo-Chiwandauka -Chombe</v>
          </cell>
          <cell r="F28" t="str">
            <v>T326</v>
          </cell>
          <cell r="G28">
            <v>1</v>
          </cell>
          <cell r="H28">
            <v>41</v>
          </cell>
          <cell r="I28" t="str">
            <v>R</v>
          </cell>
          <cell r="J28" t="str">
            <v>MZIMBA</v>
          </cell>
          <cell r="K28" t="str">
            <v>4,5</v>
          </cell>
        </row>
        <row r="29">
          <cell r="A29" t="str">
            <v>RS 529</v>
          </cell>
          <cell r="B29">
            <v>351</v>
          </cell>
          <cell r="C29" t="str">
            <v>C</v>
          </cell>
          <cell r="D29" t="str">
            <v>F</v>
          </cell>
          <cell r="E29" t="str">
            <v>Kalula - Mabulabo</v>
          </cell>
          <cell r="F29" t="str">
            <v>T327</v>
          </cell>
          <cell r="G29">
            <v>1</v>
          </cell>
          <cell r="H29">
            <v>12.5</v>
          </cell>
          <cell r="I29" t="str">
            <v>R</v>
          </cell>
          <cell r="J29" t="str">
            <v>KASUNGU/MZIMBA</v>
          </cell>
          <cell r="K29">
            <v>4</v>
          </cell>
        </row>
        <row r="30">
          <cell r="A30" t="str">
            <v>RS 534</v>
          </cell>
          <cell r="B30">
            <v>356</v>
          </cell>
          <cell r="C30" t="str">
            <v>C</v>
          </cell>
          <cell r="D30" t="str">
            <v>F</v>
          </cell>
          <cell r="E30" t="str">
            <v>Simlemba - Dwangwa River</v>
          </cell>
          <cell r="F30" t="str">
            <v>T328</v>
          </cell>
          <cell r="G30">
            <v>1</v>
          </cell>
          <cell r="H30">
            <v>7</v>
          </cell>
          <cell r="I30" t="str">
            <v>R</v>
          </cell>
          <cell r="J30" t="str">
            <v>KASUNGU</v>
          </cell>
          <cell r="K30">
            <v>5</v>
          </cell>
        </row>
        <row r="31">
          <cell r="A31" t="str">
            <v>RS 531</v>
          </cell>
          <cell r="B31">
            <v>353</v>
          </cell>
          <cell r="C31" t="str">
            <v>C</v>
          </cell>
          <cell r="D31" t="str">
            <v>F</v>
          </cell>
          <cell r="E31" t="str">
            <v>Dwangwa River - Mwimwila</v>
          </cell>
          <cell r="F31" t="str">
            <v>T328</v>
          </cell>
          <cell r="G31">
            <v>2</v>
          </cell>
          <cell r="H31">
            <v>11</v>
          </cell>
          <cell r="I31" t="str">
            <v>R</v>
          </cell>
          <cell r="J31" t="str">
            <v>KASUNGU</v>
          </cell>
          <cell r="K31">
            <v>5</v>
          </cell>
        </row>
        <row r="32">
          <cell r="A32" t="str">
            <v>RS 532</v>
          </cell>
          <cell r="B32">
            <v>354</v>
          </cell>
          <cell r="C32" t="str">
            <v>C</v>
          </cell>
          <cell r="D32" t="str">
            <v>F</v>
          </cell>
          <cell r="E32" t="str">
            <v>Mwimwila - Kapwaye</v>
          </cell>
          <cell r="F32" t="str">
            <v>T328</v>
          </cell>
          <cell r="G32">
            <v>3</v>
          </cell>
          <cell r="H32">
            <v>9.6999999999999993</v>
          </cell>
          <cell r="I32" t="str">
            <v>F</v>
          </cell>
          <cell r="J32" t="str">
            <v>KASUNGU</v>
          </cell>
          <cell r="K32">
            <v>5</v>
          </cell>
          <cell r="L32" t="str">
            <v>Changed designation from M5 to M18</v>
          </cell>
        </row>
        <row r="33">
          <cell r="A33" t="str">
            <v>RS 530</v>
          </cell>
          <cell r="B33">
            <v>352</v>
          </cell>
          <cell r="C33" t="str">
            <v>C</v>
          </cell>
          <cell r="D33" t="str">
            <v>F</v>
          </cell>
          <cell r="E33" t="str">
            <v>Kapwaye - Mphepo</v>
          </cell>
          <cell r="F33" t="str">
            <v>T328</v>
          </cell>
          <cell r="G33">
            <v>4</v>
          </cell>
          <cell r="H33">
            <v>21.7</v>
          </cell>
          <cell r="I33" t="str">
            <v>F</v>
          </cell>
          <cell r="J33" t="str">
            <v>KASUNGU</v>
          </cell>
          <cell r="K33">
            <v>5</v>
          </cell>
        </row>
        <row r="34">
          <cell r="A34" t="str">
            <v>RS 533</v>
          </cell>
          <cell r="B34">
            <v>355</v>
          </cell>
          <cell r="C34" t="str">
            <v>C</v>
          </cell>
          <cell r="D34" t="str">
            <v>F</v>
          </cell>
          <cell r="E34" t="str">
            <v>Mphepo - Chasato</v>
          </cell>
          <cell r="F34" t="str">
            <v>T328</v>
          </cell>
          <cell r="G34">
            <v>5</v>
          </cell>
          <cell r="H34">
            <v>8.3000000000000007</v>
          </cell>
          <cell r="I34" t="str">
            <v>F</v>
          </cell>
          <cell r="J34" t="str">
            <v>KASUNGU</v>
          </cell>
          <cell r="K34">
            <v>5</v>
          </cell>
        </row>
        <row r="35">
          <cell r="A35" t="str">
            <v>RS 466</v>
          </cell>
          <cell r="B35">
            <v>288</v>
          </cell>
          <cell r="C35" t="str">
            <v>N</v>
          </cell>
          <cell r="D35" t="str">
            <v>F</v>
          </cell>
          <cell r="E35" t="str">
            <v>Nthalire - Zambia border</v>
          </cell>
          <cell r="F35" t="str">
            <v>T331</v>
          </cell>
          <cell r="G35">
            <v>1</v>
          </cell>
          <cell r="H35">
            <v>10</v>
          </cell>
          <cell r="I35" t="str">
            <v>R</v>
          </cell>
          <cell r="J35" t="str">
            <v>CHITIPA</v>
          </cell>
          <cell r="K35">
            <v>2</v>
          </cell>
        </row>
        <row r="36">
          <cell r="A36" t="str">
            <v>RS 535</v>
          </cell>
          <cell r="B36">
            <v>357</v>
          </cell>
          <cell r="C36" t="str">
            <v>C</v>
          </cell>
          <cell r="D36" t="str">
            <v>F</v>
          </cell>
          <cell r="E36" t="str">
            <v>Mkanda - General Farming Estate 68</v>
          </cell>
          <cell r="F36" t="str">
            <v>T333</v>
          </cell>
          <cell r="G36">
            <v>1</v>
          </cell>
          <cell r="H36">
            <v>16.5</v>
          </cell>
          <cell r="I36" t="str">
            <v>F</v>
          </cell>
          <cell r="J36" t="str">
            <v>MCHINJI</v>
          </cell>
          <cell r="K36">
            <v>5</v>
          </cell>
          <cell r="L36" t="str">
            <v>New section part of RS 225</v>
          </cell>
        </row>
        <row r="37">
          <cell r="A37" t="str">
            <v>RS 536</v>
          </cell>
          <cell r="B37">
            <v>358</v>
          </cell>
          <cell r="C37" t="str">
            <v>C</v>
          </cell>
          <cell r="D37" t="str">
            <v>F</v>
          </cell>
          <cell r="E37" t="str">
            <v>General Farming Estate 68 - Kapezi</v>
          </cell>
          <cell r="F37" t="str">
            <v>T333</v>
          </cell>
          <cell r="G37">
            <v>2</v>
          </cell>
          <cell r="H37">
            <v>20.399999999999999</v>
          </cell>
          <cell r="I37" t="str">
            <v>R</v>
          </cell>
          <cell r="J37" t="str">
            <v>MCHINJI</v>
          </cell>
          <cell r="K37">
            <v>6</v>
          </cell>
          <cell r="L37" t="str">
            <v>Changed designation from S120 to M18. Now by-passed.</v>
          </cell>
        </row>
        <row r="38">
          <cell r="A38" t="str">
            <v>RS 537</v>
          </cell>
          <cell r="B38">
            <v>259</v>
          </cell>
          <cell r="C38" t="str">
            <v>C</v>
          </cell>
          <cell r="D38" t="str">
            <v>F</v>
          </cell>
          <cell r="E38" t="str">
            <v>Chilanga - Kalolo</v>
          </cell>
          <cell r="F38" t="str">
            <v>T335</v>
          </cell>
          <cell r="G38">
            <v>1</v>
          </cell>
          <cell r="H38">
            <v>8.1999999999999993</v>
          </cell>
          <cell r="I38" t="str">
            <v>F</v>
          </cell>
          <cell r="J38" t="str">
            <v>KASUNGU</v>
          </cell>
          <cell r="K38">
            <v>5</v>
          </cell>
          <cell r="L38" t="str">
            <v>Changed to trunk</v>
          </cell>
        </row>
        <row r="39">
          <cell r="A39" t="str">
            <v>RS 538</v>
          </cell>
          <cell r="B39">
            <v>360</v>
          </cell>
          <cell r="C39" t="str">
            <v>C</v>
          </cell>
          <cell r="D39" t="str">
            <v>F</v>
          </cell>
          <cell r="E39" t="str">
            <v>Plaka Estate - Kapiri</v>
          </cell>
          <cell r="F39" t="str">
            <v>T336</v>
          </cell>
          <cell r="G39">
            <v>1</v>
          </cell>
          <cell r="H39">
            <v>28.2</v>
          </cell>
          <cell r="I39" t="str">
            <v>F</v>
          </cell>
          <cell r="J39" t="str">
            <v>MCHINJI</v>
          </cell>
          <cell r="K39">
            <v>5</v>
          </cell>
          <cell r="L39" t="str">
            <v>Contains road designated T322 (on 1:250,000 series map)</v>
          </cell>
        </row>
        <row r="40">
          <cell r="A40" t="str">
            <v>RS 539</v>
          </cell>
          <cell r="B40">
            <v>361</v>
          </cell>
          <cell r="C40" t="str">
            <v>C</v>
          </cell>
          <cell r="D40" t="str">
            <v>F</v>
          </cell>
          <cell r="E40" t="str">
            <v>Malipela - Misozi</v>
          </cell>
          <cell r="F40" t="str">
            <v>T337</v>
          </cell>
          <cell r="G40">
            <v>1</v>
          </cell>
          <cell r="H40">
            <v>9.1</v>
          </cell>
          <cell r="I40" t="str">
            <v>F</v>
          </cell>
          <cell r="J40" t="str">
            <v>KASUNGU</v>
          </cell>
          <cell r="K40">
            <v>5</v>
          </cell>
        </row>
        <row r="41">
          <cell r="A41" t="str">
            <v>RS 659</v>
          </cell>
          <cell r="B41">
            <v>481</v>
          </cell>
          <cell r="C41" t="str">
            <v>C</v>
          </cell>
          <cell r="D41" t="str">
            <v>F</v>
          </cell>
          <cell r="E41" t="str">
            <v>Misozi - Kasela</v>
          </cell>
          <cell r="F41" t="str">
            <v>T337</v>
          </cell>
          <cell r="G41">
            <v>2</v>
          </cell>
          <cell r="H41">
            <v>14.9</v>
          </cell>
          <cell r="I41" t="str">
            <v>F</v>
          </cell>
          <cell r="J41" t="str">
            <v>KASUNGU</v>
          </cell>
          <cell r="K41">
            <v>5</v>
          </cell>
          <cell r="L41" t="str">
            <v>Changed designation from D194 to T337</v>
          </cell>
        </row>
        <row r="42">
          <cell r="A42" t="str">
            <v>RS 541</v>
          </cell>
          <cell r="B42">
            <v>363</v>
          </cell>
          <cell r="C42" t="str">
            <v>C</v>
          </cell>
          <cell r="D42" t="str">
            <v>F</v>
          </cell>
          <cell r="E42" t="str">
            <v>Mponela - Chososo</v>
          </cell>
          <cell r="F42" t="str">
            <v>T339</v>
          </cell>
          <cell r="G42">
            <v>1</v>
          </cell>
          <cell r="H42">
            <v>26.8</v>
          </cell>
          <cell r="I42" t="str">
            <v>F</v>
          </cell>
          <cell r="J42" t="str">
            <v>NTCHISI</v>
          </cell>
          <cell r="K42">
            <v>5</v>
          </cell>
        </row>
        <row r="43">
          <cell r="A43" t="str">
            <v>RS 540</v>
          </cell>
          <cell r="B43">
            <v>362</v>
          </cell>
          <cell r="C43" t="str">
            <v>C</v>
          </cell>
          <cell r="D43" t="str">
            <v>F</v>
          </cell>
          <cell r="E43" t="str">
            <v>Guma - Bua River</v>
          </cell>
          <cell r="F43" t="str">
            <v>T339</v>
          </cell>
          <cell r="G43">
            <v>2</v>
          </cell>
          <cell r="H43">
            <v>15</v>
          </cell>
          <cell r="I43" t="str">
            <v>F</v>
          </cell>
          <cell r="J43" t="str">
            <v>NTCHISI</v>
          </cell>
          <cell r="K43">
            <v>5</v>
          </cell>
        </row>
        <row r="44">
          <cell r="A44" t="str">
            <v>RS 542</v>
          </cell>
          <cell r="B44">
            <v>364</v>
          </cell>
          <cell r="C44" t="str">
            <v>C</v>
          </cell>
          <cell r="D44" t="str">
            <v>F</v>
          </cell>
          <cell r="E44" t="str">
            <v>Bua River - Chambwe</v>
          </cell>
          <cell r="F44" t="str">
            <v>T339</v>
          </cell>
          <cell r="G44">
            <v>3</v>
          </cell>
          <cell r="H44">
            <v>1.6</v>
          </cell>
          <cell r="I44" t="str">
            <v>F</v>
          </cell>
          <cell r="J44" t="str">
            <v>KASUNGU</v>
          </cell>
          <cell r="K44">
            <v>5</v>
          </cell>
        </row>
        <row r="45">
          <cell r="A45" t="str">
            <v>RS 545</v>
          </cell>
          <cell r="B45">
            <v>367</v>
          </cell>
          <cell r="C45" t="str">
            <v>C</v>
          </cell>
          <cell r="D45" t="str">
            <v>F</v>
          </cell>
          <cell r="E45" t="str">
            <v>junction M7 - Ngombe</v>
          </cell>
          <cell r="F45" t="str">
            <v>T340</v>
          </cell>
          <cell r="G45">
            <v>1</v>
          </cell>
          <cell r="H45">
            <v>11.1</v>
          </cell>
          <cell r="I45" t="str">
            <v>F</v>
          </cell>
          <cell r="J45" t="str">
            <v>NTCHISI</v>
          </cell>
          <cell r="K45">
            <v>5</v>
          </cell>
        </row>
        <row r="46">
          <cell r="A46" t="str">
            <v>RS 544</v>
          </cell>
          <cell r="B46">
            <v>366</v>
          </cell>
          <cell r="C46" t="str">
            <v>C</v>
          </cell>
          <cell r="D46" t="str">
            <v>F</v>
          </cell>
          <cell r="E46" t="str">
            <v>Ngombe - Kamsonga</v>
          </cell>
          <cell r="F46" t="str">
            <v>T340</v>
          </cell>
          <cell r="G46">
            <v>2</v>
          </cell>
          <cell r="H46">
            <v>9.8000000000000007</v>
          </cell>
          <cell r="I46" t="str">
            <v>F</v>
          </cell>
          <cell r="J46" t="str">
            <v>NTCHISI</v>
          </cell>
          <cell r="K46">
            <v>5</v>
          </cell>
        </row>
        <row r="47">
          <cell r="A47" t="str">
            <v>RS 546</v>
          </cell>
          <cell r="B47">
            <v>368</v>
          </cell>
          <cell r="C47" t="str">
            <v>C</v>
          </cell>
          <cell r="D47" t="str">
            <v>F</v>
          </cell>
          <cell r="E47" t="str">
            <v>Kamsonga - Chungu (junction M18)</v>
          </cell>
          <cell r="F47" t="str">
            <v>T340</v>
          </cell>
          <cell r="G47">
            <v>3</v>
          </cell>
          <cell r="H47">
            <v>17.899999999999999</v>
          </cell>
          <cell r="I47" t="str">
            <v>F</v>
          </cell>
          <cell r="J47" t="str">
            <v>NTCHISI</v>
          </cell>
          <cell r="K47">
            <v>5</v>
          </cell>
          <cell r="L47" t="str">
            <v>Changed designation from S100 to S101</v>
          </cell>
        </row>
        <row r="48">
          <cell r="A48" t="str">
            <v>RS 553</v>
          </cell>
          <cell r="B48">
            <v>375</v>
          </cell>
          <cell r="C48" t="str">
            <v>C</v>
          </cell>
          <cell r="D48" t="str">
            <v>F</v>
          </cell>
          <cell r="E48" t="str">
            <v>Malenga (junction M18) - Mpamantha</v>
          </cell>
          <cell r="F48" t="str">
            <v>T341</v>
          </cell>
          <cell r="G48">
            <v>1</v>
          </cell>
          <cell r="H48">
            <v>15.9</v>
          </cell>
          <cell r="I48" t="str">
            <v>F</v>
          </cell>
          <cell r="J48" t="str">
            <v>NKHOTA KOTA</v>
          </cell>
          <cell r="K48">
            <v>5</v>
          </cell>
        </row>
        <row r="49">
          <cell r="A49" t="str">
            <v>RS 548</v>
          </cell>
          <cell r="B49">
            <v>370</v>
          </cell>
          <cell r="C49" t="str">
            <v>C</v>
          </cell>
          <cell r="D49" t="str">
            <v>F</v>
          </cell>
          <cell r="E49" t="str">
            <v>Mpamantha - Luwi River</v>
          </cell>
          <cell r="F49" t="str">
            <v>T341</v>
          </cell>
          <cell r="G49">
            <v>2</v>
          </cell>
          <cell r="H49">
            <v>5.8</v>
          </cell>
          <cell r="I49" t="str">
            <v>F</v>
          </cell>
          <cell r="J49" t="str">
            <v>NKHOTA KOTA</v>
          </cell>
          <cell r="K49">
            <v>5</v>
          </cell>
        </row>
        <row r="50">
          <cell r="A50" t="str">
            <v>RS 555</v>
          </cell>
          <cell r="B50">
            <v>377</v>
          </cell>
          <cell r="C50" t="str">
            <v>C</v>
          </cell>
          <cell r="D50" t="str">
            <v>F</v>
          </cell>
          <cell r="E50" t="str">
            <v>Luwi River - Chalunda</v>
          </cell>
          <cell r="F50" t="str">
            <v>T341</v>
          </cell>
          <cell r="G50">
            <v>3</v>
          </cell>
          <cell r="H50">
            <v>8</v>
          </cell>
          <cell r="I50" t="str">
            <v>F</v>
          </cell>
          <cell r="J50" t="str">
            <v>NKHOTA KOTA</v>
          </cell>
          <cell r="K50">
            <v>5</v>
          </cell>
        </row>
        <row r="51">
          <cell r="A51" t="str">
            <v>RS 554</v>
          </cell>
          <cell r="B51">
            <v>376</v>
          </cell>
          <cell r="C51" t="str">
            <v>C</v>
          </cell>
          <cell r="D51" t="str">
            <v>F</v>
          </cell>
          <cell r="E51" t="str">
            <v>Chalunda - Gomadzi</v>
          </cell>
          <cell r="F51" t="str">
            <v>T341</v>
          </cell>
          <cell r="G51">
            <v>4</v>
          </cell>
          <cell r="H51">
            <v>5.4</v>
          </cell>
          <cell r="I51" t="str">
            <v>F</v>
          </cell>
          <cell r="J51" t="str">
            <v>NKHOTA KOTA</v>
          </cell>
          <cell r="K51">
            <v>5</v>
          </cell>
        </row>
        <row r="52">
          <cell r="A52" t="str">
            <v>RS 549</v>
          </cell>
          <cell r="B52">
            <v>371</v>
          </cell>
          <cell r="C52" t="str">
            <v>C</v>
          </cell>
          <cell r="D52" t="str">
            <v>F</v>
          </cell>
          <cell r="E52" t="str">
            <v>Gomadzi - Kayoyo</v>
          </cell>
          <cell r="F52" t="str">
            <v>T341</v>
          </cell>
          <cell r="G52">
            <v>5</v>
          </cell>
          <cell r="H52">
            <v>8.6999999999999993</v>
          </cell>
          <cell r="I52" t="str">
            <v>F</v>
          </cell>
          <cell r="J52" t="str">
            <v>NKHOTA KOTA</v>
          </cell>
          <cell r="K52">
            <v>5</v>
          </cell>
        </row>
        <row r="53">
          <cell r="A53" t="str">
            <v>RS 551</v>
          </cell>
          <cell r="B53">
            <v>373</v>
          </cell>
          <cell r="C53" t="str">
            <v>C</v>
          </cell>
          <cell r="D53" t="str">
            <v>F</v>
          </cell>
          <cell r="E53" t="str">
            <v>Kayoyo - Mwasambo</v>
          </cell>
          <cell r="F53" t="str">
            <v>T341</v>
          </cell>
          <cell r="G53">
            <v>6</v>
          </cell>
          <cell r="H53">
            <v>15.4</v>
          </cell>
          <cell r="I53" t="str">
            <v>F</v>
          </cell>
          <cell r="J53" t="str">
            <v>NKHOTA KOTA</v>
          </cell>
          <cell r="K53">
            <v>5</v>
          </cell>
        </row>
        <row r="54">
          <cell r="A54" t="str">
            <v>RS 547</v>
          </cell>
          <cell r="B54">
            <v>369</v>
          </cell>
          <cell r="C54" t="str">
            <v>C</v>
          </cell>
          <cell r="D54" t="str">
            <v>F</v>
          </cell>
          <cell r="E54" t="str">
            <v>Mwasambo - Kasakula</v>
          </cell>
          <cell r="F54" t="str">
            <v>T341</v>
          </cell>
          <cell r="G54">
            <v>7</v>
          </cell>
          <cell r="H54">
            <v>5.0999999999999996</v>
          </cell>
          <cell r="I54" t="str">
            <v>F</v>
          </cell>
          <cell r="J54" t="str">
            <v>NKHOTA KOTA</v>
          </cell>
          <cell r="K54">
            <v>5</v>
          </cell>
        </row>
        <row r="55">
          <cell r="A55" t="str">
            <v>RS 552</v>
          </cell>
          <cell r="B55">
            <v>374</v>
          </cell>
          <cell r="C55" t="str">
            <v>C</v>
          </cell>
          <cell r="D55" t="str">
            <v>F</v>
          </cell>
          <cell r="E55" t="str">
            <v>Kasakula - Chithembwe Village</v>
          </cell>
          <cell r="F55" t="str">
            <v>T341</v>
          </cell>
          <cell r="G55">
            <v>8</v>
          </cell>
          <cell r="H55">
            <v>12.2</v>
          </cell>
          <cell r="I55" t="str">
            <v>H</v>
          </cell>
          <cell r="J55" t="str">
            <v>NICHISI</v>
          </cell>
          <cell r="K55">
            <v>5</v>
          </cell>
        </row>
        <row r="56">
          <cell r="A56" t="str">
            <v>RS 550</v>
          </cell>
          <cell r="B56">
            <v>372</v>
          </cell>
          <cell r="C56" t="str">
            <v>C</v>
          </cell>
          <cell r="D56" t="str">
            <v>F</v>
          </cell>
          <cell r="E56" t="str">
            <v>Chithembwe Village - Mbonekela (junction M7)</v>
          </cell>
          <cell r="F56" t="str">
            <v>T341</v>
          </cell>
          <cell r="G56">
            <v>9</v>
          </cell>
          <cell r="H56">
            <v>17.8</v>
          </cell>
          <cell r="I56" t="str">
            <v>H</v>
          </cell>
          <cell r="J56" t="str">
            <v>NTCHISI</v>
          </cell>
          <cell r="K56">
            <v>5</v>
          </cell>
        </row>
        <row r="57">
          <cell r="A57" t="str">
            <v>RS 556</v>
          </cell>
          <cell r="B57">
            <v>378</v>
          </cell>
          <cell r="C57" t="str">
            <v>C</v>
          </cell>
          <cell r="D57" t="str">
            <v>F</v>
          </cell>
          <cell r="E57" t="str">
            <v>Kamwendo - Chiwoshya</v>
          </cell>
          <cell r="F57" t="str">
            <v>T342</v>
          </cell>
          <cell r="G57">
            <v>1</v>
          </cell>
          <cell r="H57">
            <v>17.5</v>
          </cell>
          <cell r="I57" t="str">
            <v>F</v>
          </cell>
          <cell r="J57" t="str">
            <v>MCHINJI</v>
          </cell>
          <cell r="K57">
            <v>6</v>
          </cell>
        </row>
        <row r="58">
          <cell r="A58" t="str">
            <v>RS 557</v>
          </cell>
          <cell r="B58">
            <v>379</v>
          </cell>
          <cell r="C58" t="str">
            <v>C</v>
          </cell>
          <cell r="D58" t="str">
            <v>F</v>
          </cell>
          <cell r="E58" t="str">
            <v>Chiwoshya - Bua River (Near Mphanga)</v>
          </cell>
          <cell r="F58" t="str">
            <v>T342</v>
          </cell>
          <cell r="G58">
            <v>2</v>
          </cell>
          <cell r="H58">
            <v>8.9</v>
          </cell>
          <cell r="I58" t="str">
            <v>F</v>
          </cell>
          <cell r="J58" t="str">
            <v>MCHINJI</v>
          </cell>
          <cell r="K58">
            <v>6</v>
          </cell>
        </row>
        <row r="59">
          <cell r="A59" t="str">
            <v>RS 558</v>
          </cell>
          <cell r="B59">
            <v>380</v>
          </cell>
          <cell r="C59" t="str">
            <v>C</v>
          </cell>
          <cell r="D59" t="str">
            <v>F</v>
          </cell>
          <cell r="E59" t="str">
            <v>Kasiya - Tonde</v>
          </cell>
          <cell r="F59" t="str">
            <v>T342</v>
          </cell>
          <cell r="G59">
            <v>3</v>
          </cell>
          <cell r="H59">
            <v>11</v>
          </cell>
          <cell r="I59" t="str">
            <v>F</v>
          </cell>
          <cell r="J59" t="str">
            <v>LILONGWE</v>
          </cell>
          <cell r="K59">
            <v>6</v>
          </cell>
        </row>
        <row r="60">
          <cell r="A60" t="str">
            <v>RS 560</v>
          </cell>
          <cell r="B60">
            <v>382</v>
          </cell>
          <cell r="C60" t="str">
            <v>C</v>
          </cell>
          <cell r="D60" t="str">
            <v>F</v>
          </cell>
          <cell r="E60" t="str">
            <v>Mung'ona - Chiwoshya</v>
          </cell>
          <cell r="F60" t="str">
            <v>T343</v>
          </cell>
          <cell r="G60">
            <v>1</v>
          </cell>
          <cell r="H60">
            <v>18</v>
          </cell>
          <cell r="I60" t="str">
            <v>F</v>
          </cell>
          <cell r="J60" t="str">
            <v>MCHINJI</v>
          </cell>
          <cell r="K60">
            <v>6</v>
          </cell>
        </row>
        <row r="61">
          <cell r="A61" t="str">
            <v>RS 559</v>
          </cell>
          <cell r="B61">
            <v>381</v>
          </cell>
          <cell r="C61" t="str">
            <v>C</v>
          </cell>
          <cell r="D61" t="str">
            <v>F</v>
          </cell>
          <cell r="E61" t="str">
            <v>Chiwoshya - Mavwere</v>
          </cell>
          <cell r="F61" t="str">
            <v>T343</v>
          </cell>
          <cell r="G61">
            <v>2</v>
          </cell>
          <cell r="H61">
            <v>15</v>
          </cell>
          <cell r="I61" t="str">
            <v>F</v>
          </cell>
          <cell r="J61" t="str">
            <v>MCHINJI</v>
          </cell>
          <cell r="K61">
            <v>6</v>
          </cell>
        </row>
        <row r="62">
          <cell r="A62" t="str">
            <v>RS 561</v>
          </cell>
          <cell r="B62">
            <v>383</v>
          </cell>
          <cell r="C62" t="str">
            <v>C</v>
          </cell>
          <cell r="D62" t="str">
            <v>F</v>
          </cell>
          <cell r="E62" t="str">
            <v>Mavwere - Msitu</v>
          </cell>
          <cell r="F62" t="str">
            <v>T343</v>
          </cell>
          <cell r="G62">
            <v>3</v>
          </cell>
          <cell r="H62">
            <v>8.3000000000000007</v>
          </cell>
          <cell r="I62" t="str">
            <v>F</v>
          </cell>
          <cell r="J62" t="str">
            <v>MCHINJI</v>
          </cell>
          <cell r="K62">
            <v>6</v>
          </cell>
        </row>
        <row r="63">
          <cell r="A63" t="str">
            <v>RS 562</v>
          </cell>
          <cell r="B63">
            <v>384</v>
          </cell>
          <cell r="C63" t="str">
            <v>C</v>
          </cell>
          <cell r="D63" t="str">
            <v>F</v>
          </cell>
          <cell r="E63" t="str">
            <v>Majiga - Daminga - junction D187</v>
          </cell>
          <cell r="F63" t="str">
            <v>T344</v>
          </cell>
          <cell r="G63">
            <v>1</v>
          </cell>
          <cell r="H63">
            <v>26</v>
          </cell>
          <cell r="I63" t="str">
            <v>F</v>
          </cell>
          <cell r="J63" t="str">
            <v>LILONGWE</v>
          </cell>
          <cell r="K63">
            <v>6</v>
          </cell>
          <cell r="L63" t="str">
            <v>Changed designation from M16 to S115</v>
          </cell>
        </row>
        <row r="64">
          <cell r="A64" t="str">
            <v>RS 563</v>
          </cell>
          <cell r="B64">
            <v>385</v>
          </cell>
          <cell r="C64" t="str">
            <v>C</v>
          </cell>
          <cell r="D64" t="str">
            <v>F</v>
          </cell>
          <cell r="E64" t="str">
            <v>Chileka (junction M12) - Mingondo T. C.</v>
          </cell>
          <cell r="F64" t="str">
            <v>T345</v>
          </cell>
          <cell r="G64">
            <v>1</v>
          </cell>
          <cell r="H64">
            <v>10.199999999999999</v>
          </cell>
          <cell r="I64" t="str">
            <v>F</v>
          </cell>
          <cell r="J64" t="str">
            <v>LILONGWE</v>
          </cell>
          <cell r="K64">
            <v>6</v>
          </cell>
        </row>
        <row r="65">
          <cell r="A65" t="str">
            <v>RS 567</v>
          </cell>
          <cell r="B65">
            <v>389</v>
          </cell>
          <cell r="C65" t="str">
            <v>C</v>
          </cell>
          <cell r="D65" t="str">
            <v>F</v>
          </cell>
          <cell r="E65" t="str">
            <v>Mingondo T. C. - Likuni River</v>
          </cell>
          <cell r="F65" t="str">
            <v>T345</v>
          </cell>
          <cell r="G65">
            <v>2</v>
          </cell>
          <cell r="H65">
            <v>7.9</v>
          </cell>
          <cell r="I65" t="str">
            <v>F</v>
          </cell>
          <cell r="J65" t="str">
            <v>LILONGWE</v>
          </cell>
          <cell r="K65">
            <v>6</v>
          </cell>
        </row>
        <row r="66">
          <cell r="A66" t="str">
            <v>RS 565</v>
          </cell>
          <cell r="B66">
            <v>387</v>
          </cell>
          <cell r="C66" t="str">
            <v>C</v>
          </cell>
          <cell r="D66" t="str">
            <v>F</v>
          </cell>
          <cell r="E66" t="str">
            <v>Likuni River - Njoka</v>
          </cell>
          <cell r="F66" t="str">
            <v>T345</v>
          </cell>
          <cell r="G66">
            <v>3</v>
          </cell>
          <cell r="H66">
            <v>8.4</v>
          </cell>
          <cell r="I66" t="str">
            <v>F</v>
          </cell>
          <cell r="J66" t="str">
            <v>LILONGWE</v>
          </cell>
          <cell r="K66">
            <v>6</v>
          </cell>
        </row>
        <row r="67">
          <cell r="A67" t="str">
            <v>RS 566</v>
          </cell>
          <cell r="B67">
            <v>388</v>
          </cell>
          <cell r="C67" t="str">
            <v>C</v>
          </cell>
          <cell r="D67" t="str">
            <v>F</v>
          </cell>
          <cell r="E67" t="str">
            <v>Njoka - Malingunde (junction S124)</v>
          </cell>
          <cell r="F67" t="str">
            <v>T345</v>
          </cell>
          <cell r="G67">
            <v>4</v>
          </cell>
          <cell r="H67">
            <v>9.6999999999999993</v>
          </cell>
          <cell r="I67" t="str">
            <v>F</v>
          </cell>
          <cell r="J67" t="str">
            <v>LILONGWE</v>
          </cell>
          <cell r="K67">
            <v>6</v>
          </cell>
        </row>
        <row r="68">
          <cell r="A68" t="str">
            <v>RS 569</v>
          </cell>
          <cell r="B68">
            <v>391</v>
          </cell>
          <cell r="C68" t="str">
            <v>C</v>
          </cell>
          <cell r="D68" t="str">
            <v>F</v>
          </cell>
          <cell r="E68" t="str">
            <v>Kayabwa - Badwa River</v>
          </cell>
          <cell r="F68" t="str">
            <v>T346</v>
          </cell>
          <cell r="G68">
            <v>1</v>
          </cell>
          <cell r="H68">
            <v>7.3</v>
          </cell>
          <cell r="I68" t="str">
            <v>F</v>
          </cell>
          <cell r="J68" t="str">
            <v>LILONGWE</v>
          </cell>
          <cell r="K68">
            <v>6</v>
          </cell>
        </row>
        <row r="69">
          <cell r="A69" t="str">
            <v>RS 568</v>
          </cell>
          <cell r="B69">
            <v>390</v>
          </cell>
          <cell r="C69" t="str">
            <v>C</v>
          </cell>
          <cell r="D69" t="str">
            <v>F</v>
          </cell>
          <cell r="E69" t="str">
            <v>Badwa River - Mika</v>
          </cell>
          <cell r="F69" t="str">
            <v>T346</v>
          </cell>
          <cell r="G69">
            <v>2</v>
          </cell>
          <cell r="H69">
            <v>7.3</v>
          </cell>
          <cell r="I69" t="str">
            <v>F</v>
          </cell>
          <cell r="J69" t="str">
            <v>LILONGWE</v>
          </cell>
          <cell r="K69">
            <v>6</v>
          </cell>
        </row>
        <row r="70">
          <cell r="A70" t="str">
            <v>RS 570</v>
          </cell>
          <cell r="B70">
            <v>382</v>
          </cell>
          <cell r="C70" t="str">
            <v>C</v>
          </cell>
          <cell r="D70" t="str">
            <v>F</v>
          </cell>
          <cell r="E70" t="str">
            <v xml:space="preserve">Mika - Kalonga </v>
          </cell>
          <cell r="F70" t="str">
            <v>T346</v>
          </cell>
          <cell r="G70">
            <v>3</v>
          </cell>
          <cell r="H70">
            <v>2.8</v>
          </cell>
          <cell r="I70" t="str">
            <v>F</v>
          </cell>
          <cell r="J70" t="str">
            <v>LILONGWE</v>
          </cell>
          <cell r="K70">
            <v>6</v>
          </cell>
        </row>
        <row r="71">
          <cell r="A71" t="str">
            <v>RS 571</v>
          </cell>
          <cell r="B71">
            <v>393</v>
          </cell>
          <cell r="C71" t="str">
            <v>C</v>
          </cell>
          <cell r="D71" t="str">
            <v>F</v>
          </cell>
          <cell r="E71" t="str">
            <v>Mutu - Mwalilakwacha</v>
          </cell>
          <cell r="F71" t="str">
            <v>T347</v>
          </cell>
          <cell r="G71">
            <v>1</v>
          </cell>
          <cell r="H71">
            <v>26</v>
          </cell>
          <cell r="I71" t="str">
            <v>F</v>
          </cell>
          <cell r="J71" t="str">
            <v>LILONGWE</v>
          </cell>
          <cell r="K71">
            <v>6</v>
          </cell>
        </row>
        <row r="72">
          <cell r="A72" t="str">
            <v>RS 572</v>
          </cell>
          <cell r="B72">
            <v>394</v>
          </cell>
          <cell r="C72" t="str">
            <v>C</v>
          </cell>
          <cell r="D72" t="str">
            <v>F</v>
          </cell>
          <cell r="E72" t="str">
            <v>Mponela - Mkulumimba</v>
          </cell>
          <cell r="F72" t="str">
            <v>T348</v>
          </cell>
          <cell r="G72">
            <v>1</v>
          </cell>
          <cell r="H72">
            <v>23.7</v>
          </cell>
          <cell r="I72" t="str">
            <v>F</v>
          </cell>
          <cell r="J72" t="str">
            <v>DOWA</v>
          </cell>
          <cell r="K72">
            <v>6</v>
          </cell>
        </row>
        <row r="73">
          <cell r="A73" t="str">
            <v>RS 258</v>
          </cell>
          <cell r="B73">
            <v>80</v>
          </cell>
          <cell r="C73" t="str">
            <v>C</v>
          </cell>
          <cell r="D73" t="str">
            <v>F</v>
          </cell>
          <cell r="E73" t="str">
            <v>Kasuntha - Mkulumimba</v>
          </cell>
          <cell r="F73" t="str">
            <v>T349</v>
          </cell>
          <cell r="G73">
            <v>1</v>
          </cell>
          <cell r="H73">
            <v>11.6</v>
          </cell>
          <cell r="I73" t="str">
            <v>FL</v>
          </cell>
          <cell r="J73" t="str">
            <v>DOWA</v>
          </cell>
          <cell r="K73" t="str">
            <v>5,6</v>
          </cell>
          <cell r="L73" t="str">
            <v>Changed designation from S120 to T349</v>
          </cell>
        </row>
        <row r="74">
          <cell r="A74" t="str">
            <v>RS 573</v>
          </cell>
          <cell r="B74">
            <v>395</v>
          </cell>
          <cell r="C74" t="str">
            <v>C</v>
          </cell>
          <cell r="D74" t="str">
            <v>F</v>
          </cell>
          <cell r="E74" t="str">
            <v>Mponera - Ntchisi</v>
          </cell>
          <cell r="F74" t="str">
            <v>T350</v>
          </cell>
          <cell r="G74">
            <v>1</v>
          </cell>
          <cell r="H74">
            <v>40</v>
          </cell>
          <cell r="I74" t="str">
            <v>FL</v>
          </cell>
          <cell r="J74" t="str">
            <v>DOWA</v>
          </cell>
          <cell r="K74">
            <v>5</v>
          </cell>
        </row>
        <row r="75">
          <cell r="A75" t="str">
            <v>RS 576</v>
          </cell>
          <cell r="B75">
            <v>398</v>
          </cell>
          <cell r="C75" t="str">
            <v>C</v>
          </cell>
          <cell r="D75" t="str">
            <v>F</v>
          </cell>
          <cell r="E75" t="str">
            <v>Mchinji Customs (junction M12) - Chikoka</v>
          </cell>
          <cell r="F75" t="str">
            <v>T351</v>
          </cell>
          <cell r="G75">
            <v>1</v>
          </cell>
          <cell r="H75">
            <v>9</v>
          </cell>
          <cell r="I75" t="str">
            <v>FL</v>
          </cell>
          <cell r="J75" t="str">
            <v>MCHINJI</v>
          </cell>
          <cell r="K75">
            <v>6</v>
          </cell>
        </row>
        <row r="76">
          <cell r="A76" t="str">
            <v>RS 574</v>
          </cell>
          <cell r="B76">
            <v>396</v>
          </cell>
          <cell r="C76" t="str">
            <v>C</v>
          </cell>
          <cell r="D76" t="str">
            <v>F</v>
          </cell>
          <cell r="E76" t="str">
            <v>Chikoka - Likawe</v>
          </cell>
          <cell r="F76" t="str">
            <v>T351</v>
          </cell>
          <cell r="G76">
            <v>2</v>
          </cell>
          <cell r="H76">
            <v>6.5</v>
          </cell>
          <cell r="I76" t="str">
            <v>FL</v>
          </cell>
          <cell r="J76" t="str">
            <v>MCHINJI</v>
          </cell>
          <cell r="K76">
            <v>6</v>
          </cell>
        </row>
        <row r="77">
          <cell r="A77" t="str">
            <v>RS 577</v>
          </cell>
          <cell r="B77">
            <v>399</v>
          </cell>
          <cell r="C77" t="str">
            <v>C</v>
          </cell>
          <cell r="D77" t="str">
            <v>F</v>
          </cell>
          <cell r="E77" t="str">
            <v>Likawe - Ulele</v>
          </cell>
          <cell r="F77" t="str">
            <v>T351</v>
          </cell>
          <cell r="G77">
            <v>3</v>
          </cell>
          <cell r="H77">
            <v>39.6</v>
          </cell>
          <cell r="I77" t="str">
            <v>FL</v>
          </cell>
          <cell r="J77" t="str">
            <v>MCHINJI</v>
          </cell>
          <cell r="K77">
            <v>6</v>
          </cell>
        </row>
        <row r="78">
          <cell r="A78" t="str">
            <v>RS 575</v>
          </cell>
          <cell r="B78">
            <v>397</v>
          </cell>
          <cell r="C78" t="str">
            <v>C</v>
          </cell>
          <cell r="D78" t="str">
            <v>F</v>
          </cell>
          <cell r="E78" t="str">
            <v>Ulele - Kamwendo (junction M12)</v>
          </cell>
          <cell r="F78" t="str">
            <v>T351</v>
          </cell>
          <cell r="G78">
            <v>4</v>
          </cell>
          <cell r="H78">
            <v>14.8</v>
          </cell>
          <cell r="I78" t="str">
            <v>FL</v>
          </cell>
          <cell r="J78" t="str">
            <v>MCHINJI</v>
          </cell>
          <cell r="K78">
            <v>6</v>
          </cell>
        </row>
        <row r="79">
          <cell r="A79" t="str">
            <v>RS 578</v>
          </cell>
          <cell r="B79">
            <v>400</v>
          </cell>
          <cell r="C79" t="str">
            <v>C</v>
          </cell>
          <cell r="D79" t="str">
            <v>F</v>
          </cell>
          <cell r="E79" t="str">
            <v>Benga (junction M5) - Juma</v>
          </cell>
          <cell r="F79" t="str">
            <v>T355</v>
          </cell>
          <cell r="G79">
            <v>1</v>
          </cell>
          <cell r="H79">
            <v>2.8</v>
          </cell>
          <cell r="I79" t="str">
            <v>FL</v>
          </cell>
          <cell r="J79" t="str">
            <v>NKHOTA KOTA</v>
          </cell>
          <cell r="K79">
            <v>5</v>
          </cell>
        </row>
        <row r="80">
          <cell r="A80" t="str">
            <v>RS 579</v>
          </cell>
          <cell r="B80">
            <v>401</v>
          </cell>
          <cell r="C80" t="str">
            <v>C</v>
          </cell>
          <cell r="D80" t="str">
            <v>F</v>
          </cell>
          <cell r="E80" t="str">
            <v>Juma - Suluwi</v>
          </cell>
          <cell r="F80" t="str">
            <v>T355</v>
          </cell>
          <cell r="G80">
            <v>2</v>
          </cell>
          <cell r="H80">
            <v>8</v>
          </cell>
          <cell r="I80" t="str">
            <v>FL</v>
          </cell>
          <cell r="J80" t="str">
            <v>NKHOTA KOTA</v>
          </cell>
          <cell r="K80">
            <v>5</v>
          </cell>
        </row>
        <row r="81">
          <cell r="A81" t="str">
            <v>RS 591</v>
          </cell>
          <cell r="B81">
            <v>413</v>
          </cell>
          <cell r="C81" t="str">
            <v>C</v>
          </cell>
          <cell r="D81" t="str">
            <v>F</v>
          </cell>
          <cell r="E81" t="str">
            <v>Suluwi - Kachisoka (junction M5)</v>
          </cell>
          <cell r="F81" t="str">
            <v>T355</v>
          </cell>
          <cell r="G81">
            <v>3</v>
          </cell>
          <cell r="H81">
            <v>9.5</v>
          </cell>
          <cell r="I81" t="str">
            <v>FL</v>
          </cell>
          <cell r="J81" t="str">
            <v>NKHOTA KOTA</v>
          </cell>
          <cell r="K81">
            <v>7</v>
          </cell>
          <cell r="L81" t="str">
            <v>Changed designation from T358 to T355</v>
          </cell>
        </row>
        <row r="82">
          <cell r="A82" t="str">
            <v>RS 580</v>
          </cell>
          <cell r="B82">
            <v>402</v>
          </cell>
          <cell r="C82" t="str">
            <v>C</v>
          </cell>
          <cell r="D82" t="str">
            <v>F</v>
          </cell>
          <cell r="E82" t="str">
            <v>Kanyenyeva (junction M14) - Chitala River Bridge</v>
          </cell>
          <cell r="F82" t="str">
            <v>T356</v>
          </cell>
          <cell r="G82">
            <v>1</v>
          </cell>
          <cell r="H82">
            <v>8.1999999999999993</v>
          </cell>
          <cell r="I82" t="str">
            <v>FL</v>
          </cell>
          <cell r="J82" t="str">
            <v>DOWA</v>
          </cell>
          <cell r="K82">
            <v>6</v>
          </cell>
        </row>
        <row r="83">
          <cell r="A83" t="str">
            <v>RS 581</v>
          </cell>
          <cell r="B83">
            <v>403</v>
          </cell>
          <cell r="C83" t="str">
            <v>C</v>
          </cell>
          <cell r="D83" t="str">
            <v>F</v>
          </cell>
          <cell r="E83" t="str">
            <v>Chitala River Bridge - Sambo</v>
          </cell>
          <cell r="F83" t="str">
            <v>T356</v>
          </cell>
          <cell r="G83">
            <v>2</v>
          </cell>
          <cell r="H83">
            <v>12</v>
          </cell>
          <cell r="I83" t="str">
            <v>FL</v>
          </cell>
          <cell r="J83" t="str">
            <v>SALIMA</v>
          </cell>
          <cell r="K83">
            <v>6</v>
          </cell>
        </row>
        <row r="84">
          <cell r="A84" t="str">
            <v>RS 582</v>
          </cell>
          <cell r="B84">
            <v>404</v>
          </cell>
          <cell r="C84" t="str">
            <v>C</v>
          </cell>
          <cell r="D84" t="str">
            <v>F</v>
          </cell>
          <cell r="E84" t="str">
            <v>Sambo - Nkhombedza (junction M5)</v>
          </cell>
          <cell r="F84" t="str">
            <v>T356</v>
          </cell>
          <cell r="G84">
            <v>3</v>
          </cell>
          <cell r="H84">
            <v>5.9</v>
          </cell>
          <cell r="I84" t="str">
            <v>FL</v>
          </cell>
          <cell r="J84" t="str">
            <v>SALIMA</v>
          </cell>
          <cell r="K84">
            <v>6</v>
          </cell>
        </row>
        <row r="85">
          <cell r="A85" t="str">
            <v>RS 585</v>
          </cell>
          <cell r="B85">
            <v>407</v>
          </cell>
          <cell r="C85" t="str">
            <v>C</v>
          </cell>
          <cell r="D85" t="str">
            <v>F</v>
          </cell>
          <cell r="E85" t="str">
            <v>Chipemedza - Salima railway crossing</v>
          </cell>
          <cell r="F85" t="str">
            <v>T357</v>
          </cell>
          <cell r="G85">
            <v>1</v>
          </cell>
          <cell r="H85">
            <v>1.6</v>
          </cell>
          <cell r="I85" t="str">
            <v>FL</v>
          </cell>
          <cell r="J85" t="str">
            <v>SALIMA</v>
          </cell>
          <cell r="K85">
            <v>7</v>
          </cell>
        </row>
        <row r="86">
          <cell r="A86" t="str">
            <v>RS 583</v>
          </cell>
          <cell r="B86">
            <v>405</v>
          </cell>
          <cell r="C86" t="str">
            <v>C</v>
          </cell>
          <cell r="D86" t="str">
            <v>F</v>
          </cell>
          <cell r="E86" t="str">
            <v>Salima railway crossing - Cherani</v>
          </cell>
          <cell r="F86" t="str">
            <v>T357</v>
          </cell>
          <cell r="G86">
            <v>2</v>
          </cell>
          <cell r="H86">
            <v>8.3000000000000007</v>
          </cell>
          <cell r="I86" t="str">
            <v>FL</v>
          </cell>
          <cell r="J86" t="str">
            <v>SALIMA</v>
          </cell>
          <cell r="K86">
            <v>7</v>
          </cell>
        </row>
        <row r="87">
          <cell r="A87" t="str">
            <v>RS 584</v>
          </cell>
          <cell r="B87">
            <v>406</v>
          </cell>
          <cell r="C87" t="str">
            <v>C</v>
          </cell>
          <cell r="D87" t="str">
            <v>F</v>
          </cell>
          <cell r="E87" t="str">
            <v>Cherani - Kachulu</v>
          </cell>
          <cell r="F87" t="str">
            <v>T357</v>
          </cell>
          <cell r="G87">
            <v>3</v>
          </cell>
          <cell r="H87">
            <v>10.4</v>
          </cell>
          <cell r="I87" t="str">
            <v>FL</v>
          </cell>
          <cell r="J87" t="str">
            <v>SALIMA</v>
          </cell>
          <cell r="K87">
            <v>7</v>
          </cell>
        </row>
        <row r="88">
          <cell r="A88" t="str">
            <v>RS 663</v>
          </cell>
          <cell r="B88">
            <v>485</v>
          </cell>
          <cell r="C88" t="str">
            <v>C</v>
          </cell>
          <cell r="D88" t="str">
            <v>F</v>
          </cell>
          <cell r="E88" t="str">
            <v>Kachulu - Lifuwu</v>
          </cell>
          <cell r="F88" t="str">
            <v>T357</v>
          </cell>
          <cell r="G88">
            <v>3</v>
          </cell>
          <cell r="H88">
            <v>7</v>
          </cell>
          <cell r="I88" t="str">
            <v>FL</v>
          </cell>
          <cell r="J88" t="str">
            <v>SALIMA</v>
          </cell>
          <cell r="K88">
            <v>7</v>
          </cell>
          <cell r="L88" t="str">
            <v>Changed designation from D276 to T357</v>
          </cell>
        </row>
        <row r="89">
          <cell r="A89" t="str">
            <v>RS 587</v>
          </cell>
          <cell r="B89">
            <v>409</v>
          </cell>
          <cell r="C89" t="str">
            <v>C</v>
          </cell>
          <cell r="D89" t="str">
            <v>F</v>
          </cell>
          <cell r="E89" t="str">
            <v>Lifuwu - Mikute</v>
          </cell>
          <cell r="F89" t="str">
            <v>T357</v>
          </cell>
          <cell r="G89">
            <v>5</v>
          </cell>
          <cell r="H89">
            <v>9.6</v>
          </cell>
          <cell r="I89" t="str">
            <v>FL</v>
          </cell>
          <cell r="J89" t="str">
            <v>SALIMA</v>
          </cell>
          <cell r="K89">
            <v>7</v>
          </cell>
          <cell r="L89" t="str">
            <v>Changed designation from T358 to T357</v>
          </cell>
        </row>
        <row r="90">
          <cell r="A90" t="str">
            <v>RS 586</v>
          </cell>
          <cell r="B90">
            <v>408</v>
          </cell>
          <cell r="C90" t="str">
            <v>C</v>
          </cell>
          <cell r="D90" t="str">
            <v>F</v>
          </cell>
          <cell r="E90" t="str">
            <v>Mikute - Nafulu</v>
          </cell>
          <cell r="F90" t="str">
            <v>T358</v>
          </cell>
          <cell r="G90">
            <v>1</v>
          </cell>
          <cell r="H90">
            <v>2.7</v>
          </cell>
          <cell r="I90" t="str">
            <v>FL</v>
          </cell>
          <cell r="J90" t="str">
            <v>SALIMA</v>
          </cell>
          <cell r="K90">
            <v>7</v>
          </cell>
        </row>
        <row r="91">
          <cell r="A91" t="str">
            <v>RS 590</v>
          </cell>
          <cell r="B91">
            <v>412</v>
          </cell>
          <cell r="C91" t="str">
            <v>C</v>
          </cell>
          <cell r="D91" t="str">
            <v>F</v>
          </cell>
          <cell r="E91" t="str">
            <v>Nafulu - Kachule</v>
          </cell>
          <cell r="F91" t="str">
            <v>T358</v>
          </cell>
          <cell r="G91">
            <v>2</v>
          </cell>
          <cell r="H91">
            <v>10.5</v>
          </cell>
          <cell r="I91" t="str">
            <v>FL</v>
          </cell>
          <cell r="J91" t="str">
            <v>SALIMA</v>
          </cell>
          <cell r="K91">
            <v>7</v>
          </cell>
        </row>
        <row r="92">
          <cell r="A92" t="str">
            <v>RS 589</v>
          </cell>
          <cell r="B92">
            <v>411</v>
          </cell>
          <cell r="C92" t="str">
            <v>C</v>
          </cell>
          <cell r="D92" t="str">
            <v>F</v>
          </cell>
          <cell r="E92" t="str">
            <v>Kachule - Maganga</v>
          </cell>
          <cell r="F92" t="str">
            <v>T358</v>
          </cell>
          <cell r="G92">
            <v>3</v>
          </cell>
          <cell r="H92">
            <v>2.4</v>
          </cell>
          <cell r="I92" t="str">
            <v>FL</v>
          </cell>
          <cell r="J92" t="str">
            <v>SALIMA</v>
          </cell>
          <cell r="K92">
            <v>7</v>
          </cell>
        </row>
        <row r="93">
          <cell r="A93" t="str">
            <v>RS 588</v>
          </cell>
          <cell r="B93">
            <v>410</v>
          </cell>
          <cell r="C93" t="str">
            <v>C</v>
          </cell>
          <cell r="D93" t="str">
            <v>F</v>
          </cell>
          <cell r="E93" t="str">
            <v>Kachule - Chipemedza</v>
          </cell>
          <cell r="F93" t="str">
            <v>T358</v>
          </cell>
          <cell r="G93">
            <v>4</v>
          </cell>
          <cell r="H93">
            <v>10.8</v>
          </cell>
          <cell r="I93" t="str">
            <v>FL</v>
          </cell>
          <cell r="J93" t="str">
            <v>SALIMA</v>
          </cell>
          <cell r="K93">
            <v>7</v>
          </cell>
        </row>
        <row r="94">
          <cell r="A94" t="str">
            <v>RS 594</v>
          </cell>
          <cell r="B94">
            <v>416</v>
          </cell>
          <cell r="C94" t="str">
            <v>C</v>
          </cell>
          <cell r="D94" t="str">
            <v>F</v>
          </cell>
          <cell r="E94" t="str">
            <v>Mpeya T.C - Kalembera</v>
          </cell>
          <cell r="F94" t="str">
            <v>T363</v>
          </cell>
          <cell r="G94">
            <v>1</v>
          </cell>
          <cell r="H94">
            <v>9.1999999999999993</v>
          </cell>
          <cell r="I94" t="str">
            <v>R</v>
          </cell>
          <cell r="J94" t="str">
            <v>LILONGWE</v>
          </cell>
          <cell r="K94">
            <v>6</v>
          </cell>
          <cell r="L94" t="str">
            <v>Section start changed to exclude Chendawaka Road (RS 154)</v>
          </cell>
        </row>
        <row r="95">
          <cell r="A95" t="str">
            <v>RS 593</v>
          </cell>
          <cell r="B95">
            <v>415</v>
          </cell>
          <cell r="C95" t="str">
            <v>C</v>
          </cell>
          <cell r="D95" t="str">
            <v>F</v>
          </cell>
          <cell r="E95" t="str">
            <v>Kalembera - Lundu</v>
          </cell>
          <cell r="F95" t="str">
            <v>T363</v>
          </cell>
          <cell r="G95">
            <v>2</v>
          </cell>
          <cell r="H95">
            <v>5.8</v>
          </cell>
          <cell r="I95" t="str">
            <v>R</v>
          </cell>
          <cell r="J95" t="str">
            <v>LILONGWE</v>
          </cell>
          <cell r="K95">
            <v>6</v>
          </cell>
        </row>
        <row r="96">
          <cell r="A96" t="str">
            <v>RS 596</v>
          </cell>
          <cell r="B96">
            <v>418</v>
          </cell>
          <cell r="C96" t="str">
            <v>C</v>
          </cell>
          <cell r="D96" t="str">
            <v>F</v>
          </cell>
          <cell r="E96" t="str">
            <v>Samu (junction M12) - Kanyelele</v>
          </cell>
          <cell r="F96" t="str">
            <v>T364</v>
          </cell>
          <cell r="G96">
            <v>1</v>
          </cell>
          <cell r="H96">
            <v>5.7</v>
          </cell>
          <cell r="I96" t="str">
            <v>FL</v>
          </cell>
          <cell r="J96" t="str">
            <v>LILONGWE</v>
          </cell>
          <cell r="K96">
            <v>6</v>
          </cell>
        </row>
        <row r="97">
          <cell r="A97" t="str">
            <v>RS 595</v>
          </cell>
          <cell r="B97">
            <v>417</v>
          </cell>
          <cell r="C97" t="str">
            <v>C</v>
          </cell>
          <cell r="D97" t="str">
            <v>F</v>
          </cell>
          <cell r="E97" t="str">
            <v>Kanyelele - Nakura</v>
          </cell>
          <cell r="F97" t="str">
            <v>T364</v>
          </cell>
          <cell r="G97">
            <v>2</v>
          </cell>
          <cell r="H97">
            <v>5.9</v>
          </cell>
          <cell r="I97" t="str">
            <v>FL</v>
          </cell>
          <cell r="J97" t="str">
            <v>LILONGWE</v>
          </cell>
          <cell r="K97">
            <v>6</v>
          </cell>
          <cell r="L97" t="str">
            <v>Changed junction road designation from M5</v>
          </cell>
        </row>
        <row r="98">
          <cell r="A98" t="str">
            <v>RS 669</v>
          </cell>
          <cell r="B98">
            <v>491</v>
          </cell>
          <cell r="C98" t="str">
            <v>C</v>
          </cell>
          <cell r="D98" t="str">
            <v>F</v>
          </cell>
          <cell r="E98" t="str">
            <v>Nakula - Kakoma</v>
          </cell>
          <cell r="F98" t="str">
            <v>T364</v>
          </cell>
          <cell r="G98">
            <v>3</v>
          </cell>
          <cell r="H98">
            <v>8.4</v>
          </cell>
          <cell r="I98" t="str">
            <v>FL</v>
          </cell>
          <cell r="J98" t="str">
            <v>LILONGWE</v>
          </cell>
          <cell r="K98">
            <v>6</v>
          </cell>
          <cell r="L98" t="str">
            <v>Changed designation from UDX to T364</v>
          </cell>
        </row>
        <row r="99">
          <cell r="A99" t="str">
            <v>RS 597</v>
          </cell>
          <cell r="B99">
            <v>419</v>
          </cell>
          <cell r="C99" t="str">
            <v>C</v>
          </cell>
          <cell r="D99" t="str">
            <v>F</v>
          </cell>
          <cell r="E99" t="str">
            <v>Kakoma - Njoka</v>
          </cell>
          <cell r="F99" t="str">
            <v>T364</v>
          </cell>
          <cell r="G99">
            <v>4</v>
          </cell>
          <cell r="H99">
            <v>11.9</v>
          </cell>
          <cell r="I99" t="str">
            <v>FL</v>
          </cell>
          <cell r="J99" t="str">
            <v>LILONGWE</v>
          </cell>
          <cell r="K99">
            <v>6</v>
          </cell>
        </row>
        <row r="100">
          <cell r="A100" t="str">
            <v>RS 604</v>
          </cell>
          <cell r="B100">
            <v>426</v>
          </cell>
          <cell r="C100" t="str">
            <v>C</v>
          </cell>
          <cell r="D100" t="str">
            <v>F</v>
          </cell>
          <cell r="E100" t="str">
            <v>Kbyzala Village - Chizandu</v>
          </cell>
          <cell r="F100" t="str">
            <v>T366</v>
          </cell>
          <cell r="G100">
            <v>1</v>
          </cell>
          <cell r="H100">
            <v>12.1</v>
          </cell>
          <cell r="I100" t="str">
            <v>FL</v>
          </cell>
          <cell r="J100" t="str">
            <v>LILONGWE</v>
          </cell>
          <cell r="K100">
            <v>6</v>
          </cell>
        </row>
        <row r="101">
          <cell r="A101" t="str">
            <v>RS 603</v>
          </cell>
          <cell r="B101">
            <v>425</v>
          </cell>
          <cell r="C101" t="str">
            <v>C</v>
          </cell>
          <cell r="D101" t="str">
            <v>F</v>
          </cell>
          <cell r="E101" t="str">
            <v>Chizandu - Kambanizithe</v>
          </cell>
          <cell r="F101" t="str">
            <v>T366</v>
          </cell>
          <cell r="G101">
            <v>2</v>
          </cell>
          <cell r="H101">
            <v>8.6999999999999993</v>
          </cell>
          <cell r="I101" t="str">
            <v>FL</v>
          </cell>
          <cell r="J101" t="str">
            <v>LILONGWE</v>
          </cell>
          <cell r="K101">
            <v>6</v>
          </cell>
          <cell r="L101" t="str">
            <v>Changed designation from D198 to S124</v>
          </cell>
        </row>
        <row r="102">
          <cell r="A102" t="str">
            <v>RS 601</v>
          </cell>
          <cell r="B102">
            <v>423</v>
          </cell>
          <cell r="C102" t="str">
            <v>C</v>
          </cell>
          <cell r="D102" t="str">
            <v>F</v>
          </cell>
          <cell r="E102" t="str">
            <v>Kambanizithe - Diamphwe River bridge</v>
          </cell>
          <cell r="F102" t="str">
            <v>T366</v>
          </cell>
          <cell r="G102">
            <v>3</v>
          </cell>
          <cell r="H102">
            <v>7.7</v>
          </cell>
          <cell r="I102" t="str">
            <v>FL</v>
          </cell>
          <cell r="J102" t="str">
            <v>LILONGWE</v>
          </cell>
          <cell r="K102">
            <v>6</v>
          </cell>
        </row>
        <row r="103">
          <cell r="A103" t="str">
            <v>RS 598</v>
          </cell>
          <cell r="B103">
            <v>420</v>
          </cell>
          <cell r="C103" t="str">
            <v>C</v>
          </cell>
          <cell r="D103" t="str">
            <v>F</v>
          </cell>
          <cell r="E103" t="str">
            <v>Diamphwe River bridge - Kafere</v>
          </cell>
          <cell r="F103" t="str">
            <v>T366</v>
          </cell>
          <cell r="G103">
            <v>4</v>
          </cell>
          <cell r="H103">
            <v>12.2</v>
          </cell>
          <cell r="I103" t="str">
            <v>FL</v>
          </cell>
          <cell r="J103" t="str">
            <v>DEDZA</v>
          </cell>
          <cell r="K103">
            <v>6</v>
          </cell>
        </row>
        <row r="104">
          <cell r="A104" t="str">
            <v>RS 602</v>
          </cell>
          <cell r="B104">
            <v>424</v>
          </cell>
          <cell r="C104" t="str">
            <v>C</v>
          </cell>
          <cell r="D104" t="str">
            <v>F</v>
          </cell>
          <cell r="E104" t="str">
            <v>Kafere - Dzalanyama</v>
          </cell>
          <cell r="F104" t="str">
            <v>T366</v>
          </cell>
          <cell r="G104">
            <v>5</v>
          </cell>
          <cell r="H104">
            <v>3.3</v>
          </cell>
          <cell r="I104" t="str">
            <v>FL</v>
          </cell>
          <cell r="J104" t="str">
            <v>DEDZA</v>
          </cell>
          <cell r="K104">
            <v>6</v>
          </cell>
        </row>
        <row r="105">
          <cell r="A105" t="str">
            <v>RS 599</v>
          </cell>
          <cell r="B105">
            <v>421</v>
          </cell>
          <cell r="C105" t="str">
            <v>C</v>
          </cell>
          <cell r="D105" t="str">
            <v>F</v>
          </cell>
          <cell r="E105" t="str">
            <v>Dzalanyama - Mtengowagwa</v>
          </cell>
          <cell r="F105" t="str">
            <v>T366</v>
          </cell>
          <cell r="G105">
            <v>6</v>
          </cell>
          <cell r="H105">
            <v>31.3</v>
          </cell>
          <cell r="I105" t="str">
            <v>FL</v>
          </cell>
          <cell r="J105" t="str">
            <v>DEDZA</v>
          </cell>
          <cell r="K105">
            <v>6</v>
          </cell>
        </row>
        <row r="106">
          <cell r="A106" t="str">
            <v>RS 662</v>
          </cell>
          <cell r="B106">
            <v>484</v>
          </cell>
          <cell r="C106" t="str">
            <v>C</v>
          </cell>
          <cell r="D106" t="str">
            <v>F</v>
          </cell>
          <cell r="E106" t="str">
            <v>Mtengowagwa - Mikonde</v>
          </cell>
          <cell r="F106" t="str">
            <v>T366</v>
          </cell>
          <cell r="G106">
            <v>7</v>
          </cell>
          <cell r="H106">
            <v>2.8</v>
          </cell>
          <cell r="I106" t="str">
            <v>FL</v>
          </cell>
          <cell r="J106" t="str">
            <v>DEDZA</v>
          </cell>
          <cell r="K106">
            <v>6</v>
          </cell>
          <cell r="L106" t="str">
            <v>Changed designation from D209 to T366</v>
          </cell>
        </row>
        <row r="107">
          <cell r="A107" t="str">
            <v>RS 600</v>
          </cell>
          <cell r="B107">
            <v>422</v>
          </cell>
          <cell r="C107" t="str">
            <v>C</v>
          </cell>
          <cell r="D107" t="str">
            <v>F</v>
          </cell>
          <cell r="E107" t="str">
            <v>Mikonde - Njonja</v>
          </cell>
          <cell r="F107" t="str">
            <v>T366</v>
          </cell>
          <cell r="G107">
            <v>8</v>
          </cell>
          <cell r="H107">
            <v>6.2</v>
          </cell>
          <cell r="I107" t="str">
            <v>FL</v>
          </cell>
          <cell r="J107" t="str">
            <v>DEDZA</v>
          </cell>
          <cell r="K107">
            <v>6</v>
          </cell>
        </row>
        <row r="108">
          <cell r="A108" t="str">
            <v>RS 668</v>
          </cell>
          <cell r="B108">
            <v>490</v>
          </cell>
          <cell r="C108" t="str">
            <v>C</v>
          </cell>
          <cell r="D108" t="str">
            <v>F</v>
          </cell>
          <cell r="E108" t="str">
            <v>Mbala - Kambanizithe</v>
          </cell>
          <cell r="F108" t="str">
            <v>T367</v>
          </cell>
          <cell r="G108">
            <v>1</v>
          </cell>
          <cell r="H108">
            <v>8.1999999999999993</v>
          </cell>
          <cell r="I108" t="str">
            <v>FL</v>
          </cell>
          <cell r="J108" t="str">
            <v>LILONGWE</v>
          </cell>
          <cell r="K108">
            <v>6</v>
          </cell>
          <cell r="L108" t="str">
            <v>Changed designation from UD to T367.</v>
          </cell>
        </row>
        <row r="109">
          <cell r="A109" t="str">
            <v>RS 605</v>
          </cell>
          <cell r="B109">
            <v>427</v>
          </cell>
          <cell r="C109" t="str">
            <v>C</v>
          </cell>
          <cell r="D109" t="str">
            <v>F</v>
          </cell>
          <cell r="E109" t="str">
            <v>Diamphwe River - Mtengowangwa</v>
          </cell>
          <cell r="F109" t="str">
            <v>T368</v>
          </cell>
          <cell r="G109">
            <v>1</v>
          </cell>
          <cell r="H109">
            <v>18.600000000000001</v>
          </cell>
          <cell r="I109" t="str">
            <v>FL</v>
          </cell>
          <cell r="J109" t="str">
            <v>DEDZA</v>
          </cell>
          <cell r="K109">
            <v>6</v>
          </cell>
        </row>
        <row r="110">
          <cell r="A110" t="str">
            <v>RS 608</v>
          </cell>
          <cell r="B110">
            <v>430</v>
          </cell>
          <cell r="C110" t="str">
            <v>C</v>
          </cell>
          <cell r="D110" t="str">
            <v>F</v>
          </cell>
          <cell r="E110" t="str">
            <v>Chalendewa - Nanjiri River</v>
          </cell>
          <cell r="F110" t="str">
            <v>T369</v>
          </cell>
          <cell r="G110">
            <v>1</v>
          </cell>
          <cell r="H110">
            <v>6.3</v>
          </cell>
          <cell r="I110" t="str">
            <v>FL</v>
          </cell>
          <cell r="J110" t="str">
            <v>LILONGWE</v>
          </cell>
          <cell r="K110">
            <v>6</v>
          </cell>
        </row>
        <row r="111">
          <cell r="A111" t="str">
            <v>RS 607</v>
          </cell>
          <cell r="B111">
            <v>429</v>
          </cell>
          <cell r="C111" t="str">
            <v>C</v>
          </cell>
          <cell r="D111" t="str">
            <v>F</v>
          </cell>
          <cell r="E111" t="str">
            <v>Nanjiri River - Perete</v>
          </cell>
          <cell r="F111" t="str">
            <v>T369</v>
          </cell>
          <cell r="G111">
            <v>2</v>
          </cell>
          <cell r="H111">
            <v>9</v>
          </cell>
          <cell r="I111" t="str">
            <v>FL</v>
          </cell>
          <cell r="J111" t="str">
            <v>LILONGWE</v>
          </cell>
          <cell r="K111">
            <v>6</v>
          </cell>
        </row>
        <row r="112">
          <cell r="A112" t="str">
            <v>RS 606</v>
          </cell>
          <cell r="B112">
            <v>428</v>
          </cell>
          <cell r="C112" t="str">
            <v>C</v>
          </cell>
          <cell r="D112" t="str">
            <v>F</v>
          </cell>
          <cell r="E112" t="str">
            <v>Perete - Chiwoko</v>
          </cell>
          <cell r="F112" t="str">
            <v>T369</v>
          </cell>
          <cell r="G112">
            <v>3</v>
          </cell>
          <cell r="H112">
            <v>5.9</v>
          </cell>
          <cell r="I112" t="str">
            <v>FL</v>
          </cell>
          <cell r="J112" t="str">
            <v>LILONGWE</v>
          </cell>
          <cell r="K112">
            <v>6</v>
          </cell>
        </row>
        <row r="113">
          <cell r="A113" t="str">
            <v>RS 664</v>
          </cell>
          <cell r="B113">
            <v>486</v>
          </cell>
          <cell r="C113" t="str">
            <v>C</v>
          </cell>
          <cell r="D113" t="str">
            <v>F</v>
          </cell>
          <cell r="E113" t="str">
            <v>Kalumba T/Off (junction M1) - Chikhombe</v>
          </cell>
          <cell r="F113" t="str">
            <v>T370</v>
          </cell>
          <cell r="G113">
            <v>1</v>
          </cell>
          <cell r="H113">
            <v>10.5</v>
          </cell>
          <cell r="I113" t="str">
            <v>C</v>
          </cell>
          <cell r="J113" t="str">
            <v>LILONGWE</v>
          </cell>
          <cell r="K113">
            <v>8</v>
          </cell>
          <cell r="L113" t="str">
            <v>Changed designation from D370 to T370</v>
          </cell>
        </row>
        <row r="114">
          <cell r="A114" t="str">
            <v>RS 665</v>
          </cell>
          <cell r="B114">
            <v>487</v>
          </cell>
          <cell r="C114" t="str">
            <v>C</v>
          </cell>
          <cell r="D114" t="str">
            <v>F</v>
          </cell>
          <cell r="E114" t="str">
            <v>Chikhombe - Chiwoko</v>
          </cell>
          <cell r="F114" t="str">
            <v>T370</v>
          </cell>
          <cell r="G114">
            <v>2</v>
          </cell>
          <cell r="H114">
            <v>10.4</v>
          </cell>
          <cell r="I114" t="str">
            <v>C</v>
          </cell>
          <cell r="J114" t="str">
            <v>LILONGWE</v>
          </cell>
          <cell r="K114">
            <v>8</v>
          </cell>
          <cell r="L114" t="str">
            <v>Changed designation from D370 to T370</v>
          </cell>
        </row>
        <row r="115">
          <cell r="A115" t="str">
            <v>RS 609</v>
          </cell>
          <cell r="B115">
            <v>431</v>
          </cell>
          <cell r="C115" t="str">
            <v>C</v>
          </cell>
          <cell r="D115" t="str">
            <v>F</v>
          </cell>
          <cell r="E115" t="str">
            <v>Chiwoko - Chisendera</v>
          </cell>
          <cell r="F115" t="str">
            <v>T370</v>
          </cell>
          <cell r="G115">
            <v>3</v>
          </cell>
          <cell r="H115">
            <v>8</v>
          </cell>
          <cell r="I115" t="str">
            <v>FL</v>
          </cell>
          <cell r="J115" t="str">
            <v>LILONGWE</v>
          </cell>
          <cell r="K115">
            <v>6</v>
          </cell>
        </row>
        <row r="116">
          <cell r="A116" t="str">
            <v>RS 614</v>
          </cell>
          <cell r="B116">
            <v>436</v>
          </cell>
          <cell r="C116" t="str">
            <v>C</v>
          </cell>
          <cell r="D116" t="str">
            <v>F</v>
          </cell>
          <cell r="E116" t="str">
            <v>junction M1 - Kakolo</v>
          </cell>
          <cell r="F116" t="str">
            <v>T372</v>
          </cell>
          <cell r="G116">
            <v>1</v>
          </cell>
          <cell r="H116">
            <v>7.7</v>
          </cell>
          <cell r="I116" t="str">
            <v>FL</v>
          </cell>
          <cell r="J116" t="str">
            <v>DEDZA</v>
          </cell>
          <cell r="K116">
            <v>6</v>
          </cell>
        </row>
        <row r="117">
          <cell r="A117" t="str">
            <v>RS 616</v>
          </cell>
          <cell r="B117">
            <v>438</v>
          </cell>
          <cell r="C117" t="str">
            <v>C</v>
          </cell>
          <cell r="D117" t="str">
            <v>F</v>
          </cell>
          <cell r="E117" t="str">
            <v>Kakolo - Nkhonga</v>
          </cell>
          <cell r="F117" t="str">
            <v>T372</v>
          </cell>
          <cell r="G117">
            <v>2</v>
          </cell>
          <cell r="H117">
            <v>5.4</v>
          </cell>
          <cell r="I117" t="str">
            <v>FL</v>
          </cell>
          <cell r="J117" t="str">
            <v>DEDZA</v>
          </cell>
          <cell r="K117">
            <v>6</v>
          </cell>
        </row>
        <row r="118">
          <cell r="A118" t="str">
            <v>RS 610</v>
          </cell>
          <cell r="B118">
            <v>432</v>
          </cell>
          <cell r="C118" t="str">
            <v>C</v>
          </cell>
          <cell r="D118" t="str">
            <v>F</v>
          </cell>
          <cell r="E118" t="str">
            <v>Mpatamilonde - Mpalale</v>
          </cell>
          <cell r="F118" t="str">
            <v>T372</v>
          </cell>
          <cell r="G118">
            <v>3</v>
          </cell>
          <cell r="H118">
            <v>20.3</v>
          </cell>
          <cell r="I118" t="str">
            <v>H</v>
          </cell>
          <cell r="J118" t="str">
            <v>DEDZA</v>
          </cell>
          <cell r="K118">
            <v>6</v>
          </cell>
        </row>
        <row r="119">
          <cell r="A119" t="str">
            <v>RS 612</v>
          </cell>
          <cell r="B119">
            <v>434</v>
          </cell>
          <cell r="C119" t="str">
            <v>C</v>
          </cell>
          <cell r="D119" t="str">
            <v>F</v>
          </cell>
          <cell r="E119" t="str">
            <v>Mpalale - Dedza</v>
          </cell>
          <cell r="F119" t="str">
            <v>T372</v>
          </cell>
          <cell r="G119">
            <v>4</v>
          </cell>
          <cell r="H119">
            <v>7.5</v>
          </cell>
          <cell r="I119" t="str">
            <v>H</v>
          </cell>
          <cell r="J119" t="str">
            <v>DEDZA</v>
          </cell>
          <cell r="K119">
            <v>6</v>
          </cell>
        </row>
        <row r="120">
          <cell r="A120" t="str">
            <v>RS 265</v>
          </cell>
          <cell r="B120">
            <v>87</v>
          </cell>
          <cell r="C120" t="str">
            <v>C</v>
          </cell>
          <cell r="D120" t="str">
            <v>F</v>
          </cell>
          <cell r="E120" t="str">
            <v>Chamadenga - Katete River</v>
          </cell>
          <cell r="F120" t="str">
            <v>T373</v>
          </cell>
          <cell r="G120">
            <v>1</v>
          </cell>
          <cell r="H120">
            <v>6.3</v>
          </cell>
          <cell r="I120" t="str">
            <v>FL</v>
          </cell>
          <cell r="J120" t="str">
            <v>LILONGWE</v>
          </cell>
          <cell r="K120">
            <v>6</v>
          </cell>
          <cell r="L120" t="str">
            <v>Changed designation from S121 to T373</v>
          </cell>
        </row>
        <row r="121">
          <cell r="A121" t="str">
            <v>RS 266</v>
          </cell>
          <cell r="B121">
            <v>88</v>
          </cell>
          <cell r="C121" t="str">
            <v>C</v>
          </cell>
          <cell r="D121" t="str">
            <v>F</v>
          </cell>
          <cell r="E121" t="str">
            <v>Katete River - Linthipe River Bridge</v>
          </cell>
          <cell r="F121" t="str">
            <v>T373</v>
          </cell>
          <cell r="G121">
            <v>2</v>
          </cell>
          <cell r="H121">
            <v>2.8</v>
          </cell>
          <cell r="I121" t="str">
            <v>R</v>
          </cell>
          <cell r="J121" t="str">
            <v>LILONGWE</v>
          </cell>
          <cell r="K121">
            <v>6</v>
          </cell>
          <cell r="L121" t="str">
            <v>Changed designation from S121 to T373</v>
          </cell>
        </row>
        <row r="122">
          <cell r="A122" t="str">
            <v>RS 619</v>
          </cell>
          <cell r="B122">
            <v>441</v>
          </cell>
          <cell r="C122" t="str">
            <v>C</v>
          </cell>
          <cell r="D122" t="str">
            <v>F</v>
          </cell>
          <cell r="E122" t="str">
            <v>Linthipe River River - Livuwadzi River (North)</v>
          </cell>
          <cell r="F122" t="str">
            <v>T373</v>
          </cell>
          <cell r="G122">
            <v>3</v>
          </cell>
          <cell r="H122">
            <v>5.6</v>
          </cell>
          <cell r="I122" t="str">
            <v>FL</v>
          </cell>
          <cell r="J122" t="str">
            <v>DEDZA</v>
          </cell>
          <cell r="K122">
            <v>6</v>
          </cell>
        </row>
        <row r="123">
          <cell r="A123" t="str">
            <v>RS 620</v>
          </cell>
          <cell r="B123">
            <v>442</v>
          </cell>
          <cell r="C123" t="str">
            <v>C</v>
          </cell>
          <cell r="D123" t="str">
            <v>F</v>
          </cell>
          <cell r="E123" t="str">
            <v>Livuwadzi River (North) - Chilanga</v>
          </cell>
          <cell r="F123" t="str">
            <v>T373</v>
          </cell>
          <cell r="G123">
            <v>4</v>
          </cell>
          <cell r="H123">
            <v>4.7</v>
          </cell>
          <cell r="I123" t="str">
            <v>FL</v>
          </cell>
          <cell r="J123" t="str">
            <v>DEDZA</v>
          </cell>
          <cell r="K123">
            <v>6</v>
          </cell>
        </row>
        <row r="124">
          <cell r="A124" t="str">
            <v>RS 618</v>
          </cell>
          <cell r="B124">
            <v>440</v>
          </cell>
          <cell r="C124" t="str">
            <v>C</v>
          </cell>
          <cell r="D124" t="str">
            <v>F</v>
          </cell>
          <cell r="E124" t="str">
            <v>Nkhonga - Livuwadzi river (South)</v>
          </cell>
          <cell r="F124" t="str">
            <v>T373</v>
          </cell>
          <cell r="G124">
            <v>5</v>
          </cell>
          <cell r="H124">
            <v>5.7</v>
          </cell>
          <cell r="I124" t="str">
            <v>R</v>
          </cell>
          <cell r="J124" t="str">
            <v>DEDZA</v>
          </cell>
          <cell r="K124">
            <v>6</v>
          </cell>
        </row>
        <row r="125">
          <cell r="A125" t="str">
            <v>RS 617</v>
          </cell>
          <cell r="B125">
            <v>439</v>
          </cell>
          <cell r="C125" t="str">
            <v>C</v>
          </cell>
          <cell r="D125" t="str">
            <v>F</v>
          </cell>
          <cell r="E125" t="str">
            <v>Kapesi (junction M1) - Mlunduni</v>
          </cell>
          <cell r="F125" t="str">
            <v>T374</v>
          </cell>
          <cell r="G125">
            <v>1</v>
          </cell>
          <cell r="H125">
            <v>9.1999999999999993</v>
          </cell>
          <cell r="I125" t="str">
            <v>R</v>
          </cell>
          <cell r="J125" t="str">
            <v>DEDZA</v>
          </cell>
          <cell r="K125">
            <v>6</v>
          </cell>
          <cell r="L125" t="str">
            <v>Changed designation from D226 to T374</v>
          </cell>
        </row>
        <row r="126">
          <cell r="A126" t="str">
            <v>RS 627</v>
          </cell>
          <cell r="B126">
            <v>449</v>
          </cell>
          <cell r="C126" t="str">
            <v>C</v>
          </cell>
          <cell r="D126" t="str">
            <v>F</v>
          </cell>
          <cell r="E126" t="str">
            <v>Mlunduni - Namilulu</v>
          </cell>
          <cell r="F126" t="str">
            <v>T374</v>
          </cell>
          <cell r="G126">
            <v>2</v>
          </cell>
          <cell r="H126">
            <v>4.5</v>
          </cell>
          <cell r="I126" t="str">
            <v>R</v>
          </cell>
          <cell r="J126" t="str">
            <v>DEDZA</v>
          </cell>
          <cell r="K126">
            <v>6</v>
          </cell>
        </row>
        <row r="127">
          <cell r="A127" t="str">
            <v>RS 622</v>
          </cell>
          <cell r="B127">
            <v>444</v>
          </cell>
          <cell r="C127" t="str">
            <v>C</v>
          </cell>
          <cell r="D127" t="str">
            <v>F</v>
          </cell>
          <cell r="E127" t="str">
            <v>Namilulu - Kumayani</v>
          </cell>
          <cell r="F127" t="str">
            <v>T374</v>
          </cell>
          <cell r="G127">
            <v>3</v>
          </cell>
          <cell r="H127">
            <v>10.199999999999999</v>
          </cell>
          <cell r="I127" t="str">
            <v>H</v>
          </cell>
          <cell r="J127" t="str">
            <v>DEDZA</v>
          </cell>
          <cell r="K127">
            <v>6</v>
          </cell>
        </row>
        <row r="128">
          <cell r="A128" t="str">
            <v>RS 623</v>
          </cell>
          <cell r="B128">
            <v>445</v>
          </cell>
          <cell r="C128" t="str">
            <v>C</v>
          </cell>
          <cell r="D128" t="str">
            <v>F</v>
          </cell>
          <cell r="E128" t="str">
            <v>Kumayani - Tembwe</v>
          </cell>
          <cell r="F128" t="str">
            <v>T374</v>
          </cell>
          <cell r="G128">
            <v>4</v>
          </cell>
          <cell r="H128">
            <v>2.2000000000000002</v>
          </cell>
          <cell r="I128" t="str">
            <v>M</v>
          </cell>
          <cell r="J128" t="str">
            <v>DEDZA</v>
          </cell>
          <cell r="K128">
            <v>6</v>
          </cell>
        </row>
        <row r="129">
          <cell r="A129" t="str">
            <v>RS 626</v>
          </cell>
          <cell r="B129">
            <v>448</v>
          </cell>
          <cell r="C129" t="str">
            <v>C</v>
          </cell>
          <cell r="D129" t="str">
            <v>F</v>
          </cell>
          <cell r="E129" t="str">
            <v>Tembwe - Mlulu River</v>
          </cell>
          <cell r="F129" t="str">
            <v>T374</v>
          </cell>
          <cell r="G129">
            <v>5</v>
          </cell>
          <cell r="H129">
            <v>5.6</v>
          </cell>
          <cell r="I129" t="str">
            <v>M</v>
          </cell>
          <cell r="J129" t="str">
            <v>DEDZA</v>
          </cell>
          <cell r="K129">
            <v>6</v>
          </cell>
        </row>
        <row r="130">
          <cell r="A130" t="str">
            <v>RS 624</v>
          </cell>
          <cell r="B130">
            <v>446</v>
          </cell>
          <cell r="C130" t="str">
            <v>C</v>
          </cell>
          <cell r="D130" t="str">
            <v>F</v>
          </cell>
          <cell r="E130" t="str">
            <v>Mlulu River - Kuntawanga</v>
          </cell>
          <cell r="F130" t="str">
            <v>T374</v>
          </cell>
          <cell r="G130">
            <v>6</v>
          </cell>
          <cell r="H130">
            <v>6.7</v>
          </cell>
          <cell r="I130" t="str">
            <v>H</v>
          </cell>
          <cell r="J130" t="str">
            <v>DEDZA</v>
          </cell>
          <cell r="K130">
            <v>6</v>
          </cell>
        </row>
        <row r="131">
          <cell r="A131" t="str">
            <v>RS 621</v>
          </cell>
          <cell r="B131">
            <v>443</v>
          </cell>
          <cell r="C131" t="str">
            <v>C</v>
          </cell>
          <cell r="D131" t="str">
            <v>F</v>
          </cell>
          <cell r="E131" t="str">
            <v>Kuntawanga - Mayani</v>
          </cell>
          <cell r="F131" t="str">
            <v>T374</v>
          </cell>
          <cell r="G131">
            <v>7</v>
          </cell>
          <cell r="H131">
            <v>3.6</v>
          </cell>
          <cell r="I131" t="str">
            <v>FL</v>
          </cell>
          <cell r="J131" t="str">
            <v>DEDZA</v>
          </cell>
          <cell r="K131">
            <v>6</v>
          </cell>
          <cell r="L131" t="str">
            <v xml:space="preserve">New section part of RS 78 </v>
          </cell>
        </row>
        <row r="132">
          <cell r="A132" t="str">
            <v>RS 631</v>
          </cell>
          <cell r="B132">
            <v>453</v>
          </cell>
          <cell r="C132" t="str">
            <v>C</v>
          </cell>
          <cell r="D132" t="str">
            <v>F</v>
          </cell>
          <cell r="E132" t="str">
            <v>Linthipe River Bridge- Chaseta</v>
          </cell>
          <cell r="F132" t="str">
            <v>T375</v>
          </cell>
          <cell r="G132">
            <v>1</v>
          </cell>
          <cell r="H132">
            <v>12.3</v>
          </cell>
          <cell r="I132" t="str">
            <v>H</v>
          </cell>
          <cell r="J132" t="str">
            <v>SALIMA</v>
          </cell>
          <cell r="K132">
            <v>6</v>
          </cell>
        </row>
        <row r="133">
          <cell r="A133" t="str">
            <v>RS 629</v>
          </cell>
          <cell r="B133">
            <v>451</v>
          </cell>
          <cell r="C133" t="str">
            <v>C</v>
          </cell>
          <cell r="D133" t="str">
            <v>F</v>
          </cell>
          <cell r="E133" t="str">
            <v>Chaseta - Mponde</v>
          </cell>
          <cell r="F133" t="str">
            <v>T375</v>
          </cell>
          <cell r="G133">
            <v>2</v>
          </cell>
          <cell r="H133">
            <v>11</v>
          </cell>
          <cell r="I133" t="str">
            <v>M</v>
          </cell>
          <cell r="J133" t="str">
            <v>DEDZA</v>
          </cell>
          <cell r="K133">
            <v>6</v>
          </cell>
        </row>
        <row r="134">
          <cell r="A134" t="str">
            <v>RS 632</v>
          </cell>
          <cell r="B134">
            <v>454</v>
          </cell>
          <cell r="C134" t="str">
            <v>C</v>
          </cell>
          <cell r="D134" t="str">
            <v>F</v>
          </cell>
          <cell r="E134" t="str">
            <v>Mponde - Gwengwe</v>
          </cell>
          <cell r="F134" t="str">
            <v>T375</v>
          </cell>
          <cell r="G134">
            <v>3</v>
          </cell>
          <cell r="H134">
            <v>8</v>
          </cell>
          <cell r="I134" t="str">
            <v>R</v>
          </cell>
          <cell r="J134" t="str">
            <v>DEDZA</v>
          </cell>
          <cell r="K134">
            <v>6</v>
          </cell>
        </row>
        <row r="135">
          <cell r="A135" t="str">
            <v>RS 628</v>
          </cell>
          <cell r="B135">
            <v>450</v>
          </cell>
          <cell r="C135" t="str">
            <v>C</v>
          </cell>
          <cell r="D135" t="str">
            <v>F</v>
          </cell>
          <cell r="E135" t="str">
            <v>Gwengwe - Ngombe</v>
          </cell>
          <cell r="F135" t="str">
            <v>T375</v>
          </cell>
          <cell r="G135">
            <v>4</v>
          </cell>
          <cell r="H135">
            <v>3.9</v>
          </cell>
          <cell r="I135" t="str">
            <v>R</v>
          </cell>
          <cell r="J135" t="str">
            <v>DEDZA</v>
          </cell>
          <cell r="K135">
            <v>6</v>
          </cell>
          <cell r="L135" t="str">
            <v>New section added to cover origional RS 352</v>
          </cell>
        </row>
        <row r="136">
          <cell r="A136" t="str">
            <v>RS 630</v>
          </cell>
          <cell r="B136">
            <v>452</v>
          </cell>
          <cell r="C136" t="str">
            <v>C</v>
          </cell>
          <cell r="D136" t="str">
            <v>F</v>
          </cell>
          <cell r="E136" t="str">
            <v>Ngombe - Mayani</v>
          </cell>
          <cell r="F136" t="str">
            <v>T375</v>
          </cell>
          <cell r="G136">
            <v>5</v>
          </cell>
          <cell r="H136">
            <v>4.8</v>
          </cell>
          <cell r="I136" t="str">
            <v>R</v>
          </cell>
          <cell r="J136" t="str">
            <v>DEDZA</v>
          </cell>
          <cell r="K136">
            <v>6</v>
          </cell>
          <cell r="L136" t="str">
            <v>Changed designation from M16 to M14</v>
          </cell>
        </row>
        <row r="137">
          <cell r="A137" t="str">
            <v>RS 625</v>
          </cell>
          <cell r="B137">
            <v>447</v>
          </cell>
          <cell r="C137" t="str">
            <v>C</v>
          </cell>
          <cell r="D137" t="str">
            <v>F</v>
          </cell>
          <cell r="E137" t="str">
            <v>Mayani - Livuwadzi River</v>
          </cell>
          <cell r="F137" t="str">
            <v>T375</v>
          </cell>
          <cell r="G137">
            <v>6</v>
          </cell>
          <cell r="H137">
            <v>9.9</v>
          </cell>
          <cell r="I137" t="str">
            <v>FL</v>
          </cell>
          <cell r="J137" t="str">
            <v>DEDZA</v>
          </cell>
          <cell r="K137">
            <v>6</v>
          </cell>
          <cell r="L137" t="str">
            <v>Changed designation from T374 to T375</v>
          </cell>
        </row>
        <row r="138">
          <cell r="A138" t="str">
            <v>RS 613</v>
          </cell>
          <cell r="B138">
            <v>435</v>
          </cell>
          <cell r="C138" t="str">
            <v>C</v>
          </cell>
          <cell r="D138" t="str">
            <v>F</v>
          </cell>
          <cell r="E138" t="str">
            <v>Bembeke turnoff (junction M1) - Bembeke</v>
          </cell>
          <cell r="F138" t="str">
            <v>T376</v>
          </cell>
          <cell r="G138">
            <v>1</v>
          </cell>
          <cell r="H138">
            <v>9.8000000000000007</v>
          </cell>
          <cell r="I138" t="str">
            <v>R</v>
          </cell>
          <cell r="J138" t="str">
            <v>DEDZA</v>
          </cell>
          <cell r="K138">
            <v>7</v>
          </cell>
          <cell r="L138" t="str">
            <v>Changed designation from T372 to T376</v>
          </cell>
        </row>
        <row r="139">
          <cell r="A139" t="str">
            <v>RS 615</v>
          </cell>
          <cell r="B139">
            <v>437</v>
          </cell>
          <cell r="C139" t="str">
            <v>C</v>
          </cell>
          <cell r="D139" t="str">
            <v>F</v>
          </cell>
          <cell r="E139" t="str">
            <v>Bembeke - Chinkwita</v>
          </cell>
          <cell r="F139" t="str">
            <v>T376</v>
          </cell>
          <cell r="G139">
            <v>2</v>
          </cell>
          <cell r="H139">
            <v>4.5</v>
          </cell>
          <cell r="I139" t="str">
            <v>R</v>
          </cell>
          <cell r="J139" t="str">
            <v>DEDZA</v>
          </cell>
          <cell r="K139">
            <v>7</v>
          </cell>
          <cell r="L139" t="str">
            <v>Changed designation from T372 to T376</v>
          </cell>
        </row>
        <row r="140">
          <cell r="A140" t="str">
            <v>RS 674</v>
          </cell>
          <cell r="B140">
            <v>496</v>
          </cell>
          <cell r="C140" t="str">
            <v>S</v>
          </cell>
          <cell r="D140" t="str">
            <v>F</v>
          </cell>
          <cell r="E140" t="str">
            <v>Nsandu - Chimphamba</v>
          </cell>
          <cell r="F140" t="str">
            <v>T379</v>
          </cell>
          <cell r="G140">
            <v>1</v>
          </cell>
          <cell r="H140">
            <v>3.8</v>
          </cell>
          <cell r="I140" t="str">
            <v>R</v>
          </cell>
          <cell r="J140" t="str">
            <v>MANGOCHI</v>
          </cell>
          <cell r="K140">
            <v>7</v>
          </cell>
          <cell r="L140" t="str">
            <v>Changed designation from T378 to T379</v>
          </cell>
        </row>
        <row r="141">
          <cell r="A141" t="str">
            <v>RS 795</v>
          </cell>
          <cell r="B141">
            <v>617</v>
          </cell>
          <cell r="C141" t="str">
            <v>S</v>
          </cell>
          <cell r="D141" t="str">
            <v>F</v>
          </cell>
          <cell r="E141" t="str">
            <v>Chimphamba - Malembo</v>
          </cell>
          <cell r="F141" t="str">
            <v>T379</v>
          </cell>
          <cell r="G141">
            <v>2</v>
          </cell>
          <cell r="H141">
            <v>19</v>
          </cell>
          <cell r="I141" t="str">
            <v>FL</v>
          </cell>
          <cell r="J141" t="str">
            <v>MANGOCHI</v>
          </cell>
          <cell r="K141">
            <v>7</v>
          </cell>
          <cell r="L141" t="str">
            <v>Changed designation from D231 to T379</v>
          </cell>
        </row>
        <row r="142">
          <cell r="A142" t="str">
            <v>RS 796</v>
          </cell>
          <cell r="B142">
            <v>618</v>
          </cell>
          <cell r="C142" t="str">
            <v>S</v>
          </cell>
          <cell r="D142" t="str">
            <v>F</v>
          </cell>
          <cell r="E142" t="str">
            <v>Malembo - Kuchilipa</v>
          </cell>
          <cell r="F142" t="str">
            <v>T379</v>
          </cell>
          <cell r="G142">
            <v>3</v>
          </cell>
          <cell r="H142">
            <v>2.6</v>
          </cell>
          <cell r="I142" t="str">
            <v>FL</v>
          </cell>
          <cell r="J142" t="str">
            <v>MANGOCHI</v>
          </cell>
          <cell r="K142">
            <v>7</v>
          </cell>
          <cell r="L142" t="str">
            <v>Changed designation from D231 to T379</v>
          </cell>
        </row>
        <row r="143">
          <cell r="A143" t="str">
            <v>RS 634</v>
          </cell>
          <cell r="B143">
            <v>456</v>
          </cell>
          <cell r="C143" t="str">
            <v>C</v>
          </cell>
          <cell r="D143" t="str">
            <v>F</v>
          </cell>
          <cell r="E143" t="str">
            <v>Bemvu - Thumbi River</v>
          </cell>
          <cell r="F143" t="str">
            <v>T380</v>
          </cell>
          <cell r="G143">
            <v>1</v>
          </cell>
          <cell r="H143">
            <v>8.3000000000000007</v>
          </cell>
          <cell r="I143" t="str">
            <v>R</v>
          </cell>
          <cell r="J143" t="str">
            <v>NTCHEU</v>
          </cell>
          <cell r="K143">
            <v>8</v>
          </cell>
          <cell r="L143" t="str">
            <v>Changed designation from T361 to M30</v>
          </cell>
        </row>
        <row r="144">
          <cell r="A144" t="str">
            <v>RS 633</v>
          </cell>
          <cell r="B144">
            <v>455</v>
          </cell>
          <cell r="C144" t="str">
            <v>C</v>
          </cell>
          <cell r="D144" t="str">
            <v>F</v>
          </cell>
          <cell r="E144" t="str">
            <v>Thumbi River - Matale</v>
          </cell>
          <cell r="F144" t="str">
            <v>T380</v>
          </cell>
          <cell r="G144">
            <v>2</v>
          </cell>
          <cell r="H144">
            <v>12.6</v>
          </cell>
          <cell r="I144" t="str">
            <v>R</v>
          </cell>
          <cell r="J144" t="str">
            <v>NTCHEU</v>
          </cell>
          <cell r="K144">
            <v>8</v>
          </cell>
        </row>
        <row r="145">
          <cell r="A145" t="str">
            <v>RS 677</v>
          </cell>
          <cell r="B145">
            <v>499</v>
          </cell>
          <cell r="C145" t="str">
            <v>S</v>
          </cell>
          <cell r="D145" t="str">
            <v>F</v>
          </cell>
          <cell r="E145" t="str">
            <v>Chamba - Kungwa River</v>
          </cell>
          <cell r="F145" t="str">
            <v>T381</v>
          </cell>
          <cell r="G145">
            <v>1</v>
          </cell>
          <cell r="H145">
            <v>23.8</v>
          </cell>
          <cell r="I145" t="str">
            <v>FL</v>
          </cell>
          <cell r="J145" t="str">
            <v>MANGOCHI</v>
          </cell>
          <cell r="K145">
            <v>7</v>
          </cell>
          <cell r="L145" t="str">
            <v>Changed from urban to trunk</v>
          </cell>
        </row>
        <row r="146">
          <cell r="A146" t="str">
            <v>RS 676</v>
          </cell>
          <cell r="B146">
            <v>498</v>
          </cell>
          <cell r="C146" t="str">
            <v>S</v>
          </cell>
          <cell r="D146" t="str">
            <v>F</v>
          </cell>
          <cell r="E146" t="str">
            <v>Kungira River - Nsonde</v>
          </cell>
          <cell r="F146" t="str">
            <v>T381</v>
          </cell>
          <cell r="G146">
            <v>2</v>
          </cell>
          <cell r="H146">
            <v>19.3</v>
          </cell>
          <cell r="I146" t="str">
            <v>R</v>
          </cell>
          <cell r="J146" t="str">
            <v>MANGOCHI &amp; MACHINGA</v>
          </cell>
          <cell r="K146">
            <v>8</v>
          </cell>
        </row>
        <row r="147">
          <cell r="A147" t="str">
            <v>RS 794</v>
          </cell>
          <cell r="B147">
            <v>616</v>
          </cell>
          <cell r="C147" t="str">
            <v>S</v>
          </cell>
          <cell r="D147" t="str">
            <v>F</v>
          </cell>
          <cell r="E147" t="str">
            <v>Nsonde - Kapire</v>
          </cell>
          <cell r="F147" t="str">
            <v>T381</v>
          </cell>
          <cell r="G147">
            <v>3</v>
          </cell>
          <cell r="H147">
            <v>14.7</v>
          </cell>
          <cell r="I147" t="str">
            <v>H</v>
          </cell>
          <cell r="J147" t="str">
            <v>MANGOCHI</v>
          </cell>
          <cell r="K147">
            <v>8</v>
          </cell>
          <cell r="L147" t="str">
            <v>Changed designation from D226 to T381</v>
          </cell>
        </row>
        <row r="148">
          <cell r="A148" t="str">
            <v>RS 673</v>
          </cell>
          <cell r="B148">
            <v>495</v>
          </cell>
          <cell r="C148" t="str">
            <v>S</v>
          </cell>
          <cell r="D148" t="str">
            <v>F</v>
          </cell>
          <cell r="E148" t="str">
            <v>Kapire - Mbela (junction S133)</v>
          </cell>
          <cell r="F148" t="str">
            <v>T381</v>
          </cell>
          <cell r="G148">
            <v>4</v>
          </cell>
          <cell r="H148">
            <v>16.5</v>
          </cell>
          <cell r="I148" t="str">
            <v>H</v>
          </cell>
          <cell r="J148" t="str">
            <v>MACHINGA</v>
          </cell>
          <cell r="K148">
            <v>8</v>
          </cell>
          <cell r="L148" t="str">
            <v>Changed designation from S133  to T381</v>
          </cell>
        </row>
        <row r="149">
          <cell r="A149" t="str">
            <v>RS 675</v>
          </cell>
          <cell r="B149">
            <v>497</v>
          </cell>
          <cell r="C149" t="str">
            <v>S</v>
          </cell>
          <cell r="D149" t="str">
            <v>F</v>
          </cell>
          <cell r="E149" t="str">
            <v xml:space="preserve"> Chantulo (junction M10) - Bwanje </v>
          </cell>
          <cell r="F149" t="str">
            <v>T382</v>
          </cell>
          <cell r="G149">
            <v>1</v>
          </cell>
          <cell r="H149">
            <v>17.899999999999999</v>
          </cell>
          <cell r="I149" t="str">
            <v>FL</v>
          </cell>
          <cell r="J149" t="str">
            <v>MANGOCHI</v>
          </cell>
          <cell r="K149">
            <v>7</v>
          </cell>
          <cell r="L149" t="str">
            <v>Changed designation from T381 toT382</v>
          </cell>
        </row>
        <row r="150">
          <cell r="A150" t="str">
            <v>RS 635</v>
          </cell>
          <cell r="B150">
            <v>457</v>
          </cell>
          <cell r="C150" t="str">
            <v>C</v>
          </cell>
          <cell r="D150" t="str">
            <v>F</v>
          </cell>
          <cell r="E150" t="str">
            <v>Namwiri - Kasinje (junction M5)</v>
          </cell>
          <cell r="F150" t="str">
            <v>T382</v>
          </cell>
          <cell r="G150">
            <v>2</v>
          </cell>
          <cell r="H150">
            <v>14.4</v>
          </cell>
          <cell r="I150" t="str">
            <v>FL</v>
          </cell>
          <cell r="J150" t="str">
            <v>NTCHEU</v>
          </cell>
          <cell r="K150">
            <v>8</v>
          </cell>
          <cell r="L150" t="str">
            <v>Changed designation from T381 toT382</v>
          </cell>
        </row>
        <row r="151">
          <cell r="A151" t="str">
            <v>RS 637</v>
          </cell>
          <cell r="B151">
            <v>459</v>
          </cell>
          <cell r="C151" t="str">
            <v>C</v>
          </cell>
          <cell r="D151" t="str">
            <v>F</v>
          </cell>
          <cell r="E151" t="str">
            <v>Khwekhwelele (junction (S127) - Nkhulo</v>
          </cell>
          <cell r="F151" t="str">
            <v>T383</v>
          </cell>
          <cell r="G151">
            <v>1</v>
          </cell>
          <cell r="H151">
            <v>12.2</v>
          </cell>
          <cell r="I151" t="str">
            <v>R</v>
          </cell>
          <cell r="J151" t="str">
            <v>NTCHEU</v>
          </cell>
          <cell r="K151">
            <v>8</v>
          </cell>
          <cell r="L151" t="str">
            <v>Changed designation from S124 to S135</v>
          </cell>
        </row>
        <row r="152">
          <cell r="A152" t="str">
            <v>RS 636</v>
          </cell>
          <cell r="B152">
            <v>458</v>
          </cell>
          <cell r="C152" t="str">
            <v>C</v>
          </cell>
          <cell r="D152" t="str">
            <v>F</v>
          </cell>
          <cell r="E152" t="str">
            <v>Nkhulo - Musso</v>
          </cell>
          <cell r="F152" t="str">
            <v>T383</v>
          </cell>
          <cell r="G152">
            <v>2</v>
          </cell>
          <cell r="H152">
            <v>6.9</v>
          </cell>
          <cell r="I152" t="str">
            <v>R</v>
          </cell>
          <cell r="J152" t="str">
            <v>NTCHEU</v>
          </cell>
          <cell r="K152">
            <v>8</v>
          </cell>
          <cell r="L152" t="str">
            <v>Changed designation from S124 to S135</v>
          </cell>
        </row>
        <row r="153">
          <cell r="A153" t="str">
            <v>RS 638</v>
          </cell>
          <cell r="B153">
            <v>460</v>
          </cell>
          <cell r="C153" t="str">
            <v>C</v>
          </cell>
          <cell r="D153" t="str">
            <v>F</v>
          </cell>
          <cell r="E153" t="str">
            <v>Musso - Kandeu (junction S134)</v>
          </cell>
          <cell r="F153" t="str">
            <v>T383</v>
          </cell>
          <cell r="G153">
            <v>3</v>
          </cell>
          <cell r="H153">
            <v>4.5</v>
          </cell>
          <cell r="I153" t="str">
            <v>R</v>
          </cell>
          <cell r="J153" t="str">
            <v>NTCHEU</v>
          </cell>
          <cell r="K153">
            <v>8</v>
          </cell>
        </row>
        <row r="154">
          <cell r="A154" t="str">
            <v>RS 641</v>
          </cell>
          <cell r="B154">
            <v>463</v>
          </cell>
          <cell r="C154" t="str">
            <v>C</v>
          </cell>
          <cell r="D154" t="str">
            <v>F</v>
          </cell>
          <cell r="E154" t="str">
            <v>Bilila (junction M5) - Linengwe River</v>
          </cell>
          <cell r="F154" t="str">
            <v>T384</v>
          </cell>
          <cell r="G154">
            <v>1</v>
          </cell>
          <cell r="H154">
            <v>5</v>
          </cell>
          <cell r="I154" t="str">
            <v>FL</v>
          </cell>
          <cell r="J154" t="str">
            <v>NTCHEU</v>
          </cell>
          <cell r="K154">
            <v>8</v>
          </cell>
          <cell r="L154" t="str">
            <v>Changed designation from T398 to S135</v>
          </cell>
        </row>
        <row r="155">
          <cell r="A155" t="str">
            <v>RS 643</v>
          </cell>
          <cell r="B155">
            <v>465</v>
          </cell>
          <cell r="C155" t="str">
            <v>C</v>
          </cell>
          <cell r="D155" t="str">
            <v>F</v>
          </cell>
          <cell r="E155" t="str">
            <v>Linengwe River - Njereza</v>
          </cell>
          <cell r="F155" t="str">
            <v>T384</v>
          </cell>
          <cell r="G155">
            <v>2</v>
          </cell>
          <cell r="H155">
            <v>6.8</v>
          </cell>
          <cell r="I155" t="str">
            <v>FL</v>
          </cell>
          <cell r="J155" t="str">
            <v>NTCHEU</v>
          </cell>
          <cell r="K155">
            <v>8</v>
          </cell>
          <cell r="L155" t="str">
            <v>Changed designation from T398 to S135</v>
          </cell>
        </row>
        <row r="156">
          <cell r="A156" t="str">
            <v>RS 645</v>
          </cell>
          <cell r="B156">
            <v>467</v>
          </cell>
          <cell r="C156" t="str">
            <v>C</v>
          </cell>
          <cell r="D156" t="str">
            <v>F</v>
          </cell>
          <cell r="E156" t="str">
            <v>Njereza - Chauya</v>
          </cell>
          <cell r="F156" t="str">
            <v>T384</v>
          </cell>
          <cell r="G156">
            <v>3</v>
          </cell>
          <cell r="H156">
            <v>4.9000000000000004</v>
          </cell>
          <cell r="I156" t="str">
            <v>R</v>
          </cell>
          <cell r="J156" t="str">
            <v>NTCHEU</v>
          </cell>
          <cell r="K156">
            <v>8</v>
          </cell>
        </row>
        <row r="157">
          <cell r="A157" t="str">
            <v>RS 640</v>
          </cell>
          <cell r="B157">
            <v>462</v>
          </cell>
          <cell r="C157" t="str">
            <v>C</v>
          </cell>
          <cell r="D157" t="str">
            <v>F</v>
          </cell>
          <cell r="E157" t="str">
            <v>Chauya - Chirigwalo</v>
          </cell>
          <cell r="F157" t="str">
            <v>T384</v>
          </cell>
          <cell r="G157">
            <v>4</v>
          </cell>
          <cell r="H157">
            <v>8.8000000000000007</v>
          </cell>
          <cell r="I157" t="str">
            <v>R</v>
          </cell>
          <cell r="J157" t="str">
            <v>NTCHEU</v>
          </cell>
          <cell r="K157">
            <v>8</v>
          </cell>
          <cell r="L157" t="str">
            <v>Changed designation from M15 to S128</v>
          </cell>
        </row>
        <row r="158">
          <cell r="A158" t="str">
            <v>RS 639</v>
          </cell>
          <cell r="B158">
            <v>461</v>
          </cell>
          <cell r="C158" t="str">
            <v>C</v>
          </cell>
          <cell r="D158" t="str">
            <v>F</v>
          </cell>
          <cell r="E158" t="str">
            <v>Chirigwalo - Kansapato (junction S134)</v>
          </cell>
          <cell r="F158" t="str">
            <v>T384</v>
          </cell>
          <cell r="G158">
            <v>5</v>
          </cell>
          <cell r="H158">
            <v>8.9</v>
          </cell>
          <cell r="I158" t="str">
            <v>FL</v>
          </cell>
          <cell r="J158" t="str">
            <v>NTCHEU</v>
          </cell>
          <cell r="K158">
            <v>8</v>
          </cell>
        </row>
        <row r="159">
          <cell r="A159" t="str">
            <v>RS 680</v>
          </cell>
          <cell r="B159">
            <v>502</v>
          </cell>
          <cell r="C159" t="str">
            <v>S</v>
          </cell>
          <cell r="D159" t="str">
            <v>F</v>
          </cell>
          <cell r="E159" t="str">
            <v>Mangochi - Issa</v>
          </cell>
          <cell r="F159" t="str">
            <v>T385</v>
          </cell>
          <cell r="G159">
            <v>1</v>
          </cell>
          <cell r="H159">
            <v>13</v>
          </cell>
          <cell r="I159" t="str">
            <v>FL</v>
          </cell>
          <cell r="J159" t="str">
            <v>MANGOCHI</v>
          </cell>
          <cell r="K159">
            <v>8</v>
          </cell>
        </row>
        <row r="160">
          <cell r="A160" t="str">
            <v>RS 678</v>
          </cell>
          <cell r="B160">
            <v>500</v>
          </cell>
          <cell r="C160" t="str">
            <v>S</v>
          </cell>
          <cell r="D160" t="str">
            <v>F</v>
          </cell>
          <cell r="E160" t="str">
            <v>Issa - Katete River</v>
          </cell>
          <cell r="F160" t="str">
            <v>T385</v>
          </cell>
          <cell r="G160">
            <v>2</v>
          </cell>
          <cell r="H160">
            <v>15.4</v>
          </cell>
          <cell r="I160" t="str">
            <v>R</v>
          </cell>
          <cell r="J160" t="str">
            <v>MANGOCHI</v>
          </cell>
          <cell r="K160">
            <v>8</v>
          </cell>
        </row>
        <row r="161">
          <cell r="A161" t="str">
            <v>RS 679</v>
          </cell>
          <cell r="B161">
            <v>501</v>
          </cell>
          <cell r="C161" t="str">
            <v>S</v>
          </cell>
          <cell r="D161" t="str">
            <v>F</v>
          </cell>
          <cell r="E161" t="str">
            <v>Katete River - Nsonde</v>
          </cell>
          <cell r="F161" t="str">
            <v>T385</v>
          </cell>
          <cell r="G161">
            <v>3</v>
          </cell>
          <cell r="H161">
            <v>23.4</v>
          </cell>
          <cell r="I161" t="str">
            <v>R</v>
          </cell>
          <cell r="J161" t="str">
            <v>MACHINGA</v>
          </cell>
          <cell r="K161">
            <v>8</v>
          </cell>
          <cell r="L161" t="str">
            <v>Changed designation from S142 to S139</v>
          </cell>
        </row>
        <row r="162">
          <cell r="A162" t="str">
            <v>RS 681</v>
          </cell>
          <cell r="B162">
            <v>503</v>
          </cell>
          <cell r="C162" t="str">
            <v>S</v>
          </cell>
          <cell r="D162" t="str">
            <v>F</v>
          </cell>
          <cell r="E162" t="str">
            <v>Nsonde - Nankulukuti</v>
          </cell>
          <cell r="F162" t="str">
            <v>T385</v>
          </cell>
          <cell r="G162">
            <v>4</v>
          </cell>
          <cell r="H162">
            <v>8.5</v>
          </cell>
          <cell r="I162" t="str">
            <v>R</v>
          </cell>
          <cell r="J162" t="str">
            <v>MANGOCHI</v>
          </cell>
          <cell r="K162">
            <v>8</v>
          </cell>
        </row>
        <row r="163">
          <cell r="A163" t="str">
            <v>RS 646</v>
          </cell>
          <cell r="B163">
            <v>468</v>
          </cell>
          <cell r="C163" t="str">
            <v>C</v>
          </cell>
          <cell r="D163" t="str">
            <v>F</v>
          </cell>
          <cell r="E163" t="str">
            <v>Nankulukuti - Nampoya</v>
          </cell>
          <cell r="F163" t="str">
            <v>T385</v>
          </cell>
          <cell r="G163">
            <v>5</v>
          </cell>
          <cell r="H163">
            <v>8.1999999999999993</v>
          </cell>
          <cell r="I163" t="str">
            <v>FL</v>
          </cell>
          <cell r="J163" t="str">
            <v>NTCHEU</v>
          </cell>
          <cell r="K163">
            <v>8</v>
          </cell>
        </row>
        <row r="164">
          <cell r="A164" t="str">
            <v>RS 647</v>
          </cell>
          <cell r="B164">
            <v>469</v>
          </cell>
          <cell r="C164" t="str">
            <v>C</v>
          </cell>
          <cell r="D164" t="str">
            <v>F</v>
          </cell>
          <cell r="E164" t="str">
            <v>Nampoya - Linengwe River</v>
          </cell>
          <cell r="F164" t="str">
            <v>T385</v>
          </cell>
          <cell r="G164">
            <v>6</v>
          </cell>
          <cell r="H164">
            <v>9</v>
          </cell>
          <cell r="I164" t="str">
            <v>FL</v>
          </cell>
          <cell r="J164" t="str">
            <v>NTCHEU</v>
          </cell>
          <cell r="K164">
            <v>8</v>
          </cell>
        </row>
        <row r="165">
          <cell r="A165" t="str">
            <v>RS 684</v>
          </cell>
          <cell r="B165">
            <v>506</v>
          </cell>
          <cell r="C165" t="str">
            <v>S</v>
          </cell>
          <cell r="D165" t="str">
            <v>F</v>
          </cell>
          <cell r="E165" t="str">
            <v>Idulusi (junction M3) - Itunji</v>
          </cell>
          <cell r="F165" t="str">
            <v>T386</v>
          </cell>
          <cell r="G165">
            <v>1</v>
          </cell>
          <cell r="H165">
            <v>16</v>
          </cell>
          <cell r="I165" t="str">
            <v>R</v>
          </cell>
          <cell r="J165" t="str">
            <v>MANGOCHI</v>
          </cell>
          <cell r="K165">
            <v>7</v>
          </cell>
          <cell r="L165" t="str">
            <v>Changed from feeder to trunk as bitumen road</v>
          </cell>
        </row>
        <row r="166">
          <cell r="A166" t="str">
            <v>RS 682</v>
          </cell>
          <cell r="B166">
            <v>504</v>
          </cell>
          <cell r="C166" t="str">
            <v>S</v>
          </cell>
          <cell r="D166" t="str">
            <v>F</v>
          </cell>
          <cell r="E166" t="str">
            <v>Itunji - Mpita</v>
          </cell>
          <cell r="F166" t="str">
            <v>T386</v>
          </cell>
          <cell r="G166">
            <v>2</v>
          </cell>
          <cell r="H166">
            <v>13.9</v>
          </cell>
          <cell r="I166" t="str">
            <v>R</v>
          </cell>
          <cell r="J166" t="str">
            <v>MANGOCHI</v>
          </cell>
          <cell r="K166">
            <v>7</v>
          </cell>
          <cell r="L166" t="str">
            <v>Changed designation from S116 to T334. Changed to trunk</v>
          </cell>
        </row>
        <row r="167">
          <cell r="A167" t="str">
            <v>RS 683</v>
          </cell>
          <cell r="B167">
            <v>505</v>
          </cell>
          <cell r="C167" t="str">
            <v>S</v>
          </cell>
          <cell r="D167" t="str">
            <v>F</v>
          </cell>
          <cell r="E167" t="str">
            <v>Mpita - Kwisimba</v>
          </cell>
          <cell r="F167" t="str">
            <v>T386</v>
          </cell>
          <cell r="G167">
            <v>3</v>
          </cell>
          <cell r="H167">
            <v>8.8000000000000007</v>
          </cell>
          <cell r="I167" t="str">
            <v>R</v>
          </cell>
          <cell r="J167" t="str">
            <v>MANGOCHI</v>
          </cell>
          <cell r="K167">
            <v>7</v>
          </cell>
        </row>
        <row r="168">
          <cell r="A168" t="str">
            <v>RS 797</v>
          </cell>
          <cell r="B168">
            <v>619</v>
          </cell>
          <cell r="C168" t="str">
            <v>S</v>
          </cell>
          <cell r="D168" t="str">
            <v>F</v>
          </cell>
          <cell r="E168" t="str">
            <v>Namwera - Chithumba</v>
          </cell>
          <cell r="F168" t="str">
            <v>T387</v>
          </cell>
          <cell r="G168">
            <v>1</v>
          </cell>
          <cell r="H168">
            <v>9.3000000000000007</v>
          </cell>
          <cell r="I168" t="str">
            <v>FL</v>
          </cell>
          <cell r="J168" t="str">
            <v>MANGOCHI</v>
          </cell>
          <cell r="K168">
            <v>7</v>
          </cell>
          <cell r="L168" t="str">
            <v>Changed designation from D232 to T387</v>
          </cell>
        </row>
        <row r="169">
          <cell r="A169" t="str">
            <v>RS 798</v>
          </cell>
          <cell r="B169">
            <v>620</v>
          </cell>
          <cell r="C169" t="str">
            <v>S</v>
          </cell>
          <cell r="D169" t="str">
            <v>F</v>
          </cell>
          <cell r="E169" t="str">
            <v>Chithumba - ID/Y</v>
          </cell>
          <cell r="F169" t="str">
            <v>T387</v>
          </cell>
          <cell r="G169">
            <v>2</v>
          </cell>
          <cell r="H169">
            <v>21.4</v>
          </cell>
          <cell r="I169" t="str">
            <v>FL</v>
          </cell>
          <cell r="J169" t="str">
            <v>MANGOCHI</v>
          </cell>
          <cell r="K169">
            <v>7</v>
          </cell>
          <cell r="L169" t="str">
            <v>Changed designation from D232 to T387</v>
          </cell>
        </row>
        <row r="170">
          <cell r="A170" t="str">
            <v>RS 688</v>
          </cell>
          <cell r="B170">
            <v>510</v>
          </cell>
          <cell r="C170" t="str">
            <v>S</v>
          </cell>
          <cell r="D170" t="str">
            <v>F</v>
          </cell>
          <cell r="E170" t="str">
            <v>Mbalula - Lingamadzi River</v>
          </cell>
          <cell r="F170" t="str">
            <v>T388</v>
          </cell>
          <cell r="G170">
            <v>1</v>
          </cell>
          <cell r="H170">
            <v>11.7</v>
          </cell>
          <cell r="I170" t="str">
            <v>R</v>
          </cell>
          <cell r="J170" t="str">
            <v>MANGOCHI</v>
          </cell>
          <cell r="K170">
            <v>8</v>
          </cell>
        </row>
        <row r="171">
          <cell r="A171" t="str">
            <v>RS 689</v>
          </cell>
          <cell r="B171">
            <v>511</v>
          </cell>
          <cell r="C171" t="str">
            <v>S</v>
          </cell>
          <cell r="D171" t="str">
            <v>F</v>
          </cell>
          <cell r="E171" t="str">
            <v>Lingamadzi River - Malombe</v>
          </cell>
          <cell r="F171" t="str">
            <v>T388</v>
          </cell>
          <cell r="G171">
            <v>2</v>
          </cell>
          <cell r="H171">
            <v>16.399999999999999</v>
          </cell>
          <cell r="I171" t="str">
            <v>FL</v>
          </cell>
          <cell r="J171" t="str">
            <v>MANGOCHI</v>
          </cell>
          <cell r="K171">
            <v>8</v>
          </cell>
        </row>
        <row r="172">
          <cell r="A172" t="str">
            <v>RS 687</v>
          </cell>
          <cell r="B172">
            <v>509</v>
          </cell>
          <cell r="C172" t="str">
            <v>S</v>
          </cell>
          <cell r="D172" t="str">
            <v>F</v>
          </cell>
          <cell r="E172" t="str">
            <v>Malombe - Masanje River</v>
          </cell>
          <cell r="F172" t="str">
            <v>T388</v>
          </cell>
          <cell r="G172">
            <v>3</v>
          </cell>
          <cell r="H172">
            <v>25.4</v>
          </cell>
          <cell r="I172" t="str">
            <v>R</v>
          </cell>
          <cell r="J172" t="str">
            <v>MANGOCHI</v>
          </cell>
          <cell r="K172">
            <v>8</v>
          </cell>
        </row>
        <row r="173">
          <cell r="A173" t="str">
            <v>RS 686</v>
          </cell>
          <cell r="B173">
            <v>508</v>
          </cell>
          <cell r="C173" t="str">
            <v>S</v>
          </cell>
          <cell r="D173" t="str">
            <v>F</v>
          </cell>
          <cell r="E173" t="str">
            <v>Masanje River - Namandanje River</v>
          </cell>
          <cell r="F173" t="str">
            <v>T388</v>
          </cell>
          <cell r="G173">
            <v>4</v>
          </cell>
          <cell r="H173">
            <v>12.1</v>
          </cell>
          <cell r="I173" t="str">
            <v>R</v>
          </cell>
          <cell r="J173" t="str">
            <v>MANGOCHI &amp; MACHINGA</v>
          </cell>
          <cell r="K173">
            <v>8</v>
          </cell>
        </row>
        <row r="174">
          <cell r="A174" t="str">
            <v>RS 694</v>
          </cell>
          <cell r="B174">
            <v>516</v>
          </cell>
          <cell r="C174" t="str">
            <v>S</v>
          </cell>
          <cell r="D174" t="str">
            <v>F</v>
          </cell>
          <cell r="E174" t="str">
            <v>Masuku (junction S131) - Nakapa</v>
          </cell>
          <cell r="F174" t="str">
            <v>T389</v>
          </cell>
          <cell r="G174">
            <v>1</v>
          </cell>
          <cell r="H174">
            <v>7.9</v>
          </cell>
          <cell r="I174" t="str">
            <v>R</v>
          </cell>
          <cell r="J174" t="str">
            <v>MANGOCHI</v>
          </cell>
          <cell r="K174">
            <v>8</v>
          </cell>
        </row>
        <row r="175">
          <cell r="A175" t="str">
            <v>RS 690</v>
          </cell>
          <cell r="B175">
            <v>512</v>
          </cell>
          <cell r="C175" t="str">
            <v>S</v>
          </cell>
          <cell r="D175" t="str">
            <v>F</v>
          </cell>
          <cell r="E175" t="str">
            <v>Nakapa - Lisimba Estate</v>
          </cell>
          <cell r="F175" t="str">
            <v>T389</v>
          </cell>
          <cell r="G175">
            <v>2</v>
          </cell>
          <cell r="H175">
            <v>4.4000000000000004</v>
          </cell>
          <cell r="I175" t="str">
            <v>R</v>
          </cell>
          <cell r="J175" t="str">
            <v>MANGOCHI</v>
          </cell>
          <cell r="K175">
            <v>8</v>
          </cell>
        </row>
        <row r="176">
          <cell r="A176" t="str">
            <v>RS 692</v>
          </cell>
          <cell r="B176">
            <v>514</v>
          </cell>
          <cell r="C176" t="str">
            <v>S</v>
          </cell>
          <cell r="D176" t="str">
            <v>F</v>
          </cell>
          <cell r="E176" t="str">
            <v>Lisimba Estate - Nyenyezi River</v>
          </cell>
          <cell r="F176" t="str">
            <v>T389</v>
          </cell>
          <cell r="G176">
            <v>3</v>
          </cell>
          <cell r="H176">
            <v>8.9</v>
          </cell>
          <cell r="I176" t="str">
            <v>R</v>
          </cell>
          <cell r="J176" t="str">
            <v>MANGOCHI</v>
          </cell>
          <cell r="K176">
            <v>8</v>
          </cell>
          <cell r="L176" t="str">
            <v>Name changed from Kwacha Rd - Marhattma</v>
          </cell>
        </row>
        <row r="177">
          <cell r="A177" t="str">
            <v>RS 693</v>
          </cell>
          <cell r="B177">
            <v>515</v>
          </cell>
          <cell r="C177" t="str">
            <v>S</v>
          </cell>
          <cell r="D177" t="str">
            <v>F</v>
          </cell>
          <cell r="E177" t="str">
            <v>Nyenyezi River - Nkwepere ADMARC</v>
          </cell>
          <cell r="F177" t="str">
            <v>T389</v>
          </cell>
          <cell r="G177">
            <v>4</v>
          </cell>
          <cell r="H177">
            <v>5.0999999999999996</v>
          </cell>
          <cell r="I177" t="str">
            <v>R</v>
          </cell>
          <cell r="J177" t="str">
            <v>MANGOCHI</v>
          </cell>
          <cell r="K177">
            <v>8</v>
          </cell>
          <cell r="L177" t="str">
            <v>Name modified by City Council</v>
          </cell>
        </row>
        <row r="178">
          <cell r="A178" t="str">
            <v>RS 691</v>
          </cell>
          <cell r="B178">
            <v>513</v>
          </cell>
          <cell r="C178" t="str">
            <v>S</v>
          </cell>
          <cell r="D178" t="str">
            <v>F</v>
          </cell>
          <cell r="E178" t="str">
            <v>Nkwepele ADMARC - Nantwe</v>
          </cell>
          <cell r="F178" t="str">
            <v>T389</v>
          </cell>
          <cell r="G178">
            <v>5</v>
          </cell>
          <cell r="H178">
            <v>19.100000000000001</v>
          </cell>
          <cell r="I178" t="str">
            <v>R</v>
          </cell>
          <cell r="J178" t="str">
            <v>MANGOCHI</v>
          </cell>
          <cell r="K178">
            <v>8</v>
          </cell>
          <cell r="L178" t="str">
            <v>Name modified</v>
          </cell>
        </row>
        <row r="179">
          <cell r="A179" t="str">
            <v>RS 695</v>
          </cell>
          <cell r="B179">
            <v>517</v>
          </cell>
          <cell r="C179" t="str">
            <v>S</v>
          </cell>
          <cell r="D179" t="str">
            <v>F</v>
          </cell>
          <cell r="E179" t="str">
            <v>Ntaja - Nanyumbu</v>
          </cell>
          <cell r="F179" t="str">
            <v>T390</v>
          </cell>
          <cell r="G179">
            <v>5</v>
          </cell>
          <cell r="H179">
            <v>5.8</v>
          </cell>
          <cell r="I179" t="str">
            <v>R</v>
          </cell>
          <cell r="J179" t="str">
            <v>MACHINGA</v>
          </cell>
          <cell r="K179">
            <v>8</v>
          </cell>
          <cell r="L179" t="str">
            <v>Changed designation from S129 to S139</v>
          </cell>
        </row>
        <row r="180">
          <cell r="A180" t="str">
            <v>RS 701</v>
          </cell>
          <cell r="B180">
            <v>523</v>
          </cell>
          <cell r="C180" t="str">
            <v>S</v>
          </cell>
          <cell r="D180" t="str">
            <v>F</v>
          </cell>
          <cell r="E180" t="str">
            <v>Machina - Nkhokwe</v>
          </cell>
          <cell r="F180" t="str">
            <v>T391</v>
          </cell>
          <cell r="G180">
            <v>1</v>
          </cell>
          <cell r="H180">
            <v>16.399999999999999</v>
          </cell>
          <cell r="I180" t="str">
            <v>FL</v>
          </cell>
          <cell r="J180" t="str">
            <v>MACHINGA</v>
          </cell>
          <cell r="K180">
            <v>8</v>
          </cell>
          <cell r="L180" t="str">
            <v>Changed designation from T392 to T391</v>
          </cell>
        </row>
        <row r="181">
          <cell r="A181" t="str">
            <v>RS 702</v>
          </cell>
          <cell r="B181">
            <v>524</v>
          </cell>
          <cell r="C181" t="str">
            <v>S</v>
          </cell>
          <cell r="D181" t="str">
            <v>F</v>
          </cell>
          <cell r="E181" t="str">
            <v>Nkhokwe - Mpakaka</v>
          </cell>
          <cell r="F181" t="str">
            <v>T391</v>
          </cell>
          <cell r="G181">
            <v>2</v>
          </cell>
          <cell r="H181">
            <v>6.8</v>
          </cell>
          <cell r="I181" t="str">
            <v>FL</v>
          </cell>
          <cell r="J181" t="str">
            <v>MACHINGA</v>
          </cell>
          <cell r="K181">
            <v>8</v>
          </cell>
          <cell r="L181" t="str">
            <v>Changed designation from T392 to T391</v>
          </cell>
        </row>
        <row r="182">
          <cell r="A182" t="str">
            <v>RS 700</v>
          </cell>
          <cell r="B182">
            <v>522</v>
          </cell>
          <cell r="C182" t="str">
            <v>S</v>
          </cell>
          <cell r="D182" t="str">
            <v>F</v>
          </cell>
          <cell r="E182" t="str">
            <v>Nantwe - Maundani</v>
          </cell>
          <cell r="F182" t="str">
            <v>T392</v>
          </cell>
          <cell r="G182">
            <v>1</v>
          </cell>
          <cell r="H182">
            <v>3.9</v>
          </cell>
          <cell r="I182" t="str">
            <v>R</v>
          </cell>
          <cell r="J182" t="str">
            <v>MANGOCHI</v>
          </cell>
          <cell r="K182">
            <v>8</v>
          </cell>
          <cell r="L182" t="str">
            <v>Changed designation from S142 to S139</v>
          </cell>
        </row>
        <row r="183">
          <cell r="A183" t="str">
            <v>RS 696</v>
          </cell>
          <cell r="B183">
            <v>518</v>
          </cell>
          <cell r="C183" t="str">
            <v>S</v>
          </cell>
          <cell r="D183" t="str">
            <v>F</v>
          </cell>
          <cell r="E183" t="str">
            <v>Maundani - Machina</v>
          </cell>
          <cell r="F183" t="str">
            <v>T392</v>
          </cell>
          <cell r="G183">
            <v>2</v>
          </cell>
          <cell r="H183">
            <v>17</v>
          </cell>
          <cell r="I183" t="str">
            <v>H</v>
          </cell>
          <cell r="J183" t="str">
            <v>MANGOCHI</v>
          </cell>
          <cell r="K183">
            <v>8</v>
          </cell>
        </row>
        <row r="184">
          <cell r="A184" t="str">
            <v>RS 699</v>
          </cell>
          <cell r="B184">
            <v>521</v>
          </cell>
          <cell r="C184" t="str">
            <v>S</v>
          </cell>
          <cell r="D184" t="str">
            <v>F</v>
          </cell>
          <cell r="E184" t="str">
            <v>Chikwewo - Beyadi</v>
          </cell>
          <cell r="F184" t="str">
            <v>T392</v>
          </cell>
          <cell r="G184">
            <v>3</v>
          </cell>
          <cell r="H184">
            <v>10.6</v>
          </cell>
          <cell r="I184" t="str">
            <v>FL</v>
          </cell>
          <cell r="J184" t="str">
            <v>MACHINGA</v>
          </cell>
          <cell r="K184">
            <v>8</v>
          </cell>
        </row>
        <row r="185">
          <cell r="A185" t="str">
            <v>RS 697</v>
          </cell>
          <cell r="B185">
            <v>519</v>
          </cell>
          <cell r="C185" t="str">
            <v>S</v>
          </cell>
          <cell r="D185" t="str">
            <v>F</v>
          </cell>
          <cell r="E185" t="str">
            <v>Beyadi - Nanyumbu</v>
          </cell>
          <cell r="F185" t="str">
            <v>T392</v>
          </cell>
          <cell r="G185">
            <v>4</v>
          </cell>
          <cell r="H185">
            <v>13.7</v>
          </cell>
          <cell r="I185" t="str">
            <v>FL</v>
          </cell>
          <cell r="J185" t="str">
            <v>MANGOCHI</v>
          </cell>
          <cell r="K185">
            <v>8</v>
          </cell>
        </row>
        <row r="186">
          <cell r="A186" t="str">
            <v>RS 705</v>
          </cell>
          <cell r="B186">
            <v>527</v>
          </cell>
          <cell r="C186" t="str">
            <v>S</v>
          </cell>
          <cell r="D186" t="str">
            <v>F</v>
          </cell>
          <cell r="E186" t="str">
            <v>Nsanama - Namanja Village</v>
          </cell>
          <cell r="F186" t="str">
            <v>T393</v>
          </cell>
          <cell r="G186">
            <v>1</v>
          </cell>
          <cell r="H186">
            <v>18.7</v>
          </cell>
          <cell r="I186" t="str">
            <v>FL</v>
          </cell>
          <cell r="J186" t="str">
            <v>MACHINGA</v>
          </cell>
          <cell r="K186">
            <v>8</v>
          </cell>
        </row>
        <row r="187">
          <cell r="A187" t="str">
            <v>RS 703</v>
          </cell>
          <cell r="B187">
            <v>525</v>
          </cell>
          <cell r="C187" t="str">
            <v>S</v>
          </cell>
          <cell r="D187" t="str">
            <v>F</v>
          </cell>
          <cell r="E187" t="str">
            <v>Namanja Village - Namanja Station</v>
          </cell>
          <cell r="F187" t="str">
            <v>T393</v>
          </cell>
          <cell r="G187">
            <v>2</v>
          </cell>
          <cell r="H187">
            <v>4.2</v>
          </cell>
          <cell r="I187" t="str">
            <v>FL</v>
          </cell>
          <cell r="J187" t="str">
            <v>MACHINGA</v>
          </cell>
          <cell r="K187">
            <v>8</v>
          </cell>
        </row>
        <row r="188">
          <cell r="A188" t="str">
            <v>RS 704</v>
          </cell>
          <cell r="B188">
            <v>526</v>
          </cell>
          <cell r="C188" t="str">
            <v>S</v>
          </cell>
          <cell r="D188" t="str">
            <v>F</v>
          </cell>
          <cell r="E188" t="str">
            <v>Namanja Station - Nayuchi (Mozambique border)</v>
          </cell>
          <cell r="F188" t="str">
            <v>T393</v>
          </cell>
          <cell r="G188">
            <v>3</v>
          </cell>
          <cell r="H188">
            <v>22.1</v>
          </cell>
          <cell r="I188" t="str">
            <v>FL</v>
          </cell>
          <cell r="J188" t="str">
            <v>MACHINGA</v>
          </cell>
          <cell r="K188">
            <v>8</v>
          </cell>
        </row>
        <row r="189">
          <cell r="A189" t="str">
            <v>RS 652</v>
          </cell>
          <cell r="B189">
            <v>474</v>
          </cell>
          <cell r="C189" t="str">
            <v>C</v>
          </cell>
          <cell r="D189" t="str">
            <v>F</v>
          </cell>
          <cell r="E189" t="str">
            <v>Biliate (junction S135) - Kandoma</v>
          </cell>
          <cell r="F189" t="str">
            <v>T394</v>
          </cell>
          <cell r="G189">
            <v>1</v>
          </cell>
          <cell r="H189">
            <v>8.9</v>
          </cell>
          <cell r="I189" t="str">
            <v>R</v>
          </cell>
          <cell r="J189" t="str">
            <v>NTCHEU</v>
          </cell>
          <cell r="K189">
            <v>8</v>
          </cell>
          <cell r="L189" t="str">
            <v xml:space="preserve">Length changed </v>
          </cell>
        </row>
        <row r="190">
          <cell r="A190" t="str">
            <v>RS 649</v>
          </cell>
          <cell r="B190">
            <v>471</v>
          </cell>
          <cell r="C190" t="str">
            <v>C</v>
          </cell>
          <cell r="D190" t="str">
            <v>F</v>
          </cell>
          <cell r="E190" t="str">
            <v>Kandoma - Lipangwe</v>
          </cell>
          <cell r="F190" t="str">
            <v>T394</v>
          </cell>
          <cell r="G190">
            <v>2</v>
          </cell>
          <cell r="H190">
            <v>10.8</v>
          </cell>
          <cell r="I190" t="str">
            <v>R</v>
          </cell>
          <cell r="J190" t="str">
            <v>NTCHEU</v>
          </cell>
          <cell r="K190">
            <v>8</v>
          </cell>
          <cell r="L190" t="str">
            <v>New section part of origional RS 148</v>
          </cell>
        </row>
        <row r="191">
          <cell r="A191" t="str">
            <v>RS 655</v>
          </cell>
          <cell r="B191">
            <v>477</v>
          </cell>
          <cell r="C191" t="str">
            <v>C</v>
          </cell>
          <cell r="D191" t="str">
            <v>F</v>
          </cell>
          <cell r="E191" t="str">
            <v>Lipangwe - Matale</v>
          </cell>
          <cell r="F191" t="str">
            <v>T394</v>
          </cell>
          <cell r="G191">
            <v>3</v>
          </cell>
          <cell r="H191">
            <v>5.7</v>
          </cell>
          <cell r="I191" t="str">
            <v>R</v>
          </cell>
          <cell r="J191" t="str">
            <v>NTCHEU</v>
          </cell>
          <cell r="K191">
            <v>8</v>
          </cell>
        </row>
        <row r="192">
          <cell r="A192" t="str">
            <v>RS 650</v>
          </cell>
          <cell r="B192">
            <v>472</v>
          </cell>
          <cell r="C192" t="str">
            <v>C</v>
          </cell>
          <cell r="D192" t="str">
            <v>F</v>
          </cell>
          <cell r="E192" t="str">
            <v>Matale - Bonongwe</v>
          </cell>
          <cell r="F192" t="str">
            <v>T394</v>
          </cell>
          <cell r="G192">
            <v>4</v>
          </cell>
          <cell r="H192">
            <v>4.8</v>
          </cell>
          <cell r="I192" t="str">
            <v>FL</v>
          </cell>
          <cell r="J192" t="str">
            <v>NTCHEU</v>
          </cell>
          <cell r="K192">
            <v>8</v>
          </cell>
        </row>
        <row r="193">
          <cell r="A193" t="str">
            <v>RS 653</v>
          </cell>
          <cell r="B193">
            <v>475</v>
          </cell>
          <cell r="C193" t="str">
            <v>C</v>
          </cell>
          <cell r="D193" t="str">
            <v>F</v>
          </cell>
          <cell r="E193" t="str">
            <v>Bonongwe - Senzani (junction M1)</v>
          </cell>
          <cell r="F193" t="str">
            <v>T394</v>
          </cell>
          <cell r="G193">
            <v>5</v>
          </cell>
          <cell r="H193">
            <v>7.1</v>
          </cell>
          <cell r="I193" t="str">
            <v>R</v>
          </cell>
          <cell r="J193" t="str">
            <v>NTCHEU</v>
          </cell>
          <cell r="K193">
            <v>8</v>
          </cell>
        </row>
        <row r="194">
          <cell r="A194" t="str">
            <v>RS 648</v>
          </cell>
          <cell r="B194">
            <v>470</v>
          </cell>
          <cell r="C194" t="str">
            <v>C</v>
          </cell>
          <cell r="D194" t="str">
            <v>F</v>
          </cell>
          <cell r="E194" t="str">
            <v>Doviko (junction S135) - Matande</v>
          </cell>
          <cell r="F194" t="str">
            <v>T395</v>
          </cell>
          <cell r="G194">
            <v>1</v>
          </cell>
          <cell r="H194">
            <v>10.8</v>
          </cell>
          <cell r="I194" t="str">
            <v>R</v>
          </cell>
          <cell r="J194" t="str">
            <v>NTCHEU</v>
          </cell>
          <cell r="K194">
            <v>8</v>
          </cell>
          <cell r="L194" t="str">
            <v>Changed designation from T394 to T395</v>
          </cell>
        </row>
        <row r="195">
          <cell r="A195" t="str">
            <v>RS 657</v>
          </cell>
          <cell r="B195">
            <v>479</v>
          </cell>
          <cell r="C195" t="str">
            <v>C</v>
          </cell>
          <cell r="D195" t="str">
            <v>F</v>
          </cell>
          <cell r="E195" t="str">
            <v>Matande - Jumbe</v>
          </cell>
          <cell r="F195" t="str">
            <v>T395</v>
          </cell>
          <cell r="G195">
            <v>2</v>
          </cell>
          <cell r="H195">
            <v>4.5999999999999996</v>
          </cell>
          <cell r="I195" t="str">
            <v>R</v>
          </cell>
          <cell r="J195" t="str">
            <v>NTCHEU</v>
          </cell>
          <cell r="K195">
            <v>8</v>
          </cell>
          <cell r="L195" t="str">
            <v>Changed designation from T394 to T395</v>
          </cell>
        </row>
        <row r="196">
          <cell r="A196" t="str">
            <v>RS 654</v>
          </cell>
          <cell r="B196">
            <v>476</v>
          </cell>
          <cell r="C196" t="str">
            <v>C</v>
          </cell>
          <cell r="D196" t="str">
            <v>F</v>
          </cell>
          <cell r="E196" t="str">
            <v>Jumbe - Bayani</v>
          </cell>
          <cell r="F196" t="str">
            <v>T395</v>
          </cell>
          <cell r="G196">
            <v>3</v>
          </cell>
          <cell r="H196">
            <v>10</v>
          </cell>
          <cell r="I196" t="str">
            <v>R</v>
          </cell>
          <cell r="J196" t="str">
            <v>NTCHEU</v>
          </cell>
          <cell r="K196">
            <v>8</v>
          </cell>
          <cell r="L196" t="str">
            <v>Changed designation from T394 to T395</v>
          </cell>
        </row>
        <row r="197">
          <cell r="A197" t="str">
            <v>RS 651</v>
          </cell>
          <cell r="B197">
            <v>473</v>
          </cell>
          <cell r="C197" t="str">
            <v>C</v>
          </cell>
          <cell r="D197" t="str">
            <v>F</v>
          </cell>
          <cell r="E197" t="str">
            <v>Bayani - Zingilizi</v>
          </cell>
          <cell r="F197" t="str">
            <v>T395</v>
          </cell>
          <cell r="G197">
            <v>4</v>
          </cell>
          <cell r="H197">
            <v>8.1</v>
          </cell>
          <cell r="I197" t="str">
            <v>R</v>
          </cell>
          <cell r="J197" t="str">
            <v>NTCHEU</v>
          </cell>
          <cell r="K197">
            <v>8</v>
          </cell>
          <cell r="L197" t="str">
            <v>Changed designation from T394 to T395</v>
          </cell>
        </row>
        <row r="198">
          <cell r="A198" t="str">
            <v>RS 656</v>
          </cell>
          <cell r="B198">
            <v>478</v>
          </cell>
          <cell r="C198" t="str">
            <v>C</v>
          </cell>
          <cell r="D198" t="str">
            <v>F</v>
          </cell>
          <cell r="E198" t="str">
            <v>Zingilizi - Chilenga (junction S135)</v>
          </cell>
          <cell r="F198" t="str">
            <v>T395</v>
          </cell>
          <cell r="G198">
            <v>5</v>
          </cell>
          <cell r="H198">
            <v>8.6</v>
          </cell>
          <cell r="I198" t="str">
            <v>R</v>
          </cell>
          <cell r="J198" t="str">
            <v>NTCHEU</v>
          </cell>
          <cell r="K198">
            <v>8</v>
          </cell>
          <cell r="L198" t="str">
            <v>Changed designation from T394 to T395</v>
          </cell>
        </row>
        <row r="199">
          <cell r="A199" t="str">
            <v>RS 709</v>
          </cell>
          <cell r="B199">
            <v>531</v>
          </cell>
          <cell r="C199" t="str">
            <v>S</v>
          </cell>
          <cell r="D199" t="str">
            <v>F</v>
          </cell>
          <cell r="E199" t="str">
            <v>Kweneza (junction S135) - Kambale Ag.Station</v>
          </cell>
          <cell r="F199" t="str">
            <v>T396</v>
          </cell>
          <cell r="G199">
            <v>1</v>
          </cell>
          <cell r="H199">
            <v>13.5</v>
          </cell>
          <cell r="I199" t="str">
            <v>H</v>
          </cell>
          <cell r="J199" t="str">
            <v>MWANZA</v>
          </cell>
          <cell r="K199">
            <v>8</v>
          </cell>
        </row>
        <row r="200">
          <cell r="A200" t="str">
            <v>RS 706</v>
          </cell>
          <cell r="B200">
            <v>528</v>
          </cell>
          <cell r="C200" t="str">
            <v>S</v>
          </cell>
          <cell r="D200" t="str">
            <v>F</v>
          </cell>
          <cell r="E200" t="str">
            <v>Kambale Ag. Station - Nkase River</v>
          </cell>
          <cell r="F200" t="str">
            <v>T396</v>
          </cell>
          <cell r="G200">
            <v>2</v>
          </cell>
          <cell r="H200">
            <v>23.3</v>
          </cell>
          <cell r="I200" t="str">
            <v>H</v>
          </cell>
          <cell r="J200" t="str">
            <v>MWANZA</v>
          </cell>
          <cell r="K200">
            <v>8</v>
          </cell>
        </row>
        <row r="201">
          <cell r="A201" t="str">
            <v>RS 707</v>
          </cell>
          <cell r="B201">
            <v>529</v>
          </cell>
          <cell r="C201" t="str">
            <v>S</v>
          </cell>
          <cell r="D201" t="str">
            <v>F</v>
          </cell>
          <cell r="E201" t="str">
            <v>Nkase River - Lisungwi River</v>
          </cell>
          <cell r="F201" t="str">
            <v>T396</v>
          </cell>
          <cell r="G201">
            <v>3</v>
          </cell>
          <cell r="H201">
            <v>8.3000000000000007</v>
          </cell>
          <cell r="I201" t="str">
            <v>R</v>
          </cell>
          <cell r="J201" t="str">
            <v>MWANZA</v>
          </cell>
          <cell r="K201">
            <v>8</v>
          </cell>
        </row>
        <row r="202">
          <cell r="A202" t="str">
            <v>RS 708</v>
          </cell>
          <cell r="B202">
            <v>530</v>
          </cell>
          <cell r="C202" t="str">
            <v>S</v>
          </cell>
          <cell r="D202" t="str">
            <v>F</v>
          </cell>
          <cell r="E202" t="str">
            <v>Lisungwi River - Kamwamba (junction M1)</v>
          </cell>
          <cell r="F202" t="str">
            <v>T396</v>
          </cell>
          <cell r="G202">
            <v>4</v>
          </cell>
          <cell r="H202">
            <v>13.7</v>
          </cell>
          <cell r="I202" t="str">
            <v>R</v>
          </cell>
          <cell r="J202" t="str">
            <v>MWANZA</v>
          </cell>
          <cell r="K202">
            <v>8</v>
          </cell>
        </row>
        <row r="203">
          <cell r="A203" t="str">
            <v>RS 713</v>
          </cell>
          <cell r="B203">
            <v>535</v>
          </cell>
          <cell r="C203" t="str">
            <v>S</v>
          </cell>
          <cell r="D203" t="str">
            <v>F</v>
          </cell>
          <cell r="E203" t="str">
            <v>Kambale Ag. Station - Neno</v>
          </cell>
          <cell r="F203" t="str">
            <v>T397</v>
          </cell>
          <cell r="G203">
            <v>1</v>
          </cell>
          <cell r="H203">
            <v>13</v>
          </cell>
          <cell r="I203" t="str">
            <v>R</v>
          </cell>
          <cell r="J203" t="str">
            <v>MWANZA</v>
          </cell>
          <cell r="K203">
            <v>9</v>
          </cell>
        </row>
        <row r="204">
          <cell r="A204" t="str">
            <v>RS 711</v>
          </cell>
          <cell r="B204">
            <v>533</v>
          </cell>
          <cell r="C204" t="str">
            <v>S</v>
          </cell>
          <cell r="D204" t="str">
            <v>F</v>
          </cell>
          <cell r="E204" t="str">
            <v>Neno - Nyakoko</v>
          </cell>
          <cell r="F204" t="str">
            <v>T397</v>
          </cell>
          <cell r="G204">
            <v>2</v>
          </cell>
          <cell r="H204">
            <v>11.3</v>
          </cell>
          <cell r="I204" t="str">
            <v>R</v>
          </cell>
          <cell r="J204" t="str">
            <v>MWANZA</v>
          </cell>
          <cell r="K204">
            <v>9</v>
          </cell>
        </row>
        <row r="205">
          <cell r="A205" t="str">
            <v>RS 712</v>
          </cell>
          <cell r="B205">
            <v>534</v>
          </cell>
          <cell r="C205" t="str">
            <v>S</v>
          </cell>
          <cell r="D205" t="str">
            <v>F</v>
          </cell>
          <cell r="E205" t="str">
            <v>Nyakoko - Butawo</v>
          </cell>
          <cell r="F205" t="str">
            <v>T397</v>
          </cell>
          <cell r="G205">
            <v>3</v>
          </cell>
          <cell r="H205">
            <v>6.5</v>
          </cell>
          <cell r="I205" t="str">
            <v>R</v>
          </cell>
          <cell r="J205" t="str">
            <v>MWANZA</v>
          </cell>
          <cell r="K205">
            <v>9</v>
          </cell>
        </row>
        <row r="206">
          <cell r="A206" t="str">
            <v>RS 710</v>
          </cell>
          <cell r="B206">
            <v>532</v>
          </cell>
          <cell r="C206" t="str">
            <v>S</v>
          </cell>
          <cell r="D206" t="str">
            <v>F</v>
          </cell>
          <cell r="E206" t="str">
            <v>Butawo - Zaka (junction M6)</v>
          </cell>
          <cell r="F206" t="str">
            <v>T397</v>
          </cell>
          <cell r="G206">
            <v>4</v>
          </cell>
          <cell r="H206">
            <v>20</v>
          </cell>
          <cell r="I206" t="str">
            <v>R</v>
          </cell>
          <cell r="J206" t="str">
            <v>MWANZA</v>
          </cell>
          <cell r="K206">
            <v>9</v>
          </cell>
        </row>
        <row r="207">
          <cell r="A207" t="str">
            <v>RS 714</v>
          </cell>
          <cell r="B207">
            <v>536</v>
          </cell>
          <cell r="C207" t="str">
            <v>S</v>
          </cell>
          <cell r="D207" t="str">
            <v>F</v>
          </cell>
          <cell r="E207" t="str">
            <v>Kanjiwa - Nyakoko</v>
          </cell>
          <cell r="F207" t="str">
            <v>T398</v>
          </cell>
          <cell r="G207">
            <v>1</v>
          </cell>
          <cell r="H207">
            <v>24.7</v>
          </cell>
          <cell r="I207" t="str">
            <v>H</v>
          </cell>
          <cell r="J207" t="str">
            <v>MWANZA</v>
          </cell>
          <cell r="K207">
            <v>9</v>
          </cell>
        </row>
        <row r="208">
          <cell r="A208" t="str">
            <v>RS 719</v>
          </cell>
          <cell r="B208">
            <v>541</v>
          </cell>
          <cell r="C208" t="str">
            <v>S</v>
          </cell>
          <cell r="D208" t="str">
            <v>F</v>
          </cell>
          <cell r="E208" t="str">
            <v>Chiendausiku (junction M8) - Maduwane</v>
          </cell>
          <cell r="F208" t="str">
            <v>T399</v>
          </cell>
          <cell r="G208">
            <v>1</v>
          </cell>
          <cell r="H208">
            <v>12.3</v>
          </cell>
          <cell r="I208" t="str">
            <v>H</v>
          </cell>
          <cell r="J208" t="str">
            <v>MWANZA</v>
          </cell>
          <cell r="K208">
            <v>8</v>
          </cell>
        </row>
        <row r="209">
          <cell r="A209" t="str">
            <v>RS 717</v>
          </cell>
          <cell r="B209">
            <v>539</v>
          </cell>
          <cell r="C209" t="str">
            <v>S</v>
          </cell>
          <cell r="D209" t="str">
            <v>F</v>
          </cell>
          <cell r="E209" t="str">
            <v>Maduwane - Utale</v>
          </cell>
          <cell r="F209" t="str">
            <v>T399</v>
          </cell>
          <cell r="G209">
            <v>2</v>
          </cell>
          <cell r="H209">
            <v>8.8000000000000007</v>
          </cell>
          <cell r="I209" t="str">
            <v>FL</v>
          </cell>
          <cell r="J209" t="str">
            <v>MACHINGA</v>
          </cell>
          <cell r="K209">
            <v>8</v>
          </cell>
        </row>
        <row r="210">
          <cell r="A210" t="str">
            <v>RS 718</v>
          </cell>
          <cell r="B210">
            <v>540</v>
          </cell>
          <cell r="C210" t="str">
            <v>S</v>
          </cell>
          <cell r="D210" t="str">
            <v>F</v>
          </cell>
          <cell r="E210" t="str">
            <v>Utale - Nyanyala (junction M1)</v>
          </cell>
          <cell r="F210" t="str">
            <v>T399</v>
          </cell>
          <cell r="G210">
            <v>3</v>
          </cell>
          <cell r="H210">
            <v>26.7</v>
          </cell>
          <cell r="I210" t="str">
            <v>FL</v>
          </cell>
          <cell r="J210" t="str">
            <v>MACHINGA</v>
          </cell>
          <cell r="K210">
            <v>8</v>
          </cell>
        </row>
        <row r="211">
          <cell r="A211" t="str">
            <v>RS 720</v>
          </cell>
          <cell r="B211">
            <v>542</v>
          </cell>
          <cell r="C211" t="str">
            <v>S</v>
          </cell>
          <cell r="D211" t="str">
            <v>F</v>
          </cell>
          <cell r="E211" t="str">
            <v>Ntalika (junction M8) - Phalula</v>
          </cell>
          <cell r="F211" t="str">
            <v>T400</v>
          </cell>
          <cell r="G211">
            <v>1</v>
          </cell>
          <cell r="H211">
            <v>5.0999999999999996</v>
          </cell>
          <cell r="I211" t="str">
            <v>FL</v>
          </cell>
          <cell r="J211" t="str">
            <v>MACHINGA</v>
          </cell>
          <cell r="K211">
            <v>8</v>
          </cell>
        </row>
        <row r="212">
          <cell r="A212" t="str">
            <v>RS 723</v>
          </cell>
          <cell r="B212">
            <v>545</v>
          </cell>
          <cell r="C212" t="str">
            <v>S</v>
          </cell>
          <cell r="D212" t="str">
            <v>F</v>
          </cell>
          <cell r="E212" t="str">
            <v>Phalula - Utale</v>
          </cell>
          <cell r="F212" t="str">
            <v>T400</v>
          </cell>
          <cell r="G212">
            <v>2</v>
          </cell>
          <cell r="H212">
            <v>17.100000000000001</v>
          </cell>
          <cell r="I212" t="str">
            <v>FL</v>
          </cell>
          <cell r="J212" t="str">
            <v>MACHINGA</v>
          </cell>
          <cell r="K212">
            <v>8</v>
          </cell>
        </row>
        <row r="213">
          <cell r="A213" t="str">
            <v>RS 721</v>
          </cell>
          <cell r="B213">
            <v>543</v>
          </cell>
          <cell r="C213" t="str">
            <v>S</v>
          </cell>
          <cell r="D213" t="str">
            <v>F</v>
          </cell>
          <cell r="E213" t="str">
            <v>Utale - Shire North T.C</v>
          </cell>
          <cell r="F213" t="str">
            <v>T400</v>
          </cell>
          <cell r="G213">
            <v>3</v>
          </cell>
          <cell r="H213">
            <v>17.5</v>
          </cell>
          <cell r="I213" t="str">
            <v>FL</v>
          </cell>
          <cell r="J213" t="str">
            <v>MACHINGA</v>
          </cell>
          <cell r="K213">
            <v>8</v>
          </cell>
        </row>
        <row r="214">
          <cell r="A214" t="str">
            <v>RS 722</v>
          </cell>
          <cell r="B214">
            <v>544</v>
          </cell>
          <cell r="C214" t="str">
            <v>S</v>
          </cell>
          <cell r="D214" t="str">
            <v>F</v>
          </cell>
          <cell r="E214" t="str">
            <v>Shire North TC - Kasangale (junction S139)</v>
          </cell>
          <cell r="F214" t="str">
            <v>T400</v>
          </cell>
          <cell r="G214">
            <v>4</v>
          </cell>
          <cell r="H214">
            <v>10.199999999999999</v>
          </cell>
          <cell r="I214" t="str">
            <v>R</v>
          </cell>
          <cell r="J214" t="str">
            <v>ZOMBA</v>
          </cell>
          <cell r="K214">
            <v>8</v>
          </cell>
        </row>
        <row r="215">
          <cell r="A215" t="str">
            <v>RS 724</v>
          </cell>
          <cell r="B215">
            <v>546</v>
          </cell>
          <cell r="C215" t="str">
            <v>S</v>
          </cell>
          <cell r="D215" t="str">
            <v>F</v>
          </cell>
          <cell r="E215" t="str">
            <v>Machinga (junction M3) - Chigwandembo Bridge</v>
          </cell>
          <cell r="F215" t="str">
            <v>T401</v>
          </cell>
          <cell r="G215">
            <v>1</v>
          </cell>
          <cell r="H215">
            <v>8.6999999999999993</v>
          </cell>
          <cell r="I215" t="str">
            <v>FL</v>
          </cell>
          <cell r="J215" t="str">
            <v>MACHINGA</v>
          </cell>
          <cell r="K215">
            <v>8</v>
          </cell>
        </row>
        <row r="216">
          <cell r="A216" t="str">
            <v>RS 725</v>
          </cell>
          <cell r="B216">
            <v>547</v>
          </cell>
          <cell r="C216" t="str">
            <v>S</v>
          </cell>
          <cell r="D216" t="str">
            <v>F</v>
          </cell>
          <cell r="E216" t="str">
            <v>Chikwandembo River - Chinseu</v>
          </cell>
          <cell r="F216" t="str">
            <v>T401</v>
          </cell>
          <cell r="G216">
            <v>2</v>
          </cell>
          <cell r="H216">
            <v>14</v>
          </cell>
          <cell r="I216" t="str">
            <v>R</v>
          </cell>
          <cell r="J216" t="str">
            <v>ZOMBA</v>
          </cell>
          <cell r="K216">
            <v>8</v>
          </cell>
        </row>
        <row r="217">
          <cell r="A217" t="str">
            <v>RS 726</v>
          </cell>
          <cell r="B217">
            <v>548</v>
          </cell>
          <cell r="C217" t="str">
            <v>S</v>
          </cell>
          <cell r="D217" t="str">
            <v>F</v>
          </cell>
          <cell r="E217" t="str">
            <v>Chinseu - Chikwenga (junction S139)</v>
          </cell>
          <cell r="F217" t="str">
            <v>T401</v>
          </cell>
          <cell r="G217">
            <v>3</v>
          </cell>
          <cell r="H217">
            <v>7</v>
          </cell>
          <cell r="I217" t="str">
            <v>R</v>
          </cell>
          <cell r="J217" t="str">
            <v>ZOMBA</v>
          </cell>
          <cell r="K217">
            <v>8</v>
          </cell>
        </row>
        <row r="218">
          <cell r="A218" t="str">
            <v>RS 728</v>
          </cell>
          <cell r="B218">
            <v>550</v>
          </cell>
          <cell r="C218" t="str">
            <v>S</v>
          </cell>
          <cell r="D218" t="str">
            <v>F</v>
          </cell>
          <cell r="E218" t="str">
            <v>Naminga (junction S131) - Malopa</v>
          </cell>
          <cell r="F218" t="str">
            <v>T402</v>
          </cell>
          <cell r="G218">
            <v>1</v>
          </cell>
          <cell r="H218">
            <v>5.3</v>
          </cell>
          <cell r="I218" t="str">
            <v>R</v>
          </cell>
          <cell r="J218" t="str">
            <v>MACHINGA</v>
          </cell>
          <cell r="K218">
            <v>8</v>
          </cell>
        </row>
        <row r="219">
          <cell r="A219" t="str">
            <v>RS 730</v>
          </cell>
          <cell r="B219">
            <v>552</v>
          </cell>
          <cell r="C219" t="str">
            <v>S</v>
          </cell>
          <cell r="D219" t="str">
            <v>F</v>
          </cell>
          <cell r="E219" t="str">
            <v>Malopa - Namikonya Stream</v>
          </cell>
          <cell r="F219" t="str">
            <v>T402</v>
          </cell>
          <cell r="G219">
            <v>2</v>
          </cell>
          <cell r="H219">
            <v>14.4</v>
          </cell>
          <cell r="I219" t="str">
            <v>H</v>
          </cell>
          <cell r="J219" t="str">
            <v>MACHINGA</v>
          </cell>
          <cell r="K219">
            <v>8</v>
          </cell>
        </row>
        <row r="220">
          <cell r="A220" t="str">
            <v>RS 727</v>
          </cell>
          <cell r="B220">
            <v>549</v>
          </cell>
          <cell r="C220" t="str">
            <v>S</v>
          </cell>
          <cell r="D220" t="str">
            <v>F</v>
          </cell>
          <cell r="E220" t="str">
            <v>Namikonya Stream - Chamatwa</v>
          </cell>
          <cell r="F220" t="str">
            <v>T402</v>
          </cell>
          <cell r="G220">
            <v>3</v>
          </cell>
          <cell r="H220">
            <v>7.6</v>
          </cell>
          <cell r="I220" t="str">
            <v>R</v>
          </cell>
          <cell r="J220" t="str">
            <v>MACHINGA</v>
          </cell>
          <cell r="K220">
            <v>8</v>
          </cell>
        </row>
        <row r="221">
          <cell r="A221" t="str">
            <v>RS 729</v>
          </cell>
          <cell r="B221">
            <v>551</v>
          </cell>
          <cell r="C221" t="str">
            <v>S</v>
          </cell>
          <cell r="D221" t="str">
            <v>F</v>
          </cell>
          <cell r="E221" t="str">
            <v>Chamatwa - Likwenu River (junction M3)</v>
          </cell>
          <cell r="F221" t="str">
            <v>T402</v>
          </cell>
          <cell r="G221">
            <v>4</v>
          </cell>
          <cell r="H221">
            <v>6</v>
          </cell>
          <cell r="I221" t="str">
            <v>FL</v>
          </cell>
          <cell r="J221" t="str">
            <v>MACHINGA &amp; ZOMBA</v>
          </cell>
          <cell r="K221">
            <v>8</v>
          </cell>
        </row>
        <row r="222">
          <cell r="A222" t="str">
            <v>RS 732</v>
          </cell>
          <cell r="B222">
            <v>554</v>
          </cell>
          <cell r="C222" t="str">
            <v>S</v>
          </cell>
          <cell r="D222" t="str">
            <v>F</v>
          </cell>
          <cell r="E222" t="str">
            <v>Jokala - Msondole</v>
          </cell>
          <cell r="F222" t="str">
            <v>T403</v>
          </cell>
          <cell r="G222">
            <v>2</v>
          </cell>
          <cell r="H222">
            <v>8.6999999999999993</v>
          </cell>
          <cell r="I222" t="str">
            <v>R</v>
          </cell>
          <cell r="J222" t="str">
            <v>ZOMBA</v>
          </cell>
          <cell r="K222">
            <v>8</v>
          </cell>
          <cell r="L222" t="str">
            <v>Changed designation from S156 to S151</v>
          </cell>
        </row>
        <row r="223">
          <cell r="A223" t="str">
            <v>RS 734</v>
          </cell>
          <cell r="B223">
            <v>556</v>
          </cell>
          <cell r="C223" t="str">
            <v>S</v>
          </cell>
          <cell r="D223" t="str">
            <v>F</v>
          </cell>
          <cell r="E223" t="str">
            <v>Mpyupyu T.C. (junction S143)  - Chamba</v>
          </cell>
          <cell r="F223" t="str">
            <v>T404</v>
          </cell>
          <cell r="G223">
            <v>1</v>
          </cell>
          <cell r="H223">
            <v>7.9</v>
          </cell>
          <cell r="I223" t="str">
            <v>R</v>
          </cell>
          <cell r="J223" t="str">
            <v>ZOMBA</v>
          </cell>
          <cell r="K223">
            <v>9</v>
          </cell>
        </row>
        <row r="224">
          <cell r="A224" t="str">
            <v>RS 733</v>
          </cell>
          <cell r="B224">
            <v>555</v>
          </cell>
          <cell r="C224" t="str">
            <v>S</v>
          </cell>
          <cell r="D224" t="str">
            <v>F</v>
          </cell>
          <cell r="E224" t="str">
            <v>Chamba - Jali (junction S144)</v>
          </cell>
          <cell r="F224" t="str">
            <v>T404</v>
          </cell>
          <cell r="G224">
            <v>2</v>
          </cell>
          <cell r="H224">
            <v>6.6</v>
          </cell>
          <cell r="I224" t="str">
            <v>R</v>
          </cell>
          <cell r="J224" t="str">
            <v>ZOMBA</v>
          </cell>
          <cell r="K224">
            <v>9</v>
          </cell>
        </row>
        <row r="225">
          <cell r="A225" t="str">
            <v>RS 731</v>
          </cell>
          <cell r="B225">
            <v>553</v>
          </cell>
          <cell r="C225" t="str">
            <v>S</v>
          </cell>
          <cell r="D225" t="str">
            <v>F</v>
          </cell>
          <cell r="E225" t="str">
            <v>Thodwe (junction M3) - Mayaka</v>
          </cell>
          <cell r="F225" t="str">
            <v>T405</v>
          </cell>
          <cell r="G225">
            <v>1</v>
          </cell>
          <cell r="H225">
            <v>21</v>
          </cell>
          <cell r="I225" t="str">
            <v>R</v>
          </cell>
          <cell r="J225" t="str">
            <v>ZOMBA</v>
          </cell>
          <cell r="K225">
            <v>9</v>
          </cell>
          <cell r="L225" t="str">
            <v>Changed designation from T403 to T405</v>
          </cell>
        </row>
        <row r="226">
          <cell r="A226" t="str">
            <v>RS 745</v>
          </cell>
          <cell r="B226">
            <v>567</v>
          </cell>
          <cell r="C226" t="str">
            <v>S</v>
          </cell>
          <cell r="D226" t="str">
            <v>F</v>
          </cell>
          <cell r="E226" t="str">
            <v>Mayaka - Jali (junction S144)</v>
          </cell>
          <cell r="F226" t="str">
            <v>T405</v>
          </cell>
          <cell r="G226">
            <v>2</v>
          </cell>
          <cell r="H226">
            <v>14.6</v>
          </cell>
          <cell r="I226" t="str">
            <v>FL</v>
          </cell>
          <cell r="J226" t="str">
            <v>ZOMBA</v>
          </cell>
          <cell r="K226">
            <v>9</v>
          </cell>
          <cell r="L226" t="str">
            <v>Changed designation from T408 to T405</v>
          </cell>
        </row>
        <row r="227">
          <cell r="A227" t="str">
            <v>RS 735</v>
          </cell>
          <cell r="B227">
            <v>557</v>
          </cell>
          <cell r="C227" t="str">
            <v>S</v>
          </cell>
          <cell r="D227" t="str">
            <v>F</v>
          </cell>
          <cell r="E227" t="str">
            <v>Maphanda junction S144) - Chigumukire</v>
          </cell>
          <cell r="F227" t="str">
            <v>T405</v>
          </cell>
          <cell r="G227">
            <v>3</v>
          </cell>
          <cell r="H227">
            <v>10.5</v>
          </cell>
          <cell r="I227" t="str">
            <v>R</v>
          </cell>
          <cell r="J227" t="str">
            <v>ZOMBA</v>
          </cell>
          <cell r="K227">
            <v>9</v>
          </cell>
          <cell r="L227" t="str">
            <v>Changed designation from M9 to S152</v>
          </cell>
        </row>
        <row r="228">
          <cell r="A228" t="str">
            <v>RS 736</v>
          </cell>
          <cell r="B228">
            <v>558</v>
          </cell>
          <cell r="C228" t="str">
            <v>S</v>
          </cell>
          <cell r="D228" t="str">
            <v>F</v>
          </cell>
          <cell r="E228" t="str">
            <v>Chigumukire - Joni</v>
          </cell>
          <cell r="F228" t="str">
            <v>T405</v>
          </cell>
          <cell r="G228">
            <v>4</v>
          </cell>
          <cell r="H228">
            <v>19.5</v>
          </cell>
          <cell r="I228" t="str">
            <v>R</v>
          </cell>
          <cell r="J228" t="str">
            <v>ZOMBA &amp; PHALOMBE</v>
          </cell>
          <cell r="K228">
            <v>9</v>
          </cell>
          <cell r="L228" t="str">
            <v>Changed designation from S151 to S152</v>
          </cell>
        </row>
        <row r="229">
          <cell r="A229" t="str">
            <v>RS 738</v>
          </cell>
          <cell r="B229">
            <v>560</v>
          </cell>
          <cell r="C229" t="str">
            <v>S</v>
          </cell>
          <cell r="D229" t="str">
            <v>F</v>
          </cell>
          <cell r="E229" t="str">
            <v>Nyungwe (junction M3) - Lirangwe</v>
          </cell>
          <cell r="F229" t="str">
            <v>T406</v>
          </cell>
          <cell r="G229">
            <v>1</v>
          </cell>
          <cell r="H229">
            <v>4.0999999999999996</v>
          </cell>
          <cell r="I229" t="str">
            <v>R</v>
          </cell>
          <cell r="J229" t="str">
            <v>CHIRADZULU</v>
          </cell>
          <cell r="K229">
            <v>9</v>
          </cell>
        </row>
        <row r="230">
          <cell r="A230" t="str">
            <v>RS 737</v>
          </cell>
          <cell r="B230">
            <v>559</v>
          </cell>
          <cell r="C230" t="str">
            <v>S</v>
          </cell>
          <cell r="D230" t="str">
            <v>F</v>
          </cell>
          <cell r="E230" t="str">
            <v>Lirangwe - Chidzolo (Mudi)</v>
          </cell>
          <cell r="F230" t="str">
            <v>T406</v>
          </cell>
          <cell r="G230">
            <v>2</v>
          </cell>
          <cell r="H230">
            <v>4.5999999999999996</v>
          </cell>
          <cell r="I230" t="str">
            <v>R</v>
          </cell>
          <cell r="J230" t="str">
            <v>CHIRADZULU</v>
          </cell>
          <cell r="K230">
            <v>9</v>
          </cell>
          <cell r="L230" t="str">
            <v>Part of origional RS 148</v>
          </cell>
        </row>
        <row r="231">
          <cell r="A231" t="str">
            <v>RS 739</v>
          </cell>
          <cell r="B231">
            <v>561</v>
          </cell>
          <cell r="C231" t="str">
            <v>S</v>
          </cell>
          <cell r="D231" t="str">
            <v>F</v>
          </cell>
          <cell r="E231" t="str">
            <v>Chidzolo (mudi) - Lunzu (junction M1)</v>
          </cell>
          <cell r="F231" t="str">
            <v>T406</v>
          </cell>
          <cell r="G231">
            <v>3</v>
          </cell>
          <cell r="H231">
            <v>11.7</v>
          </cell>
          <cell r="I231" t="str">
            <v>R</v>
          </cell>
          <cell r="J231" t="str">
            <v>BLANTYRE</v>
          </cell>
          <cell r="K231">
            <v>9</v>
          </cell>
          <cell r="L231" t="str">
            <v>Road section redefined</v>
          </cell>
        </row>
        <row r="232">
          <cell r="A232" t="str">
            <v>RS 740</v>
          </cell>
          <cell r="B232">
            <v>562</v>
          </cell>
          <cell r="C232" t="str">
            <v>S</v>
          </cell>
          <cell r="D232" t="str">
            <v>F</v>
          </cell>
          <cell r="E232" t="str">
            <v>Magomero (junction M3) - Namadzi River bridge</v>
          </cell>
          <cell r="F232" t="str">
            <v>T407</v>
          </cell>
          <cell r="G232">
            <v>1</v>
          </cell>
          <cell r="H232">
            <v>8.1999999999999993</v>
          </cell>
          <cell r="I232" t="str">
            <v>R</v>
          </cell>
          <cell r="J232" t="str">
            <v>CHIRADZULU &amp; ZOMBA</v>
          </cell>
          <cell r="K232">
            <v>9</v>
          </cell>
        </row>
        <row r="233">
          <cell r="A233" t="str">
            <v>RS 742</v>
          </cell>
          <cell r="B233">
            <v>564</v>
          </cell>
          <cell r="C233" t="str">
            <v>S</v>
          </cell>
          <cell r="D233" t="str">
            <v>F</v>
          </cell>
          <cell r="E233" t="str">
            <v>Namadzi River bridge - Mali</v>
          </cell>
          <cell r="F233" t="str">
            <v>T407</v>
          </cell>
          <cell r="G233">
            <v>2</v>
          </cell>
          <cell r="H233">
            <v>9.1</v>
          </cell>
          <cell r="I233" t="str">
            <v>R</v>
          </cell>
          <cell r="J233" t="str">
            <v>ZOMBA</v>
          </cell>
          <cell r="K233">
            <v>9</v>
          </cell>
        </row>
        <row r="234">
          <cell r="A234" t="str">
            <v>RS 741</v>
          </cell>
          <cell r="B234">
            <v>563</v>
          </cell>
          <cell r="C234" t="str">
            <v>S</v>
          </cell>
          <cell r="D234" t="str">
            <v>F</v>
          </cell>
          <cell r="E234" t="str">
            <v>Mali - Matiti</v>
          </cell>
          <cell r="F234" t="str">
            <v>T407</v>
          </cell>
          <cell r="G234">
            <v>3</v>
          </cell>
          <cell r="H234">
            <v>9.5</v>
          </cell>
          <cell r="I234" t="str">
            <v>R</v>
          </cell>
          <cell r="J234" t="str">
            <v>ZOMBA</v>
          </cell>
          <cell r="K234">
            <v>9</v>
          </cell>
        </row>
        <row r="235">
          <cell r="A235" t="str">
            <v>RS 743</v>
          </cell>
          <cell r="B235">
            <v>565</v>
          </cell>
          <cell r="C235" t="str">
            <v>S</v>
          </cell>
          <cell r="D235" t="str">
            <v>F</v>
          </cell>
          <cell r="E235" t="str">
            <v>Mayaka - Utwe River</v>
          </cell>
          <cell r="F235" t="str">
            <v>T408</v>
          </cell>
          <cell r="G235">
            <v>1</v>
          </cell>
          <cell r="H235">
            <v>9.6</v>
          </cell>
          <cell r="I235" t="str">
            <v>FL</v>
          </cell>
          <cell r="J235" t="str">
            <v>ZOMBA</v>
          </cell>
          <cell r="K235">
            <v>9</v>
          </cell>
        </row>
        <row r="236">
          <cell r="A236" t="str">
            <v>RS 746</v>
          </cell>
          <cell r="B236">
            <v>658</v>
          </cell>
          <cell r="C236" t="str">
            <v>S</v>
          </cell>
          <cell r="D236" t="str">
            <v>F</v>
          </cell>
          <cell r="E236" t="str">
            <v>Utwe River - Matiti</v>
          </cell>
          <cell r="F236" t="str">
            <v>T408</v>
          </cell>
          <cell r="G236">
            <v>2</v>
          </cell>
          <cell r="H236">
            <v>4.3</v>
          </cell>
          <cell r="I236" t="str">
            <v>FL</v>
          </cell>
          <cell r="J236" t="str">
            <v>ZOMBA</v>
          </cell>
          <cell r="K236">
            <v>9</v>
          </cell>
        </row>
        <row r="237">
          <cell r="A237" t="str">
            <v>RS 744</v>
          </cell>
          <cell r="B237">
            <v>566</v>
          </cell>
          <cell r="C237" t="str">
            <v>S</v>
          </cell>
          <cell r="D237" t="str">
            <v>F</v>
          </cell>
          <cell r="E237" t="str">
            <v>Milepa (junction S145) - Mombezi River</v>
          </cell>
          <cell r="F237" t="str">
            <v>T408</v>
          </cell>
          <cell r="G237">
            <v>3</v>
          </cell>
          <cell r="H237">
            <v>4.5</v>
          </cell>
          <cell r="I237" t="str">
            <v>FL</v>
          </cell>
          <cell r="J237" t="str">
            <v>PHALOMBE</v>
          </cell>
          <cell r="K237">
            <v>9</v>
          </cell>
        </row>
        <row r="238">
          <cell r="A238" t="str">
            <v>RS 747</v>
          </cell>
          <cell r="B238">
            <v>659</v>
          </cell>
          <cell r="C238" t="str">
            <v>S</v>
          </cell>
          <cell r="D238" t="str">
            <v>F</v>
          </cell>
          <cell r="E238" t="str">
            <v>Mombezi River - Kandulo</v>
          </cell>
          <cell r="F238" t="str">
            <v>T408</v>
          </cell>
          <cell r="G238">
            <v>4</v>
          </cell>
          <cell r="H238">
            <v>15.5</v>
          </cell>
          <cell r="I238" t="str">
            <v>R</v>
          </cell>
          <cell r="J238" t="str">
            <v>PHALOMBE</v>
          </cell>
          <cell r="K238">
            <v>9</v>
          </cell>
        </row>
        <row r="239">
          <cell r="A239" t="str">
            <v>RS 793</v>
          </cell>
          <cell r="B239">
            <v>615</v>
          </cell>
          <cell r="C239" t="str">
            <v>S</v>
          </cell>
          <cell r="D239" t="str">
            <v>F</v>
          </cell>
          <cell r="E239" t="str">
            <v>Kandulo - junction S147</v>
          </cell>
          <cell r="F239" t="str">
            <v>T408</v>
          </cell>
          <cell r="G239">
            <v>5</v>
          </cell>
          <cell r="H239">
            <v>15</v>
          </cell>
          <cell r="I239" t="str">
            <v>R</v>
          </cell>
          <cell r="J239" t="str">
            <v>MULANJE</v>
          </cell>
          <cell r="K239">
            <v>9</v>
          </cell>
          <cell r="L239" t="str">
            <v>Changed designation from T463 to T408</v>
          </cell>
        </row>
        <row r="240">
          <cell r="A240" t="str">
            <v>RS 748</v>
          </cell>
          <cell r="B240">
            <v>570</v>
          </cell>
          <cell r="C240" t="str">
            <v>S</v>
          </cell>
          <cell r="D240" t="str">
            <v>F</v>
          </cell>
          <cell r="E240" t="str">
            <v>Chileka Airport - Chilomoni</v>
          </cell>
          <cell r="F240" t="str">
            <v>T409</v>
          </cell>
          <cell r="G240">
            <v>1</v>
          </cell>
          <cell r="H240">
            <v>21.1</v>
          </cell>
          <cell r="I240" t="str">
            <v>H</v>
          </cell>
          <cell r="J240" t="str">
            <v>BLANTYRE</v>
          </cell>
          <cell r="K240">
            <v>9</v>
          </cell>
        </row>
        <row r="241">
          <cell r="A241" t="str">
            <v>RS 749</v>
          </cell>
          <cell r="B241">
            <v>571</v>
          </cell>
          <cell r="C241" t="str">
            <v>S</v>
          </cell>
          <cell r="D241" t="str">
            <v>F</v>
          </cell>
          <cell r="E241" t="str">
            <v>Chilomoni - Blantyre</v>
          </cell>
          <cell r="F241" t="str">
            <v>T409</v>
          </cell>
          <cell r="G241">
            <v>2</v>
          </cell>
          <cell r="H241">
            <v>5.7</v>
          </cell>
          <cell r="I241" t="str">
            <v>H</v>
          </cell>
          <cell r="J241" t="str">
            <v>BLANTYRE</v>
          </cell>
          <cell r="K241">
            <v>9</v>
          </cell>
        </row>
        <row r="242">
          <cell r="A242" t="str">
            <v>RS 751</v>
          </cell>
          <cell r="B242">
            <v>573</v>
          </cell>
          <cell r="C242" t="str">
            <v>S</v>
          </cell>
          <cell r="D242" t="str">
            <v>F</v>
          </cell>
          <cell r="E242" t="str">
            <v>Chinkankheni - Chatha</v>
          </cell>
          <cell r="F242" t="str">
            <v>T411</v>
          </cell>
          <cell r="G242">
            <v>1</v>
          </cell>
          <cell r="H242">
            <v>11.5</v>
          </cell>
          <cell r="I242" t="str">
            <v>R</v>
          </cell>
          <cell r="J242" t="str">
            <v>BLANTYRE</v>
          </cell>
          <cell r="K242">
            <v>9</v>
          </cell>
        </row>
        <row r="243">
          <cell r="A243" t="str">
            <v>RS 750</v>
          </cell>
          <cell r="B243">
            <v>572</v>
          </cell>
          <cell r="C243" t="str">
            <v>S</v>
          </cell>
          <cell r="D243" t="str">
            <v>F</v>
          </cell>
          <cell r="E243" t="str">
            <v>Chatha - Mzembere</v>
          </cell>
          <cell r="F243" t="str">
            <v>T411</v>
          </cell>
          <cell r="G243">
            <v>2</v>
          </cell>
          <cell r="H243">
            <v>6.9</v>
          </cell>
          <cell r="I243" t="str">
            <v>R</v>
          </cell>
          <cell r="J243" t="str">
            <v>CHIRADZULU</v>
          </cell>
          <cell r="K243">
            <v>9</v>
          </cell>
        </row>
        <row r="244">
          <cell r="A244" t="str">
            <v>RS 753</v>
          </cell>
          <cell r="B244">
            <v>575</v>
          </cell>
          <cell r="C244" t="str">
            <v>S</v>
          </cell>
          <cell r="D244" t="str">
            <v>F</v>
          </cell>
          <cell r="E244" t="str">
            <v>Mikolongwe - Namitambo</v>
          </cell>
          <cell r="F244" t="str">
            <v>T412</v>
          </cell>
          <cell r="G244">
            <v>1</v>
          </cell>
          <cell r="H244">
            <v>7.6</v>
          </cell>
          <cell r="I244" t="str">
            <v>R</v>
          </cell>
          <cell r="J244" t="str">
            <v>CHIRADZULU</v>
          </cell>
          <cell r="K244">
            <v>9</v>
          </cell>
        </row>
        <row r="245">
          <cell r="A245" t="str">
            <v>RS 752</v>
          </cell>
          <cell r="B245">
            <v>574</v>
          </cell>
          <cell r="C245" t="str">
            <v>S</v>
          </cell>
          <cell r="D245" t="str">
            <v>F</v>
          </cell>
          <cell r="E245" t="str">
            <v>Namitambo - Namulenga</v>
          </cell>
          <cell r="F245" t="str">
            <v>T412</v>
          </cell>
          <cell r="G245">
            <v>2</v>
          </cell>
          <cell r="H245">
            <v>7.8</v>
          </cell>
          <cell r="I245" t="str">
            <v>FL</v>
          </cell>
          <cell r="J245" t="str">
            <v>CHIRADZULU</v>
          </cell>
          <cell r="K245">
            <v>9</v>
          </cell>
        </row>
        <row r="246">
          <cell r="A246" t="str">
            <v>RS 756</v>
          </cell>
          <cell r="B246">
            <v>578</v>
          </cell>
          <cell r="C246" t="str">
            <v>S</v>
          </cell>
          <cell r="D246" t="str">
            <v>F</v>
          </cell>
          <cell r="E246" t="str">
            <v>Namlenga - Chilemba</v>
          </cell>
          <cell r="F246" t="str">
            <v>T412</v>
          </cell>
          <cell r="G246">
            <v>3</v>
          </cell>
          <cell r="H246">
            <v>2.5</v>
          </cell>
          <cell r="I246" t="str">
            <v>FL</v>
          </cell>
          <cell r="J246" t="str">
            <v>PHALOMBE</v>
          </cell>
          <cell r="K246">
            <v>9</v>
          </cell>
          <cell r="L246" t="str">
            <v>Changed designation from T413 to T412</v>
          </cell>
        </row>
        <row r="247">
          <cell r="A247" t="str">
            <v>RS 759</v>
          </cell>
          <cell r="B247">
            <v>581</v>
          </cell>
          <cell r="C247" t="str">
            <v>S</v>
          </cell>
          <cell r="D247" t="str">
            <v>F</v>
          </cell>
          <cell r="E247" t="str">
            <v>Bwanaisa - Mwanyenga</v>
          </cell>
          <cell r="F247" t="str">
            <v>T413</v>
          </cell>
          <cell r="G247">
            <v>1</v>
          </cell>
          <cell r="H247">
            <v>15.5</v>
          </cell>
          <cell r="I247" t="str">
            <v>FL</v>
          </cell>
          <cell r="J247" t="str">
            <v>PHALOMBE</v>
          </cell>
          <cell r="K247">
            <v>9</v>
          </cell>
        </row>
        <row r="248">
          <cell r="A248" t="str">
            <v>RS 755</v>
          </cell>
          <cell r="B248">
            <v>577</v>
          </cell>
          <cell r="C248" t="str">
            <v>S</v>
          </cell>
          <cell r="D248" t="str">
            <v>F</v>
          </cell>
          <cell r="E248" t="str">
            <v>Mwanyenga - Kandulo T.C.</v>
          </cell>
          <cell r="F248" t="str">
            <v>T413</v>
          </cell>
          <cell r="G248">
            <v>2</v>
          </cell>
          <cell r="H248">
            <v>16.399999999999999</v>
          </cell>
          <cell r="I248" t="str">
            <v>FL</v>
          </cell>
          <cell r="J248" t="str">
            <v>PHALOMBE</v>
          </cell>
          <cell r="K248">
            <v>9</v>
          </cell>
        </row>
        <row r="249">
          <cell r="A249" t="str">
            <v>RS 757</v>
          </cell>
          <cell r="B249">
            <v>579</v>
          </cell>
          <cell r="C249" t="str">
            <v>S</v>
          </cell>
          <cell r="D249" t="str">
            <v>F</v>
          </cell>
          <cell r="E249" t="str">
            <v>Kandulo T.C. - Chilemba</v>
          </cell>
          <cell r="F249" t="str">
            <v>T413</v>
          </cell>
          <cell r="G249">
            <v>3</v>
          </cell>
          <cell r="H249">
            <v>7.6</v>
          </cell>
          <cell r="I249" t="str">
            <v>FL</v>
          </cell>
          <cell r="J249" t="str">
            <v>PHALOMBE</v>
          </cell>
          <cell r="K249">
            <v>9</v>
          </cell>
        </row>
        <row r="250">
          <cell r="A250" t="str">
            <v>RS 754</v>
          </cell>
          <cell r="B250">
            <v>576</v>
          </cell>
          <cell r="C250" t="str">
            <v>S</v>
          </cell>
          <cell r="D250" t="str">
            <v>F</v>
          </cell>
          <cell r="E250" t="str">
            <v>Chilemba - Thuchila T.C.</v>
          </cell>
          <cell r="F250" t="str">
            <v>T413</v>
          </cell>
          <cell r="G250">
            <v>4</v>
          </cell>
          <cell r="H250">
            <v>3.6</v>
          </cell>
          <cell r="I250" t="str">
            <v>FL</v>
          </cell>
          <cell r="J250" t="str">
            <v>MULANJE</v>
          </cell>
          <cell r="K250">
            <v>9</v>
          </cell>
        </row>
        <row r="251">
          <cell r="A251" t="str">
            <v>RS 760</v>
          </cell>
          <cell r="B251">
            <v>582</v>
          </cell>
          <cell r="C251" t="str">
            <v>S</v>
          </cell>
          <cell r="D251" t="str">
            <v>F</v>
          </cell>
          <cell r="E251" t="str">
            <v>Nkhulambe - Phalombe</v>
          </cell>
          <cell r="F251" t="str">
            <v>T414</v>
          </cell>
          <cell r="G251">
            <v>1</v>
          </cell>
          <cell r="H251">
            <v>14.3</v>
          </cell>
          <cell r="I251" t="str">
            <v>H</v>
          </cell>
          <cell r="J251" t="str">
            <v>MULANJE</v>
          </cell>
          <cell r="K251">
            <v>9</v>
          </cell>
        </row>
        <row r="252">
          <cell r="A252" t="str">
            <v>RS 762</v>
          </cell>
          <cell r="B252">
            <v>584</v>
          </cell>
          <cell r="C252" t="str">
            <v>S</v>
          </cell>
          <cell r="D252" t="str">
            <v>F</v>
          </cell>
          <cell r="E252" t="str">
            <v>Singano - Chilinga</v>
          </cell>
          <cell r="F252" t="str">
            <v>T415</v>
          </cell>
          <cell r="G252">
            <v>1</v>
          </cell>
          <cell r="H252">
            <v>10.9</v>
          </cell>
          <cell r="I252" t="str">
            <v>FL</v>
          </cell>
          <cell r="J252" t="str">
            <v>MULANJE</v>
          </cell>
          <cell r="K252">
            <v>9</v>
          </cell>
        </row>
        <row r="253">
          <cell r="A253" t="str">
            <v>RS 764</v>
          </cell>
          <cell r="B253">
            <v>586</v>
          </cell>
          <cell r="C253" t="str">
            <v>S</v>
          </cell>
          <cell r="D253" t="str">
            <v>F</v>
          </cell>
          <cell r="E253" t="str">
            <v>Chilinga - Nkhulambe</v>
          </cell>
          <cell r="F253" t="str">
            <v>T415</v>
          </cell>
          <cell r="G253">
            <v>2</v>
          </cell>
          <cell r="H253">
            <v>8.6999999999999993</v>
          </cell>
          <cell r="I253" t="str">
            <v>H</v>
          </cell>
          <cell r="J253" t="str">
            <v>MULANJE</v>
          </cell>
          <cell r="K253">
            <v>9</v>
          </cell>
        </row>
        <row r="254">
          <cell r="A254" t="str">
            <v>RS 765</v>
          </cell>
          <cell r="B254">
            <v>587</v>
          </cell>
          <cell r="C254" t="str">
            <v>S</v>
          </cell>
          <cell r="D254" t="str">
            <v>F</v>
          </cell>
          <cell r="E254" t="str">
            <v>Nkhulambe - Sukasanje River</v>
          </cell>
          <cell r="F254" t="str">
            <v>T415</v>
          </cell>
          <cell r="G254">
            <v>3</v>
          </cell>
          <cell r="H254">
            <v>8</v>
          </cell>
          <cell r="I254" t="str">
            <v>FL</v>
          </cell>
          <cell r="J254" t="str">
            <v>MULANJE</v>
          </cell>
          <cell r="K254">
            <v>9</v>
          </cell>
        </row>
        <row r="255">
          <cell r="A255" t="str">
            <v>RS 761</v>
          </cell>
          <cell r="B255">
            <v>583</v>
          </cell>
          <cell r="C255" t="str">
            <v>S</v>
          </cell>
          <cell r="D255" t="str">
            <v>F</v>
          </cell>
          <cell r="E255" t="str">
            <v>Sukasanje River - Nanchidwa</v>
          </cell>
          <cell r="F255" t="str">
            <v>T415</v>
          </cell>
          <cell r="G255">
            <v>4</v>
          </cell>
          <cell r="H255">
            <v>15.8</v>
          </cell>
          <cell r="I255" t="str">
            <v>FL</v>
          </cell>
          <cell r="J255" t="str">
            <v>MULANJE</v>
          </cell>
          <cell r="K255">
            <v>9</v>
          </cell>
        </row>
        <row r="256">
          <cell r="A256" t="str">
            <v>RS 763</v>
          </cell>
          <cell r="B256">
            <v>585</v>
          </cell>
          <cell r="C256" t="str">
            <v>S</v>
          </cell>
          <cell r="D256" t="str">
            <v>F</v>
          </cell>
          <cell r="E256" t="str">
            <v>Nanchindwa - Muloza (Mozambique border)</v>
          </cell>
          <cell r="F256" t="str">
            <v>T415</v>
          </cell>
          <cell r="G256">
            <v>5</v>
          </cell>
          <cell r="H256">
            <v>7.3</v>
          </cell>
          <cell r="I256" t="str">
            <v>H</v>
          </cell>
          <cell r="J256" t="str">
            <v>MULANJE</v>
          </cell>
          <cell r="K256">
            <v>9</v>
          </cell>
        </row>
        <row r="257">
          <cell r="A257" t="str">
            <v>RS 368</v>
          </cell>
          <cell r="B257">
            <v>190</v>
          </cell>
          <cell r="C257" t="str">
            <v>S</v>
          </cell>
          <cell r="D257" t="str">
            <v>F</v>
          </cell>
          <cell r="E257" t="str">
            <v>Chikwawa - Chikwawa</v>
          </cell>
          <cell r="F257" t="str">
            <v>T416</v>
          </cell>
          <cell r="G257">
            <v>1</v>
          </cell>
          <cell r="H257">
            <v>3.1</v>
          </cell>
          <cell r="I257" t="str">
            <v>H</v>
          </cell>
          <cell r="J257" t="str">
            <v>CHIKWAWA</v>
          </cell>
          <cell r="K257">
            <v>9</v>
          </cell>
          <cell r="L257" t="str">
            <v>Changed designation from S136 to T416</v>
          </cell>
        </row>
        <row r="258">
          <cell r="A258" t="str">
            <v>RS 373</v>
          </cell>
          <cell r="B258">
            <v>195</v>
          </cell>
          <cell r="C258" t="str">
            <v>S</v>
          </cell>
          <cell r="D258" t="str">
            <v>F</v>
          </cell>
          <cell r="E258" t="str">
            <v>Chikwawa - Kapichira Falls</v>
          </cell>
          <cell r="F258" t="str">
            <v>T416</v>
          </cell>
          <cell r="G258">
            <v>2</v>
          </cell>
          <cell r="H258">
            <v>18.7</v>
          </cell>
          <cell r="I258" t="str">
            <v>R</v>
          </cell>
          <cell r="J258" t="str">
            <v>CHIKWAWA</v>
          </cell>
          <cell r="K258">
            <v>9</v>
          </cell>
          <cell r="L258" t="str">
            <v>Changed designation from S136 to T416</v>
          </cell>
        </row>
        <row r="259">
          <cell r="A259" t="str">
            <v>RS 767</v>
          </cell>
          <cell r="B259">
            <v>589</v>
          </cell>
          <cell r="C259" t="str">
            <v>S</v>
          </cell>
          <cell r="D259" t="str">
            <v>F</v>
          </cell>
          <cell r="E259" t="str">
            <v>Bvumbwe - Kumtendere</v>
          </cell>
          <cell r="F259" t="str">
            <v>T417</v>
          </cell>
          <cell r="G259">
            <v>1</v>
          </cell>
          <cell r="H259">
            <v>5.9</v>
          </cell>
          <cell r="I259" t="str">
            <v>R</v>
          </cell>
          <cell r="J259" t="str">
            <v>THYOLO</v>
          </cell>
          <cell r="K259">
            <v>9</v>
          </cell>
          <cell r="L259" t="str">
            <v>Changed designation from T418 to T418</v>
          </cell>
        </row>
        <row r="260">
          <cell r="A260" t="str">
            <v>RS 771</v>
          </cell>
          <cell r="B260">
            <v>593</v>
          </cell>
          <cell r="C260" t="str">
            <v>S</v>
          </cell>
          <cell r="D260" t="str">
            <v>F</v>
          </cell>
          <cell r="E260" t="str">
            <v>Kumtendere - Amali</v>
          </cell>
          <cell r="F260" t="str">
            <v>T417</v>
          </cell>
          <cell r="G260">
            <v>2</v>
          </cell>
          <cell r="H260">
            <v>4.9000000000000004</v>
          </cell>
          <cell r="I260" t="str">
            <v>FL</v>
          </cell>
          <cell r="J260" t="str">
            <v>THYOLO</v>
          </cell>
          <cell r="K260">
            <v>9</v>
          </cell>
          <cell r="L260" t="str">
            <v>Changed designation from T418 to T417</v>
          </cell>
        </row>
        <row r="261">
          <cell r="A261" t="str">
            <v>RS 769</v>
          </cell>
          <cell r="B261">
            <v>591</v>
          </cell>
          <cell r="C261" t="str">
            <v>S</v>
          </cell>
          <cell r="D261" t="str">
            <v>F</v>
          </cell>
          <cell r="E261" t="str">
            <v>Amalika - Thunga</v>
          </cell>
          <cell r="F261" t="str">
            <v>T417</v>
          </cell>
          <cell r="G261">
            <v>3</v>
          </cell>
          <cell r="H261">
            <v>3.5</v>
          </cell>
          <cell r="I261" t="str">
            <v>FL</v>
          </cell>
          <cell r="J261" t="str">
            <v>THYOLO</v>
          </cell>
          <cell r="K261">
            <v>9</v>
          </cell>
          <cell r="L261" t="str">
            <v>Changed designation from T418 to T418</v>
          </cell>
        </row>
        <row r="262">
          <cell r="A262" t="str">
            <v>RS 766</v>
          </cell>
          <cell r="B262">
            <v>588</v>
          </cell>
          <cell r="C262" t="str">
            <v>S</v>
          </cell>
          <cell r="D262" t="str">
            <v>F</v>
          </cell>
          <cell r="E262" t="str">
            <v>Thunga - Chidzunga</v>
          </cell>
          <cell r="F262" t="str">
            <v>T418</v>
          </cell>
          <cell r="G262">
            <v>1</v>
          </cell>
          <cell r="H262">
            <v>6.2</v>
          </cell>
          <cell r="I262" t="str">
            <v>FL</v>
          </cell>
          <cell r="J262" t="str">
            <v>THYOLO</v>
          </cell>
          <cell r="K262">
            <v>9</v>
          </cell>
        </row>
        <row r="263">
          <cell r="A263" t="str">
            <v>RS 770</v>
          </cell>
          <cell r="B263">
            <v>592</v>
          </cell>
          <cell r="C263" t="str">
            <v>S</v>
          </cell>
          <cell r="D263" t="str">
            <v>F</v>
          </cell>
          <cell r="E263" t="str">
            <v>Chidzunga - Changalo</v>
          </cell>
          <cell r="F263" t="str">
            <v>T418</v>
          </cell>
          <cell r="G263">
            <v>2</v>
          </cell>
          <cell r="H263">
            <v>4.4000000000000004</v>
          </cell>
          <cell r="I263" t="str">
            <v>R</v>
          </cell>
          <cell r="J263" t="str">
            <v>THYOLO</v>
          </cell>
          <cell r="K263">
            <v>9</v>
          </cell>
        </row>
        <row r="264">
          <cell r="A264" t="str">
            <v>RS 768</v>
          </cell>
          <cell r="B264">
            <v>590</v>
          </cell>
          <cell r="C264" t="str">
            <v>S</v>
          </cell>
          <cell r="D264" t="str">
            <v>F</v>
          </cell>
          <cell r="E264" t="str">
            <v>Changalo - Masenjere</v>
          </cell>
          <cell r="F264" t="str">
            <v>T418</v>
          </cell>
          <cell r="G264">
            <v>3</v>
          </cell>
          <cell r="H264">
            <v>6.7</v>
          </cell>
          <cell r="I264" t="str">
            <v>R</v>
          </cell>
          <cell r="J264" t="str">
            <v>THYOLO</v>
          </cell>
          <cell r="K264">
            <v>9</v>
          </cell>
        </row>
        <row r="265">
          <cell r="A265" t="str">
            <v>RS 424</v>
          </cell>
          <cell r="B265">
            <v>246</v>
          </cell>
          <cell r="C265" t="str">
            <v>S</v>
          </cell>
          <cell r="D265" t="str">
            <v>F</v>
          </cell>
          <cell r="E265" t="str">
            <v>Thuchira River - Chonde</v>
          </cell>
          <cell r="F265" t="str">
            <v>T419</v>
          </cell>
          <cell r="G265">
            <v>1</v>
          </cell>
          <cell r="H265">
            <v>3.1</v>
          </cell>
          <cell r="I265" t="str">
            <v>FL</v>
          </cell>
          <cell r="J265" t="str">
            <v>MULANJE</v>
          </cell>
          <cell r="K265">
            <v>9</v>
          </cell>
          <cell r="L265" t="str">
            <v>Changed designation from S149 to T419</v>
          </cell>
        </row>
        <row r="266">
          <cell r="A266" t="str">
            <v>RS 775</v>
          </cell>
          <cell r="B266">
            <v>597</v>
          </cell>
          <cell r="C266" t="str">
            <v>S</v>
          </cell>
          <cell r="D266" t="str">
            <v>F</v>
          </cell>
          <cell r="E266" t="str">
            <v>Luchenza - Kumadzi</v>
          </cell>
          <cell r="F266" t="str">
            <v>T420</v>
          </cell>
          <cell r="G266">
            <v>1</v>
          </cell>
          <cell r="H266">
            <v>18.7</v>
          </cell>
          <cell r="I266" t="str">
            <v>R</v>
          </cell>
          <cell r="J266" t="str">
            <v>THYOLO</v>
          </cell>
          <cell r="K266">
            <v>9</v>
          </cell>
        </row>
        <row r="267">
          <cell r="A267" t="str">
            <v>RS 772</v>
          </cell>
          <cell r="B267">
            <v>594</v>
          </cell>
          <cell r="C267" t="str">
            <v>S</v>
          </cell>
          <cell r="D267" t="str">
            <v>F</v>
          </cell>
          <cell r="E267" t="str">
            <v>Kumadzi - Sandama</v>
          </cell>
          <cell r="F267" t="str">
            <v>T420</v>
          </cell>
          <cell r="G267">
            <v>2</v>
          </cell>
          <cell r="H267">
            <v>17.3</v>
          </cell>
          <cell r="I267" t="str">
            <v>H</v>
          </cell>
          <cell r="J267" t="str">
            <v>THYOLO</v>
          </cell>
          <cell r="K267">
            <v>9</v>
          </cell>
        </row>
        <row r="268">
          <cell r="A268" t="str">
            <v>RS 773</v>
          </cell>
          <cell r="B268">
            <v>595</v>
          </cell>
          <cell r="C268" t="str">
            <v>S</v>
          </cell>
          <cell r="D268" t="str">
            <v>F</v>
          </cell>
          <cell r="E268" t="str">
            <v>Sandama - Mtepera</v>
          </cell>
          <cell r="F268" t="str">
            <v>T420</v>
          </cell>
          <cell r="G268">
            <v>3</v>
          </cell>
          <cell r="H268">
            <v>8.4</v>
          </cell>
          <cell r="I268" t="str">
            <v>FL</v>
          </cell>
          <cell r="J268" t="str">
            <v>THYOLO</v>
          </cell>
          <cell r="K268">
            <v>9</v>
          </cell>
        </row>
        <row r="269">
          <cell r="A269" t="str">
            <v>RS 774</v>
          </cell>
          <cell r="B269">
            <v>596</v>
          </cell>
          <cell r="C269" t="str">
            <v>S</v>
          </cell>
          <cell r="D269" t="str">
            <v>F</v>
          </cell>
          <cell r="E269" t="str">
            <v>Mtepera - Kolopwa</v>
          </cell>
          <cell r="F269" t="str">
            <v>T420</v>
          </cell>
          <cell r="G269">
            <v>4</v>
          </cell>
          <cell r="H269">
            <v>6.7</v>
          </cell>
          <cell r="I269" t="str">
            <v>H</v>
          </cell>
          <cell r="J269" t="str">
            <v>THYOLO</v>
          </cell>
          <cell r="K269">
            <v>9</v>
          </cell>
        </row>
        <row r="270">
          <cell r="A270" t="str">
            <v>RS 435</v>
          </cell>
          <cell r="B270">
            <v>257</v>
          </cell>
          <cell r="C270" t="str">
            <v>S</v>
          </cell>
          <cell r="D270" t="str">
            <v>F</v>
          </cell>
          <cell r="E270" t="str">
            <v>Kolopwa - Chinzama</v>
          </cell>
          <cell r="F270" t="str">
            <v>T420</v>
          </cell>
          <cell r="G270">
            <v>5</v>
          </cell>
          <cell r="H270">
            <v>5.8</v>
          </cell>
          <cell r="I270" t="str">
            <v>H</v>
          </cell>
          <cell r="J270" t="str">
            <v>THYOLO</v>
          </cell>
          <cell r="K270">
            <v>9</v>
          </cell>
          <cell r="L270" t="str">
            <v>Changed, S151 to T420</v>
          </cell>
        </row>
        <row r="271">
          <cell r="A271" t="str">
            <v>RS 776</v>
          </cell>
          <cell r="B271">
            <v>598</v>
          </cell>
          <cell r="C271" t="str">
            <v>S</v>
          </cell>
          <cell r="D271" t="str">
            <v>F</v>
          </cell>
          <cell r="E271" t="str">
            <v>Msikawanjala - Simbatiyawo</v>
          </cell>
          <cell r="F271" t="str">
            <v>T421</v>
          </cell>
          <cell r="G271">
            <v>1</v>
          </cell>
          <cell r="H271">
            <v>4.5999999999999996</v>
          </cell>
          <cell r="I271" t="str">
            <v>FL</v>
          </cell>
          <cell r="J271" t="str">
            <v>MULANJE</v>
          </cell>
          <cell r="K271">
            <v>9</v>
          </cell>
        </row>
        <row r="272">
          <cell r="A272" t="str">
            <v>RS 777</v>
          </cell>
          <cell r="B272">
            <v>599</v>
          </cell>
          <cell r="C272" t="str">
            <v>S</v>
          </cell>
          <cell r="D272" t="str">
            <v>F</v>
          </cell>
          <cell r="E272" t="str">
            <v>Simbatiyawo - Khombezi River</v>
          </cell>
          <cell r="F272" t="str">
            <v>T421</v>
          </cell>
          <cell r="G272">
            <v>2</v>
          </cell>
          <cell r="H272">
            <v>2.9</v>
          </cell>
          <cell r="I272" t="str">
            <v>FL</v>
          </cell>
          <cell r="J272" t="str">
            <v>MULANJE</v>
          </cell>
          <cell r="K272">
            <v>9</v>
          </cell>
        </row>
        <row r="273">
          <cell r="A273" t="str">
            <v>RS 778</v>
          </cell>
          <cell r="B273">
            <v>600</v>
          </cell>
          <cell r="C273" t="str">
            <v>S</v>
          </cell>
          <cell r="D273" t="str">
            <v>F</v>
          </cell>
          <cell r="E273" t="str">
            <v>Khombezi River - Mitombozi</v>
          </cell>
          <cell r="F273" t="str">
            <v>T421</v>
          </cell>
          <cell r="G273">
            <v>3</v>
          </cell>
          <cell r="H273">
            <v>12</v>
          </cell>
          <cell r="I273" t="str">
            <v>FL</v>
          </cell>
          <cell r="J273" t="str">
            <v>MULANJE</v>
          </cell>
          <cell r="K273">
            <v>9</v>
          </cell>
        </row>
        <row r="274">
          <cell r="A274" t="str">
            <v>RS 779</v>
          </cell>
          <cell r="B274">
            <v>601</v>
          </cell>
          <cell r="C274" t="str">
            <v>S</v>
          </cell>
          <cell r="D274" t="str">
            <v>F</v>
          </cell>
          <cell r="E274" t="str">
            <v>Malambi - Siyama</v>
          </cell>
          <cell r="F274" t="str">
            <v>T422</v>
          </cell>
          <cell r="G274">
            <v>1</v>
          </cell>
          <cell r="H274">
            <v>7.6</v>
          </cell>
          <cell r="I274" t="str">
            <v>FL</v>
          </cell>
          <cell r="J274" t="str">
            <v>MULANJE</v>
          </cell>
          <cell r="K274">
            <v>9</v>
          </cell>
        </row>
        <row r="275">
          <cell r="A275" t="str">
            <v>RS 783</v>
          </cell>
          <cell r="B275">
            <v>605</v>
          </cell>
          <cell r="C275" t="str">
            <v>S</v>
          </cell>
          <cell r="D275" t="str">
            <v>F</v>
          </cell>
          <cell r="E275" t="str">
            <v>Lengwe T.O. - Tomali</v>
          </cell>
          <cell r="F275" t="str">
            <v>T423</v>
          </cell>
          <cell r="G275">
            <v>1</v>
          </cell>
          <cell r="H275">
            <v>9.8000000000000007</v>
          </cell>
          <cell r="I275" t="str">
            <v>FL</v>
          </cell>
          <cell r="J275" t="str">
            <v>CHIKWAWA</v>
          </cell>
          <cell r="K275">
            <v>9</v>
          </cell>
        </row>
        <row r="276">
          <cell r="A276" t="str">
            <v>RS 780</v>
          </cell>
          <cell r="B276">
            <v>602</v>
          </cell>
          <cell r="C276" t="str">
            <v>S</v>
          </cell>
          <cell r="D276" t="str">
            <v>F</v>
          </cell>
          <cell r="E276" t="str">
            <v>Tomali -  Mbuzi</v>
          </cell>
          <cell r="F276" t="str">
            <v>T423</v>
          </cell>
          <cell r="G276">
            <v>2</v>
          </cell>
          <cell r="H276">
            <v>15.9</v>
          </cell>
          <cell r="I276" t="str">
            <v>R</v>
          </cell>
          <cell r="J276" t="str">
            <v>CHIKWAWA</v>
          </cell>
          <cell r="K276">
            <v>9</v>
          </cell>
          <cell r="L276" t="str">
            <v>Changed designation from T422 to T423</v>
          </cell>
        </row>
        <row r="277">
          <cell r="A277" t="str">
            <v>RS 781</v>
          </cell>
          <cell r="B277">
            <v>603</v>
          </cell>
          <cell r="C277" t="str">
            <v>S</v>
          </cell>
          <cell r="D277" t="str">
            <v>F</v>
          </cell>
          <cell r="E277" t="str">
            <v>Mbuzi - Njirang'ombe River</v>
          </cell>
          <cell r="F277" t="str">
            <v>T423</v>
          </cell>
          <cell r="G277">
            <v>3</v>
          </cell>
          <cell r="H277">
            <v>15.8</v>
          </cell>
          <cell r="I277" t="str">
            <v>FL</v>
          </cell>
          <cell r="J277" t="str">
            <v>CHIKWAWA</v>
          </cell>
          <cell r="K277">
            <v>9</v>
          </cell>
        </row>
        <row r="278">
          <cell r="A278" t="str">
            <v>RS 782</v>
          </cell>
          <cell r="B278">
            <v>604</v>
          </cell>
          <cell r="C278" t="str">
            <v>S</v>
          </cell>
          <cell r="D278" t="str">
            <v>F</v>
          </cell>
          <cell r="E278" t="str">
            <v>Njirang'ombe River - Gama</v>
          </cell>
          <cell r="F278" t="str">
            <v>T423</v>
          </cell>
          <cell r="G278">
            <v>4</v>
          </cell>
          <cell r="H278">
            <v>21.1</v>
          </cell>
          <cell r="I278" t="str">
            <v>FL</v>
          </cell>
          <cell r="J278" t="str">
            <v>CHIKWAWA</v>
          </cell>
          <cell r="K278">
            <v>10</v>
          </cell>
        </row>
        <row r="279">
          <cell r="A279" t="str">
            <v>RS 789</v>
          </cell>
          <cell r="B279">
            <v>611</v>
          </cell>
          <cell r="C279" t="str">
            <v>S</v>
          </cell>
          <cell r="D279" t="str">
            <v>F</v>
          </cell>
          <cell r="E279" t="str">
            <v>Goma - Namikalango River</v>
          </cell>
          <cell r="F279" t="str">
            <v>T424</v>
          </cell>
          <cell r="G279">
            <v>1</v>
          </cell>
          <cell r="H279">
            <v>7.9</v>
          </cell>
          <cell r="I279" t="str">
            <v>R</v>
          </cell>
          <cell r="J279" t="str">
            <v>NSANJE</v>
          </cell>
          <cell r="K279">
            <v>10</v>
          </cell>
          <cell r="L279" t="str">
            <v>Changed designation from T424 to T425</v>
          </cell>
        </row>
        <row r="280">
          <cell r="A280" t="str">
            <v>RS 785</v>
          </cell>
          <cell r="B280">
            <v>607</v>
          </cell>
          <cell r="C280" t="str">
            <v>S</v>
          </cell>
          <cell r="D280" t="str">
            <v>F</v>
          </cell>
          <cell r="E280" t="str">
            <v>Namikalango River - Ngabu</v>
          </cell>
          <cell r="F280" t="str">
            <v>T424</v>
          </cell>
          <cell r="G280">
            <v>2</v>
          </cell>
          <cell r="H280">
            <v>7.1</v>
          </cell>
          <cell r="I280" t="str">
            <v>FL</v>
          </cell>
          <cell r="J280" t="str">
            <v>CHIKWAWA</v>
          </cell>
          <cell r="K280">
            <v>10</v>
          </cell>
        </row>
        <row r="281">
          <cell r="A281" t="str">
            <v>RS 786</v>
          </cell>
          <cell r="B281">
            <v>608</v>
          </cell>
          <cell r="C281" t="str">
            <v>S</v>
          </cell>
          <cell r="D281" t="str">
            <v>F</v>
          </cell>
          <cell r="E281" t="str">
            <v>Ngabu - Ngabu roundabout</v>
          </cell>
          <cell r="F281" t="str">
            <v>T424</v>
          </cell>
          <cell r="G281">
            <v>3</v>
          </cell>
          <cell r="H281">
            <v>5.5</v>
          </cell>
          <cell r="I281" t="str">
            <v>FL</v>
          </cell>
          <cell r="J281" t="str">
            <v>CHIKWAWA</v>
          </cell>
          <cell r="K281">
            <v>10</v>
          </cell>
        </row>
        <row r="282">
          <cell r="A282" t="str">
            <v>RS 784</v>
          </cell>
          <cell r="B282">
            <v>606</v>
          </cell>
          <cell r="C282" t="str">
            <v>S</v>
          </cell>
          <cell r="D282" t="str">
            <v>F</v>
          </cell>
          <cell r="E282" t="str">
            <v>Ngabu roundabout - Saopa</v>
          </cell>
          <cell r="F282" t="str">
            <v>T424</v>
          </cell>
          <cell r="G282">
            <v>4</v>
          </cell>
          <cell r="H282">
            <v>6.9</v>
          </cell>
          <cell r="I282" t="str">
            <v>FL</v>
          </cell>
          <cell r="J282" t="str">
            <v>CHIKWAWA</v>
          </cell>
          <cell r="K282">
            <v>10</v>
          </cell>
        </row>
        <row r="283">
          <cell r="A283" t="str">
            <v>RS 787</v>
          </cell>
          <cell r="B283">
            <v>609</v>
          </cell>
          <cell r="C283" t="str">
            <v>S</v>
          </cell>
          <cell r="D283" t="str">
            <v>F</v>
          </cell>
          <cell r="E283" t="str">
            <v>Saopa - Mozambique boundary</v>
          </cell>
          <cell r="F283" t="str">
            <v>T424</v>
          </cell>
          <cell r="G283">
            <v>5</v>
          </cell>
          <cell r="H283">
            <v>9</v>
          </cell>
          <cell r="I283" t="str">
            <v>FL</v>
          </cell>
          <cell r="J283" t="str">
            <v>CHIKWAWA</v>
          </cell>
          <cell r="K283">
            <v>10</v>
          </cell>
        </row>
        <row r="284">
          <cell r="A284" t="str">
            <v>RS 788</v>
          </cell>
          <cell r="B284">
            <v>610</v>
          </cell>
          <cell r="C284" t="str">
            <v>S</v>
          </cell>
          <cell r="D284" t="str">
            <v>F</v>
          </cell>
          <cell r="E284" t="str">
            <v>Lundu - Mbewu House</v>
          </cell>
          <cell r="F284" t="str">
            <v>T425</v>
          </cell>
          <cell r="G284">
            <v>1</v>
          </cell>
          <cell r="H284">
            <v>19.600000000000001</v>
          </cell>
          <cell r="I284" t="str">
            <v>FL</v>
          </cell>
          <cell r="J284" t="str">
            <v>NSANJE</v>
          </cell>
          <cell r="K284">
            <v>10</v>
          </cell>
        </row>
        <row r="285">
          <cell r="A285" t="str">
            <v>RS 791</v>
          </cell>
          <cell r="B285">
            <v>613</v>
          </cell>
          <cell r="C285" t="str">
            <v>S</v>
          </cell>
          <cell r="D285" t="str">
            <v>F</v>
          </cell>
          <cell r="E285" t="str">
            <v>Marka - Dundu river</v>
          </cell>
          <cell r="F285" t="str">
            <v>T426</v>
          </cell>
          <cell r="G285">
            <v>1</v>
          </cell>
          <cell r="H285">
            <v>10.9</v>
          </cell>
          <cell r="I285" t="str">
            <v>R</v>
          </cell>
          <cell r="J285" t="str">
            <v>NSANJE</v>
          </cell>
          <cell r="K285">
            <v>10</v>
          </cell>
        </row>
        <row r="286">
          <cell r="A286" t="str">
            <v>RS 792</v>
          </cell>
          <cell r="B286">
            <v>614</v>
          </cell>
          <cell r="C286" t="str">
            <v>S</v>
          </cell>
          <cell r="D286" t="str">
            <v>F</v>
          </cell>
          <cell r="E286" t="str">
            <v>Dundu River - Lulwe</v>
          </cell>
          <cell r="F286" t="str">
            <v>T426</v>
          </cell>
          <cell r="G286">
            <v>2</v>
          </cell>
          <cell r="H286">
            <v>6.7</v>
          </cell>
          <cell r="I286" t="str">
            <v>FL</v>
          </cell>
          <cell r="J286" t="str">
            <v>NSANJE</v>
          </cell>
          <cell r="K286">
            <v>10</v>
          </cell>
        </row>
        <row r="287">
          <cell r="A287" t="str">
            <v>RS 667</v>
          </cell>
          <cell r="B287">
            <v>489</v>
          </cell>
          <cell r="C287" t="str">
            <v>C</v>
          </cell>
          <cell r="D287" t="str">
            <v>F</v>
          </cell>
          <cell r="E287" t="str">
            <v>Area 25  - Kasengere/Ndodani - Junction T347</v>
          </cell>
          <cell r="F287" t="str">
            <v>UD</v>
          </cell>
          <cell r="G287">
            <v>1</v>
          </cell>
          <cell r="H287">
            <v>10</v>
          </cell>
          <cell r="I287" t="str">
            <v>R</v>
          </cell>
          <cell r="J287" t="str">
            <v>LILONGWE</v>
          </cell>
          <cell r="K287">
            <v>6</v>
          </cell>
        </row>
        <row r="288">
          <cell r="A288" t="str">
            <v>RS 467</v>
          </cell>
          <cell r="B288">
            <v>289</v>
          </cell>
          <cell r="C288" t="str">
            <v>N</v>
          </cell>
          <cell r="D288" t="str">
            <v>F</v>
          </cell>
          <cell r="E288" t="str">
            <v>Davide Kameme-Titi</v>
          </cell>
          <cell r="F288" t="str">
            <v>D001</v>
          </cell>
          <cell r="G288">
            <v>1</v>
          </cell>
          <cell r="H288">
            <v>14</v>
          </cell>
          <cell r="I288" t="str">
            <v>H</v>
          </cell>
          <cell r="J288" t="str">
            <v>CHITIPA</v>
          </cell>
          <cell r="K288">
            <v>1</v>
          </cell>
        </row>
        <row r="289">
          <cell r="A289" t="str">
            <v>RS 444</v>
          </cell>
          <cell r="B289">
            <v>266</v>
          </cell>
          <cell r="C289" t="str">
            <v>N</v>
          </cell>
          <cell r="D289" t="str">
            <v>F</v>
          </cell>
          <cell r="E289" t="str">
            <v>Fikolo Mkisi - Winston Kmeme</v>
          </cell>
          <cell r="F289" t="str">
            <v>T301</v>
          </cell>
          <cell r="G289">
            <v>1</v>
          </cell>
          <cell r="H289">
            <v>24.8</v>
          </cell>
          <cell r="I289">
            <v>1</v>
          </cell>
          <cell r="J289" t="str">
            <v>CHITIPA</v>
          </cell>
          <cell r="K289">
            <v>1</v>
          </cell>
          <cell r="L289" t="str">
            <v>Changed designation from T301 to D2</v>
          </cell>
        </row>
        <row r="290">
          <cell r="A290" t="str">
            <v>RS 469</v>
          </cell>
          <cell r="B290">
            <v>291</v>
          </cell>
          <cell r="C290" t="str">
            <v>N</v>
          </cell>
          <cell r="D290" t="str">
            <v>F</v>
          </cell>
          <cell r="E290" t="str">
            <v>Karonga Village - Fikolo Mkisi</v>
          </cell>
          <cell r="F290" t="str">
            <v>D003</v>
          </cell>
          <cell r="G290">
            <v>1</v>
          </cell>
          <cell r="H290">
            <v>32</v>
          </cell>
          <cell r="I290" t="str">
            <v>H</v>
          </cell>
          <cell r="J290" t="str">
            <v>CHITIPA</v>
          </cell>
          <cell r="K290">
            <v>1</v>
          </cell>
        </row>
        <row r="291">
          <cell r="A291" t="str">
            <v>RS 470</v>
          </cell>
          <cell r="B291">
            <v>292</v>
          </cell>
          <cell r="C291" t="str">
            <v>N</v>
          </cell>
          <cell r="D291" t="str">
            <v>F</v>
          </cell>
          <cell r="E291" t="str">
            <v>Fikolo Mkisi - Nkhangwa - junctionT301</v>
          </cell>
          <cell r="F291" t="str">
            <v>D003</v>
          </cell>
          <cell r="G291">
            <v>2</v>
          </cell>
          <cell r="H291">
            <v>11</v>
          </cell>
          <cell r="I291" t="str">
            <v>R</v>
          </cell>
          <cell r="J291" t="str">
            <v>CHITIPA</v>
          </cell>
          <cell r="K291">
            <v>1</v>
          </cell>
        </row>
        <row r="292">
          <cell r="A292" t="str">
            <v>RS 471</v>
          </cell>
          <cell r="B292">
            <v>293</v>
          </cell>
          <cell r="C292" t="str">
            <v>N</v>
          </cell>
          <cell r="D292" t="str">
            <v>F</v>
          </cell>
          <cell r="E292" t="str">
            <v>Nkhangwa - junction D008</v>
          </cell>
          <cell r="F292" t="str">
            <v>D006</v>
          </cell>
          <cell r="G292">
            <v>1</v>
          </cell>
          <cell r="H292">
            <v>9.5</v>
          </cell>
          <cell r="I292" t="str">
            <v>F</v>
          </cell>
          <cell r="J292" t="str">
            <v>CHITIPA</v>
          </cell>
          <cell r="K292">
            <v>1</v>
          </cell>
        </row>
        <row r="293">
          <cell r="A293" t="str">
            <v>RS 472</v>
          </cell>
          <cell r="B293">
            <v>294</v>
          </cell>
          <cell r="C293" t="str">
            <v>N</v>
          </cell>
          <cell r="D293" t="str">
            <v>F</v>
          </cell>
          <cell r="E293" t="str">
            <v>Junction D6 &amp; D8 - Junction D3</v>
          </cell>
          <cell r="F293" t="str">
            <v>D007</v>
          </cell>
          <cell r="G293">
            <v>1</v>
          </cell>
          <cell r="H293">
            <v>8.6999999999999993</v>
          </cell>
          <cell r="I293" t="str">
            <v>R</v>
          </cell>
          <cell r="J293" t="str">
            <v>CHITIPA</v>
          </cell>
          <cell r="K293">
            <v>1</v>
          </cell>
        </row>
        <row r="294">
          <cell r="A294" t="str">
            <v>RS 473</v>
          </cell>
          <cell r="B294">
            <v>295</v>
          </cell>
          <cell r="C294" t="str">
            <v>N</v>
          </cell>
          <cell r="D294" t="str">
            <v>F</v>
          </cell>
          <cell r="E294" t="str">
            <v>Chitipa - Junction D6 &amp; D7</v>
          </cell>
          <cell r="F294" t="str">
            <v>D008</v>
          </cell>
          <cell r="G294">
            <v>1</v>
          </cell>
          <cell r="H294">
            <v>8.5</v>
          </cell>
          <cell r="I294" t="str">
            <v>F</v>
          </cell>
          <cell r="J294" t="str">
            <v>CHITIPA</v>
          </cell>
          <cell r="K294">
            <v>1</v>
          </cell>
        </row>
        <row r="295">
          <cell r="A295" t="str">
            <v>RS 474</v>
          </cell>
          <cell r="B295">
            <v>296</v>
          </cell>
          <cell r="C295" t="str">
            <v>N</v>
          </cell>
          <cell r="D295" t="str">
            <v>F</v>
          </cell>
          <cell r="E295" t="str">
            <v>junction M26 - S.E. Chinunkha</v>
          </cell>
          <cell r="F295" t="str">
            <v>D009</v>
          </cell>
          <cell r="G295">
            <v>1</v>
          </cell>
          <cell r="H295">
            <v>10.5</v>
          </cell>
          <cell r="I295" t="str">
            <v>H</v>
          </cell>
          <cell r="J295" t="str">
            <v>CHITIPA</v>
          </cell>
          <cell r="K295">
            <v>1</v>
          </cell>
        </row>
        <row r="296">
          <cell r="A296" t="str">
            <v>RS 475</v>
          </cell>
          <cell r="B296">
            <v>297</v>
          </cell>
          <cell r="C296" t="str">
            <v>N</v>
          </cell>
          <cell r="D296" t="str">
            <v>F</v>
          </cell>
          <cell r="E296" t="str">
            <v>Misuku South - Tanzania Border</v>
          </cell>
          <cell r="F296" t="str">
            <v>D010</v>
          </cell>
          <cell r="G296">
            <v>1</v>
          </cell>
          <cell r="H296">
            <v>11.1</v>
          </cell>
          <cell r="I296" t="str">
            <v>H</v>
          </cell>
          <cell r="J296" t="str">
            <v>CHITIPA</v>
          </cell>
          <cell r="K296">
            <v>1</v>
          </cell>
        </row>
        <row r="297">
          <cell r="A297" t="str">
            <v>RS 476</v>
          </cell>
          <cell r="B297">
            <v>298</v>
          </cell>
          <cell r="C297" t="str">
            <v>N</v>
          </cell>
          <cell r="D297" t="str">
            <v>F</v>
          </cell>
          <cell r="E297" t="str">
            <v>Sokora - Misuku</v>
          </cell>
          <cell r="F297" t="str">
            <v>D011</v>
          </cell>
          <cell r="G297">
            <v>1</v>
          </cell>
          <cell r="H297">
            <v>5.0999999999999996</v>
          </cell>
          <cell r="I297" t="str">
            <v>H</v>
          </cell>
          <cell r="J297" t="str">
            <v>CHITIPA</v>
          </cell>
          <cell r="K297">
            <v>1</v>
          </cell>
        </row>
        <row r="298">
          <cell r="A298" t="str">
            <v>RS 477</v>
          </cell>
          <cell r="B298">
            <v>299</v>
          </cell>
          <cell r="C298" t="str">
            <v>N</v>
          </cell>
          <cell r="D298" t="str">
            <v>F</v>
          </cell>
          <cell r="E298" t="str">
            <v>Mwakalomba - Songwe River</v>
          </cell>
          <cell r="F298" t="str">
            <v>D015</v>
          </cell>
          <cell r="G298">
            <v>1</v>
          </cell>
          <cell r="H298">
            <v>15.3</v>
          </cell>
          <cell r="I298" t="str">
            <v>H</v>
          </cell>
          <cell r="J298" t="str">
            <v>KARONGA</v>
          </cell>
          <cell r="K298">
            <v>1</v>
          </cell>
        </row>
        <row r="299">
          <cell r="A299" t="str">
            <v>RS 478</v>
          </cell>
          <cell r="B299">
            <v>300</v>
          </cell>
          <cell r="C299" t="str">
            <v>N</v>
          </cell>
          <cell r="D299" t="str">
            <v>F</v>
          </cell>
          <cell r="E299" t="str">
            <v>Kakoma - West of M1</v>
          </cell>
          <cell r="F299" t="str">
            <v>D020</v>
          </cell>
          <cell r="G299">
            <v>1</v>
          </cell>
          <cell r="H299">
            <v>11</v>
          </cell>
          <cell r="I299" t="str">
            <v>F</v>
          </cell>
          <cell r="J299" t="str">
            <v>KARONGA</v>
          </cell>
          <cell r="K299">
            <v>1</v>
          </cell>
        </row>
        <row r="300">
          <cell r="A300" t="str">
            <v>RS 479</v>
          </cell>
          <cell r="B300">
            <v>301</v>
          </cell>
          <cell r="C300" t="str">
            <v>N</v>
          </cell>
          <cell r="D300" t="str">
            <v>F</v>
          </cell>
          <cell r="E300" t="str">
            <v>Usaka loop - junction M1</v>
          </cell>
          <cell r="F300" t="str">
            <v>D021</v>
          </cell>
          <cell r="G300">
            <v>1</v>
          </cell>
          <cell r="H300">
            <v>17.5</v>
          </cell>
          <cell r="I300" t="str">
            <v>H</v>
          </cell>
          <cell r="J300" t="str">
            <v>KARONGA</v>
          </cell>
          <cell r="K300">
            <v>1</v>
          </cell>
        </row>
        <row r="301">
          <cell r="A301" t="str">
            <v>RS 480</v>
          </cell>
          <cell r="B301">
            <v>302</v>
          </cell>
          <cell r="C301" t="str">
            <v>N</v>
          </cell>
          <cell r="D301" t="str">
            <v>F</v>
          </cell>
          <cell r="E301" t="str">
            <v>Mwandwa - Mwandwa South</v>
          </cell>
          <cell r="F301" t="str">
            <v>D022</v>
          </cell>
          <cell r="G301">
            <v>1</v>
          </cell>
          <cell r="H301">
            <v>6.5</v>
          </cell>
          <cell r="I301" t="str">
            <v>F</v>
          </cell>
          <cell r="J301" t="str">
            <v>KARONGA</v>
          </cell>
          <cell r="K301">
            <v>1</v>
          </cell>
        </row>
        <row r="302">
          <cell r="A302" t="str">
            <v>RS 481</v>
          </cell>
          <cell r="B302">
            <v>303</v>
          </cell>
          <cell r="C302" t="str">
            <v>N</v>
          </cell>
          <cell r="D302" t="str">
            <v>F</v>
          </cell>
          <cell r="E302" t="str">
            <v>Mlali - Mwambelo Village</v>
          </cell>
          <cell r="F302" t="str">
            <v>D023</v>
          </cell>
          <cell r="G302">
            <v>1</v>
          </cell>
          <cell r="H302">
            <v>2.5</v>
          </cell>
          <cell r="I302" t="str">
            <v>F</v>
          </cell>
          <cell r="J302" t="str">
            <v>KARONGA</v>
          </cell>
          <cell r="K302">
            <v>2</v>
          </cell>
        </row>
        <row r="303">
          <cell r="A303" t="str">
            <v>RS 482</v>
          </cell>
          <cell r="B303">
            <v>304</v>
          </cell>
          <cell r="C303" t="str">
            <v>N</v>
          </cell>
          <cell r="D303" t="str">
            <v>F</v>
          </cell>
          <cell r="E303" t="str">
            <v>Nyungwe - Thawilo</v>
          </cell>
          <cell r="F303" t="str">
            <v>D024</v>
          </cell>
          <cell r="G303">
            <v>1</v>
          </cell>
          <cell r="H303">
            <v>6.1</v>
          </cell>
          <cell r="I303" t="str">
            <v>F</v>
          </cell>
          <cell r="J303" t="str">
            <v>KARONGA</v>
          </cell>
          <cell r="K303">
            <v>2</v>
          </cell>
        </row>
        <row r="304">
          <cell r="A304" t="str">
            <v>RS 483</v>
          </cell>
          <cell r="B304">
            <v>305</v>
          </cell>
          <cell r="C304" t="str">
            <v>N</v>
          </cell>
          <cell r="D304" t="str">
            <v>F</v>
          </cell>
          <cell r="E304" t="str">
            <v>Wovwe - Wovwe Scheme</v>
          </cell>
          <cell r="F304" t="str">
            <v>D025</v>
          </cell>
          <cell r="G304">
            <v>1</v>
          </cell>
          <cell r="H304">
            <v>2.5</v>
          </cell>
          <cell r="I304" t="str">
            <v>F</v>
          </cell>
          <cell r="J304" t="str">
            <v>KARONGA</v>
          </cell>
          <cell r="K304">
            <v>2</v>
          </cell>
        </row>
        <row r="305">
          <cell r="A305" t="str">
            <v>RS 484</v>
          </cell>
          <cell r="B305">
            <v>306</v>
          </cell>
          <cell r="C305" t="str">
            <v>N</v>
          </cell>
          <cell r="D305" t="str">
            <v>F</v>
          </cell>
          <cell r="E305" t="str">
            <v>Hara - Bundi</v>
          </cell>
          <cell r="F305" t="str">
            <v>D026</v>
          </cell>
          <cell r="G305">
            <v>1</v>
          </cell>
          <cell r="H305">
            <v>2.6</v>
          </cell>
          <cell r="I305" t="str">
            <v>F</v>
          </cell>
          <cell r="J305" t="str">
            <v>KARONGA</v>
          </cell>
          <cell r="K305">
            <v>2</v>
          </cell>
        </row>
        <row r="306">
          <cell r="A306" t="str">
            <v>RS 485</v>
          </cell>
          <cell r="B306">
            <v>307</v>
          </cell>
          <cell r="C306" t="str">
            <v>N</v>
          </cell>
          <cell r="D306" t="str">
            <v>F</v>
          </cell>
          <cell r="E306" t="str">
            <v>Lura - Mchenga</v>
          </cell>
          <cell r="F306" t="str">
            <v>D030</v>
          </cell>
          <cell r="G306">
            <v>1</v>
          </cell>
          <cell r="H306">
            <v>11.2</v>
          </cell>
          <cell r="I306" t="str">
            <v>R</v>
          </cell>
          <cell r="J306" t="str">
            <v>RUMPHI</v>
          </cell>
          <cell r="K306">
            <v>2</v>
          </cell>
        </row>
        <row r="307">
          <cell r="A307" t="str">
            <v>RS 486</v>
          </cell>
          <cell r="B307">
            <v>308</v>
          </cell>
          <cell r="C307" t="str">
            <v>N</v>
          </cell>
          <cell r="D307" t="str">
            <v>F</v>
          </cell>
          <cell r="E307" t="str">
            <v>South Lura - West T305</v>
          </cell>
          <cell r="F307" t="str">
            <v>D031</v>
          </cell>
          <cell r="G307">
            <v>1</v>
          </cell>
          <cell r="H307">
            <v>3.1</v>
          </cell>
          <cell r="I307" t="str">
            <v>R</v>
          </cell>
          <cell r="J307" t="str">
            <v>RUMPHI</v>
          </cell>
          <cell r="K307">
            <v>2</v>
          </cell>
        </row>
        <row r="308">
          <cell r="A308" t="str">
            <v>RS 487</v>
          </cell>
          <cell r="B308">
            <v>309</v>
          </cell>
          <cell r="C308" t="str">
            <v>N</v>
          </cell>
          <cell r="D308" t="str">
            <v>F</v>
          </cell>
          <cell r="E308" t="str">
            <v>Hewe - Chisimuka</v>
          </cell>
          <cell r="F308" t="str">
            <v>D032</v>
          </cell>
          <cell r="G308">
            <v>1</v>
          </cell>
          <cell r="H308">
            <v>7.1</v>
          </cell>
          <cell r="I308" t="str">
            <v>R</v>
          </cell>
          <cell r="J308" t="str">
            <v>RUMPHI</v>
          </cell>
          <cell r="K308">
            <v>2</v>
          </cell>
        </row>
        <row r="309">
          <cell r="A309" t="str">
            <v>RS 488</v>
          </cell>
          <cell r="B309">
            <v>310</v>
          </cell>
          <cell r="C309" t="str">
            <v>N</v>
          </cell>
          <cell r="D309" t="str">
            <v>F</v>
          </cell>
          <cell r="E309" t="str">
            <v>Katowo - South West Katowo</v>
          </cell>
          <cell r="F309" t="str">
            <v>D033</v>
          </cell>
          <cell r="G309">
            <v>1</v>
          </cell>
          <cell r="H309">
            <v>6.5</v>
          </cell>
          <cell r="I309" t="str">
            <v>R</v>
          </cell>
          <cell r="J309" t="str">
            <v>RUMPHI</v>
          </cell>
          <cell r="K309">
            <v>2</v>
          </cell>
        </row>
        <row r="310">
          <cell r="A310" t="str">
            <v>RS 489</v>
          </cell>
          <cell r="B310">
            <v>311</v>
          </cell>
          <cell r="C310" t="str">
            <v>N</v>
          </cell>
          <cell r="D310" t="str">
            <v>F</v>
          </cell>
          <cell r="E310" t="str">
            <v>Katowo - East Katowo</v>
          </cell>
          <cell r="F310" t="str">
            <v>D034</v>
          </cell>
          <cell r="G310">
            <v>1</v>
          </cell>
          <cell r="H310">
            <v>2.8</v>
          </cell>
          <cell r="I310" t="str">
            <v>R</v>
          </cell>
          <cell r="J310" t="str">
            <v>RUMPHI</v>
          </cell>
          <cell r="K310">
            <v>2</v>
          </cell>
        </row>
        <row r="311">
          <cell r="A311" t="str">
            <v>RS 490</v>
          </cell>
          <cell r="B311">
            <v>312</v>
          </cell>
          <cell r="C311" t="str">
            <v>N</v>
          </cell>
          <cell r="D311" t="str">
            <v>F</v>
          </cell>
          <cell r="E311" t="str">
            <v>South Katowo - West S104</v>
          </cell>
          <cell r="F311" t="str">
            <v>D035</v>
          </cell>
          <cell r="G311">
            <v>1</v>
          </cell>
          <cell r="H311">
            <v>7.2</v>
          </cell>
          <cell r="I311" t="str">
            <v>F</v>
          </cell>
          <cell r="J311" t="str">
            <v>MZIMBA</v>
          </cell>
          <cell r="K311">
            <v>3</v>
          </cell>
        </row>
        <row r="312">
          <cell r="A312" t="str">
            <v>RS 491</v>
          </cell>
          <cell r="B312">
            <v>313</v>
          </cell>
          <cell r="C312" t="str">
            <v>N</v>
          </cell>
          <cell r="D312" t="str">
            <v>F</v>
          </cell>
          <cell r="E312" t="str">
            <v>South East Bembe - Chikwawa East</v>
          </cell>
          <cell r="F312" t="str">
            <v>D036</v>
          </cell>
          <cell r="G312">
            <v>1</v>
          </cell>
          <cell r="H312">
            <v>13.4</v>
          </cell>
          <cell r="I312" t="str">
            <v>F</v>
          </cell>
          <cell r="J312" t="str">
            <v>RUMPHI</v>
          </cell>
          <cell r="K312">
            <v>3</v>
          </cell>
        </row>
        <row r="313">
          <cell r="A313" t="str">
            <v>RS 492</v>
          </cell>
          <cell r="B313">
            <v>314</v>
          </cell>
          <cell r="C313" t="str">
            <v>N</v>
          </cell>
          <cell r="D313" t="str">
            <v>F</v>
          </cell>
          <cell r="E313" t="str">
            <v>North Bolero - Junction M9</v>
          </cell>
          <cell r="F313" t="str">
            <v>D037</v>
          </cell>
          <cell r="G313">
            <v>1</v>
          </cell>
          <cell r="H313">
            <v>12.2</v>
          </cell>
          <cell r="I313" t="str">
            <v>R</v>
          </cell>
          <cell r="J313" t="str">
            <v>RUMPHI</v>
          </cell>
          <cell r="K313">
            <v>3</v>
          </cell>
        </row>
        <row r="314">
          <cell r="A314" t="str">
            <v>RS 493</v>
          </cell>
          <cell r="B314">
            <v>315</v>
          </cell>
          <cell r="C314" t="str">
            <v>N</v>
          </cell>
          <cell r="D314" t="str">
            <v>F</v>
          </cell>
          <cell r="E314" t="str">
            <v>North West Bolero - North East Bolero</v>
          </cell>
          <cell r="F314" t="str">
            <v>D038</v>
          </cell>
          <cell r="G314">
            <v>1</v>
          </cell>
          <cell r="H314">
            <v>9.8000000000000007</v>
          </cell>
          <cell r="I314" t="str">
            <v>F</v>
          </cell>
          <cell r="J314" t="str">
            <v>RUMPHI</v>
          </cell>
          <cell r="K314">
            <v>3</v>
          </cell>
        </row>
        <row r="315">
          <cell r="A315" t="str">
            <v>RS 494</v>
          </cell>
          <cell r="B315">
            <v>316</v>
          </cell>
          <cell r="C315" t="str">
            <v>N</v>
          </cell>
          <cell r="D315" t="str">
            <v>F</v>
          </cell>
          <cell r="E315" t="str">
            <v>Kawalazi - Junction M5</v>
          </cell>
          <cell r="F315" t="str">
            <v>D044</v>
          </cell>
          <cell r="G315">
            <v>1</v>
          </cell>
          <cell r="H315">
            <v>16.399999999999999</v>
          </cell>
          <cell r="I315" t="str">
            <v>F</v>
          </cell>
          <cell r="J315" t="str">
            <v>NKHATA BAY</v>
          </cell>
          <cell r="K315">
            <v>3</v>
          </cell>
        </row>
        <row r="316">
          <cell r="A316" t="str">
            <v>RS 495</v>
          </cell>
          <cell r="B316">
            <v>317</v>
          </cell>
          <cell r="C316" t="str">
            <v>N</v>
          </cell>
          <cell r="D316" t="str">
            <v>F</v>
          </cell>
          <cell r="E316" t="str">
            <v>Chintheche - Mugondi</v>
          </cell>
          <cell r="F316" t="str">
            <v>D045</v>
          </cell>
          <cell r="G316">
            <v>1</v>
          </cell>
          <cell r="H316">
            <v>5.3</v>
          </cell>
          <cell r="I316" t="str">
            <v>R</v>
          </cell>
          <cell r="J316" t="str">
            <v>NKHATA BAY</v>
          </cell>
          <cell r="K316">
            <v>4</v>
          </cell>
        </row>
        <row r="317">
          <cell r="A317" t="str">
            <v>RS 496</v>
          </cell>
          <cell r="B317">
            <v>318</v>
          </cell>
          <cell r="C317" t="str">
            <v>N</v>
          </cell>
          <cell r="D317" t="str">
            <v>F</v>
          </cell>
          <cell r="E317" t="str">
            <v>Kamwe - Vongo</v>
          </cell>
          <cell r="F317" t="str">
            <v>D050</v>
          </cell>
          <cell r="G317">
            <v>1</v>
          </cell>
          <cell r="H317">
            <v>12</v>
          </cell>
          <cell r="I317" t="str">
            <v>R</v>
          </cell>
          <cell r="J317" t="str">
            <v>RUMPHI</v>
          </cell>
          <cell r="K317">
            <v>3</v>
          </cell>
        </row>
        <row r="318">
          <cell r="A318" t="str">
            <v>RS 497</v>
          </cell>
          <cell r="B318">
            <v>319</v>
          </cell>
          <cell r="C318" t="str">
            <v>N</v>
          </cell>
          <cell r="D318" t="str">
            <v>F</v>
          </cell>
          <cell r="E318" t="str">
            <v>Chankhalamu - Chiwotcha</v>
          </cell>
          <cell r="F318" t="str">
            <v>D051</v>
          </cell>
          <cell r="G318">
            <v>1</v>
          </cell>
          <cell r="H318">
            <v>14</v>
          </cell>
          <cell r="I318" t="str">
            <v>F</v>
          </cell>
          <cell r="J318" t="str">
            <v>MZIMBA</v>
          </cell>
          <cell r="K318">
            <v>3</v>
          </cell>
        </row>
        <row r="319">
          <cell r="A319" t="str">
            <v>RS 498</v>
          </cell>
          <cell r="B319">
            <v>320</v>
          </cell>
          <cell r="C319" t="str">
            <v>N</v>
          </cell>
          <cell r="D319" t="str">
            <v>F</v>
          </cell>
          <cell r="E319" t="str">
            <v>Ngoma - Junction M9</v>
          </cell>
          <cell r="F319" t="str">
            <v>D052</v>
          </cell>
          <cell r="G319">
            <v>1</v>
          </cell>
          <cell r="H319">
            <v>9</v>
          </cell>
          <cell r="I319" t="str">
            <v>F</v>
          </cell>
          <cell r="J319" t="str">
            <v>MZIMBA</v>
          </cell>
          <cell r="K319">
            <v>3</v>
          </cell>
        </row>
        <row r="320">
          <cell r="A320" t="str">
            <v>RS 499</v>
          </cell>
          <cell r="B320">
            <v>321</v>
          </cell>
          <cell r="C320" t="str">
            <v>N</v>
          </cell>
          <cell r="D320" t="str">
            <v>F</v>
          </cell>
          <cell r="E320" t="str">
            <v>Ezweleri School - Junction S107</v>
          </cell>
          <cell r="F320" t="str">
            <v>D053</v>
          </cell>
          <cell r="G320">
            <v>1</v>
          </cell>
          <cell r="H320">
            <v>6.1</v>
          </cell>
          <cell r="I320" t="str">
            <v>F</v>
          </cell>
          <cell r="J320" t="str">
            <v>MZIMBA</v>
          </cell>
          <cell r="K320">
            <v>3</v>
          </cell>
        </row>
        <row r="321">
          <cell r="A321" t="str">
            <v>RS 500</v>
          </cell>
          <cell r="B321">
            <v>322</v>
          </cell>
          <cell r="C321" t="str">
            <v>N</v>
          </cell>
          <cell r="D321" t="str">
            <v>F</v>
          </cell>
          <cell r="E321" t="str">
            <v>Emvuyeni - North Emvuyeni</v>
          </cell>
          <cell r="F321" t="str">
            <v>D054</v>
          </cell>
          <cell r="G321">
            <v>1</v>
          </cell>
          <cell r="H321">
            <v>4.3</v>
          </cell>
          <cell r="I321" t="str">
            <v>F</v>
          </cell>
          <cell r="J321" t="str">
            <v>MZIMBA</v>
          </cell>
          <cell r="K321">
            <v>3</v>
          </cell>
        </row>
        <row r="322">
          <cell r="A322" t="str">
            <v>RS 501</v>
          </cell>
          <cell r="B322">
            <v>323</v>
          </cell>
          <cell r="C322" t="str">
            <v>N</v>
          </cell>
          <cell r="D322" t="str">
            <v>F</v>
          </cell>
          <cell r="E322" t="str">
            <v>Mzambazi - Junction S106</v>
          </cell>
          <cell r="F322" t="str">
            <v>D055</v>
          </cell>
          <cell r="G322">
            <v>1</v>
          </cell>
          <cell r="H322">
            <v>6.5</v>
          </cell>
          <cell r="I322" t="str">
            <v>F</v>
          </cell>
          <cell r="J322" t="str">
            <v>MZIMBA</v>
          </cell>
          <cell r="K322">
            <v>3</v>
          </cell>
        </row>
        <row r="323">
          <cell r="A323" t="str">
            <v>RS 502</v>
          </cell>
          <cell r="B323">
            <v>324</v>
          </cell>
          <cell r="C323" t="str">
            <v>N</v>
          </cell>
          <cell r="D323" t="str">
            <v>F</v>
          </cell>
          <cell r="E323" t="str">
            <v>Mtwalo - Junction D057</v>
          </cell>
          <cell r="F323" t="str">
            <v>D056</v>
          </cell>
          <cell r="G323">
            <v>1</v>
          </cell>
          <cell r="H323">
            <v>15</v>
          </cell>
          <cell r="I323" t="str">
            <v>F</v>
          </cell>
          <cell r="J323" t="str">
            <v>MZIMBA</v>
          </cell>
          <cell r="K323">
            <v>3</v>
          </cell>
        </row>
        <row r="324">
          <cell r="A324" t="str">
            <v>RS 503</v>
          </cell>
          <cell r="B324">
            <v>325</v>
          </cell>
          <cell r="C324" t="str">
            <v>N</v>
          </cell>
          <cell r="D324" t="str">
            <v>F</v>
          </cell>
          <cell r="E324" t="str">
            <v>Tione Bar - Njuyu School</v>
          </cell>
          <cell r="F324" t="str">
            <v>D057</v>
          </cell>
          <cell r="G324">
            <v>1</v>
          </cell>
          <cell r="H324">
            <v>10.5</v>
          </cell>
          <cell r="I324" t="str">
            <v>R</v>
          </cell>
          <cell r="J324" t="str">
            <v>MZIMBA</v>
          </cell>
          <cell r="K324">
            <v>3</v>
          </cell>
        </row>
        <row r="325">
          <cell r="A325" t="str">
            <v>RS 504</v>
          </cell>
          <cell r="B325">
            <v>326</v>
          </cell>
          <cell r="C325" t="str">
            <v>N</v>
          </cell>
          <cell r="D325" t="str">
            <v>F</v>
          </cell>
          <cell r="E325" t="str">
            <v>Chisengeze - Junction T313</v>
          </cell>
          <cell r="F325" t="str">
            <v>D058</v>
          </cell>
          <cell r="G325">
            <v>1</v>
          </cell>
          <cell r="H325">
            <v>12.6</v>
          </cell>
          <cell r="I325" t="str">
            <v>R</v>
          </cell>
          <cell r="J325" t="str">
            <v>MZIMBA</v>
          </cell>
          <cell r="K325">
            <v>3</v>
          </cell>
        </row>
        <row r="326">
          <cell r="A326" t="str">
            <v>RS 505</v>
          </cell>
          <cell r="B326">
            <v>327</v>
          </cell>
          <cell r="C326" t="str">
            <v>N</v>
          </cell>
          <cell r="D326" t="str">
            <v>F</v>
          </cell>
          <cell r="E326" t="str">
            <v>Mzalangwe - Junction T313</v>
          </cell>
          <cell r="F326" t="str">
            <v>D059</v>
          </cell>
          <cell r="G326">
            <v>1</v>
          </cell>
          <cell r="H326">
            <v>15.9</v>
          </cell>
          <cell r="I326" t="str">
            <v>F</v>
          </cell>
          <cell r="J326" t="str">
            <v>MZIMBA</v>
          </cell>
          <cell r="K326">
            <v>3</v>
          </cell>
        </row>
        <row r="327">
          <cell r="A327" t="str">
            <v>RS 506</v>
          </cell>
          <cell r="B327">
            <v>328</v>
          </cell>
          <cell r="C327" t="str">
            <v>N</v>
          </cell>
          <cell r="D327" t="str">
            <v>F</v>
          </cell>
          <cell r="E327" t="str">
            <v>Lunjika - Junction S107</v>
          </cell>
          <cell r="F327" t="str">
            <v>D060</v>
          </cell>
          <cell r="G327">
            <v>1</v>
          </cell>
          <cell r="H327">
            <v>4.8</v>
          </cell>
          <cell r="I327" t="str">
            <v>F</v>
          </cell>
          <cell r="J327" t="str">
            <v>MZIMBA</v>
          </cell>
          <cell r="K327">
            <v>3</v>
          </cell>
        </row>
        <row r="328">
          <cell r="A328" t="str">
            <v>RS 507</v>
          </cell>
          <cell r="B328">
            <v>329</v>
          </cell>
          <cell r="C328" t="str">
            <v>N</v>
          </cell>
          <cell r="D328" t="str">
            <v>F</v>
          </cell>
          <cell r="E328" t="str">
            <v>Chakazi - Ngomiya</v>
          </cell>
          <cell r="F328" t="str">
            <v>D061</v>
          </cell>
          <cell r="G328">
            <v>1</v>
          </cell>
          <cell r="H328">
            <v>10.199999999999999</v>
          </cell>
          <cell r="I328" t="str">
            <v>F</v>
          </cell>
          <cell r="J328" t="str">
            <v>MZIMBA</v>
          </cell>
          <cell r="K328">
            <v>3</v>
          </cell>
        </row>
        <row r="329">
          <cell r="A329" t="str">
            <v>RS 508</v>
          </cell>
          <cell r="B329">
            <v>330</v>
          </cell>
          <cell r="C329" t="str">
            <v>N</v>
          </cell>
          <cell r="D329" t="str">
            <v>F</v>
          </cell>
          <cell r="E329" t="str">
            <v>Mbawa - Junction M20</v>
          </cell>
          <cell r="F329" t="str">
            <v>D064</v>
          </cell>
          <cell r="G329">
            <v>1</v>
          </cell>
          <cell r="H329">
            <v>5.2</v>
          </cell>
          <cell r="I329" t="str">
            <v>F</v>
          </cell>
          <cell r="J329" t="str">
            <v>MZIMBA</v>
          </cell>
          <cell r="K329">
            <v>4</v>
          </cell>
        </row>
        <row r="330">
          <cell r="A330" t="str">
            <v>RS 509</v>
          </cell>
          <cell r="B330">
            <v>331</v>
          </cell>
          <cell r="C330" t="str">
            <v>N</v>
          </cell>
          <cell r="D330" t="str">
            <v>F</v>
          </cell>
          <cell r="E330" t="str">
            <v>Ehleni - Hoho</v>
          </cell>
          <cell r="F330" t="str">
            <v>D065</v>
          </cell>
          <cell r="G330">
            <v>1</v>
          </cell>
          <cell r="H330">
            <v>8.4</v>
          </cell>
          <cell r="I330" t="str">
            <v>F</v>
          </cell>
          <cell r="J330" t="str">
            <v>MZIMBA</v>
          </cell>
          <cell r="K330">
            <v>4</v>
          </cell>
        </row>
        <row r="331">
          <cell r="A331" t="str">
            <v>RS 510</v>
          </cell>
          <cell r="B331">
            <v>332</v>
          </cell>
          <cell r="C331" t="str">
            <v>N</v>
          </cell>
          <cell r="D331" t="str">
            <v>F</v>
          </cell>
          <cell r="E331" t="str">
            <v>Hoho - Hoho School</v>
          </cell>
          <cell r="F331" t="str">
            <v>D066</v>
          </cell>
          <cell r="G331">
            <v>1</v>
          </cell>
          <cell r="H331">
            <v>5.9</v>
          </cell>
          <cell r="I331" t="str">
            <v>F</v>
          </cell>
          <cell r="J331" t="str">
            <v>MZIMBA</v>
          </cell>
          <cell r="K331">
            <v>4</v>
          </cell>
        </row>
        <row r="332">
          <cell r="A332" t="str">
            <v>RS 511</v>
          </cell>
          <cell r="B332">
            <v>333</v>
          </cell>
          <cell r="C332" t="str">
            <v>N</v>
          </cell>
          <cell r="D332" t="str">
            <v>F</v>
          </cell>
          <cell r="E332" t="str">
            <v>Msesa School - Junction D68</v>
          </cell>
          <cell r="F332" t="str">
            <v>D067</v>
          </cell>
          <cell r="G332">
            <v>1</v>
          </cell>
          <cell r="H332">
            <v>6.1</v>
          </cell>
          <cell r="I332" t="str">
            <v>F</v>
          </cell>
          <cell r="J332" t="str">
            <v>MZIMBA</v>
          </cell>
          <cell r="K332">
            <v>4</v>
          </cell>
        </row>
        <row r="333">
          <cell r="A333" t="str">
            <v>RS 512</v>
          </cell>
          <cell r="B333">
            <v>334</v>
          </cell>
          <cell r="C333" t="str">
            <v>N</v>
          </cell>
          <cell r="D333" t="str">
            <v>F</v>
          </cell>
          <cell r="E333" t="str">
            <v>Chizani - Junction D74</v>
          </cell>
          <cell r="F333" t="str">
            <v>D068</v>
          </cell>
          <cell r="G333">
            <v>1</v>
          </cell>
          <cell r="H333">
            <v>18.8</v>
          </cell>
          <cell r="I333" t="str">
            <v>F</v>
          </cell>
          <cell r="J333" t="str">
            <v>MZIMBA</v>
          </cell>
          <cell r="K333">
            <v>4</v>
          </cell>
        </row>
        <row r="334">
          <cell r="A334" t="str">
            <v>RS 513</v>
          </cell>
          <cell r="B334">
            <v>335</v>
          </cell>
          <cell r="C334" t="str">
            <v>N</v>
          </cell>
          <cell r="D334" t="str">
            <v>F</v>
          </cell>
          <cell r="E334" t="str">
            <v>Nyoni - Kapita School</v>
          </cell>
          <cell r="F334" t="str">
            <v>D069</v>
          </cell>
          <cell r="G334">
            <v>1</v>
          </cell>
          <cell r="H334">
            <v>6.5</v>
          </cell>
          <cell r="I334" t="str">
            <v>R</v>
          </cell>
          <cell r="J334" t="str">
            <v>MZIMBA</v>
          </cell>
          <cell r="K334">
            <v>4</v>
          </cell>
        </row>
        <row r="335">
          <cell r="A335" t="str">
            <v>RS 514</v>
          </cell>
          <cell r="B335">
            <v>336</v>
          </cell>
          <cell r="C335" t="str">
            <v>N</v>
          </cell>
          <cell r="D335" t="str">
            <v>F</v>
          </cell>
          <cell r="E335" t="str">
            <v>Kanika - Luwelezi School</v>
          </cell>
          <cell r="F335" t="str">
            <v>D070</v>
          </cell>
          <cell r="G335">
            <v>1</v>
          </cell>
          <cell r="H335">
            <v>13.5</v>
          </cell>
          <cell r="I335" t="str">
            <v>F</v>
          </cell>
          <cell r="J335" t="str">
            <v>MZIMBA</v>
          </cell>
          <cell r="K335">
            <v>4</v>
          </cell>
        </row>
        <row r="336">
          <cell r="A336" t="str">
            <v>RS 515</v>
          </cell>
          <cell r="B336">
            <v>337</v>
          </cell>
          <cell r="C336" t="str">
            <v>N</v>
          </cell>
          <cell r="D336" t="str">
            <v>F</v>
          </cell>
          <cell r="E336" t="str">
            <v>Chiwandauka - Kanjuchi School</v>
          </cell>
          <cell r="F336" t="str">
            <v>D071</v>
          </cell>
          <cell r="G336">
            <v>1</v>
          </cell>
          <cell r="H336">
            <v>8.6</v>
          </cell>
          <cell r="I336" t="str">
            <v>R</v>
          </cell>
          <cell r="J336" t="str">
            <v>MZIMBA</v>
          </cell>
          <cell r="K336">
            <v>4</v>
          </cell>
        </row>
        <row r="337">
          <cell r="A337" t="str">
            <v>RS 516</v>
          </cell>
          <cell r="B337">
            <v>338</v>
          </cell>
          <cell r="C337" t="str">
            <v>N</v>
          </cell>
          <cell r="D337" t="str">
            <v>F</v>
          </cell>
          <cell r="E337" t="str">
            <v>Jenda - Jenda East</v>
          </cell>
          <cell r="F337" t="str">
            <v>D072</v>
          </cell>
          <cell r="G337">
            <v>1</v>
          </cell>
          <cell r="H337">
            <v>4.3</v>
          </cell>
          <cell r="I337" t="str">
            <v>F</v>
          </cell>
          <cell r="J337" t="str">
            <v>MZIMBA</v>
          </cell>
          <cell r="K337">
            <v>4</v>
          </cell>
        </row>
        <row r="338">
          <cell r="A338" t="str">
            <v>RS 517</v>
          </cell>
          <cell r="B338">
            <v>339</v>
          </cell>
          <cell r="C338" t="str">
            <v>N</v>
          </cell>
          <cell r="D338" t="str">
            <v>F</v>
          </cell>
          <cell r="E338" t="str">
            <v>South Luwawa - North Zawa</v>
          </cell>
          <cell r="F338" t="str">
            <v>D073</v>
          </cell>
          <cell r="G338">
            <v>1</v>
          </cell>
          <cell r="H338">
            <v>11.2</v>
          </cell>
          <cell r="I338" t="str">
            <v>R</v>
          </cell>
          <cell r="J338" t="str">
            <v>MZIMBA</v>
          </cell>
          <cell r="K338">
            <v>4</v>
          </cell>
        </row>
        <row r="339">
          <cell r="A339" t="str">
            <v>RS 518</v>
          </cell>
          <cell r="B339">
            <v>340</v>
          </cell>
          <cell r="C339" t="str">
            <v>N</v>
          </cell>
          <cell r="D339" t="str">
            <v>F</v>
          </cell>
          <cell r="E339" t="str">
            <v>Hoho - Junctio M1 South</v>
          </cell>
          <cell r="F339" t="str">
            <v>D074</v>
          </cell>
          <cell r="G339">
            <v>1</v>
          </cell>
          <cell r="H339">
            <v>8.9</v>
          </cell>
          <cell r="I339" t="str">
            <v>R</v>
          </cell>
          <cell r="J339" t="str">
            <v>MZIMBA</v>
          </cell>
          <cell r="K339">
            <v>4</v>
          </cell>
        </row>
        <row r="340">
          <cell r="A340" t="str">
            <v>RS 227</v>
          </cell>
          <cell r="B340">
            <v>49</v>
          </cell>
          <cell r="C340" t="str">
            <v>C</v>
          </cell>
          <cell r="D340" t="str">
            <v>F</v>
          </cell>
          <cell r="E340" t="str">
            <v>Chimaliro Forest Camp - Kakwale River</v>
          </cell>
          <cell r="F340" t="str">
            <v>D076</v>
          </cell>
          <cell r="G340">
            <v>1</v>
          </cell>
          <cell r="H340">
            <v>5</v>
          </cell>
          <cell r="I340" t="str">
            <v>F</v>
          </cell>
          <cell r="J340" t="str">
            <v>KASUNGU</v>
          </cell>
          <cell r="K340">
            <v>4</v>
          </cell>
          <cell r="L340" t="str">
            <v>Changed designation from S133 to D76 &amp; trunk to feeder</v>
          </cell>
        </row>
        <row r="341">
          <cell r="A341" t="str">
            <v>RS 658</v>
          </cell>
          <cell r="B341">
            <v>480</v>
          </cell>
          <cell r="C341" t="str">
            <v>C</v>
          </cell>
          <cell r="D341" t="str">
            <v>F</v>
          </cell>
          <cell r="E341" t="str">
            <v>Likuni - Chankhandwe</v>
          </cell>
          <cell r="F341" t="str">
            <v>D194</v>
          </cell>
          <cell r="G341">
            <v>1</v>
          </cell>
          <cell r="H341">
            <v>5.2</v>
          </cell>
          <cell r="I341" t="str">
            <v>F</v>
          </cell>
          <cell r="J341" t="str">
            <v>LILONGWE</v>
          </cell>
          <cell r="K341">
            <v>6</v>
          </cell>
          <cell r="L341" t="str">
            <v>Changed designation from S133 to D76 &amp; trunk to feeder</v>
          </cell>
        </row>
        <row r="342">
          <cell r="A342" t="str">
            <v>RS 660</v>
          </cell>
          <cell r="B342">
            <v>482</v>
          </cell>
          <cell r="C342" t="str">
            <v>C</v>
          </cell>
          <cell r="D342" t="str">
            <v>F</v>
          </cell>
          <cell r="E342" t="str">
            <v>Dzalanyama - Malingunde</v>
          </cell>
          <cell r="F342" t="str">
            <v>D197</v>
          </cell>
          <cell r="G342">
            <v>1</v>
          </cell>
          <cell r="H342">
            <v>32</v>
          </cell>
          <cell r="I342" t="str">
            <v>F</v>
          </cell>
          <cell r="J342" t="str">
            <v>LILONGWE</v>
          </cell>
          <cell r="K342">
            <v>6</v>
          </cell>
        </row>
        <row r="343">
          <cell r="A343" t="str">
            <v>RS 799</v>
          </cell>
          <cell r="B343">
            <v>621</v>
          </cell>
          <cell r="C343" t="str">
            <v>S</v>
          </cell>
          <cell r="D343" t="str">
            <v>F</v>
          </cell>
          <cell r="E343" t="str">
            <v>UD/Y - Itunji</v>
          </cell>
          <cell r="F343" t="str">
            <v>D256</v>
          </cell>
          <cell r="G343">
            <v>1</v>
          </cell>
          <cell r="H343">
            <v>11.9</v>
          </cell>
          <cell r="I343" t="str">
            <v>R</v>
          </cell>
          <cell r="J343" t="str">
            <v>MANGOCHI</v>
          </cell>
          <cell r="K343">
            <v>7</v>
          </cell>
        </row>
        <row r="344">
          <cell r="A344" t="str">
            <v>RS 832</v>
          </cell>
          <cell r="B344">
            <v>654</v>
          </cell>
          <cell r="C344" t="str">
            <v>S</v>
          </cell>
          <cell r="D344" t="str">
            <v>F</v>
          </cell>
          <cell r="E344" t="str">
            <v>junction S129 - junction T400</v>
          </cell>
          <cell r="F344" t="str">
            <v>D286</v>
          </cell>
          <cell r="G344">
            <v>1</v>
          </cell>
          <cell r="H344">
            <v>9</v>
          </cell>
          <cell r="I344" t="str">
            <v>FL</v>
          </cell>
          <cell r="J344" t="str">
            <v>ZOMBA</v>
          </cell>
          <cell r="K344">
            <v>8</v>
          </cell>
          <cell r="L344" t="str">
            <v>Changed designation from UD/J to D286</v>
          </cell>
        </row>
        <row r="345">
          <cell r="A345" t="str">
            <v>RS 801</v>
          </cell>
          <cell r="B345">
            <v>623</v>
          </cell>
          <cell r="C345" t="str">
            <v>S</v>
          </cell>
          <cell r="D345" t="str">
            <v>F</v>
          </cell>
          <cell r="E345" t="str">
            <v>North Jokala - Lake Chilwa</v>
          </cell>
          <cell r="F345" t="str">
            <v>D293</v>
          </cell>
          <cell r="G345">
            <v>1</v>
          </cell>
          <cell r="H345">
            <v>32</v>
          </cell>
          <cell r="I345" t="str">
            <v>F</v>
          </cell>
          <cell r="J345" t="str">
            <v>ZOMBA</v>
          </cell>
          <cell r="K345">
            <v>8</v>
          </cell>
          <cell r="L345" t="str">
            <v>Changed designation from UD/J to D286</v>
          </cell>
        </row>
        <row r="346">
          <cell r="A346" t="str">
            <v>RS 802</v>
          </cell>
          <cell r="B346">
            <v>624</v>
          </cell>
          <cell r="C346" t="str">
            <v>S</v>
          </cell>
          <cell r="D346" t="str">
            <v>F</v>
          </cell>
          <cell r="E346" t="str">
            <v>Utwe River - junction S144</v>
          </cell>
          <cell r="F346" t="str">
            <v>D302</v>
          </cell>
          <cell r="G346">
            <v>1</v>
          </cell>
          <cell r="H346">
            <v>18.600000000000001</v>
          </cell>
          <cell r="I346" t="str">
            <v>F</v>
          </cell>
          <cell r="J346" t="str">
            <v>ZOMBA</v>
          </cell>
          <cell r="K346">
            <v>9</v>
          </cell>
        </row>
        <row r="347">
          <cell r="A347" t="str">
            <v>RS 803</v>
          </cell>
          <cell r="B347">
            <v>625</v>
          </cell>
          <cell r="C347" t="str">
            <v>S</v>
          </cell>
          <cell r="D347" t="str">
            <v>F</v>
          </cell>
          <cell r="E347" t="str">
            <v>Lisungwi River - junction D314</v>
          </cell>
          <cell r="F347" t="str">
            <v>D313</v>
          </cell>
          <cell r="G347">
            <v>1</v>
          </cell>
          <cell r="H347">
            <v>12.6</v>
          </cell>
          <cell r="I347" t="str">
            <v>F</v>
          </cell>
          <cell r="J347" t="str">
            <v>MWANZA</v>
          </cell>
          <cell r="K347">
            <v>9</v>
          </cell>
        </row>
        <row r="348">
          <cell r="A348" t="str">
            <v>RS 804</v>
          </cell>
          <cell r="B348">
            <v>626</v>
          </cell>
          <cell r="C348" t="str">
            <v>S</v>
          </cell>
          <cell r="D348" t="str">
            <v>F</v>
          </cell>
          <cell r="E348" t="str">
            <v>Machimbeya - junction D313</v>
          </cell>
          <cell r="F348" t="str">
            <v>D314</v>
          </cell>
          <cell r="G348">
            <v>1</v>
          </cell>
          <cell r="H348">
            <v>9</v>
          </cell>
          <cell r="I348" t="str">
            <v>F</v>
          </cell>
          <cell r="J348" t="str">
            <v>MWANZA</v>
          </cell>
          <cell r="K348">
            <v>9</v>
          </cell>
        </row>
        <row r="349">
          <cell r="A349" t="str">
            <v>RS 805</v>
          </cell>
          <cell r="B349">
            <v>627</v>
          </cell>
          <cell r="C349" t="str">
            <v>S</v>
          </cell>
          <cell r="D349" t="str">
            <v>F</v>
          </cell>
          <cell r="E349" t="str">
            <v>junction S138 - junction S137</v>
          </cell>
          <cell r="F349" t="str">
            <v>D320</v>
          </cell>
          <cell r="G349">
            <v>1</v>
          </cell>
          <cell r="H349">
            <v>10</v>
          </cell>
          <cell r="I349" t="str">
            <v>R</v>
          </cell>
          <cell r="J349" t="str">
            <v>BLANTYRE</v>
          </cell>
          <cell r="K349">
            <v>9</v>
          </cell>
        </row>
        <row r="350">
          <cell r="A350" t="str">
            <v>RS 806</v>
          </cell>
          <cell r="B350">
            <v>628</v>
          </cell>
          <cell r="C350" t="str">
            <v>S</v>
          </cell>
          <cell r="D350" t="str">
            <v>F</v>
          </cell>
          <cell r="E350" t="str">
            <v>junction S139 - East Boundary Zomba</v>
          </cell>
          <cell r="F350" t="str">
            <v>D322</v>
          </cell>
          <cell r="G350">
            <v>1</v>
          </cell>
          <cell r="H350">
            <v>8</v>
          </cell>
          <cell r="I350" t="str">
            <v>R</v>
          </cell>
          <cell r="J350" t="str">
            <v>BLANTYRE</v>
          </cell>
          <cell r="K350">
            <v>9</v>
          </cell>
        </row>
        <row r="351">
          <cell r="A351" t="str">
            <v>RS 807</v>
          </cell>
          <cell r="B351">
            <v>629</v>
          </cell>
          <cell r="C351" t="str">
            <v>S</v>
          </cell>
          <cell r="D351" t="str">
            <v>F</v>
          </cell>
          <cell r="E351" t="str">
            <v>Chikombero (junction M1) - Machinjiri</v>
          </cell>
          <cell r="F351" t="str">
            <v>D326</v>
          </cell>
          <cell r="G351">
            <v>1</v>
          </cell>
          <cell r="H351">
            <v>5.8</v>
          </cell>
          <cell r="I351" t="str">
            <v>R</v>
          </cell>
          <cell r="J351" t="str">
            <v>BLANTYRE</v>
          </cell>
          <cell r="K351">
            <v>9</v>
          </cell>
          <cell r="L351" t="str">
            <v>Changed end &amp; length to remove bitumen section</v>
          </cell>
        </row>
        <row r="352">
          <cell r="A352" t="str">
            <v>RS 808</v>
          </cell>
          <cell r="B352">
            <v>630</v>
          </cell>
          <cell r="C352" t="str">
            <v>S</v>
          </cell>
          <cell r="D352" t="str">
            <v>F</v>
          </cell>
          <cell r="E352" t="str">
            <v>M1 junction - Near Chikwawa Boundary</v>
          </cell>
          <cell r="F352" t="str">
            <v>D328</v>
          </cell>
          <cell r="G352">
            <v>1</v>
          </cell>
          <cell r="H352">
            <v>10.5</v>
          </cell>
          <cell r="I352" t="str">
            <v>R</v>
          </cell>
          <cell r="J352" t="str">
            <v>BLANTYRE</v>
          </cell>
          <cell r="K352">
            <v>9</v>
          </cell>
          <cell r="L352" t="str">
            <v>Changed end &amp; length to remove bitumen section</v>
          </cell>
        </row>
        <row r="353">
          <cell r="A353" t="str">
            <v>RS 809</v>
          </cell>
          <cell r="B353">
            <v>631</v>
          </cell>
          <cell r="C353" t="str">
            <v>S</v>
          </cell>
          <cell r="D353" t="str">
            <v>F</v>
          </cell>
          <cell r="E353" t="str">
            <v>Chikwawa Boundary - junction S137</v>
          </cell>
          <cell r="F353" t="str">
            <v>D329</v>
          </cell>
          <cell r="G353">
            <v>1</v>
          </cell>
          <cell r="H353">
            <v>18</v>
          </cell>
          <cell r="I353" t="str">
            <v>H</v>
          </cell>
          <cell r="J353" t="str">
            <v>BLANTYRE</v>
          </cell>
          <cell r="K353">
            <v>9</v>
          </cell>
        </row>
        <row r="354">
          <cell r="A354" t="str">
            <v>RS 810</v>
          </cell>
          <cell r="B354">
            <v>632</v>
          </cell>
          <cell r="C354" t="str">
            <v>S</v>
          </cell>
          <cell r="D354" t="str">
            <v>F</v>
          </cell>
          <cell r="E354" t="str">
            <v>junction M1 - junction M2</v>
          </cell>
          <cell r="F354" t="str">
            <v>D330</v>
          </cell>
          <cell r="G354">
            <v>1</v>
          </cell>
          <cell r="H354">
            <v>7</v>
          </cell>
          <cell r="I354" t="str">
            <v>H</v>
          </cell>
          <cell r="J354" t="str">
            <v>BLANTYRE</v>
          </cell>
          <cell r="K354">
            <v>9</v>
          </cell>
        </row>
        <row r="355">
          <cell r="A355" t="str">
            <v>RS 811</v>
          </cell>
          <cell r="B355">
            <v>633</v>
          </cell>
          <cell r="C355" t="str">
            <v>S</v>
          </cell>
          <cell r="D355" t="str">
            <v>F</v>
          </cell>
          <cell r="E355" t="str">
            <v xml:space="preserve">Mbulumbudzi East - junction T407 </v>
          </cell>
          <cell r="F355" t="str">
            <v>D336</v>
          </cell>
          <cell r="G355">
            <v>1</v>
          </cell>
          <cell r="H355">
            <v>9</v>
          </cell>
          <cell r="I355" t="str">
            <v>R</v>
          </cell>
          <cell r="J355" t="str">
            <v>BLANTYRE</v>
          </cell>
          <cell r="K355">
            <v>9</v>
          </cell>
        </row>
        <row r="356">
          <cell r="A356" t="str">
            <v>RS 812</v>
          </cell>
          <cell r="B356">
            <v>634</v>
          </cell>
          <cell r="C356" t="str">
            <v>S</v>
          </cell>
          <cell r="D356" t="str">
            <v>F</v>
          </cell>
          <cell r="E356" t="str">
            <v>junction D336 - junction D341</v>
          </cell>
          <cell r="F356" t="str">
            <v>D338</v>
          </cell>
          <cell r="G356">
            <v>1</v>
          </cell>
          <cell r="H356">
            <v>12</v>
          </cell>
          <cell r="I356" t="str">
            <v>R</v>
          </cell>
          <cell r="J356" t="str">
            <v>CHIRADZULU</v>
          </cell>
          <cell r="K356">
            <v>9</v>
          </cell>
        </row>
        <row r="357">
          <cell r="A357" t="str">
            <v>RS 813</v>
          </cell>
          <cell r="B357">
            <v>635</v>
          </cell>
          <cell r="C357" t="str">
            <v>S</v>
          </cell>
          <cell r="D357" t="str">
            <v>F</v>
          </cell>
          <cell r="E357" t="str">
            <v>Chinkankheni East - Zomba Boundary</v>
          </cell>
          <cell r="F357" t="str">
            <v>D341</v>
          </cell>
          <cell r="G357">
            <v>1</v>
          </cell>
          <cell r="H357">
            <v>17.5</v>
          </cell>
          <cell r="I357" t="str">
            <v>F</v>
          </cell>
          <cell r="J357" t="str">
            <v>CHIRADZULU</v>
          </cell>
          <cell r="K357">
            <v>9</v>
          </cell>
        </row>
        <row r="358">
          <cell r="A358" t="str">
            <v>RS 814</v>
          </cell>
          <cell r="B358">
            <v>636</v>
          </cell>
          <cell r="C358" t="str">
            <v>S</v>
          </cell>
          <cell r="D358" t="str">
            <v>F</v>
          </cell>
          <cell r="E358" t="str">
            <v>junction T411 - junction T412</v>
          </cell>
          <cell r="F358" t="str">
            <v>D343</v>
          </cell>
          <cell r="G358">
            <v>1</v>
          </cell>
          <cell r="H358">
            <v>11.5</v>
          </cell>
          <cell r="I358" t="str">
            <v>K</v>
          </cell>
          <cell r="J358" t="str">
            <v>CHIRADZULU</v>
          </cell>
          <cell r="K358">
            <v>9</v>
          </cell>
        </row>
        <row r="359">
          <cell r="A359" t="str">
            <v>RS 815</v>
          </cell>
          <cell r="B359">
            <v>637</v>
          </cell>
          <cell r="C359" t="str">
            <v>S</v>
          </cell>
          <cell r="D359" t="str">
            <v>F</v>
          </cell>
          <cell r="E359" t="str">
            <v>junction M4 - South Thuchila River</v>
          </cell>
          <cell r="F359" t="str">
            <v>D345</v>
          </cell>
          <cell r="G359">
            <v>1</v>
          </cell>
          <cell r="H359">
            <v>18</v>
          </cell>
          <cell r="I359" t="str">
            <v>F</v>
          </cell>
          <cell r="J359" t="str">
            <v>MULANJE</v>
          </cell>
          <cell r="K359">
            <v>9</v>
          </cell>
        </row>
        <row r="360">
          <cell r="A360" t="str">
            <v>RS 816</v>
          </cell>
          <cell r="B360">
            <v>638</v>
          </cell>
          <cell r="C360" t="str">
            <v>S</v>
          </cell>
          <cell r="D360" t="str">
            <v>F</v>
          </cell>
          <cell r="E360" t="str">
            <v>junction S147 - Holo</v>
          </cell>
          <cell r="F360" t="str">
            <v>D364</v>
          </cell>
          <cell r="G360">
            <v>1</v>
          </cell>
          <cell r="H360">
            <v>11</v>
          </cell>
          <cell r="I360" t="str">
            <v>F</v>
          </cell>
          <cell r="J360" t="str">
            <v>MULANJE</v>
          </cell>
          <cell r="K360">
            <v>9</v>
          </cell>
        </row>
        <row r="361">
          <cell r="A361" t="str">
            <v>RS 817</v>
          </cell>
          <cell r="B361">
            <v>639</v>
          </cell>
          <cell r="C361" t="str">
            <v>S</v>
          </cell>
          <cell r="D361" t="str">
            <v>F</v>
          </cell>
          <cell r="E361" t="str">
            <v>Thuchila - junction T463</v>
          </cell>
          <cell r="F361" t="str">
            <v>D368</v>
          </cell>
          <cell r="G361">
            <v>1</v>
          </cell>
          <cell r="H361">
            <v>17</v>
          </cell>
          <cell r="I361" t="str">
            <v>F</v>
          </cell>
          <cell r="J361" t="str">
            <v>MULANJE</v>
          </cell>
          <cell r="K361">
            <v>9</v>
          </cell>
        </row>
        <row r="362">
          <cell r="A362" t="str">
            <v>RS 818</v>
          </cell>
          <cell r="B362">
            <v>640</v>
          </cell>
          <cell r="C362" t="str">
            <v>S</v>
          </cell>
          <cell r="D362" t="str">
            <v>F</v>
          </cell>
          <cell r="E362" t="str">
            <v>North Chilinga - South Singano</v>
          </cell>
          <cell r="F362" t="str">
            <v>D369</v>
          </cell>
          <cell r="G362">
            <v>1</v>
          </cell>
          <cell r="H362">
            <v>8</v>
          </cell>
          <cell r="I362" t="str">
            <v>F</v>
          </cell>
          <cell r="J362" t="str">
            <v>MULANJE</v>
          </cell>
          <cell r="K362">
            <v>9</v>
          </cell>
        </row>
        <row r="363">
          <cell r="A363" t="str">
            <v>RS 819</v>
          </cell>
          <cell r="B363">
            <v>641</v>
          </cell>
          <cell r="C363" t="str">
            <v>S</v>
          </cell>
          <cell r="D363" t="str">
            <v>F</v>
          </cell>
          <cell r="E363" t="str">
            <v>Luwanje - Mkoti</v>
          </cell>
          <cell r="F363" t="str">
            <v>D370</v>
          </cell>
          <cell r="G363">
            <v>1</v>
          </cell>
          <cell r="H363">
            <v>2.5</v>
          </cell>
          <cell r="I363" t="str">
            <v>F</v>
          </cell>
          <cell r="J363" t="str">
            <v>MULANJE</v>
          </cell>
          <cell r="K363">
            <v>9</v>
          </cell>
        </row>
        <row r="364">
          <cell r="A364" t="str">
            <v>RS 820</v>
          </cell>
          <cell r="B364">
            <v>642</v>
          </cell>
          <cell r="C364" t="str">
            <v>S</v>
          </cell>
          <cell r="D364" t="str">
            <v>F</v>
          </cell>
          <cell r="E364" t="str">
            <v>Mkoti - Msikawanjala</v>
          </cell>
          <cell r="F364" t="str">
            <v>D370</v>
          </cell>
          <cell r="G364">
            <v>2</v>
          </cell>
          <cell r="H364">
            <v>7.3</v>
          </cell>
          <cell r="I364" t="str">
            <v>F</v>
          </cell>
          <cell r="J364" t="str">
            <v>MULANJE</v>
          </cell>
          <cell r="K364">
            <v>9</v>
          </cell>
        </row>
        <row r="365">
          <cell r="A365" t="str">
            <v>RS 821</v>
          </cell>
          <cell r="B365">
            <v>643</v>
          </cell>
          <cell r="C365" t="str">
            <v>S</v>
          </cell>
          <cell r="D365" t="str">
            <v>F</v>
          </cell>
          <cell r="E365" t="str">
            <v xml:space="preserve">Nort West Mulanje - junction S149 </v>
          </cell>
          <cell r="F365" t="str">
            <v>D372</v>
          </cell>
          <cell r="G365">
            <v>1</v>
          </cell>
          <cell r="H365">
            <v>9</v>
          </cell>
          <cell r="I365" t="str">
            <v>F</v>
          </cell>
          <cell r="J365" t="str">
            <v>MULANJE</v>
          </cell>
          <cell r="K365">
            <v>9</v>
          </cell>
        </row>
        <row r="366">
          <cell r="A366" t="str">
            <v>RS 822</v>
          </cell>
          <cell r="B366">
            <v>644</v>
          </cell>
          <cell r="C366" t="str">
            <v>S</v>
          </cell>
          <cell r="D366" t="str">
            <v>F</v>
          </cell>
          <cell r="E366" t="str">
            <v>North West Mulanje - South Siyama</v>
          </cell>
          <cell r="F366" t="str">
            <v>D373</v>
          </cell>
          <cell r="G366">
            <v>1</v>
          </cell>
          <cell r="H366">
            <v>10</v>
          </cell>
          <cell r="I366" t="str">
            <v>F</v>
          </cell>
          <cell r="J366" t="str">
            <v>MULANJE</v>
          </cell>
          <cell r="K366">
            <v>9</v>
          </cell>
        </row>
        <row r="367">
          <cell r="A367" t="str">
            <v>RS 823</v>
          </cell>
          <cell r="B367">
            <v>645</v>
          </cell>
          <cell r="C367" t="str">
            <v>S</v>
          </cell>
          <cell r="D367" t="str">
            <v>F</v>
          </cell>
          <cell r="E367" t="str">
            <v>Changoima - West Mwanza Boundary</v>
          </cell>
          <cell r="F367" t="str">
            <v>D379</v>
          </cell>
          <cell r="G367">
            <v>1</v>
          </cell>
          <cell r="H367">
            <v>11</v>
          </cell>
          <cell r="I367" t="str">
            <v>F</v>
          </cell>
          <cell r="J367" t="str">
            <v>CHIKWAWA</v>
          </cell>
          <cell r="K367">
            <v>9</v>
          </cell>
        </row>
        <row r="368">
          <cell r="A368" t="str">
            <v>RS 824</v>
          </cell>
          <cell r="B368">
            <v>646</v>
          </cell>
          <cell r="C368" t="str">
            <v>S</v>
          </cell>
          <cell r="D368" t="str">
            <v>F</v>
          </cell>
          <cell r="E368" t="str">
            <v>Nkhongono - North Nkhongono</v>
          </cell>
          <cell r="F368" t="str">
            <v>D380</v>
          </cell>
          <cell r="G368">
            <v>1</v>
          </cell>
          <cell r="H368">
            <v>21</v>
          </cell>
          <cell r="I368" t="str">
            <v>F</v>
          </cell>
          <cell r="J368" t="str">
            <v>CHIKWAWA</v>
          </cell>
          <cell r="K368">
            <v>9</v>
          </cell>
        </row>
        <row r="369">
          <cell r="A369" t="str">
            <v>RS 825</v>
          </cell>
          <cell r="B369">
            <v>647</v>
          </cell>
          <cell r="C369" t="str">
            <v>S</v>
          </cell>
          <cell r="D369" t="str">
            <v>F</v>
          </cell>
          <cell r="E369" t="str">
            <v>Tomali - South East Phwazi</v>
          </cell>
          <cell r="F369" t="str">
            <v>D383</v>
          </cell>
          <cell r="G369">
            <v>1</v>
          </cell>
          <cell r="H369">
            <v>16</v>
          </cell>
          <cell r="I369" t="str">
            <v>F</v>
          </cell>
          <cell r="J369" t="str">
            <v>CHIKWAWA</v>
          </cell>
          <cell r="K369">
            <v>9</v>
          </cell>
        </row>
        <row r="370">
          <cell r="A370" t="str">
            <v>RS 826</v>
          </cell>
          <cell r="B370">
            <v>648</v>
          </cell>
          <cell r="C370" t="str">
            <v>S</v>
          </cell>
          <cell r="D370" t="str">
            <v>F</v>
          </cell>
          <cell r="E370" t="str">
            <v>North Goma - West M1</v>
          </cell>
          <cell r="F370" t="str">
            <v>D386</v>
          </cell>
          <cell r="G370">
            <v>1</v>
          </cell>
          <cell r="H370">
            <v>13</v>
          </cell>
          <cell r="I370" t="str">
            <v>F</v>
          </cell>
          <cell r="J370" t="str">
            <v>CHIKWAWA</v>
          </cell>
          <cell r="K370">
            <v>10</v>
          </cell>
        </row>
        <row r="371">
          <cell r="A371" t="str">
            <v>RS 666</v>
          </cell>
          <cell r="B371">
            <v>488</v>
          </cell>
          <cell r="C371" t="str">
            <v>C</v>
          </cell>
          <cell r="D371" t="str">
            <v>F</v>
          </cell>
          <cell r="E371" t="str">
            <v>Mbala - Diamphwe River</v>
          </cell>
          <cell r="F371" t="str">
            <v>UD</v>
          </cell>
          <cell r="G371">
            <v>3</v>
          </cell>
          <cell r="H371">
            <v>7.7</v>
          </cell>
          <cell r="I371" t="str">
            <v>FL</v>
          </cell>
          <cell r="J371" t="str">
            <v>DEDZA</v>
          </cell>
          <cell r="K371">
            <v>6</v>
          </cell>
        </row>
        <row r="372">
          <cell r="A372" t="str">
            <v>RS 833</v>
          </cell>
          <cell r="B372">
            <v>655</v>
          </cell>
          <cell r="C372" t="str">
            <v>S</v>
          </cell>
          <cell r="D372" t="str">
            <v>F</v>
          </cell>
          <cell r="E372" t="str">
            <v>Lunzu - North East Zomba Boundary</v>
          </cell>
          <cell r="F372" t="str">
            <v>UD</v>
          </cell>
          <cell r="G372">
            <v>6</v>
          </cell>
          <cell r="H372">
            <v>11</v>
          </cell>
          <cell r="I372" t="str">
            <v>R</v>
          </cell>
          <cell r="J372" t="str">
            <v>BLANTYRE</v>
          </cell>
          <cell r="K372">
            <v>9</v>
          </cell>
        </row>
        <row r="373">
          <cell r="A373" t="str">
            <v>RS 827</v>
          </cell>
          <cell r="B373">
            <v>649</v>
          </cell>
          <cell r="C373" t="str">
            <v>S</v>
          </cell>
          <cell r="D373" t="str">
            <v>F</v>
          </cell>
          <cell r="E373" t="str">
            <v>Mayaka - Mulanje Boundary</v>
          </cell>
          <cell r="F373" t="str">
            <v>UD/C</v>
          </cell>
          <cell r="G373">
            <v>1</v>
          </cell>
          <cell r="H373">
            <v>12</v>
          </cell>
          <cell r="I373" t="str">
            <v>FL</v>
          </cell>
          <cell r="J373" t="str">
            <v>ZOMBA</v>
          </cell>
          <cell r="K373">
            <v>9</v>
          </cell>
        </row>
        <row r="374">
          <cell r="A374" t="str">
            <v>RS 828</v>
          </cell>
          <cell r="B374">
            <v>650</v>
          </cell>
          <cell r="C374" t="str">
            <v>S</v>
          </cell>
          <cell r="D374" t="str">
            <v>F</v>
          </cell>
          <cell r="E374" t="str">
            <v>South West Singano - junction S144</v>
          </cell>
          <cell r="F374" t="str">
            <v>UD/D</v>
          </cell>
          <cell r="G374">
            <v>2</v>
          </cell>
          <cell r="H374">
            <v>12</v>
          </cell>
          <cell r="I374" t="str">
            <v>H</v>
          </cell>
          <cell r="J374" t="str">
            <v>PHALOMBE</v>
          </cell>
          <cell r="K374">
            <v>9</v>
          </cell>
        </row>
        <row r="375">
          <cell r="A375" t="str">
            <v>RS 829</v>
          </cell>
          <cell r="B375">
            <v>651</v>
          </cell>
          <cell r="C375" t="str">
            <v>S</v>
          </cell>
          <cell r="D375" t="str">
            <v>F</v>
          </cell>
          <cell r="E375" t="str">
            <v>South  Ngona - East S136</v>
          </cell>
          <cell r="F375" t="str">
            <v>UD/F</v>
          </cell>
          <cell r="G375">
            <v>3</v>
          </cell>
          <cell r="H375">
            <v>9</v>
          </cell>
          <cell r="I375" t="str">
            <v>H</v>
          </cell>
          <cell r="J375" t="str">
            <v>CHIKWAWA</v>
          </cell>
          <cell r="K375">
            <v>9</v>
          </cell>
        </row>
        <row r="376">
          <cell r="A376" t="str">
            <v>RS 830</v>
          </cell>
          <cell r="B376">
            <v>652</v>
          </cell>
          <cell r="C376" t="str">
            <v>S</v>
          </cell>
          <cell r="D376" t="str">
            <v>F</v>
          </cell>
          <cell r="E376" t="str">
            <v>North Gogomwa - junction T411</v>
          </cell>
          <cell r="F376" t="str">
            <v>UD/I</v>
          </cell>
          <cell r="G376">
            <v>4</v>
          </cell>
          <cell r="H376">
            <v>9</v>
          </cell>
          <cell r="I376" t="str">
            <v>H</v>
          </cell>
          <cell r="J376" t="str">
            <v>CHIRADZULU</v>
          </cell>
          <cell r="K376">
            <v>9</v>
          </cell>
        </row>
        <row r="377">
          <cell r="A377" t="str">
            <v>RS 831</v>
          </cell>
          <cell r="B377">
            <v>653</v>
          </cell>
          <cell r="C377" t="str">
            <v>S</v>
          </cell>
          <cell r="D377" t="str">
            <v>F</v>
          </cell>
          <cell r="E377" t="str">
            <v>Chirimba - mid junction between Chizolo and Limbe</v>
          </cell>
          <cell r="F377" t="str">
            <v>UD/I</v>
          </cell>
          <cell r="G377">
            <v>5</v>
          </cell>
          <cell r="H377">
            <v>7</v>
          </cell>
          <cell r="I377" t="str">
            <v>H</v>
          </cell>
          <cell r="J377" t="str">
            <v>BLANTYRE</v>
          </cell>
          <cell r="K377">
            <v>9</v>
          </cell>
        </row>
        <row r="378">
          <cell r="A378" t="str">
            <v>RS 521</v>
          </cell>
          <cell r="B378">
            <v>343</v>
          </cell>
          <cell r="C378" t="str">
            <v>N</v>
          </cell>
          <cell r="D378" t="str">
            <v>F</v>
          </cell>
          <cell r="E378" t="str">
            <v>Mdima - Mhlafuta</v>
          </cell>
          <cell r="F378" t="str">
            <v>UDX</v>
          </cell>
          <cell r="G378">
            <v>7</v>
          </cell>
          <cell r="H378">
            <v>4.4000000000000004</v>
          </cell>
          <cell r="I378" t="str">
            <v>FL</v>
          </cell>
          <cell r="J378" t="str">
            <v>MZIMBA</v>
          </cell>
          <cell r="K378">
            <v>4</v>
          </cell>
        </row>
        <row r="379">
          <cell r="A379" t="str">
            <v>RS 522</v>
          </cell>
          <cell r="B379">
            <v>344</v>
          </cell>
          <cell r="C379" t="str">
            <v>N</v>
          </cell>
          <cell r="D379" t="str">
            <v>F</v>
          </cell>
          <cell r="E379" t="str">
            <v>Malema - Kazguli village</v>
          </cell>
          <cell r="F379" t="str">
            <v>UDX</v>
          </cell>
          <cell r="G379">
            <v>8</v>
          </cell>
          <cell r="H379">
            <v>20.100000000000001</v>
          </cell>
          <cell r="I379" t="str">
            <v>R</v>
          </cell>
          <cell r="J379" t="str">
            <v>MZIMBA</v>
          </cell>
          <cell r="K379">
            <v>4</v>
          </cell>
        </row>
        <row r="380">
          <cell r="A380" t="str">
            <v>RS 523</v>
          </cell>
          <cell r="B380">
            <v>345</v>
          </cell>
          <cell r="C380" t="str">
            <v>N</v>
          </cell>
          <cell r="D380" t="str">
            <v>F</v>
          </cell>
          <cell r="E380" t="str">
            <v>Kasichi - Edingeni</v>
          </cell>
          <cell r="F380" t="str">
            <v>UDY</v>
          </cell>
          <cell r="G380">
            <v>11</v>
          </cell>
          <cell r="H380">
            <v>19.3</v>
          </cell>
          <cell r="I380" t="str">
            <v>FL</v>
          </cell>
          <cell r="J380" t="str">
            <v>MZIMBA</v>
          </cell>
          <cell r="K380">
            <v>4</v>
          </cell>
        </row>
        <row r="381">
          <cell r="A381" t="str">
            <v>RS 834</v>
          </cell>
          <cell r="B381">
            <v>656</v>
          </cell>
          <cell r="C381" t="str">
            <v>S</v>
          </cell>
          <cell r="D381" t="str">
            <v>F</v>
          </cell>
          <cell r="E381" t="str">
            <v>Mtengo Wambalame - Lunzu</v>
          </cell>
          <cell r="F381" t="str">
            <v>IB2</v>
          </cell>
          <cell r="G381">
            <v>1</v>
          </cell>
          <cell r="H381">
            <v>12</v>
          </cell>
          <cell r="I381" t="str">
            <v>R</v>
          </cell>
          <cell r="J381" t="str">
            <v>BLANTYRE</v>
          </cell>
          <cell r="K381">
            <v>9</v>
          </cell>
        </row>
        <row r="382">
          <cell r="A382" t="str">
            <v>RS 520</v>
          </cell>
          <cell r="B382">
            <v>342</v>
          </cell>
          <cell r="C382" t="str">
            <v>N</v>
          </cell>
          <cell r="D382" t="str">
            <v>F</v>
          </cell>
          <cell r="E382" t="str">
            <v>Katoto Admarc - Sibande - junction M1</v>
          </cell>
          <cell r="F382" t="str">
            <v>PR11</v>
          </cell>
          <cell r="G382">
            <v>1</v>
          </cell>
          <cell r="H382">
            <v>25.1</v>
          </cell>
          <cell r="I382" t="str">
            <v>R</v>
          </cell>
          <cell r="J382" t="str">
            <v>MZIMBA</v>
          </cell>
          <cell r="K382">
            <v>3</v>
          </cell>
        </row>
        <row r="383">
          <cell r="A383" t="str">
            <v>RS 671</v>
          </cell>
          <cell r="B383">
            <v>493</v>
          </cell>
          <cell r="C383" t="str">
            <v>C</v>
          </cell>
          <cell r="D383" t="str">
            <v>F</v>
          </cell>
          <cell r="E383" t="str">
            <v>North Ngodzi River - Lake Malawi</v>
          </cell>
          <cell r="F383" t="str">
            <v>PR58</v>
          </cell>
          <cell r="G383">
            <v>1</v>
          </cell>
          <cell r="H383">
            <v>8</v>
          </cell>
          <cell r="I383" t="str">
            <v>F</v>
          </cell>
          <cell r="J383" t="str">
            <v>SALIMA</v>
          </cell>
          <cell r="K383">
            <v>7</v>
          </cell>
        </row>
        <row r="384">
          <cell r="A384" t="str">
            <v>RS 672</v>
          </cell>
          <cell r="B384">
            <v>494</v>
          </cell>
          <cell r="C384" t="str">
            <v>C</v>
          </cell>
          <cell r="D384" t="str">
            <v>F</v>
          </cell>
          <cell r="E384" t="str">
            <v>junction T357 - West Chelani</v>
          </cell>
          <cell r="F384" t="str">
            <v>PR92</v>
          </cell>
          <cell r="G384">
            <v>1</v>
          </cell>
          <cell r="H384">
            <v>11.5</v>
          </cell>
          <cell r="I384" t="str">
            <v>F</v>
          </cell>
          <cell r="J384" t="str">
            <v>SALMA</v>
          </cell>
          <cell r="K384">
            <v>7</v>
          </cell>
        </row>
        <row r="385">
          <cell r="A385" t="str">
            <v>RS 672</v>
          </cell>
          <cell r="B385">
            <v>494</v>
          </cell>
          <cell r="C385" t="str">
            <v>C</v>
          </cell>
          <cell r="D385" t="str">
            <v>F</v>
          </cell>
          <cell r="E385" t="str">
            <v>junction T357 - West Chelani</v>
          </cell>
          <cell r="F385" t="str">
            <v>PR92</v>
          </cell>
          <cell r="G385">
            <v>1</v>
          </cell>
          <cell r="H385">
            <v>11.5</v>
          </cell>
          <cell r="I385" t="str">
            <v>F</v>
          </cell>
          <cell r="J385" t="str">
            <v>SALMA</v>
          </cell>
          <cell r="K385">
            <v>7</v>
          </cell>
        </row>
        <row r="386">
          <cell r="A386" t="str">
            <v>Count</v>
          </cell>
          <cell r="B386">
            <v>382</v>
          </cell>
          <cell r="C386">
            <v>0</v>
          </cell>
          <cell r="D386">
            <v>0</v>
          </cell>
          <cell r="E386">
            <v>0</v>
          </cell>
          <cell r="F386" t="str">
            <v>Total length</v>
          </cell>
          <cell r="G386">
            <v>0</v>
          </cell>
          <cell r="H386">
            <v>4489.2000000000016</v>
          </cell>
          <cell r="I386">
            <v>0</v>
          </cell>
          <cell r="J386" t="str">
            <v>km</v>
          </cell>
        </row>
      </sheetData>
      <sheetData sheetId="1" refreshError="1">
        <row r="1">
          <cell r="A1" t="str">
            <v>Table A5 - Feeder Road Sections</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Trrrain</v>
          </cell>
          <cell r="J2" t="str">
            <v>District</v>
          </cell>
          <cell r="K2" t="str">
            <v>Map sheet No.</v>
          </cell>
          <cell r="L2" t="str">
            <v>Comments</v>
          </cell>
        </row>
        <row r="3">
          <cell r="A3" t="str">
            <v>RS 317</v>
          </cell>
          <cell r="B3">
            <v>139</v>
          </cell>
          <cell r="C3" t="str">
            <v>S</v>
          </cell>
          <cell r="D3" t="str">
            <v>T</v>
          </cell>
          <cell r="E3" t="str">
            <v>Bangula - Tengani</v>
          </cell>
          <cell r="F3" t="str">
            <v>M01</v>
          </cell>
          <cell r="G3">
            <v>53</v>
          </cell>
          <cell r="H3">
            <v>21.6</v>
          </cell>
          <cell r="I3" t="str">
            <v>F</v>
          </cell>
          <cell r="J3" t="str">
            <v>NSANJE</v>
          </cell>
          <cell r="K3">
            <v>10</v>
          </cell>
          <cell r="L3" t="str">
            <v>Part of RS1</v>
          </cell>
        </row>
        <row r="4">
          <cell r="A4" t="str">
            <v>RS 318</v>
          </cell>
          <cell r="B4">
            <v>140</v>
          </cell>
          <cell r="C4" t="str">
            <v>S</v>
          </cell>
          <cell r="D4" t="str">
            <v>T</v>
          </cell>
          <cell r="E4" t="str">
            <v>Tengani - Chigumukire</v>
          </cell>
          <cell r="F4" t="str">
            <v>M01</v>
          </cell>
          <cell r="G4">
            <v>54</v>
          </cell>
          <cell r="H4">
            <v>11.2</v>
          </cell>
          <cell r="I4" t="str">
            <v>F</v>
          </cell>
          <cell r="J4" t="str">
            <v>NSANJE</v>
          </cell>
          <cell r="K4">
            <v>10</v>
          </cell>
          <cell r="L4" t="str">
            <v>Part of RS1</v>
          </cell>
        </row>
        <row r="5">
          <cell r="A5" t="str">
            <v>RS 320</v>
          </cell>
          <cell r="B5">
            <v>142</v>
          </cell>
          <cell r="C5" t="str">
            <v>S</v>
          </cell>
          <cell r="D5" t="str">
            <v>T</v>
          </cell>
          <cell r="E5" t="str">
            <v>Chigumukire - Lundu</v>
          </cell>
          <cell r="F5" t="str">
            <v>M01</v>
          </cell>
          <cell r="G5">
            <v>55</v>
          </cell>
          <cell r="H5">
            <v>14</v>
          </cell>
          <cell r="I5" t="str">
            <v>F</v>
          </cell>
          <cell r="J5" t="str">
            <v>NSANJE</v>
          </cell>
          <cell r="K5">
            <v>10</v>
          </cell>
        </row>
        <row r="6">
          <cell r="A6" t="str">
            <v>RS 314</v>
          </cell>
          <cell r="B6">
            <v>136</v>
          </cell>
          <cell r="C6" t="str">
            <v>S</v>
          </cell>
          <cell r="D6" t="str">
            <v>T</v>
          </cell>
          <cell r="E6" t="str">
            <v>Lundu - Nsanje Marka</v>
          </cell>
          <cell r="F6" t="str">
            <v>M01</v>
          </cell>
          <cell r="G6">
            <v>56</v>
          </cell>
          <cell r="H6">
            <v>28</v>
          </cell>
          <cell r="I6" t="str">
            <v>F</v>
          </cell>
          <cell r="J6" t="str">
            <v>NSANJE</v>
          </cell>
          <cell r="K6">
            <v>10</v>
          </cell>
        </row>
        <row r="7">
          <cell r="A7" t="str">
            <v>RS 327</v>
          </cell>
          <cell r="B7">
            <v>149</v>
          </cell>
          <cell r="C7" t="str">
            <v>S</v>
          </cell>
          <cell r="D7" t="str">
            <v>T</v>
          </cell>
          <cell r="E7" t="str">
            <v>Mbalula - Chowe</v>
          </cell>
          <cell r="F7" t="str">
            <v>M03</v>
          </cell>
          <cell r="G7">
            <v>16</v>
          </cell>
          <cell r="H7">
            <v>7.2</v>
          </cell>
          <cell r="I7" t="str">
            <v>H</v>
          </cell>
          <cell r="J7" t="str">
            <v>MANGOCHI</v>
          </cell>
          <cell r="K7">
            <v>8</v>
          </cell>
        </row>
        <row r="8">
          <cell r="A8" t="str">
            <v>RS 325</v>
          </cell>
          <cell r="B8">
            <v>147</v>
          </cell>
          <cell r="C8" t="str">
            <v>S</v>
          </cell>
          <cell r="D8" t="str">
            <v>T</v>
          </cell>
          <cell r="E8" t="str">
            <v>Matola - Idulusi</v>
          </cell>
          <cell r="F8" t="str">
            <v>M03</v>
          </cell>
          <cell r="G8">
            <v>18</v>
          </cell>
          <cell r="H8">
            <v>4.2</v>
          </cell>
          <cell r="I8" t="str">
            <v>H</v>
          </cell>
          <cell r="J8" t="str">
            <v>MANGOCHI</v>
          </cell>
          <cell r="K8">
            <v>8</v>
          </cell>
        </row>
        <row r="9">
          <cell r="A9" t="str">
            <v>RS 328</v>
          </cell>
          <cell r="B9">
            <v>150</v>
          </cell>
          <cell r="C9" t="str">
            <v>S</v>
          </cell>
          <cell r="D9" t="str">
            <v>T</v>
          </cell>
          <cell r="E9" t="str">
            <v>Idulusi - Namwera</v>
          </cell>
          <cell r="F9" t="str">
            <v>M03</v>
          </cell>
          <cell r="G9">
            <v>19</v>
          </cell>
          <cell r="H9">
            <v>12.7</v>
          </cell>
          <cell r="I9" t="str">
            <v>R</v>
          </cell>
          <cell r="J9" t="str">
            <v>MANGOCHI</v>
          </cell>
          <cell r="K9">
            <v>7</v>
          </cell>
        </row>
        <row r="10">
          <cell r="A10" t="str">
            <v>RS 323</v>
          </cell>
          <cell r="B10">
            <v>145</v>
          </cell>
          <cell r="C10" t="str">
            <v>S</v>
          </cell>
          <cell r="D10" t="str">
            <v>T</v>
          </cell>
          <cell r="E10" t="str">
            <v>Namwera - Chiponde</v>
          </cell>
          <cell r="F10" t="str">
            <v>M03</v>
          </cell>
          <cell r="G10">
            <v>20</v>
          </cell>
          <cell r="H10">
            <v>12.9</v>
          </cell>
          <cell r="I10" t="str">
            <v>R</v>
          </cell>
          <cell r="J10" t="str">
            <v>MANGOCHI</v>
          </cell>
          <cell r="K10">
            <v>7</v>
          </cell>
        </row>
        <row r="11">
          <cell r="A11" t="str">
            <v>RS 329</v>
          </cell>
          <cell r="B11">
            <v>151</v>
          </cell>
          <cell r="C11" t="str">
            <v>S</v>
          </cell>
          <cell r="D11" t="str">
            <v>T</v>
          </cell>
          <cell r="E11" t="str">
            <v>Mikolongwe - Losa</v>
          </cell>
          <cell r="F11" t="str">
            <v>M04</v>
          </cell>
          <cell r="G11">
            <v>3</v>
          </cell>
          <cell r="H11">
            <v>13.1</v>
          </cell>
          <cell r="I11" t="str">
            <v>R</v>
          </cell>
          <cell r="J11" t="str">
            <v>CHIRADZULU</v>
          </cell>
          <cell r="K11">
            <v>9</v>
          </cell>
        </row>
        <row r="12">
          <cell r="A12" t="str">
            <v>RS 758</v>
          </cell>
          <cell r="B12">
            <v>580</v>
          </cell>
          <cell r="C12" t="str">
            <v>S</v>
          </cell>
          <cell r="D12" t="str">
            <v>T</v>
          </cell>
          <cell r="E12" t="str">
            <v>Losa - Thuchila River Bridge</v>
          </cell>
          <cell r="F12" t="str">
            <v>M04</v>
          </cell>
          <cell r="G12">
            <v>4</v>
          </cell>
          <cell r="H12">
            <v>8.6999999999999993</v>
          </cell>
          <cell r="I12" t="str">
            <v>F</v>
          </cell>
          <cell r="J12" t="str">
            <v>MULANJE</v>
          </cell>
          <cell r="K12">
            <v>9</v>
          </cell>
          <cell r="L12" t="str">
            <v>Changed designation from T413  to M04</v>
          </cell>
        </row>
        <row r="13">
          <cell r="A13" t="str">
            <v>RS 838</v>
          </cell>
          <cell r="B13" t="str">
            <v>n.a.</v>
          </cell>
          <cell r="C13" t="str">
            <v>S</v>
          </cell>
          <cell r="D13" t="str">
            <v>T</v>
          </cell>
          <cell r="E13" t="str">
            <v>Thuchila River Bridge - Luwanje T.C.</v>
          </cell>
          <cell r="F13" t="str">
            <v>M04</v>
          </cell>
          <cell r="G13">
            <v>5</v>
          </cell>
          <cell r="H13">
            <v>6.9</v>
          </cell>
          <cell r="I13" t="str">
            <v>R</v>
          </cell>
          <cell r="J13" t="str">
            <v>MULANJE</v>
          </cell>
          <cell r="K13">
            <v>9</v>
          </cell>
          <cell r="L13" t="str">
            <v xml:space="preserve">New section part of RS 330 </v>
          </cell>
        </row>
        <row r="14">
          <cell r="A14" t="str">
            <v>RS 215</v>
          </cell>
          <cell r="B14">
            <v>37</v>
          </cell>
          <cell r="C14" t="str">
            <v>C</v>
          </cell>
          <cell r="D14" t="str">
            <v>T</v>
          </cell>
          <cell r="E14" t="str">
            <v>Zowonela - Mbobo</v>
          </cell>
          <cell r="F14" t="str">
            <v>M07</v>
          </cell>
          <cell r="G14">
            <v>1</v>
          </cell>
          <cell r="H14">
            <v>12.2</v>
          </cell>
          <cell r="I14" t="str">
            <v>L</v>
          </cell>
          <cell r="J14" t="str">
            <v>NTCHISI</v>
          </cell>
          <cell r="K14">
            <v>5</v>
          </cell>
        </row>
        <row r="15">
          <cell r="A15" t="str">
            <v>RS 209</v>
          </cell>
          <cell r="B15">
            <v>31</v>
          </cell>
          <cell r="C15" t="str">
            <v>C</v>
          </cell>
          <cell r="D15" t="str">
            <v>T</v>
          </cell>
          <cell r="E15" t="str">
            <v>Mpala T.C. - Zowonela</v>
          </cell>
          <cell r="F15" t="str">
            <v>M07</v>
          </cell>
          <cell r="G15">
            <v>2</v>
          </cell>
          <cell r="H15">
            <v>9.8000000000000007</v>
          </cell>
          <cell r="I15" t="str">
            <v>R</v>
          </cell>
          <cell r="J15" t="str">
            <v>NTCHISI</v>
          </cell>
          <cell r="K15">
            <v>5</v>
          </cell>
        </row>
        <row r="16">
          <cell r="A16" t="str">
            <v>RS 214</v>
          </cell>
          <cell r="B16">
            <v>36</v>
          </cell>
          <cell r="C16" t="str">
            <v>C</v>
          </cell>
          <cell r="D16" t="str">
            <v>T</v>
          </cell>
          <cell r="E16" t="str">
            <v>Mpala T.C. - Ntchisi</v>
          </cell>
          <cell r="F16" t="str">
            <v>M07</v>
          </cell>
          <cell r="G16">
            <v>3</v>
          </cell>
          <cell r="H16">
            <v>12.9</v>
          </cell>
          <cell r="I16" t="str">
            <v>R</v>
          </cell>
          <cell r="J16" t="str">
            <v>NTCHISI</v>
          </cell>
          <cell r="K16">
            <v>5</v>
          </cell>
        </row>
        <row r="17">
          <cell r="A17" t="str">
            <v>RS 208</v>
          </cell>
          <cell r="B17">
            <v>30</v>
          </cell>
          <cell r="C17" t="str">
            <v>C</v>
          </cell>
          <cell r="D17" t="str">
            <v>T</v>
          </cell>
          <cell r="E17" t="str">
            <v>Nchisi - Km17.45</v>
          </cell>
          <cell r="F17" t="str">
            <v>M07</v>
          </cell>
          <cell r="G17">
            <v>4</v>
          </cell>
          <cell r="H17">
            <v>1.6</v>
          </cell>
          <cell r="I17" t="str">
            <v>R</v>
          </cell>
          <cell r="J17" t="str">
            <v>NTCHISI</v>
          </cell>
          <cell r="K17">
            <v>5</v>
          </cell>
        </row>
        <row r="18">
          <cell r="A18" t="str">
            <v>RS 211</v>
          </cell>
          <cell r="B18">
            <v>33</v>
          </cell>
          <cell r="C18" t="str">
            <v>C</v>
          </cell>
          <cell r="D18" t="str">
            <v>T</v>
          </cell>
          <cell r="E18" t="str">
            <v>Km17.45 - Mbonekela</v>
          </cell>
          <cell r="F18" t="str">
            <v>M07</v>
          </cell>
          <cell r="G18">
            <v>5</v>
          </cell>
          <cell r="H18">
            <v>17.399999999999999</v>
          </cell>
          <cell r="I18" t="str">
            <v>R</v>
          </cell>
          <cell r="J18" t="str">
            <v>NTCHISI</v>
          </cell>
          <cell r="K18">
            <v>5</v>
          </cell>
        </row>
        <row r="19">
          <cell r="A19" t="str">
            <v>RS 212</v>
          </cell>
          <cell r="B19">
            <v>34</v>
          </cell>
          <cell r="C19" t="str">
            <v>C</v>
          </cell>
          <cell r="D19" t="str">
            <v>T</v>
          </cell>
          <cell r="E19" t="str">
            <v>Mwangala - Dzaleka</v>
          </cell>
          <cell r="F19" t="str">
            <v>M07</v>
          </cell>
          <cell r="G19">
            <v>6</v>
          </cell>
          <cell r="H19">
            <v>25.4</v>
          </cell>
          <cell r="I19" t="str">
            <v>R</v>
          </cell>
          <cell r="J19" t="str">
            <v>DOWA</v>
          </cell>
          <cell r="K19" t="str">
            <v>5,6</v>
          </cell>
        </row>
        <row r="20">
          <cell r="A20" t="str">
            <v>RS 210</v>
          </cell>
          <cell r="B20">
            <v>32</v>
          </cell>
          <cell r="C20" t="str">
            <v>C</v>
          </cell>
          <cell r="D20" t="str">
            <v>T</v>
          </cell>
          <cell r="E20" t="str">
            <v>Dzaleka - Zidunge</v>
          </cell>
          <cell r="F20" t="str">
            <v>M07</v>
          </cell>
          <cell r="G20">
            <v>7</v>
          </cell>
          <cell r="H20">
            <v>5.2</v>
          </cell>
          <cell r="I20" t="str">
            <v>R</v>
          </cell>
          <cell r="J20" t="str">
            <v>DOWA</v>
          </cell>
          <cell r="K20">
            <v>5</v>
          </cell>
        </row>
        <row r="21">
          <cell r="A21" t="str">
            <v>RS 213</v>
          </cell>
          <cell r="B21">
            <v>35</v>
          </cell>
          <cell r="C21" t="str">
            <v>C</v>
          </cell>
          <cell r="D21" t="str">
            <v>T</v>
          </cell>
          <cell r="E21" t="str">
            <v>Zidunge - Othambwe</v>
          </cell>
          <cell r="F21" t="str">
            <v>M07</v>
          </cell>
          <cell r="G21">
            <v>8</v>
          </cell>
          <cell r="H21">
            <v>7.9</v>
          </cell>
          <cell r="I21" t="str">
            <v>F</v>
          </cell>
          <cell r="J21" t="str">
            <v>DOWA</v>
          </cell>
          <cell r="K21">
            <v>6</v>
          </cell>
        </row>
        <row r="22">
          <cell r="A22" t="str">
            <v>RS 847</v>
          </cell>
          <cell r="B22" t="str">
            <v>n.a.</v>
          </cell>
          <cell r="C22" t="str">
            <v>N</v>
          </cell>
          <cell r="D22" t="str">
            <v>T</v>
          </cell>
          <cell r="E22" t="str">
            <v>Mkoma (Tanzania border) - Chitipa</v>
          </cell>
          <cell r="F22" t="str">
            <v>M09</v>
          </cell>
          <cell r="G22">
            <v>1</v>
          </cell>
          <cell r="H22">
            <v>44.5</v>
          </cell>
          <cell r="I22" t="str">
            <v>R</v>
          </cell>
          <cell r="J22" t="str">
            <v>CHITIPA</v>
          </cell>
          <cell r="K22">
            <v>1</v>
          </cell>
          <cell r="L22" t="str">
            <v>New section part of origional RS 179</v>
          </cell>
        </row>
        <row r="23">
          <cell r="A23" t="str">
            <v>RS 848</v>
          </cell>
          <cell r="B23" t="str">
            <v>n.a.</v>
          </cell>
          <cell r="C23" t="str">
            <v>N</v>
          </cell>
          <cell r="D23" t="str">
            <v>T</v>
          </cell>
          <cell r="E23" t="str">
            <v>Chitipa - Chelinda T/off</v>
          </cell>
          <cell r="F23" t="str">
            <v>M09</v>
          </cell>
          <cell r="G23">
            <v>2</v>
          </cell>
          <cell r="H23">
            <v>166.8</v>
          </cell>
          <cell r="I23" t="str">
            <v>R</v>
          </cell>
          <cell r="J23" t="str">
            <v>CHITIPA</v>
          </cell>
          <cell r="K23">
            <v>1</v>
          </cell>
          <cell r="L23" t="str">
            <v>New section part of origional RS 179</v>
          </cell>
        </row>
        <row r="24">
          <cell r="A24" t="str">
            <v>RS 181</v>
          </cell>
          <cell r="B24">
            <v>3</v>
          </cell>
          <cell r="C24" t="str">
            <v>N</v>
          </cell>
          <cell r="D24" t="str">
            <v>T</v>
          </cell>
          <cell r="E24" t="str">
            <v>Chelinda T/off - Chitanga</v>
          </cell>
          <cell r="F24" t="str">
            <v>M09</v>
          </cell>
          <cell r="G24">
            <v>3</v>
          </cell>
          <cell r="H24">
            <v>62.8</v>
          </cell>
          <cell r="I24" t="str">
            <v>R</v>
          </cell>
          <cell r="J24" t="str">
            <v>RUMPHI</v>
          </cell>
          <cell r="K24" t="str">
            <v>2,3</v>
          </cell>
          <cell r="L24" t="str">
            <v>End point altered from Mphangara Stream to Chatanga</v>
          </cell>
        </row>
        <row r="25">
          <cell r="A25" t="str">
            <v>RS 182</v>
          </cell>
          <cell r="B25">
            <v>4</v>
          </cell>
          <cell r="C25" t="str">
            <v>N</v>
          </cell>
          <cell r="D25" t="str">
            <v>T</v>
          </cell>
          <cell r="E25" t="str">
            <v>Mphangara Stream-Bow-Emcisweni-Kamchocho-Chitapa</v>
          </cell>
          <cell r="F25" t="str">
            <v>M09</v>
          </cell>
          <cell r="G25">
            <v>4</v>
          </cell>
          <cell r="H25">
            <v>95</v>
          </cell>
          <cell r="I25" t="str">
            <v>R</v>
          </cell>
          <cell r="J25" t="str">
            <v>MZIMBA</v>
          </cell>
          <cell r="K25" t="str">
            <v>3,4</v>
          </cell>
        </row>
        <row r="26">
          <cell r="A26" t="str">
            <v>RS 180</v>
          </cell>
          <cell r="B26">
            <v>2</v>
          </cell>
          <cell r="C26" t="str">
            <v>N</v>
          </cell>
          <cell r="D26" t="str">
            <v>T</v>
          </cell>
          <cell r="E26" t="str">
            <v>Chitapa - Majighasawa</v>
          </cell>
          <cell r="F26" t="str">
            <v>M09</v>
          </cell>
          <cell r="G26">
            <v>5</v>
          </cell>
          <cell r="H26">
            <v>31.8</v>
          </cell>
          <cell r="I26" t="str">
            <v>R</v>
          </cell>
          <cell r="J26" t="str">
            <v>MZIMBA</v>
          </cell>
          <cell r="K26" t="str">
            <v>3,4</v>
          </cell>
        </row>
        <row r="27">
          <cell r="A27" t="str">
            <v>RS 849</v>
          </cell>
          <cell r="B27" t="str">
            <v>n.a.</v>
          </cell>
          <cell r="C27" t="str">
            <v>N</v>
          </cell>
          <cell r="D27" t="str">
            <v>T</v>
          </cell>
          <cell r="E27" t="str">
            <v>Chitanga - Mphangara Stream</v>
          </cell>
          <cell r="F27" t="str">
            <v>M09</v>
          </cell>
          <cell r="G27">
            <v>6</v>
          </cell>
          <cell r="H27">
            <v>21.2</v>
          </cell>
          <cell r="I27">
            <v>3</v>
          </cell>
          <cell r="J27" t="str">
            <v>MZIMBA</v>
          </cell>
          <cell r="K27">
            <v>3</v>
          </cell>
          <cell r="L27" t="str">
            <v>New section part of origional RS 181</v>
          </cell>
        </row>
        <row r="28">
          <cell r="A28" t="str">
            <v>RS 183</v>
          </cell>
          <cell r="B28">
            <v>5</v>
          </cell>
          <cell r="C28" t="str">
            <v>N</v>
          </cell>
          <cell r="D28" t="str">
            <v>T</v>
          </cell>
          <cell r="E28" t="str">
            <v>Chiweta - Malongowe River</v>
          </cell>
          <cell r="F28" t="str">
            <v>M11</v>
          </cell>
          <cell r="G28">
            <v>1</v>
          </cell>
          <cell r="H28">
            <v>33.200000000000003</v>
          </cell>
          <cell r="I28" t="str">
            <v>R</v>
          </cell>
          <cell r="J28" t="str">
            <v>RUMPHI</v>
          </cell>
          <cell r="K28" t="str">
            <v>2,3</v>
          </cell>
        </row>
        <row r="29">
          <cell r="A29" t="str">
            <v>RS 184</v>
          </cell>
          <cell r="B29">
            <v>6</v>
          </cell>
          <cell r="C29" t="str">
            <v>N</v>
          </cell>
          <cell r="D29" t="str">
            <v>T</v>
          </cell>
          <cell r="E29" t="str">
            <v>Malongowe River - Usisya - Timbiri</v>
          </cell>
          <cell r="F29" t="str">
            <v>M11</v>
          </cell>
          <cell r="G29">
            <v>2</v>
          </cell>
          <cell r="H29">
            <v>63</v>
          </cell>
          <cell r="I29" t="str">
            <v>R</v>
          </cell>
          <cell r="J29" t="str">
            <v>MZIMBA</v>
          </cell>
          <cell r="K29">
            <v>3</v>
          </cell>
        </row>
        <row r="30">
          <cell r="A30" t="str">
            <v>RS 220</v>
          </cell>
          <cell r="B30">
            <v>42</v>
          </cell>
          <cell r="C30" t="str">
            <v>C</v>
          </cell>
          <cell r="D30" t="str">
            <v>T</v>
          </cell>
          <cell r="E30" t="str">
            <v>Dzaleka - Dowa</v>
          </cell>
          <cell r="F30" t="str">
            <v>M16</v>
          </cell>
          <cell r="G30">
            <v>1</v>
          </cell>
          <cell r="H30">
            <v>7.4</v>
          </cell>
          <cell r="I30" t="str">
            <v>R</v>
          </cell>
          <cell r="J30" t="str">
            <v>DOWA</v>
          </cell>
          <cell r="K30">
            <v>6</v>
          </cell>
        </row>
        <row r="31">
          <cell r="A31" t="str">
            <v>RS 219</v>
          </cell>
          <cell r="B31">
            <v>41</v>
          </cell>
          <cell r="C31" t="str">
            <v>C</v>
          </cell>
          <cell r="D31" t="str">
            <v>T</v>
          </cell>
          <cell r="E31" t="str">
            <v>Dowa - Chezi</v>
          </cell>
          <cell r="F31" t="str">
            <v>M16</v>
          </cell>
          <cell r="G31">
            <v>2</v>
          </cell>
          <cell r="H31">
            <v>16.600000000000001</v>
          </cell>
          <cell r="I31" t="str">
            <v>H</v>
          </cell>
          <cell r="J31" t="str">
            <v>DOWA</v>
          </cell>
          <cell r="K31">
            <v>6</v>
          </cell>
        </row>
        <row r="32">
          <cell r="A32" t="str">
            <v>RS 049</v>
          </cell>
          <cell r="B32">
            <v>49</v>
          </cell>
          <cell r="C32" t="str">
            <v>C</v>
          </cell>
          <cell r="D32" t="str">
            <v>T</v>
          </cell>
          <cell r="E32" t="str">
            <v>Nkhota-kota - Malenga</v>
          </cell>
          <cell r="F32" t="str">
            <v>M18</v>
          </cell>
          <cell r="G32">
            <v>1</v>
          </cell>
          <cell r="H32">
            <v>5.6</v>
          </cell>
          <cell r="I32" t="str">
            <v>F</v>
          </cell>
          <cell r="J32" t="str">
            <v>NKHOTA KOTA</v>
          </cell>
          <cell r="K32">
            <v>5</v>
          </cell>
          <cell r="L32" t="str">
            <v>Changed designation from M5 to M18</v>
          </cell>
        </row>
        <row r="33">
          <cell r="A33" t="str">
            <v>RS 224</v>
          </cell>
          <cell r="B33">
            <v>46</v>
          </cell>
          <cell r="C33" t="str">
            <v>C</v>
          </cell>
          <cell r="D33" t="str">
            <v>T</v>
          </cell>
          <cell r="E33" t="str">
            <v>Malenga - Nkhotakota Game Reserve</v>
          </cell>
          <cell r="F33" t="str">
            <v>M18</v>
          </cell>
          <cell r="G33">
            <v>2</v>
          </cell>
          <cell r="H33">
            <v>16.100000000000001</v>
          </cell>
          <cell r="I33" t="str">
            <v>F</v>
          </cell>
          <cell r="J33" t="str">
            <v>NKHOTA KOTA</v>
          </cell>
          <cell r="K33">
            <v>5</v>
          </cell>
        </row>
        <row r="34">
          <cell r="A34" t="str">
            <v>RS 222</v>
          </cell>
          <cell r="B34">
            <v>44</v>
          </cell>
          <cell r="C34" t="str">
            <v>C</v>
          </cell>
          <cell r="D34" t="str">
            <v>T</v>
          </cell>
          <cell r="E34" t="str">
            <v>Nkhotakota Game Reserve - Mbobo</v>
          </cell>
          <cell r="F34" t="str">
            <v>M18</v>
          </cell>
          <cell r="G34">
            <v>3</v>
          </cell>
          <cell r="H34">
            <v>32.6</v>
          </cell>
          <cell r="I34" t="str">
            <v>R</v>
          </cell>
          <cell r="J34" t="str">
            <v>NKHOTA KOTA &amp; NTCHISI</v>
          </cell>
          <cell r="K34">
            <v>5</v>
          </cell>
        </row>
        <row r="35">
          <cell r="A35" t="str">
            <v>RS 223</v>
          </cell>
          <cell r="B35">
            <v>45</v>
          </cell>
          <cell r="C35" t="str">
            <v>C</v>
          </cell>
          <cell r="D35" t="str">
            <v>T</v>
          </cell>
          <cell r="E35" t="str">
            <v>Mbobo - Malomo T.C.</v>
          </cell>
          <cell r="F35" t="str">
            <v>M18</v>
          </cell>
          <cell r="G35">
            <v>4</v>
          </cell>
          <cell r="H35">
            <v>18.100000000000001</v>
          </cell>
          <cell r="I35" t="str">
            <v>R</v>
          </cell>
          <cell r="J35" t="str">
            <v>NTCHISI</v>
          </cell>
          <cell r="K35">
            <v>5</v>
          </cell>
        </row>
        <row r="36">
          <cell r="A36" t="str">
            <v>RS 837</v>
          </cell>
          <cell r="B36" t="str">
            <v>n.a.</v>
          </cell>
          <cell r="C36" t="str">
            <v>C</v>
          </cell>
          <cell r="D36" t="str">
            <v>T</v>
          </cell>
          <cell r="E36" t="str">
            <v>Malomo T.C. - Chima</v>
          </cell>
          <cell r="F36" t="str">
            <v>M18</v>
          </cell>
          <cell r="G36">
            <v>5</v>
          </cell>
          <cell r="H36">
            <v>14.4</v>
          </cell>
          <cell r="I36" t="str">
            <v>R</v>
          </cell>
          <cell r="J36" t="str">
            <v>LILONGWE</v>
          </cell>
          <cell r="K36">
            <v>6</v>
          </cell>
          <cell r="L36" t="str">
            <v>New section part of RS 225</v>
          </cell>
        </row>
        <row r="37">
          <cell r="A37" t="str">
            <v>RS 259</v>
          </cell>
          <cell r="B37">
            <v>81</v>
          </cell>
          <cell r="C37" t="str">
            <v>C</v>
          </cell>
          <cell r="D37" t="str">
            <v>T</v>
          </cell>
          <cell r="E37" t="str">
            <v>Chima - Chilowamatambe</v>
          </cell>
          <cell r="F37" t="str">
            <v>M18</v>
          </cell>
          <cell r="G37">
            <v>6</v>
          </cell>
          <cell r="H37">
            <v>14.9</v>
          </cell>
          <cell r="I37" t="str">
            <v>F</v>
          </cell>
          <cell r="J37" t="str">
            <v>KASUNGU</v>
          </cell>
          <cell r="K37">
            <v>5</v>
          </cell>
          <cell r="L37" t="str">
            <v>Changed designation from S120 to M18. Now by-passed.</v>
          </cell>
        </row>
        <row r="38">
          <cell r="A38" t="str">
            <v>RS 261</v>
          </cell>
          <cell r="B38">
            <v>83</v>
          </cell>
          <cell r="C38" t="str">
            <v>C</v>
          </cell>
          <cell r="D38" t="str">
            <v>T</v>
          </cell>
          <cell r="E38" t="str">
            <v>Chilowamatambe - Chiwengo</v>
          </cell>
          <cell r="F38" t="str">
            <v>M18</v>
          </cell>
          <cell r="G38">
            <v>7</v>
          </cell>
          <cell r="H38">
            <v>15.9</v>
          </cell>
          <cell r="I38" t="str">
            <v>F</v>
          </cell>
          <cell r="J38" t="str">
            <v>KASUNGU</v>
          </cell>
          <cell r="K38">
            <v>5</v>
          </cell>
          <cell r="L38" t="str">
            <v>Changed designation from S120 to M18. Now by-passed.</v>
          </cell>
        </row>
        <row r="39">
          <cell r="A39" t="str">
            <v>RS 185</v>
          </cell>
          <cell r="B39">
            <v>7</v>
          </cell>
          <cell r="C39" t="str">
            <v>N</v>
          </cell>
          <cell r="D39" t="str">
            <v>T</v>
          </cell>
          <cell r="E39" t="str">
            <v>Luwawa (junction M1) - Mqocha - Jenda (junction S112)</v>
          </cell>
          <cell r="F39" t="str">
            <v>M20</v>
          </cell>
          <cell r="G39">
            <v>1</v>
          </cell>
          <cell r="H39">
            <v>78.5</v>
          </cell>
          <cell r="I39" t="str">
            <v>F</v>
          </cell>
          <cell r="J39" t="str">
            <v>MZIMBA</v>
          </cell>
          <cell r="K39">
            <v>4</v>
          </cell>
          <cell r="L39" t="str">
            <v>Contains road designated T322 (on 1:250,000 series map)</v>
          </cell>
        </row>
        <row r="40">
          <cell r="A40" t="str">
            <v>RS 186</v>
          </cell>
          <cell r="B40">
            <v>8</v>
          </cell>
          <cell r="C40" t="str">
            <v>N</v>
          </cell>
          <cell r="D40" t="str">
            <v>T</v>
          </cell>
          <cell r="E40" t="str">
            <v>Mzimba - Mtangatanga</v>
          </cell>
          <cell r="F40" t="str">
            <v>M22</v>
          </cell>
          <cell r="G40">
            <v>1</v>
          </cell>
          <cell r="H40">
            <v>24</v>
          </cell>
          <cell r="I40" t="str">
            <v>R</v>
          </cell>
          <cell r="J40" t="str">
            <v>MZIMBA</v>
          </cell>
          <cell r="K40">
            <v>4</v>
          </cell>
        </row>
        <row r="41">
          <cell r="A41" t="str">
            <v>RS 187</v>
          </cell>
          <cell r="B41">
            <v>9</v>
          </cell>
          <cell r="C41" t="str">
            <v>N</v>
          </cell>
          <cell r="D41" t="str">
            <v>T</v>
          </cell>
          <cell r="E41" t="str">
            <v>Rumphi - Bolero - Chitanga</v>
          </cell>
          <cell r="F41" t="str">
            <v>M24</v>
          </cell>
          <cell r="G41">
            <v>3</v>
          </cell>
          <cell r="H41">
            <v>37.799999999999997</v>
          </cell>
          <cell r="I41" t="str">
            <v>F</v>
          </cell>
          <cell r="J41" t="str">
            <v>RUMPHI</v>
          </cell>
          <cell r="K41">
            <v>3</v>
          </cell>
          <cell r="L41" t="str">
            <v>Section start changed to Rumphi</v>
          </cell>
        </row>
        <row r="42">
          <cell r="A42" t="str">
            <v>RS 189</v>
          </cell>
          <cell r="B42">
            <v>11</v>
          </cell>
          <cell r="C42" t="str">
            <v>N</v>
          </cell>
          <cell r="D42" t="str">
            <v>T</v>
          </cell>
          <cell r="E42" t="str">
            <v>Chitipa-Lufira River</v>
          </cell>
          <cell r="F42" t="str">
            <v>M26</v>
          </cell>
          <cell r="G42">
            <v>1</v>
          </cell>
          <cell r="H42">
            <v>43</v>
          </cell>
          <cell r="I42" t="str">
            <v>F</v>
          </cell>
          <cell r="J42" t="str">
            <v>CHITIPA</v>
          </cell>
          <cell r="K42">
            <v>1</v>
          </cell>
        </row>
        <row r="43">
          <cell r="A43" t="str">
            <v>RS 188</v>
          </cell>
          <cell r="B43">
            <v>10</v>
          </cell>
          <cell r="C43" t="str">
            <v>N</v>
          </cell>
          <cell r="D43" t="str">
            <v>T</v>
          </cell>
          <cell r="E43" t="str">
            <v>Lufira river-Karonga</v>
          </cell>
          <cell r="F43" t="str">
            <v>M26</v>
          </cell>
          <cell r="G43">
            <v>2</v>
          </cell>
          <cell r="H43">
            <v>43</v>
          </cell>
          <cell r="I43" t="str">
            <v>F&amp;H</v>
          </cell>
          <cell r="J43" t="str">
            <v>CHITIPA &amp; KARONGA</v>
          </cell>
          <cell r="K43" t="str">
            <v>1,2</v>
          </cell>
        </row>
        <row r="44">
          <cell r="A44" t="str">
            <v>RS 190</v>
          </cell>
          <cell r="B44">
            <v>12</v>
          </cell>
          <cell r="C44" t="str">
            <v>N</v>
          </cell>
          <cell r="D44" t="str">
            <v>T</v>
          </cell>
          <cell r="E44" t="str">
            <v>Chisenga - Chisenga customs</v>
          </cell>
          <cell r="F44" t="str">
            <v>S085</v>
          </cell>
          <cell r="G44">
            <v>1</v>
          </cell>
          <cell r="H44">
            <v>12.6</v>
          </cell>
          <cell r="I44" t="str">
            <v>F</v>
          </cell>
          <cell r="J44" t="str">
            <v>CHITIPA</v>
          </cell>
          <cell r="K44">
            <v>2</v>
          </cell>
        </row>
        <row r="45">
          <cell r="A45" t="str">
            <v>RS 192</v>
          </cell>
          <cell r="B45">
            <v>14</v>
          </cell>
          <cell r="C45" t="str">
            <v>N</v>
          </cell>
          <cell r="D45" t="str">
            <v>T</v>
          </cell>
          <cell r="E45" t="str">
            <v>Chendo - Mwakaromba</v>
          </cell>
          <cell r="F45" t="str">
            <v>S100</v>
          </cell>
          <cell r="G45">
            <v>2</v>
          </cell>
          <cell r="H45">
            <v>178.5</v>
          </cell>
          <cell r="I45" t="str">
            <v>F&amp;H</v>
          </cell>
          <cell r="J45" t="str">
            <v>CHITIPA &amp; KARONGA</v>
          </cell>
          <cell r="K45">
            <v>1</v>
          </cell>
        </row>
        <row r="46">
          <cell r="A46" t="str">
            <v>RS 193</v>
          </cell>
          <cell r="B46">
            <v>15</v>
          </cell>
          <cell r="C46" t="str">
            <v>N</v>
          </cell>
          <cell r="D46" t="str">
            <v>T</v>
          </cell>
          <cell r="E46" t="str">
            <v>Kapirinkhonde - Uledi</v>
          </cell>
          <cell r="F46" t="str">
            <v>S101</v>
          </cell>
          <cell r="G46">
            <v>1</v>
          </cell>
          <cell r="H46">
            <v>33.200000000000003</v>
          </cell>
          <cell r="I46" t="str">
            <v>R</v>
          </cell>
          <cell r="J46" t="str">
            <v>CHITIPA &amp; KARONGA</v>
          </cell>
          <cell r="K46">
            <v>2</v>
          </cell>
        </row>
        <row r="47">
          <cell r="A47" t="str">
            <v>RS 191</v>
          </cell>
          <cell r="B47">
            <v>13</v>
          </cell>
          <cell r="C47" t="str">
            <v>N</v>
          </cell>
          <cell r="D47" t="str">
            <v>T</v>
          </cell>
          <cell r="E47" t="str">
            <v>Uledi - Mpata</v>
          </cell>
          <cell r="F47" t="str">
            <v>S101</v>
          </cell>
          <cell r="G47">
            <v>2</v>
          </cell>
          <cell r="H47">
            <v>28</v>
          </cell>
          <cell r="I47" t="str">
            <v>H</v>
          </cell>
          <cell r="J47" t="str">
            <v>KARONGA</v>
          </cell>
          <cell r="K47">
            <v>2</v>
          </cell>
          <cell r="L47" t="str">
            <v>Changed designation from S100 to S101</v>
          </cell>
        </row>
        <row r="48">
          <cell r="A48" t="str">
            <v>RS 195</v>
          </cell>
          <cell r="B48">
            <v>17</v>
          </cell>
          <cell r="C48" t="str">
            <v>N</v>
          </cell>
          <cell r="D48" t="str">
            <v>T</v>
          </cell>
          <cell r="E48" t="str">
            <v>Gamba T/off - Hananiya - Livingstonia (junction M1)</v>
          </cell>
          <cell r="F48" t="str">
            <v>S103</v>
          </cell>
          <cell r="G48">
            <v>1</v>
          </cell>
          <cell r="H48">
            <v>58.1</v>
          </cell>
          <cell r="I48" t="str">
            <v>H</v>
          </cell>
          <cell r="J48" t="str">
            <v>RUMPHI</v>
          </cell>
          <cell r="K48">
            <v>2</v>
          </cell>
        </row>
        <row r="49">
          <cell r="A49" t="str">
            <v>RS 196</v>
          </cell>
          <cell r="B49">
            <v>18</v>
          </cell>
          <cell r="C49" t="str">
            <v>N</v>
          </cell>
          <cell r="D49" t="str">
            <v>T</v>
          </cell>
          <cell r="E49" t="str">
            <v>Hewe - Makonyola</v>
          </cell>
          <cell r="F49" t="str">
            <v>S104</v>
          </cell>
          <cell r="G49">
            <v>1</v>
          </cell>
          <cell r="H49">
            <v>12.8</v>
          </cell>
          <cell r="I49" t="str">
            <v>R</v>
          </cell>
          <cell r="J49" t="str">
            <v>RUMPHI</v>
          </cell>
          <cell r="K49" t="str">
            <v>2,3</v>
          </cell>
        </row>
        <row r="50">
          <cell r="A50" t="str">
            <v>RS 197</v>
          </cell>
          <cell r="B50">
            <v>19</v>
          </cell>
          <cell r="C50" t="str">
            <v>N</v>
          </cell>
          <cell r="D50" t="str">
            <v>T</v>
          </cell>
          <cell r="E50" t="str">
            <v>Chanyama - Mbalachanda - Munyanja - Kazuni</v>
          </cell>
          <cell r="F50" t="str">
            <v>S105</v>
          </cell>
          <cell r="G50">
            <v>1</v>
          </cell>
          <cell r="H50">
            <v>75</v>
          </cell>
          <cell r="I50" t="str">
            <v>F</v>
          </cell>
          <cell r="J50" t="str">
            <v>MZIMBA</v>
          </cell>
          <cell r="K50">
            <v>3</v>
          </cell>
        </row>
        <row r="51">
          <cell r="A51" t="str">
            <v>RS 198</v>
          </cell>
          <cell r="B51">
            <v>20</v>
          </cell>
          <cell r="C51" t="str">
            <v>N</v>
          </cell>
          <cell r="D51" t="str">
            <v>T</v>
          </cell>
          <cell r="E51" t="str">
            <v>Agripa Jere - Euthini - Mtantha</v>
          </cell>
          <cell r="F51" t="str">
            <v>S106</v>
          </cell>
          <cell r="G51">
            <v>1</v>
          </cell>
          <cell r="H51">
            <v>33.1</v>
          </cell>
          <cell r="I51" t="str">
            <v>F</v>
          </cell>
          <cell r="J51" t="str">
            <v>MZIMBA</v>
          </cell>
          <cell r="K51">
            <v>3</v>
          </cell>
        </row>
        <row r="52">
          <cell r="A52" t="str">
            <v>RS 199</v>
          </cell>
          <cell r="B52">
            <v>21</v>
          </cell>
          <cell r="C52" t="str">
            <v>N</v>
          </cell>
          <cell r="D52" t="str">
            <v>T</v>
          </cell>
          <cell r="E52" t="str">
            <v>Ekwendeni - Kafukule - Eswazini - junction M22</v>
          </cell>
          <cell r="F52" t="str">
            <v>S107</v>
          </cell>
          <cell r="G52">
            <v>1</v>
          </cell>
          <cell r="H52">
            <v>82</v>
          </cell>
          <cell r="I52" t="str">
            <v>F</v>
          </cell>
          <cell r="J52" t="str">
            <v>MZIMBA</v>
          </cell>
          <cell r="K52" t="str">
            <v>3,4</v>
          </cell>
        </row>
        <row r="53">
          <cell r="A53" t="str">
            <v>RS 200</v>
          </cell>
          <cell r="B53">
            <v>22</v>
          </cell>
          <cell r="C53" t="str">
            <v>N</v>
          </cell>
          <cell r="D53" t="str">
            <v>T</v>
          </cell>
          <cell r="E53" t="str">
            <v>Usisya - Bula - Choma Hill</v>
          </cell>
          <cell r="F53" t="str">
            <v>S108</v>
          </cell>
          <cell r="G53">
            <v>1</v>
          </cell>
          <cell r="H53">
            <v>22</v>
          </cell>
          <cell r="I53" t="str">
            <v>H</v>
          </cell>
          <cell r="J53" t="str">
            <v>MZIMBA</v>
          </cell>
          <cell r="K53">
            <v>3</v>
          </cell>
        </row>
        <row r="54">
          <cell r="A54" t="str">
            <v>RS 201</v>
          </cell>
          <cell r="B54">
            <v>23</v>
          </cell>
          <cell r="C54" t="str">
            <v>N</v>
          </cell>
          <cell r="D54" t="str">
            <v>T</v>
          </cell>
          <cell r="E54" t="str">
            <v>Choma Hill - Mzuzu</v>
          </cell>
          <cell r="F54" t="str">
            <v>S108</v>
          </cell>
          <cell r="G54">
            <v>2</v>
          </cell>
          <cell r="H54">
            <v>16.5</v>
          </cell>
          <cell r="I54" t="str">
            <v>F</v>
          </cell>
          <cell r="J54" t="str">
            <v>MZIMBA</v>
          </cell>
          <cell r="K54">
            <v>3</v>
          </cell>
        </row>
        <row r="55">
          <cell r="A55" t="str">
            <v>RS 202</v>
          </cell>
          <cell r="B55">
            <v>24</v>
          </cell>
          <cell r="C55" t="str">
            <v>N</v>
          </cell>
          <cell r="D55" t="str">
            <v>T</v>
          </cell>
          <cell r="E55" t="str">
            <v>Mwazisi River - Chikwawa</v>
          </cell>
          <cell r="F55" t="str">
            <v>S109</v>
          </cell>
          <cell r="G55">
            <v>1</v>
          </cell>
          <cell r="H55">
            <v>13.2</v>
          </cell>
          <cell r="I55" t="str">
            <v>F</v>
          </cell>
          <cell r="J55" t="str">
            <v>RUMPI</v>
          </cell>
          <cell r="K55">
            <v>3</v>
          </cell>
        </row>
        <row r="56">
          <cell r="A56" t="str">
            <v>RS 203</v>
          </cell>
          <cell r="B56">
            <v>25</v>
          </cell>
          <cell r="C56" t="str">
            <v>N</v>
          </cell>
          <cell r="D56" t="str">
            <v>T</v>
          </cell>
          <cell r="E56" t="str">
            <v>Chintheche - Mazamba Hill</v>
          </cell>
          <cell r="F56" t="str">
            <v>S110</v>
          </cell>
          <cell r="G56">
            <v>1</v>
          </cell>
          <cell r="H56">
            <v>41</v>
          </cell>
          <cell r="I56" t="str">
            <v>H</v>
          </cell>
          <cell r="J56" t="str">
            <v>NKHATA BAY</v>
          </cell>
          <cell r="K56">
            <v>3</v>
          </cell>
        </row>
        <row r="57">
          <cell r="A57" t="str">
            <v>RS 204</v>
          </cell>
          <cell r="B57">
            <v>26</v>
          </cell>
          <cell r="C57" t="str">
            <v>N</v>
          </cell>
          <cell r="D57" t="str">
            <v>T</v>
          </cell>
          <cell r="E57" t="str">
            <v>Engalaweni - Kandodo Chisi</v>
          </cell>
          <cell r="F57" t="str">
            <v>S111</v>
          </cell>
          <cell r="G57">
            <v>1</v>
          </cell>
          <cell r="H57">
            <v>25.9</v>
          </cell>
          <cell r="I57" t="str">
            <v>R</v>
          </cell>
          <cell r="J57" t="str">
            <v>MZIMBA</v>
          </cell>
          <cell r="K57">
            <v>4</v>
          </cell>
        </row>
        <row r="58">
          <cell r="A58" t="str">
            <v>RS 205</v>
          </cell>
          <cell r="B58">
            <v>27</v>
          </cell>
          <cell r="C58" t="str">
            <v>N</v>
          </cell>
          <cell r="D58" t="str">
            <v>T</v>
          </cell>
          <cell r="E58" t="str">
            <v>Chaiso - Kamteteka</v>
          </cell>
          <cell r="F58" t="str">
            <v>S112</v>
          </cell>
          <cell r="G58">
            <v>1</v>
          </cell>
          <cell r="H58">
            <v>7.1</v>
          </cell>
          <cell r="I58" t="str">
            <v>F</v>
          </cell>
          <cell r="J58" t="str">
            <v>MZIMBA</v>
          </cell>
          <cell r="K58">
            <v>4</v>
          </cell>
        </row>
        <row r="59">
          <cell r="A59" t="str">
            <v>RS 206</v>
          </cell>
          <cell r="B59">
            <v>28</v>
          </cell>
          <cell r="C59" t="str">
            <v>N</v>
          </cell>
          <cell r="D59" t="str">
            <v>T</v>
          </cell>
          <cell r="E59" t="str">
            <v>Kamteteka - Edingeni - Embangweni - Jenda</v>
          </cell>
          <cell r="F59" t="str">
            <v>S112</v>
          </cell>
          <cell r="G59">
            <v>2</v>
          </cell>
          <cell r="H59">
            <v>84</v>
          </cell>
          <cell r="I59" t="str">
            <v>F</v>
          </cell>
          <cell r="J59" t="str">
            <v>MZIMBA</v>
          </cell>
          <cell r="K59">
            <v>4</v>
          </cell>
        </row>
        <row r="60">
          <cell r="A60" t="str">
            <v>RS 207</v>
          </cell>
          <cell r="B60">
            <v>29</v>
          </cell>
          <cell r="C60" t="str">
            <v>N</v>
          </cell>
          <cell r="D60" t="str">
            <v>T</v>
          </cell>
          <cell r="E60" t="str">
            <v>Rumphi River - Luwelezi - Kakwale River</v>
          </cell>
          <cell r="F60" t="str">
            <v>S113</v>
          </cell>
          <cell r="G60">
            <v>1</v>
          </cell>
          <cell r="H60">
            <v>44.9</v>
          </cell>
          <cell r="I60" t="str">
            <v>H</v>
          </cell>
          <cell r="J60" t="str">
            <v>NKHATA BAY</v>
          </cell>
          <cell r="K60">
            <v>4</v>
          </cell>
        </row>
        <row r="61">
          <cell r="A61" t="str">
            <v>RS 226</v>
          </cell>
          <cell r="B61">
            <v>48</v>
          </cell>
          <cell r="C61" t="str">
            <v>C</v>
          </cell>
          <cell r="D61" t="str">
            <v>T</v>
          </cell>
          <cell r="E61" t="str">
            <v>Kachinda - Chimaliro Police</v>
          </cell>
          <cell r="F61" t="str">
            <v>S113</v>
          </cell>
          <cell r="G61">
            <v>2</v>
          </cell>
          <cell r="H61">
            <v>13</v>
          </cell>
          <cell r="I61" t="str">
            <v>F</v>
          </cell>
          <cell r="J61" t="str">
            <v>KASUNGU</v>
          </cell>
          <cell r="K61">
            <v>4</v>
          </cell>
        </row>
        <row r="62">
          <cell r="A62" t="str">
            <v>RS 229</v>
          </cell>
          <cell r="B62">
            <v>51</v>
          </cell>
          <cell r="C62" t="str">
            <v>C</v>
          </cell>
          <cell r="D62" t="str">
            <v>T</v>
          </cell>
          <cell r="E62" t="str">
            <v>Kasungu - Lifupa (Kasungu National Park)</v>
          </cell>
          <cell r="F62" t="str">
            <v>S114</v>
          </cell>
          <cell r="G62">
            <v>1</v>
          </cell>
          <cell r="H62">
            <v>47</v>
          </cell>
          <cell r="I62" t="str">
            <v>F</v>
          </cell>
          <cell r="J62" t="str">
            <v>KASUNGU</v>
          </cell>
          <cell r="K62">
            <v>5</v>
          </cell>
        </row>
        <row r="63">
          <cell r="A63" t="str">
            <v>RS 218</v>
          </cell>
          <cell r="B63">
            <v>40</v>
          </cell>
          <cell r="C63" t="str">
            <v>C</v>
          </cell>
          <cell r="D63" t="str">
            <v>T</v>
          </cell>
          <cell r="E63" t="str">
            <v>Zidunge - Senga</v>
          </cell>
          <cell r="F63" t="str">
            <v>S115</v>
          </cell>
          <cell r="G63">
            <v>1</v>
          </cell>
          <cell r="H63">
            <v>8.3000000000000007</v>
          </cell>
          <cell r="I63" t="str">
            <v>F</v>
          </cell>
          <cell r="J63" t="str">
            <v>DOWA</v>
          </cell>
          <cell r="K63">
            <v>6</v>
          </cell>
          <cell r="L63" t="str">
            <v>Changed designation from M16 to S115</v>
          </cell>
        </row>
        <row r="64">
          <cell r="A64" t="str">
            <v>RS 233</v>
          </cell>
          <cell r="B64">
            <v>55</v>
          </cell>
          <cell r="C64" t="str">
            <v>C</v>
          </cell>
          <cell r="D64" t="str">
            <v>T</v>
          </cell>
          <cell r="E64" t="str">
            <v>Senga - Dangaliro</v>
          </cell>
          <cell r="F64" t="str">
            <v>S115</v>
          </cell>
          <cell r="G64">
            <v>2</v>
          </cell>
          <cell r="H64">
            <v>10.7</v>
          </cell>
          <cell r="I64" t="str">
            <v>F</v>
          </cell>
          <cell r="J64" t="str">
            <v>DOWA</v>
          </cell>
          <cell r="K64">
            <v>6</v>
          </cell>
        </row>
        <row r="65">
          <cell r="A65" t="str">
            <v>RS 232</v>
          </cell>
          <cell r="B65">
            <v>54</v>
          </cell>
          <cell r="C65" t="str">
            <v>C</v>
          </cell>
          <cell r="D65" t="str">
            <v>T</v>
          </cell>
          <cell r="E65" t="str">
            <v>Dangaliro - Mkulumimba</v>
          </cell>
          <cell r="F65" t="str">
            <v>S115</v>
          </cell>
          <cell r="G65">
            <v>3</v>
          </cell>
          <cell r="H65">
            <v>15.4</v>
          </cell>
          <cell r="I65" t="str">
            <v>F</v>
          </cell>
          <cell r="J65" t="str">
            <v>DOWA</v>
          </cell>
          <cell r="K65">
            <v>6</v>
          </cell>
        </row>
        <row r="66">
          <cell r="A66" t="str">
            <v>RS 231</v>
          </cell>
          <cell r="B66">
            <v>53</v>
          </cell>
          <cell r="C66" t="str">
            <v>C</v>
          </cell>
          <cell r="D66" t="str">
            <v>T</v>
          </cell>
          <cell r="E66" t="str">
            <v>Mkulumimba - Bua River Bridge</v>
          </cell>
          <cell r="F66" t="str">
            <v>S115</v>
          </cell>
          <cell r="G66">
            <v>4</v>
          </cell>
          <cell r="H66">
            <v>13</v>
          </cell>
          <cell r="I66" t="str">
            <v>F</v>
          </cell>
          <cell r="J66" t="str">
            <v>DOWA &amp; LILONGWE</v>
          </cell>
          <cell r="K66">
            <v>6</v>
          </cell>
        </row>
        <row r="67">
          <cell r="A67" t="str">
            <v>RS 238</v>
          </cell>
          <cell r="B67">
            <v>60</v>
          </cell>
          <cell r="C67" t="str">
            <v>C</v>
          </cell>
          <cell r="D67" t="str">
            <v>T</v>
          </cell>
          <cell r="E67" t="str">
            <v>Mpala T.C. - Ganondo</v>
          </cell>
          <cell r="F67" t="str">
            <v>S116</v>
          </cell>
          <cell r="G67">
            <v>1</v>
          </cell>
          <cell r="H67">
            <v>3.8</v>
          </cell>
          <cell r="I67" t="str">
            <v>F</v>
          </cell>
          <cell r="J67" t="str">
            <v>NTCHISI</v>
          </cell>
          <cell r="K67">
            <v>5</v>
          </cell>
        </row>
        <row r="68">
          <cell r="A68" t="str">
            <v>RS 241</v>
          </cell>
          <cell r="B68">
            <v>63</v>
          </cell>
          <cell r="C68" t="str">
            <v>C</v>
          </cell>
          <cell r="D68" t="str">
            <v>T</v>
          </cell>
          <cell r="E68" t="str">
            <v>Gonondo - Kamsonga</v>
          </cell>
          <cell r="F68" t="str">
            <v>S116</v>
          </cell>
          <cell r="G68">
            <v>2</v>
          </cell>
          <cell r="H68">
            <v>12.3</v>
          </cell>
          <cell r="I68" t="str">
            <v>R</v>
          </cell>
          <cell r="J68" t="str">
            <v>NTCHISI</v>
          </cell>
          <cell r="K68">
            <v>5</v>
          </cell>
        </row>
        <row r="69">
          <cell r="A69" t="str">
            <v>RS 243</v>
          </cell>
          <cell r="B69">
            <v>65</v>
          </cell>
          <cell r="C69" t="str">
            <v>C</v>
          </cell>
          <cell r="D69" t="str">
            <v>T</v>
          </cell>
          <cell r="E69" t="str">
            <v>Kamsonga - Muchala</v>
          </cell>
          <cell r="F69" t="str">
            <v>S116</v>
          </cell>
          <cell r="G69">
            <v>3</v>
          </cell>
          <cell r="H69">
            <v>12.3</v>
          </cell>
          <cell r="I69" t="str">
            <v>R</v>
          </cell>
          <cell r="J69" t="str">
            <v>NTCHISI</v>
          </cell>
          <cell r="K69">
            <v>5</v>
          </cell>
        </row>
        <row r="70">
          <cell r="A70" t="str">
            <v>RS 236</v>
          </cell>
          <cell r="B70">
            <v>58</v>
          </cell>
          <cell r="C70" t="str">
            <v>C</v>
          </cell>
          <cell r="D70" t="str">
            <v>T</v>
          </cell>
          <cell r="E70" t="str">
            <v>Muchala - Chisoso</v>
          </cell>
          <cell r="F70" t="str">
            <v>S116</v>
          </cell>
          <cell r="G70">
            <v>4</v>
          </cell>
          <cell r="H70">
            <v>5.5</v>
          </cell>
          <cell r="I70" t="str">
            <v>F</v>
          </cell>
          <cell r="J70" t="str">
            <v>NTCHISI</v>
          </cell>
          <cell r="K70">
            <v>5</v>
          </cell>
        </row>
        <row r="71">
          <cell r="A71" t="str">
            <v>RS 242</v>
          </cell>
          <cell r="B71">
            <v>64</v>
          </cell>
          <cell r="C71" t="str">
            <v>C</v>
          </cell>
          <cell r="D71" t="str">
            <v>T</v>
          </cell>
          <cell r="E71" t="str">
            <v>Chisoso - Madisi</v>
          </cell>
          <cell r="F71" t="str">
            <v>S116</v>
          </cell>
          <cell r="G71">
            <v>5</v>
          </cell>
          <cell r="H71">
            <v>16.100000000000001</v>
          </cell>
          <cell r="I71" t="str">
            <v>F</v>
          </cell>
          <cell r="J71" t="str">
            <v>DOWA</v>
          </cell>
          <cell r="K71">
            <v>5</v>
          </cell>
        </row>
        <row r="72">
          <cell r="A72" t="str">
            <v>RS 234</v>
          </cell>
          <cell r="B72">
            <v>56</v>
          </cell>
          <cell r="C72" t="str">
            <v>C</v>
          </cell>
          <cell r="D72" t="str">
            <v>T</v>
          </cell>
          <cell r="E72" t="str">
            <v>Madisi - Bua River Bridge</v>
          </cell>
          <cell r="F72" t="str">
            <v>S116</v>
          </cell>
          <cell r="G72">
            <v>6</v>
          </cell>
          <cell r="H72">
            <v>14.1</v>
          </cell>
          <cell r="I72" t="str">
            <v>F</v>
          </cell>
          <cell r="J72" t="str">
            <v>DOWA</v>
          </cell>
          <cell r="K72">
            <v>5</v>
          </cell>
        </row>
        <row r="73">
          <cell r="A73" t="str">
            <v>RS 239</v>
          </cell>
          <cell r="B73">
            <v>61</v>
          </cell>
          <cell r="C73" t="str">
            <v>C</v>
          </cell>
          <cell r="D73" t="str">
            <v>T</v>
          </cell>
          <cell r="E73" t="str">
            <v>Matutu - Kamuzu School</v>
          </cell>
          <cell r="F73" t="str">
            <v>S116</v>
          </cell>
          <cell r="G73">
            <v>9</v>
          </cell>
          <cell r="H73">
            <v>21.6</v>
          </cell>
          <cell r="I73" t="str">
            <v>F</v>
          </cell>
          <cell r="J73" t="str">
            <v>MCHINJI</v>
          </cell>
          <cell r="K73">
            <v>6</v>
          </cell>
          <cell r="L73" t="str">
            <v>Changed designation from S120 to T349</v>
          </cell>
        </row>
        <row r="74">
          <cell r="A74" t="str">
            <v>RS 246</v>
          </cell>
          <cell r="B74">
            <v>68</v>
          </cell>
          <cell r="C74" t="str">
            <v>C</v>
          </cell>
          <cell r="D74" t="str">
            <v>T</v>
          </cell>
          <cell r="E74" t="str">
            <v xml:space="preserve"> Mbabzi - Chilobwe - Santhe</v>
          </cell>
          <cell r="F74" t="str">
            <v>S117</v>
          </cell>
          <cell r="G74">
            <v>3</v>
          </cell>
          <cell r="H74">
            <v>93</v>
          </cell>
          <cell r="I74" t="str">
            <v>F</v>
          </cell>
          <cell r="J74" t="str">
            <v>LL &amp; MC &amp; KU</v>
          </cell>
          <cell r="K74" t="str">
            <v>6,5</v>
          </cell>
        </row>
        <row r="75">
          <cell r="A75" t="str">
            <v>RS 247</v>
          </cell>
          <cell r="B75">
            <v>69</v>
          </cell>
          <cell r="C75" t="str">
            <v>C</v>
          </cell>
          <cell r="D75" t="str">
            <v>T</v>
          </cell>
          <cell r="E75" t="str">
            <v>Changuluwa - Kachenje School</v>
          </cell>
          <cell r="F75" t="str">
            <v>S118</v>
          </cell>
          <cell r="G75">
            <v>1</v>
          </cell>
          <cell r="H75">
            <v>21</v>
          </cell>
          <cell r="I75" t="str">
            <v>F</v>
          </cell>
          <cell r="J75" t="str">
            <v>KASUNGU</v>
          </cell>
          <cell r="K75">
            <v>5</v>
          </cell>
        </row>
        <row r="76">
          <cell r="A76" t="str">
            <v>RS 250</v>
          </cell>
          <cell r="B76">
            <v>72</v>
          </cell>
          <cell r="C76" t="str">
            <v>C</v>
          </cell>
          <cell r="D76" t="str">
            <v>T</v>
          </cell>
          <cell r="E76" t="str">
            <v>Kamutu Village - Mavumbi River</v>
          </cell>
          <cell r="F76" t="str">
            <v>S118</v>
          </cell>
          <cell r="G76">
            <v>2</v>
          </cell>
          <cell r="H76">
            <v>5</v>
          </cell>
          <cell r="I76" t="str">
            <v>F</v>
          </cell>
          <cell r="J76" t="str">
            <v>KASUNGU</v>
          </cell>
          <cell r="K76">
            <v>5</v>
          </cell>
        </row>
        <row r="77">
          <cell r="A77" t="str">
            <v>RS 249</v>
          </cell>
          <cell r="B77">
            <v>71</v>
          </cell>
          <cell r="C77" t="str">
            <v>C</v>
          </cell>
          <cell r="D77" t="str">
            <v>T</v>
          </cell>
          <cell r="E77" t="str">
            <v>Mavumbi River - G.F. Estate 54</v>
          </cell>
          <cell r="F77" t="str">
            <v>S118</v>
          </cell>
          <cell r="G77">
            <v>3</v>
          </cell>
          <cell r="H77">
            <v>11</v>
          </cell>
          <cell r="I77" t="str">
            <v>F</v>
          </cell>
          <cell r="J77" t="str">
            <v>KASUNGU</v>
          </cell>
          <cell r="K77">
            <v>5</v>
          </cell>
        </row>
        <row r="78">
          <cell r="A78" t="str">
            <v>RS 248</v>
          </cell>
          <cell r="B78">
            <v>70</v>
          </cell>
          <cell r="C78" t="str">
            <v>C</v>
          </cell>
          <cell r="D78" t="str">
            <v>T</v>
          </cell>
          <cell r="E78" t="str">
            <v>Plaka Estate - G.F. Estate 54</v>
          </cell>
          <cell r="F78" t="str">
            <v>S118</v>
          </cell>
          <cell r="G78">
            <v>4</v>
          </cell>
          <cell r="H78">
            <v>26.4</v>
          </cell>
          <cell r="I78" t="str">
            <v>F</v>
          </cell>
          <cell r="J78" t="str">
            <v>MCHINJI</v>
          </cell>
          <cell r="K78">
            <v>5</v>
          </cell>
        </row>
        <row r="79">
          <cell r="A79" t="str">
            <v>RS 253</v>
          </cell>
          <cell r="B79">
            <v>75</v>
          </cell>
          <cell r="C79" t="str">
            <v>C</v>
          </cell>
          <cell r="D79" t="str">
            <v>T</v>
          </cell>
          <cell r="E79" t="str">
            <v>Mkanda - Chawala T.C.</v>
          </cell>
          <cell r="F79" t="str">
            <v>S118</v>
          </cell>
          <cell r="G79">
            <v>5</v>
          </cell>
          <cell r="H79">
            <v>9.3000000000000007</v>
          </cell>
          <cell r="I79" t="str">
            <v>F</v>
          </cell>
          <cell r="J79" t="str">
            <v>MCHINJI</v>
          </cell>
          <cell r="K79" t="str">
            <v>5,6</v>
          </cell>
        </row>
        <row r="80">
          <cell r="A80" t="str">
            <v>RS 251</v>
          </cell>
          <cell r="B80">
            <v>73</v>
          </cell>
          <cell r="C80" t="str">
            <v>C</v>
          </cell>
          <cell r="D80" t="str">
            <v>T</v>
          </cell>
          <cell r="E80" t="str">
            <v>Chawala T.C. - Mchinji School</v>
          </cell>
          <cell r="F80" t="str">
            <v>S118</v>
          </cell>
          <cell r="G80">
            <v>6</v>
          </cell>
          <cell r="H80">
            <v>15.5</v>
          </cell>
          <cell r="I80" t="str">
            <v>F</v>
          </cell>
          <cell r="J80" t="str">
            <v>MCHINJI</v>
          </cell>
          <cell r="K80">
            <v>6</v>
          </cell>
        </row>
        <row r="81">
          <cell r="A81" t="str">
            <v>RS 252</v>
          </cell>
          <cell r="B81">
            <v>74</v>
          </cell>
          <cell r="C81" t="str">
            <v>C</v>
          </cell>
          <cell r="D81" t="str">
            <v>T</v>
          </cell>
          <cell r="E81" t="str">
            <v>Mchinji School - Kamuzu School</v>
          </cell>
          <cell r="F81" t="str">
            <v>S118</v>
          </cell>
          <cell r="G81">
            <v>7</v>
          </cell>
          <cell r="H81">
            <v>10.8</v>
          </cell>
          <cell r="I81" t="str">
            <v>F</v>
          </cell>
          <cell r="J81" t="str">
            <v>MCHINJI</v>
          </cell>
          <cell r="K81">
            <v>6</v>
          </cell>
          <cell r="L81" t="str">
            <v>Changed designation from M2 to M4</v>
          </cell>
        </row>
        <row r="82">
          <cell r="A82" t="str">
            <v>RS 257</v>
          </cell>
          <cell r="B82">
            <v>79</v>
          </cell>
          <cell r="C82" t="str">
            <v>C</v>
          </cell>
          <cell r="D82" t="str">
            <v>T</v>
          </cell>
          <cell r="E82" t="str">
            <v>Mchepa - Kaniche</v>
          </cell>
          <cell r="F82" t="str">
            <v>S119</v>
          </cell>
          <cell r="G82">
            <v>1</v>
          </cell>
          <cell r="H82">
            <v>3.4</v>
          </cell>
          <cell r="I82" t="str">
            <v>R</v>
          </cell>
          <cell r="J82" t="str">
            <v>SALIMA</v>
          </cell>
          <cell r="K82">
            <v>7</v>
          </cell>
        </row>
        <row r="83">
          <cell r="A83" t="str">
            <v>RS 256</v>
          </cell>
          <cell r="B83">
            <v>78</v>
          </cell>
          <cell r="C83" t="str">
            <v>C</v>
          </cell>
          <cell r="D83" t="str">
            <v>T</v>
          </cell>
          <cell r="E83" t="str">
            <v>Kaniche - Kanongola</v>
          </cell>
          <cell r="F83" t="str">
            <v>S119</v>
          </cell>
          <cell r="G83">
            <v>2</v>
          </cell>
          <cell r="H83">
            <v>9.4</v>
          </cell>
          <cell r="I83" t="str">
            <v>R</v>
          </cell>
          <cell r="J83" t="str">
            <v>SALIMA</v>
          </cell>
          <cell r="K83">
            <v>6</v>
          </cell>
        </row>
        <row r="84">
          <cell r="A84" t="str">
            <v>RS 255</v>
          </cell>
          <cell r="B84">
            <v>77</v>
          </cell>
          <cell r="C84" t="str">
            <v>C</v>
          </cell>
          <cell r="D84" t="str">
            <v>T</v>
          </cell>
          <cell r="E84" t="str">
            <v>Kanongola - Mafika</v>
          </cell>
          <cell r="F84" t="str">
            <v>S119</v>
          </cell>
          <cell r="G84">
            <v>3</v>
          </cell>
          <cell r="H84">
            <v>18.899999999999999</v>
          </cell>
          <cell r="I84" t="str">
            <v>R</v>
          </cell>
          <cell r="J84" t="str">
            <v>DOWA</v>
          </cell>
          <cell r="K84">
            <v>6</v>
          </cell>
        </row>
        <row r="85">
          <cell r="A85" t="str">
            <v>RS 254</v>
          </cell>
          <cell r="B85">
            <v>76</v>
          </cell>
          <cell r="C85" t="str">
            <v>C</v>
          </cell>
          <cell r="D85" t="str">
            <v>T</v>
          </cell>
          <cell r="E85" t="str">
            <v>Mafika - Lipanda</v>
          </cell>
          <cell r="F85" t="str">
            <v>S119</v>
          </cell>
          <cell r="G85">
            <v>4</v>
          </cell>
          <cell r="H85">
            <v>16.899999999999999</v>
          </cell>
          <cell r="I85" t="str">
            <v>R</v>
          </cell>
          <cell r="J85" t="str">
            <v>DOWA</v>
          </cell>
          <cell r="K85">
            <v>6</v>
          </cell>
        </row>
        <row r="86">
          <cell r="A86" t="str">
            <v>RS 272</v>
          </cell>
          <cell r="B86">
            <v>94</v>
          </cell>
          <cell r="C86" t="str">
            <v>C</v>
          </cell>
          <cell r="D86" t="str">
            <v>T</v>
          </cell>
          <cell r="E86" t="str">
            <v>Kachinchezo - Kachiwele</v>
          </cell>
          <cell r="F86" t="str">
            <v>S121</v>
          </cell>
          <cell r="G86">
            <v>1</v>
          </cell>
          <cell r="H86">
            <v>7.6</v>
          </cell>
          <cell r="I86" t="str">
            <v>F</v>
          </cell>
          <cell r="J86" t="str">
            <v>LILONGWE</v>
          </cell>
          <cell r="K86">
            <v>6</v>
          </cell>
        </row>
        <row r="87">
          <cell r="A87" t="str">
            <v>RS 267</v>
          </cell>
          <cell r="B87">
            <v>89</v>
          </cell>
          <cell r="C87" t="str">
            <v>C</v>
          </cell>
          <cell r="D87" t="str">
            <v>T</v>
          </cell>
          <cell r="E87" t="str">
            <v>Kachiwele - Lilongwe river</v>
          </cell>
          <cell r="F87" t="str">
            <v>S121</v>
          </cell>
          <cell r="G87">
            <v>2</v>
          </cell>
          <cell r="H87">
            <v>6.7</v>
          </cell>
          <cell r="I87" t="str">
            <v>H</v>
          </cell>
          <cell r="J87" t="str">
            <v>LILONGWE</v>
          </cell>
          <cell r="K87">
            <v>6</v>
          </cell>
        </row>
        <row r="88">
          <cell r="A88" t="str">
            <v>RS 268</v>
          </cell>
          <cell r="B88">
            <v>90</v>
          </cell>
          <cell r="C88" t="str">
            <v>C</v>
          </cell>
          <cell r="D88" t="str">
            <v>T</v>
          </cell>
          <cell r="E88" t="str">
            <v>Lilongwe River - Milungu</v>
          </cell>
          <cell r="F88" t="str">
            <v>S121</v>
          </cell>
          <cell r="G88">
            <v>3</v>
          </cell>
          <cell r="H88">
            <v>15.5</v>
          </cell>
          <cell r="I88" t="str">
            <v>R</v>
          </cell>
          <cell r="J88" t="str">
            <v>LILONGWE</v>
          </cell>
          <cell r="K88">
            <v>6</v>
          </cell>
          <cell r="L88" t="str">
            <v>Changed designation from D276 to T357</v>
          </cell>
        </row>
        <row r="89">
          <cell r="A89" t="str">
            <v>RS 270</v>
          </cell>
          <cell r="B89">
            <v>92</v>
          </cell>
          <cell r="C89" t="str">
            <v>C</v>
          </cell>
          <cell r="D89" t="str">
            <v>T</v>
          </cell>
          <cell r="E89" t="str">
            <v>Milungu - Chimbalanga</v>
          </cell>
          <cell r="F89" t="str">
            <v>S121</v>
          </cell>
          <cell r="G89">
            <v>4</v>
          </cell>
          <cell r="H89">
            <v>7.3</v>
          </cell>
          <cell r="I89" t="str">
            <v>H</v>
          </cell>
          <cell r="J89" t="str">
            <v>LILONGWE</v>
          </cell>
          <cell r="K89">
            <v>6</v>
          </cell>
          <cell r="L89" t="str">
            <v>Changed designation from T358 to T357</v>
          </cell>
        </row>
        <row r="90">
          <cell r="A90" t="str">
            <v>RS 264</v>
          </cell>
          <cell r="B90">
            <v>86</v>
          </cell>
          <cell r="C90" t="str">
            <v>C</v>
          </cell>
          <cell r="D90" t="str">
            <v>T</v>
          </cell>
          <cell r="E90" t="str">
            <v>Chimbalanga - Mphunzi</v>
          </cell>
          <cell r="F90" t="str">
            <v>S121</v>
          </cell>
          <cell r="G90">
            <v>5</v>
          </cell>
          <cell r="H90">
            <v>4.2</v>
          </cell>
          <cell r="I90" t="str">
            <v>R</v>
          </cell>
          <cell r="J90" t="str">
            <v>LILONGWE</v>
          </cell>
          <cell r="K90">
            <v>6</v>
          </cell>
        </row>
        <row r="91">
          <cell r="A91" t="str">
            <v>RS 262</v>
          </cell>
          <cell r="B91">
            <v>84</v>
          </cell>
          <cell r="C91" t="str">
            <v>C</v>
          </cell>
          <cell r="D91" t="str">
            <v>T</v>
          </cell>
          <cell r="E91" t="str">
            <v>Mphunzi - Mpeya T.C.</v>
          </cell>
          <cell r="F91" t="str">
            <v>S121</v>
          </cell>
          <cell r="G91">
            <v>6</v>
          </cell>
          <cell r="H91">
            <v>5.9</v>
          </cell>
          <cell r="I91" t="str">
            <v>F</v>
          </cell>
          <cell r="J91" t="str">
            <v>LILONGWE</v>
          </cell>
          <cell r="K91">
            <v>6</v>
          </cell>
        </row>
        <row r="92">
          <cell r="A92" t="str">
            <v>RS 269</v>
          </cell>
          <cell r="B92">
            <v>91</v>
          </cell>
          <cell r="C92" t="str">
            <v>C</v>
          </cell>
          <cell r="D92" t="str">
            <v>T</v>
          </cell>
          <cell r="E92" t="str">
            <v>Mpeya T.C. - Chamadenga</v>
          </cell>
          <cell r="F92" t="str">
            <v>S121</v>
          </cell>
          <cell r="G92">
            <v>7</v>
          </cell>
          <cell r="H92">
            <v>6.4</v>
          </cell>
          <cell r="I92" t="str">
            <v>F</v>
          </cell>
          <cell r="J92" t="str">
            <v>LILONGWE</v>
          </cell>
          <cell r="K92">
            <v>6</v>
          </cell>
        </row>
        <row r="93">
          <cell r="A93" t="str">
            <v>RS 273</v>
          </cell>
          <cell r="B93">
            <v>95</v>
          </cell>
          <cell r="C93" t="str">
            <v>C</v>
          </cell>
          <cell r="D93" t="str">
            <v>T</v>
          </cell>
          <cell r="E93" t="str">
            <v>Chamadenga - Kamphata</v>
          </cell>
          <cell r="F93" t="str">
            <v>S121</v>
          </cell>
          <cell r="G93">
            <v>8</v>
          </cell>
          <cell r="H93">
            <v>9.1</v>
          </cell>
          <cell r="I93" t="str">
            <v>F</v>
          </cell>
          <cell r="J93" t="str">
            <v>LILONGWE</v>
          </cell>
          <cell r="K93">
            <v>6</v>
          </cell>
        </row>
        <row r="94">
          <cell r="A94" t="str">
            <v>RS 278</v>
          </cell>
          <cell r="B94">
            <v>100</v>
          </cell>
          <cell r="C94" t="str">
            <v>C</v>
          </cell>
          <cell r="D94" t="str">
            <v>T</v>
          </cell>
          <cell r="E94" t="str">
            <v>Kaunda Road - Lingadzi River</v>
          </cell>
          <cell r="F94" t="str">
            <v>S123</v>
          </cell>
          <cell r="G94">
            <v>1</v>
          </cell>
          <cell r="H94">
            <v>6</v>
          </cell>
          <cell r="I94" t="str">
            <v>F</v>
          </cell>
          <cell r="J94" t="str">
            <v>LILONGWE</v>
          </cell>
          <cell r="K94">
            <v>6</v>
          </cell>
          <cell r="L94" t="str">
            <v>Section start changed to exclude Chendawaka Road (RS 154)</v>
          </cell>
        </row>
        <row r="95">
          <cell r="A95" t="str">
            <v>RS 277</v>
          </cell>
          <cell r="B95">
            <v>99</v>
          </cell>
          <cell r="C95" t="str">
            <v>C</v>
          </cell>
          <cell r="D95" t="str">
            <v>T</v>
          </cell>
          <cell r="E95" t="str">
            <v>Lingadzi River - Chitedze</v>
          </cell>
          <cell r="F95" t="str">
            <v>S123</v>
          </cell>
          <cell r="G95">
            <v>2</v>
          </cell>
          <cell r="H95">
            <v>15.2</v>
          </cell>
          <cell r="I95" t="str">
            <v>F</v>
          </cell>
          <cell r="J95" t="str">
            <v>LILONGWE</v>
          </cell>
          <cell r="K95">
            <v>6</v>
          </cell>
        </row>
        <row r="96">
          <cell r="A96" t="str">
            <v>RS 282</v>
          </cell>
          <cell r="B96">
            <v>104</v>
          </cell>
          <cell r="C96" t="str">
            <v>C</v>
          </cell>
          <cell r="D96" t="str">
            <v>T</v>
          </cell>
          <cell r="E96" t="str">
            <v>Likuni - Kakoma</v>
          </cell>
          <cell r="F96" t="str">
            <v>S124</v>
          </cell>
          <cell r="G96">
            <v>3</v>
          </cell>
          <cell r="H96">
            <v>10.3</v>
          </cell>
          <cell r="I96" t="str">
            <v>F</v>
          </cell>
          <cell r="J96" t="str">
            <v>LILONGWE</v>
          </cell>
          <cell r="K96">
            <v>6</v>
          </cell>
        </row>
        <row r="97">
          <cell r="A97" t="str">
            <v>RS 292</v>
          </cell>
          <cell r="B97">
            <v>114</v>
          </cell>
          <cell r="C97" t="str">
            <v>C</v>
          </cell>
          <cell r="D97" t="str">
            <v>T</v>
          </cell>
          <cell r="E97" t="str">
            <v>Kakoma - Malingunde</v>
          </cell>
          <cell r="F97" t="str">
            <v>S124</v>
          </cell>
          <cell r="G97">
            <v>4</v>
          </cell>
          <cell r="H97">
            <v>7</v>
          </cell>
          <cell r="I97" t="str">
            <v>F</v>
          </cell>
          <cell r="J97" t="str">
            <v>LILONGWE</v>
          </cell>
          <cell r="K97">
            <v>6</v>
          </cell>
          <cell r="L97" t="str">
            <v>Changed junction road designation from M5</v>
          </cell>
        </row>
        <row r="98">
          <cell r="A98" t="str">
            <v>RS 564</v>
          </cell>
          <cell r="B98">
            <v>386</v>
          </cell>
          <cell r="C98" t="str">
            <v>C</v>
          </cell>
          <cell r="D98" t="str">
            <v>T</v>
          </cell>
          <cell r="E98" t="str">
            <v>Malingunde - Kabyzala Village</v>
          </cell>
          <cell r="F98" t="str">
            <v>S124</v>
          </cell>
          <cell r="G98">
            <v>5</v>
          </cell>
          <cell r="H98">
            <v>3.3</v>
          </cell>
          <cell r="I98" t="str">
            <v>F</v>
          </cell>
          <cell r="J98" t="str">
            <v>LILONGWE</v>
          </cell>
          <cell r="K98">
            <v>6</v>
          </cell>
          <cell r="L98" t="str">
            <v>Changed designation from T345 to S124</v>
          </cell>
        </row>
        <row r="99">
          <cell r="A99" t="str">
            <v>RS 271</v>
          </cell>
          <cell r="B99">
            <v>93</v>
          </cell>
          <cell r="C99" t="str">
            <v>C</v>
          </cell>
          <cell r="D99" t="str">
            <v>T</v>
          </cell>
          <cell r="E99" t="str">
            <v>Kabyzala Village - Nsengere</v>
          </cell>
          <cell r="F99" t="str">
            <v>S124</v>
          </cell>
          <cell r="G99">
            <v>6</v>
          </cell>
          <cell r="H99">
            <v>14.6</v>
          </cell>
          <cell r="I99" t="str">
            <v>F</v>
          </cell>
          <cell r="J99" t="str">
            <v>LILONGWE</v>
          </cell>
          <cell r="K99">
            <v>6</v>
          </cell>
        </row>
        <row r="100">
          <cell r="A100" t="str">
            <v>RS 279</v>
          </cell>
          <cell r="B100">
            <v>101</v>
          </cell>
          <cell r="C100" t="str">
            <v>C</v>
          </cell>
          <cell r="D100" t="str">
            <v>T</v>
          </cell>
          <cell r="E100" t="str">
            <v>Mitundu - Sitima</v>
          </cell>
          <cell r="F100" t="str">
            <v>S124</v>
          </cell>
          <cell r="G100">
            <v>7</v>
          </cell>
          <cell r="H100">
            <v>3.6</v>
          </cell>
          <cell r="I100" t="str">
            <v>F</v>
          </cell>
          <cell r="J100" t="str">
            <v>LILONGWE</v>
          </cell>
          <cell r="K100">
            <v>6</v>
          </cell>
        </row>
        <row r="101">
          <cell r="A101" t="str">
            <v>RS 661</v>
          </cell>
          <cell r="B101">
            <v>483</v>
          </cell>
          <cell r="C101" t="str">
            <v>C</v>
          </cell>
          <cell r="D101" t="str">
            <v>T</v>
          </cell>
          <cell r="E101" t="str">
            <v>Sitima - Kambalanje</v>
          </cell>
          <cell r="F101" t="str">
            <v>S124</v>
          </cell>
          <cell r="G101">
            <v>8</v>
          </cell>
          <cell r="H101">
            <v>1.9</v>
          </cell>
          <cell r="I101" t="str">
            <v>F</v>
          </cell>
          <cell r="J101" t="str">
            <v>LILONGWE</v>
          </cell>
          <cell r="K101">
            <v>6</v>
          </cell>
          <cell r="L101" t="str">
            <v>Changed designation from D198 to S124</v>
          </cell>
        </row>
        <row r="102">
          <cell r="A102" t="str">
            <v>RS 284</v>
          </cell>
          <cell r="B102">
            <v>106</v>
          </cell>
          <cell r="C102" t="str">
            <v>C</v>
          </cell>
          <cell r="D102" t="str">
            <v>T</v>
          </cell>
          <cell r="E102" t="str">
            <v>Kambalanje - Chisendera</v>
          </cell>
          <cell r="F102" t="str">
            <v>S124</v>
          </cell>
          <cell r="G102">
            <v>9</v>
          </cell>
          <cell r="H102">
            <v>7.5</v>
          </cell>
          <cell r="I102" t="str">
            <v>F</v>
          </cell>
          <cell r="J102" t="str">
            <v>LILONGWE</v>
          </cell>
          <cell r="K102">
            <v>6</v>
          </cell>
        </row>
        <row r="103">
          <cell r="A103" t="str">
            <v>RS 286</v>
          </cell>
          <cell r="B103">
            <v>108</v>
          </cell>
          <cell r="C103" t="str">
            <v>C</v>
          </cell>
          <cell r="D103" t="str">
            <v>T</v>
          </cell>
          <cell r="E103" t="str">
            <v>Chisendera - Mlozesi</v>
          </cell>
          <cell r="F103" t="str">
            <v>S124</v>
          </cell>
          <cell r="G103">
            <v>10</v>
          </cell>
          <cell r="H103">
            <v>4.9000000000000004</v>
          </cell>
          <cell r="I103" t="str">
            <v>F</v>
          </cell>
          <cell r="J103" t="str">
            <v>LILONGWE</v>
          </cell>
          <cell r="K103">
            <v>6</v>
          </cell>
        </row>
        <row r="104">
          <cell r="A104" t="str">
            <v>RS 288</v>
          </cell>
          <cell r="B104">
            <v>110</v>
          </cell>
          <cell r="C104" t="str">
            <v>C</v>
          </cell>
          <cell r="D104" t="str">
            <v>T</v>
          </cell>
          <cell r="E104" t="str">
            <v>Mlozesi - Diamphwe River</v>
          </cell>
          <cell r="F104" t="str">
            <v>S124</v>
          </cell>
          <cell r="G104">
            <v>11</v>
          </cell>
          <cell r="H104">
            <v>4.5</v>
          </cell>
          <cell r="I104" t="str">
            <v>F</v>
          </cell>
          <cell r="J104" t="str">
            <v>LILONGWE</v>
          </cell>
          <cell r="K104">
            <v>6</v>
          </cell>
        </row>
        <row r="105">
          <cell r="A105" t="str">
            <v>RS 290</v>
          </cell>
          <cell r="B105">
            <v>112</v>
          </cell>
          <cell r="C105" t="str">
            <v>C</v>
          </cell>
          <cell r="D105" t="str">
            <v>T</v>
          </cell>
          <cell r="E105" t="str">
            <v>Diamphwe River - Chidewere</v>
          </cell>
          <cell r="F105" t="str">
            <v>S124</v>
          </cell>
          <cell r="G105">
            <v>12</v>
          </cell>
          <cell r="H105">
            <v>9.4</v>
          </cell>
          <cell r="I105" t="str">
            <v>F</v>
          </cell>
          <cell r="J105" t="str">
            <v>DEDZA</v>
          </cell>
          <cell r="K105">
            <v>6</v>
          </cell>
        </row>
        <row r="106">
          <cell r="A106" t="str">
            <v>RS 281</v>
          </cell>
          <cell r="B106">
            <v>103</v>
          </cell>
          <cell r="C106" t="str">
            <v>C</v>
          </cell>
          <cell r="D106" t="str">
            <v>T</v>
          </cell>
          <cell r="E106" t="str">
            <v>Chidewere - Lobi</v>
          </cell>
          <cell r="F106" t="str">
            <v>S124</v>
          </cell>
          <cell r="G106">
            <v>13</v>
          </cell>
          <cell r="H106">
            <v>13</v>
          </cell>
          <cell r="I106" t="str">
            <v>F</v>
          </cell>
          <cell r="J106" t="str">
            <v>DEDZA</v>
          </cell>
          <cell r="K106">
            <v>6</v>
          </cell>
          <cell r="L106" t="str">
            <v>Changed designation from D209 to T366</v>
          </cell>
        </row>
        <row r="107">
          <cell r="A107" t="str">
            <v>RS 283</v>
          </cell>
          <cell r="B107">
            <v>105</v>
          </cell>
          <cell r="C107" t="str">
            <v>C</v>
          </cell>
          <cell r="D107" t="str">
            <v>T</v>
          </cell>
          <cell r="E107" t="str">
            <v>Lobi - Maonde</v>
          </cell>
          <cell r="F107" t="str">
            <v>S124</v>
          </cell>
          <cell r="G107">
            <v>14</v>
          </cell>
          <cell r="H107">
            <v>5.9</v>
          </cell>
          <cell r="I107" t="str">
            <v>F</v>
          </cell>
          <cell r="J107" t="str">
            <v>DEDZA</v>
          </cell>
          <cell r="K107">
            <v>6</v>
          </cell>
        </row>
        <row r="108">
          <cell r="A108" t="str">
            <v>RS 280</v>
          </cell>
          <cell r="B108">
            <v>102</v>
          </cell>
          <cell r="C108" t="str">
            <v>C</v>
          </cell>
          <cell r="D108" t="str">
            <v>T</v>
          </cell>
          <cell r="E108" t="str">
            <v>Maonde - Kaliyodzi</v>
          </cell>
          <cell r="F108" t="str">
            <v>S124</v>
          </cell>
          <cell r="G108">
            <v>15</v>
          </cell>
          <cell r="H108">
            <v>1.8</v>
          </cell>
          <cell r="I108" t="str">
            <v>F</v>
          </cell>
          <cell r="J108" t="str">
            <v>DEDZA</v>
          </cell>
          <cell r="K108">
            <v>6</v>
          </cell>
          <cell r="L108" t="str">
            <v>Changed designation from UD to T367.</v>
          </cell>
        </row>
        <row r="109">
          <cell r="A109" t="str">
            <v>RS 291</v>
          </cell>
          <cell r="B109">
            <v>113</v>
          </cell>
          <cell r="C109" t="str">
            <v>C</v>
          </cell>
          <cell r="D109" t="str">
            <v>T</v>
          </cell>
          <cell r="E109" t="str">
            <v>Kaliyodzi - Jumbe</v>
          </cell>
          <cell r="F109" t="str">
            <v>S124</v>
          </cell>
          <cell r="G109">
            <v>16</v>
          </cell>
          <cell r="H109">
            <v>7.8</v>
          </cell>
          <cell r="I109" t="str">
            <v>F</v>
          </cell>
          <cell r="J109" t="str">
            <v>DEDZA</v>
          </cell>
          <cell r="K109">
            <v>6</v>
          </cell>
        </row>
        <row r="110">
          <cell r="A110" t="str">
            <v>RS 285</v>
          </cell>
          <cell r="B110">
            <v>107</v>
          </cell>
          <cell r="C110" t="str">
            <v>C</v>
          </cell>
          <cell r="D110" t="str">
            <v>T</v>
          </cell>
          <cell r="E110" t="str">
            <v>Jumbe - Mchaneka</v>
          </cell>
          <cell r="F110" t="str">
            <v>S124</v>
          </cell>
          <cell r="G110">
            <v>17</v>
          </cell>
          <cell r="H110">
            <v>4.8</v>
          </cell>
          <cell r="I110" t="str">
            <v>F</v>
          </cell>
          <cell r="J110" t="str">
            <v>DEDZA</v>
          </cell>
          <cell r="K110">
            <v>6</v>
          </cell>
        </row>
        <row r="111">
          <cell r="A111" t="str">
            <v>RS 293</v>
          </cell>
          <cell r="B111">
            <v>115</v>
          </cell>
          <cell r="C111" t="str">
            <v>C</v>
          </cell>
          <cell r="D111" t="str">
            <v>T</v>
          </cell>
          <cell r="E111" t="str">
            <v>Bunda - Nsendere</v>
          </cell>
          <cell r="F111" t="str">
            <v>S125</v>
          </cell>
          <cell r="G111">
            <v>3</v>
          </cell>
          <cell r="H111">
            <v>4.5999999999999996</v>
          </cell>
          <cell r="I111" t="str">
            <v>F</v>
          </cell>
          <cell r="J111" t="str">
            <v>LILONGWE</v>
          </cell>
          <cell r="K111">
            <v>6</v>
          </cell>
        </row>
        <row r="112">
          <cell r="A112" t="str">
            <v>RS 296</v>
          </cell>
          <cell r="B112">
            <v>118</v>
          </cell>
          <cell r="C112" t="str">
            <v>C</v>
          </cell>
          <cell r="D112" t="str">
            <v>T</v>
          </cell>
          <cell r="E112" t="str">
            <v>Nsendere - Mitundu</v>
          </cell>
          <cell r="F112" t="str">
            <v>S125</v>
          </cell>
          <cell r="G112">
            <v>4</v>
          </cell>
          <cell r="H112">
            <v>2.7</v>
          </cell>
          <cell r="I112" t="str">
            <v>F</v>
          </cell>
          <cell r="J112" t="str">
            <v>LILONGWE</v>
          </cell>
          <cell r="K112">
            <v>6</v>
          </cell>
        </row>
        <row r="113">
          <cell r="A113" t="str">
            <v>RS 300</v>
          </cell>
          <cell r="B113">
            <v>122</v>
          </cell>
          <cell r="C113" t="str">
            <v>C</v>
          </cell>
          <cell r="D113" t="str">
            <v>T</v>
          </cell>
          <cell r="E113" t="str">
            <v>junction M1 - Thete</v>
          </cell>
          <cell r="F113" t="str">
            <v>S126</v>
          </cell>
          <cell r="G113">
            <v>1</v>
          </cell>
          <cell r="H113">
            <v>18</v>
          </cell>
          <cell r="I113" t="str">
            <v>F</v>
          </cell>
          <cell r="J113" t="str">
            <v>DEDZA</v>
          </cell>
          <cell r="K113">
            <v>6</v>
          </cell>
          <cell r="L113" t="str">
            <v>Changed designation from D370 to T370</v>
          </cell>
        </row>
        <row r="114">
          <cell r="A114" t="str">
            <v>RS 301</v>
          </cell>
          <cell r="B114">
            <v>123</v>
          </cell>
          <cell r="C114" t="str">
            <v>C</v>
          </cell>
          <cell r="D114" t="str">
            <v>T</v>
          </cell>
          <cell r="E114" t="str">
            <v>Thete - Lobi</v>
          </cell>
          <cell r="F114" t="str">
            <v>S126</v>
          </cell>
          <cell r="G114">
            <v>2</v>
          </cell>
          <cell r="H114">
            <v>9.1</v>
          </cell>
          <cell r="I114" t="str">
            <v>F</v>
          </cell>
          <cell r="J114" t="str">
            <v>DEDZA</v>
          </cell>
          <cell r="K114">
            <v>6</v>
          </cell>
          <cell r="L114" t="str">
            <v>Changed designation from D370 to T370</v>
          </cell>
        </row>
        <row r="115">
          <cell r="A115" t="str">
            <v>RS 306</v>
          </cell>
          <cell r="B115">
            <v>128</v>
          </cell>
          <cell r="C115" t="str">
            <v>C</v>
          </cell>
          <cell r="D115" t="str">
            <v>T</v>
          </cell>
          <cell r="E115" t="str">
            <v>Masasa (junction M1) - Chapita</v>
          </cell>
          <cell r="F115" t="str">
            <v>S127</v>
          </cell>
          <cell r="G115">
            <v>1</v>
          </cell>
          <cell r="H115">
            <v>2.2000000000000002</v>
          </cell>
          <cell r="I115" t="str">
            <v>F</v>
          </cell>
          <cell r="J115" t="str">
            <v>DEDZA</v>
          </cell>
          <cell r="K115">
            <v>7</v>
          </cell>
        </row>
        <row r="116">
          <cell r="A116" t="str">
            <v>RS 302</v>
          </cell>
          <cell r="B116">
            <v>124</v>
          </cell>
          <cell r="C116" t="str">
            <v>C</v>
          </cell>
          <cell r="D116" t="str">
            <v>T</v>
          </cell>
          <cell r="E116" t="str">
            <v>Chapita - Khwekhwelele</v>
          </cell>
          <cell r="F116" t="str">
            <v>S127</v>
          </cell>
          <cell r="G116">
            <v>2</v>
          </cell>
          <cell r="H116">
            <v>16.5</v>
          </cell>
          <cell r="I116" t="str">
            <v>R</v>
          </cell>
          <cell r="J116" t="str">
            <v>DEDZA</v>
          </cell>
          <cell r="K116">
            <v>7</v>
          </cell>
        </row>
        <row r="117">
          <cell r="A117" t="str">
            <v>RS 303</v>
          </cell>
          <cell r="B117">
            <v>125</v>
          </cell>
          <cell r="C117" t="str">
            <v>C</v>
          </cell>
          <cell r="D117" t="str">
            <v>T</v>
          </cell>
          <cell r="E117" t="str">
            <v>Chitambe River - Mganja</v>
          </cell>
          <cell r="F117" t="str">
            <v>S127</v>
          </cell>
          <cell r="G117">
            <v>3</v>
          </cell>
          <cell r="H117">
            <v>3.7</v>
          </cell>
          <cell r="I117" t="str">
            <v>R</v>
          </cell>
          <cell r="J117" t="str">
            <v>DEDZA</v>
          </cell>
          <cell r="K117">
            <v>7</v>
          </cell>
        </row>
        <row r="118">
          <cell r="A118" t="str">
            <v>RS 305</v>
          </cell>
          <cell r="B118">
            <v>127</v>
          </cell>
          <cell r="C118" t="str">
            <v>C</v>
          </cell>
          <cell r="D118" t="str">
            <v>T</v>
          </cell>
          <cell r="E118" t="str">
            <v>Golomoti - Liwenga</v>
          </cell>
          <cell r="F118" t="str">
            <v>S127</v>
          </cell>
          <cell r="G118">
            <v>5</v>
          </cell>
          <cell r="H118">
            <v>5.6</v>
          </cell>
          <cell r="I118" t="str">
            <v>R</v>
          </cell>
          <cell r="J118" t="str">
            <v>DEDZA</v>
          </cell>
          <cell r="K118">
            <v>7</v>
          </cell>
        </row>
        <row r="119">
          <cell r="A119" t="str">
            <v>RS 304</v>
          </cell>
          <cell r="B119">
            <v>126</v>
          </cell>
          <cell r="C119" t="str">
            <v>C</v>
          </cell>
          <cell r="D119" t="str">
            <v>T</v>
          </cell>
          <cell r="E119" t="str">
            <v>Liwenga - Kapiri (junction M10)</v>
          </cell>
          <cell r="F119" t="str">
            <v>S127</v>
          </cell>
          <cell r="G119">
            <v>6</v>
          </cell>
          <cell r="H119">
            <v>12</v>
          </cell>
          <cell r="I119" t="str">
            <v>F</v>
          </cell>
          <cell r="J119" t="str">
            <v>DEDZA</v>
          </cell>
          <cell r="K119">
            <v>7</v>
          </cell>
        </row>
        <row r="120">
          <cell r="A120" t="str">
            <v>RS 342</v>
          </cell>
          <cell r="B120">
            <v>164</v>
          </cell>
          <cell r="C120" t="str">
            <v>S</v>
          </cell>
          <cell r="D120" t="str">
            <v>T</v>
          </cell>
          <cell r="E120" t="str">
            <v>Maganga - Kwilasya</v>
          </cell>
          <cell r="F120" t="str">
            <v>S129</v>
          </cell>
          <cell r="G120">
            <v>1</v>
          </cell>
          <cell r="H120">
            <v>13.8</v>
          </cell>
          <cell r="I120" t="str">
            <v>F</v>
          </cell>
          <cell r="J120" t="str">
            <v>MANGOCHI</v>
          </cell>
          <cell r="K120">
            <v>7</v>
          </cell>
          <cell r="L120" t="str">
            <v>Changed designation from S121 to T373</v>
          </cell>
        </row>
        <row r="121">
          <cell r="A121" t="str">
            <v>RS 344</v>
          </cell>
          <cell r="B121">
            <v>166</v>
          </cell>
          <cell r="C121" t="str">
            <v>S</v>
          </cell>
          <cell r="D121" t="str">
            <v>T</v>
          </cell>
          <cell r="E121" t="str">
            <v>Kwilasya - Makanjira</v>
          </cell>
          <cell r="F121" t="str">
            <v>S129</v>
          </cell>
          <cell r="G121">
            <v>2</v>
          </cell>
          <cell r="H121">
            <v>15.8</v>
          </cell>
          <cell r="I121" t="str">
            <v>F</v>
          </cell>
          <cell r="J121" t="str">
            <v>MANGOCHI</v>
          </cell>
          <cell r="K121">
            <v>7</v>
          </cell>
          <cell r="L121" t="str">
            <v>Changed designation from S121 to T373</v>
          </cell>
        </row>
        <row r="122">
          <cell r="A122" t="str">
            <v>RS 340</v>
          </cell>
          <cell r="B122">
            <v>162</v>
          </cell>
          <cell r="C122" t="str">
            <v>S</v>
          </cell>
          <cell r="D122" t="str">
            <v>T</v>
          </cell>
          <cell r="E122" t="str">
            <v>Makanjira - Chilawe</v>
          </cell>
          <cell r="F122" t="str">
            <v>S129</v>
          </cell>
          <cell r="G122">
            <v>3</v>
          </cell>
          <cell r="H122">
            <v>13.6</v>
          </cell>
          <cell r="I122" t="str">
            <v>F</v>
          </cell>
          <cell r="J122" t="str">
            <v>MANGOCHI</v>
          </cell>
          <cell r="K122">
            <v>7</v>
          </cell>
        </row>
        <row r="123">
          <cell r="A123" t="str">
            <v>RS 338</v>
          </cell>
          <cell r="B123">
            <v>160</v>
          </cell>
          <cell r="C123" t="str">
            <v>S</v>
          </cell>
          <cell r="D123" t="str">
            <v>T</v>
          </cell>
          <cell r="E123" t="str">
            <v>Chilawe - Binali</v>
          </cell>
          <cell r="F123" t="str">
            <v>S129</v>
          </cell>
          <cell r="G123">
            <v>4</v>
          </cell>
          <cell r="H123">
            <v>11.8</v>
          </cell>
          <cell r="I123" t="str">
            <v>F</v>
          </cell>
          <cell r="J123" t="str">
            <v>MANGOCHI</v>
          </cell>
          <cell r="K123">
            <v>7</v>
          </cell>
        </row>
        <row r="124">
          <cell r="A124" t="str">
            <v>RS 341</v>
          </cell>
          <cell r="B124">
            <v>163</v>
          </cell>
          <cell r="C124" t="str">
            <v>S</v>
          </cell>
          <cell r="D124" t="str">
            <v>T</v>
          </cell>
          <cell r="E124" t="str">
            <v>Binali - Mdala</v>
          </cell>
          <cell r="F124" t="str">
            <v>S129</v>
          </cell>
          <cell r="G124">
            <v>5</v>
          </cell>
          <cell r="H124">
            <v>7.9</v>
          </cell>
          <cell r="I124" t="str">
            <v>F</v>
          </cell>
          <cell r="J124" t="str">
            <v>MANGOCHI</v>
          </cell>
          <cell r="K124">
            <v>7</v>
          </cell>
        </row>
        <row r="125">
          <cell r="A125" t="str">
            <v>RS 335</v>
          </cell>
          <cell r="B125">
            <v>157</v>
          </cell>
          <cell r="C125" t="str">
            <v>S</v>
          </cell>
          <cell r="D125" t="str">
            <v>T</v>
          </cell>
          <cell r="E125" t="str">
            <v>Mdala - Unga River</v>
          </cell>
          <cell r="F125" t="str">
            <v>S129</v>
          </cell>
          <cell r="G125">
            <v>6</v>
          </cell>
          <cell r="H125">
            <v>5.4</v>
          </cell>
          <cell r="I125" t="str">
            <v>F</v>
          </cell>
          <cell r="J125" t="str">
            <v>MANGOCHI</v>
          </cell>
          <cell r="K125">
            <v>7</v>
          </cell>
          <cell r="L125" t="str">
            <v>Changed designation from D226 to T374</v>
          </cell>
        </row>
        <row r="126">
          <cell r="A126" t="str">
            <v>RS 346</v>
          </cell>
          <cell r="B126">
            <v>168</v>
          </cell>
          <cell r="C126" t="str">
            <v>S</v>
          </cell>
          <cell r="D126" t="str">
            <v>T</v>
          </cell>
          <cell r="E126" t="str">
            <v>Unga River - Lilembe River</v>
          </cell>
          <cell r="F126" t="str">
            <v>S129</v>
          </cell>
          <cell r="G126">
            <v>7</v>
          </cell>
          <cell r="H126">
            <v>8.1</v>
          </cell>
          <cell r="I126" t="str">
            <v>F</v>
          </cell>
          <cell r="J126" t="str">
            <v>MANGOCHI</v>
          </cell>
          <cell r="K126">
            <v>7</v>
          </cell>
        </row>
        <row r="127">
          <cell r="A127" t="str">
            <v>RS 334</v>
          </cell>
          <cell r="B127">
            <v>156</v>
          </cell>
          <cell r="C127" t="str">
            <v>S</v>
          </cell>
          <cell r="D127" t="str">
            <v>T</v>
          </cell>
          <cell r="E127" t="str">
            <v>Lilembe River - Lungwena River</v>
          </cell>
          <cell r="F127" t="str">
            <v>S129</v>
          </cell>
          <cell r="G127">
            <v>8</v>
          </cell>
          <cell r="H127">
            <v>23.5</v>
          </cell>
          <cell r="I127" t="str">
            <v>F</v>
          </cell>
          <cell r="J127" t="str">
            <v>MANGOCHI</v>
          </cell>
          <cell r="K127">
            <v>7</v>
          </cell>
        </row>
        <row r="128">
          <cell r="A128" t="str">
            <v>RS 345</v>
          </cell>
          <cell r="B128">
            <v>167</v>
          </cell>
          <cell r="C128" t="str">
            <v>S</v>
          </cell>
          <cell r="D128" t="str">
            <v>T</v>
          </cell>
          <cell r="E128" t="str">
            <v>Lungwena River - Malindi</v>
          </cell>
          <cell r="F128" t="str">
            <v>S129</v>
          </cell>
          <cell r="G128">
            <v>9</v>
          </cell>
          <cell r="H128">
            <v>14.3</v>
          </cell>
          <cell r="I128" t="str">
            <v>F</v>
          </cell>
          <cell r="J128" t="str">
            <v>MANGOCHI</v>
          </cell>
          <cell r="K128">
            <v>7</v>
          </cell>
        </row>
        <row r="129">
          <cell r="A129" t="str">
            <v>RS 336</v>
          </cell>
          <cell r="B129">
            <v>158</v>
          </cell>
          <cell r="C129" t="str">
            <v>S</v>
          </cell>
          <cell r="D129" t="str">
            <v>T</v>
          </cell>
          <cell r="E129" t="str">
            <v>Malindi - Chingo (junction M3)</v>
          </cell>
          <cell r="F129" t="str">
            <v>S129</v>
          </cell>
          <cell r="G129">
            <v>10</v>
          </cell>
          <cell r="H129">
            <v>12</v>
          </cell>
          <cell r="I129" t="str">
            <v>F</v>
          </cell>
          <cell r="J129" t="str">
            <v>MANGOCHI</v>
          </cell>
          <cell r="K129">
            <v>7</v>
          </cell>
        </row>
        <row r="130">
          <cell r="A130" t="str">
            <v>RS 350</v>
          </cell>
          <cell r="B130">
            <v>172</v>
          </cell>
          <cell r="C130" t="str">
            <v>S</v>
          </cell>
          <cell r="D130" t="str">
            <v>T</v>
          </cell>
          <cell r="E130" t="str">
            <v>Chiponde (junction M3) - Mandimba</v>
          </cell>
          <cell r="F130" t="str">
            <v>S131</v>
          </cell>
          <cell r="G130">
            <v>1</v>
          </cell>
          <cell r="H130">
            <v>1</v>
          </cell>
          <cell r="I130" t="str">
            <v>R</v>
          </cell>
          <cell r="J130" t="str">
            <v>MANGOCHI</v>
          </cell>
          <cell r="K130">
            <v>7</v>
          </cell>
        </row>
        <row r="131">
          <cell r="A131" t="str">
            <v>RS 353</v>
          </cell>
          <cell r="B131">
            <v>175</v>
          </cell>
          <cell r="C131" t="str">
            <v>S</v>
          </cell>
          <cell r="D131" t="str">
            <v>T</v>
          </cell>
          <cell r="E131" t="str">
            <v>Mandimba - Masuku</v>
          </cell>
          <cell r="F131" t="str">
            <v>S131</v>
          </cell>
          <cell r="G131">
            <v>2</v>
          </cell>
          <cell r="H131">
            <v>10.9</v>
          </cell>
          <cell r="I131" t="str">
            <v>F</v>
          </cell>
          <cell r="J131" t="str">
            <v>MANGOCHI</v>
          </cell>
          <cell r="K131">
            <v>8</v>
          </cell>
          <cell r="L131" t="str">
            <v xml:space="preserve">New section part of RS 78 </v>
          </cell>
        </row>
        <row r="132">
          <cell r="A132" t="str">
            <v>RS 356</v>
          </cell>
          <cell r="B132">
            <v>178</v>
          </cell>
          <cell r="C132" t="str">
            <v>S</v>
          </cell>
          <cell r="D132" t="str">
            <v>T</v>
          </cell>
          <cell r="E132" t="str">
            <v>Masuku - Nkumba</v>
          </cell>
          <cell r="F132" t="str">
            <v>S131</v>
          </cell>
          <cell r="G132">
            <v>3</v>
          </cell>
          <cell r="H132">
            <v>17.600000000000001</v>
          </cell>
          <cell r="I132" t="str">
            <v>R</v>
          </cell>
          <cell r="J132" t="str">
            <v>MACHINGA</v>
          </cell>
          <cell r="K132">
            <v>8</v>
          </cell>
        </row>
        <row r="133">
          <cell r="A133" t="str">
            <v>RS 349</v>
          </cell>
          <cell r="B133">
            <v>171</v>
          </cell>
          <cell r="C133" t="str">
            <v>S</v>
          </cell>
          <cell r="D133" t="str">
            <v>T</v>
          </cell>
          <cell r="E133" t="str">
            <v>Nkumba - Nselema</v>
          </cell>
          <cell r="F133" t="str">
            <v>S131</v>
          </cell>
          <cell r="G133">
            <v>4</v>
          </cell>
          <cell r="H133">
            <v>17.600000000000001</v>
          </cell>
          <cell r="I133" t="str">
            <v>R</v>
          </cell>
          <cell r="J133" t="str">
            <v>MACHINGA</v>
          </cell>
          <cell r="K133">
            <v>8</v>
          </cell>
        </row>
        <row r="134">
          <cell r="A134" t="str">
            <v>RS 355</v>
          </cell>
          <cell r="B134">
            <v>177</v>
          </cell>
          <cell r="C134" t="str">
            <v>S</v>
          </cell>
          <cell r="D134" t="str">
            <v>T</v>
          </cell>
          <cell r="E134" t="str">
            <v>Matope - Ntaja</v>
          </cell>
          <cell r="F134" t="str">
            <v>S131</v>
          </cell>
          <cell r="G134">
            <v>5</v>
          </cell>
          <cell r="H134">
            <v>7.5</v>
          </cell>
          <cell r="I134" t="str">
            <v>R</v>
          </cell>
          <cell r="J134" t="str">
            <v>MACHINGA</v>
          </cell>
          <cell r="K134">
            <v>8</v>
          </cell>
        </row>
        <row r="135">
          <cell r="A135" t="str">
            <v>RS 845</v>
          </cell>
          <cell r="B135" t="str">
            <v>n.a.</v>
          </cell>
          <cell r="C135" t="str">
            <v>S</v>
          </cell>
          <cell r="D135" t="str">
            <v>T</v>
          </cell>
          <cell r="E135" t="str">
            <v>Ntaja - Singwa</v>
          </cell>
          <cell r="F135" t="str">
            <v>S131</v>
          </cell>
          <cell r="G135">
            <v>6</v>
          </cell>
          <cell r="H135">
            <v>11.2</v>
          </cell>
          <cell r="I135" t="str">
            <v>R</v>
          </cell>
          <cell r="J135" t="str">
            <v>MACHINGA</v>
          </cell>
          <cell r="K135">
            <v>8</v>
          </cell>
          <cell r="L135" t="str">
            <v>New section added to cover origional RS 352</v>
          </cell>
        </row>
        <row r="136">
          <cell r="A136" t="str">
            <v>RS 347</v>
          </cell>
          <cell r="B136">
            <v>169</v>
          </cell>
          <cell r="C136" t="str">
            <v>S</v>
          </cell>
          <cell r="D136" t="str">
            <v>T</v>
          </cell>
          <cell r="E136" t="str">
            <v>Singwa - Nsanama</v>
          </cell>
          <cell r="F136" t="str">
            <v>S131</v>
          </cell>
          <cell r="G136">
            <v>7</v>
          </cell>
          <cell r="H136">
            <v>13.2</v>
          </cell>
          <cell r="I136" t="str">
            <v>R</v>
          </cell>
          <cell r="J136" t="str">
            <v>MACHINGA</v>
          </cell>
          <cell r="K136">
            <v>8</v>
          </cell>
          <cell r="L136" t="str">
            <v>Changed designation from M16 to M14</v>
          </cell>
        </row>
        <row r="137">
          <cell r="A137" t="str">
            <v>RS 351</v>
          </cell>
          <cell r="B137">
            <v>173</v>
          </cell>
          <cell r="C137" t="str">
            <v>S</v>
          </cell>
          <cell r="D137" t="str">
            <v>T</v>
          </cell>
          <cell r="E137" t="str">
            <v>Nsanama - Naminga</v>
          </cell>
          <cell r="F137" t="str">
            <v>S131</v>
          </cell>
          <cell r="G137">
            <v>8</v>
          </cell>
          <cell r="H137">
            <v>8.6999999999999993</v>
          </cell>
          <cell r="I137" t="str">
            <v>R</v>
          </cell>
          <cell r="J137" t="str">
            <v>MACHINGA</v>
          </cell>
          <cell r="K137">
            <v>8</v>
          </cell>
          <cell r="L137" t="str">
            <v xml:space="preserve">Changed designation from M16 to M14 </v>
          </cell>
        </row>
        <row r="138">
          <cell r="A138" t="str">
            <v>RS 685</v>
          </cell>
          <cell r="B138">
            <v>507</v>
          </cell>
          <cell r="C138" t="str">
            <v>S</v>
          </cell>
          <cell r="D138" t="str">
            <v>T</v>
          </cell>
          <cell r="E138" t="str">
            <v>Singwa (junction S131) - Mbonechera</v>
          </cell>
          <cell r="F138" t="str">
            <v>S132</v>
          </cell>
          <cell r="G138">
            <v>1</v>
          </cell>
          <cell r="H138">
            <v>6.6</v>
          </cell>
          <cell r="I138" t="str">
            <v>R</v>
          </cell>
          <cell r="J138" t="str">
            <v>MACHINGA</v>
          </cell>
          <cell r="K138">
            <v>8</v>
          </cell>
          <cell r="L138" t="str">
            <v>Changed designation from T388 to S132</v>
          </cell>
        </row>
        <row r="139">
          <cell r="A139" t="str">
            <v>RS 358</v>
          </cell>
          <cell r="B139">
            <v>180</v>
          </cell>
          <cell r="C139" t="str">
            <v>S</v>
          </cell>
          <cell r="D139" t="str">
            <v>T</v>
          </cell>
          <cell r="E139" t="str">
            <v>Mbonechera - Mweso</v>
          </cell>
          <cell r="F139" t="str">
            <v>S132</v>
          </cell>
          <cell r="G139">
            <v>2</v>
          </cell>
          <cell r="H139">
            <v>11</v>
          </cell>
          <cell r="I139" t="str">
            <v>R</v>
          </cell>
          <cell r="J139" t="str">
            <v>MACHINGA</v>
          </cell>
          <cell r="K139">
            <v>8</v>
          </cell>
          <cell r="L139" t="str">
            <v>Changed designation from M5 to M14</v>
          </cell>
        </row>
        <row r="140">
          <cell r="A140" t="str">
            <v>RS 357</v>
          </cell>
          <cell r="B140">
            <v>179</v>
          </cell>
          <cell r="C140" t="str">
            <v>S</v>
          </cell>
          <cell r="D140" t="str">
            <v>T</v>
          </cell>
          <cell r="E140" t="str">
            <v>Mweso - Namandanje River</v>
          </cell>
          <cell r="F140" t="str">
            <v>S132</v>
          </cell>
          <cell r="G140">
            <v>3</v>
          </cell>
          <cell r="H140">
            <v>3</v>
          </cell>
          <cell r="I140" t="str">
            <v>R</v>
          </cell>
          <cell r="J140" t="str">
            <v>MACHINGA</v>
          </cell>
          <cell r="K140">
            <v>8</v>
          </cell>
          <cell r="L140" t="str">
            <v xml:space="preserve">Changed designation from S120 to M18 </v>
          </cell>
        </row>
        <row r="141">
          <cell r="A141" t="str">
            <v>RS 359</v>
          </cell>
          <cell r="B141">
            <v>181</v>
          </cell>
          <cell r="C141" t="str">
            <v>S</v>
          </cell>
          <cell r="D141" t="str">
            <v>T</v>
          </cell>
          <cell r="E141" t="str">
            <v>Balaka - Mbela</v>
          </cell>
          <cell r="F141" t="str">
            <v>S133</v>
          </cell>
          <cell r="G141">
            <v>1</v>
          </cell>
          <cell r="H141">
            <v>14.5</v>
          </cell>
          <cell r="I141" t="str">
            <v>R</v>
          </cell>
          <cell r="J141" t="str">
            <v>MACHINGA</v>
          </cell>
          <cell r="K141">
            <v>8</v>
          </cell>
          <cell r="L141" t="str">
            <v>Changed designation from D231 to T379</v>
          </cell>
        </row>
        <row r="142">
          <cell r="A142" t="str">
            <v>RS 361</v>
          </cell>
          <cell r="B142">
            <v>183</v>
          </cell>
          <cell r="C142" t="str">
            <v>S</v>
          </cell>
          <cell r="D142" t="str">
            <v>T</v>
          </cell>
          <cell r="E142" t="str">
            <v>Mbela - Mzimundilinde</v>
          </cell>
          <cell r="F142" t="str">
            <v>S133</v>
          </cell>
          <cell r="G142">
            <v>2</v>
          </cell>
          <cell r="H142">
            <v>7.9</v>
          </cell>
          <cell r="I142" t="str">
            <v>F</v>
          </cell>
          <cell r="J142" t="str">
            <v>MACHINGA</v>
          </cell>
          <cell r="K142">
            <v>8</v>
          </cell>
          <cell r="L142" t="str">
            <v>Changed designation from D231 to T379</v>
          </cell>
        </row>
        <row r="143">
          <cell r="A143" t="str">
            <v>RS 360</v>
          </cell>
          <cell r="B143">
            <v>182</v>
          </cell>
          <cell r="C143" t="str">
            <v>S</v>
          </cell>
          <cell r="D143" t="str">
            <v>T</v>
          </cell>
          <cell r="E143" t="str">
            <v>Mzimundilinde - Hoba</v>
          </cell>
          <cell r="F143" t="str">
            <v>S133</v>
          </cell>
          <cell r="G143">
            <v>3</v>
          </cell>
          <cell r="H143">
            <v>6</v>
          </cell>
          <cell r="I143" t="str">
            <v>F</v>
          </cell>
          <cell r="J143" t="str">
            <v>MACHINGA</v>
          </cell>
          <cell r="K143">
            <v>8</v>
          </cell>
          <cell r="L143" t="str">
            <v>Changed designation from T361 to M30</v>
          </cell>
        </row>
        <row r="144">
          <cell r="A144" t="str">
            <v>RS 310</v>
          </cell>
          <cell r="B144">
            <v>132</v>
          </cell>
          <cell r="C144" t="str">
            <v>C</v>
          </cell>
          <cell r="D144" t="str">
            <v>T</v>
          </cell>
          <cell r="E144" t="str">
            <v>Kasinje (junction M5) - Mtambalika</v>
          </cell>
          <cell r="F144" t="str">
            <v>S134</v>
          </cell>
          <cell r="G144">
            <v>1</v>
          </cell>
          <cell r="H144">
            <v>5.0999999999999996</v>
          </cell>
          <cell r="I144" t="str">
            <v>H</v>
          </cell>
          <cell r="J144" t="str">
            <v>NTCHEU</v>
          </cell>
          <cell r="K144">
            <v>8</v>
          </cell>
        </row>
        <row r="145">
          <cell r="A145" t="str">
            <v>RS 311</v>
          </cell>
          <cell r="B145">
            <v>133</v>
          </cell>
          <cell r="C145" t="str">
            <v>C</v>
          </cell>
          <cell r="D145" t="str">
            <v>T</v>
          </cell>
          <cell r="E145" t="str">
            <v>Mtambalika - Kandeu</v>
          </cell>
          <cell r="F145" t="str">
            <v>S134</v>
          </cell>
          <cell r="G145">
            <v>2</v>
          </cell>
          <cell r="H145">
            <v>8.4</v>
          </cell>
          <cell r="I145" t="str">
            <v>H</v>
          </cell>
          <cell r="J145" t="str">
            <v>NTCHEU</v>
          </cell>
          <cell r="K145">
            <v>8</v>
          </cell>
          <cell r="L145" t="str">
            <v>Changed from urban to trunk</v>
          </cell>
        </row>
        <row r="146">
          <cell r="A146" t="str">
            <v>RS 308</v>
          </cell>
          <cell r="B146">
            <v>130</v>
          </cell>
          <cell r="C146" t="str">
            <v>C</v>
          </cell>
          <cell r="D146" t="str">
            <v>T</v>
          </cell>
          <cell r="E146" t="str">
            <v>Kandeu - Sitolo</v>
          </cell>
          <cell r="F146" t="str">
            <v>S134</v>
          </cell>
          <cell r="G146">
            <v>3</v>
          </cell>
          <cell r="H146">
            <v>4.8</v>
          </cell>
          <cell r="I146" t="str">
            <v>M</v>
          </cell>
          <cell r="J146" t="str">
            <v>NTCHEU</v>
          </cell>
          <cell r="K146">
            <v>8</v>
          </cell>
        </row>
        <row r="147">
          <cell r="A147" t="str">
            <v>RS 309</v>
          </cell>
          <cell r="B147">
            <v>131</v>
          </cell>
          <cell r="C147" t="str">
            <v>C</v>
          </cell>
          <cell r="D147" t="str">
            <v>T</v>
          </cell>
          <cell r="E147" t="str">
            <v>Sitolo - Kabekele</v>
          </cell>
          <cell r="F147" t="str">
            <v>S134</v>
          </cell>
          <cell r="G147">
            <v>4</v>
          </cell>
          <cell r="H147">
            <v>4.7</v>
          </cell>
          <cell r="I147" t="str">
            <v>H</v>
          </cell>
          <cell r="J147" t="str">
            <v>NTCHEU</v>
          </cell>
          <cell r="K147">
            <v>8</v>
          </cell>
          <cell r="L147" t="str">
            <v>Changed designation from D226 to T381</v>
          </cell>
        </row>
        <row r="148">
          <cell r="A148" t="str">
            <v>RS 312</v>
          </cell>
          <cell r="B148">
            <v>134</v>
          </cell>
          <cell r="C148" t="str">
            <v>C</v>
          </cell>
          <cell r="D148" t="str">
            <v>T</v>
          </cell>
          <cell r="E148" t="str">
            <v>Kabekele - Kansapato (junction T384)</v>
          </cell>
          <cell r="F148" t="str">
            <v>S134</v>
          </cell>
          <cell r="G148">
            <v>6</v>
          </cell>
          <cell r="H148">
            <v>7.8</v>
          </cell>
          <cell r="I148" t="str">
            <v>R</v>
          </cell>
          <cell r="J148" t="str">
            <v>NTCHEU</v>
          </cell>
          <cell r="K148">
            <v>8</v>
          </cell>
          <cell r="L148" t="str">
            <v>Part currently bitumen</v>
          </cell>
        </row>
        <row r="149">
          <cell r="A149" t="str">
            <v>RS 644</v>
          </cell>
          <cell r="B149">
            <v>466</v>
          </cell>
          <cell r="C149" t="str">
            <v>C</v>
          </cell>
          <cell r="D149" t="str">
            <v>T</v>
          </cell>
          <cell r="E149" t="str">
            <v>Kazembe - Ntcheu (junction M1)</v>
          </cell>
          <cell r="F149" t="str">
            <v>S134</v>
          </cell>
          <cell r="G149">
            <v>8</v>
          </cell>
          <cell r="H149">
            <v>9</v>
          </cell>
          <cell r="I149" t="str">
            <v>FL</v>
          </cell>
          <cell r="J149" t="str">
            <v>NTCHEU</v>
          </cell>
          <cell r="K149">
            <v>8</v>
          </cell>
          <cell r="L149" t="str">
            <v>Changed designation from T384 to S134</v>
          </cell>
        </row>
        <row r="150">
          <cell r="A150" t="str">
            <v>RS 295</v>
          </cell>
          <cell r="B150">
            <v>117</v>
          </cell>
          <cell r="C150" t="str">
            <v>C</v>
          </cell>
          <cell r="D150" t="str">
            <v>T</v>
          </cell>
          <cell r="E150" t="str">
            <v>Biriwiri (junction M1) - Kalonga</v>
          </cell>
          <cell r="F150" t="str">
            <v>S135</v>
          </cell>
          <cell r="G150">
            <v>1</v>
          </cell>
          <cell r="H150">
            <v>13.7</v>
          </cell>
          <cell r="I150" t="str">
            <v>R</v>
          </cell>
          <cell r="J150" t="str">
            <v>NTCHEU</v>
          </cell>
          <cell r="K150">
            <v>8</v>
          </cell>
          <cell r="L150" t="str">
            <v>Changed designation from S124 to S135</v>
          </cell>
        </row>
        <row r="151">
          <cell r="A151" t="str">
            <v>RS 299</v>
          </cell>
          <cell r="B151">
            <v>121</v>
          </cell>
          <cell r="C151" t="str">
            <v>C</v>
          </cell>
          <cell r="D151" t="str">
            <v>T</v>
          </cell>
          <cell r="E151" t="str">
            <v>Kalonga - Biliate</v>
          </cell>
          <cell r="F151" t="str">
            <v>S135</v>
          </cell>
          <cell r="G151">
            <v>2</v>
          </cell>
          <cell r="H151">
            <v>20.9</v>
          </cell>
          <cell r="I151" t="str">
            <v>R</v>
          </cell>
          <cell r="J151" t="str">
            <v>NTCHEU</v>
          </cell>
          <cell r="K151">
            <v>8</v>
          </cell>
          <cell r="L151" t="str">
            <v>Changed designation from S124 to S135</v>
          </cell>
        </row>
        <row r="152">
          <cell r="A152" t="str">
            <v>RS 297</v>
          </cell>
          <cell r="B152">
            <v>119</v>
          </cell>
          <cell r="C152" t="str">
            <v>C</v>
          </cell>
          <cell r="D152" t="str">
            <v>T</v>
          </cell>
          <cell r="E152" t="str">
            <v>Biliate - Doviko</v>
          </cell>
          <cell r="F152" t="str">
            <v>S135</v>
          </cell>
          <cell r="G152">
            <v>3</v>
          </cell>
          <cell r="H152">
            <v>11.2</v>
          </cell>
          <cell r="I152" t="str">
            <v>FL</v>
          </cell>
          <cell r="J152" t="str">
            <v>NTCHEU</v>
          </cell>
          <cell r="K152">
            <v>8</v>
          </cell>
          <cell r="L152" t="str">
            <v>Changed designation from S124 to S135</v>
          </cell>
        </row>
        <row r="153">
          <cell r="A153" t="str">
            <v>RS 313</v>
          </cell>
          <cell r="B153">
            <v>135</v>
          </cell>
          <cell r="C153" t="str">
            <v>C</v>
          </cell>
          <cell r="D153" t="str">
            <v>T</v>
          </cell>
          <cell r="E153" t="str">
            <v>Doviko - Chilengo</v>
          </cell>
          <cell r="F153" t="str">
            <v>S135</v>
          </cell>
          <cell r="G153">
            <v>4</v>
          </cell>
          <cell r="H153">
            <v>20.5</v>
          </cell>
          <cell r="I153" t="str">
            <v>H</v>
          </cell>
          <cell r="J153" t="str">
            <v>NTCHEU</v>
          </cell>
          <cell r="K153">
            <v>8</v>
          </cell>
        </row>
        <row r="154">
          <cell r="A154" t="str">
            <v>RS 716</v>
          </cell>
          <cell r="B154">
            <v>538</v>
          </cell>
          <cell r="C154" t="str">
            <v>S</v>
          </cell>
          <cell r="D154" t="str">
            <v>T</v>
          </cell>
          <cell r="E154" t="str">
            <v>Chilengo - Kweneza</v>
          </cell>
          <cell r="F154" t="str">
            <v>S135</v>
          </cell>
          <cell r="G154">
            <v>6</v>
          </cell>
          <cell r="H154">
            <v>10.7</v>
          </cell>
          <cell r="I154" t="str">
            <v>R</v>
          </cell>
          <cell r="J154" t="str">
            <v>MWANZA</v>
          </cell>
          <cell r="K154">
            <v>8</v>
          </cell>
          <cell r="L154" t="str">
            <v>Changed designation from T398 to S135</v>
          </cell>
        </row>
        <row r="155">
          <cell r="A155" t="str">
            <v>RS 715</v>
          </cell>
          <cell r="B155">
            <v>537</v>
          </cell>
          <cell r="C155" t="str">
            <v>S</v>
          </cell>
          <cell r="D155" t="str">
            <v>T</v>
          </cell>
          <cell r="E155" t="str">
            <v>Kweneza - Kanjiwa</v>
          </cell>
          <cell r="F155" t="str">
            <v>S135</v>
          </cell>
          <cell r="G155">
            <v>7</v>
          </cell>
          <cell r="H155">
            <v>8.4</v>
          </cell>
          <cell r="I155" t="str">
            <v>H</v>
          </cell>
          <cell r="J155" t="str">
            <v>MWANZA</v>
          </cell>
          <cell r="K155">
            <v>8</v>
          </cell>
          <cell r="L155" t="str">
            <v>Changed designation from T398 to S135</v>
          </cell>
        </row>
        <row r="156">
          <cell r="A156" t="str">
            <v>RS 365</v>
          </cell>
          <cell r="B156">
            <v>187</v>
          </cell>
          <cell r="C156" t="str">
            <v>S</v>
          </cell>
          <cell r="D156" t="str">
            <v>T</v>
          </cell>
          <cell r="E156" t="str">
            <v>Kanjiwa - Chipondeni</v>
          </cell>
          <cell r="F156" t="str">
            <v>S135</v>
          </cell>
          <cell r="G156">
            <v>8</v>
          </cell>
          <cell r="H156">
            <v>22.2</v>
          </cell>
          <cell r="I156" t="str">
            <v>H</v>
          </cell>
          <cell r="J156" t="str">
            <v>MWANZA</v>
          </cell>
          <cell r="K156">
            <v>9</v>
          </cell>
        </row>
        <row r="157">
          <cell r="A157" t="str">
            <v>RS 362</v>
          </cell>
          <cell r="B157">
            <v>184</v>
          </cell>
          <cell r="C157" t="str">
            <v>S</v>
          </cell>
          <cell r="D157" t="str">
            <v>T</v>
          </cell>
          <cell r="E157" t="str">
            <v>Chipondeni - Kunenekude</v>
          </cell>
          <cell r="F157" t="str">
            <v>S135</v>
          </cell>
          <cell r="G157">
            <v>9</v>
          </cell>
          <cell r="H157">
            <v>5.5</v>
          </cell>
          <cell r="I157" t="str">
            <v>H</v>
          </cell>
          <cell r="J157" t="str">
            <v>MWANZA</v>
          </cell>
          <cell r="K157">
            <v>9</v>
          </cell>
          <cell r="L157" t="str">
            <v>Changed designation from M15 to S128</v>
          </cell>
        </row>
        <row r="158">
          <cell r="A158" t="str">
            <v>RS 363</v>
          </cell>
          <cell r="B158">
            <v>185</v>
          </cell>
          <cell r="C158" t="str">
            <v>S</v>
          </cell>
          <cell r="D158" t="str">
            <v>T</v>
          </cell>
          <cell r="E158" t="str">
            <v>Kunenekude - Mwanza Admarc</v>
          </cell>
          <cell r="F158" t="str">
            <v>S135</v>
          </cell>
          <cell r="G158">
            <v>10</v>
          </cell>
          <cell r="H158">
            <v>12</v>
          </cell>
          <cell r="I158" t="str">
            <v>H</v>
          </cell>
          <cell r="J158" t="str">
            <v>MWANZA</v>
          </cell>
          <cell r="K158">
            <v>9</v>
          </cell>
        </row>
        <row r="159">
          <cell r="A159" t="str">
            <v>RS 364</v>
          </cell>
          <cell r="B159">
            <v>186</v>
          </cell>
          <cell r="C159" t="str">
            <v>S</v>
          </cell>
          <cell r="D159" t="str">
            <v>T</v>
          </cell>
          <cell r="E159" t="str">
            <v>Mwanza Admarc - Liwonde Village (junction M6)</v>
          </cell>
          <cell r="F159" t="str">
            <v>S135</v>
          </cell>
          <cell r="G159">
            <v>11</v>
          </cell>
          <cell r="H159">
            <v>3.8</v>
          </cell>
          <cell r="I159" t="str">
            <v>R</v>
          </cell>
          <cell r="J159" t="str">
            <v>MWANZA</v>
          </cell>
          <cell r="K159">
            <v>9</v>
          </cell>
        </row>
        <row r="160">
          <cell r="A160" t="str">
            <v>RS 367</v>
          </cell>
          <cell r="B160">
            <v>189</v>
          </cell>
          <cell r="C160" t="str">
            <v>S</v>
          </cell>
          <cell r="D160" t="str">
            <v>T</v>
          </cell>
          <cell r="E160" t="str">
            <v>Mwanza (junction M6) - Chimulango</v>
          </cell>
          <cell r="F160" t="str">
            <v>S136</v>
          </cell>
          <cell r="G160">
            <v>1</v>
          </cell>
          <cell r="H160">
            <v>10.7</v>
          </cell>
          <cell r="I160" t="str">
            <v>R</v>
          </cell>
          <cell r="J160" t="str">
            <v>MWANZA</v>
          </cell>
          <cell r="K160">
            <v>9</v>
          </cell>
        </row>
        <row r="161">
          <cell r="A161" t="str">
            <v>RS 374</v>
          </cell>
          <cell r="B161">
            <v>196</v>
          </cell>
          <cell r="C161" t="str">
            <v>S</v>
          </cell>
          <cell r="D161" t="str">
            <v>T</v>
          </cell>
          <cell r="E161" t="str">
            <v>Chimulango - Chikoleka</v>
          </cell>
          <cell r="F161" t="str">
            <v>S136</v>
          </cell>
          <cell r="G161">
            <v>2</v>
          </cell>
          <cell r="H161">
            <v>5.9</v>
          </cell>
          <cell r="I161" t="str">
            <v>R</v>
          </cell>
          <cell r="J161" t="str">
            <v>MWANZA</v>
          </cell>
          <cell r="K161">
            <v>9</v>
          </cell>
          <cell r="L161" t="str">
            <v>Changed designation from S142 to S139</v>
          </cell>
        </row>
        <row r="162">
          <cell r="A162" t="str">
            <v>RS 372</v>
          </cell>
          <cell r="B162">
            <v>194</v>
          </cell>
          <cell r="C162" t="str">
            <v>S</v>
          </cell>
          <cell r="D162" t="str">
            <v>T</v>
          </cell>
          <cell r="E162" t="str">
            <v>Chikoleka - Thambani</v>
          </cell>
          <cell r="F162" t="str">
            <v>S136</v>
          </cell>
          <cell r="G162">
            <v>3</v>
          </cell>
          <cell r="H162">
            <v>6.6</v>
          </cell>
          <cell r="I162" t="str">
            <v>H</v>
          </cell>
          <cell r="J162" t="str">
            <v>MWANZA</v>
          </cell>
          <cell r="K162">
            <v>9</v>
          </cell>
        </row>
        <row r="163">
          <cell r="A163" t="str">
            <v>RS 370</v>
          </cell>
          <cell r="B163">
            <v>192</v>
          </cell>
          <cell r="C163" t="str">
            <v>S</v>
          </cell>
          <cell r="D163" t="str">
            <v>T</v>
          </cell>
          <cell r="E163" t="str">
            <v>Thambani - Ngoma River</v>
          </cell>
          <cell r="F163" t="str">
            <v>S136</v>
          </cell>
          <cell r="G163">
            <v>4</v>
          </cell>
          <cell r="H163">
            <v>7.5</v>
          </cell>
          <cell r="I163" t="str">
            <v>R</v>
          </cell>
          <cell r="J163" t="str">
            <v>MWANZA</v>
          </cell>
          <cell r="K163">
            <v>9</v>
          </cell>
        </row>
        <row r="164">
          <cell r="A164" t="str">
            <v>RS 371</v>
          </cell>
          <cell r="B164">
            <v>193</v>
          </cell>
          <cell r="C164" t="str">
            <v>S</v>
          </cell>
          <cell r="D164" t="str">
            <v>T</v>
          </cell>
          <cell r="E164" t="str">
            <v>Ngoma River - Changoima</v>
          </cell>
          <cell r="F164" t="str">
            <v>S136</v>
          </cell>
          <cell r="G164">
            <v>5</v>
          </cell>
          <cell r="H164">
            <v>10.9</v>
          </cell>
          <cell r="I164" t="str">
            <v>FL</v>
          </cell>
          <cell r="J164" t="str">
            <v>CHIKWAWA</v>
          </cell>
          <cell r="K164">
            <v>9</v>
          </cell>
        </row>
        <row r="165">
          <cell r="A165" t="str">
            <v>RS 376</v>
          </cell>
          <cell r="B165">
            <v>198</v>
          </cell>
          <cell r="C165" t="str">
            <v>S</v>
          </cell>
          <cell r="D165" t="str">
            <v>T</v>
          </cell>
          <cell r="E165" t="str">
            <v>Changoima - Balalika</v>
          </cell>
          <cell r="F165" t="str">
            <v>S136</v>
          </cell>
          <cell r="G165">
            <v>6</v>
          </cell>
          <cell r="H165">
            <v>9.1</v>
          </cell>
          <cell r="I165" t="str">
            <v>R</v>
          </cell>
          <cell r="J165" t="str">
            <v>CHIKWAWA</v>
          </cell>
          <cell r="K165">
            <v>9</v>
          </cell>
          <cell r="L165" t="str">
            <v>Changed from feeder to trunk as bitumen road</v>
          </cell>
        </row>
        <row r="166">
          <cell r="A166" t="str">
            <v>RS 369</v>
          </cell>
          <cell r="B166">
            <v>191</v>
          </cell>
          <cell r="C166" t="str">
            <v>S</v>
          </cell>
          <cell r="D166" t="str">
            <v>T</v>
          </cell>
          <cell r="E166" t="str">
            <v>Balalika - Mwanza River</v>
          </cell>
          <cell r="F166" t="str">
            <v>S136</v>
          </cell>
          <cell r="G166">
            <v>7</v>
          </cell>
          <cell r="H166">
            <v>10.4</v>
          </cell>
          <cell r="I166" t="str">
            <v>R</v>
          </cell>
          <cell r="J166" t="str">
            <v>CHIKWAWA</v>
          </cell>
          <cell r="K166">
            <v>9</v>
          </cell>
          <cell r="L166" t="str">
            <v>Changed designation from S116 to T334. Changed to trunk</v>
          </cell>
        </row>
        <row r="167">
          <cell r="A167" t="str">
            <v>RS 377</v>
          </cell>
          <cell r="B167">
            <v>199</v>
          </cell>
          <cell r="C167" t="str">
            <v>S</v>
          </cell>
          <cell r="D167" t="str">
            <v>T</v>
          </cell>
          <cell r="E167" t="str">
            <v>Mwanza River - Nkhongono</v>
          </cell>
          <cell r="F167" t="str">
            <v>S136</v>
          </cell>
          <cell r="G167">
            <v>8</v>
          </cell>
          <cell r="H167">
            <v>16.399999999999999</v>
          </cell>
          <cell r="I167" t="str">
            <v>F</v>
          </cell>
          <cell r="J167" t="str">
            <v>CHIKWAWA</v>
          </cell>
          <cell r="K167">
            <v>9</v>
          </cell>
        </row>
        <row r="168">
          <cell r="A168" t="str">
            <v>RS 366</v>
          </cell>
          <cell r="B168">
            <v>188</v>
          </cell>
          <cell r="C168" t="str">
            <v>S</v>
          </cell>
          <cell r="D168" t="str">
            <v>T</v>
          </cell>
          <cell r="E168" t="str">
            <v>Nkhongono - Fombe</v>
          </cell>
          <cell r="F168" t="str">
            <v>S136</v>
          </cell>
          <cell r="G168">
            <v>9</v>
          </cell>
          <cell r="H168">
            <v>10.8</v>
          </cell>
          <cell r="I168" t="str">
            <v>R</v>
          </cell>
          <cell r="J168" t="str">
            <v>CHIKWAWA</v>
          </cell>
          <cell r="K168">
            <v>9</v>
          </cell>
          <cell r="L168" t="str">
            <v>Changed designation from D232 to T387</v>
          </cell>
        </row>
        <row r="169">
          <cell r="A169" t="str">
            <v>RS 378</v>
          </cell>
          <cell r="B169">
            <v>200</v>
          </cell>
          <cell r="C169" t="str">
            <v>S</v>
          </cell>
          <cell r="D169" t="str">
            <v>T</v>
          </cell>
          <cell r="E169" t="str">
            <v>Fombe - Chikwawa (junction T416)</v>
          </cell>
          <cell r="F169" t="str">
            <v>S136</v>
          </cell>
          <cell r="G169">
            <v>10</v>
          </cell>
          <cell r="H169">
            <v>8</v>
          </cell>
          <cell r="I169" t="str">
            <v>P</v>
          </cell>
          <cell r="J169" t="str">
            <v>CHIKWAWA</v>
          </cell>
          <cell r="K169">
            <v>9</v>
          </cell>
          <cell r="L169" t="str">
            <v>Changed designation from D232 to T387</v>
          </cell>
        </row>
        <row r="170">
          <cell r="A170" t="str">
            <v>RS 379</v>
          </cell>
          <cell r="B170">
            <v>201</v>
          </cell>
          <cell r="C170" t="str">
            <v>S</v>
          </cell>
          <cell r="D170" t="str">
            <v>T</v>
          </cell>
          <cell r="E170" t="str">
            <v>Moffati (junction M6) - Feremu</v>
          </cell>
          <cell r="F170" t="str">
            <v>S137</v>
          </cell>
          <cell r="G170">
            <v>1</v>
          </cell>
          <cell r="H170">
            <v>10.1</v>
          </cell>
          <cell r="I170" t="str">
            <v>R</v>
          </cell>
          <cell r="J170" t="str">
            <v>MWANZA</v>
          </cell>
          <cell r="K170">
            <v>9</v>
          </cell>
        </row>
        <row r="171">
          <cell r="A171" t="str">
            <v>RS 380</v>
          </cell>
          <cell r="B171">
            <v>202</v>
          </cell>
          <cell r="C171" t="str">
            <v>S</v>
          </cell>
          <cell r="D171" t="str">
            <v>T</v>
          </cell>
          <cell r="E171" t="str">
            <v>Feremu - Mpatamanga Gorge</v>
          </cell>
          <cell r="F171" t="str">
            <v>S137</v>
          </cell>
          <cell r="G171">
            <v>2</v>
          </cell>
          <cell r="H171">
            <v>14.7</v>
          </cell>
          <cell r="I171" t="str">
            <v>R</v>
          </cell>
          <cell r="J171" t="str">
            <v>MWANZA</v>
          </cell>
          <cell r="K171">
            <v>9</v>
          </cell>
        </row>
        <row r="172">
          <cell r="A172" t="str">
            <v>RS 381</v>
          </cell>
          <cell r="B172">
            <v>203</v>
          </cell>
          <cell r="C172" t="str">
            <v>S</v>
          </cell>
          <cell r="D172" t="str">
            <v>T</v>
          </cell>
          <cell r="E172" t="str">
            <v>Mpatamanga Gorge - Kaliati</v>
          </cell>
          <cell r="F172" t="str">
            <v>S137</v>
          </cell>
          <cell r="G172">
            <v>3</v>
          </cell>
          <cell r="H172">
            <v>14.3</v>
          </cell>
          <cell r="I172" t="str">
            <v>R</v>
          </cell>
          <cell r="J172" t="str">
            <v>BLANTYRE</v>
          </cell>
          <cell r="K172">
            <v>9</v>
          </cell>
        </row>
        <row r="173">
          <cell r="A173" t="str">
            <v>RS 383</v>
          </cell>
          <cell r="B173">
            <v>205</v>
          </cell>
          <cell r="C173" t="str">
            <v>S</v>
          </cell>
          <cell r="D173" t="str">
            <v>T</v>
          </cell>
          <cell r="E173" t="str">
            <v>Kaliati - Kunthembwe</v>
          </cell>
          <cell r="F173" t="str">
            <v>S137</v>
          </cell>
          <cell r="G173">
            <v>4</v>
          </cell>
          <cell r="H173">
            <v>8.6999999999999993</v>
          </cell>
          <cell r="I173" t="str">
            <v>R</v>
          </cell>
          <cell r="J173" t="str">
            <v>BLANTYRE</v>
          </cell>
          <cell r="K173">
            <v>9</v>
          </cell>
        </row>
        <row r="174">
          <cell r="A174" t="str">
            <v>RS 384</v>
          </cell>
          <cell r="B174">
            <v>206</v>
          </cell>
          <cell r="C174" t="str">
            <v>S</v>
          </cell>
          <cell r="D174" t="str">
            <v>T</v>
          </cell>
          <cell r="E174" t="str">
            <v>Kunthembwe - Chileka Airport</v>
          </cell>
          <cell r="F174" t="str">
            <v>S137</v>
          </cell>
          <cell r="G174">
            <v>5</v>
          </cell>
          <cell r="H174">
            <v>13.2</v>
          </cell>
          <cell r="I174" t="str">
            <v>F</v>
          </cell>
          <cell r="J174" t="str">
            <v>BLANTYRE</v>
          </cell>
          <cell r="K174">
            <v>9</v>
          </cell>
        </row>
        <row r="175">
          <cell r="A175" t="str">
            <v>RS 387</v>
          </cell>
          <cell r="B175">
            <v>209</v>
          </cell>
          <cell r="C175" t="str">
            <v>S</v>
          </cell>
          <cell r="D175" t="str">
            <v>T</v>
          </cell>
          <cell r="E175" t="str">
            <v>Sanama (junction S137) - Mtengowambalame</v>
          </cell>
          <cell r="F175" t="str">
            <v>S138</v>
          </cell>
          <cell r="G175">
            <v>1</v>
          </cell>
          <cell r="H175">
            <v>5.5</v>
          </cell>
          <cell r="I175" t="str">
            <v>R</v>
          </cell>
          <cell r="J175" t="str">
            <v>BLANTYRE</v>
          </cell>
          <cell r="K175">
            <v>9</v>
          </cell>
          <cell r="L175">
            <v>0</v>
          </cell>
        </row>
        <row r="176">
          <cell r="A176" t="str">
            <v>RS 385</v>
          </cell>
          <cell r="B176">
            <v>207</v>
          </cell>
          <cell r="C176" t="str">
            <v>S</v>
          </cell>
          <cell r="D176" t="str">
            <v>T</v>
          </cell>
          <cell r="E176" t="str">
            <v>Mtengowambalame - Nkula</v>
          </cell>
          <cell r="F176" t="str">
            <v>S138</v>
          </cell>
          <cell r="G176">
            <v>2</v>
          </cell>
          <cell r="H176">
            <v>16.399999999999999</v>
          </cell>
          <cell r="I176" t="str">
            <v>R</v>
          </cell>
          <cell r="J176" t="str">
            <v>BLANTYRE</v>
          </cell>
          <cell r="K176">
            <v>9</v>
          </cell>
          <cell r="L176" t="str">
            <v>Name changed from Kwacha Rd - Marhattma</v>
          </cell>
        </row>
        <row r="177">
          <cell r="A177" t="str">
            <v>RS 386</v>
          </cell>
          <cell r="B177">
            <v>208</v>
          </cell>
          <cell r="C177" t="str">
            <v>S</v>
          </cell>
          <cell r="D177" t="str">
            <v>T</v>
          </cell>
          <cell r="E177" t="str">
            <v>Nkula - Tedzani</v>
          </cell>
          <cell r="F177" t="str">
            <v>S138</v>
          </cell>
          <cell r="G177">
            <v>3</v>
          </cell>
          <cell r="H177">
            <v>10.199999999999999</v>
          </cell>
          <cell r="I177" t="str">
            <v>R</v>
          </cell>
          <cell r="J177" t="str">
            <v>BLANTYRE</v>
          </cell>
          <cell r="K177">
            <v>9</v>
          </cell>
          <cell r="L177" t="str">
            <v>Name modified by City Council</v>
          </cell>
        </row>
        <row r="178">
          <cell r="A178" t="str">
            <v>RS 388</v>
          </cell>
          <cell r="B178">
            <v>210</v>
          </cell>
          <cell r="C178" t="str">
            <v>S</v>
          </cell>
          <cell r="D178" t="str">
            <v>T</v>
          </cell>
          <cell r="E178" t="str">
            <v>Lirangwe (junction M1) - Namatumu railway crossing</v>
          </cell>
          <cell r="F178" t="str">
            <v>S139</v>
          </cell>
          <cell r="G178">
            <v>1</v>
          </cell>
          <cell r="H178">
            <v>13.1</v>
          </cell>
          <cell r="I178" t="str">
            <v>R</v>
          </cell>
          <cell r="J178" t="str">
            <v>BLANTYRE</v>
          </cell>
          <cell r="K178">
            <v>9</v>
          </cell>
          <cell r="L178" t="str">
            <v>Name modified</v>
          </cell>
        </row>
        <row r="179">
          <cell r="A179" t="str">
            <v>RS 337</v>
          </cell>
          <cell r="B179">
            <v>159</v>
          </cell>
          <cell r="C179" t="str">
            <v>S</v>
          </cell>
          <cell r="D179" t="str">
            <v>T</v>
          </cell>
          <cell r="E179" t="str">
            <v>Kasangale - Koloti River</v>
          </cell>
          <cell r="F179" t="str">
            <v>S139</v>
          </cell>
          <cell r="G179">
            <v>2</v>
          </cell>
          <cell r="H179">
            <v>19.8</v>
          </cell>
          <cell r="I179" t="str">
            <v>R</v>
          </cell>
          <cell r="J179" t="str">
            <v>ZOMBA</v>
          </cell>
          <cell r="K179">
            <v>9</v>
          </cell>
          <cell r="L179" t="str">
            <v>Changed designation from S129 to S139</v>
          </cell>
        </row>
        <row r="180">
          <cell r="A180" t="str">
            <v>RS 343</v>
          </cell>
          <cell r="B180">
            <v>165</v>
          </cell>
          <cell r="C180" t="str">
            <v>S</v>
          </cell>
          <cell r="D180" t="str">
            <v>T</v>
          </cell>
          <cell r="E180" t="str">
            <v>Koloti River - Chikwenga</v>
          </cell>
          <cell r="F180" t="str">
            <v>S139</v>
          </cell>
          <cell r="G180">
            <v>3</v>
          </cell>
          <cell r="H180">
            <v>5.0999999999999996</v>
          </cell>
          <cell r="I180" t="str">
            <v>R</v>
          </cell>
          <cell r="J180" t="str">
            <v>ZOMBA</v>
          </cell>
          <cell r="K180">
            <v>9</v>
          </cell>
          <cell r="L180" t="str">
            <v>name changed from HHI - David Whitehead Via Ndirande Market</v>
          </cell>
        </row>
        <row r="181">
          <cell r="A181" t="str">
            <v>RS 339</v>
          </cell>
          <cell r="B181">
            <v>161</v>
          </cell>
          <cell r="C181" t="str">
            <v>S</v>
          </cell>
          <cell r="D181" t="str">
            <v>T</v>
          </cell>
          <cell r="E181" t="str">
            <v>Changalume - Kaunde</v>
          </cell>
          <cell r="F181" t="str">
            <v>S139</v>
          </cell>
          <cell r="G181">
            <v>4</v>
          </cell>
          <cell r="H181">
            <v>3.4</v>
          </cell>
          <cell r="I181" t="str">
            <v>R</v>
          </cell>
          <cell r="J181" t="str">
            <v>ZOMBA</v>
          </cell>
          <cell r="K181">
            <v>9</v>
          </cell>
          <cell r="L181" t="str">
            <v>Changed designation from S129 to S139</v>
          </cell>
        </row>
        <row r="182">
          <cell r="A182" t="str">
            <v>RS 389</v>
          </cell>
          <cell r="B182">
            <v>211</v>
          </cell>
          <cell r="C182" t="str">
            <v>S</v>
          </cell>
          <cell r="D182" t="str">
            <v>T</v>
          </cell>
          <cell r="E182" t="str">
            <v>Likangala River - Kuntiya</v>
          </cell>
          <cell r="F182" t="str">
            <v>S139</v>
          </cell>
          <cell r="G182">
            <v>5</v>
          </cell>
          <cell r="H182">
            <v>5.8</v>
          </cell>
          <cell r="I182" t="str">
            <v>R</v>
          </cell>
          <cell r="J182" t="str">
            <v>ZOMBA</v>
          </cell>
          <cell r="K182">
            <v>9</v>
          </cell>
          <cell r="L182" t="str">
            <v>Changed designation from S142 to S139</v>
          </cell>
        </row>
        <row r="183">
          <cell r="A183" t="str">
            <v>RS 390</v>
          </cell>
          <cell r="B183">
            <v>212</v>
          </cell>
          <cell r="C183" t="str">
            <v>S</v>
          </cell>
          <cell r="D183" t="str">
            <v>T</v>
          </cell>
          <cell r="E183" t="str">
            <v>Likangala River - Nkoloma</v>
          </cell>
          <cell r="F183" t="str">
            <v>S142</v>
          </cell>
          <cell r="G183">
            <v>1</v>
          </cell>
          <cell r="H183">
            <v>8.1999999999999993</v>
          </cell>
          <cell r="I183" t="str">
            <v>R</v>
          </cell>
          <cell r="J183" t="str">
            <v>ZOMBA</v>
          </cell>
          <cell r="K183">
            <v>9</v>
          </cell>
        </row>
        <row r="184">
          <cell r="A184" t="str">
            <v>RS 394</v>
          </cell>
          <cell r="B184">
            <v>216</v>
          </cell>
          <cell r="C184" t="str">
            <v>S</v>
          </cell>
          <cell r="D184" t="str">
            <v>T</v>
          </cell>
          <cell r="E184" t="str">
            <v>Ndege (Air Wing) - Mpyupyu T.C.</v>
          </cell>
          <cell r="F184" t="str">
            <v>S143</v>
          </cell>
          <cell r="G184">
            <v>2</v>
          </cell>
          <cell r="H184">
            <v>14.1</v>
          </cell>
          <cell r="I184" t="str">
            <v>F</v>
          </cell>
          <cell r="J184" t="str">
            <v>ZOMBA</v>
          </cell>
          <cell r="K184">
            <v>9</v>
          </cell>
        </row>
        <row r="185">
          <cell r="A185" t="str">
            <v>RS 392</v>
          </cell>
          <cell r="B185">
            <v>214</v>
          </cell>
          <cell r="C185" t="str">
            <v>S</v>
          </cell>
          <cell r="D185" t="str">
            <v>T</v>
          </cell>
          <cell r="E185" t="str">
            <v>Mpyupyu T.C. - Kachulu Habour</v>
          </cell>
          <cell r="F185" t="str">
            <v>S143</v>
          </cell>
          <cell r="G185">
            <v>3</v>
          </cell>
          <cell r="H185">
            <v>9.4</v>
          </cell>
          <cell r="I185" t="str">
            <v>F</v>
          </cell>
          <cell r="J185" t="str">
            <v>ZOMBA</v>
          </cell>
          <cell r="K185">
            <v>9</v>
          </cell>
        </row>
        <row r="186">
          <cell r="A186" t="str">
            <v>RS 398</v>
          </cell>
          <cell r="B186">
            <v>220</v>
          </cell>
          <cell r="C186" t="str">
            <v>S</v>
          </cell>
          <cell r="D186" t="str">
            <v>T</v>
          </cell>
          <cell r="E186" t="str">
            <v>Ndege (junction S143) - Jali</v>
          </cell>
          <cell r="F186" t="str">
            <v>S144</v>
          </cell>
          <cell r="G186">
            <v>1</v>
          </cell>
          <cell r="H186">
            <v>16.899999999999999</v>
          </cell>
          <cell r="I186" t="str">
            <v>F</v>
          </cell>
          <cell r="J186" t="str">
            <v>ZOMBA</v>
          </cell>
          <cell r="K186">
            <v>9</v>
          </cell>
        </row>
        <row r="187">
          <cell r="A187" t="str">
            <v>RS 397</v>
          </cell>
          <cell r="B187">
            <v>219</v>
          </cell>
          <cell r="C187" t="str">
            <v>S</v>
          </cell>
          <cell r="D187" t="str">
            <v>T</v>
          </cell>
          <cell r="E187" t="str">
            <v>Jali - Namadzi River (Mlamwa)</v>
          </cell>
          <cell r="F187" t="str">
            <v>S144</v>
          </cell>
          <cell r="G187">
            <v>2</v>
          </cell>
          <cell r="H187">
            <v>15.8</v>
          </cell>
          <cell r="I187" t="str">
            <v>F</v>
          </cell>
          <cell r="J187" t="str">
            <v>ZOMBA</v>
          </cell>
          <cell r="K187">
            <v>9</v>
          </cell>
        </row>
        <row r="188">
          <cell r="A188" t="str">
            <v>RS 395</v>
          </cell>
          <cell r="B188">
            <v>217</v>
          </cell>
          <cell r="C188" t="str">
            <v>S</v>
          </cell>
          <cell r="D188" t="str">
            <v>T</v>
          </cell>
          <cell r="E188" t="str">
            <v>Namadzi River (Mlamwa) - Mumbuwa</v>
          </cell>
          <cell r="F188" t="str">
            <v>S144</v>
          </cell>
          <cell r="G188">
            <v>3</v>
          </cell>
          <cell r="H188">
            <v>8.8000000000000007</v>
          </cell>
          <cell r="I188" t="str">
            <v>F</v>
          </cell>
          <cell r="J188" t="str">
            <v>ZOMBA</v>
          </cell>
          <cell r="K188">
            <v>9</v>
          </cell>
        </row>
        <row r="189">
          <cell r="A189" t="str">
            <v>RS 396</v>
          </cell>
          <cell r="B189">
            <v>218</v>
          </cell>
          <cell r="C189" t="str">
            <v>S</v>
          </cell>
          <cell r="D189" t="str">
            <v>T</v>
          </cell>
          <cell r="E189" t="str">
            <v>Mumbuwa - Phalombe (junction S147)</v>
          </cell>
          <cell r="F189" t="str">
            <v>S144</v>
          </cell>
          <cell r="G189">
            <v>4</v>
          </cell>
          <cell r="H189">
            <v>23.6</v>
          </cell>
          <cell r="I189" t="str">
            <v>F</v>
          </cell>
          <cell r="J189" t="str">
            <v>PHALOMBE</v>
          </cell>
          <cell r="K189">
            <v>9</v>
          </cell>
          <cell r="L189" t="str">
            <v xml:space="preserve">Length changed </v>
          </cell>
        </row>
        <row r="190">
          <cell r="A190" t="str">
            <v>RS 401</v>
          </cell>
          <cell r="B190">
            <v>223</v>
          </cell>
          <cell r="C190" t="str">
            <v>S</v>
          </cell>
          <cell r="D190" t="str">
            <v>T</v>
          </cell>
          <cell r="E190" t="str">
            <v>Mikochi - Malangalanga River</v>
          </cell>
          <cell r="F190" t="str">
            <v>S145</v>
          </cell>
          <cell r="G190">
            <v>1</v>
          </cell>
          <cell r="H190">
            <v>4.4000000000000004</v>
          </cell>
          <cell r="I190" t="str">
            <v>R</v>
          </cell>
          <cell r="J190" t="str">
            <v>CHIRADZULU</v>
          </cell>
          <cell r="K190">
            <v>9</v>
          </cell>
          <cell r="L190" t="str">
            <v>New section part of origional RS 148</v>
          </cell>
        </row>
        <row r="191">
          <cell r="A191" t="str">
            <v>RS 405</v>
          </cell>
          <cell r="B191">
            <v>227</v>
          </cell>
          <cell r="C191" t="str">
            <v>S</v>
          </cell>
          <cell r="D191" t="str">
            <v>T</v>
          </cell>
          <cell r="E191" t="str">
            <v>Malangalanga River - Milepa</v>
          </cell>
          <cell r="F191" t="str">
            <v>S145</v>
          </cell>
          <cell r="G191">
            <v>2</v>
          </cell>
          <cell r="H191">
            <v>11.5</v>
          </cell>
          <cell r="I191" t="str">
            <v>F</v>
          </cell>
          <cell r="J191" t="str">
            <v>CHIRADZULU</v>
          </cell>
          <cell r="K191">
            <v>9</v>
          </cell>
        </row>
        <row r="192">
          <cell r="A192" t="str">
            <v>RS 402</v>
          </cell>
          <cell r="B192">
            <v>224</v>
          </cell>
          <cell r="C192" t="str">
            <v>S</v>
          </cell>
          <cell r="D192" t="str">
            <v>T</v>
          </cell>
          <cell r="E192" t="str">
            <v>Milepa - Sangawa</v>
          </cell>
          <cell r="F192" t="str">
            <v>S145</v>
          </cell>
          <cell r="G192">
            <v>3</v>
          </cell>
          <cell r="H192">
            <v>3</v>
          </cell>
          <cell r="I192" t="str">
            <v>F</v>
          </cell>
          <cell r="J192" t="str">
            <v>CHIRADZULU</v>
          </cell>
          <cell r="K192">
            <v>9</v>
          </cell>
        </row>
        <row r="193">
          <cell r="A193" t="str">
            <v>RS 404</v>
          </cell>
          <cell r="B193">
            <v>226</v>
          </cell>
          <cell r="C193" t="str">
            <v>S</v>
          </cell>
          <cell r="D193" t="str">
            <v>T</v>
          </cell>
          <cell r="E193" t="str">
            <v>Sangawa - Phalombe River</v>
          </cell>
          <cell r="F193" t="str">
            <v>S145</v>
          </cell>
          <cell r="G193">
            <v>4</v>
          </cell>
          <cell r="H193">
            <v>18.899999999999999</v>
          </cell>
          <cell r="I193" t="str">
            <v>F</v>
          </cell>
          <cell r="J193" t="str">
            <v>PHALOMBE</v>
          </cell>
          <cell r="K193">
            <v>9</v>
          </cell>
        </row>
        <row r="194">
          <cell r="A194" t="str">
            <v>RS 403</v>
          </cell>
          <cell r="B194">
            <v>225</v>
          </cell>
          <cell r="C194" t="str">
            <v>S</v>
          </cell>
          <cell r="D194" t="str">
            <v>T</v>
          </cell>
          <cell r="E194" t="str">
            <v>Phalombe River - Namangani</v>
          </cell>
          <cell r="F194" t="str">
            <v>S145</v>
          </cell>
          <cell r="G194">
            <v>5</v>
          </cell>
          <cell r="H194">
            <v>10.3</v>
          </cell>
          <cell r="I194" t="str">
            <v>R</v>
          </cell>
          <cell r="J194" t="str">
            <v>PHALOMBE</v>
          </cell>
          <cell r="K194">
            <v>9</v>
          </cell>
          <cell r="L194" t="str">
            <v>Changed designation from T394 to T395</v>
          </cell>
        </row>
        <row r="195">
          <cell r="A195" t="str">
            <v>RS 400</v>
          </cell>
          <cell r="B195">
            <v>222</v>
          </cell>
          <cell r="C195" t="str">
            <v>S</v>
          </cell>
          <cell r="D195" t="str">
            <v>T</v>
          </cell>
          <cell r="E195" t="str">
            <v>Namangani - Holo</v>
          </cell>
          <cell r="F195" t="str">
            <v>S145</v>
          </cell>
          <cell r="G195">
            <v>6</v>
          </cell>
          <cell r="H195">
            <v>7.3</v>
          </cell>
          <cell r="I195" t="str">
            <v>F</v>
          </cell>
          <cell r="J195" t="str">
            <v>PHALOMBE</v>
          </cell>
          <cell r="K195">
            <v>9</v>
          </cell>
          <cell r="L195" t="str">
            <v>Changed designation from T394 to T395</v>
          </cell>
        </row>
        <row r="196">
          <cell r="A196" t="str">
            <v>RS 399</v>
          </cell>
          <cell r="B196">
            <v>221</v>
          </cell>
          <cell r="C196" t="str">
            <v>S</v>
          </cell>
          <cell r="D196" t="str">
            <v>T</v>
          </cell>
          <cell r="E196" t="str">
            <v>Holo - Kalinde (junction S147)</v>
          </cell>
          <cell r="F196" t="str">
            <v>S145</v>
          </cell>
          <cell r="G196">
            <v>7</v>
          </cell>
          <cell r="H196">
            <v>10.4</v>
          </cell>
          <cell r="I196" t="str">
            <v>F</v>
          </cell>
          <cell r="J196" t="str">
            <v>PHALOMBE</v>
          </cell>
          <cell r="K196">
            <v>9</v>
          </cell>
          <cell r="L196" t="str">
            <v>Changed from T372 to Urban, to Trunk &amp; to Kepiri</v>
          </cell>
        </row>
        <row r="197">
          <cell r="A197" t="str">
            <v>RS 409</v>
          </cell>
          <cell r="B197">
            <v>231</v>
          </cell>
          <cell r="C197" t="str">
            <v>S</v>
          </cell>
          <cell r="D197" t="str">
            <v>T</v>
          </cell>
          <cell r="E197" t="str">
            <v>Mbulumbuzi (junction M3) - Mikochi</v>
          </cell>
          <cell r="F197" t="str">
            <v>S146</v>
          </cell>
          <cell r="G197">
            <v>1</v>
          </cell>
          <cell r="H197">
            <v>8.5</v>
          </cell>
          <cell r="I197" t="str">
            <v>R</v>
          </cell>
          <cell r="J197" t="str">
            <v>CHIRADZULU</v>
          </cell>
          <cell r="K197">
            <v>9</v>
          </cell>
          <cell r="L197" t="str">
            <v>Changed designation from T394 to T395</v>
          </cell>
        </row>
        <row r="198">
          <cell r="A198" t="str">
            <v>RS 408</v>
          </cell>
          <cell r="B198">
            <v>230</v>
          </cell>
          <cell r="C198" t="str">
            <v>S</v>
          </cell>
          <cell r="D198" t="str">
            <v>T</v>
          </cell>
          <cell r="E198" t="str">
            <v>Mikochi - Chiradzulu</v>
          </cell>
          <cell r="F198" t="str">
            <v>S146</v>
          </cell>
          <cell r="G198">
            <v>2</v>
          </cell>
          <cell r="H198">
            <v>2.5</v>
          </cell>
          <cell r="I198" t="str">
            <v>R</v>
          </cell>
          <cell r="J198" t="str">
            <v>CHIRADZULU</v>
          </cell>
          <cell r="K198">
            <v>9</v>
          </cell>
          <cell r="L198" t="str">
            <v>Changed designation from T394 to T395</v>
          </cell>
        </row>
        <row r="199">
          <cell r="A199" t="str">
            <v>RS 418</v>
          </cell>
          <cell r="B199">
            <v>240</v>
          </cell>
          <cell r="C199" t="str">
            <v>S</v>
          </cell>
          <cell r="D199" t="str">
            <v>T</v>
          </cell>
          <cell r="E199" t="str">
            <v>Mandawala - Nambazo</v>
          </cell>
          <cell r="F199" t="str">
            <v>S147</v>
          </cell>
          <cell r="G199">
            <v>1</v>
          </cell>
          <cell r="H199">
            <v>4.0999999999999996</v>
          </cell>
          <cell r="I199" t="str">
            <v>F</v>
          </cell>
          <cell r="J199" t="str">
            <v>MULANJE</v>
          </cell>
          <cell r="K199">
            <v>9</v>
          </cell>
        </row>
        <row r="200">
          <cell r="A200" t="str">
            <v>RS 416</v>
          </cell>
          <cell r="B200">
            <v>238</v>
          </cell>
          <cell r="C200" t="str">
            <v>S</v>
          </cell>
          <cell r="D200" t="str">
            <v>T</v>
          </cell>
          <cell r="E200" t="str">
            <v>Nambazo - Nambera</v>
          </cell>
          <cell r="F200" t="str">
            <v>S147</v>
          </cell>
          <cell r="G200">
            <v>2</v>
          </cell>
          <cell r="H200">
            <v>10.9</v>
          </cell>
          <cell r="I200" t="str">
            <v>F</v>
          </cell>
          <cell r="J200" t="str">
            <v>PHALOMBE</v>
          </cell>
          <cell r="K200">
            <v>9</v>
          </cell>
        </row>
        <row r="201">
          <cell r="A201" t="str">
            <v>RS 414</v>
          </cell>
          <cell r="B201">
            <v>236</v>
          </cell>
          <cell r="C201" t="str">
            <v>S</v>
          </cell>
          <cell r="D201" t="str">
            <v>T</v>
          </cell>
          <cell r="E201" t="str">
            <v>Nambera - Kalinde</v>
          </cell>
          <cell r="F201" t="str">
            <v>S147</v>
          </cell>
          <cell r="G201">
            <v>3</v>
          </cell>
          <cell r="H201">
            <v>6.2</v>
          </cell>
          <cell r="I201" t="str">
            <v>F</v>
          </cell>
          <cell r="J201" t="str">
            <v>PHALOMBE</v>
          </cell>
          <cell r="K201">
            <v>9</v>
          </cell>
        </row>
        <row r="202">
          <cell r="A202" t="str">
            <v>RS 412</v>
          </cell>
          <cell r="B202">
            <v>234</v>
          </cell>
          <cell r="C202" t="str">
            <v>S</v>
          </cell>
          <cell r="D202" t="str">
            <v>T</v>
          </cell>
          <cell r="E202" t="str">
            <v>Kalinde - Singano</v>
          </cell>
          <cell r="F202" t="str">
            <v>S147</v>
          </cell>
          <cell r="G202">
            <v>4</v>
          </cell>
          <cell r="H202">
            <v>5</v>
          </cell>
          <cell r="I202" t="str">
            <v>F</v>
          </cell>
          <cell r="J202" t="str">
            <v>PHALOMBE</v>
          </cell>
          <cell r="K202">
            <v>9</v>
          </cell>
        </row>
        <row r="203">
          <cell r="A203" t="str">
            <v>RS 419</v>
          </cell>
          <cell r="B203">
            <v>241</v>
          </cell>
          <cell r="C203" t="str">
            <v>S</v>
          </cell>
          <cell r="D203" t="str">
            <v>T</v>
          </cell>
          <cell r="E203" t="str">
            <v>Singano - Phalombe</v>
          </cell>
          <cell r="F203" t="str">
            <v>S147</v>
          </cell>
          <cell r="G203">
            <v>5</v>
          </cell>
          <cell r="H203">
            <v>17.100000000000001</v>
          </cell>
          <cell r="I203" t="str">
            <v>R</v>
          </cell>
          <cell r="J203" t="str">
            <v>PHALOMBE</v>
          </cell>
          <cell r="K203">
            <v>9</v>
          </cell>
        </row>
        <row r="204">
          <cell r="A204" t="str">
            <v>RS 413</v>
          </cell>
          <cell r="B204">
            <v>235</v>
          </cell>
          <cell r="C204" t="str">
            <v>S</v>
          </cell>
          <cell r="D204" t="str">
            <v>T</v>
          </cell>
          <cell r="E204" t="str">
            <v>Bwanaisa - Thuchila River</v>
          </cell>
          <cell r="F204" t="str">
            <v>S147</v>
          </cell>
          <cell r="G204">
            <v>6</v>
          </cell>
          <cell r="H204">
            <v>10.7</v>
          </cell>
          <cell r="I204" t="str">
            <v>F</v>
          </cell>
          <cell r="J204" t="str">
            <v>PHALOMBE</v>
          </cell>
          <cell r="K204">
            <v>9</v>
          </cell>
        </row>
        <row r="205">
          <cell r="A205" t="str">
            <v>RS 415</v>
          </cell>
          <cell r="B205">
            <v>237</v>
          </cell>
          <cell r="C205" t="str">
            <v>S</v>
          </cell>
          <cell r="D205" t="str">
            <v>T</v>
          </cell>
          <cell r="E205" t="str">
            <v>Thuchila River - Liwamba Village</v>
          </cell>
          <cell r="F205" t="str">
            <v>S147</v>
          </cell>
          <cell r="G205">
            <v>7</v>
          </cell>
          <cell r="H205">
            <v>13.3</v>
          </cell>
          <cell r="I205" t="str">
            <v>F</v>
          </cell>
          <cell r="J205" t="str">
            <v>MULANJE</v>
          </cell>
          <cell r="K205">
            <v>9</v>
          </cell>
        </row>
        <row r="206">
          <cell r="A206" t="str">
            <v>RS 411</v>
          </cell>
          <cell r="B206">
            <v>233</v>
          </cell>
          <cell r="C206" t="str">
            <v>S</v>
          </cell>
          <cell r="D206" t="str">
            <v>T</v>
          </cell>
          <cell r="E206" t="str">
            <v>Liwamba Village - Fundisi Cross (junction M4)</v>
          </cell>
          <cell r="F206" t="str">
            <v>S147</v>
          </cell>
          <cell r="G206">
            <v>8</v>
          </cell>
          <cell r="H206">
            <v>11.3</v>
          </cell>
          <cell r="I206" t="str">
            <v>F</v>
          </cell>
          <cell r="J206" t="str">
            <v>PHALOMBE</v>
          </cell>
          <cell r="K206">
            <v>9</v>
          </cell>
        </row>
        <row r="207">
          <cell r="A207" t="str">
            <v>RS 420</v>
          </cell>
          <cell r="B207">
            <v>242</v>
          </cell>
          <cell r="C207" t="str">
            <v>S</v>
          </cell>
          <cell r="D207" t="str">
            <v>T</v>
          </cell>
          <cell r="E207" t="str">
            <v>Liwamba Village - Chitakale</v>
          </cell>
          <cell r="F207" t="str">
            <v>S148</v>
          </cell>
          <cell r="G207">
            <v>1</v>
          </cell>
          <cell r="H207">
            <v>12</v>
          </cell>
          <cell r="I207" t="str">
            <v>H</v>
          </cell>
          <cell r="J207" t="str">
            <v>MULANJE</v>
          </cell>
          <cell r="K207">
            <v>9</v>
          </cell>
        </row>
        <row r="208">
          <cell r="A208" t="str">
            <v>RS 425</v>
          </cell>
          <cell r="B208">
            <v>247</v>
          </cell>
          <cell r="C208" t="str">
            <v>S</v>
          </cell>
          <cell r="D208" t="str">
            <v>T</v>
          </cell>
          <cell r="E208" t="str">
            <v>Chonde (junction M2) - Msikawanjala</v>
          </cell>
          <cell r="F208" t="str">
            <v>S149</v>
          </cell>
          <cell r="G208">
            <v>1</v>
          </cell>
          <cell r="H208">
            <v>9.1999999999999993</v>
          </cell>
          <cell r="I208" t="str">
            <v>R</v>
          </cell>
          <cell r="J208" t="str">
            <v>MULANJE</v>
          </cell>
          <cell r="K208">
            <v>9</v>
          </cell>
        </row>
        <row r="209">
          <cell r="A209" t="str">
            <v>RS 422</v>
          </cell>
          <cell r="B209">
            <v>244</v>
          </cell>
          <cell r="C209" t="str">
            <v>S</v>
          </cell>
          <cell r="D209" t="str">
            <v>T</v>
          </cell>
          <cell r="E209" t="str">
            <v>Msikawanjala - Mitombozi</v>
          </cell>
          <cell r="F209" t="str">
            <v>S149</v>
          </cell>
          <cell r="G209">
            <v>2</v>
          </cell>
          <cell r="H209">
            <v>11.4</v>
          </cell>
          <cell r="I209" t="str">
            <v>F</v>
          </cell>
          <cell r="J209" t="str">
            <v>MULANJE</v>
          </cell>
          <cell r="K209">
            <v>9</v>
          </cell>
        </row>
        <row r="210">
          <cell r="A210" t="str">
            <v>RS 421</v>
          </cell>
          <cell r="B210">
            <v>243</v>
          </cell>
          <cell r="C210" t="str">
            <v>S</v>
          </cell>
          <cell r="D210" t="str">
            <v>T</v>
          </cell>
          <cell r="E210" t="str">
            <v>Mitombozi - Thanguzi River</v>
          </cell>
          <cell r="F210" t="str">
            <v>S149</v>
          </cell>
          <cell r="G210">
            <v>3</v>
          </cell>
          <cell r="H210">
            <v>1</v>
          </cell>
          <cell r="I210" t="str">
            <v>R</v>
          </cell>
          <cell r="J210" t="str">
            <v>MULANJE</v>
          </cell>
          <cell r="K210">
            <v>9</v>
          </cell>
        </row>
        <row r="211">
          <cell r="A211" t="str">
            <v>RS 426</v>
          </cell>
          <cell r="B211">
            <v>248</v>
          </cell>
          <cell r="C211" t="str">
            <v>S</v>
          </cell>
          <cell r="D211" t="str">
            <v>T</v>
          </cell>
          <cell r="E211" t="str">
            <v>Thanguzi River - Matambi</v>
          </cell>
          <cell r="F211" t="str">
            <v>S149</v>
          </cell>
          <cell r="G211">
            <v>4</v>
          </cell>
          <cell r="H211">
            <v>12.6</v>
          </cell>
          <cell r="I211" t="str">
            <v>F</v>
          </cell>
          <cell r="J211" t="str">
            <v>MULANJE</v>
          </cell>
          <cell r="K211">
            <v>9</v>
          </cell>
        </row>
        <row r="212">
          <cell r="A212" t="str">
            <v>RS 423</v>
          </cell>
          <cell r="B212">
            <v>245</v>
          </cell>
          <cell r="C212" t="str">
            <v>S</v>
          </cell>
          <cell r="D212" t="str">
            <v>T</v>
          </cell>
          <cell r="E212" t="str">
            <v>Matambi - Mimosa (junction M2)</v>
          </cell>
          <cell r="F212" t="str">
            <v>S149</v>
          </cell>
          <cell r="G212">
            <v>5</v>
          </cell>
          <cell r="H212">
            <v>9.8000000000000007</v>
          </cell>
          <cell r="I212" t="str">
            <v>R</v>
          </cell>
          <cell r="J212" t="str">
            <v>MULANJE</v>
          </cell>
          <cell r="K212">
            <v>9</v>
          </cell>
        </row>
        <row r="213">
          <cell r="A213" t="str">
            <v>RS 430</v>
          </cell>
          <cell r="B213">
            <v>252</v>
          </cell>
          <cell r="C213" t="str">
            <v>S</v>
          </cell>
          <cell r="D213" t="str">
            <v>T</v>
          </cell>
          <cell r="E213" t="str">
            <v>Luchenza (junction M2) - Namilonje</v>
          </cell>
          <cell r="F213" t="str">
            <v>S150</v>
          </cell>
          <cell r="G213">
            <v>1</v>
          </cell>
          <cell r="H213">
            <v>9</v>
          </cell>
          <cell r="I213" t="str">
            <v>R</v>
          </cell>
          <cell r="J213" t="str">
            <v>THYOLO</v>
          </cell>
          <cell r="K213">
            <v>9</v>
          </cell>
        </row>
        <row r="214">
          <cell r="A214" t="str">
            <v>RS 428</v>
          </cell>
          <cell r="B214">
            <v>250</v>
          </cell>
          <cell r="C214" t="str">
            <v>S</v>
          </cell>
          <cell r="D214" t="str">
            <v>T</v>
          </cell>
          <cell r="E214" t="str">
            <v>Namilonje - Goliati</v>
          </cell>
          <cell r="F214" t="str">
            <v>S150</v>
          </cell>
          <cell r="G214">
            <v>2</v>
          </cell>
          <cell r="H214">
            <v>8.1</v>
          </cell>
          <cell r="I214" t="str">
            <v>R</v>
          </cell>
          <cell r="J214" t="str">
            <v>THYOLO</v>
          </cell>
          <cell r="K214">
            <v>9</v>
          </cell>
        </row>
        <row r="215">
          <cell r="A215" t="str">
            <v>RS 427</v>
          </cell>
          <cell r="B215">
            <v>249</v>
          </cell>
          <cell r="C215" t="str">
            <v>S</v>
          </cell>
          <cell r="D215" t="str">
            <v>T</v>
          </cell>
          <cell r="E215" t="str">
            <v>Goliati - Nansadi</v>
          </cell>
          <cell r="F215" t="str">
            <v>S150</v>
          </cell>
          <cell r="G215">
            <v>3</v>
          </cell>
          <cell r="H215">
            <v>6.5</v>
          </cell>
          <cell r="I215" t="str">
            <v>R</v>
          </cell>
          <cell r="J215" t="str">
            <v>THYOLO</v>
          </cell>
          <cell r="K215">
            <v>9</v>
          </cell>
        </row>
        <row r="216">
          <cell r="A216" t="str">
            <v>RS 429</v>
          </cell>
          <cell r="B216">
            <v>251</v>
          </cell>
          <cell r="C216" t="str">
            <v>S</v>
          </cell>
          <cell r="D216" t="str">
            <v>T</v>
          </cell>
          <cell r="E216" t="str">
            <v>Nansadi - Mikolongwe (junction M4)</v>
          </cell>
          <cell r="F216" t="str">
            <v>S150</v>
          </cell>
          <cell r="G216">
            <v>4</v>
          </cell>
          <cell r="H216">
            <v>5.7</v>
          </cell>
          <cell r="I216" t="str">
            <v>R</v>
          </cell>
          <cell r="J216" t="str">
            <v>THYOLO</v>
          </cell>
          <cell r="K216">
            <v>9</v>
          </cell>
        </row>
        <row r="217">
          <cell r="A217" t="str">
            <v>RS 433</v>
          </cell>
          <cell r="B217">
            <v>255</v>
          </cell>
          <cell r="C217" t="str">
            <v>S</v>
          </cell>
          <cell r="D217" t="str">
            <v>T</v>
          </cell>
          <cell r="E217" t="str">
            <v>Thyolo (junction M2) - Nawadzi River Bridge</v>
          </cell>
          <cell r="F217" t="str">
            <v>S151</v>
          </cell>
          <cell r="G217">
            <v>1</v>
          </cell>
          <cell r="H217">
            <v>5.0999999999999996</v>
          </cell>
          <cell r="I217" t="str">
            <v>R</v>
          </cell>
          <cell r="J217" t="str">
            <v>THYOLO</v>
          </cell>
          <cell r="K217">
            <v>9</v>
          </cell>
        </row>
        <row r="218">
          <cell r="A218" t="str">
            <v>RS 431</v>
          </cell>
          <cell r="B218">
            <v>253</v>
          </cell>
          <cell r="C218" t="str">
            <v>S</v>
          </cell>
          <cell r="D218" t="str">
            <v>T</v>
          </cell>
          <cell r="E218" t="str">
            <v>Nawadzi River Bridge - Makwasa</v>
          </cell>
          <cell r="F218" t="str">
            <v>S151</v>
          </cell>
          <cell r="G218">
            <v>2</v>
          </cell>
          <cell r="H218">
            <v>16.5</v>
          </cell>
          <cell r="I218" t="str">
            <v>H</v>
          </cell>
          <cell r="J218" t="str">
            <v>THYOLO</v>
          </cell>
          <cell r="K218">
            <v>9</v>
          </cell>
        </row>
        <row r="219">
          <cell r="A219" t="str">
            <v>RS 434</v>
          </cell>
          <cell r="B219">
            <v>256</v>
          </cell>
          <cell r="C219" t="str">
            <v>S</v>
          </cell>
          <cell r="D219" t="str">
            <v>T</v>
          </cell>
          <cell r="E219" t="str">
            <v>Makwasa - Chinzama</v>
          </cell>
          <cell r="F219" t="str">
            <v>S151</v>
          </cell>
          <cell r="G219">
            <v>3</v>
          </cell>
          <cell r="H219">
            <v>18</v>
          </cell>
          <cell r="I219" t="str">
            <v>H</v>
          </cell>
          <cell r="J219" t="str">
            <v>THYOLO</v>
          </cell>
          <cell r="K219">
            <v>9</v>
          </cell>
        </row>
        <row r="220">
          <cell r="A220" t="str">
            <v>RS 432</v>
          </cell>
          <cell r="B220">
            <v>254</v>
          </cell>
          <cell r="C220" t="str">
            <v>S</v>
          </cell>
          <cell r="D220" t="str">
            <v>T</v>
          </cell>
          <cell r="E220" t="str">
            <v>Chinzama - Thekerani</v>
          </cell>
          <cell r="F220" t="str">
            <v>S151</v>
          </cell>
          <cell r="G220">
            <v>4</v>
          </cell>
          <cell r="H220">
            <v>14.8</v>
          </cell>
          <cell r="I220" t="str">
            <v>H</v>
          </cell>
          <cell r="J220" t="str">
            <v>THYOLO</v>
          </cell>
          <cell r="K220">
            <v>10</v>
          </cell>
        </row>
        <row r="221">
          <cell r="A221" t="str">
            <v>RS 437</v>
          </cell>
          <cell r="B221">
            <v>259</v>
          </cell>
          <cell r="C221" t="str">
            <v>S</v>
          </cell>
          <cell r="D221" t="str">
            <v>T</v>
          </cell>
          <cell r="E221" t="str">
            <v>Thekerani - Chiphwanya</v>
          </cell>
          <cell r="F221" t="str">
            <v>S151</v>
          </cell>
          <cell r="G221">
            <v>5</v>
          </cell>
          <cell r="H221">
            <v>8.6999999999999993</v>
          </cell>
          <cell r="I221" t="str">
            <v>H</v>
          </cell>
          <cell r="J221" t="str">
            <v>THYOLO</v>
          </cell>
          <cell r="K221">
            <v>10</v>
          </cell>
        </row>
        <row r="222">
          <cell r="A222" t="str">
            <v>RS 442</v>
          </cell>
          <cell r="B222">
            <v>264</v>
          </cell>
          <cell r="C222" t="str">
            <v>S</v>
          </cell>
          <cell r="D222" t="str">
            <v>T</v>
          </cell>
          <cell r="E222" t="str">
            <v>Chiphwanya - Mlambala River</v>
          </cell>
          <cell r="F222" t="str">
            <v>S151</v>
          </cell>
          <cell r="G222">
            <v>6</v>
          </cell>
          <cell r="H222">
            <v>9.3000000000000007</v>
          </cell>
          <cell r="I222" t="str">
            <v>R</v>
          </cell>
          <cell r="J222" t="str">
            <v>NSANJE</v>
          </cell>
          <cell r="K222">
            <v>10</v>
          </cell>
          <cell r="L222" t="str">
            <v>Changed designation from S156 to S151</v>
          </cell>
        </row>
        <row r="223">
          <cell r="A223" t="str">
            <v>RS 440</v>
          </cell>
          <cell r="B223">
            <v>262</v>
          </cell>
          <cell r="C223" t="str">
            <v>S</v>
          </cell>
          <cell r="D223" t="str">
            <v>T</v>
          </cell>
          <cell r="E223" t="str">
            <v>Thabwa (junction M1) - Mapelera River</v>
          </cell>
          <cell r="F223" t="str">
            <v>S152</v>
          </cell>
          <cell r="G223">
            <v>1</v>
          </cell>
          <cell r="H223">
            <v>10</v>
          </cell>
          <cell r="I223" t="str">
            <v>R</v>
          </cell>
          <cell r="J223" t="str">
            <v>CHIKWAWA</v>
          </cell>
          <cell r="K223">
            <v>9</v>
          </cell>
        </row>
        <row r="224">
          <cell r="A224" t="str">
            <v>RS 441</v>
          </cell>
          <cell r="B224">
            <v>263</v>
          </cell>
          <cell r="C224" t="str">
            <v>S</v>
          </cell>
          <cell r="D224" t="str">
            <v>T</v>
          </cell>
          <cell r="E224" t="str">
            <v>Maperela River - Livunzi River</v>
          </cell>
          <cell r="F224" t="str">
            <v>S152</v>
          </cell>
          <cell r="G224">
            <v>2</v>
          </cell>
          <cell r="H224">
            <v>16.2</v>
          </cell>
          <cell r="I224" t="str">
            <v>R</v>
          </cell>
          <cell r="J224" t="str">
            <v>CHIKWAWA</v>
          </cell>
          <cell r="K224">
            <v>9</v>
          </cell>
        </row>
        <row r="225">
          <cell r="A225" t="str">
            <v>RS 438</v>
          </cell>
          <cell r="B225">
            <v>260</v>
          </cell>
          <cell r="C225" t="str">
            <v>S</v>
          </cell>
          <cell r="D225" t="str">
            <v>T</v>
          </cell>
          <cell r="E225" t="str">
            <v>Livunzu River - Milole River</v>
          </cell>
          <cell r="F225" t="str">
            <v>S152</v>
          </cell>
          <cell r="G225">
            <v>3</v>
          </cell>
          <cell r="H225">
            <v>19.100000000000001</v>
          </cell>
          <cell r="I225" t="str">
            <v>H</v>
          </cell>
          <cell r="J225" t="str">
            <v>CHIKWAWA</v>
          </cell>
          <cell r="K225">
            <v>9</v>
          </cell>
          <cell r="L225" t="str">
            <v>Changed designation from T403 to T405</v>
          </cell>
        </row>
        <row r="226">
          <cell r="A226" t="str">
            <v>RS 439</v>
          </cell>
          <cell r="B226">
            <v>261</v>
          </cell>
          <cell r="C226" t="str">
            <v>S</v>
          </cell>
          <cell r="D226" t="str">
            <v>T</v>
          </cell>
          <cell r="E226" t="str">
            <v>Milole River - Mlambala</v>
          </cell>
          <cell r="F226" t="str">
            <v>S152</v>
          </cell>
          <cell r="G226">
            <v>4</v>
          </cell>
          <cell r="H226">
            <v>14.5</v>
          </cell>
          <cell r="I226" t="str">
            <v>R</v>
          </cell>
          <cell r="J226" t="str">
            <v>CHIKWAWA</v>
          </cell>
          <cell r="K226">
            <v>10</v>
          </cell>
          <cell r="L226" t="str">
            <v>Changed designation from T408 to T405</v>
          </cell>
        </row>
        <row r="227">
          <cell r="A227" t="str">
            <v>RS 332</v>
          </cell>
          <cell r="B227">
            <v>154</v>
          </cell>
          <cell r="C227" t="str">
            <v>S</v>
          </cell>
          <cell r="D227" t="str">
            <v>T</v>
          </cell>
          <cell r="E227" t="str">
            <v>Mwona - Makhanga</v>
          </cell>
          <cell r="F227" t="str">
            <v>S152</v>
          </cell>
          <cell r="G227">
            <v>5</v>
          </cell>
          <cell r="H227">
            <v>12</v>
          </cell>
          <cell r="I227" t="str">
            <v>F</v>
          </cell>
          <cell r="J227" t="str">
            <v>NSANJE</v>
          </cell>
          <cell r="K227">
            <v>10</v>
          </cell>
          <cell r="L227" t="str">
            <v>Changed designation from M9 to S152</v>
          </cell>
        </row>
        <row r="228">
          <cell r="A228" t="str">
            <v>RS 436</v>
          </cell>
          <cell r="B228">
            <v>258</v>
          </cell>
          <cell r="C228" t="str">
            <v>S</v>
          </cell>
          <cell r="D228" t="str">
            <v>T</v>
          </cell>
          <cell r="E228" t="str">
            <v>Makhanga - Bangula (junction M1)</v>
          </cell>
          <cell r="F228" t="str">
            <v>S152</v>
          </cell>
          <cell r="G228">
            <v>6</v>
          </cell>
          <cell r="H228">
            <v>9</v>
          </cell>
          <cell r="I228" t="str">
            <v>H</v>
          </cell>
          <cell r="J228" t="str">
            <v>NSANJE</v>
          </cell>
          <cell r="K228">
            <v>10</v>
          </cell>
          <cell r="L228" t="str">
            <v>Changed designation from S151 to S152</v>
          </cell>
        </row>
        <row r="229">
          <cell r="A229" t="str">
            <v>RS 417</v>
          </cell>
          <cell r="B229">
            <v>239</v>
          </cell>
          <cell r="C229" t="str">
            <v>S</v>
          </cell>
          <cell r="D229" t="str">
            <v>T</v>
          </cell>
          <cell r="E229" t="str">
            <v>Kuchawe - Zomba City Boundary (down road)</v>
          </cell>
          <cell r="F229" t="str">
            <v>UD</v>
          </cell>
          <cell r="G229">
            <v>6</v>
          </cell>
          <cell r="H229">
            <v>5.9</v>
          </cell>
          <cell r="I229" t="str">
            <v>H</v>
          </cell>
          <cell r="J229" t="str">
            <v xml:space="preserve">ZOMBA </v>
          </cell>
          <cell r="K229" t="str">
            <v>C</v>
          </cell>
        </row>
        <row r="230">
          <cell r="A230" t="str">
            <v>RS 850</v>
          </cell>
          <cell r="B230" t="str">
            <v>n.a</v>
          </cell>
          <cell r="C230" t="str">
            <v>N</v>
          </cell>
          <cell r="D230" t="str">
            <v>Urban</v>
          </cell>
          <cell r="E230" t="str">
            <v>Viphya Drive (Mazuzu Hotel to end)</v>
          </cell>
          <cell r="F230" t="str">
            <v>Urban</v>
          </cell>
          <cell r="G230" t="str">
            <v>U</v>
          </cell>
          <cell r="H230">
            <v>1.5</v>
          </cell>
          <cell r="I230">
            <v>0</v>
          </cell>
          <cell r="J230" t="str">
            <v>MUZUZU</v>
          </cell>
          <cell r="K230" t="str">
            <v>C</v>
          </cell>
          <cell r="L230" t="str">
            <v>Part of origional RS 148</v>
          </cell>
        </row>
        <row r="231">
          <cell r="A231" t="str">
            <v>RS 150</v>
          </cell>
          <cell r="B231">
            <v>150</v>
          </cell>
          <cell r="C231" t="str">
            <v>N</v>
          </cell>
          <cell r="D231" t="str">
            <v>U</v>
          </cell>
          <cell r="E231" t="str">
            <v>Viphya Drive - via Prison - Kamuzu Drive</v>
          </cell>
          <cell r="F231" t="str">
            <v>Urban</v>
          </cell>
          <cell r="G231">
            <v>27</v>
          </cell>
          <cell r="H231">
            <v>2</v>
          </cell>
          <cell r="I231" t="str">
            <v>F</v>
          </cell>
          <cell r="J231" t="str">
            <v>MZUZU CITY</v>
          </cell>
          <cell r="K231" t="str">
            <v>C</v>
          </cell>
          <cell r="L231" t="str">
            <v>Road section redefined</v>
          </cell>
        </row>
        <row r="232">
          <cell r="A232" t="str">
            <v>RS 842</v>
          </cell>
          <cell r="B232">
            <v>170</v>
          </cell>
          <cell r="C232" t="str">
            <v>S</v>
          </cell>
          <cell r="D232" t="str">
            <v>U</v>
          </cell>
          <cell r="E232" t="str">
            <v>Zomba - Chikanda (end bitumen to end road)</v>
          </cell>
          <cell r="F232" t="str">
            <v>Urban</v>
          </cell>
          <cell r="G232">
            <v>18</v>
          </cell>
          <cell r="H232">
            <v>2.6</v>
          </cell>
          <cell r="I232" t="str">
            <v>R</v>
          </cell>
          <cell r="J232" t="str">
            <v>ZOMBA CITY</v>
          </cell>
          <cell r="K232" t="str">
            <v>C</v>
          </cell>
          <cell r="L232" t="str">
            <v>Road section redefined</v>
          </cell>
        </row>
        <row r="233">
          <cell r="A233" t="str">
            <v>RS 844</v>
          </cell>
          <cell r="B233">
            <v>172</v>
          </cell>
          <cell r="C233" t="str">
            <v>S</v>
          </cell>
          <cell r="D233" t="str">
            <v>U</v>
          </cell>
          <cell r="E233" t="str">
            <v>Chancellor College Road (end bitumen to end road)</v>
          </cell>
          <cell r="F233" t="str">
            <v>Urban</v>
          </cell>
          <cell r="G233">
            <v>20</v>
          </cell>
          <cell r="H233">
            <v>2.2000000000000002</v>
          </cell>
          <cell r="I233" t="str">
            <v>R</v>
          </cell>
          <cell r="J233" t="str">
            <v>ZOMBA CITY</v>
          </cell>
          <cell r="K233" t="str">
            <v>C</v>
          </cell>
        </row>
      </sheetData>
      <sheetData sheetId="2" refreshError="1">
        <row r="1">
          <cell r="A1" t="str">
            <v xml:space="preserve">Table A2 - Road Sections (as given in Terms of Reference) Not Used In The Study </v>
          </cell>
        </row>
        <row r="2">
          <cell r="A2" t="str">
            <v>Road Section No.</v>
          </cell>
          <cell r="B2" t="str">
            <v>MOWS Project No.</v>
          </cell>
          <cell r="C2" t="str">
            <v>Region</v>
          </cell>
          <cell r="D2" t="str">
            <v>Road class</v>
          </cell>
          <cell r="E2" t="str">
            <v>Road section</v>
          </cell>
          <cell r="F2" t="str">
            <v>Road designation</v>
          </cell>
          <cell r="G2" t="str">
            <v>Sequence</v>
          </cell>
          <cell r="H2" t="str">
            <v>Length (km)</v>
          </cell>
          <cell r="I2" t="str">
            <v>Map sheet No.</v>
          </cell>
          <cell r="J2" t="str">
            <v>Trrrain</v>
          </cell>
          <cell r="K2" t="str">
            <v>Reason for change &amp; district</v>
          </cell>
          <cell r="L2" t="str">
            <v>Comments</v>
          </cell>
        </row>
        <row r="3">
          <cell r="A3" t="str">
            <v>RS 001</v>
          </cell>
          <cell r="B3" t="str">
            <v>1</v>
          </cell>
          <cell r="C3" t="str">
            <v>N</v>
          </cell>
          <cell r="D3" t="str">
            <v>T</v>
          </cell>
          <cell r="E3" t="str">
            <v>Songwe - Chitimba River</v>
          </cell>
          <cell r="F3" t="str">
            <v>M01</v>
          </cell>
          <cell r="G3">
            <v>99</v>
          </cell>
          <cell r="H3">
            <v>120</v>
          </cell>
          <cell r="I3">
            <v>1</v>
          </cell>
          <cell r="J3" t="str">
            <v>F</v>
          </cell>
          <cell r="K3" t="str">
            <v>Split into RS 839 &amp; 840.</v>
          </cell>
          <cell r="L3" t="str">
            <v>Section not used in Study</v>
          </cell>
        </row>
        <row r="4">
          <cell r="A4" t="str">
            <v>RS 839</v>
          </cell>
          <cell r="B4" t="str">
            <v>n.a</v>
          </cell>
          <cell r="C4" t="str">
            <v>N</v>
          </cell>
          <cell r="D4" t="str">
            <v>T</v>
          </cell>
          <cell r="E4" t="str">
            <v>Songwe - Karonga</v>
          </cell>
          <cell r="F4" t="str">
            <v>M01</v>
          </cell>
          <cell r="G4">
            <v>1</v>
          </cell>
          <cell r="H4">
            <v>43</v>
          </cell>
          <cell r="I4">
            <v>1</v>
          </cell>
          <cell r="J4" t="str">
            <v>F</v>
          </cell>
          <cell r="K4" t="str">
            <v>KARONGA</v>
          </cell>
          <cell r="L4" t="str">
            <v>New section, part of RS1</v>
          </cell>
        </row>
        <row r="5">
          <cell r="A5" t="str">
            <v>RS 840</v>
          </cell>
          <cell r="B5" t="str">
            <v>n.a</v>
          </cell>
          <cell r="C5" t="str">
            <v>N</v>
          </cell>
          <cell r="D5" t="str">
            <v>T</v>
          </cell>
          <cell r="E5" t="str">
            <v>Karonga - Chitimba River</v>
          </cell>
          <cell r="F5" t="str">
            <v>M01</v>
          </cell>
          <cell r="G5">
            <v>2</v>
          </cell>
          <cell r="H5">
            <v>77</v>
          </cell>
          <cell r="I5">
            <v>1</v>
          </cell>
          <cell r="J5" t="str">
            <v>F</v>
          </cell>
          <cell r="K5" t="str">
            <v>KARONGA</v>
          </cell>
          <cell r="L5" t="str">
            <v>New section, part of RS1</v>
          </cell>
        </row>
        <row r="6">
          <cell r="A6" t="str">
            <v>RS 006</v>
          </cell>
          <cell r="B6" t="str">
            <v>6</v>
          </cell>
          <cell r="C6" t="str">
            <v>N</v>
          </cell>
          <cell r="D6" t="str">
            <v>T</v>
          </cell>
          <cell r="E6" t="str">
            <v>Mzuzu -Nkhata Bay Border</v>
          </cell>
          <cell r="F6" t="str">
            <v>M05</v>
          </cell>
          <cell r="G6">
            <v>99</v>
          </cell>
          <cell r="H6">
            <v>8</v>
          </cell>
          <cell r="I6" t="str">
            <v>-</v>
          </cell>
          <cell r="J6" t="str">
            <v>-</v>
          </cell>
          <cell r="K6" t="str">
            <v>Contained within RS 005</v>
          </cell>
          <cell r="L6" t="str">
            <v>Section not used in Study</v>
          </cell>
        </row>
        <row r="7">
          <cell r="A7" t="str">
            <v>RS 005</v>
          </cell>
          <cell r="B7" t="str">
            <v>5</v>
          </cell>
          <cell r="C7" t="str">
            <v>N</v>
          </cell>
          <cell r="D7" t="str">
            <v>T</v>
          </cell>
          <cell r="E7" t="str">
            <v>Mzuzu - Nkhata Bay</v>
          </cell>
          <cell r="F7" t="str">
            <v>M05</v>
          </cell>
          <cell r="G7">
            <v>1</v>
          </cell>
          <cell r="H7">
            <v>45</v>
          </cell>
          <cell r="I7">
            <v>3</v>
          </cell>
          <cell r="J7" t="str">
            <v>F</v>
          </cell>
          <cell r="K7" t="str">
            <v>MZIMBA &amp; NKHATA BAY</v>
          </cell>
        </row>
        <row r="8">
          <cell r="A8" t="str">
            <v>RS 039</v>
          </cell>
          <cell r="B8">
            <v>39</v>
          </cell>
          <cell r="C8" t="str">
            <v>C</v>
          </cell>
          <cell r="D8" t="str">
            <v>T</v>
          </cell>
          <cell r="E8" t="str">
            <v>Dedza - Lilongwe</v>
          </cell>
          <cell r="F8" t="str">
            <v>M01</v>
          </cell>
          <cell r="G8">
            <v>99</v>
          </cell>
          <cell r="H8">
            <v>84</v>
          </cell>
          <cell r="I8" t="str">
            <v>-</v>
          </cell>
          <cell r="J8" t="str">
            <v>-</v>
          </cell>
          <cell r="K8" t="str">
            <v>Contains RS 20,28,12,37,25,10,38,23,33</v>
          </cell>
          <cell r="L8" t="str">
            <v>Section not used in Study</v>
          </cell>
        </row>
        <row r="9">
          <cell r="A9" t="str">
            <v>RS 020</v>
          </cell>
          <cell r="B9">
            <v>20</v>
          </cell>
          <cell r="C9" t="str">
            <v>C</v>
          </cell>
          <cell r="D9" t="str">
            <v>T</v>
          </cell>
          <cell r="E9" t="str">
            <v>Lumbadzi River Bridge -  Chitsame</v>
          </cell>
          <cell r="F9" t="str">
            <v>M01</v>
          </cell>
          <cell r="G9">
            <v>15</v>
          </cell>
          <cell r="H9">
            <v>33</v>
          </cell>
          <cell r="I9">
            <v>6</v>
          </cell>
          <cell r="J9" t="str">
            <v>F</v>
          </cell>
          <cell r="K9" t="str">
            <v>LILONGWE</v>
          </cell>
        </row>
        <row r="10">
          <cell r="A10" t="str">
            <v>RS 028</v>
          </cell>
          <cell r="B10">
            <v>28</v>
          </cell>
          <cell r="C10" t="str">
            <v>C</v>
          </cell>
          <cell r="D10" t="str">
            <v>T</v>
          </cell>
          <cell r="E10" t="str">
            <v>Chitsime - Kamchere</v>
          </cell>
          <cell r="F10" t="str">
            <v>M01</v>
          </cell>
          <cell r="G10">
            <v>16</v>
          </cell>
          <cell r="H10">
            <v>8.8000000000000007</v>
          </cell>
          <cell r="I10">
            <v>6</v>
          </cell>
          <cell r="J10" t="str">
            <v>F</v>
          </cell>
          <cell r="K10" t="str">
            <v>LILONGWE</v>
          </cell>
        </row>
        <row r="11">
          <cell r="A11" t="str">
            <v>RS 012</v>
          </cell>
          <cell r="B11">
            <v>12</v>
          </cell>
          <cell r="C11" t="str">
            <v>C</v>
          </cell>
          <cell r="D11" t="str">
            <v>T</v>
          </cell>
          <cell r="E11" t="str">
            <v>Kamchere - Kalumba T/Off</v>
          </cell>
          <cell r="F11" t="str">
            <v>M01</v>
          </cell>
          <cell r="G11">
            <v>17</v>
          </cell>
          <cell r="H11">
            <v>13.4</v>
          </cell>
          <cell r="I11">
            <v>6</v>
          </cell>
          <cell r="J11" t="str">
            <v>F</v>
          </cell>
          <cell r="K11" t="str">
            <v>LILONGWE</v>
          </cell>
        </row>
        <row r="12">
          <cell r="A12" t="str">
            <v>RS 037</v>
          </cell>
          <cell r="B12">
            <v>37</v>
          </cell>
          <cell r="C12" t="str">
            <v>C</v>
          </cell>
          <cell r="D12" t="str">
            <v>T</v>
          </cell>
          <cell r="E12" t="str">
            <v>Kalumba T/Off - Diamphwe River Bridge</v>
          </cell>
          <cell r="F12" t="str">
            <v>M01</v>
          </cell>
          <cell r="G12">
            <v>18</v>
          </cell>
          <cell r="H12">
            <v>18.7</v>
          </cell>
          <cell r="I12">
            <v>6</v>
          </cell>
          <cell r="J12" t="str">
            <v>F</v>
          </cell>
          <cell r="K12" t="str">
            <v>LILONGWE</v>
          </cell>
        </row>
        <row r="13">
          <cell r="A13" t="str">
            <v>RS 025</v>
          </cell>
          <cell r="B13">
            <v>25</v>
          </cell>
          <cell r="C13" t="str">
            <v>C</v>
          </cell>
          <cell r="D13" t="str">
            <v>T</v>
          </cell>
          <cell r="E13" t="str">
            <v>Diamphwe River - Junction S126</v>
          </cell>
          <cell r="F13" t="str">
            <v>M01</v>
          </cell>
          <cell r="G13">
            <v>19</v>
          </cell>
          <cell r="H13">
            <v>5.4</v>
          </cell>
          <cell r="I13">
            <v>6</v>
          </cell>
          <cell r="J13" t="str">
            <v>R</v>
          </cell>
          <cell r="K13" t="str">
            <v>DEDZA</v>
          </cell>
        </row>
        <row r="14">
          <cell r="A14" t="str">
            <v>RS 010</v>
          </cell>
          <cell r="B14">
            <v>10</v>
          </cell>
          <cell r="C14" t="str">
            <v>C</v>
          </cell>
          <cell r="D14" t="str">
            <v>T</v>
          </cell>
          <cell r="E14" t="str">
            <v>Junction S126 - Linthipe</v>
          </cell>
          <cell r="F14" t="str">
            <v>M01</v>
          </cell>
          <cell r="G14">
            <v>20</v>
          </cell>
          <cell r="H14">
            <v>8.1</v>
          </cell>
          <cell r="I14">
            <v>6</v>
          </cell>
          <cell r="J14" t="str">
            <v>R</v>
          </cell>
          <cell r="K14" t="str">
            <v>DEDZA</v>
          </cell>
        </row>
        <row r="15">
          <cell r="A15" t="str">
            <v>RS 038</v>
          </cell>
          <cell r="B15">
            <v>38</v>
          </cell>
          <cell r="C15" t="str">
            <v>C</v>
          </cell>
          <cell r="D15" t="str">
            <v>T</v>
          </cell>
          <cell r="E15" t="str">
            <v>Linthipe - Chimbiya</v>
          </cell>
          <cell r="F15" t="str">
            <v>M01</v>
          </cell>
          <cell r="G15">
            <v>21</v>
          </cell>
          <cell r="H15">
            <v>6.3</v>
          </cell>
          <cell r="I15">
            <v>6</v>
          </cell>
          <cell r="J15" t="str">
            <v>R</v>
          </cell>
          <cell r="K15" t="str">
            <v>LILONGWE</v>
          </cell>
        </row>
        <row r="16">
          <cell r="A16" t="str">
            <v>RS 023</v>
          </cell>
          <cell r="B16">
            <v>23</v>
          </cell>
          <cell r="C16" t="str">
            <v>C</v>
          </cell>
          <cell r="D16" t="str">
            <v>T</v>
          </cell>
          <cell r="E16" t="str">
            <v>Chimbiya - Zuze</v>
          </cell>
          <cell r="F16" t="str">
            <v>M01</v>
          </cell>
          <cell r="G16">
            <v>22</v>
          </cell>
          <cell r="H16">
            <v>31.8</v>
          </cell>
          <cell r="I16">
            <v>6</v>
          </cell>
          <cell r="J16" t="str">
            <v>H</v>
          </cell>
          <cell r="K16" t="str">
            <v>DEDZA</v>
          </cell>
        </row>
        <row r="17">
          <cell r="A17" t="str">
            <v>RS 033</v>
          </cell>
          <cell r="B17">
            <v>33</v>
          </cell>
          <cell r="C17" t="str">
            <v>C</v>
          </cell>
          <cell r="D17" t="str">
            <v>T</v>
          </cell>
          <cell r="E17" t="str">
            <v>Dauya - Kapesi</v>
          </cell>
          <cell r="F17" t="str">
            <v>M01</v>
          </cell>
          <cell r="G17">
            <v>23</v>
          </cell>
          <cell r="H17">
            <v>12.5</v>
          </cell>
          <cell r="I17">
            <v>7</v>
          </cell>
          <cell r="J17" t="str">
            <v>F</v>
          </cell>
          <cell r="K17" t="str">
            <v>DEDZA</v>
          </cell>
        </row>
        <row r="18">
          <cell r="A18" t="str">
            <v>RS 040</v>
          </cell>
          <cell r="B18">
            <v>40</v>
          </cell>
          <cell r="C18" t="str">
            <v>C</v>
          </cell>
          <cell r="D18" t="str">
            <v>T</v>
          </cell>
          <cell r="E18" t="str">
            <v>Salima - Benga - Nkhotakota - Dwangwa</v>
          </cell>
          <cell r="F18" t="str">
            <v>M05</v>
          </cell>
          <cell r="G18">
            <v>99</v>
          </cell>
          <cell r="H18">
            <v>169</v>
          </cell>
          <cell r="I18" t="str">
            <v>-</v>
          </cell>
          <cell r="J18" t="str">
            <v>-</v>
          </cell>
          <cell r="K18" t="str">
            <v>Contains RS 43,66,50,54,53,61,42,58</v>
          </cell>
          <cell r="L18" t="str">
            <v>Section not used in Study</v>
          </cell>
        </row>
        <row r="19">
          <cell r="A19" t="str">
            <v>RS 043</v>
          </cell>
          <cell r="B19">
            <v>43</v>
          </cell>
          <cell r="C19" t="str">
            <v>C</v>
          </cell>
          <cell r="D19" t="str">
            <v>T</v>
          </cell>
          <cell r="E19" t="str">
            <v>Musenjere River- Bua River</v>
          </cell>
          <cell r="F19" t="str">
            <v>M05</v>
          </cell>
          <cell r="G19">
            <v>7</v>
          </cell>
          <cell r="H19">
            <v>14.7</v>
          </cell>
          <cell r="I19">
            <v>5</v>
          </cell>
          <cell r="J19" t="str">
            <v>R</v>
          </cell>
          <cell r="K19" t="str">
            <v>NKHOTA KOTA</v>
          </cell>
        </row>
        <row r="20">
          <cell r="A20" t="str">
            <v>RS 066</v>
          </cell>
          <cell r="B20">
            <v>66</v>
          </cell>
          <cell r="C20" t="str">
            <v>C</v>
          </cell>
          <cell r="D20" t="str">
            <v>T</v>
          </cell>
          <cell r="E20" t="str">
            <v>Bua River - Nkhota-kota</v>
          </cell>
          <cell r="F20" t="str">
            <v>M05</v>
          </cell>
          <cell r="G20">
            <v>8</v>
          </cell>
          <cell r="H20">
            <v>14.8</v>
          </cell>
          <cell r="I20">
            <v>5</v>
          </cell>
          <cell r="J20" t="str">
            <v>F</v>
          </cell>
          <cell r="K20" t="str">
            <v>NKHOTA KOTA</v>
          </cell>
        </row>
        <row r="21">
          <cell r="A21" t="str">
            <v>RS 050</v>
          </cell>
          <cell r="B21">
            <v>50</v>
          </cell>
          <cell r="C21" t="str">
            <v>C</v>
          </cell>
          <cell r="D21" t="str">
            <v>T</v>
          </cell>
          <cell r="E21" t="str">
            <v>Km 11.6-Km 18.3 (Nkhota-kota - Chia)</v>
          </cell>
          <cell r="F21" t="str">
            <v>M05</v>
          </cell>
          <cell r="G21">
            <v>10</v>
          </cell>
          <cell r="H21">
            <v>6.7</v>
          </cell>
          <cell r="I21">
            <v>5</v>
          </cell>
          <cell r="J21" t="str">
            <v>F</v>
          </cell>
          <cell r="K21" t="str">
            <v>NKHOTA KOTA</v>
          </cell>
        </row>
        <row r="22">
          <cell r="A22" t="str">
            <v>RS 054</v>
          </cell>
          <cell r="B22">
            <v>54</v>
          </cell>
          <cell r="C22" t="str">
            <v>C</v>
          </cell>
          <cell r="D22" t="str">
            <v>T</v>
          </cell>
          <cell r="E22" t="str">
            <v>Km 18.3-Chia River</v>
          </cell>
          <cell r="F22" t="str">
            <v>M05</v>
          </cell>
          <cell r="G22">
            <v>11</v>
          </cell>
          <cell r="H22">
            <v>5.4</v>
          </cell>
          <cell r="I22">
            <v>5</v>
          </cell>
          <cell r="J22" t="str">
            <v>F</v>
          </cell>
          <cell r="K22" t="str">
            <v>NKHOTA KOTA</v>
          </cell>
        </row>
        <row r="23">
          <cell r="A23" t="str">
            <v>RS 053</v>
          </cell>
          <cell r="B23">
            <v>53</v>
          </cell>
          <cell r="C23" t="str">
            <v>C</v>
          </cell>
          <cell r="D23" t="str">
            <v>T</v>
          </cell>
          <cell r="E23" t="str">
            <v>Chia River-Benga</v>
          </cell>
          <cell r="F23" t="str">
            <v>M05</v>
          </cell>
          <cell r="G23">
            <v>12</v>
          </cell>
          <cell r="H23">
            <v>29.4</v>
          </cell>
          <cell r="I23">
            <v>5</v>
          </cell>
          <cell r="J23" t="str">
            <v>F</v>
          </cell>
          <cell r="K23" t="str">
            <v>NKHOTA KOTA</v>
          </cell>
        </row>
        <row r="24">
          <cell r="A24" t="str">
            <v>RS 061</v>
          </cell>
          <cell r="B24">
            <v>61</v>
          </cell>
          <cell r="C24" t="str">
            <v>C</v>
          </cell>
          <cell r="D24" t="str">
            <v>T</v>
          </cell>
          <cell r="E24" t="str">
            <v>Benga-Kachisoka</v>
          </cell>
          <cell r="F24" t="str">
            <v>M05</v>
          </cell>
          <cell r="G24">
            <v>13</v>
          </cell>
          <cell r="H24">
            <v>2.7</v>
          </cell>
          <cell r="I24">
            <v>5</v>
          </cell>
          <cell r="J24" t="str">
            <v>F</v>
          </cell>
          <cell r="K24" t="str">
            <v>NKHOTA KOTA</v>
          </cell>
        </row>
        <row r="25">
          <cell r="A25" t="str">
            <v>RS 042</v>
          </cell>
          <cell r="B25">
            <v>42</v>
          </cell>
          <cell r="C25" t="str">
            <v>C</v>
          </cell>
          <cell r="D25" t="str">
            <v>T</v>
          </cell>
          <cell r="E25" t="str">
            <v>Chirua River Bridge - Thavite River Bridge</v>
          </cell>
          <cell r="F25" t="str">
            <v>M05</v>
          </cell>
          <cell r="G25">
            <v>14</v>
          </cell>
          <cell r="H25">
            <v>6</v>
          </cell>
          <cell r="I25">
            <v>5</v>
          </cell>
          <cell r="J25" t="str">
            <v>F</v>
          </cell>
          <cell r="K25" t="str">
            <v>SALIMA</v>
          </cell>
        </row>
        <row r="26">
          <cell r="A26" t="str">
            <v>RS 058</v>
          </cell>
          <cell r="B26">
            <v>58</v>
          </cell>
          <cell r="C26" t="str">
            <v>C</v>
          </cell>
          <cell r="D26" t="str">
            <v>T</v>
          </cell>
          <cell r="E26" t="str">
            <v>Thavite River Bridge - Kamphatenga</v>
          </cell>
          <cell r="F26" t="str">
            <v>M05</v>
          </cell>
          <cell r="G26">
            <v>15</v>
          </cell>
          <cell r="H26">
            <v>32.5</v>
          </cell>
          <cell r="I26">
            <v>7</v>
          </cell>
          <cell r="J26" t="str">
            <v>F</v>
          </cell>
          <cell r="K26" t="str">
            <v>SALIMA</v>
          </cell>
        </row>
        <row r="27">
          <cell r="A27" t="str">
            <v>RS 057</v>
          </cell>
          <cell r="B27">
            <v>57</v>
          </cell>
          <cell r="C27" t="str">
            <v>C</v>
          </cell>
          <cell r="D27" t="str">
            <v>T</v>
          </cell>
          <cell r="E27" t="str">
            <v>Malenga-Km 11.6</v>
          </cell>
          <cell r="F27" t="str">
            <v>M05</v>
          </cell>
          <cell r="G27">
            <v>99</v>
          </cell>
          <cell r="H27">
            <v>11.6</v>
          </cell>
          <cell r="I27" t="str">
            <v>-</v>
          </cell>
          <cell r="J27" t="str">
            <v>-</v>
          </cell>
          <cell r="K27" t="str">
            <v xml:space="preserve">Link does not exist </v>
          </cell>
          <cell r="L27" t="str">
            <v>Section not used in Study</v>
          </cell>
        </row>
        <row r="28">
          <cell r="A28" t="str">
            <v>RS 073</v>
          </cell>
          <cell r="B28">
            <v>73</v>
          </cell>
          <cell r="C28" t="str">
            <v>C</v>
          </cell>
          <cell r="D28" t="str">
            <v>T</v>
          </cell>
          <cell r="E28" t="str">
            <v>Kapiri - Bwanje River</v>
          </cell>
          <cell r="F28" t="str">
            <v>M10</v>
          </cell>
          <cell r="G28">
            <v>99</v>
          </cell>
          <cell r="H28">
            <v>9</v>
          </cell>
          <cell r="I28">
            <v>7</v>
          </cell>
          <cell r="J28" t="str">
            <v>F</v>
          </cell>
          <cell r="K28" t="str">
            <v>Contained within RS 72</v>
          </cell>
          <cell r="L28" t="str">
            <v>Section not used in Study</v>
          </cell>
        </row>
        <row r="29">
          <cell r="A29" t="str">
            <v>RS 072</v>
          </cell>
          <cell r="B29">
            <v>72</v>
          </cell>
          <cell r="C29" t="str">
            <v>C</v>
          </cell>
          <cell r="D29" t="str">
            <v>T</v>
          </cell>
          <cell r="E29" t="str">
            <v>Malambalala - Bwanje River</v>
          </cell>
          <cell r="F29" t="str">
            <v>M10</v>
          </cell>
          <cell r="G29">
            <v>3</v>
          </cell>
          <cell r="H29">
            <v>9</v>
          </cell>
          <cell r="I29">
            <v>7</v>
          </cell>
          <cell r="J29" t="str">
            <v>F</v>
          </cell>
          <cell r="K29" t="str">
            <v>DEDZA &amp; MANGOCHI</v>
          </cell>
        </row>
        <row r="30">
          <cell r="A30" t="str">
            <v>RS 078</v>
          </cell>
          <cell r="B30">
            <v>78</v>
          </cell>
          <cell r="C30" t="str">
            <v>C</v>
          </cell>
          <cell r="D30" t="str">
            <v>T</v>
          </cell>
          <cell r="E30" t="str">
            <v>Lilongwe-Mchinji</v>
          </cell>
          <cell r="F30" t="str">
            <v>M12</v>
          </cell>
          <cell r="G30">
            <v>99</v>
          </cell>
          <cell r="H30">
            <v>120</v>
          </cell>
          <cell r="I30">
            <v>6</v>
          </cell>
          <cell r="J30" t="str">
            <v>R</v>
          </cell>
          <cell r="K30" t="str">
            <v>Contains RS 80,79,77,76,75,836,74</v>
          </cell>
          <cell r="L30" t="str">
            <v>Section not used in Study</v>
          </cell>
        </row>
        <row r="31">
          <cell r="A31" t="str">
            <v>RS 080</v>
          </cell>
          <cell r="B31">
            <v>80</v>
          </cell>
          <cell r="C31" t="str">
            <v>C</v>
          </cell>
          <cell r="D31" t="str">
            <v>T</v>
          </cell>
          <cell r="E31" t="str">
            <v>International Border - Mchinji</v>
          </cell>
          <cell r="F31" t="str">
            <v>M12</v>
          </cell>
          <cell r="G31">
            <v>1</v>
          </cell>
          <cell r="H31">
            <v>11.5</v>
          </cell>
          <cell r="I31">
            <v>6</v>
          </cell>
          <cell r="J31" t="str">
            <v>F</v>
          </cell>
          <cell r="K31" t="str">
            <v>MCHINJI</v>
          </cell>
        </row>
        <row r="32">
          <cell r="A32" t="str">
            <v>RS 079</v>
          </cell>
          <cell r="B32">
            <v>79</v>
          </cell>
          <cell r="C32" t="str">
            <v>C</v>
          </cell>
          <cell r="D32" t="str">
            <v>T</v>
          </cell>
          <cell r="E32" t="str">
            <v>Mchinji - Kamwendo</v>
          </cell>
          <cell r="F32" t="str">
            <v>M12</v>
          </cell>
          <cell r="G32">
            <v>2</v>
          </cell>
          <cell r="H32">
            <v>19.100000000000001</v>
          </cell>
          <cell r="I32">
            <v>6</v>
          </cell>
          <cell r="J32" t="str">
            <v>F</v>
          </cell>
          <cell r="K32" t="str">
            <v>MCHINJI</v>
          </cell>
        </row>
        <row r="33">
          <cell r="A33" t="str">
            <v>RS 077</v>
          </cell>
          <cell r="B33">
            <v>77</v>
          </cell>
          <cell r="C33" t="str">
            <v>C</v>
          </cell>
          <cell r="D33" t="str">
            <v>T</v>
          </cell>
          <cell r="E33" t="str">
            <v>Kamwendo - Bua River</v>
          </cell>
          <cell r="F33" t="str">
            <v>M12</v>
          </cell>
          <cell r="G33">
            <v>3</v>
          </cell>
          <cell r="H33">
            <v>14.7</v>
          </cell>
          <cell r="I33">
            <v>6</v>
          </cell>
          <cell r="J33" t="str">
            <v>F</v>
          </cell>
          <cell r="K33" t="str">
            <v>MCHINJI</v>
          </cell>
        </row>
        <row r="34">
          <cell r="A34" t="str">
            <v>RS 076</v>
          </cell>
          <cell r="B34">
            <v>76</v>
          </cell>
          <cell r="C34" t="str">
            <v>C</v>
          </cell>
          <cell r="D34" t="str">
            <v>T</v>
          </cell>
          <cell r="E34" t="str">
            <v>Bua River - Namitete River Bridge</v>
          </cell>
          <cell r="F34" t="str">
            <v>M12</v>
          </cell>
          <cell r="G34">
            <v>4</v>
          </cell>
          <cell r="H34">
            <v>27.9</v>
          </cell>
          <cell r="I34">
            <v>6</v>
          </cell>
          <cell r="J34" t="str">
            <v>F</v>
          </cell>
          <cell r="K34" t="str">
            <v>MCHINJI</v>
          </cell>
        </row>
        <row r="35">
          <cell r="A35" t="str">
            <v>RS 075</v>
          </cell>
          <cell r="B35">
            <v>75</v>
          </cell>
          <cell r="C35" t="str">
            <v>C</v>
          </cell>
          <cell r="D35" t="str">
            <v>T</v>
          </cell>
          <cell r="E35" t="str">
            <v>Namitete River Bridge - Chileka</v>
          </cell>
          <cell r="F35" t="str">
            <v>M12</v>
          </cell>
          <cell r="G35">
            <v>5</v>
          </cell>
          <cell r="H35">
            <v>4.0999999999999996</v>
          </cell>
          <cell r="I35">
            <v>6</v>
          </cell>
          <cell r="J35" t="str">
            <v>R</v>
          </cell>
          <cell r="K35" t="str">
            <v>LILONGWE</v>
          </cell>
        </row>
        <row r="36">
          <cell r="A36" t="str">
            <v>RS 836</v>
          </cell>
          <cell r="B36" t="str">
            <v>n.a.</v>
          </cell>
          <cell r="C36" t="str">
            <v>C</v>
          </cell>
          <cell r="D36" t="str">
            <v>T</v>
          </cell>
          <cell r="E36" t="str">
            <v>Chileka - Chankhandwe</v>
          </cell>
          <cell r="F36" t="str">
            <v>M12</v>
          </cell>
          <cell r="G36">
            <v>6</v>
          </cell>
          <cell r="H36">
            <v>31.4</v>
          </cell>
          <cell r="I36">
            <v>6</v>
          </cell>
          <cell r="J36" t="str">
            <v>R</v>
          </cell>
          <cell r="K36" t="str">
            <v>LILONGWE</v>
          </cell>
          <cell r="L36" t="str">
            <v xml:space="preserve">New section part of RS 78 </v>
          </cell>
        </row>
        <row r="37">
          <cell r="A37" t="str">
            <v>RS 074</v>
          </cell>
          <cell r="B37">
            <v>74</v>
          </cell>
          <cell r="C37" t="str">
            <v>C</v>
          </cell>
          <cell r="D37" t="str">
            <v>T</v>
          </cell>
          <cell r="E37" t="str">
            <v>Chankhandwe - Njewa</v>
          </cell>
          <cell r="F37" t="str">
            <v>M12</v>
          </cell>
          <cell r="G37">
            <v>7</v>
          </cell>
          <cell r="H37">
            <v>11.3</v>
          </cell>
          <cell r="I37">
            <v>6</v>
          </cell>
          <cell r="J37" t="str">
            <v>R</v>
          </cell>
          <cell r="K37" t="str">
            <v>LILONGWE</v>
          </cell>
        </row>
        <row r="38">
          <cell r="A38" t="str">
            <v>RS 083</v>
          </cell>
          <cell r="B38">
            <v>83</v>
          </cell>
          <cell r="C38" t="str">
            <v>C</v>
          </cell>
          <cell r="D38" t="str">
            <v>T</v>
          </cell>
          <cell r="E38" t="str">
            <v>Chembe Railroad - Kaphatenga</v>
          </cell>
          <cell r="F38" t="str">
            <v>M14</v>
          </cell>
          <cell r="G38">
            <v>99</v>
          </cell>
          <cell r="H38">
            <v>8.6999999999999993</v>
          </cell>
          <cell r="I38">
            <v>6</v>
          </cell>
          <cell r="J38" t="str">
            <v>F</v>
          </cell>
          <cell r="K38" t="str">
            <v>Contains RS 60 &amp; 45</v>
          </cell>
          <cell r="L38" t="str">
            <v>Section not used in Study</v>
          </cell>
        </row>
        <row r="39">
          <cell r="A39" t="str">
            <v>RS 060</v>
          </cell>
          <cell r="B39">
            <v>60</v>
          </cell>
          <cell r="C39" t="str">
            <v>C</v>
          </cell>
          <cell r="D39" t="str">
            <v>T</v>
          </cell>
          <cell r="E39" t="str">
            <v>Chembe Railroad Bridge - Makande</v>
          </cell>
          <cell r="F39" t="str">
            <v>M14</v>
          </cell>
          <cell r="G39" t="str">
            <v>T</v>
          </cell>
          <cell r="H39">
            <v>6.8</v>
          </cell>
          <cell r="I39">
            <v>7</v>
          </cell>
          <cell r="J39" t="str">
            <v>F</v>
          </cell>
          <cell r="K39" t="str">
            <v>SALIMA</v>
          </cell>
          <cell r="L39" t="str">
            <v>Changed designation from M5 to M14</v>
          </cell>
        </row>
        <row r="40">
          <cell r="A40" t="str">
            <v>RS 045</v>
          </cell>
          <cell r="B40">
            <v>45</v>
          </cell>
          <cell r="C40" t="str">
            <v>C</v>
          </cell>
          <cell r="D40" t="str">
            <v>T</v>
          </cell>
          <cell r="E40" t="str">
            <v>Makande - Kaphatenga</v>
          </cell>
          <cell r="F40" t="str">
            <v>M14</v>
          </cell>
          <cell r="G40">
            <v>8</v>
          </cell>
          <cell r="H40">
            <v>4.5999999999999996</v>
          </cell>
          <cell r="I40">
            <v>6</v>
          </cell>
          <cell r="J40" t="str">
            <v>F</v>
          </cell>
          <cell r="K40" t="str">
            <v>SALIMA</v>
          </cell>
          <cell r="L40" t="str">
            <v>Changed designation from M5 to M14</v>
          </cell>
        </row>
        <row r="41">
          <cell r="A41" t="str">
            <v>RS 085</v>
          </cell>
          <cell r="B41">
            <v>85</v>
          </cell>
          <cell r="C41" t="str">
            <v>C</v>
          </cell>
          <cell r="D41" t="str">
            <v>T</v>
          </cell>
          <cell r="E41" t="str">
            <v>Salima - Senga Bay</v>
          </cell>
          <cell r="F41" t="str">
            <v>S122</v>
          </cell>
          <cell r="G41">
            <v>99</v>
          </cell>
          <cell r="H41">
            <v>22</v>
          </cell>
          <cell r="I41">
            <v>7</v>
          </cell>
          <cell r="J41" t="str">
            <v>F</v>
          </cell>
          <cell r="K41" t="str">
            <v>Contains RS276 &amp; 275</v>
          </cell>
          <cell r="L41" t="str">
            <v>Section not used in Study</v>
          </cell>
        </row>
        <row r="42">
          <cell r="A42" t="str">
            <v>RS 276</v>
          </cell>
          <cell r="B42">
            <v>98</v>
          </cell>
          <cell r="C42" t="str">
            <v>C</v>
          </cell>
          <cell r="D42" t="str">
            <v>T</v>
          </cell>
          <cell r="E42" t="str">
            <v>Salima railway crossing - Mikute</v>
          </cell>
          <cell r="F42" t="str">
            <v>S122</v>
          </cell>
          <cell r="G42">
            <v>2</v>
          </cell>
          <cell r="H42">
            <v>14.4</v>
          </cell>
          <cell r="I42">
            <v>7</v>
          </cell>
          <cell r="J42" t="str">
            <v>F</v>
          </cell>
          <cell r="K42" t="str">
            <v>SALIMA</v>
          </cell>
        </row>
        <row r="43">
          <cell r="A43" t="str">
            <v>RS 275</v>
          </cell>
          <cell r="B43">
            <v>97</v>
          </cell>
          <cell r="C43" t="str">
            <v>C</v>
          </cell>
          <cell r="D43" t="str">
            <v>T</v>
          </cell>
          <cell r="E43" t="str">
            <v>Mikute - Grand Beach</v>
          </cell>
          <cell r="F43" t="str">
            <v>S122</v>
          </cell>
          <cell r="G43">
            <v>3</v>
          </cell>
          <cell r="H43">
            <v>5.6</v>
          </cell>
          <cell r="I43">
            <v>7</v>
          </cell>
          <cell r="J43" t="str">
            <v>F</v>
          </cell>
          <cell r="K43" t="str">
            <v>SALIMA</v>
          </cell>
        </row>
        <row r="44">
          <cell r="A44" t="str">
            <v>RS 086</v>
          </cell>
          <cell r="B44">
            <v>86</v>
          </cell>
          <cell r="C44" t="str">
            <v>C</v>
          </cell>
          <cell r="D44" t="str">
            <v>T</v>
          </cell>
          <cell r="E44">
            <v>0</v>
          </cell>
          <cell r="F44" t="str">
            <v>S122</v>
          </cell>
          <cell r="G44">
            <v>0</v>
          </cell>
          <cell r="H44" t="str">
            <v>NO ROAD SECTION with this MOWS Project No.</v>
          </cell>
          <cell r="I44">
            <v>0</v>
          </cell>
          <cell r="J44">
            <v>0</v>
          </cell>
          <cell r="K44">
            <v>0</v>
          </cell>
          <cell r="L44" t="str">
            <v>Deleted from road sections in Study</v>
          </cell>
        </row>
        <row r="45">
          <cell r="A45" t="str">
            <v>RS 087</v>
          </cell>
          <cell r="B45">
            <v>87</v>
          </cell>
          <cell r="C45" t="str">
            <v>C</v>
          </cell>
          <cell r="D45" t="str">
            <v>T</v>
          </cell>
          <cell r="E45">
            <v>0</v>
          </cell>
          <cell r="F45" t="str">
            <v>S122</v>
          </cell>
          <cell r="G45">
            <v>0</v>
          </cell>
          <cell r="H45" t="str">
            <v>NO ROAD SECTION with this MOWS Project No.</v>
          </cell>
          <cell r="I45">
            <v>0</v>
          </cell>
          <cell r="J45">
            <v>0</v>
          </cell>
          <cell r="K45">
            <v>0</v>
          </cell>
          <cell r="L45" t="str">
            <v>Deleted from road sections in Study</v>
          </cell>
        </row>
        <row r="46">
          <cell r="A46" t="str">
            <v>RS 088</v>
          </cell>
          <cell r="B46">
            <v>88</v>
          </cell>
          <cell r="C46" t="str">
            <v>C</v>
          </cell>
          <cell r="D46" t="str">
            <v>T</v>
          </cell>
          <cell r="E46">
            <v>0</v>
          </cell>
          <cell r="F46" t="str">
            <v>S122</v>
          </cell>
          <cell r="G46">
            <v>0</v>
          </cell>
          <cell r="H46" t="str">
            <v>NO ROAD SECTION with this MOWS Project No.</v>
          </cell>
          <cell r="I46">
            <v>0</v>
          </cell>
          <cell r="J46">
            <v>0</v>
          </cell>
          <cell r="K46">
            <v>0</v>
          </cell>
          <cell r="L46" t="str">
            <v>Deleted from road sections in Study</v>
          </cell>
        </row>
        <row r="47">
          <cell r="A47" t="str">
            <v>RS 089</v>
          </cell>
          <cell r="B47">
            <v>89</v>
          </cell>
          <cell r="C47" t="str">
            <v>C</v>
          </cell>
          <cell r="D47" t="str">
            <v>T</v>
          </cell>
          <cell r="E47" t="str">
            <v xml:space="preserve"> Balaka - Salima</v>
          </cell>
          <cell r="F47" t="str">
            <v>M05</v>
          </cell>
          <cell r="G47">
            <v>99</v>
          </cell>
          <cell r="H47">
            <v>158</v>
          </cell>
          <cell r="I47" t="str">
            <v>-</v>
          </cell>
          <cell r="J47" t="str">
            <v>-</v>
          </cell>
          <cell r="K47" t="str">
            <v>Contains RS 51,67,64,59,63,55,41,46,65,56</v>
          </cell>
          <cell r="L47" t="str">
            <v>Section not used in Study</v>
          </cell>
        </row>
        <row r="48">
          <cell r="A48" t="str">
            <v>RS 051</v>
          </cell>
          <cell r="B48">
            <v>51</v>
          </cell>
          <cell r="C48" t="str">
            <v>C</v>
          </cell>
          <cell r="D48" t="str">
            <v>T</v>
          </cell>
          <cell r="E48" t="str">
            <v>Junction S122 - Linthipe River</v>
          </cell>
          <cell r="F48" t="str">
            <v>M05</v>
          </cell>
          <cell r="G48">
            <v>17</v>
          </cell>
          <cell r="H48">
            <v>1.9</v>
          </cell>
          <cell r="I48">
            <v>7</v>
          </cell>
          <cell r="J48" t="str">
            <v>F</v>
          </cell>
          <cell r="K48" t="str">
            <v>SALIMA</v>
          </cell>
        </row>
        <row r="49">
          <cell r="A49" t="str">
            <v>RS 067</v>
          </cell>
          <cell r="B49">
            <v>67</v>
          </cell>
          <cell r="C49" t="str">
            <v>C</v>
          </cell>
          <cell r="D49" t="str">
            <v>T</v>
          </cell>
          <cell r="E49" t="str">
            <v>Linthipe River - Luwadzi River Bridge</v>
          </cell>
          <cell r="F49" t="str">
            <v>M05</v>
          </cell>
          <cell r="G49">
            <v>18</v>
          </cell>
          <cell r="H49">
            <v>20.8</v>
          </cell>
          <cell r="I49">
            <v>7</v>
          </cell>
          <cell r="J49" t="str">
            <v>F</v>
          </cell>
          <cell r="K49" t="str">
            <v>SALIMA</v>
          </cell>
        </row>
        <row r="50">
          <cell r="A50" t="str">
            <v>RS 064</v>
          </cell>
          <cell r="B50">
            <v>64</v>
          </cell>
          <cell r="C50" t="str">
            <v>C</v>
          </cell>
          <cell r="D50" t="str">
            <v>T</v>
          </cell>
          <cell r="E50" t="str">
            <v>Luwadzi River Bridge - Ngodzi River Bridge</v>
          </cell>
          <cell r="F50" t="str">
            <v>M05</v>
          </cell>
          <cell r="G50">
            <v>19</v>
          </cell>
          <cell r="H50">
            <v>15.8</v>
          </cell>
          <cell r="I50">
            <v>7</v>
          </cell>
          <cell r="J50" t="str">
            <v>F</v>
          </cell>
          <cell r="K50" t="str">
            <v>SALIMA</v>
          </cell>
        </row>
        <row r="51">
          <cell r="A51" t="str">
            <v>RS 059</v>
          </cell>
          <cell r="B51">
            <v>59</v>
          </cell>
          <cell r="C51" t="str">
            <v>C</v>
          </cell>
          <cell r="D51" t="str">
            <v>T</v>
          </cell>
          <cell r="E51" t="str">
            <v>Ngodzi River Bridge - Mtakataka</v>
          </cell>
          <cell r="F51" t="str">
            <v>M05</v>
          </cell>
          <cell r="G51">
            <v>20</v>
          </cell>
          <cell r="H51">
            <v>14.3</v>
          </cell>
          <cell r="I51">
            <v>7</v>
          </cell>
          <cell r="J51" t="str">
            <v>F</v>
          </cell>
          <cell r="K51" t="str">
            <v>SALIMA</v>
          </cell>
        </row>
        <row r="52">
          <cell r="A52" t="str">
            <v>RS 063</v>
          </cell>
          <cell r="B52">
            <v>63</v>
          </cell>
          <cell r="C52" t="str">
            <v>C</v>
          </cell>
          <cell r="D52" t="str">
            <v>T</v>
          </cell>
          <cell r="E52" t="str">
            <v>Mtakataka - Golomoti</v>
          </cell>
          <cell r="F52" t="str">
            <v>M05</v>
          </cell>
          <cell r="G52">
            <v>21</v>
          </cell>
          <cell r="H52">
            <v>25.5</v>
          </cell>
          <cell r="I52">
            <v>7</v>
          </cell>
          <cell r="J52" t="str">
            <v>F</v>
          </cell>
          <cell r="K52" t="str">
            <v>DEDZA</v>
          </cell>
        </row>
        <row r="53">
          <cell r="A53" t="str">
            <v>RS 055</v>
          </cell>
          <cell r="B53">
            <v>55</v>
          </cell>
          <cell r="C53" t="str">
            <v>C</v>
          </cell>
          <cell r="D53" t="str">
            <v>T</v>
          </cell>
          <cell r="E53" t="str">
            <v>Golomoti - Kasinje</v>
          </cell>
          <cell r="F53" t="str">
            <v>M05</v>
          </cell>
          <cell r="G53">
            <v>22</v>
          </cell>
          <cell r="H53">
            <v>14.4</v>
          </cell>
          <cell r="I53">
            <v>8</v>
          </cell>
          <cell r="J53" t="str">
            <v>F</v>
          </cell>
          <cell r="K53" t="str">
            <v>NTCHEU</v>
          </cell>
        </row>
        <row r="54">
          <cell r="A54" t="str">
            <v>RS 041</v>
          </cell>
          <cell r="B54">
            <v>41</v>
          </cell>
          <cell r="C54" t="str">
            <v>C</v>
          </cell>
          <cell r="D54" t="str">
            <v>T</v>
          </cell>
          <cell r="E54" t="str">
            <v>Kasinje - Sharpevale</v>
          </cell>
          <cell r="F54" t="str">
            <v>M05</v>
          </cell>
          <cell r="G54">
            <v>23</v>
          </cell>
          <cell r="H54">
            <v>10.5</v>
          </cell>
          <cell r="I54">
            <v>8</v>
          </cell>
          <cell r="J54" t="str">
            <v>F</v>
          </cell>
          <cell r="K54" t="str">
            <v>NTCHEU</v>
          </cell>
        </row>
        <row r="55">
          <cell r="A55" t="str">
            <v>RS 046</v>
          </cell>
          <cell r="B55">
            <v>46</v>
          </cell>
          <cell r="C55" t="str">
            <v>C</v>
          </cell>
          <cell r="D55" t="str">
            <v>T</v>
          </cell>
          <cell r="E55" t="str">
            <v>Sharpevale - Bilila</v>
          </cell>
          <cell r="F55" t="str">
            <v>M05</v>
          </cell>
          <cell r="G55">
            <v>24</v>
          </cell>
          <cell r="H55">
            <v>28.3</v>
          </cell>
          <cell r="I55">
            <v>8</v>
          </cell>
          <cell r="J55" t="str">
            <v>R</v>
          </cell>
          <cell r="K55" t="str">
            <v>NTCHEU</v>
          </cell>
        </row>
        <row r="56">
          <cell r="A56" t="str">
            <v>RS 065</v>
          </cell>
          <cell r="B56">
            <v>65</v>
          </cell>
          <cell r="C56" t="str">
            <v>C</v>
          </cell>
          <cell r="D56" t="str">
            <v>T</v>
          </cell>
          <cell r="E56" t="str">
            <v>Bilila - Linengwe River</v>
          </cell>
          <cell r="F56" t="str">
            <v>M05</v>
          </cell>
          <cell r="G56">
            <v>25</v>
          </cell>
          <cell r="H56">
            <v>5.2</v>
          </cell>
          <cell r="I56">
            <v>8</v>
          </cell>
          <cell r="J56" t="str">
            <v>F</v>
          </cell>
          <cell r="K56" t="str">
            <v>NTCHEU</v>
          </cell>
        </row>
        <row r="57">
          <cell r="A57" t="str">
            <v>RS 056</v>
          </cell>
          <cell r="B57">
            <v>56</v>
          </cell>
          <cell r="C57" t="str">
            <v>C</v>
          </cell>
          <cell r="D57" t="str">
            <v>T</v>
          </cell>
          <cell r="E57" t="str">
            <v>Linengwe River - Balaka Market (junction M1)</v>
          </cell>
          <cell r="F57" t="str">
            <v>M05</v>
          </cell>
          <cell r="G57">
            <v>26</v>
          </cell>
          <cell r="H57">
            <v>7.4</v>
          </cell>
          <cell r="I57">
            <v>8</v>
          </cell>
          <cell r="J57" t="str">
            <v>F</v>
          </cell>
          <cell r="K57" t="str">
            <v>NTCHEU</v>
          </cell>
        </row>
        <row r="58">
          <cell r="A58" t="str">
            <v>RS 116</v>
          </cell>
          <cell r="B58">
            <v>116</v>
          </cell>
          <cell r="C58" t="str">
            <v>S</v>
          </cell>
          <cell r="D58" t="str">
            <v>T</v>
          </cell>
          <cell r="E58" t="str">
            <v>Blantyre - Limbe</v>
          </cell>
          <cell r="F58" t="str">
            <v>M02</v>
          </cell>
          <cell r="G58">
            <v>99</v>
          </cell>
          <cell r="H58">
            <v>7.9</v>
          </cell>
          <cell r="I58">
            <v>9</v>
          </cell>
          <cell r="J58" t="str">
            <v>R</v>
          </cell>
          <cell r="K58" t="str">
            <v>Same as RS 174</v>
          </cell>
          <cell r="L58" t="str">
            <v>Section not used in Study</v>
          </cell>
        </row>
        <row r="59">
          <cell r="A59" t="str">
            <v>RS 174</v>
          </cell>
          <cell r="B59">
            <v>174</v>
          </cell>
          <cell r="C59" t="str">
            <v>S</v>
          </cell>
          <cell r="D59" t="str">
            <v>U</v>
          </cell>
          <cell r="E59" t="str">
            <v>Chipembere Highway (M2, Blantyre - Limbe)</v>
          </cell>
          <cell r="F59" t="str">
            <v>Urban</v>
          </cell>
          <cell r="G59">
            <v>16</v>
          </cell>
          <cell r="H59">
            <v>9</v>
          </cell>
          <cell r="I59" t="str">
            <v>C</v>
          </cell>
          <cell r="J59" t="str">
            <v>R</v>
          </cell>
          <cell r="K59" t="str">
            <v>IN BLANTYRE CITY</v>
          </cell>
        </row>
        <row r="60">
          <cell r="A60" t="str">
            <v>RS 122</v>
          </cell>
          <cell r="B60">
            <v>122</v>
          </cell>
          <cell r="C60" t="str">
            <v>S</v>
          </cell>
          <cell r="D60" t="str">
            <v>T</v>
          </cell>
          <cell r="E60" t="str">
            <v>Nkoloma - Zomba Township Boundary</v>
          </cell>
          <cell r="F60" t="str">
            <v>M03</v>
          </cell>
          <cell r="G60">
            <v>99</v>
          </cell>
          <cell r="H60">
            <v>6.4</v>
          </cell>
          <cell r="I60">
            <v>9</v>
          </cell>
          <cell r="J60" t="str">
            <v>R</v>
          </cell>
          <cell r="K60" t="str">
            <v>Contained within RS 126</v>
          </cell>
          <cell r="L60" t="str">
            <v>Section not used in Study</v>
          </cell>
        </row>
        <row r="61">
          <cell r="A61" t="str">
            <v>RS 126</v>
          </cell>
          <cell r="B61">
            <v>126</v>
          </cell>
          <cell r="C61" t="str">
            <v>S</v>
          </cell>
          <cell r="D61" t="str">
            <v>T</v>
          </cell>
          <cell r="E61" t="str">
            <v>Namadzi River-Zomba South Township Boundary</v>
          </cell>
          <cell r="F61" t="str">
            <v>M03</v>
          </cell>
          <cell r="G61">
            <v>3</v>
          </cell>
          <cell r="H61">
            <v>13.3</v>
          </cell>
          <cell r="I61">
            <v>9</v>
          </cell>
          <cell r="J61" t="str">
            <v>R</v>
          </cell>
          <cell r="K61" t="str">
            <v>ZOMBA</v>
          </cell>
        </row>
        <row r="62">
          <cell r="A62" t="str">
            <v>RS 148</v>
          </cell>
          <cell r="B62">
            <v>148</v>
          </cell>
          <cell r="C62" t="str">
            <v>N</v>
          </cell>
          <cell r="D62" t="str">
            <v>U</v>
          </cell>
          <cell r="E62" t="str">
            <v>Mzuzu Hotel Road</v>
          </cell>
          <cell r="F62" t="str">
            <v>Urban</v>
          </cell>
          <cell r="G62" t="str">
            <v>U</v>
          </cell>
          <cell r="H62">
            <v>2</v>
          </cell>
          <cell r="I62" t="str">
            <v>C</v>
          </cell>
          <cell r="J62" t="str">
            <v>R</v>
          </cell>
          <cell r="K62" t="str">
            <v xml:space="preserve">Split into RS 849 &amp; 850 (bitumen &amp; earth sections) </v>
          </cell>
          <cell r="L62" t="str">
            <v>Section not used in Study</v>
          </cell>
        </row>
        <row r="63">
          <cell r="A63" t="str">
            <v>RS 849</v>
          </cell>
          <cell r="B63" t="str">
            <v>n.a.</v>
          </cell>
          <cell r="C63" t="str">
            <v>N</v>
          </cell>
          <cell r="D63" t="str">
            <v>U</v>
          </cell>
          <cell r="E63" t="str">
            <v>Viphya Drive (Kamuzu Avenue to Mazuzu Hotel)</v>
          </cell>
          <cell r="F63" t="str">
            <v>Urban</v>
          </cell>
          <cell r="G63" t="str">
            <v>U</v>
          </cell>
          <cell r="H63">
            <v>0.5</v>
          </cell>
          <cell r="I63">
            <v>0</v>
          </cell>
          <cell r="J63">
            <v>0</v>
          </cell>
          <cell r="K63" t="str">
            <v>MZUZU CITY</v>
          </cell>
        </row>
        <row r="64">
          <cell r="A64" t="str">
            <v>RS 850</v>
          </cell>
          <cell r="B64" t="str">
            <v>n.a.</v>
          </cell>
          <cell r="C64" t="str">
            <v>N</v>
          </cell>
          <cell r="D64" t="str">
            <v>U</v>
          </cell>
          <cell r="E64" t="str">
            <v>Viphya Drive (Mazuzu Hotel to end)</v>
          </cell>
          <cell r="F64" t="str">
            <v>Urban</v>
          </cell>
          <cell r="G64" t="str">
            <v>U</v>
          </cell>
          <cell r="H64">
            <v>1.5</v>
          </cell>
          <cell r="I64">
            <v>0</v>
          </cell>
          <cell r="J64">
            <v>0</v>
          </cell>
          <cell r="K64" t="str">
            <v>MZUZU CITY</v>
          </cell>
        </row>
        <row r="65">
          <cell r="A65" t="str">
            <v>RS 166</v>
          </cell>
          <cell r="B65">
            <v>166</v>
          </cell>
          <cell r="C65" t="str">
            <v>S</v>
          </cell>
          <cell r="D65" t="str">
            <v>U</v>
          </cell>
          <cell r="E65" t="str">
            <v>Zingwagwa Road (Chikwawa Road - Kapeni Road)</v>
          </cell>
          <cell r="F65" t="str">
            <v>Urban</v>
          </cell>
          <cell r="G65">
            <v>12</v>
          </cell>
          <cell r="H65">
            <v>7.7</v>
          </cell>
          <cell r="I65" t="str">
            <v>C</v>
          </cell>
          <cell r="J65" t="str">
            <v>R</v>
          </cell>
          <cell r="K65" t="str">
            <v>Name &amp; length modified by City Council</v>
          </cell>
          <cell r="L65" t="str">
            <v>See next line for change</v>
          </cell>
        </row>
        <row r="66">
          <cell r="A66" t="str">
            <v>RS 166</v>
          </cell>
          <cell r="B66">
            <v>166</v>
          </cell>
          <cell r="C66" t="str">
            <v>S</v>
          </cell>
          <cell r="D66" t="str">
            <v>U</v>
          </cell>
          <cell r="E66" t="str">
            <v>Kudya - Zingwagwa - Somba</v>
          </cell>
          <cell r="F66" t="str">
            <v>Urban</v>
          </cell>
          <cell r="G66">
            <v>12</v>
          </cell>
          <cell r="H66">
            <v>7.7</v>
          </cell>
          <cell r="I66" t="str">
            <v>C</v>
          </cell>
          <cell r="J66" t="str">
            <v>R</v>
          </cell>
          <cell r="K66" t="str">
            <v>IN BLANTYRE CITY</v>
          </cell>
          <cell r="L66" t="str">
            <v>New section details</v>
          </cell>
        </row>
        <row r="67">
          <cell r="A67" t="str">
            <v>RS 170</v>
          </cell>
          <cell r="B67">
            <v>170</v>
          </cell>
          <cell r="C67" t="str">
            <v>S</v>
          </cell>
          <cell r="D67" t="str">
            <v>U</v>
          </cell>
          <cell r="E67" t="str">
            <v>Zomba - Chikanda</v>
          </cell>
          <cell r="F67" t="str">
            <v>Urban</v>
          </cell>
          <cell r="G67">
            <v>99</v>
          </cell>
          <cell r="H67">
            <v>2</v>
          </cell>
          <cell r="I67" t="str">
            <v>C</v>
          </cell>
          <cell r="J67" t="str">
            <v>R</v>
          </cell>
          <cell r="K67" t="str">
            <v>Split into RS 841 &amp; 842 (bitumen &amp; earth sections)</v>
          </cell>
          <cell r="L67" t="str">
            <v>Section not used in Study</v>
          </cell>
        </row>
        <row r="68">
          <cell r="A68" t="str">
            <v>RS 841</v>
          </cell>
          <cell r="B68">
            <v>170</v>
          </cell>
          <cell r="C68" t="str">
            <v>S</v>
          </cell>
          <cell r="D68" t="str">
            <v>U</v>
          </cell>
          <cell r="E68" t="str">
            <v>Zomba - Chikanda (M1 to end bitumen)</v>
          </cell>
          <cell r="F68" t="str">
            <v>Urban</v>
          </cell>
          <cell r="G68">
            <v>18</v>
          </cell>
          <cell r="H68">
            <v>0.9</v>
          </cell>
          <cell r="I68" t="str">
            <v>C</v>
          </cell>
          <cell r="J68" t="str">
            <v>R</v>
          </cell>
          <cell r="K68" t="str">
            <v>ZOMBA CITY</v>
          </cell>
        </row>
        <row r="69">
          <cell r="A69" t="str">
            <v>RS 842</v>
          </cell>
          <cell r="B69">
            <v>170</v>
          </cell>
          <cell r="C69" t="str">
            <v>S</v>
          </cell>
          <cell r="D69" t="str">
            <v>U</v>
          </cell>
          <cell r="E69" t="str">
            <v>Zomba - Chikanda (end bitumen to end road)</v>
          </cell>
          <cell r="F69" t="str">
            <v>Urban</v>
          </cell>
          <cell r="G69">
            <v>18</v>
          </cell>
          <cell r="H69">
            <v>2.6</v>
          </cell>
          <cell r="I69" t="str">
            <v>C</v>
          </cell>
          <cell r="J69" t="str">
            <v>R</v>
          </cell>
          <cell r="K69" t="str">
            <v>ZOMBA CITY</v>
          </cell>
        </row>
        <row r="70">
          <cell r="A70" t="str">
            <v>RS 172</v>
          </cell>
          <cell r="B70">
            <v>172</v>
          </cell>
          <cell r="C70" t="str">
            <v>S</v>
          </cell>
          <cell r="D70" t="str">
            <v>U</v>
          </cell>
          <cell r="E70" t="str">
            <v>Chancellor College Road</v>
          </cell>
          <cell r="F70" t="str">
            <v>Urban</v>
          </cell>
          <cell r="G70">
            <v>99</v>
          </cell>
          <cell r="H70">
            <v>4.8</v>
          </cell>
          <cell r="I70" t="str">
            <v>C</v>
          </cell>
          <cell r="J70" t="str">
            <v>R</v>
          </cell>
          <cell r="K70" t="str">
            <v>Split into RS 843 &amp; 844 (bitumen &amp; earth sections)</v>
          </cell>
          <cell r="L70" t="str">
            <v>Section not used in Study</v>
          </cell>
        </row>
        <row r="71">
          <cell r="A71" t="str">
            <v>RS 843</v>
          </cell>
          <cell r="B71">
            <v>172</v>
          </cell>
          <cell r="C71" t="str">
            <v>S</v>
          </cell>
          <cell r="D71" t="str">
            <v>U</v>
          </cell>
          <cell r="E71" t="str">
            <v>Chancellor College Road (M1 to College - end bitumen)</v>
          </cell>
          <cell r="F71" t="str">
            <v>Urban</v>
          </cell>
          <cell r="G71">
            <v>20</v>
          </cell>
          <cell r="H71">
            <v>2.6</v>
          </cell>
          <cell r="I71" t="str">
            <v>C</v>
          </cell>
          <cell r="J71" t="str">
            <v>R</v>
          </cell>
          <cell r="K71" t="str">
            <v>ZOMBA CITY</v>
          </cell>
        </row>
        <row r="72">
          <cell r="A72" t="str">
            <v>RS 844</v>
          </cell>
          <cell r="B72">
            <v>172</v>
          </cell>
          <cell r="C72" t="str">
            <v>S</v>
          </cell>
          <cell r="D72" t="str">
            <v>U</v>
          </cell>
          <cell r="E72" t="str">
            <v>Chancellor College Road (end bitumen to end road)</v>
          </cell>
          <cell r="F72" t="str">
            <v>Urban</v>
          </cell>
          <cell r="G72">
            <v>20</v>
          </cell>
          <cell r="H72">
            <v>2.2000000000000002</v>
          </cell>
          <cell r="I72" t="str">
            <v>C</v>
          </cell>
          <cell r="J72" t="str">
            <v>R</v>
          </cell>
          <cell r="K72" t="str">
            <v>ZOMBA CITY</v>
          </cell>
        </row>
        <row r="73">
          <cell r="A73" t="str">
            <v>RS 175</v>
          </cell>
          <cell r="B73">
            <v>175</v>
          </cell>
          <cell r="C73" t="str">
            <v>S</v>
          </cell>
          <cell r="D73" t="str">
            <v>T</v>
          </cell>
          <cell r="E73" t="str">
            <v>Chileka Via Chirimba</v>
          </cell>
          <cell r="F73" t="str">
            <v>S137</v>
          </cell>
          <cell r="G73">
            <v>99</v>
          </cell>
          <cell r="H73">
            <v>18.7</v>
          </cell>
          <cell r="I73">
            <v>9</v>
          </cell>
          <cell r="J73" t="str">
            <v>F</v>
          </cell>
          <cell r="K73" t="str">
            <v>Contains RS 382 &amp; 838</v>
          </cell>
          <cell r="L73" t="str">
            <v>Section not used in Study</v>
          </cell>
        </row>
        <row r="74">
          <cell r="A74" t="str">
            <v>RS 382</v>
          </cell>
          <cell r="B74">
            <v>204</v>
          </cell>
          <cell r="C74" t="str">
            <v>S</v>
          </cell>
          <cell r="D74" t="str">
            <v>T</v>
          </cell>
          <cell r="E74" t="str">
            <v>Chileka Airport - Chirimba (junction M1)</v>
          </cell>
          <cell r="F74" t="str">
            <v>S137</v>
          </cell>
          <cell r="G74">
            <v>6</v>
          </cell>
          <cell r="H74">
            <v>8.3000000000000007</v>
          </cell>
          <cell r="I74">
            <v>9</v>
          </cell>
          <cell r="J74" t="str">
            <v>H</v>
          </cell>
          <cell r="K74" t="str">
            <v>BLANTYRE</v>
          </cell>
        </row>
        <row r="75">
          <cell r="A75" t="str">
            <v>RS 838</v>
          </cell>
          <cell r="B75" t="str">
            <v>n.a.</v>
          </cell>
          <cell r="C75" t="str">
            <v>S</v>
          </cell>
          <cell r="D75" t="str">
            <v>U</v>
          </cell>
          <cell r="E75" t="str">
            <v>Clock Tower - junction M1 (via road S137)</v>
          </cell>
          <cell r="F75" t="str">
            <v>Urban</v>
          </cell>
          <cell r="G75">
            <v>17</v>
          </cell>
          <cell r="H75">
            <v>10.4</v>
          </cell>
          <cell r="I75">
            <v>9</v>
          </cell>
          <cell r="J75" t="str">
            <v>R</v>
          </cell>
          <cell r="K75" t="str">
            <v>BLANTYRE CITY</v>
          </cell>
          <cell r="L75" t="str">
            <v>New section part original RS 175</v>
          </cell>
        </row>
        <row r="76">
          <cell r="A76" t="str">
            <v>RS 177</v>
          </cell>
          <cell r="B76">
            <v>177</v>
          </cell>
          <cell r="C76" t="str">
            <v>S</v>
          </cell>
          <cell r="D76" t="str">
            <v>U</v>
          </cell>
          <cell r="E76" t="str">
            <v>Air Wing Road</v>
          </cell>
          <cell r="F76" t="str">
            <v>Urban</v>
          </cell>
          <cell r="G76">
            <v>99</v>
          </cell>
          <cell r="H76">
            <v>8.6999999999999993</v>
          </cell>
          <cell r="I76" t="str">
            <v>C</v>
          </cell>
          <cell r="J76" t="str">
            <v>R</v>
          </cell>
          <cell r="K76" t="str">
            <v>Same as RS 393</v>
          </cell>
          <cell r="L76" t="str">
            <v>Section not used in Study</v>
          </cell>
        </row>
        <row r="77">
          <cell r="A77" t="str">
            <v>RS 393</v>
          </cell>
          <cell r="B77">
            <v>215</v>
          </cell>
          <cell r="C77" t="str">
            <v>S</v>
          </cell>
          <cell r="D77" t="str">
            <v>T</v>
          </cell>
          <cell r="E77" t="str">
            <v>M3 junction - Ndege (Air Wing)</v>
          </cell>
          <cell r="F77" t="str">
            <v>S143</v>
          </cell>
          <cell r="G77">
            <v>1</v>
          </cell>
          <cell r="H77">
            <v>3.9</v>
          </cell>
          <cell r="I77">
            <v>9</v>
          </cell>
          <cell r="J77" t="str">
            <v>F</v>
          </cell>
          <cell r="K77" t="str">
            <v>ZOMBA</v>
          </cell>
        </row>
        <row r="78">
          <cell r="A78" t="str">
            <v>RS 178</v>
          </cell>
          <cell r="B78">
            <v>178</v>
          </cell>
          <cell r="C78" t="str">
            <v>S</v>
          </cell>
          <cell r="D78" t="str">
            <v>U</v>
          </cell>
          <cell r="E78" t="str">
            <v>Balaka Loop</v>
          </cell>
          <cell r="F78" t="str">
            <v>Urban</v>
          </cell>
          <cell r="G78">
            <v>99</v>
          </cell>
          <cell r="H78">
            <v>1.5</v>
          </cell>
          <cell r="I78">
            <v>8</v>
          </cell>
          <cell r="J78" t="str">
            <v>-</v>
          </cell>
          <cell r="K78" t="str">
            <v>Same as RS 139</v>
          </cell>
          <cell r="L78" t="str">
            <v>Section not used in Study</v>
          </cell>
        </row>
        <row r="79">
          <cell r="A79" t="str">
            <v>RS 139</v>
          </cell>
          <cell r="B79">
            <v>139</v>
          </cell>
          <cell r="C79" t="str">
            <v>S</v>
          </cell>
          <cell r="D79" t="str">
            <v>T</v>
          </cell>
          <cell r="E79" t="str">
            <v xml:space="preserve">Balaka Loop </v>
          </cell>
          <cell r="F79" t="str">
            <v>Urban</v>
          </cell>
          <cell r="G79">
            <v>31</v>
          </cell>
          <cell r="H79">
            <v>1.5</v>
          </cell>
          <cell r="I79">
            <v>8</v>
          </cell>
          <cell r="J79" t="str">
            <v>F</v>
          </cell>
          <cell r="K79" t="str">
            <v>BALAKA TOWN</v>
          </cell>
        </row>
        <row r="80">
          <cell r="A80" t="str">
            <v>RS 179</v>
          </cell>
          <cell r="B80">
            <v>1</v>
          </cell>
          <cell r="C80" t="str">
            <v>N</v>
          </cell>
          <cell r="D80" t="str">
            <v>T</v>
          </cell>
          <cell r="E80" t="str">
            <v>Mkoma - Chelinda T/off</v>
          </cell>
          <cell r="F80" t="str">
            <v>M09</v>
          </cell>
          <cell r="G80" t="str">
            <v>T</v>
          </cell>
          <cell r="H80">
            <v>211.3</v>
          </cell>
          <cell r="I80">
            <v>2</v>
          </cell>
          <cell r="J80" t="str">
            <v>H</v>
          </cell>
          <cell r="K80" t="str">
            <v>Split into RS 847 &amp; 848 for link separation</v>
          </cell>
          <cell r="L80" t="str">
            <v>Section not used in Study</v>
          </cell>
        </row>
        <row r="81">
          <cell r="A81" t="str">
            <v>RS 847</v>
          </cell>
          <cell r="B81" t="str">
            <v>n.a.</v>
          </cell>
          <cell r="C81" t="str">
            <v>N</v>
          </cell>
          <cell r="D81" t="str">
            <v>T</v>
          </cell>
          <cell r="E81" t="str">
            <v>Mkoma (Tanzania border) - Chitipa</v>
          </cell>
          <cell r="F81" t="str">
            <v>M09</v>
          </cell>
          <cell r="G81">
            <v>1</v>
          </cell>
          <cell r="H81">
            <v>44.5</v>
          </cell>
          <cell r="I81">
            <v>1</v>
          </cell>
          <cell r="J81" t="str">
            <v>R</v>
          </cell>
          <cell r="K81" t="str">
            <v>CHITIPA</v>
          </cell>
          <cell r="L81" t="str">
            <v>New section part of original RS 179</v>
          </cell>
        </row>
        <row r="82">
          <cell r="A82" t="str">
            <v>RS 848</v>
          </cell>
          <cell r="B82" t="str">
            <v>n.a.</v>
          </cell>
          <cell r="C82" t="str">
            <v>N</v>
          </cell>
          <cell r="D82" t="str">
            <v>T</v>
          </cell>
          <cell r="E82" t="str">
            <v>Chitipa - Chelinda T/off</v>
          </cell>
          <cell r="F82" t="str">
            <v>M09</v>
          </cell>
          <cell r="G82">
            <v>2</v>
          </cell>
          <cell r="H82">
            <v>166.8</v>
          </cell>
          <cell r="I82">
            <v>1</v>
          </cell>
          <cell r="J82" t="str">
            <v>R</v>
          </cell>
          <cell r="K82" t="str">
            <v>CHITIPA</v>
          </cell>
          <cell r="L82" t="str">
            <v>New section part of original RS 179</v>
          </cell>
        </row>
        <row r="83">
          <cell r="A83" t="str">
            <v>RS 217</v>
          </cell>
          <cell r="B83">
            <v>39</v>
          </cell>
          <cell r="C83" t="str">
            <v>C</v>
          </cell>
          <cell r="D83" t="str">
            <v>T</v>
          </cell>
          <cell r="E83" t="str">
            <v>Railroad Bridge - Kanyenyeva</v>
          </cell>
          <cell r="F83" t="str">
            <v>M14</v>
          </cell>
          <cell r="G83" t="str">
            <v>T</v>
          </cell>
          <cell r="H83">
            <v>12</v>
          </cell>
          <cell r="I83">
            <v>6</v>
          </cell>
          <cell r="J83" t="str">
            <v>R</v>
          </cell>
          <cell r="K83" t="str">
            <v>Contained within RS 216</v>
          </cell>
          <cell r="L83" t="str">
            <v>Section not used in Study</v>
          </cell>
        </row>
        <row r="84">
          <cell r="A84" t="str">
            <v>RS 216</v>
          </cell>
          <cell r="B84">
            <v>38</v>
          </cell>
          <cell r="C84" t="str">
            <v>C</v>
          </cell>
          <cell r="D84" t="str">
            <v>T</v>
          </cell>
          <cell r="E84" t="str">
            <v>Kachinchezo - Kanyenyeva</v>
          </cell>
          <cell r="F84" t="str">
            <v>M14</v>
          </cell>
          <cell r="G84">
            <v>4</v>
          </cell>
          <cell r="H84">
            <v>10.8</v>
          </cell>
          <cell r="I84">
            <v>6</v>
          </cell>
          <cell r="J84" t="str">
            <v>R</v>
          </cell>
          <cell r="K84" t="str">
            <v>DOWA</v>
          </cell>
          <cell r="L84" t="str">
            <v>Changed designation from M16 to M14</v>
          </cell>
        </row>
        <row r="85">
          <cell r="A85" t="str">
            <v>RS 225</v>
          </cell>
          <cell r="B85">
            <v>47</v>
          </cell>
          <cell r="C85" t="str">
            <v>C</v>
          </cell>
          <cell r="D85" t="str">
            <v>T</v>
          </cell>
          <cell r="E85" t="str">
            <v>Msulira - Nkhotakota</v>
          </cell>
          <cell r="F85" t="str">
            <v>M18</v>
          </cell>
          <cell r="G85">
            <v>99</v>
          </cell>
          <cell r="H85">
            <v>80</v>
          </cell>
          <cell r="I85" t="str">
            <v>-</v>
          </cell>
          <cell r="J85" t="str">
            <v>-</v>
          </cell>
          <cell r="K85" t="str">
            <v>Contains RS 49,224,222,223,837,259</v>
          </cell>
          <cell r="L85" t="str">
            <v>Section not used in Study</v>
          </cell>
        </row>
        <row r="86">
          <cell r="A86" t="str">
            <v>RS 049</v>
          </cell>
          <cell r="B86">
            <v>49</v>
          </cell>
          <cell r="C86" t="str">
            <v>C</v>
          </cell>
          <cell r="D86" t="str">
            <v>T</v>
          </cell>
          <cell r="E86" t="str">
            <v>Nkhota-kota - Malenga</v>
          </cell>
          <cell r="F86" t="str">
            <v>M18</v>
          </cell>
          <cell r="G86">
            <v>1</v>
          </cell>
          <cell r="H86">
            <v>5.6</v>
          </cell>
          <cell r="I86">
            <v>5</v>
          </cell>
          <cell r="J86" t="str">
            <v>F</v>
          </cell>
          <cell r="K86" t="str">
            <v>NKHOTA KOTA</v>
          </cell>
          <cell r="L86" t="str">
            <v>Changed designation from M5 to M18</v>
          </cell>
        </row>
        <row r="87">
          <cell r="A87" t="str">
            <v>RS 224</v>
          </cell>
          <cell r="B87">
            <v>46</v>
          </cell>
          <cell r="C87" t="str">
            <v>C</v>
          </cell>
          <cell r="D87" t="str">
            <v>T</v>
          </cell>
          <cell r="E87" t="str">
            <v>Malenga - Nkhotakota Game Reserve</v>
          </cell>
          <cell r="F87" t="str">
            <v>M18</v>
          </cell>
          <cell r="G87">
            <v>2</v>
          </cell>
          <cell r="H87">
            <v>16.100000000000001</v>
          </cell>
          <cell r="I87">
            <v>5</v>
          </cell>
          <cell r="J87" t="str">
            <v>F</v>
          </cell>
          <cell r="K87" t="str">
            <v>NKHOTA KOTA</v>
          </cell>
        </row>
        <row r="88">
          <cell r="A88" t="str">
            <v>RS 222</v>
          </cell>
          <cell r="B88">
            <v>44</v>
          </cell>
          <cell r="C88" t="str">
            <v>C</v>
          </cell>
          <cell r="D88" t="str">
            <v>T</v>
          </cell>
          <cell r="E88" t="str">
            <v>Nkhotakota Game Reserve - Mbobo</v>
          </cell>
          <cell r="F88" t="str">
            <v>M18</v>
          </cell>
          <cell r="G88">
            <v>3</v>
          </cell>
          <cell r="H88">
            <v>32.6</v>
          </cell>
          <cell r="I88">
            <v>5</v>
          </cell>
          <cell r="J88" t="str">
            <v>R</v>
          </cell>
          <cell r="K88" t="str">
            <v>NKHOTA KOTA &amp; NTCHISI</v>
          </cell>
        </row>
        <row r="89">
          <cell r="A89" t="str">
            <v>RS 223</v>
          </cell>
          <cell r="B89">
            <v>45</v>
          </cell>
          <cell r="C89" t="str">
            <v>C</v>
          </cell>
          <cell r="D89" t="str">
            <v>T</v>
          </cell>
          <cell r="E89" t="str">
            <v>Mbobo - Malomo T.C.</v>
          </cell>
          <cell r="F89" t="str">
            <v>M18</v>
          </cell>
          <cell r="G89">
            <v>4</v>
          </cell>
          <cell r="H89">
            <v>18.100000000000001</v>
          </cell>
          <cell r="I89">
            <v>5</v>
          </cell>
          <cell r="J89" t="str">
            <v>R</v>
          </cell>
          <cell r="K89" t="str">
            <v>NTCHISI</v>
          </cell>
        </row>
        <row r="90">
          <cell r="A90" t="str">
            <v>RS 837</v>
          </cell>
          <cell r="B90" t="str">
            <v>n.a.</v>
          </cell>
          <cell r="C90" t="str">
            <v>C</v>
          </cell>
          <cell r="D90" t="str">
            <v>T</v>
          </cell>
          <cell r="E90" t="str">
            <v>Malomo T.C. - Chima</v>
          </cell>
          <cell r="F90" t="str">
            <v>M18</v>
          </cell>
          <cell r="G90">
            <v>5</v>
          </cell>
          <cell r="H90">
            <v>14.4</v>
          </cell>
          <cell r="I90">
            <v>6</v>
          </cell>
          <cell r="J90" t="str">
            <v>R</v>
          </cell>
          <cell r="K90" t="str">
            <v>LILONGWE</v>
          </cell>
          <cell r="L90" t="str">
            <v>New section part of RS 225</v>
          </cell>
        </row>
        <row r="91">
          <cell r="A91" t="str">
            <v>RS 259</v>
          </cell>
          <cell r="B91">
            <v>81</v>
          </cell>
          <cell r="C91" t="str">
            <v>C</v>
          </cell>
          <cell r="D91" t="str">
            <v>T</v>
          </cell>
          <cell r="E91" t="str">
            <v>Chima - Chilowamatambe</v>
          </cell>
          <cell r="F91" t="str">
            <v>M18</v>
          </cell>
          <cell r="G91">
            <v>6</v>
          </cell>
          <cell r="H91">
            <v>14.9</v>
          </cell>
          <cell r="I91">
            <v>5</v>
          </cell>
          <cell r="J91" t="str">
            <v>F</v>
          </cell>
          <cell r="K91" t="str">
            <v>KASUNGU</v>
          </cell>
          <cell r="L91" t="str">
            <v>Changed designation from S120 to M18. Now by-passed.</v>
          </cell>
        </row>
        <row r="92">
          <cell r="A92" t="str">
            <v>RS 228</v>
          </cell>
          <cell r="B92">
            <v>50</v>
          </cell>
          <cell r="C92" t="str">
            <v>C</v>
          </cell>
          <cell r="D92" t="str">
            <v>T</v>
          </cell>
          <cell r="E92" t="str">
            <v>Msokera - Lisitu River</v>
          </cell>
          <cell r="F92" t="str">
            <v>S114</v>
          </cell>
          <cell r="G92">
            <v>99</v>
          </cell>
          <cell r="H92">
            <v>32.5</v>
          </cell>
          <cell r="I92">
            <v>5</v>
          </cell>
          <cell r="J92" t="str">
            <v>F</v>
          </cell>
          <cell r="K92" t="str">
            <v>Contained within RS 229</v>
          </cell>
          <cell r="L92" t="str">
            <v>Section not used in Study</v>
          </cell>
        </row>
        <row r="93">
          <cell r="A93" t="str">
            <v>RS 229</v>
          </cell>
          <cell r="B93">
            <v>51</v>
          </cell>
          <cell r="C93" t="str">
            <v>C</v>
          </cell>
          <cell r="D93" t="str">
            <v>T</v>
          </cell>
          <cell r="E93" t="str">
            <v>Kasungu - Lifupa (Kasungu National Park)</v>
          </cell>
          <cell r="F93" t="str">
            <v>S114</v>
          </cell>
          <cell r="G93">
            <v>1</v>
          </cell>
          <cell r="H93">
            <v>47</v>
          </cell>
          <cell r="I93">
            <v>5</v>
          </cell>
          <cell r="J93" t="str">
            <v>F</v>
          </cell>
          <cell r="K93" t="str">
            <v>KASUNGU</v>
          </cell>
        </row>
        <row r="94">
          <cell r="A94" t="str">
            <v>RS 230</v>
          </cell>
          <cell r="B94">
            <v>52</v>
          </cell>
          <cell r="C94" t="str">
            <v>C</v>
          </cell>
          <cell r="D94" t="str">
            <v>T</v>
          </cell>
          <cell r="E94" t="str">
            <v>Dangaliro - Nambuma River</v>
          </cell>
          <cell r="F94" t="str">
            <v>S115</v>
          </cell>
          <cell r="G94">
            <v>99</v>
          </cell>
          <cell r="H94">
            <v>9.8000000000000007</v>
          </cell>
          <cell r="I94">
            <v>6</v>
          </cell>
          <cell r="J94" t="str">
            <v>F</v>
          </cell>
          <cell r="K94" t="str">
            <v>Contained in RS 232 &amp; 231</v>
          </cell>
          <cell r="L94" t="str">
            <v>Section not used in Study</v>
          </cell>
        </row>
        <row r="95">
          <cell r="A95" t="str">
            <v>RS 232</v>
          </cell>
          <cell r="B95">
            <v>54</v>
          </cell>
          <cell r="C95" t="str">
            <v>C</v>
          </cell>
          <cell r="D95" t="str">
            <v>T</v>
          </cell>
          <cell r="E95" t="str">
            <v>Dangaliro - Mkulumimba</v>
          </cell>
          <cell r="F95" t="str">
            <v>S115</v>
          </cell>
          <cell r="G95">
            <v>3</v>
          </cell>
          <cell r="H95">
            <v>15.4</v>
          </cell>
          <cell r="I95">
            <v>6</v>
          </cell>
          <cell r="J95" t="str">
            <v>F</v>
          </cell>
          <cell r="K95" t="str">
            <v>DOWA</v>
          </cell>
        </row>
        <row r="96">
          <cell r="A96" t="str">
            <v>RS 231</v>
          </cell>
          <cell r="B96">
            <v>53</v>
          </cell>
          <cell r="C96" t="str">
            <v>C</v>
          </cell>
          <cell r="D96" t="str">
            <v>T</v>
          </cell>
          <cell r="E96" t="str">
            <v>Mkulumimba - Bua River Bridge</v>
          </cell>
          <cell r="F96" t="str">
            <v>S115</v>
          </cell>
          <cell r="G96">
            <v>4</v>
          </cell>
          <cell r="H96">
            <v>13</v>
          </cell>
          <cell r="I96">
            <v>6</v>
          </cell>
          <cell r="J96" t="str">
            <v>F</v>
          </cell>
          <cell r="K96" t="str">
            <v>DOWA &amp; LILONGWE</v>
          </cell>
        </row>
        <row r="97">
          <cell r="A97" t="str">
            <v>RS 263</v>
          </cell>
          <cell r="B97">
            <v>85</v>
          </cell>
          <cell r="C97" t="str">
            <v>C</v>
          </cell>
          <cell r="D97" t="str">
            <v>T</v>
          </cell>
          <cell r="E97" t="str">
            <v>Kamphata - Nkhoma</v>
          </cell>
          <cell r="F97" t="str">
            <v>S121</v>
          </cell>
          <cell r="G97">
            <v>99</v>
          </cell>
          <cell r="H97">
            <v>16</v>
          </cell>
          <cell r="I97">
            <v>6</v>
          </cell>
          <cell r="J97" t="str">
            <v>F</v>
          </cell>
          <cell r="K97" t="str">
            <v>Contains RS 273 &amp; 265 (Part of T373)</v>
          </cell>
          <cell r="L97" t="str">
            <v>Section not used in Study</v>
          </cell>
        </row>
        <row r="98">
          <cell r="A98" t="str">
            <v>RS 273</v>
          </cell>
          <cell r="B98">
            <v>95</v>
          </cell>
          <cell r="C98" t="str">
            <v>C</v>
          </cell>
          <cell r="D98" t="str">
            <v>T</v>
          </cell>
          <cell r="E98" t="str">
            <v>Chamadenga - Kamphata</v>
          </cell>
          <cell r="F98" t="str">
            <v>S121</v>
          </cell>
          <cell r="G98">
            <v>8</v>
          </cell>
          <cell r="H98">
            <v>9.1</v>
          </cell>
          <cell r="I98">
            <v>6</v>
          </cell>
          <cell r="J98" t="str">
            <v>F</v>
          </cell>
          <cell r="K98" t="str">
            <v>LILONGWE</v>
          </cell>
        </row>
        <row r="99">
          <cell r="A99" t="str">
            <v>RS 265</v>
          </cell>
          <cell r="B99">
            <v>87</v>
          </cell>
          <cell r="C99" t="str">
            <v>C</v>
          </cell>
          <cell r="D99" t="str">
            <v>F</v>
          </cell>
          <cell r="E99" t="str">
            <v>Chamadenga - Katete River</v>
          </cell>
          <cell r="F99" t="str">
            <v>T373</v>
          </cell>
          <cell r="G99">
            <v>1</v>
          </cell>
          <cell r="H99">
            <v>6.3</v>
          </cell>
          <cell r="I99">
            <v>6</v>
          </cell>
          <cell r="J99" t="str">
            <v>F</v>
          </cell>
          <cell r="K99" t="str">
            <v>LILONGWE</v>
          </cell>
          <cell r="L99" t="str">
            <v>Changed designation from S121 to T373</v>
          </cell>
        </row>
        <row r="100">
          <cell r="A100" t="str">
            <v>RS 244</v>
          </cell>
          <cell r="B100">
            <v>66</v>
          </cell>
          <cell r="C100" t="str">
            <v>C</v>
          </cell>
          <cell r="D100" t="str">
            <v>T</v>
          </cell>
          <cell r="E100" t="str">
            <v>Santhe T.C. - Bua River</v>
          </cell>
          <cell r="F100" t="str">
            <v>S117</v>
          </cell>
          <cell r="G100">
            <v>2</v>
          </cell>
          <cell r="H100">
            <v>6.5</v>
          </cell>
          <cell r="I100" t="str">
            <v>F</v>
          </cell>
          <cell r="J100" t="str">
            <v>KASUNGU</v>
          </cell>
          <cell r="K100" t="str">
            <v>Contained within  RS 246</v>
          </cell>
          <cell r="L100" t="str">
            <v>Section not used in Study</v>
          </cell>
        </row>
        <row r="101">
          <cell r="A101" t="str">
            <v>RS 246</v>
          </cell>
          <cell r="B101">
            <v>68</v>
          </cell>
          <cell r="C101" t="str">
            <v>C</v>
          </cell>
          <cell r="D101" t="str">
            <v>T</v>
          </cell>
          <cell r="E101" t="str">
            <v>Bua River - Chilobwe - Mbabzi</v>
          </cell>
          <cell r="F101" t="str">
            <v>S117</v>
          </cell>
          <cell r="G101">
            <v>3</v>
          </cell>
          <cell r="H101">
            <v>93</v>
          </cell>
          <cell r="I101" t="str">
            <v>F</v>
          </cell>
          <cell r="J101" t="str">
            <v>LL &amp; MC &amp; KU</v>
          </cell>
          <cell r="K101" t="str">
            <v>LILONGWE/MCHINJI/KASUNGU</v>
          </cell>
        </row>
        <row r="102">
          <cell r="A102" t="str">
            <v>RS 287</v>
          </cell>
          <cell r="B102">
            <v>109</v>
          </cell>
          <cell r="C102" t="str">
            <v>C</v>
          </cell>
          <cell r="D102" t="str">
            <v>T</v>
          </cell>
          <cell r="E102" t="str">
            <v>Sitima - Diamphwe River</v>
          </cell>
          <cell r="F102" t="str">
            <v>S124</v>
          </cell>
          <cell r="G102">
            <v>99</v>
          </cell>
          <cell r="H102">
            <v>6.1</v>
          </cell>
          <cell r="I102">
            <v>6</v>
          </cell>
          <cell r="J102" t="str">
            <v>F</v>
          </cell>
          <cell r="K102" t="str">
            <v>Contains RS 661,284,286,288</v>
          </cell>
          <cell r="L102" t="str">
            <v>Section not used in Study</v>
          </cell>
        </row>
        <row r="103">
          <cell r="A103" t="str">
            <v>RS 661</v>
          </cell>
          <cell r="B103">
            <v>483</v>
          </cell>
          <cell r="C103" t="str">
            <v>C</v>
          </cell>
          <cell r="D103" t="str">
            <v>T</v>
          </cell>
          <cell r="E103" t="str">
            <v>Sitima - Kambalanje</v>
          </cell>
          <cell r="F103" t="str">
            <v>S124</v>
          </cell>
          <cell r="G103">
            <v>8</v>
          </cell>
          <cell r="H103">
            <v>1.9</v>
          </cell>
          <cell r="I103">
            <v>6</v>
          </cell>
          <cell r="J103" t="str">
            <v>F</v>
          </cell>
          <cell r="K103" t="str">
            <v>LILONGWE</v>
          </cell>
          <cell r="L103" t="str">
            <v>Changed designation from D198 to S124</v>
          </cell>
        </row>
        <row r="104">
          <cell r="A104" t="str">
            <v>RS 284</v>
          </cell>
          <cell r="B104">
            <v>106</v>
          </cell>
          <cell r="C104" t="str">
            <v>C</v>
          </cell>
          <cell r="D104" t="str">
            <v>T</v>
          </cell>
          <cell r="E104" t="str">
            <v>Kambalanje - Chisendera</v>
          </cell>
          <cell r="F104" t="str">
            <v>S124</v>
          </cell>
          <cell r="G104">
            <v>9</v>
          </cell>
          <cell r="H104">
            <v>7.5</v>
          </cell>
          <cell r="I104">
            <v>6</v>
          </cell>
          <cell r="J104" t="str">
            <v>F</v>
          </cell>
          <cell r="K104" t="str">
            <v>LILONGWE</v>
          </cell>
        </row>
        <row r="105">
          <cell r="A105" t="str">
            <v>RS 286</v>
          </cell>
          <cell r="B105">
            <v>108</v>
          </cell>
          <cell r="C105" t="str">
            <v>C</v>
          </cell>
          <cell r="D105" t="str">
            <v>T</v>
          </cell>
          <cell r="E105" t="str">
            <v>Chisendera - Mlozesi</v>
          </cell>
          <cell r="F105" t="str">
            <v>S124</v>
          </cell>
          <cell r="G105">
            <v>10</v>
          </cell>
          <cell r="H105">
            <v>4.9000000000000004</v>
          </cell>
          <cell r="I105">
            <v>6</v>
          </cell>
          <cell r="J105" t="str">
            <v>F</v>
          </cell>
          <cell r="K105" t="str">
            <v>LILONGWE</v>
          </cell>
        </row>
        <row r="106">
          <cell r="A106" t="str">
            <v>RS 288</v>
          </cell>
          <cell r="B106">
            <v>110</v>
          </cell>
          <cell r="C106" t="str">
            <v>C</v>
          </cell>
          <cell r="D106" t="str">
            <v>T</v>
          </cell>
          <cell r="E106" t="str">
            <v>Mlozesi - Diamphwe River</v>
          </cell>
          <cell r="F106" t="str">
            <v>S124</v>
          </cell>
          <cell r="G106">
            <v>11</v>
          </cell>
          <cell r="H106">
            <v>4.5</v>
          </cell>
          <cell r="I106">
            <v>6</v>
          </cell>
          <cell r="J106" t="str">
            <v>F</v>
          </cell>
          <cell r="K106" t="str">
            <v>LILONGWE</v>
          </cell>
        </row>
        <row r="107">
          <cell r="A107" t="str">
            <v>RS 316</v>
          </cell>
          <cell r="B107">
            <v>138</v>
          </cell>
          <cell r="C107" t="str">
            <v>S</v>
          </cell>
          <cell r="D107" t="str">
            <v>T</v>
          </cell>
          <cell r="E107" t="str">
            <v>Ngabu - Lalanje River</v>
          </cell>
          <cell r="F107" t="str">
            <v>M01</v>
          </cell>
          <cell r="G107">
            <v>99</v>
          </cell>
          <cell r="H107">
            <v>17.399999999999999</v>
          </cell>
          <cell r="I107">
            <v>3</v>
          </cell>
          <cell r="J107" t="str">
            <v>F</v>
          </cell>
          <cell r="K107" t="str">
            <v>Same as RS 097</v>
          </cell>
          <cell r="L107" t="str">
            <v>Section not used in Study</v>
          </cell>
        </row>
        <row r="108">
          <cell r="A108" t="str">
            <v>RS 097</v>
          </cell>
          <cell r="B108">
            <v>97</v>
          </cell>
          <cell r="C108" t="str">
            <v>S</v>
          </cell>
          <cell r="D108" t="str">
            <v>T</v>
          </cell>
          <cell r="E108" t="str">
            <v>Ngabu - Lalanje River</v>
          </cell>
          <cell r="F108" t="str">
            <v>M01</v>
          </cell>
          <cell r="G108">
            <v>50</v>
          </cell>
          <cell r="H108">
            <v>17.399999999999999</v>
          </cell>
          <cell r="I108">
            <v>10</v>
          </cell>
          <cell r="J108" t="str">
            <v>F</v>
          </cell>
          <cell r="K108" t="str">
            <v>CHIKWAWA</v>
          </cell>
        </row>
        <row r="109">
          <cell r="A109" t="str">
            <v>RS 319</v>
          </cell>
          <cell r="B109">
            <v>141</v>
          </cell>
          <cell r="C109" t="str">
            <v>S</v>
          </cell>
          <cell r="D109" t="str">
            <v>T</v>
          </cell>
          <cell r="E109" t="str">
            <v>Bango - Mirale Police Post</v>
          </cell>
          <cell r="F109" t="str">
            <v>M01</v>
          </cell>
          <cell r="G109">
            <v>99</v>
          </cell>
          <cell r="H109">
            <v>11.4</v>
          </cell>
          <cell r="I109">
            <v>9</v>
          </cell>
          <cell r="J109" t="str">
            <v>R</v>
          </cell>
          <cell r="K109" t="str">
            <v>Same as RS 104</v>
          </cell>
          <cell r="L109" t="str">
            <v>Section not used in Study</v>
          </cell>
        </row>
        <row r="110">
          <cell r="A110" t="str">
            <v>RS 104</v>
          </cell>
          <cell r="B110">
            <v>104</v>
          </cell>
          <cell r="C110" t="str">
            <v>S</v>
          </cell>
          <cell r="D110" t="str">
            <v>T</v>
          </cell>
          <cell r="E110" t="str">
            <v>Bango - Mirale Police Post</v>
          </cell>
          <cell r="F110" t="str">
            <v>M01</v>
          </cell>
          <cell r="G110">
            <v>42</v>
          </cell>
          <cell r="H110">
            <v>11.4</v>
          </cell>
          <cell r="I110">
            <v>9</v>
          </cell>
          <cell r="J110" t="str">
            <v>R</v>
          </cell>
          <cell r="K110" t="str">
            <v>BLANTYRE</v>
          </cell>
        </row>
        <row r="111">
          <cell r="A111" t="str">
            <v>RS 330</v>
          </cell>
          <cell r="B111">
            <v>152</v>
          </cell>
          <cell r="C111" t="str">
            <v>S</v>
          </cell>
          <cell r="D111" t="str">
            <v>T</v>
          </cell>
          <cell r="E111" t="str">
            <v>Losa - Luwanje</v>
          </cell>
          <cell r="F111" t="str">
            <v>M04</v>
          </cell>
          <cell r="G111">
            <v>99</v>
          </cell>
          <cell r="H111">
            <v>15.6</v>
          </cell>
          <cell r="I111">
            <v>9</v>
          </cell>
          <cell r="J111" t="str">
            <v>R</v>
          </cell>
          <cell r="K111" t="str">
            <v>Contains RS 758 &amp; 838</v>
          </cell>
          <cell r="L111" t="str">
            <v>Section not used in Study</v>
          </cell>
        </row>
        <row r="112">
          <cell r="A112" t="str">
            <v>RS 758</v>
          </cell>
          <cell r="B112">
            <v>580</v>
          </cell>
          <cell r="C112" t="str">
            <v>S</v>
          </cell>
          <cell r="D112" t="str">
            <v>T</v>
          </cell>
          <cell r="E112" t="str">
            <v>Losa - Thuchila River Bridge</v>
          </cell>
          <cell r="F112" t="str">
            <v>M04</v>
          </cell>
          <cell r="G112">
            <v>4</v>
          </cell>
          <cell r="H112">
            <v>8.6999999999999993</v>
          </cell>
          <cell r="I112">
            <v>9</v>
          </cell>
          <cell r="J112" t="str">
            <v>F</v>
          </cell>
          <cell r="K112" t="str">
            <v>MULANJE</v>
          </cell>
          <cell r="L112" t="str">
            <v>Changed designation from T413  to M04</v>
          </cell>
        </row>
        <row r="113">
          <cell r="A113" t="str">
            <v>RS 838</v>
          </cell>
          <cell r="B113" t="str">
            <v>n.a.</v>
          </cell>
          <cell r="C113" t="str">
            <v>S</v>
          </cell>
          <cell r="D113" t="str">
            <v>T</v>
          </cell>
          <cell r="E113" t="str">
            <v>Thuchila River Bridge - Luwanje T.C.</v>
          </cell>
          <cell r="F113" t="str">
            <v>M04</v>
          </cell>
          <cell r="G113">
            <v>5</v>
          </cell>
          <cell r="H113">
            <v>6.9</v>
          </cell>
          <cell r="I113">
            <v>9</v>
          </cell>
          <cell r="J113" t="str">
            <v>R</v>
          </cell>
          <cell r="K113" t="str">
            <v>MULANJE</v>
          </cell>
          <cell r="L113" t="str">
            <v xml:space="preserve">New section part of RS 330 </v>
          </cell>
        </row>
        <row r="114">
          <cell r="A114" t="str">
            <v>RS 352</v>
          </cell>
          <cell r="B114">
            <v>174</v>
          </cell>
          <cell r="C114" t="str">
            <v>S</v>
          </cell>
          <cell r="D114" t="str">
            <v>T</v>
          </cell>
          <cell r="E114" t="str">
            <v>Matope - Singwa</v>
          </cell>
          <cell r="F114" t="str">
            <v>S131</v>
          </cell>
          <cell r="G114">
            <v>99</v>
          </cell>
          <cell r="H114">
            <v>18.7</v>
          </cell>
          <cell r="I114">
            <v>8</v>
          </cell>
          <cell r="J114" t="str">
            <v>R</v>
          </cell>
          <cell r="K114" t="str">
            <v>Contains RS 355 &amp; 845</v>
          </cell>
          <cell r="L114" t="str">
            <v>Section not used in Study</v>
          </cell>
        </row>
        <row r="115">
          <cell r="A115" t="str">
            <v>RS 355</v>
          </cell>
          <cell r="B115">
            <v>177</v>
          </cell>
          <cell r="C115" t="str">
            <v>S</v>
          </cell>
          <cell r="D115" t="str">
            <v>T</v>
          </cell>
          <cell r="E115" t="str">
            <v>Matope - Ntaja</v>
          </cell>
          <cell r="F115" t="str">
            <v>S131</v>
          </cell>
          <cell r="G115">
            <v>5</v>
          </cell>
          <cell r="H115">
            <v>7.5</v>
          </cell>
          <cell r="I115">
            <v>8</v>
          </cell>
          <cell r="J115" t="str">
            <v>R</v>
          </cell>
          <cell r="K115" t="str">
            <v>MACHINGA</v>
          </cell>
        </row>
        <row r="116">
          <cell r="A116" t="str">
            <v>RS 845</v>
          </cell>
          <cell r="B116" t="str">
            <v>n.a.</v>
          </cell>
          <cell r="C116" t="str">
            <v>S</v>
          </cell>
          <cell r="D116" t="str">
            <v>T</v>
          </cell>
          <cell r="E116" t="str">
            <v>Ntaja - Singwa</v>
          </cell>
          <cell r="F116" t="str">
            <v>S131</v>
          </cell>
          <cell r="G116">
            <v>6</v>
          </cell>
          <cell r="H116">
            <v>11.2</v>
          </cell>
          <cell r="I116">
            <v>8</v>
          </cell>
          <cell r="J116" t="str">
            <v>R</v>
          </cell>
          <cell r="K116" t="str">
            <v>MACHINGA</v>
          </cell>
          <cell r="L116" t="str">
            <v>New section added to cover original RS 352</v>
          </cell>
        </row>
        <row r="117">
          <cell r="A117" t="str">
            <v>RS 375</v>
          </cell>
          <cell r="B117">
            <v>197</v>
          </cell>
          <cell r="C117" t="str">
            <v>S</v>
          </cell>
          <cell r="D117" t="str">
            <v>T</v>
          </cell>
          <cell r="E117" t="str">
            <v>Mwanza River - Phwadzi River</v>
          </cell>
          <cell r="F117" t="str">
            <v>S136</v>
          </cell>
          <cell r="G117">
            <v>99</v>
          </cell>
          <cell r="H117">
            <v>12.1</v>
          </cell>
          <cell r="I117">
            <v>9</v>
          </cell>
          <cell r="J117" t="str">
            <v>R</v>
          </cell>
          <cell r="K117" t="str">
            <v>Contained within RS377</v>
          </cell>
          <cell r="L117" t="str">
            <v>Section not used in Study</v>
          </cell>
        </row>
        <row r="118">
          <cell r="A118" t="str">
            <v>RS 377</v>
          </cell>
          <cell r="B118">
            <v>199</v>
          </cell>
          <cell r="C118" t="str">
            <v>S</v>
          </cell>
          <cell r="D118" t="str">
            <v>T</v>
          </cell>
          <cell r="E118" t="str">
            <v>Mwanza River - Nkhongono</v>
          </cell>
          <cell r="F118" t="str">
            <v>S136</v>
          </cell>
          <cell r="G118">
            <v>8</v>
          </cell>
          <cell r="H118">
            <v>16.399999999999999</v>
          </cell>
          <cell r="I118">
            <v>9</v>
          </cell>
          <cell r="J118" t="str">
            <v>F</v>
          </cell>
          <cell r="K118" t="str">
            <v>CHIKWAWA</v>
          </cell>
        </row>
        <row r="119">
          <cell r="A119" t="str">
            <v>RS 410</v>
          </cell>
          <cell r="B119">
            <v>232</v>
          </cell>
          <cell r="C119" t="str">
            <v>S</v>
          </cell>
          <cell r="D119" t="str">
            <v>T</v>
          </cell>
          <cell r="E119" t="str">
            <v>Zomba - Kuchawe</v>
          </cell>
          <cell r="F119" t="str">
            <v>UD</v>
          </cell>
          <cell r="G119">
            <v>99</v>
          </cell>
          <cell r="H119">
            <v>8.9</v>
          </cell>
          <cell r="I119">
            <v>9</v>
          </cell>
          <cell r="J119" t="str">
            <v>H</v>
          </cell>
          <cell r="K119" t="str">
            <v>Contains RS 176 &amp; 417.</v>
          </cell>
          <cell r="L119" t="str">
            <v>Section not used in Study</v>
          </cell>
        </row>
        <row r="120">
          <cell r="A120" t="str">
            <v>RS 176</v>
          </cell>
          <cell r="B120">
            <v>176</v>
          </cell>
          <cell r="C120" t="str">
            <v>S</v>
          </cell>
          <cell r="D120" t="str">
            <v>U</v>
          </cell>
          <cell r="E120" t="str">
            <v>Kuchawe Road (up road)</v>
          </cell>
          <cell r="F120" t="str">
            <v>Urban</v>
          </cell>
          <cell r="G120">
            <v>22</v>
          </cell>
          <cell r="H120">
            <v>15</v>
          </cell>
          <cell r="I120" t="str">
            <v>C</v>
          </cell>
          <cell r="J120" t="str">
            <v>H</v>
          </cell>
          <cell r="K120" t="str">
            <v>ZOMBA CITY &amp; ZOMBA</v>
          </cell>
        </row>
        <row r="121">
          <cell r="A121" t="str">
            <v>RS 417</v>
          </cell>
          <cell r="B121">
            <v>239</v>
          </cell>
          <cell r="C121" t="str">
            <v>S</v>
          </cell>
          <cell r="D121" t="str">
            <v>T</v>
          </cell>
          <cell r="E121" t="str">
            <v>Kuchawe - Zomba City Boundary (down road)</v>
          </cell>
          <cell r="F121" t="str">
            <v>UD</v>
          </cell>
          <cell r="G121">
            <v>6</v>
          </cell>
          <cell r="H121">
            <v>5.9</v>
          </cell>
          <cell r="I121" t="str">
            <v>C</v>
          </cell>
          <cell r="J121" t="str">
            <v>H</v>
          </cell>
          <cell r="K121" t="str">
            <v xml:space="preserve">ZOMBA </v>
          </cell>
        </row>
        <row r="122">
          <cell r="A122" t="str">
            <v>RS 465</v>
          </cell>
          <cell r="B122">
            <v>287</v>
          </cell>
          <cell r="C122" t="str">
            <v>N</v>
          </cell>
          <cell r="D122" t="str">
            <v>F</v>
          </cell>
          <cell r="E122" t="str">
            <v>Mabulabo - Kasungu Border</v>
          </cell>
          <cell r="F122" t="str">
            <v>T327</v>
          </cell>
          <cell r="G122">
            <v>99</v>
          </cell>
          <cell r="H122">
            <v>3.9</v>
          </cell>
          <cell r="I122">
            <v>4</v>
          </cell>
          <cell r="J122" t="str">
            <v>R</v>
          </cell>
          <cell r="K122" t="str">
            <v xml:space="preserve">Contained within RS 529. </v>
          </cell>
          <cell r="L122" t="str">
            <v>Section not used in Study</v>
          </cell>
        </row>
        <row r="123">
          <cell r="A123" t="str">
            <v>RS 529</v>
          </cell>
          <cell r="B123">
            <v>351</v>
          </cell>
          <cell r="C123" t="str">
            <v>C</v>
          </cell>
          <cell r="D123" t="str">
            <v>F</v>
          </cell>
          <cell r="E123" t="str">
            <v>Kalula - Mabulabo</v>
          </cell>
          <cell r="F123" t="str">
            <v>T327</v>
          </cell>
          <cell r="G123">
            <v>1</v>
          </cell>
          <cell r="H123">
            <v>12.5</v>
          </cell>
          <cell r="I123">
            <v>4</v>
          </cell>
          <cell r="J123" t="str">
            <v>R</v>
          </cell>
          <cell r="K123" t="str">
            <v>KASUNGU/MZIMBA</v>
          </cell>
        </row>
        <row r="124">
          <cell r="A124" t="str">
            <v>RS 468</v>
          </cell>
          <cell r="B124">
            <v>290</v>
          </cell>
          <cell r="C124" t="str">
            <v>N</v>
          </cell>
          <cell r="D124" t="str">
            <v>F</v>
          </cell>
          <cell r="E124" t="str">
            <v>Davide Kameme-Adamu</v>
          </cell>
          <cell r="F124" t="str">
            <v>D002</v>
          </cell>
          <cell r="G124">
            <v>99</v>
          </cell>
          <cell r="H124">
            <v>10</v>
          </cell>
          <cell r="I124" t="str">
            <v>F</v>
          </cell>
          <cell r="J124" t="str">
            <v>CHITIPA</v>
          </cell>
          <cell r="K124" t="str">
            <v>Contiained within RS 444</v>
          </cell>
          <cell r="L124" t="str">
            <v>Section not used in Study</v>
          </cell>
        </row>
        <row r="125">
          <cell r="A125" t="str">
            <v>RS 444</v>
          </cell>
          <cell r="B125">
            <v>266</v>
          </cell>
          <cell r="C125" t="str">
            <v>N</v>
          </cell>
          <cell r="D125" t="str">
            <v>F</v>
          </cell>
          <cell r="E125" t="str">
            <v>Fikolo Mkisi - Winston Kmeme</v>
          </cell>
          <cell r="F125" t="str">
            <v>D002</v>
          </cell>
          <cell r="G125">
            <v>1</v>
          </cell>
          <cell r="H125">
            <v>24.8</v>
          </cell>
          <cell r="I125">
            <v>1</v>
          </cell>
          <cell r="J125" t="str">
            <v>CHITIPA</v>
          </cell>
          <cell r="K125" t="str">
            <v>CHITIPA</v>
          </cell>
          <cell r="L125" t="str">
            <v>Changed designation from T301 to D2</v>
          </cell>
        </row>
        <row r="126">
          <cell r="A126" t="str">
            <v>RS 519</v>
          </cell>
          <cell r="B126">
            <v>341</v>
          </cell>
          <cell r="C126" t="str">
            <v>N</v>
          </cell>
          <cell r="D126" t="str">
            <v>T</v>
          </cell>
          <cell r="E126" t="str">
            <v>Enukweni - Embombeni</v>
          </cell>
          <cell r="F126" t="str">
            <v>M01</v>
          </cell>
          <cell r="G126">
            <v>99</v>
          </cell>
          <cell r="H126">
            <v>14.9</v>
          </cell>
          <cell r="I126">
            <v>3</v>
          </cell>
          <cell r="J126" t="str">
            <v>F&amp;H</v>
          </cell>
          <cell r="K126" t="str">
            <v>Contained in RS 3</v>
          </cell>
          <cell r="L126" t="str">
            <v>Section not used in Study</v>
          </cell>
        </row>
        <row r="127">
          <cell r="A127" t="str">
            <v>RS 003</v>
          </cell>
          <cell r="B127" t="str">
            <v>3</v>
          </cell>
          <cell r="C127" t="str">
            <v>N</v>
          </cell>
          <cell r="D127" t="str">
            <v>T</v>
          </cell>
          <cell r="E127" t="str">
            <v>Luzi River - Mzuzu - Champhoyo - Mtangatanga</v>
          </cell>
          <cell r="F127" t="str">
            <v>M01</v>
          </cell>
          <cell r="G127">
            <v>3</v>
          </cell>
          <cell r="H127">
            <v>107.5</v>
          </cell>
          <cell r="I127" t="str">
            <v>F</v>
          </cell>
          <cell r="J127" t="str">
            <v>RUMPHI &amp; MZIMBA</v>
          </cell>
          <cell r="K127" t="str">
            <v>RUMPHI &amp; MZIMBA</v>
          </cell>
        </row>
        <row r="128">
          <cell r="A128" t="str">
            <v>RS 543</v>
          </cell>
          <cell r="B128">
            <v>365</v>
          </cell>
          <cell r="C128" t="str">
            <v>C</v>
          </cell>
          <cell r="D128" t="str">
            <v>F</v>
          </cell>
          <cell r="E128" t="str">
            <v>Ngombe - junction D82</v>
          </cell>
          <cell r="F128" t="str">
            <v>T340</v>
          </cell>
          <cell r="G128">
            <v>99</v>
          </cell>
          <cell r="H128">
            <v>23</v>
          </cell>
          <cell r="I128">
            <v>5</v>
          </cell>
          <cell r="J128" t="str">
            <v>F</v>
          </cell>
          <cell r="K128" t="str">
            <v>Link does not exist</v>
          </cell>
          <cell r="L128" t="str">
            <v>Not used in Study</v>
          </cell>
        </row>
        <row r="129">
          <cell r="A129" t="str">
            <v>RS 670</v>
          </cell>
          <cell r="B129">
            <v>492</v>
          </cell>
          <cell r="C129" t="str">
            <v>C</v>
          </cell>
          <cell r="D129" t="str">
            <v>F</v>
          </cell>
          <cell r="E129" t="str">
            <v>Nakura - junction S124</v>
          </cell>
          <cell r="F129" t="str">
            <v>T364</v>
          </cell>
          <cell r="G129">
            <v>99</v>
          </cell>
          <cell r="H129">
            <v>10</v>
          </cell>
          <cell r="I129">
            <v>6</v>
          </cell>
          <cell r="J129" t="str">
            <v>FL</v>
          </cell>
          <cell r="K129" t="str">
            <v xml:space="preserve">Contains RS 669, 597 &amp; 566 </v>
          </cell>
          <cell r="L129" t="str">
            <v>Section not used in Study</v>
          </cell>
        </row>
        <row r="130">
          <cell r="A130" t="str">
            <v>RS 669</v>
          </cell>
          <cell r="B130">
            <v>491</v>
          </cell>
          <cell r="C130" t="str">
            <v>C</v>
          </cell>
          <cell r="D130" t="str">
            <v>F</v>
          </cell>
          <cell r="E130" t="str">
            <v>Nakula - Kakoma</v>
          </cell>
          <cell r="F130" t="str">
            <v>T364</v>
          </cell>
          <cell r="G130">
            <v>3</v>
          </cell>
          <cell r="H130">
            <v>8.4</v>
          </cell>
          <cell r="I130" t="str">
            <v>FL</v>
          </cell>
          <cell r="J130" t="str">
            <v>LILONGWE</v>
          </cell>
          <cell r="K130" t="str">
            <v>LILONGWE</v>
          </cell>
          <cell r="L130" t="str">
            <v>Changed designation from UDX to T364</v>
          </cell>
        </row>
        <row r="131">
          <cell r="A131" t="str">
            <v>RS 597</v>
          </cell>
          <cell r="B131">
            <v>419</v>
          </cell>
          <cell r="C131" t="str">
            <v>C</v>
          </cell>
          <cell r="D131" t="str">
            <v>F</v>
          </cell>
          <cell r="E131" t="str">
            <v>Kakoma - Njoka</v>
          </cell>
          <cell r="F131" t="str">
            <v>T364</v>
          </cell>
          <cell r="G131">
            <v>4</v>
          </cell>
          <cell r="H131">
            <v>11.9</v>
          </cell>
          <cell r="I131" t="str">
            <v>FL</v>
          </cell>
          <cell r="J131" t="str">
            <v>LILONGWE</v>
          </cell>
          <cell r="K131" t="str">
            <v>LILONGWE</v>
          </cell>
        </row>
        <row r="132">
          <cell r="A132" t="str">
            <v>RS 566</v>
          </cell>
          <cell r="B132">
            <v>388</v>
          </cell>
          <cell r="C132" t="str">
            <v>C</v>
          </cell>
          <cell r="D132" t="str">
            <v>F</v>
          </cell>
          <cell r="E132" t="str">
            <v>Njoka - Malingunde (junction S124)</v>
          </cell>
          <cell r="F132" t="str">
            <v>T345</v>
          </cell>
          <cell r="G132">
            <v>4</v>
          </cell>
          <cell r="H132">
            <v>9.6999999999999993</v>
          </cell>
          <cell r="I132" t="str">
            <v>F</v>
          </cell>
          <cell r="J132" t="str">
            <v>LILONGWE</v>
          </cell>
          <cell r="K132" t="str">
            <v>LILONGWE</v>
          </cell>
        </row>
        <row r="133">
          <cell r="A133" t="str">
            <v>RS 671</v>
          </cell>
          <cell r="B133">
            <v>493</v>
          </cell>
          <cell r="C133" t="str">
            <v>C</v>
          </cell>
          <cell r="D133" t="str">
            <v>F</v>
          </cell>
          <cell r="E133" t="str">
            <v>North Ngodzi River - Lake Malawi</v>
          </cell>
          <cell r="F133" t="str">
            <v>PR58</v>
          </cell>
          <cell r="G133">
            <v>1</v>
          </cell>
          <cell r="H133">
            <v>8</v>
          </cell>
          <cell r="I133">
            <v>7</v>
          </cell>
          <cell r="J133" t="str">
            <v>F</v>
          </cell>
          <cell r="K133" t="str">
            <v>SALIMA</v>
          </cell>
          <cell r="L133" t="str">
            <v>Can not locate.  Section not used in Sudy</v>
          </cell>
        </row>
        <row r="134">
          <cell r="A134" t="str">
            <v>RS 672</v>
          </cell>
          <cell r="B134">
            <v>494</v>
          </cell>
          <cell r="C134" t="str">
            <v>C</v>
          </cell>
          <cell r="D134" t="str">
            <v>F</v>
          </cell>
          <cell r="E134" t="str">
            <v>junction T357 - West Chelani</v>
          </cell>
          <cell r="F134" t="str">
            <v>PR92</v>
          </cell>
          <cell r="G134">
            <v>1</v>
          </cell>
          <cell r="H134">
            <v>11.5</v>
          </cell>
          <cell r="I134">
            <v>7</v>
          </cell>
          <cell r="J134" t="str">
            <v>F</v>
          </cell>
          <cell r="K134" t="str">
            <v>SALMA</v>
          </cell>
          <cell r="L134" t="str">
            <v>Can not locate.  Section not used in Sudy</v>
          </cell>
        </row>
        <row r="135">
          <cell r="A135" t="str">
            <v>RS 698</v>
          </cell>
          <cell r="B135">
            <v>520</v>
          </cell>
          <cell r="C135" t="str">
            <v>S</v>
          </cell>
          <cell r="D135" t="str">
            <v>F</v>
          </cell>
          <cell r="E135" t="str">
            <v>Maundani- Machina</v>
          </cell>
          <cell r="F135" t="str">
            <v>T392</v>
          </cell>
          <cell r="G135">
            <v>99</v>
          </cell>
          <cell r="H135">
            <v>12</v>
          </cell>
          <cell r="I135" t="str">
            <v>H</v>
          </cell>
          <cell r="J135" t="str">
            <v>Same as RS 696</v>
          </cell>
          <cell r="K135" t="str">
            <v>Same as RS 696</v>
          </cell>
          <cell r="L135" t="str">
            <v>Section not used in Study</v>
          </cell>
        </row>
        <row r="136">
          <cell r="A136" t="str">
            <v>RS 696</v>
          </cell>
          <cell r="B136">
            <v>518</v>
          </cell>
          <cell r="C136" t="str">
            <v>S</v>
          </cell>
          <cell r="D136" t="str">
            <v>F</v>
          </cell>
          <cell r="E136" t="str">
            <v>Maundani - Machina</v>
          </cell>
          <cell r="F136" t="str">
            <v>T392</v>
          </cell>
          <cell r="G136">
            <v>2</v>
          </cell>
          <cell r="H136">
            <v>17</v>
          </cell>
          <cell r="I136" t="str">
            <v>H</v>
          </cell>
          <cell r="J136" t="str">
            <v>MANGOCHI</v>
          </cell>
          <cell r="K136" t="str">
            <v>MANGOCHI</v>
          </cell>
        </row>
        <row r="137">
          <cell r="A137" t="str">
            <v>RS 790</v>
          </cell>
          <cell r="B137">
            <v>612</v>
          </cell>
          <cell r="C137" t="str">
            <v>S</v>
          </cell>
          <cell r="D137" t="str">
            <v>F</v>
          </cell>
          <cell r="E137" t="str">
            <v>Namikalango River - Ngabu</v>
          </cell>
          <cell r="F137" t="str">
            <v>T424</v>
          </cell>
          <cell r="G137">
            <v>99</v>
          </cell>
          <cell r="H137">
            <v>10</v>
          </cell>
          <cell r="I137">
            <v>10</v>
          </cell>
          <cell r="J137" t="str">
            <v>H</v>
          </cell>
          <cell r="K137" t="str">
            <v>Same as RS 785</v>
          </cell>
          <cell r="L137" t="str">
            <v>Section not used in Study</v>
          </cell>
        </row>
        <row r="138">
          <cell r="A138" t="str">
            <v>RS 785</v>
          </cell>
          <cell r="B138">
            <v>607</v>
          </cell>
          <cell r="C138" t="str">
            <v>S</v>
          </cell>
          <cell r="D138" t="str">
            <v>F</v>
          </cell>
          <cell r="E138" t="str">
            <v>Namikalango River - Ngabu</v>
          </cell>
          <cell r="F138" t="str">
            <v>T424</v>
          </cell>
          <cell r="G138">
            <v>2</v>
          </cell>
          <cell r="H138">
            <v>7.1</v>
          </cell>
          <cell r="I138">
            <v>10</v>
          </cell>
          <cell r="J138" t="str">
            <v>FL</v>
          </cell>
          <cell r="K138" t="str">
            <v>CHIKWAWA</v>
          </cell>
        </row>
        <row r="139">
          <cell r="A139" t="str">
            <v>RS 800</v>
          </cell>
          <cell r="B139">
            <v>622</v>
          </cell>
          <cell r="C139" t="str">
            <v>S</v>
          </cell>
          <cell r="D139" t="str">
            <v>F</v>
          </cell>
          <cell r="E139" t="str">
            <v>Mwanza Admarc - West Chipondeni</v>
          </cell>
          <cell r="F139" t="str">
            <v>S135</v>
          </cell>
          <cell r="G139">
            <v>99</v>
          </cell>
          <cell r="H139">
            <v>21</v>
          </cell>
          <cell r="I139">
            <v>9</v>
          </cell>
          <cell r="J139" t="str">
            <v>F</v>
          </cell>
          <cell r="K139" t="str">
            <v>Contians RS 362, 363 &amp; 364</v>
          </cell>
          <cell r="L139" t="str">
            <v>Changed designation frim D287 to S135. Not used in Study</v>
          </cell>
        </row>
        <row r="140">
          <cell r="A140" t="str">
            <v>RS 362</v>
          </cell>
          <cell r="B140">
            <v>184</v>
          </cell>
          <cell r="C140" t="str">
            <v>S</v>
          </cell>
          <cell r="D140" t="str">
            <v>T</v>
          </cell>
          <cell r="E140" t="str">
            <v>Chipondeni - Kunenekude</v>
          </cell>
          <cell r="F140" t="str">
            <v>S135</v>
          </cell>
          <cell r="G140">
            <v>9</v>
          </cell>
          <cell r="H140">
            <v>5.5</v>
          </cell>
          <cell r="I140" t="str">
            <v>H</v>
          </cell>
          <cell r="J140" t="str">
            <v>MWANZA</v>
          </cell>
          <cell r="K140" t="str">
            <v>MWANZA</v>
          </cell>
        </row>
        <row r="141">
          <cell r="A141" t="str">
            <v>RS 363</v>
          </cell>
          <cell r="B141">
            <v>185</v>
          </cell>
          <cell r="C141" t="str">
            <v>S</v>
          </cell>
          <cell r="D141" t="str">
            <v>T</v>
          </cell>
          <cell r="E141" t="str">
            <v>Kunenekude - Mwanza Admarc</v>
          </cell>
          <cell r="F141" t="str">
            <v>S135</v>
          </cell>
          <cell r="G141">
            <v>10</v>
          </cell>
          <cell r="H141">
            <v>12</v>
          </cell>
          <cell r="I141" t="str">
            <v>H</v>
          </cell>
          <cell r="J141" t="str">
            <v>MWANZA</v>
          </cell>
          <cell r="K141" t="str">
            <v>MWANZA</v>
          </cell>
        </row>
        <row r="142">
          <cell r="A142" t="str">
            <v>RS 364</v>
          </cell>
          <cell r="B142">
            <v>186</v>
          </cell>
          <cell r="C142" t="str">
            <v>S</v>
          </cell>
          <cell r="D142" t="str">
            <v>T</v>
          </cell>
          <cell r="E142" t="str">
            <v>Mwanza Admarc - Liwonde Village (junction M6)</v>
          </cell>
          <cell r="F142" t="str">
            <v>S135</v>
          </cell>
          <cell r="G142">
            <v>11</v>
          </cell>
          <cell r="H142">
            <v>3.8</v>
          </cell>
          <cell r="I142">
            <v>0</v>
          </cell>
          <cell r="J142">
            <v>0</v>
          </cell>
          <cell r="K142" t="str">
            <v>MWANZA</v>
          </cell>
        </row>
      </sheetData>
      <sheetData sheetId="3" refreshError="1">
        <row r="1">
          <cell r="A1">
            <v>0</v>
          </cell>
          <cell r="B1">
            <v>0</v>
          </cell>
          <cell r="C1">
            <v>0</v>
          </cell>
          <cell r="D1">
            <v>0</v>
          </cell>
          <cell r="E1">
            <v>0</v>
          </cell>
          <cell r="F1">
            <v>0</v>
          </cell>
          <cell r="G1">
            <v>0</v>
          </cell>
          <cell r="H1">
            <v>0</v>
          </cell>
          <cell r="I1">
            <v>0</v>
          </cell>
          <cell r="J1">
            <v>0</v>
          </cell>
          <cell r="K1">
            <v>0</v>
          </cell>
          <cell r="L1">
            <v>0</v>
          </cell>
          <cell r="W1" t="str">
            <v>Origional</v>
          </cell>
          <cell r="X1">
            <v>0</v>
          </cell>
          <cell r="Y1">
            <v>0</v>
          </cell>
          <cell r="Z1">
            <v>0</v>
          </cell>
          <cell r="AA1">
            <v>0</v>
          </cell>
          <cell r="AB1">
            <v>0</v>
          </cell>
          <cell r="AC1">
            <v>0</v>
          </cell>
          <cell r="AD1">
            <v>0</v>
          </cell>
          <cell r="AE1" t="str">
            <v>Treatment 1</v>
          </cell>
          <cell r="AF1">
            <v>0</v>
          </cell>
          <cell r="AG1">
            <v>0</v>
          </cell>
          <cell r="AH1">
            <v>0</v>
          </cell>
          <cell r="AI1" t="str">
            <v>Treatment 2</v>
          </cell>
          <cell r="AJ1">
            <v>0</v>
          </cell>
          <cell r="AK1">
            <v>0</v>
          </cell>
          <cell r="AL1">
            <v>0</v>
          </cell>
          <cell r="AM1">
            <v>0</v>
          </cell>
          <cell r="AN1">
            <v>0</v>
          </cell>
          <cell r="BO1" t="str">
            <v>HDM III INPUT DATA</v>
          </cell>
          <cell r="BP1">
            <v>0</v>
          </cell>
          <cell r="BQ1">
            <v>0</v>
          </cell>
          <cell r="BR1" t="str">
            <v>x</v>
          </cell>
          <cell r="BS1">
            <v>0</v>
          </cell>
          <cell r="BT1" t="str">
            <v>x</v>
          </cell>
          <cell r="BU1">
            <v>0</v>
          </cell>
          <cell r="BV1">
            <v>0</v>
          </cell>
          <cell r="BW1">
            <v>1</v>
          </cell>
          <cell r="BX1">
            <v>2</v>
          </cell>
          <cell r="BY1">
            <v>3</v>
          </cell>
          <cell r="BZ1">
            <v>4</v>
          </cell>
          <cell r="CA1">
            <v>5</v>
          </cell>
          <cell r="CB1">
            <v>6</v>
          </cell>
          <cell r="CC1">
            <v>7</v>
          </cell>
          <cell r="CD1" t="str">
            <v>x</v>
          </cell>
          <cell r="CE1" t="str">
            <v>x</v>
          </cell>
          <cell r="CF1" t="str">
            <v>x</v>
          </cell>
          <cell r="CG1">
            <v>8</v>
          </cell>
          <cell r="CH1">
            <v>9</v>
          </cell>
          <cell r="CI1">
            <v>0</v>
          </cell>
          <cell r="CJ1">
            <v>10</v>
          </cell>
          <cell r="CK1" t="str">
            <v xml:space="preserve">IRI change </v>
          </cell>
          <cell r="CL1">
            <v>0</v>
          </cell>
          <cell r="CM1">
            <v>0</v>
          </cell>
          <cell r="CN1">
            <v>0</v>
          </cell>
          <cell r="CO1">
            <v>0</v>
          </cell>
          <cell r="CP1">
            <v>0</v>
          </cell>
          <cell r="CQ1" t="str">
            <v>x</v>
          </cell>
          <cell r="CR1">
            <v>11</v>
          </cell>
          <cell r="CS1">
            <v>0</v>
          </cell>
          <cell r="CT1">
            <v>12</v>
          </cell>
          <cell r="CU1">
            <v>13</v>
          </cell>
          <cell r="CV1">
            <v>14</v>
          </cell>
          <cell r="CW1">
            <v>15</v>
          </cell>
          <cell r="CX1">
            <v>16</v>
          </cell>
          <cell r="CY1" t="str">
            <v>x</v>
          </cell>
          <cell r="CZ1" t="str">
            <v>x</v>
          </cell>
          <cell r="DA1" t="str">
            <v>x</v>
          </cell>
          <cell r="DB1">
            <v>0</v>
          </cell>
          <cell r="DC1">
            <v>17</v>
          </cell>
          <cell r="DD1">
            <v>18</v>
          </cell>
          <cell r="DE1">
            <v>19</v>
          </cell>
          <cell r="DF1">
            <v>20</v>
          </cell>
          <cell r="DG1">
            <v>21</v>
          </cell>
          <cell r="DH1">
            <v>22</v>
          </cell>
          <cell r="DI1">
            <v>23</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Terrain</v>
          </cell>
          <cell r="J2" t="str">
            <v>District</v>
          </cell>
          <cell r="K2" t="str">
            <v>Map sheet No.</v>
          </cell>
          <cell r="L2" t="str">
            <v>Comments</v>
          </cell>
          <cell r="W2" t="str">
            <v>Year constructed</v>
          </cell>
          <cell r="X2" t="str">
            <v>Surface type</v>
          </cell>
          <cell r="Y2" t="str">
            <v>Base thickness</v>
          </cell>
          <cell r="Z2" t="str">
            <v>Base type</v>
          </cell>
          <cell r="AA2" t="str">
            <v>Sub base thick</v>
          </cell>
          <cell r="AB2" t="str">
            <v>Sub base type</v>
          </cell>
          <cell r="AC2" t="str">
            <v>Sub grade CBR</v>
          </cell>
          <cell r="AD2" t="str">
            <v>Basis of data</v>
          </cell>
          <cell r="AE2" t="str">
            <v>Year treated</v>
          </cell>
          <cell r="AF2" t="str">
            <v>Treatment type</v>
          </cell>
          <cell r="AG2" t="str">
            <v>Surface type</v>
          </cell>
          <cell r="AH2" t="str">
            <v>Surface thickness</v>
          </cell>
          <cell r="AI2" t="str">
            <v>Year treated</v>
          </cell>
          <cell r="AJ2" t="str">
            <v>Treatment type</v>
          </cell>
          <cell r="AK2" t="str">
            <v>Surface type</v>
          </cell>
          <cell r="AL2" t="str">
            <v>Surface thickness</v>
          </cell>
          <cell r="AM2" t="str">
            <v>HDM surface code</v>
          </cell>
          <cell r="AN2" t="str">
            <v>Comments</v>
          </cell>
          <cell r="BO2" t="str">
            <v>Road Section No.</v>
          </cell>
          <cell r="BP2" t="str">
            <v>Length (km)</v>
          </cell>
          <cell r="BQ2" t="str">
            <v>Bitumen width (m)</v>
          </cell>
          <cell r="BR2" t="str">
            <v>Terrain</v>
          </cell>
          <cell r="BS2" t="str">
            <v>Surface type (field)</v>
          </cell>
          <cell r="BT2" t="str">
            <v>Gravel (% length)</v>
          </cell>
          <cell r="BU2" t="str">
            <v>Current surf. type</v>
          </cell>
          <cell r="BV2" t="str">
            <v>Prev. surface type</v>
          </cell>
          <cell r="BW2" t="str">
            <v>HDM surface code</v>
          </cell>
          <cell r="BX2" t="str">
            <v>Current surf. thick</v>
          </cell>
          <cell r="BY2" t="str">
            <v>Prev. surface thick</v>
          </cell>
          <cell r="BZ2" t="str">
            <v>Base mat'l code</v>
          </cell>
          <cell r="CA2" t="str">
            <v>Subgrade CBR</v>
          </cell>
          <cell r="CB2" t="str">
            <v>Structural No.</v>
          </cell>
          <cell r="CC2" t="str">
            <v>Roughness (IRI)</v>
          </cell>
          <cell r="CD2" t="str">
            <v xml:space="preserve">All cracks (%area) </v>
          </cell>
          <cell r="CE2" t="str">
            <v>Wide c'ks (%area)</v>
          </cell>
          <cell r="CF2" t="str">
            <v>Wide crack &gt;15%</v>
          </cell>
          <cell r="CG2" t="str">
            <v>All crack (end 98)</v>
          </cell>
          <cell r="CH2" t="str">
            <v>Wide c'ks (end 98)</v>
          </cell>
          <cell r="CI2" t="str">
            <v>Pothole /km</v>
          </cell>
          <cell r="CJ2" t="str">
            <v>Pothole (%area)</v>
          </cell>
          <cell r="CK2" t="str">
            <v>Delta minASPm</v>
          </cell>
          <cell r="CL2" t="str">
            <v>Delta CRXm</v>
          </cell>
          <cell r="CM2" t="str">
            <v>Delta IRIm</v>
          </cell>
          <cell r="CN2" t="str">
            <v>Min Delta IRIm</v>
          </cell>
          <cell r="CO2" t="str">
            <v>Patch /km</v>
          </cell>
          <cell r="CP2" t="str">
            <v>Patch (%area)</v>
          </cell>
          <cell r="CQ2" t="str">
            <v>IRI after patch</v>
          </cell>
          <cell r="CR2" t="str">
            <v xml:space="preserve">Ravelling (%area) </v>
          </cell>
          <cell r="CS2" t="str">
            <v>Ruts rating</v>
          </cell>
          <cell r="CT2" t="str">
            <v>Mean rut (mm)</v>
          </cell>
          <cell r="CU2" t="str">
            <v>S.D. rut (mm)</v>
          </cell>
          <cell r="CV2" t="str">
            <v>Surface age (yrs)</v>
          </cell>
          <cell r="CW2" t="str">
            <v xml:space="preserve">Const. Age (yrs) </v>
          </cell>
          <cell r="CX2" t="str">
            <v>Previous wide c'ks</v>
          </cell>
          <cell r="CY2" t="str">
            <v>Edge break rating</v>
          </cell>
          <cell r="CZ2" t="str">
            <v>Shoulder rating</v>
          </cell>
          <cell r="DA2" t="str">
            <v>Side drain rating</v>
          </cell>
          <cell r="DB2" t="str">
            <v>ADT total</v>
          </cell>
          <cell r="DC2" t="str">
            <v>ADT car</v>
          </cell>
          <cell r="DD2" t="str">
            <v>ADT pickup</v>
          </cell>
          <cell r="DE2" t="str">
            <v>ADT bus</v>
          </cell>
          <cell r="DF2" t="str">
            <v>ADT light truck</v>
          </cell>
          <cell r="DG2" t="str">
            <v>ADT med. Truck</v>
          </cell>
          <cell r="DH2" t="str">
            <v>ADT heavy truck</v>
          </cell>
          <cell r="DI2" t="str">
            <v>ADT artic truck</v>
          </cell>
        </row>
        <row r="3">
          <cell r="A3" t="str">
            <v>RS 839</v>
          </cell>
          <cell r="B3" t="str">
            <v>n.a</v>
          </cell>
          <cell r="C3" t="str">
            <v>N</v>
          </cell>
          <cell r="D3" t="str">
            <v>T</v>
          </cell>
          <cell r="E3" t="str">
            <v>Songwe - Karonga</v>
          </cell>
          <cell r="F3" t="str">
            <v>M01</v>
          </cell>
          <cell r="G3">
            <v>1</v>
          </cell>
          <cell r="H3">
            <v>43</v>
          </cell>
          <cell r="I3" t="str">
            <v>F</v>
          </cell>
          <cell r="J3" t="str">
            <v>KARONGA</v>
          </cell>
          <cell r="K3">
            <v>1</v>
          </cell>
          <cell r="L3" t="str">
            <v>Part of RS1</v>
          </cell>
          <cell r="W3">
            <v>92</v>
          </cell>
          <cell r="X3" t="str">
            <v>DS</v>
          </cell>
          <cell r="Y3">
            <v>150</v>
          </cell>
          <cell r="Z3" t="str">
            <v>SB</v>
          </cell>
          <cell r="AA3">
            <v>100</v>
          </cell>
          <cell r="AB3" t="str">
            <v>GR</v>
          </cell>
          <cell r="AC3">
            <v>12</v>
          </cell>
          <cell r="AD3" t="str">
            <v>VR</v>
          </cell>
          <cell r="AE3">
            <v>0</v>
          </cell>
          <cell r="AF3">
            <v>0</v>
          </cell>
          <cell r="AG3">
            <v>0</v>
          </cell>
          <cell r="AH3">
            <v>0</v>
          </cell>
          <cell r="AI3">
            <v>0</v>
          </cell>
          <cell r="AJ3">
            <v>0</v>
          </cell>
          <cell r="AK3">
            <v>0</v>
          </cell>
          <cell r="AL3">
            <v>0</v>
          </cell>
          <cell r="AM3">
            <v>1</v>
          </cell>
          <cell r="AN3" t="str">
            <v>never resealed</v>
          </cell>
          <cell r="BO3" t="str">
            <v>RS 839</v>
          </cell>
          <cell r="BP3">
            <v>43</v>
          </cell>
          <cell r="BQ3">
            <v>6.7</v>
          </cell>
          <cell r="BR3" t="str">
            <v>F</v>
          </cell>
          <cell r="BS3" t="str">
            <v>C</v>
          </cell>
          <cell r="BT3">
            <v>11</v>
          </cell>
          <cell r="BU3" t="str">
            <v>DS</v>
          </cell>
          <cell r="BV3" t="str">
            <v/>
          </cell>
          <cell r="BW3">
            <v>1</v>
          </cell>
          <cell r="BX3">
            <v>15</v>
          </cell>
          <cell r="BY3" t="str">
            <v/>
          </cell>
          <cell r="BZ3">
            <v>1</v>
          </cell>
          <cell r="CA3">
            <v>12</v>
          </cell>
          <cell r="CB3">
            <v>1.177</v>
          </cell>
          <cell r="CC3">
            <v>3.85</v>
          </cell>
          <cell r="CD3">
            <v>12.5</v>
          </cell>
          <cell r="CE3">
            <v>2</v>
          </cell>
          <cell r="CF3">
            <v>0</v>
          </cell>
          <cell r="CG3">
            <v>12.5</v>
          </cell>
          <cell r="CH3">
            <v>2</v>
          </cell>
          <cell r="CI3">
            <v>0</v>
          </cell>
          <cell r="CJ3">
            <v>0</v>
          </cell>
          <cell r="CK3">
            <v>0</v>
          </cell>
          <cell r="CL3">
            <v>0</v>
          </cell>
          <cell r="CM3">
            <v>0</v>
          </cell>
          <cell r="CN3">
            <v>0</v>
          </cell>
          <cell r="CO3">
            <v>0</v>
          </cell>
          <cell r="CP3">
            <v>0</v>
          </cell>
          <cell r="CQ3">
            <v>3.85</v>
          </cell>
          <cell r="CR3">
            <v>0</v>
          </cell>
          <cell r="CS3">
            <v>1</v>
          </cell>
          <cell r="CT3">
            <v>0</v>
          </cell>
          <cell r="CU3">
            <v>0</v>
          </cell>
          <cell r="CV3">
            <v>6</v>
          </cell>
          <cell r="CW3">
            <v>6</v>
          </cell>
          <cell r="CX3" t="str">
            <v/>
          </cell>
          <cell r="CY3">
            <v>1</v>
          </cell>
          <cell r="CZ3">
            <v>1</v>
          </cell>
          <cell r="DA3">
            <v>1</v>
          </cell>
          <cell r="DB3">
            <v>220</v>
          </cell>
          <cell r="DC3">
            <v>104</v>
          </cell>
          <cell r="DD3">
            <v>58</v>
          </cell>
          <cell r="DE3">
            <v>17</v>
          </cell>
          <cell r="DF3">
            <v>26</v>
          </cell>
          <cell r="DG3">
            <v>5</v>
          </cell>
          <cell r="DH3">
            <v>3</v>
          </cell>
          <cell r="DI3">
            <v>11</v>
          </cell>
        </row>
        <row r="4">
          <cell r="A4" t="str">
            <v>RS 840</v>
          </cell>
          <cell r="B4" t="str">
            <v>n.a</v>
          </cell>
          <cell r="C4" t="str">
            <v>N</v>
          </cell>
          <cell r="D4" t="str">
            <v>T</v>
          </cell>
          <cell r="E4" t="str">
            <v>Karonga - Chitimba River</v>
          </cell>
          <cell r="F4" t="str">
            <v>M01</v>
          </cell>
          <cell r="G4">
            <v>2</v>
          </cell>
          <cell r="H4">
            <v>77</v>
          </cell>
          <cell r="I4" t="str">
            <v>F</v>
          </cell>
          <cell r="J4" t="str">
            <v>KARONGA</v>
          </cell>
          <cell r="K4">
            <v>1</v>
          </cell>
          <cell r="L4" t="str">
            <v>Part of RS1</v>
          </cell>
          <cell r="W4">
            <v>79</v>
          </cell>
          <cell r="X4" t="str">
            <v>DS</v>
          </cell>
          <cell r="Y4">
            <v>150</v>
          </cell>
          <cell r="Z4" t="str">
            <v>SB</v>
          </cell>
          <cell r="AA4">
            <v>100</v>
          </cell>
          <cell r="AB4" t="str">
            <v>GR</v>
          </cell>
          <cell r="AC4">
            <v>12</v>
          </cell>
          <cell r="AD4" t="str">
            <v>VR</v>
          </cell>
          <cell r="AE4">
            <v>0</v>
          </cell>
          <cell r="AF4">
            <v>0</v>
          </cell>
          <cell r="AG4">
            <v>0</v>
          </cell>
          <cell r="AH4">
            <v>0</v>
          </cell>
          <cell r="AI4">
            <v>0</v>
          </cell>
          <cell r="AJ4">
            <v>0</v>
          </cell>
          <cell r="AK4">
            <v>0</v>
          </cell>
          <cell r="AL4">
            <v>0</v>
          </cell>
          <cell r="AM4">
            <v>1</v>
          </cell>
          <cell r="AN4" t="str">
            <v>never resealed</v>
          </cell>
          <cell r="BO4" t="str">
            <v>RS 840</v>
          </cell>
          <cell r="BP4">
            <v>77</v>
          </cell>
          <cell r="BQ4">
            <v>6.7</v>
          </cell>
          <cell r="BR4" t="str">
            <v>F</v>
          </cell>
          <cell r="BS4" t="str">
            <v>C</v>
          </cell>
          <cell r="BT4">
            <v>11</v>
          </cell>
          <cell r="BU4" t="str">
            <v>DS</v>
          </cell>
          <cell r="BV4" t="str">
            <v/>
          </cell>
          <cell r="BW4">
            <v>1</v>
          </cell>
          <cell r="BX4">
            <v>15</v>
          </cell>
          <cell r="BY4" t="str">
            <v/>
          </cell>
          <cell r="BZ4">
            <v>1</v>
          </cell>
          <cell r="CA4">
            <v>12</v>
          </cell>
          <cell r="CB4">
            <v>1.177</v>
          </cell>
          <cell r="CC4">
            <v>5.36</v>
          </cell>
          <cell r="CD4">
            <v>40</v>
          </cell>
          <cell r="CE4">
            <v>30</v>
          </cell>
          <cell r="CF4">
            <v>15</v>
          </cell>
          <cell r="CG4">
            <v>25</v>
          </cell>
          <cell r="CH4">
            <v>15</v>
          </cell>
          <cell r="CI4">
            <v>100</v>
          </cell>
          <cell r="CJ4">
            <v>0.29850746268656719</v>
          </cell>
          <cell r="CK4">
            <v>10</v>
          </cell>
          <cell r="CL4">
            <v>15</v>
          </cell>
          <cell r="CM4">
            <v>0.31197474167623418</v>
          </cell>
          <cell r="CN4">
            <v>0.31197474167623418</v>
          </cell>
          <cell r="CO4">
            <v>0</v>
          </cell>
          <cell r="CP4">
            <v>0</v>
          </cell>
          <cell r="CQ4">
            <v>5.6719747416762347</v>
          </cell>
          <cell r="CR4">
            <v>0</v>
          </cell>
          <cell r="CS4">
            <v>1.1000000000000001</v>
          </cell>
          <cell r="CT4">
            <v>0.50000000000000044</v>
          </cell>
          <cell r="CU4">
            <v>0.20000000000000018</v>
          </cell>
          <cell r="CV4">
            <v>19</v>
          </cell>
          <cell r="CW4">
            <v>19</v>
          </cell>
          <cell r="CX4" t="str">
            <v/>
          </cell>
          <cell r="CY4">
            <v>2.5</v>
          </cell>
          <cell r="CZ4">
            <v>1.8</v>
          </cell>
          <cell r="DA4">
            <v>1.3</v>
          </cell>
          <cell r="DB4">
            <v>220</v>
          </cell>
          <cell r="DC4">
            <v>104</v>
          </cell>
          <cell r="DD4">
            <v>58</v>
          </cell>
          <cell r="DE4">
            <v>17</v>
          </cell>
          <cell r="DF4">
            <v>26</v>
          </cell>
          <cell r="DG4">
            <v>5</v>
          </cell>
          <cell r="DH4">
            <v>3</v>
          </cell>
          <cell r="DI4">
            <v>11</v>
          </cell>
        </row>
        <row r="5">
          <cell r="A5" t="str">
            <v>RS 002</v>
          </cell>
          <cell r="B5" t="str">
            <v>2</v>
          </cell>
          <cell r="C5" t="str">
            <v>N</v>
          </cell>
          <cell r="D5" t="str">
            <v>T</v>
          </cell>
          <cell r="E5" t="str">
            <v>Chitimba River - Luzi River</v>
          </cell>
          <cell r="F5" t="str">
            <v>M01</v>
          </cell>
          <cell r="G5">
            <v>2</v>
          </cell>
          <cell r="H5">
            <v>52</v>
          </cell>
          <cell r="I5" t="str">
            <v>R</v>
          </cell>
          <cell r="J5" t="str">
            <v>MZIMBA</v>
          </cell>
          <cell r="K5">
            <v>2</v>
          </cell>
          <cell r="L5">
            <v>0</v>
          </cell>
          <cell r="W5">
            <v>75</v>
          </cell>
          <cell r="X5" t="str">
            <v>ST</v>
          </cell>
          <cell r="Y5">
            <v>150</v>
          </cell>
          <cell r="Z5" t="str">
            <v>GR</v>
          </cell>
          <cell r="AA5">
            <v>100</v>
          </cell>
          <cell r="AB5" t="str">
            <v>GR</v>
          </cell>
          <cell r="AC5">
            <v>12</v>
          </cell>
          <cell r="AD5" t="str">
            <v>VR</v>
          </cell>
          <cell r="AE5">
            <v>98</v>
          </cell>
          <cell r="AF5" t="str">
            <v>SR</v>
          </cell>
          <cell r="AG5" t="str">
            <v>ST</v>
          </cell>
          <cell r="AH5">
            <v>10</v>
          </cell>
          <cell r="AI5">
            <v>0</v>
          </cell>
          <cell r="AJ5">
            <v>0</v>
          </cell>
          <cell r="AK5">
            <v>0</v>
          </cell>
          <cell r="AL5">
            <v>0</v>
          </cell>
          <cell r="AM5">
            <v>4</v>
          </cell>
          <cell r="AN5" t="str">
            <v>To be resealed 1998</v>
          </cell>
          <cell r="BO5" t="str">
            <v>RS 002</v>
          </cell>
          <cell r="BP5">
            <v>52</v>
          </cell>
          <cell r="BQ5">
            <v>6</v>
          </cell>
          <cell r="BR5" t="str">
            <v>R</v>
          </cell>
          <cell r="BS5" t="str">
            <v>C</v>
          </cell>
          <cell r="BT5">
            <v>7</v>
          </cell>
          <cell r="BU5" t="str">
            <v>ST</v>
          </cell>
          <cell r="BV5" t="str">
            <v>ST</v>
          </cell>
          <cell r="BW5">
            <v>4</v>
          </cell>
          <cell r="BX5">
            <v>10</v>
          </cell>
          <cell r="BY5">
            <v>10</v>
          </cell>
          <cell r="BZ5">
            <v>1</v>
          </cell>
          <cell r="CA5">
            <v>12</v>
          </cell>
          <cell r="CB5">
            <v>1.085</v>
          </cell>
          <cell r="CC5">
            <v>4.6900000000000004</v>
          </cell>
          <cell r="CD5" t="str">
            <v>To be re-sealed 1998</v>
          </cell>
          <cell r="CE5">
            <v>0</v>
          </cell>
          <cell r="CF5">
            <v>0</v>
          </cell>
          <cell r="CG5">
            <v>0</v>
          </cell>
          <cell r="CH5">
            <v>0</v>
          </cell>
          <cell r="CI5">
            <v>0</v>
          </cell>
          <cell r="CJ5">
            <v>0</v>
          </cell>
          <cell r="CK5">
            <v>0</v>
          </cell>
          <cell r="CL5">
            <v>0</v>
          </cell>
          <cell r="CM5">
            <v>0</v>
          </cell>
          <cell r="CN5">
            <v>0</v>
          </cell>
          <cell r="CO5">
            <v>0</v>
          </cell>
          <cell r="CP5">
            <v>0</v>
          </cell>
          <cell r="CQ5">
            <v>0</v>
          </cell>
          <cell r="CR5">
            <v>0</v>
          </cell>
          <cell r="CS5">
            <v>1.3</v>
          </cell>
          <cell r="CT5">
            <v>0</v>
          </cell>
          <cell r="CU5">
            <v>0</v>
          </cell>
          <cell r="CV5">
            <v>0</v>
          </cell>
          <cell r="CW5">
            <v>0</v>
          </cell>
          <cell r="CX5" t="str">
            <v/>
          </cell>
          <cell r="CY5">
            <v>2.5</v>
          </cell>
          <cell r="CZ5">
            <v>1.5</v>
          </cell>
          <cell r="DA5">
            <v>1.6</v>
          </cell>
          <cell r="DB5">
            <v>300</v>
          </cell>
          <cell r="DC5">
            <v>141</v>
          </cell>
          <cell r="DD5">
            <v>78</v>
          </cell>
          <cell r="DE5">
            <v>23</v>
          </cell>
          <cell r="DF5">
            <v>35</v>
          </cell>
          <cell r="DG5">
            <v>6</v>
          </cell>
          <cell r="DH5">
            <v>3</v>
          </cell>
          <cell r="DI5">
            <v>15</v>
          </cell>
        </row>
        <row r="6">
          <cell r="A6" t="str">
            <v>RS 003</v>
          </cell>
          <cell r="B6" t="str">
            <v>3</v>
          </cell>
          <cell r="C6" t="str">
            <v>N</v>
          </cell>
          <cell r="D6" t="str">
            <v>T</v>
          </cell>
          <cell r="E6" t="str">
            <v>Luzi River - Mzuzu  - Mtangatanga</v>
          </cell>
          <cell r="F6" t="str">
            <v>M01</v>
          </cell>
          <cell r="G6">
            <v>3</v>
          </cell>
          <cell r="H6">
            <v>107.5</v>
          </cell>
          <cell r="I6" t="str">
            <v>F</v>
          </cell>
          <cell r="J6" t="str">
            <v>RUMPHI &amp; MZIMBA</v>
          </cell>
          <cell r="K6">
            <v>3</v>
          </cell>
          <cell r="L6">
            <v>0</v>
          </cell>
          <cell r="W6">
            <v>86</v>
          </cell>
          <cell r="X6" t="str">
            <v>DS</v>
          </cell>
          <cell r="Y6">
            <v>150</v>
          </cell>
          <cell r="Z6" t="str">
            <v>SB</v>
          </cell>
          <cell r="AA6">
            <v>100</v>
          </cell>
          <cell r="AB6" t="str">
            <v>GR</v>
          </cell>
          <cell r="AC6">
            <v>13</v>
          </cell>
          <cell r="AD6" t="str">
            <v>VR</v>
          </cell>
          <cell r="AE6">
            <v>98</v>
          </cell>
          <cell r="AF6" t="str">
            <v>SR</v>
          </cell>
          <cell r="AG6" t="str">
            <v>ST</v>
          </cell>
          <cell r="AH6">
            <v>10</v>
          </cell>
          <cell r="AI6">
            <v>0</v>
          </cell>
          <cell r="AJ6">
            <v>0</v>
          </cell>
          <cell r="AK6">
            <v>0</v>
          </cell>
          <cell r="AL6">
            <v>0</v>
          </cell>
          <cell r="AM6">
            <v>4</v>
          </cell>
          <cell r="AN6" t="str">
            <v>To be resealed 1998</v>
          </cell>
          <cell r="BO6" t="str">
            <v>RS 003</v>
          </cell>
          <cell r="BP6">
            <v>107.5</v>
          </cell>
          <cell r="BQ6">
            <v>6.7</v>
          </cell>
          <cell r="BR6" t="str">
            <v>F</v>
          </cell>
          <cell r="BS6" t="str">
            <v>C</v>
          </cell>
          <cell r="BT6">
            <v>0</v>
          </cell>
          <cell r="BU6" t="str">
            <v>ST</v>
          </cell>
          <cell r="BV6" t="str">
            <v>DS</v>
          </cell>
          <cell r="BW6">
            <v>4</v>
          </cell>
          <cell r="BX6">
            <v>10</v>
          </cell>
          <cell r="BY6">
            <v>15</v>
          </cell>
          <cell r="BZ6">
            <v>1</v>
          </cell>
          <cell r="CA6">
            <v>13</v>
          </cell>
          <cell r="CB6">
            <v>1.3540000000000001</v>
          </cell>
          <cell r="CC6">
            <v>4.1399999999999997</v>
          </cell>
          <cell r="CD6" t="str">
            <v>To be re-sealed 1998</v>
          </cell>
          <cell r="CE6">
            <v>0</v>
          </cell>
          <cell r="CF6">
            <v>0</v>
          </cell>
          <cell r="CG6">
            <v>0</v>
          </cell>
          <cell r="CH6">
            <v>0</v>
          </cell>
          <cell r="CI6">
            <v>0</v>
          </cell>
          <cell r="CJ6">
            <v>0</v>
          </cell>
          <cell r="CK6">
            <v>0</v>
          </cell>
          <cell r="CL6">
            <v>0</v>
          </cell>
          <cell r="CM6">
            <v>0</v>
          </cell>
          <cell r="CN6">
            <v>0</v>
          </cell>
          <cell r="CO6">
            <v>0</v>
          </cell>
          <cell r="CP6">
            <v>0</v>
          </cell>
          <cell r="CQ6">
            <v>0</v>
          </cell>
          <cell r="CR6">
            <v>0</v>
          </cell>
          <cell r="CS6">
            <v>1.3</v>
          </cell>
          <cell r="CT6">
            <v>0</v>
          </cell>
          <cell r="CU6">
            <v>0</v>
          </cell>
          <cell r="CV6">
            <v>0</v>
          </cell>
          <cell r="CW6">
            <v>0</v>
          </cell>
          <cell r="CX6">
            <v>0</v>
          </cell>
          <cell r="CY6">
            <v>2</v>
          </cell>
          <cell r="CZ6">
            <v>1.8</v>
          </cell>
          <cell r="DA6">
            <v>1</v>
          </cell>
          <cell r="DB6">
            <v>450</v>
          </cell>
          <cell r="DC6">
            <v>212</v>
          </cell>
          <cell r="DD6">
            <v>117</v>
          </cell>
          <cell r="DE6">
            <v>34</v>
          </cell>
          <cell r="DF6">
            <v>52</v>
          </cell>
          <cell r="DG6">
            <v>9</v>
          </cell>
          <cell r="DH6">
            <v>5</v>
          </cell>
          <cell r="DI6">
            <v>23</v>
          </cell>
        </row>
        <row r="7">
          <cell r="A7" t="str">
            <v>RS 004</v>
          </cell>
          <cell r="B7" t="str">
            <v>4</v>
          </cell>
          <cell r="C7" t="str">
            <v>N</v>
          </cell>
          <cell r="D7" t="str">
            <v>T</v>
          </cell>
          <cell r="E7" t="str">
            <v>Mtangatanga - Jenda</v>
          </cell>
          <cell r="F7" t="str">
            <v>M01</v>
          </cell>
          <cell r="G7">
            <v>4</v>
          </cell>
          <cell r="H7">
            <v>62.1</v>
          </cell>
          <cell r="I7" t="str">
            <v>R</v>
          </cell>
          <cell r="J7" t="str">
            <v>MZIMBA</v>
          </cell>
          <cell r="K7">
            <v>4</v>
          </cell>
          <cell r="L7">
            <v>0</v>
          </cell>
          <cell r="W7">
            <v>86</v>
          </cell>
          <cell r="X7" t="str">
            <v>DS</v>
          </cell>
          <cell r="Y7">
            <v>150</v>
          </cell>
          <cell r="Z7" t="str">
            <v>SB</v>
          </cell>
          <cell r="AA7">
            <v>100</v>
          </cell>
          <cell r="AB7" t="str">
            <v>GR</v>
          </cell>
          <cell r="AC7">
            <v>13</v>
          </cell>
          <cell r="AD7" t="str">
            <v>VR</v>
          </cell>
          <cell r="AE7">
            <v>0</v>
          </cell>
          <cell r="AF7">
            <v>0</v>
          </cell>
          <cell r="AG7">
            <v>0</v>
          </cell>
          <cell r="AH7">
            <v>0</v>
          </cell>
          <cell r="AI7">
            <v>0</v>
          </cell>
          <cell r="AJ7">
            <v>0</v>
          </cell>
          <cell r="AK7">
            <v>0</v>
          </cell>
          <cell r="AL7">
            <v>0</v>
          </cell>
          <cell r="AM7">
            <v>1</v>
          </cell>
          <cell r="AN7" t="str">
            <v>never resealed</v>
          </cell>
          <cell r="BO7" t="str">
            <v>RS 004</v>
          </cell>
          <cell r="BP7">
            <v>62.1</v>
          </cell>
          <cell r="BQ7">
            <v>6</v>
          </cell>
          <cell r="BR7" t="str">
            <v>R</v>
          </cell>
          <cell r="BS7" t="str">
            <v>C</v>
          </cell>
          <cell r="BT7">
            <v>0</v>
          </cell>
          <cell r="BU7" t="str">
            <v>DS</v>
          </cell>
          <cell r="BV7" t="str">
            <v/>
          </cell>
          <cell r="BW7">
            <v>1</v>
          </cell>
          <cell r="BX7">
            <v>15</v>
          </cell>
          <cell r="BY7" t="str">
            <v/>
          </cell>
          <cell r="BZ7">
            <v>1</v>
          </cell>
          <cell r="CA7">
            <v>13</v>
          </cell>
          <cell r="CB7">
            <v>1.177</v>
          </cell>
          <cell r="CC7">
            <v>4.3</v>
          </cell>
          <cell r="CD7">
            <v>29</v>
          </cell>
          <cell r="CE7">
            <v>23</v>
          </cell>
          <cell r="CF7">
            <v>8</v>
          </cell>
          <cell r="CG7">
            <v>21</v>
          </cell>
          <cell r="CH7">
            <v>15</v>
          </cell>
          <cell r="CI7">
            <v>1.1000000000000001</v>
          </cell>
          <cell r="CJ7">
            <v>3.666666666666667E-3</v>
          </cell>
          <cell r="CK7">
            <v>8.0036666666666658</v>
          </cell>
          <cell r="CL7">
            <v>8</v>
          </cell>
          <cell r="CM7">
            <v>0.13434461538461537</v>
          </cell>
          <cell r="CN7">
            <v>0.13434461538461537</v>
          </cell>
          <cell r="CO7">
            <v>0</v>
          </cell>
          <cell r="CP7">
            <v>0</v>
          </cell>
          <cell r="CQ7">
            <v>4.4343446153846156</v>
          </cell>
          <cell r="CR7">
            <v>0</v>
          </cell>
          <cell r="CS7">
            <v>1.2</v>
          </cell>
          <cell r="CT7">
            <v>0.99999999999999978</v>
          </cell>
          <cell r="CU7">
            <v>0.39999999999999991</v>
          </cell>
          <cell r="CV7">
            <v>12</v>
          </cell>
          <cell r="CW7">
            <v>12</v>
          </cell>
          <cell r="CX7" t="str">
            <v/>
          </cell>
          <cell r="CY7">
            <v>1.3</v>
          </cell>
          <cell r="CZ7">
            <v>1.5</v>
          </cell>
          <cell r="DA7">
            <v>1</v>
          </cell>
          <cell r="DB7">
            <v>300</v>
          </cell>
          <cell r="DC7">
            <v>141</v>
          </cell>
          <cell r="DD7">
            <v>78</v>
          </cell>
          <cell r="DE7">
            <v>23</v>
          </cell>
          <cell r="DF7">
            <v>35</v>
          </cell>
          <cell r="DG7">
            <v>6</v>
          </cell>
          <cell r="DH7">
            <v>3</v>
          </cell>
          <cell r="DI7">
            <v>15</v>
          </cell>
        </row>
        <row r="8">
          <cell r="A8" t="str">
            <v>RS 031</v>
          </cell>
          <cell r="B8">
            <v>31</v>
          </cell>
          <cell r="C8" t="str">
            <v>C</v>
          </cell>
          <cell r="D8" t="str">
            <v>T</v>
          </cell>
          <cell r="E8" t="str">
            <v>Jenda - Chimaliro Forest Camp</v>
          </cell>
          <cell r="F8" t="str">
            <v>M01</v>
          </cell>
          <cell r="G8">
            <v>5</v>
          </cell>
          <cell r="H8">
            <v>11.6</v>
          </cell>
          <cell r="I8" t="str">
            <v>F</v>
          </cell>
          <cell r="J8" t="str">
            <v>KASUNGU</v>
          </cell>
          <cell r="K8">
            <v>4</v>
          </cell>
          <cell r="L8">
            <v>0</v>
          </cell>
          <cell r="W8">
            <v>83</v>
          </cell>
          <cell r="X8" t="str">
            <v>DS</v>
          </cell>
          <cell r="Y8">
            <v>150</v>
          </cell>
          <cell r="Z8" t="str">
            <v>SB</v>
          </cell>
          <cell r="AA8">
            <v>100</v>
          </cell>
          <cell r="AB8" t="str">
            <v>GR</v>
          </cell>
          <cell r="AC8">
            <v>9</v>
          </cell>
          <cell r="AD8" t="str">
            <v>VR</v>
          </cell>
          <cell r="AE8">
            <v>0</v>
          </cell>
          <cell r="AF8">
            <v>0</v>
          </cell>
          <cell r="AG8">
            <v>0</v>
          </cell>
          <cell r="AH8">
            <v>0</v>
          </cell>
          <cell r="AI8">
            <v>0</v>
          </cell>
          <cell r="AJ8">
            <v>0</v>
          </cell>
          <cell r="AK8">
            <v>0</v>
          </cell>
          <cell r="AL8">
            <v>0</v>
          </cell>
          <cell r="AM8">
            <v>1</v>
          </cell>
          <cell r="AN8" t="str">
            <v>never resealed</v>
          </cell>
          <cell r="BO8" t="str">
            <v>RS 031</v>
          </cell>
          <cell r="BP8">
            <v>11.6</v>
          </cell>
          <cell r="BQ8">
            <v>6</v>
          </cell>
          <cell r="BR8" t="str">
            <v>F</v>
          </cell>
          <cell r="BS8" t="str">
            <v>C</v>
          </cell>
          <cell r="BT8">
            <v>0</v>
          </cell>
          <cell r="BU8" t="str">
            <v>DS</v>
          </cell>
          <cell r="BV8" t="str">
            <v/>
          </cell>
          <cell r="BW8">
            <v>1</v>
          </cell>
          <cell r="BX8">
            <v>15</v>
          </cell>
          <cell r="BY8" t="str">
            <v/>
          </cell>
          <cell r="BZ8">
            <v>1</v>
          </cell>
          <cell r="CA8">
            <v>9</v>
          </cell>
          <cell r="CB8">
            <v>1.177</v>
          </cell>
          <cell r="CC8">
            <v>3.23</v>
          </cell>
          <cell r="CD8">
            <v>20</v>
          </cell>
          <cell r="CE8">
            <v>15</v>
          </cell>
          <cell r="CF8">
            <v>0</v>
          </cell>
          <cell r="CG8">
            <v>20</v>
          </cell>
          <cell r="CH8">
            <v>15</v>
          </cell>
          <cell r="CI8">
            <v>1.5</v>
          </cell>
          <cell r="CJ8">
            <v>5.000000000000001E-3</v>
          </cell>
          <cell r="CK8">
            <v>5.000000000000001E-3</v>
          </cell>
          <cell r="CL8">
            <v>0</v>
          </cell>
          <cell r="CM8">
            <v>1.9384615384615391E-3</v>
          </cell>
          <cell r="CN8">
            <v>1.9384615384615391E-3</v>
          </cell>
          <cell r="CO8">
            <v>0</v>
          </cell>
          <cell r="CP8">
            <v>0</v>
          </cell>
          <cell r="CQ8">
            <v>3.2319384615384616</v>
          </cell>
          <cell r="CR8">
            <v>0</v>
          </cell>
          <cell r="CS8">
            <v>1.1000000000000001</v>
          </cell>
          <cell r="CT8">
            <v>0.50000000000000044</v>
          </cell>
          <cell r="CU8">
            <v>0.20000000000000018</v>
          </cell>
          <cell r="CV8">
            <v>15</v>
          </cell>
          <cell r="CW8">
            <v>15</v>
          </cell>
          <cell r="CX8" t="str">
            <v/>
          </cell>
          <cell r="CY8">
            <v>1.2</v>
          </cell>
          <cell r="CZ8">
            <v>1.5</v>
          </cell>
          <cell r="DA8">
            <v>1</v>
          </cell>
          <cell r="DB8">
            <v>600</v>
          </cell>
          <cell r="DC8">
            <v>282</v>
          </cell>
          <cell r="DD8">
            <v>156</v>
          </cell>
          <cell r="DE8">
            <v>45</v>
          </cell>
          <cell r="DF8">
            <v>69</v>
          </cell>
          <cell r="DG8">
            <v>12</v>
          </cell>
          <cell r="DH8">
            <v>6</v>
          </cell>
          <cell r="DI8">
            <v>30</v>
          </cell>
        </row>
        <row r="9">
          <cell r="A9" t="str">
            <v>RS 022</v>
          </cell>
          <cell r="B9">
            <v>22</v>
          </cell>
          <cell r="C9" t="str">
            <v>C</v>
          </cell>
          <cell r="D9" t="str">
            <v>T</v>
          </cell>
          <cell r="E9" t="str">
            <v>Chimaliro Forest Camp - Chatoloma</v>
          </cell>
          <cell r="F9" t="str">
            <v>M01</v>
          </cell>
          <cell r="G9">
            <v>7</v>
          </cell>
          <cell r="H9">
            <v>26.6</v>
          </cell>
          <cell r="I9" t="str">
            <v>R</v>
          </cell>
          <cell r="J9" t="str">
            <v>KASUNGU</v>
          </cell>
          <cell r="K9">
            <v>4</v>
          </cell>
          <cell r="L9">
            <v>0</v>
          </cell>
          <cell r="W9">
            <v>83</v>
          </cell>
          <cell r="X9" t="str">
            <v>DS</v>
          </cell>
          <cell r="Y9">
            <v>150</v>
          </cell>
          <cell r="Z9" t="str">
            <v>GR</v>
          </cell>
          <cell r="AA9">
            <v>100</v>
          </cell>
          <cell r="AB9" t="str">
            <v>GR</v>
          </cell>
          <cell r="AC9">
            <v>14</v>
          </cell>
          <cell r="AD9" t="str">
            <v>VR</v>
          </cell>
          <cell r="AE9">
            <v>0</v>
          </cell>
          <cell r="AF9">
            <v>0</v>
          </cell>
          <cell r="AG9">
            <v>0</v>
          </cell>
          <cell r="AH9">
            <v>0</v>
          </cell>
          <cell r="AI9">
            <v>0</v>
          </cell>
          <cell r="AJ9">
            <v>0</v>
          </cell>
          <cell r="AK9">
            <v>0</v>
          </cell>
          <cell r="AL9">
            <v>0</v>
          </cell>
          <cell r="AM9">
            <v>1</v>
          </cell>
          <cell r="AN9" t="str">
            <v>never resealed</v>
          </cell>
          <cell r="BO9" t="str">
            <v>RS 022</v>
          </cell>
          <cell r="BP9">
            <v>26.6</v>
          </cell>
          <cell r="BQ9">
            <v>6</v>
          </cell>
          <cell r="BR9" t="str">
            <v>R</v>
          </cell>
          <cell r="BS9" t="str">
            <v>C</v>
          </cell>
          <cell r="BT9">
            <v>0</v>
          </cell>
          <cell r="BU9" t="str">
            <v>DS</v>
          </cell>
          <cell r="BV9" t="str">
            <v/>
          </cell>
          <cell r="BW9">
            <v>1</v>
          </cell>
          <cell r="BX9">
            <v>15</v>
          </cell>
          <cell r="BY9" t="str">
            <v/>
          </cell>
          <cell r="BZ9">
            <v>1</v>
          </cell>
          <cell r="CA9">
            <v>14</v>
          </cell>
          <cell r="CB9">
            <v>1.077</v>
          </cell>
          <cell r="CC9">
            <v>3.6480386194450714</v>
          </cell>
          <cell r="CD9">
            <v>12</v>
          </cell>
          <cell r="CE9">
            <v>10</v>
          </cell>
          <cell r="CF9">
            <v>0</v>
          </cell>
          <cell r="CG9">
            <v>12</v>
          </cell>
          <cell r="CH9">
            <v>10</v>
          </cell>
          <cell r="CI9">
            <v>1.2</v>
          </cell>
          <cell r="CJ9">
            <v>4.0000000000000001E-3</v>
          </cell>
          <cell r="CK9">
            <v>4.0000000000000001E-3</v>
          </cell>
          <cell r="CL9">
            <v>0</v>
          </cell>
          <cell r="CM9">
            <v>1.5507692307692308E-3</v>
          </cell>
          <cell r="CN9">
            <v>1.5507692307692308E-3</v>
          </cell>
          <cell r="CO9">
            <v>0</v>
          </cell>
          <cell r="CP9">
            <v>0</v>
          </cell>
          <cell r="CQ9">
            <v>3.6495893886758406</v>
          </cell>
          <cell r="CR9">
            <v>0</v>
          </cell>
          <cell r="CS9">
            <v>1.1000000000000001</v>
          </cell>
          <cell r="CT9">
            <v>0.50000000000000044</v>
          </cell>
          <cell r="CU9">
            <v>0.20000000000000018</v>
          </cell>
          <cell r="CV9">
            <v>15</v>
          </cell>
          <cell r="CW9">
            <v>15</v>
          </cell>
          <cell r="CX9" t="str">
            <v/>
          </cell>
          <cell r="CY9">
            <v>1.1000000000000001</v>
          </cell>
          <cell r="CZ9">
            <v>1.5</v>
          </cell>
          <cell r="DA9">
            <v>1</v>
          </cell>
          <cell r="DB9">
            <v>600</v>
          </cell>
          <cell r="DC9">
            <v>282</v>
          </cell>
          <cell r="DD9">
            <v>156</v>
          </cell>
          <cell r="DE9">
            <v>45</v>
          </cell>
          <cell r="DF9">
            <v>69</v>
          </cell>
          <cell r="DG9">
            <v>12</v>
          </cell>
          <cell r="DH9">
            <v>6</v>
          </cell>
          <cell r="DI9">
            <v>30</v>
          </cell>
        </row>
        <row r="10">
          <cell r="A10" t="str">
            <v>RS 035</v>
          </cell>
          <cell r="B10">
            <v>35</v>
          </cell>
          <cell r="C10" t="str">
            <v>C</v>
          </cell>
          <cell r="D10" t="str">
            <v>T</v>
          </cell>
          <cell r="E10" t="str">
            <v>Chatoloma - Mphomwa</v>
          </cell>
          <cell r="F10" t="str">
            <v>M01</v>
          </cell>
          <cell r="G10">
            <v>8</v>
          </cell>
          <cell r="H10">
            <v>23</v>
          </cell>
          <cell r="I10" t="str">
            <v>F</v>
          </cell>
          <cell r="J10" t="str">
            <v>KASUNGU</v>
          </cell>
          <cell r="K10">
            <v>5</v>
          </cell>
          <cell r="L10">
            <v>0</v>
          </cell>
          <cell r="W10">
            <v>83</v>
          </cell>
          <cell r="X10" t="str">
            <v>DS</v>
          </cell>
          <cell r="Y10">
            <v>150</v>
          </cell>
          <cell r="Z10" t="str">
            <v>GR</v>
          </cell>
          <cell r="AA10">
            <v>100</v>
          </cell>
          <cell r="AB10" t="str">
            <v>GR</v>
          </cell>
          <cell r="AC10">
            <v>14</v>
          </cell>
          <cell r="AD10" t="str">
            <v>VR</v>
          </cell>
          <cell r="AE10">
            <v>0</v>
          </cell>
          <cell r="AF10">
            <v>0</v>
          </cell>
          <cell r="AG10">
            <v>0</v>
          </cell>
          <cell r="AH10">
            <v>0</v>
          </cell>
          <cell r="AI10">
            <v>0</v>
          </cell>
          <cell r="AJ10">
            <v>0</v>
          </cell>
          <cell r="AK10">
            <v>0</v>
          </cell>
          <cell r="AL10">
            <v>0</v>
          </cell>
          <cell r="AM10">
            <v>1</v>
          </cell>
          <cell r="AN10" t="str">
            <v>never resealed</v>
          </cell>
          <cell r="BO10" t="str">
            <v>RS 035</v>
          </cell>
          <cell r="BP10">
            <v>23</v>
          </cell>
          <cell r="BQ10">
            <v>6</v>
          </cell>
          <cell r="BR10" t="str">
            <v>F</v>
          </cell>
          <cell r="BS10" t="str">
            <v>C</v>
          </cell>
          <cell r="BT10">
            <v>0</v>
          </cell>
          <cell r="BU10" t="str">
            <v>DS</v>
          </cell>
          <cell r="BV10" t="str">
            <v/>
          </cell>
          <cell r="BW10">
            <v>1</v>
          </cell>
          <cell r="BX10">
            <v>15</v>
          </cell>
          <cell r="BY10" t="str">
            <v/>
          </cell>
          <cell r="BZ10">
            <v>1</v>
          </cell>
          <cell r="CA10">
            <v>14</v>
          </cell>
          <cell r="CB10">
            <v>1.077</v>
          </cell>
          <cell r="CC10">
            <v>3.305719648093842</v>
          </cell>
          <cell r="CD10">
            <v>45</v>
          </cell>
          <cell r="CE10">
            <v>32</v>
          </cell>
          <cell r="CF10">
            <v>17</v>
          </cell>
          <cell r="CG10">
            <v>28</v>
          </cell>
          <cell r="CH10">
            <v>15</v>
          </cell>
          <cell r="CI10">
            <v>0.9</v>
          </cell>
          <cell r="CJ10">
            <v>3.0000000000000005E-3</v>
          </cell>
          <cell r="CK10">
            <v>10</v>
          </cell>
          <cell r="CL10">
            <v>17</v>
          </cell>
          <cell r="CM10">
            <v>0.21359461538461538</v>
          </cell>
          <cell r="CN10">
            <v>0.21359461538461538</v>
          </cell>
          <cell r="CO10">
            <v>0</v>
          </cell>
          <cell r="CP10">
            <v>0</v>
          </cell>
          <cell r="CQ10">
            <v>3.5193142634784573</v>
          </cell>
          <cell r="CR10">
            <v>0</v>
          </cell>
          <cell r="CS10">
            <v>1.2</v>
          </cell>
          <cell r="CT10">
            <v>0.99999999999999978</v>
          </cell>
          <cell r="CU10">
            <v>0.39999999999999991</v>
          </cell>
          <cell r="CV10">
            <v>15</v>
          </cell>
          <cell r="CW10">
            <v>15</v>
          </cell>
          <cell r="CX10" t="str">
            <v/>
          </cell>
          <cell r="CY10">
            <v>1.5</v>
          </cell>
          <cell r="CZ10">
            <v>1.5</v>
          </cell>
          <cell r="DA10">
            <v>1</v>
          </cell>
          <cell r="DB10">
            <v>600</v>
          </cell>
          <cell r="DC10">
            <v>282</v>
          </cell>
          <cell r="DD10">
            <v>156</v>
          </cell>
          <cell r="DE10">
            <v>45</v>
          </cell>
          <cell r="DF10">
            <v>69</v>
          </cell>
          <cell r="DG10">
            <v>12</v>
          </cell>
          <cell r="DH10">
            <v>6</v>
          </cell>
          <cell r="DI10">
            <v>30</v>
          </cell>
        </row>
        <row r="11">
          <cell r="A11" t="str">
            <v>RS 026</v>
          </cell>
          <cell r="B11">
            <v>26</v>
          </cell>
          <cell r="C11" t="str">
            <v>C</v>
          </cell>
          <cell r="D11" t="str">
            <v>T</v>
          </cell>
          <cell r="E11" t="str">
            <v>Kasungu Boma - Bua River</v>
          </cell>
          <cell r="F11" t="str">
            <v>M01</v>
          </cell>
          <cell r="G11">
            <v>9</v>
          </cell>
          <cell r="H11">
            <v>31.6</v>
          </cell>
          <cell r="I11" t="str">
            <v>F</v>
          </cell>
          <cell r="J11" t="str">
            <v>KASUNGU</v>
          </cell>
          <cell r="K11">
            <v>5</v>
          </cell>
          <cell r="L11">
            <v>0</v>
          </cell>
          <cell r="W11">
            <v>80</v>
          </cell>
          <cell r="X11" t="str">
            <v>DS</v>
          </cell>
          <cell r="Y11">
            <v>150</v>
          </cell>
          <cell r="Z11" t="str">
            <v>GR</v>
          </cell>
          <cell r="AA11">
            <v>100</v>
          </cell>
          <cell r="AB11" t="str">
            <v>GR</v>
          </cell>
          <cell r="AC11">
            <v>14</v>
          </cell>
          <cell r="AD11" t="str">
            <v>VR</v>
          </cell>
          <cell r="AE11">
            <v>0</v>
          </cell>
          <cell r="AF11">
            <v>0</v>
          </cell>
          <cell r="AG11">
            <v>0</v>
          </cell>
          <cell r="AH11">
            <v>0</v>
          </cell>
          <cell r="AI11">
            <v>0</v>
          </cell>
          <cell r="AJ11">
            <v>0</v>
          </cell>
          <cell r="AK11">
            <v>0</v>
          </cell>
          <cell r="AL11">
            <v>0</v>
          </cell>
          <cell r="AM11">
            <v>1</v>
          </cell>
          <cell r="AN11" t="str">
            <v>never resealed</v>
          </cell>
          <cell r="BO11" t="str">
            <v>RS 026</v>
          </cell>
          <cell r="BP11">
            <v>31.6</v>
          </cell>
          <cell r="BQ11">
            <v>6</v>
          </cell>
          <cell r="BR11" t="str">
            <v>F</v>
          </cell>
          <cell r="BS11" t="str">
            <v>C</v>
          </cell>
          <cell r="BT11">
            <v>0</v>
          </cell>
          <cell r="BU11" t="str">
            <v>DS</v>
          </cell>
          <cell r="BV11" t="str">
            <v/>
          </cell>
          <cell r="BW11">
            <v>1</v>
          </cell>
          <cell r="BX11">
            <v>15</v>
          </cell>
          <cell r="BY11" t="str">
            <v/>
          </cell>
          <cell r="BZ11">
            <v>1</v>
          </cell>
          <cell r="CA11">
            <v>14</v>
          </cell>
          <cell r="CB11">
            <v>1.077</v>
          </cell>
          <cell r="CC11">
            <v>4.4826839518657096</v>
          </cell>
          <cell r="CD11">
            <v>57</v>
          </cell>
          <cell r="CE11">
            <v>26</v>
          </cell>
          <cell r="CF11">
            <v>11</v>
          </cell>
          <cell r="CG11">
            <v>46</v>
          </cell>
          <cell r="CH11">
            <v>15</v>
          </cell>
          <cell r="CI11">
            <v>7.9</v>
          </cell>
          <cell r="CJ11">
            <v>2.6333333333333337E-2</v>
          </cell>
          <cell r="CK11">
            <v>10</v>
          </cell>
          <cell r="CL11">
            <v>11</v>
          </cell>
          <cell r="CM11">
            <v>0.18271512820512822</v>
          </cell>
          <cell r="CN11">
            <v>0.18271512820512822</v>
          </cell>
          <cell r="CO11">
            <v>0</v>
          </cell>
          <cell r="CP11">
            <v>0</v>
          </cell>
          <cell r="CQ11">
            <v>4.6653990800708378</v>
          </cell>
          <cell r="CR11">
            <v>0</v>
          </cell>
          <cell r="CS11">
            <v>2.5</v>
          </cell>
          <cell r="CT11">
            <v>10</v>
          </cell>
          <cell r="CU11">
            <v>4</v>
          </cell>
          <cell r="CV11">
            <v>18</v>
          </cell>
          <cell r="CW11">
            <v>18</v>
          </cell>
          <cell r="CX11" t="str">
            <v/>
          </cell>
          <cell r="CY11">
            <v>2.1</v>
          </cell>
          <cell r="CZ11">
            <v>1.5</v>
          </cell>
          <cell r="DA11">
            <v>1</v>
          </cell>
          <cell r="DB11">
            <v>600</v>
          </cell>
          <cell r="DC11">
            <v>282</v>
          </cell>
          <cell r="DD11">
            <v>156</v>
          </cell>
          <cell r="DE11">
            <v>45</v>
          </cell>
          <cell r="DF11">
            <v>69</v>
          </cell>
          <cell r="DG11">
            <v>12</v>
          </cell>
          <cell r="DH11">
            <v>6</v>
          </cell>
          <cell r="DI11">
            <v>30</v>
          </cell>
        </row>
        <row r="12">
          <cell r="A12" t="str">
            <v>RS 011</v>
          </cell>
          <cell r="B12">
            <v>11</v>
          </cell>
          <cell r="C12" t="str">
            <v>C</v>
          </cell>
          <cell r="D12" t="str">
            <v>T</v>
          </cell>
          <cell r="E12" t="str">
            <v>Bua river - Madisi</v>
          </cell>
          <cell r="F12" t="str">
            <v>M01</v>
          </cell>
          <cell r="G12">
            <v>10</v>
          </cell>
          <cell r="H12">
            <v>17.100000000000001</v>
          </cell>
          <cell r="I12" t="str">
            <v>F</v>
          </cell>
          <cell r="J12" t="str">
            <v>DOWA</v>
          </cell>
          <cell r="K12">
            <v>5</v>
          </cell>
          <cell r="L12">
            <v>0</v>
          </cell>
          <cell r="W12">
            <v>80</v>
          </cell>
          <cell r="X12" t="str">
            <v>DS</v>
          </cell>
          <cell r="Y12">
            <v>150</v>
          </cell>
          <cell r="Z12" t="str">
            <v>GR</v>
          </cell>
          <cell r="AA12">
            <v>100</v>
          </cell>
          <cell r="AB12" t="str">
            <v>GR</v>
          </cell>
          <cell r="AC12">
            <v>14</v>
          </cell>
          <cell r="AD12" t="str">
            <v>VR</v>
          </cell>
          <cell r="AE12">
            <v>87</v>
          </cell>
          <cell r="AF12" t="str">
            <v>RC</v>
          </cell>
          <cell r="AG12" t="str">
            <v>ST</v>
          </cell>
          <cell r="AH12">
            <v>15</v>
          </cell>
          <cell r="AI12">
            <v>0</v>
          </cell>
          <cell r="AJ12">
            <v>0</v>
          </cell>
          <cell r="AK12">
            <v>0</v>
          </cell>
          <cell r="AL12">
            <v>0</v>
          </cell>
          <cell r="AM12">
            <v>1</v>
          </cell>
          <cell r="AN12" t="str">
            <v>5km reseal</v>
          </cell>
          <cell r="BO12" t="str">
            <v>RS 011</v>
          </cell>
          <cell r="BP12">
            <v>17.100000000000001</v>
          </cell>
          <cell r="BQ12">
            <v>6.7</v>
          </cell>
          <cell r="BR12" t="str">
            <v>F</v>
          </cell>
          <cell r="BS12" t="str">
            <v>C</v>
          </cell>
          <cell r="BT12">
            <v>0</v>
          </cell>
          <cell r="BU12" t="str">
            <v>ST</v>
          </cell>
          <cell r="BV12" t="str">
            <v/>
          </cell>
          <cell r="BW12">
            <v>1</v>
          </cell>
          <cell r="BX12">
            <v>10</v>
          </cell>
          <cell r="BY12" t="str">
            <v/>
          </cell>
          <cell r="BZ12">
            <v>1</v>
          </cell>
          <cell r="CA12">
            <v>14</v>
          </cell>
          <cell r="CB12">
            <v>1.254</v>
          </cell>
          <cell r="CC12">
            <v>4.8099999999999996</v>
          </cell>
          <cell r="CD12">
            <v>64</v>
          </cell>
          <cell r="CE12">
            <v>41</v>
          </cell>
          <cell r="CF12">
            <v>26</v>
          </cell>
          <cell r="CG12">
            <v>38</v>
          </cell>
          <cell r="CH12">
            <v>15</v>
          </cell>
          <cell r="CI12">
            <v>13.6</v>
          </cell>
          <cell r="CJ12">
            <v>4.0597014925373133E-2</v>
          </cell>
          <cell r="CK12">
            <v>10</v>
          </cell>
          <cell r="CL12">
            <v>26</v>
          </cell>
          <cell r="CM12">
            <v>0.2873331802525832</v>
          </cell>
          <cell r="CN12">
            <v>0.2873331802525832</v>
          </cell>
          <cell r="CO12">
            <v>0</v>
          </cell>
          <cell r="CP12">
            <v>0</v>
          </cell>
          <cell r="CQ12">
            <v>5.0973331802525825</v>
          </cell>
          <cell r="CR12">
            <v>0</v>
          </cell>
          <cell r="CS12">
            <v>2.5</v>
          </cell>
          <cell r="CT12">
            <v>10</v>
          </cell>
          <cell r="CU12">
            <v>4</v>
          </cell>
          <cell r="CV12">
            <v>11</v>
          </cell>
          <cell r="CW12">
            <v>11</v>
          </cell>
          <cell r="CX12" t="str">
            <v/>
          </cell>
          <cell r="CY12">
            <v>2</v>
          </cell>
          <cell r="CZ12">
            <v>2</v>
          </cell>
          <cell r="DA12">
            <v>1</v>
          </cell>
          <cell r="DB12">
            <v>600</v>
          </cell>
          <cell r="DC12">
            <v>282</v>
          </cell>
          <cell r="DD12">
            <v>156</v>
          </cell>
          <cell r="DE12">
            <v>45</v>
          </cell>
          <cell r="DF12">
            <v>69</v>
          </cell>
          <cell r="DG12">
            <v>12</v>
          </cell>
          <cell r="DH12">
            <v>6</v>
          </cell>
          <cell r="DI12">
            <v>30</v>
          </cell>
        </row>
        <row r="13">
          <cell r="A13" t="str">
            <v>RS 014</v>
          </cell>
          <cell r="B13">
            <v>14</v>
          </cell>
          <cell r="C13" t="str">
            <v>C</v>
          </cell>
          <cell r="D13" t="str">
            <v>T</v>
          </cell>
          <cell r="E13" t="str">
            <v>Madisi - Mponela</v>
          </cell>
          <cell r="F13" t="str">
            <v>M01</v>
          </cell>
          <cell r="G13">
            <v>11</v>
          </cell>
          <cell r="H13">
            <v>21</v>
          </cell>
          <cell r="I13" t="str">
            <v>F</v>
          </cell>
          <cell r="J13" t="str">
            <v>DOWA</v>
          </cell>
          <cell r="K13">
            <v>5</v>
          </cell>
          <cell r="L13">
            <v>0</v>
          </cell>
          <cell r="W13">
            <v>80</v>
          </cell>
          <cell r="X13" t="str">
            <v>DS</v>
          </cell>
          <cell r="Y13">
            <v>150</v>
          </cell>
          <cell r="Z13" t="str">
            <v>GR</v>
          </cell>
          <cell r="AA13">
            <v>100</v>
          </cell>
          <cell r="AB13" t="str">
            <v>GR</v>
          </cell>
          <cell r="AC13">
            <v>14</v>
          </cell>
          <cell r="AD13" t="str">
            <v>VR</v>
          </cell>
          <cell r="AE13">
            <v>87</v>
          </cell>
          <cell r="AF13" t="str">
            <v>RC</v>
          </cell>
          <cell r="AG13" t="str">
            <v>ST</v>
          </cell>
          <cell r="AH13">
            <v>15</v>
          </cell>
          <cell r="AI13">
            <v>0</v>
          </cell>
          <cell r="AJ13">
            <v>0</v>
          </cell>
          <cell r="AK13">
            <v>0</v>
          </cell>
          <cell r="AL13">
            <v>0</v>
          </cell>
          <cell r="AM13">
            <v>1</v>
          </cell>
          <cell r="AN13" t="str">
            <v>5km reseal</v>
          </cell>
          <cell r="BO13" t="str">
            <v>RS 014</v>
          </cell>
          <cell r="BP13">
            <v>21</v>
          </cell>
          <cell r="BQ13">
            <v>6.7</v>
          </cell>
          <cell r="BR13" t="str">
            <v>F</v>
          </cell>
          <cell r="BS13" t="str">
            <v>C</v>
          </cell>
          <cell r="BT13">
            <v>0</v>
          </cell>
          <cell r="BU13" t="str">
            <v>ST</v>
          </cell>
          <cell r="BV13" t="str">
            <v/>
          </cell>
          <cell r="BW13">
            <v>1</v>
          </cell>
          <cell r="BX13">
            <v>10</v>
          </cell>
          <cell r="BY13" t="str">
            <v/>
          </cell>
          <cell r="BZ13">
            <v>1</v>
          </cell>
          <cell r="CA13">
            <v>14</v>
          </cell>
          <cell r="CB13">
            <v>1.254</v>
          </cell>
          <cell r="CC13">
            <v>6.474208051186352</v>
          </cell>
          <cell r="CD13">
            <v>32.5</v>
          </cell>
          <cell r="CE13">
            <v>13</v>
          </cell>
          <cell r="CF13">
            <v>0</v>
          </cell>
          <cell r="CG13">
            <v>32.5</v>
          </cell>
          <cell r="CH13">
            <v>13</v>
          </cell>
          <cell r="CI13">
            <v>5.9</v>
          </cell>
          <cell r="CJ13">
            <v>1.7611940298507465E-2</v>
          </cell>
          <cell r="CK13">
            <v>1.7611940298507465E-2</v>
          </cell>
          <cell r="CL13">
            <v>0</v>
          </cell>
          <cell r="CM13">
            <v>6.8280137772675099E-3</v>
          </cell>
          <cell r="CN13">
            <v>6.8280137772675099E-3</v>
          </cell>
          <cell r="CO13">
            <v>0</v>
          </cell>
          <cell r="CP13">
            <v>0</v>
          </cell>
          <cell r="CQ13">
            <v>6.4810360649636198</v>
          </cell>
          <cell r="CR13">
            <v>0</v>
          </cell>
          <cell r="CS13">
            <v>1.5</v>
          </cell>
          <cell r="CT13">
            <v>2.5</v>
          </cell>
          <cell r="CU13">
            <v>1</v>
          </cell>
          <cell r="CV13">
            <v>11</v>
          </cell>
          <cell r="CW13">
            <v>11</v>
          </cell>
          <cell r="CX13" t="str">
            <v/>
          </cell>
          <cell r="CY13">
            <v>2</v>
          </cell>
          <cell r="CZ13">
            <v>1.8</v>
          </cell>
          <cell r="DA13">
            <v>1</v>
          </cell>
          <cell r="DB13">
            <v>600</v>
          </cell>
          <cell r="DC13">
            <v>282</v>
          </cell>
          <cell r="DD13">
            <v>156</v>
          </cell>
          <cell r="DE13">
            <v>45</v>
          </cell>
          <cell r="DF13">
            <v>69</v>
          </cell>
          <cell r="DG13">
            <v>12</v>
          </cell>
          <cell r="DH13">
            <v>6</v>
          </cell>
          <cell r="DI13">
            <v>30</v>
          </cell>
        </row>
        <row r="14">
          <cell r="A14" t="str">
            <v>RS 017</v>
          </cell>
          <cell r="B14">
            <v>17</v>
          </cell>
          <cell r="C14" t="str">
            <v>C</v>
          </cell>
          <cell r="D14" t="str">
            <v>T</v>
          </cell>
          <cell r="E14" t="str">
            <v>Mponela - Senga</v>
          </cell>
          <cell r="F14" t="str">
            <v>M01</v>
          </cell>
          <cell r="G14">
            <v>12</v>
          </cell>
          <cell r="H14">
            <v>17.2</v>
          </cell>
          <cell r="I14" t="str">
            <v>R</v>
          </cell>
          <cell r="J14" t="str">
            <v>DOWA</v>
          </cell>
          <cell r="K14" t="str">
            <v>5,6</v>
          </cell>
          <cell r="L14">
            <v>0</v>
          </cell>
          <cell r="W14">
            <v>80</v>
          </cell>
          <cell r="X14" t="str">
            <v>DS</v>
          </cell>
          <cell r="Y14">
            <v>100</v>
          </cell>
          <cell r="Z14" t="str">
            <v>GR</v>
          </cell>
          <cell r="AA14">
            <v>150</v>
          </cell>
          <cell r="AB14" t="str">
            <v>GR</v>
          </cell>
          <cell r="AC14">
            <v>14</v>
          </cell>
          <cell r="AD14" t="str">
            <v>VR</v>
          </cell>
          <cell r="AE14">
            <v>0</v>
          </cell>
          <cell r="AF14">
            <v>0</v>
          </cell>
          <cell r="AG14">
            <v>0</v>
          </cell>
          <cell r="AH14">
            <v>0</v>
          </cell>
          <cell r="AI14">
            <v>0</v>
          </cell>
          <cell r="AJ14">
            <v>0</v>
          </cell>
          <cell r="AK14">
            <v>0</v>
          </cell>
          <cell r="AL14">
            <v>0</v>
          </cell>
          <cell r="AM14">
            <v>1</v>
          </cell>
          <cell r="AN14" t="str">
            <v>never resealed</v>
          </cell>
          <cell r="BO14" t="str">
            <v>RS 017</v>
          </cell>
          <cell r="BP14">
            <v>17.2</v>
          </cell>
          <cell r="BQ14">
            <v>6</v>
          </cell>
          <cell r="BR14" t="str">
            <v>R</v>
          </cell>
          <cell r="BS14" t="str">
            <v>C</v>
          </cell>
          <cell r="BT14">
            <v>0</v>
          </cell>
          <cell r="BU14" t="str">
            <v>DS</v>
          </cell>
          <cell r="BV14" t="str">
            <v/>
          </cell>
          <cell r="BW14">
            <v>1</v>
          </cell>
          <cell r="BX14">
            <v>15</v>
          </cell>
          <cell r="BY14" t="str">
            <v/>
          </cell>
          <cell r="BZ14">
            <v>1</v>
          </cell>
          <cell r="CA14">
            <v>14</v>
          </cell>
          <cell r="CB14">
            <v>1.5270000000000001</v>
          </cell>
          <cell r="CC14">
            <v>3.8169610948191601</v>
          </cell>
          <cell r="CD14">
            <v>43</v>
          </cell>
          <cell r="CE14">
            <v>30</v>
          </cell>
          <cell r="CF14">
            <v>15</v>
          </cell>
          <cell r="CG14">
            <v>28</v>
          </cell>
          <cell r="CH14">
            <v>15</v>
          </cell>
          <cell r="CI14">
            <v>10.4</v>
          </cell>
          <cell r="CJ14">
            <v>3.4666666666666665E-2</v>
          </cell>
          <cell r="CK14">
            <v>10</v>
          </cell>
          <cell r="CL14">
            <v>15</v>
          </cell>
          <cell r="CM14">
            <v>0.21232410256410256</v>
          </cell>
          <cell r="CN14">
            <v>0.21232410256410256</v>
          </cell>
          <cell r="CO14">
            <v>0</v>
          </cell>
          <cell r="CP14">
            <v>0</v>
          </cell>
          <cell r="CQ14">
            <v>4.0292851973832624</v>
          </cell>
          <cell r="CR14">
            <v>0</v>
          </cell>
          <cell r="CS14">
            <v>1.5</v>
          </cell>
          <cell r="CT14">
            <v>2.5</v>
          </cell>
          <cell r="CU14">
            <v>1</v>
          </cell>
          <cell r="CV14">
            <v>18</v>
          </cell>
          <cell r="CW14">
            <v>18</v>
          </cell>
          <cell r="CX14" t="str">
            <v/>
          </cell>
          <cell r="CY14">
            <v>2.5</v>
          </cell>
          <cell r="CZ14">
            <v>2</v>
          </cell>
          <cell r="DA14">
            <v>1</v>
          </cell>
          <cell r="DB14">
            <v>400</v>
          </cell>
          <cell r="DC14">
            <v>188</v>
          </cell>
          <cell r="DD14">
            <v>104</v>
          </cell>
          <cell r="DE14">
            <v>30</v>
          </cell>
          <cell r="DF14">
            <v>46</v>
          </cell>
          <cell r="DG14">
            <v>8</v>
          </cell>
          <cell r="DH14">
            <v>4</v>
          </cell>
          <cell r="DI14">
            <v>20</v>
          </cell>
        </row>
        <row r="15">
          <cell r="A15" t="str">
            <v>RS 013</v>
          </cell>
          <cell r="B15">
            <v>13</v>
          </cell>
          <cell r="C15" t="str">
            <v>C</v>
          </cell>
          <cell r="D15" t="str">
            <v>T</v>
          </cell>
          <cell r="E15" t="str">
            <v>Senga - Othambwe</v>
          </cell>
          <cell r="F15" t="str">
            <v>M01</v>
          </cell>
          <cell r="G15">
            <v>13</v>
          </cell>
          <cell r="H15">
            <v>9.5</v>
          </cell>
          <cell r="I15" t="str">
            <v>F</v>
          </cell>
          <cell r="J15" t="str">
            <v>LILONGWE</v>
          </cell>
          <cell r="K15">
            <v>6</v>
          </cell>
          <cell r="L15">
            <v>0</v>
          </cell>
          <cell r="W15">
            <v>80</v>
          </cell>
          <cell r="X15" t="str">
            <v>DS</v>
          </cell>
          <cell r="Y15">
            <v>150</v>
          </cell>
          <cell r="Z15" t="str">
            <v>GR</v>
          </cell>
          <cell r="AA15">
            <v>100</v>
          </cell>
          <cell r="AB15" t="str">
            <v>GR</v>
          </cell>
          <cell r="AC15">
            <v>14</v>
          </cell>
          <cell r="AD15" t="str">
            <v>VR</v>
          </cell>
          <cell r="AE15">
            <v>87</v>
          </cell>
          <cell r="AF15" t="str">
            <v>RC</v>
          </cell>
          <cell r="AG15" t="str">
            <v>ST</v>
          </cell>
          <cell r="AH15">
            <v>15</v>
          </cell>
          <cell r="AI15">
            <v>0</v>
          </cell>
          <cell r="AJ15">
            <v>0</v>
          </cell>
          <cell r="AK15">
            <v>0</v>
          </cell>
          <cell r="AL15">
            <v>0</v>
          </cell>
          <cell r="AM15">
            <v>1</v>
          </cell>
          <cell r="AN15">
            <v>0</v>
          </cell>
          <cell r="BO15" t="str">
            <v>RS 013</v>
          </cell>
          <cell r="BP15">
            <v>9.5</v>
          </cell>
          <cell r="BQ15">
            <v>6</v>
          </cell>
          <cell r="BR15" t="str">
            <v>F</v>
          </cell>
          <cell r="BS15" t="str">
            <v>C</v>
          </cell>
          <cell r="BT15">
            <v>0</v>
          </cell>
          <cell r="BU15" t="str">
            <v>ST</v>
          </cell>
          <cell r="BV15" t="str">
            <v/>
          </cell>
          <cell r="BW15">
            <v>1</v>
          </cell>
          <cell r="BX15">
            <v>10</v>
          </cell>
          <cell r="BY15" t="str">
            <v/>
          </cell>
          <cell r="BZ15">
            <v>1</v>
          </cell>
          <cell r="CA15">
            <v>14</v>
          </cell>
          <cell r="CB15">
            <v>1.254</v>
          </cell>
          <cell r="CC15">
            <v>4.34</v>
          </cell>
          <cell r="CD15">
            <v>75</v>
          </cell>
          <cell r="CE15">
            <v>45</v>
          </cell>
          <cell r="CF15">
            <v>30</v>
          </cell>
          <cell r="CG15">
            <v>45</v>
          </cell>
          <cell r="CH15">
            <v>15</v>
          </cell>
          <cell r="CI15">
            <v>6.2</v>
          </cell>
          <cell r="CJ15">
            <v>2.066666666666667E-2</v>
          </cell>
          <cell r="CK15">
            <v>10</v>
          </cell>
          <cell r="CL15">
            <v>30</v>
          </cell>
          <cell r="CM15">
            <v>0.30626717948717946</v>
          </cell>
          <cell r="CN15">
            <v>0.30626717948717946</v>
          </cell>
          <cell r="CO15">
            <v>0</v>
          </cell>
          <cell r="CP15">
            <v>0</v>
          </cell>
          <cell r="CQ15">
            <v>4.6462671794871797</v>
          </cell>
          <cell r="CR15">
            <v>0</v>
          </cell>
          <cell r="CS15">
            <v>1</v>
          </cell>
          <cell r="CT15">
            <v>0</v>
          </cell>
          <cell r="CU15">
            <v>0</v>
          </cell>
          <cell r="CV15">
            <v>11</v>
          </cell>
          <cell r="CW15">
            <v>11</v>
          </cell>
          <cell r="CX15" t="str">
            <v/>
          </cell>
          <cell r="CY15">
            <v>2</v>
          </cell>
          <cell r="CZ15">
            <v>1.8</v>
          </cell>
          <cell r="DA15">
            <v>1</v>
          </cell>
          <cell r="DB15">
            <v>400</v>
          </cell>
          <cell r="DC15">
            <v>188</v>
          </cell>
          <cell r="DD15">
            <v>104</v>
          </cell>
          <cell r="DE15">
            <v>30</v>
          </cell>
          <cell r="DF15">
            <v>46</v>
          </cell>
          <cell r="DG15">
            <v>8</v>
          </cell>
          <cell r="DH15">
            <v>4</v>
          </cell>
          <cell r="DI15">
            <v>20</v>
          </cell>
        </row>
        <row r="16">
          <cell r="A16" t="str">
            <v>RS 024</v>
          </cell>
          <cell r="B16">
            <v>24</v>
          </cell>
          <cell r="C16" t="str">
            <v>C</v>
          </cell>
          <cell r="D16" t="str">
            <v>T</v>
          </cell>
          <cell r="E16" t="str">
            <v>Othambwe - Lumbadzi River Bridge</v>
          </cell>
          <cell r="F16" t="str">
            <v>M01</v>
          </cell>
          <cell r="G16">
            <v>14</v>
          </cell>
          <cell r="H16">
            <v>5.7</v>
          </cell>
          <cell r="I16" t="str">
            <v>F</v>
          </cell>
          <cell r="J16" t="str">
            <v>LILONGWE</v>
          </cell>
          <cell r="K16">
            <v>6</v>
          </cell>
          <cell r="L16">
            <v>0</v>
          </cell>
          <cell r="W16">
            <v>80</v>
          </cell>
          <cell r="X16" t="str">
            <v>DS</v>
          </cell>
          <cell r="Y16">
            <v>150</v>
          </cell>
          <cell r="Z16" t="str">
            <v>GR</v>
          </cell>
          <cell r="AA16">
            <v>100</v>
          </cell>
          <cell r="AB16" t="str">
            <v>GR</v>
          </cell>
          <cell r="AC16">
            <v>14</v>
          </cell>
          <cell r="AD16" t="str">
            <v>VR</v>
          </cell>
          <cell r="AE16">
            <v>87</v>
          </cell>
          <cell r="AF16" t="str">
            <v>RC</v>
          </cell>
          <cell r="AG16" t="str">
            <v>ST</v>
          </cell>
          <cell r="AH16">
            <v>15</v>
          </cell>
          <cell r="AI16">
            <v>0</v>
          </cell>
          <cell r="AJ16">
            <v>0</v>
          </cell>
          <cell r="AK16">
            <v>0</v>
          </cell>
          <cell r="AL16">
            <v>0</v>
          </cell>
          <cell r="AM16">
            <v>1</v>
          </cell>
          <cell r="AN16">
            <v>0</v>
          </cell>
          <cell r="BO16" t="str">
            <v>RS 024</v>
          </cell>
          <cell r="BP16">
            <v>5.7</v>
          </cell>
          <cell r="BQ16">
            <v>6</v>
          </cell>
          <cell r="BR16" t="str">
            <v>F</v>
          </cell>
          <cell r="BS16" t="str">
            <v>C</v>
          </cell>
          <cell r="BT16">
            <v>0</v>
          </cell>
          <cell r="BU16" t="str">
            <v>ST</v>
          </cell>
          <cell r="BV16" t="str">
            <v/>
          </cell>
          <cell r="BW16">
            <v>1</v>
          </cell>
          <cell r="BX16">
            <v>10</v>
          </cell>
          <cell r="BY16" t="str">
            <v/>
          </cell>
          <cell r="BZ16">
            <v>1</v>
          </cell>
          <cell r="CA16">
            <v>14</v>
          </cell>
          <cell r="CB16">
            <v>1.254</v>
          </cell>
          <cell r="CC16">
            <v>4</v>
          </cell>
          <cell r="CD16">
            <v>75</v>
          </cell>
          <cell r="CE16">
            <v>45</v>
          </cell>
          <cell r="CF16">
            <v>30</v>
          </cell>
          <cell r="CG16">
            <v>45</v>
          </cell>
          <cell r="CH16">
            <v>15</v>
          </cell>
          <cell r="CI16">
            <v>6.2</v>
          </cell>
          <cell r="CJ16">
            <v>2.066666666666667E-2</v>
          </cell>
          <cell r="CK16">
            <v>10</v>
          </cell>
          <cell r="CL16">
            <v>30</v>
          </cell>
          <cell r="CM16">
            <v>0.30626717948717946</v>
          </cell>
          <cell r="CN16">
            <v>0.30626717948717946</v>
          </cell>
          <cell r="CO16">
            <v>0</v>
          </cell>
          <cell r="CP16">
            <v>0</v>
          </cell>
          <cell r="CQ16">
            <v>4.3062671794871799</v>
          </cell>
          <cell r="CR16">
            <v>0</v>
          </cell>
          <cell r="CS16">
            <v>1</v>
          </cell>
          <cell r="CT16">
            <v>0</v>
          </cell>
          <cell r="CU16">
            <v>0</v>
          </cell>
          <cell r="CV16">
            <v>11</v>
          </cell>
          <cell r="CW16">
            <v>11</v>
          </cell>
          <cell r="CX16" t="str">
            <v/>
          </cell>
          <cell r="CY16">
            <v>2</v>
          </cell>
          <cell r="CZ16">
            <v>1.8</v>
          </cell>
          <cell r="DA16">
            <v>1</v>
          </cell>
          <cell r="DB16">
            <v>500</v>
          </cell>
          <cell r="DC16">
            <v>235</v>
          </cell>
          <cell r="DD16">
            <v>130</v>
          </cell>
          <cell r="DE16">
            <v>38</v>
          </cell>
          <cell r="DF16">
            <v>58</v>
          </cell>
          <cell r="DG16">
            <v>10</v>
          </cell>
          <cell r="DH16">
            <v>5</v>
          </cell>
          <cell r="DI16">
            <v>25</v>
          </cell>
        </row>
        <row r="17">
          <cell r="A17" t="str">
            <v>RS 020</v>
          </cell>
          <cell r="B17">
            <v>20</v>
          </cell>
          <cell r="C17" t="str">
            <v>C</v>
          </cell>
          <cell r="D17" t="str">
            <v>T</v>
          </cell>
          <cell r="E17" t="str">
            <v>Lumbadzi River Bridge -  Chitsame</v>
          </cell>
          <cell r="F17" t="str">
            <v>M01</v>
          </cell>
          <cell r="G17">
            <v>15</v>
          </cell>
          <cell r="H17">
            <v>33</v>
          </cell>
          <cell r="I17" t="str">
            <v>F</v>
          </cell>
          <cell r="J17" t="str">
            <v>LILONGWE</v>
          </cell>
          <cell r="K17">
            <v>6</v>
          </cell>
          <cell r="L17">
            <v>0</v>
          </cell>
          <cell r="W17">
            <v>71</v>
          </cell>
          <cell r="X17" t="str">
            <v>DS</v>
          </cell>
          <cell r="Y17">
            <v>150</v>
          </cell>
          <cell r="Z17" t="str">
            <v>GR</v>
          </cell>
          <cell r="AA17">
            <v>100</v>
          </cell>
          <cell r="AB17" t="str">
            <v>CG</v>
          </cell>
          <cell r="AC17">
            <v>14</v>
          </cell>
          <cell r="AD17" t="str">
            <v>VR</v>
          </cell>
          <cell r="AE17">
            <v>87</v>
          </cell>
          <cell r="AF17" t="str">
            <v>AO</v>
          </cell>
          <cell r="AG17" t="str">
            <v>AC</v>
          </cell>
          <cell r="AH17">
            <v>40</v>
          </cell>
          <cell r="AI17">
            <v>0</v>
          </cell>
          <cell r="AJ17">
            <v>0</v>
          </cell>
          <cell r="AK17">
            <v>0</v>
          </cell>
          <cell r="AL17">
            <v>0</v>
          </cell>
          <cell r="AM17">
            <v>6</v>
          </cell>
          <cell r="AN17">
            <v>0</v>
          </cell>
          <cell r="BO17" t="str">
            <v>RS 020</v>
          </cell>
          <cell r="BP17">
            <v>33</v>
          </cell>
          <cell r="BQ17">
            <v>6.7</v>
          </cell>
          <cell r="BR17" t="str">
            <v>F</v>
          </cell>
          <cell r="BS17" t="str">
            <v>C</v>
          </cell>
          <cell r="BT17">
            <v>0</v>
          </cell>
          <cell r="BU17" t="str">
            <v>AC</v>
          </cell>
          <cell r="BV17" t="str">
            <v>DS</v>
          </cell>
          <cell r="BW17">
            <v>6</v>
          </cell>
          <cell r="BX17">
            <v>40</v>
          </cell>
          <cell r="BY17">
            <v>15</v>
          </cell>
          <cell r="BZ17">
            <v>1</v>
          </cell>
          <cell r="CA17">
            <v>14</v>
          </cell>
          <cell r="CB17">
            <v>1.629</v>
          </cell>
          <cell r="CC17">
            <v>2.0467220474540122</v>
          </cell>
          <cell r="CD17">
            <v>28</v>
          </cell>
          <cell r="CE17">
            <v>6</v>
          </cell>
          <cell r="CF17">
            <v>0</v>
          </cell>
          <cell r="CG17">
            <v>28</v>
          </cell>
          <cell r="CH17">
            <v>6</v>
          </cell>
          <cell r="CI17">
            <v>1</v>
          </cell>
          <cell r="CJ17">
            <v>2.9850746268656717E-3</v>
          </cell>
          <cell r="CK17">
            <v>2.9850746268656717E-3</v>
          </cell>
          <cell r="CL17">
            <v>0</v>
          </cell>
          <cell r="CM17">
            <v>1.1572904707233065E-3</v>
          </cell>
          <cell r="CN17">
            <v>1.1572904707233065E-3</v>
          </cell>
          <cell r="CO17">
            <v>0</v>
          </cell>
          <cell r="CP17">
            <v>0</v>
          </cell>
          <cell r="CQ17">
            <v>2.0478793379247353</v>
          </cell>
          <cell r="CR17">
            <v>0</v>
          </cell>
          <cell r="CS17">
            <v>1</v>
          </cell>
          <cell r="CT17">
            <v>0</v>
          </cell>
          <cell r="CU17">
            <v>0</v>
          </cell>
          <cell r="CV17">
            <v>11</v>
          </cell>
          <cell r="CW17">
            <v>27</v>
          </cell>
          <cell r="CX17">
            <v>54</v>
          </cell>
          <cell r="CY17">
            <v>1.5</v>
          </cell>
          <cell r="CZ17">
            <v>2</v>
          </cell>
          <cell r="DA17">
            <v>1.2</v>
          </cell>
          <cell r="DB17">
            <v>575</v>
          </cell>
          <cell r="DC17">
            <v>271</v>
          </cell>
          <cell r="DD17">
            <v>150</v>
          </cell>
          <cell r="DE17">
            <v>44</v>
          </cell>
          <cell r="DF17">
            <v>67</v>
          </cell>
          <cell r="DG17">
            <v>12</v>
          </cell>
          <cell r="DH17">
            <v>6</v>
          </cell>
          <cell r="DI17">
            <v>29</v>
          </cell>
        </row>
        <row r="18">
          <cell r="A18" t="str">
            <v>RS 028</v>
          </cell>
          <cell r="B18">
            <v>28</v>
          </cell>
          <cell r="C18" t="str">
            <v>C</v>
          </cell>
          <cell r="D18" t="str">
            <v>T</v>
          </cell>
          <cell r="E18" t="str">
            <v>Chitsime - Kamchere</v>
          </cell>
          <cell r="F18" t="str">
            <v>M01</v>
          </cell>
          <cell r="G18">
            <v>16</v>
          </cell>
          <cell r="H18">
            <v>8.8000000000000007</v>
          </cell>
          <cell r="I18" t="str">
            <v>F</v>
          </cell>
          <cell r="J18" t="str">
            <v>LILONGWE</v>
          </cell>
          <cell r="K18">
            <v>6</v>
          </cell>
          <cell r="L18">
            <v>0</v>
          </cell>
          <cell r="W18">
            <v>71</v>
          </cell>
          <cell r="X18" t="str">
            <v>AC</v>
          </cell>
          <cell r="Y18">
            <v>125</v>
          </cell>
          <cell r="Z18" t="str">
            <v>SB</v>
          </cell>
          <cell r="AA18">
            <v>100</v>
          </cell>
          <cell r="AB18" t="str">
            <v>GR</v>
          </cell>
          <cell r="AC18">
            <v>4</v>
          </cell>
          <cell r="AD18" t="str">
            <v>VR</v>
          </cell>
          <cell r="AE18">
            <v>87</v>
          </cell>
          <cell r="AF18" t="str">
            <v>AO</v>
          </cell>
          <cell r="AG18" t="str">
            <v>AC</v>
          </cell>
          <cell r="AH18">
            <v>40</v>
          </cell>
          <cell r="AI18">
            <v>0</v>
          </cell>
          <cell r="AJ18">
            <v>0</v>
          </cell>
          <cell r="AK18">
            <v>0</v>
          </cell>
          <cell r="AL18">
            <v>0</v>
          </cell>
          <cell r="AM18">
            <v>6</v>
          </cell>
          <cell r="AN18">
            <v>0</v>
          </cell>
          <cell r="BO18" t="str">
            <v>RS 028</v>
          </cell>
          <cell r="BP18">
            <v>8.8000000000000007</v>
          </cell>
          <cell r="BQ18">
            <v>6.7</v>
          </cell>
          <cell r="BR18" t="str">
            <v>F</v>
          </cell>
          <cell r="BS18" t="str">
            <v>C</v>
          </cell>
          <cell r="BT18">
            <v>0</v>
          </cell>
          <cell r="BU18" t="str">
            <v>AC</v>
          </cell>
          <cell r="BV18" t="str">
            <v>AC</v>
          </cell>
          <cell r="BW18">
            <v>6</v>
          </cell>
          <cell r="BX18">
            <v>40</v>
          </cell>
          <cell r="BY18">
            <v>40</v>
          </cell>
          <cell r="BZ18">
            <v>1</v>
          </cell>
          <cell r="CA18">
            <v>4</v>
          </cell>
          <cell r="CB18">
            <v>2.1040000000000001</v>
          </cell>
          <cell r="CC18">
            <v>2.8208711632453571</v>
          </cell>
          <cell r="CD18">
            <v>80</v>
          </cell>
          <cell r="CE18">
            <v>40</v>
          </cell>
          <cell r="CF18">
            <v>25</v>
          </cell>
          <cell r="CG18">
            <v>55</v>
          </cell>
          <cell r="CH18">
            <v>15</v>
          </cell>
          <cell r="CI18">
            <v>1.6</v>
          </cell>
          <cell r="CJ18">
            <v>4.7761194029850755E-3</v>
          </cell>
          <cell r="CK18">
            <v>10</v>
          </cell>
          <cell r="CL18">
            <v>25</v>
          </cell>
          <cell r="CM18">
            <v>0.26718851894374285</v>
          </cell>
          <cell r="CN18">
            <v>0.26718851894374285</v>
          </cell>
          <cell r="CO18">
            <v>0</v>
          </cell>
          <cell r="CP18">
            <v>0</v>
          </cell>
          <cell r="CQ18">
            <v>3.0880596821891002</v>
          </cell>
          <cell r="CR18">
            <v>0</v>
          </cell>
          <cell r="CS18">
            <v>1</v>
          </cell>
          <cell r="CT18">
            <v>0</v>
          </cell>
          <cell r="CU18">
            <v>0</v>
          </cell>
          <cell r="CV18">
            <v>11</v>
          </cell>
          <cell r="CW18">
            <v>27</v>
          </cell>
          <cell r="CX18">
            <v>54</v>
          </cell>
          <cell r="CY18">
            <v>1.5</v>
          </cell>
          <cell r="CZ18">
            <v>2</v>
          </cell>
          <cell r="DA18">
            <v>2</v>
          </cell>
          <cell r="DB18">
            <v>1000</v>
          </cell>
          <cell r="DC18">
            <v>470</v>
          </cell>
          <cell r="DD18">
            <v>260</v>
          </cell>
          <cell r="DE18">
            <v>75</v>
          </cell>
          <cell r="DF18">
            <v>115</v>
          </cell>
          <cell r="DG18">
            <v>20</v>
          </cell>
          <cell r="DH18">
            <v>10</v>
          </cell>
          <cell r="DI18">
            <v>50</v>
          </cell>
        </row>
        <row r="19">
          <cell r="A19" t="str">
            <v>RS 012</v>
          </cell>
          <cell r="B19">
            <v>12</v>
          </cell>
          <cell r="C19" t="str">
            <v>C</v>
          </cell>
          <cell r="D19" t="str">
            <v>T</v>
          </cell>
          <cell r="E19" t="str">
            <v>Kamchere - Kalumba T/Off</v>
          </cell>
          <cell r="F19" t="str">
            <v>M01</v>
          </cell>
          <cell r="G19">
            <v>17</v>
          </cell>
          <cell r="H19">
            <v>13.4</v>
          </cell>
          <cell r="I19" t="str">
            <v>F</v>
          </cell>
          <cell r="J19" t="str">
            <v>LILONGWE</v>
          </cell>
          <cell r="K19">
            <v>6</v>
          </cell>
          <cell r="L19">
            <v>0</v>
          </cell>
          <cell r="W19">
            <v>71</v>
          </cell>
          <cell r="X19" t="str">
            <v>DS</v>
          </cell>
          <cell r="Y19">
            <v>125</v>
          </cell>
          <cell r="Z19" t="str">
            <v>SB</v>
          </cell>
          <cell r="AA19">
            <v>100</v>
          </cell>
          <cell r="AB19" t="str">
            <v>GR</v>
          </cell>
          <cell r="AC19">
            <v>4</v>
          </cell>
          <cell r="AD19" t="str">
            <v>VR</v>
          </cell>
          <cell r="AE19">
            <v>81</v>
          </cell>
          <cell r="AF19" t="str">
            <v>AO</v>
          </cell>
          <cell r="AG19" t="str">
            <v>AC</v>
          </cell>
          <cell r="AH19">
            <v>40</v>
          </cell>
          <cell r="AI19">
            <v>87</v>
          </cell>
          <cell r="AJ19" t="str">
            <v>AO</v>
          </cell>
          <cell r="AK19" t="str">
            <v>AC</v>
          </cell>
          <cell r="AL19">
            <v>40</v>
          </cell>
          <cell r="AM19">
            <v>6</v>
          </cell>
          <cell r="AN19" t="str">
            <v>spot AO</v>
          </cell>
          <cell r="BO19" t="str">
            <v>RS 012</v>
          </cell>
          <cell r="BP19">
            <v>13.4</v>
          </cell>
          <cell r="BQ19">
            <v>6.7</v>
          </cell>
          <cell r="BR19" t="str">
            <v>F</v>
          </cell>
          <cell r="BS19" t="str">
            <v>C</v>
          </cell>
          <cell r="BT19">
            <v>0</v>
          </cell>
          <cell r="BU19" t="str">
            <v>AC</v>
          </cell>
          <cell r="BV19" t="str">
            <v>AO</v>
          </cell>
          <cell r="BW19">
            <v>6</v>
          </cell>
          <cell r="BX19">
            <v>40</v>
          </cell>
          <cell r="BY19">
            <v>40</v>
          </cell>
          <cell r="BZ19">
            <v>1</v>
          </cell>
          <cell r="CA19">
            <v>4</v>
          </cell>
          <cell r="CB19">
            <v>1.7290000000000001</v>
          </cell>
          <cell r="CC19">
            <v>2.7216531769305963</v>
          </cell>
          <cell r="CD19">
            <v>70</v>
          </cell>
          <cell r="CE19">
            <v>35</v>
          </cell>
          <cell r="CF19">
            <v>20</v>
          </cell>
          <cell r="CG19">
            <v>50</v>
          </cell>
          <cell r="CH19">
            <v>15</v>
          </cell>
          <cell r="CI19">
            <v>2</v>
          </cell>
          <cell r="CJ19">
            <v>5.9701492537313433E-3</v>
          </cell>
          <cell r="CK19">
            <v>10</v>
          </cell>
          <cell r="CL19">
            <v>20</v>
          </cell>
          <cell r="CM19">
            <v>0.23456257175660158</v>
          </cell>
          <cell r="CN19">
            <v>0.23456257175660158</v>
          </cell>
          <cell r="CO19">
            <v>0</v>
          </cell>
          <cell r="CP19">
            <v>0</v>
          </cell>
          <cell r="CQ19">
            <v>2.9562157486871978</v>
          </cell>
          <cell r="CR19">
            <v>0</v>
          </cell>
          <cell r="CS19">
            <v>1</v>
          </cell>
          <cell r="CT19">
            <v>0</v>
          </cell>
          <cell r="CU19">
            <v>0</v>
          </cell>
          <cell r="CV19">
            <v>11</v>
          </cell>
          <cell r="CW19">
            <v>27</v>
          </cell>
          <cell r="CX19">
            <v>54</v>
          </cell>
          <cell r="CY19">
            <v>1.5</v>
          </cell>
          <cell r="CZ19">
            <v>1.8</v>
          </cell>
          <cell r="DA19">
            <v>1.8</v>
          </cell>
          <cell r="DB19">
            <v>600</v>
          </cell>
          <cell r="DC19">
            <v>282</v>
          </cell>
          <cell r="DD19">
            <v>156</v>
          </cell>
          <cell r="DE19">
            <v>45</v>
          </cell>
          <cell r="DF19">
            <v>69</v>
          </cell>
          <cell r="DG19">
            <v>12</v>
          </cell>
          <cell r="DH19">
            <v>6</v>
          </cell>
          <cell r="DI19">
            <v>30</v>
          </cell>
        </row>
        <row r="20">
          <cell r="A20" t="str">
            <v>RS 037</v>
          </cell>
          <cell r="B20">
            <v>37</v>
          </cell>
          <cell r="C20" t="str">
            <v>C</v>
          </cell>
          <cell r="D20" t="str">
            <v>T</v>
          </cell>
          <cell r="E20" t="str">
            <v>Kalumba T/Off - Diamphwe River Bridge</v>
          </cell>
          <cell r="F20" t="str">
            <v>M01</v>
          </cell>
          <cell r="G20">
            <v>18</v>
          </cell>
          <cell r="H20">
            <v>18.7</v>
          </cell>
          <cell r="I20" t="str">
            <v>F</v>
          </cell>
          <cell r="J20" t="str">
            <v>LILONGWE</v>
          </cell>
          <cell r="K20">
            <v>6</v>
          </cell>
          <cell r="L20">
            <v>0</v>
          </cell>
          <cell r="W20">
            <v>71</v>
          </cell>
          <cell r="X20" t="str">
            <v>AC</v>
          </cell>
          <cell r="Y20">
            <v>125</v>
          </cell>
          <cell r="Z20" t="str">
            <v>SB</v>
          </cell>
          <cell r="AA20">
            <v>100</v>
          </cell>
          <cell r="AB20" t="str">
            <v>GR</v>
          </cell>
          <cell r="AC20">
            <v>4</v>
          </cell>
          <cell r="AD20" t="str">
            <v>VR</v>
          </cell>
          <cell r="AE20">
            <v>0</v>
          </cell>
          <cell r="AF20">
            <v>0</v>
          </cell>
          <cell r="AG20">
            <v>0</v>
          </cell>
          <cell r="AH20">
            <v>0</v>
          </cell>
          <cell r="AI20">
            <v>0</v>
          </cell>
          <cell r="AJ20">
            <v>0</v>
          </cell>
          <cell r="AK20">
            <v>0</v>
          </cell>
          <cell r="AL20">
            <v>0</v>
          </cell>
          <cell r="AM20">
            <v>2</v>
          </cell>
          <cell r="AN20" t="str">
            <v>spot AO</v>
          </cell>
          <cell r="BO20" t="str">
            <v>RS 037</v>
          </cell>
          <cell r="BP20">
            <v>18.7</v>
          </cell>
          <cell r="BQ20">
            <v>6.7</v>
          </cell>
          <cell r="BR20" t="str">
            <v>F</v>
          </cell>
          <cell r="BS20" t="str">
            <v>C</v>
          </cell>
          <cell r="BT20">
            <v>0</v>
          </cell>
          <cell r="BU20" t="str">
            <v>AC</v>
          </cell>
          <cell r="BV20" t="str">
            <v/>
          </cell>
          <cell r="BW20">
            <v>2</v>
          </cell>
          <cell r="BX20">
            <v>40</v>
          </cell>
          <cell r="BY20" t="str">
            <v/>
          </cell>
          <cell r="BZ20">
            <v>1</v>
          </cell>
          <cell r="CA20">
            <v>4</v>
          </cell>
          <cell r="CB20">
            <v>1.552</v>
          </cell>
          <cell r="CC20">
            <v>3.3922299120234607</v>
          </cell>
          <cell r="CD20">
            <v>80</v>
          </cell>
          <cell r="CE20">
            <v>45</v>
          </cell>
          <cell r="CF20">
            <v>30</v>
          </cell>
          <cell r="CG20">
            <v>50</v>
          </cell>
          <cell r="CH20">
            <v>15</v>
          </cell>
          <cell r="CI20">
            <v>5</v>
          </cell>
          <cell r="CJ20">
            <v>1.4925373134328358E-2</v>
          </cell>
          <cell r="CK20">
            <v>10</v>
          </cell>
          <cell r="CL20">
            <v>30</v>
          </cell>
          <cell r="CM20">
            <v>0.30409873708381169</v>
          </cell>
          <cell r="CN20">
            <v>0.30409873708381169</v>
          </cell>
          <cell r="CO20">
            <v>0</v>
          </cell>
          <cell r="CP20">
            <v>0</v>
          </cell>
          <cell r="CQ20">
            <v>3.6963286491072722</v>
          </cell>
          <cell r="CR20">
            <v>0</v>
          </cell>
          <cell r="CS20">
            <v>1</v>
          </cell>
          <cell r="CT20">
            <v>0</v>
          </cell>
          <cell r="CU20">
            <v>0</v>
          </cell>
          <cell r="CV20">
            <v>27</v>
          </cell>
          <cell r="CW20">
            <v>27</v>
          </cell>
          <cell r="CX20" t="str">
            <v/>
          </cell>
          <cell r="CY20">
            <v>2</v>
          </cell>
          <cell r="CZ20">
            <v>1.5</v>
          </cell>
          <cell r="DA20">
            <v>1.5</v>
          </cell>
          <cell r="DB20">
            <v>600</v>
          </cell>
          <cell r="DC20">
            <v>282</v>
          </cell>
          <cell r="DD20">
            <v>156</v>
          </cell>
          <cell r="DE20">
            <v>45</v>
          </cell>
          <cell r="DF20">
            <v>69</v>
          </cell>
          <cell r="DG20">
            <v>12</v>
          </cell>
          <cell r="DH20">
            <v>6</v>
          </cell>
          <cell r="DI20">
            <v>30</v>
          </cell>
        </row>
        <row r="21">
          <cell r="A21" t="str">
            <v>RS 025</v>
          </cell>
          <cell r="B21">
            <v>25</v>
          </cell>
          <cell r="C21" t="str">
            <v>C</v>
          </cell>
          <cell r="D21" t="str">
            <v>T</v>
          </cell>
          <cell r="E21" t="str">
            <v>Diamphwe River - Junction S126</v>
          </cell>
          <cell r="F21" t="str">
            <v>M01</v>
          </cell>
          <cell r="G21">
            <v>19</v>
          </cell>
          <cell r="H21">
            <v>5.4</v>
          </cell>
          <cell r="I21" t="str">
            <v>R</v>
          </cell>
          <cell r="J21" t="str">
            <v>DEDZA</v>
          </cell>
          <cell r="K21">
            <v>6</v>
          </cell>
          <cell r="L21">
            <v>0</v>
          </cell>
          <cell r="W21">
            <v>71</v>
          </cell>
          <cell r="X21" t="str">
            <v>DS</v>
          </cell>
          <cell r="Y21">
            <v>150</v>
          </cell>
          <cell r="Z21" t="str">
            <v>GR</v>
          </cell>
          <cell r="AA21">
            <v>100</v>
          </cell>
          <cell r="AB21" t="str">
            <v>GR</v>
          </cell>
          <cell r="AC21">
            <v>14</v>
          </cell>
          <cell r="AD21" t="str">
            <v>VR</v>
          </cell>
          <cell r="AE21">
            <v>0</v>
          </cell>
          <cell r="AF21">
            <v>0</v>
          </cell>
          <cell r="AG21">
            <v>0</v>
          </cell>
          <cell r="AH21">
            <v>0</v>
          </cell>
          <cell r="AI21">
            <v>0</v>
          </cell>
          <cell r="AJ21">
            <v>0</v>
          </cell>
          <cell r="AK21">
            <v>0</v>
          </cell>
          <cell r="AL21">
            <v>0</v>
          </cell>
          <cell r="AM21">
            <v>1</v>
          </cell>
          <cell r="AN21" t="str">
            <v>spot AO</v>
          </cell>
          <cell r="BO21" t="str">
            <v>RS 025</v>
          </cell>
          <cell r="BP21">
            <v>5.4</v>
          </cell>
          <cell r="BQ21">
            <v>6.7</v>
          </cell>
          <cell r="BR21" t="str">
            <v>R</v>
          </cell>
          <cell r="BS21" t="str">
            <v>C</v>
          </cell>
          <cell r="BT21">
            <v>0</v>
          </cell>
          <cell r="BU21" t="str">
            <v>DS</v>
          </cell>
          <cell r="BV21" t="str">
            <v/>
          </cell>
          <cell r="BW21">
            <v>1</v>
          </cell>
          <cell r="BX21">
            <v>15</v>
          </cell>
          <cell r="BY21" t="str">
            <v/>
          </cell>
          <cell r="BZ21">
            <v>1</v>
          </cell>
          <cell r="CA21">
            <v>14</v>
          </cell>
          <cell r="CB21">
            <v>1.077</v>
          </cell>
          <cell r="CC21">
            <v>4.9865603128054747</v>
          </cell>
          <cell r="CD21">
            <v>80</v>
          </cell>
          <cell r="CE21">
            <v>50</v>
          </cell>
          <cell r="CF21">
            <v>35</v>
          </cell>
          <cell r="CG21">
            <v>45</v>
          </cell>
          <cell r="CH21">
            <v>15</v>
          </cell>
          <cell r="CI21">
            <v>117</v>
          </cell>
          <cell r="CJ21">
            <v>0.34925373134328364</v>
          </cell>
          <cell r="CK21">
            <v>10</v>
          </cell>
          <cell r="CL21">
            <v>35</v>
          </cell>
          <cell r="CM21">
            <v>0.4634489092996556</v>
          </cell>
          <cell r="CN21">
            <v>0.4634489092996556</v>
          </cell>
          <cell r="CO21">
            <v>0</v>
          </cell>
          <cell r="CP21">
            <v>0</v>
          </cell>
          <cell r="CQ21">
            <v>5.4500092221051304</v>
          </cell>
          <cell r="CR21">
            <v>80</v>
          </cell>
          <cell r="CS21">
            <v>1</v>
          </cell>
          <cell r="CT21">
            <v>0</v>
          </cell>
          <cell r="CU21">
            <v>0</v>
          </cell>
          <cell r="CV21">
            <v>27</v>
          </cell>
          <cell r="CW21">
            <v>27</v>
          </cell>
          <cell r="CX21" t="str">
            <v/>
          </cell>
          <cell r="CY21">
            <v>2</v>
          </cell>
          <cell r="CZ21">
            <v>1.5</v>
          </cell>
          <cell r="DA21">
            <v>1.5</v>
          </cell>
          <cell r="DB21">
            <v>600</v>
          </cell>
          <cell r="DC21">
            <v>282</v>
          </cell>
          <cell r="DD21">
            <v>156</v>
          </cell>
          <cell r="DE21">
            <v>45</v>
          </cell>
          <cell r="DF21">
            <v>69</v>
          </cell>
          <cell r="DG21">
            <v>12</v>
          </cell>
          <cell r="DH21">
            <v>6</v>
          </cell>
          <cell r="DI21">
            <v>30</v>
          </cell>
        </row>
        <row r="22">
          <cell r="A22" t="str">
            <v>RS 010</v>
          </cell>
          <cell r="B22">
            <v>10</v>
          </cell>
          <cell r="C22" t="str">
            <v>C</v>
          </cell>
          <cell r="D22" t="str">
            <v>T</v>
          </cell>
          <cell r="E22" t="str">
            <v>Junction S126 - Linthipe</v>
          </cell>
          <cell r="F22" t="str">
            <v>M01</v>
          </cell>
          <cell r="G22">
            <v>20</v>
          </cell>
          <cell r="H22">
            <v>8.1</v>
          </cell>
          <cell r="I22" t="str">
            <v>R</v>
          </cell>
          <cell r="J22" t="str">
            <v>DEDZA</v>
          </cell>
          <cell r="K22">
            <v>6</v>
          </cell>
          <cell r="L22">
            <v>0</v>
          </cell>
          <cell r="W22">
            <v>71</v>
          </cell>
          <cell r="X22" t="str">
            <v>DS</v>
          </cell>
          <cell r="Y22">
            <v>125</v>
          </cell>
          <cell r="Z22" t="str">
            <v>SB</v>
          </cell>
          <cell r="AA22">
            <v>100</v>
          </cell>
          <cell r="AB22" t="str">
            <v>GR</v>
          </cell>
          <cell r="AC22">
            <v>4</v>
          </cell>
          <cell r="AD22" t="str">
            <v>VR</v>
          </cell>
          <cell r="AE22">
            <v>0</v>
          </cell>
          <cell r="AF22">
            <v>0</v>
          </cell>
          <cell r="AG22">
            <v>0</v>
          </cell>
          <cell r="AH22">
            <v>0</v>
          </cell>
          <cell r="AI22">
            <v>0</v>
          </cell>
          <cell r="AJ22">
            <v>0</v>
          </cell>
          <cell r="AK22">
            <v>0</v>
          </cell>
          <cell r="AL22">
            <v>0</v>
          </cell>
          <cell r="AM22">
            <v>1</v>
          </cell>
          <cell r="AN22" t="str">
            <v>never resealed</v>
          </cell>
          <cell r="BO22" t="str">
            <v>RS 010</v>
          </cell>
          <cell r="BP22">
            <v>8.1</v>
          </cell>
          <cell r="BQ22">
            <v>6.7</v>
          </cell>
          <cell r="BR22" t="str">
            <v>R</v>
          </cell>
          <cell r="BS22" t="str">
            <v>C</v>
          </cell>
          <cell r="BT22">
            <v>0</v>
          </cell>
          <cell r="BU22" t="str">
            <v>DS</v>
          </cell>
          <cell r="BV22" t="str">
            <v/>
          </cell>
          <cell r="BW22">
            <v>1</v>
          </cell>
          <cell r="BX22">
            <v>15</v>
          </cell>
          <cell r="BY22" t="str">
            <v/>
          </cell>
          <cell r="BZ22">
            <v>1</v>
          </cell>
          <cell r="CA22">
            <v>4</v>
          </cell>
          <cell r="CB22">
            <v>1.177</v>
          </cell>
          <cell r="CC22">
            <v>3.09</v>
          </cell>
          <cell r="CD22">
            <v>10</v>
          </cell>
          <cell r="CE22">
            <v>7</v>
          </cell>
          <cell r="CF22">
            <v>0</v>
          </cell>
          <cell r="CG22">
            <v>10</v>
          </cell>
          <cell r="CH22">
            <v>7</v>
          </cell>
          <cell r="CI22">
            <v>0.5</v>
          </cell>
          <cell r="CJ22">
            <v>1.4925373134328358E-3</v>
          </cell>
          <cell r="CK22">
            <v>1.4925373134328358E-3</v>
          </cell>
          <cell r="CL22">
            <v>0</v>
          </cell>
          <cell r="CM22">
            <v>5.7864523536165326E-4</v>
          </cell>
          <cell r="CN22">
            <v>5.7864523536165326E-4</v>
          </cell>
          <cell r="CO22">
            <v>0</v>
          </cell>
          <cell r="CP22">
            <v>0</v>
          </cell>
          <cell r="CQ22">
            <v>3.0905786452353614</v>
          </cell>
          <cell r="CR22">
            <v>20</v>
          </cell>
          <cell r="CS22">
            <v>1</v>
          </cell>
          <cell r="CT22">
            <v>0</v>
          </cell>
          <cell r="CU22">
            <v>0</v>
          </cell>
          <cell r="CV22">
            <v>27</v>
          </cell>
          <cell r="CW22">
            <v>27</v>
          </cell>
          <cell r="CX22" t="str">
            <v/>
          </cell>
          <cell r="CY22">
            <v>2</v>
          </cell>
          <cell r="CZ22">
            <v>1.5</v>
          </cell>
          <cell r="DA22">
            <v>1.5</v>
          </cell>
          <cell r="DB22">
            <v>600</v>
          </cell>
          <cell r="DC22">
            <v>282</v>
          </cell>
          <cell r="DD22">
            <v>156</v>
          </cell>
          <cell r="DE22">
            <v>45</v>
          </cell>
          <cell r="DF22">
            <v>69</v>
          </cell>
          <cell r="DG22">
            <v>12</v>
          </cell>
          <cell r="DH22">
            <v>6</v>
          </cell>
          <cell r="DI22">
            <v>30</v>
          </cell>
        </row>
        <row r="23">
          <cell r="A23" t="str">
            <v>RS 038</v>
          </cell>
          <cell r="B23">
            <v>38</v>
          </cell>
          <cell r="C23" t="str">
            <v>C</v>
          </cell>
          <cell r="D23" t="str">
            <v>T</v>
          </cell>
          <cell r="E23" t="str">
            <v>Linthipe - Chimbiya</v>
          </cell>
          <cell r="F23" t="str">
            <v>M01</v>
          </cell>
          <cell r="G23">
            <v>21</v>
          </cell>
          <cell r="H23">
            <v>6.3</v>
          </cell>
          <cell r="I23" t="str">
            <v>R</v>
          </cell>
          <cell r="J23" t="str">
            <v>LILONGWE</v>
          </cell>
          <cell r="K23">
            <v>6</v>
          </cell>
          <cell r="L23">
            <v>0</v>
          </cell>
          <cell r="W23">
            <v>71</v>
          </cell>
          <cell r="X23" t="str">
            <v>AC</v>
          </cell>
          <cell r="Y23">
            <v>125</v>
          </cell>
          <cell r="Z23" t="str">
            <v>SB</v>
          </cell>
          <cell r="AA23">
            <v>100</v>
          </cell>
          <cell r="AB23" t="str">
            <v>GR</v>
          </cell>
          <cell r="AC23">
            <v>4</v>
          </cell>
          <cell r="AD23" t="str">
            <v>VR</v>
          </cell>
          <cell r="AE23">
            <v>86</v>
          </cell>
          <cell r="AF23" t="str">
            <v>AO</v>
          </cell>
          <cell r="AG23" t="str">
            <v>AC</v>
          </cell>
          <cell r="AH23">
            <v>40</v>
          </cell>
          <cell r="AI23">
            <v>0</v>
          </cell>
          <cell r="AJ23">
            <v>0</v>
          </cell>
          <cell r="AK23">
            <v>0</v>
          </cell>
          <cell r="AL23">
            <v>0</v>
          </cell>
          <cell r="AM23">
            <v>6</v>
          </cell>
          <cell r="AN23">
            <v>0</v>
          </cell>
          <cell r="BO23" t="str">
            <v>RS 038</v>
          </cell>
          <cell r="BP23">
            <v>6.3</v>
          </cell>
          <cell r="BQ23">
            <v>6</v>
          </cell>
          <cell r="BR23" t="str">
            <v>R</v>
          </cell>
          <cell r="BS23" t="str">
            <v>C</v>
          </cell>
          <cell r="BT23">
            <v>0</v>
          </cell>
          <cell r="BU23" t="str">
            <v>AC</v>
          </cell>
          <cell r="BV23" t="str">
            <v>AC</v>
          </cell>
          <cell r="BW23">
            <v>6</v>
          </cell>
          <cell r="BX23">
            <v>40</v>
          </cell>
          <cell r="BY23">
            <v>40</v>
          </cell>
          <cell r="BZ23">
            <v>1</v>
          </cell>
          <cell r="CA23">
            <v>4</v>
          </cell>
          <cell r="CB23">
            <v>2.1040000000000001</v>
          </cell>
          <cell r="CC23">
            <v>3.53</v>
          </cell>
          <cell r="CD23">
            <v>50</v>
          </cell>
          <cell r="CE23">
            <v>20</v>
          </cell>
          <cell r="CF23">
            <v>5</v>
          </cell>
          <cell r="CG23">
            <v>45</v>
          </cell>
          <cell r="CH23">
            <v>15</v>
          </cell>
          <cell r="CI23">
            <v>0.7</v>
          </cell>
          <cell r="CJ23">
            <v>2.3333333333333331E-3</v>
          </cell>
          <cell r="CK23">
            <v>5.0023333333333335</v>
          </cell>
          <cell r="CL23">
            <v>5</v>
          </cell>
          <cell r="CM23">
            <v>8.3981538461538455E-2</v>
          </cell>
          <cell r="CN23">
            <v>8.3981538461538455E-2</v>
          </cell>
          <cell r="CO23">
            <v>0</v>
          </cell>
          <cell r="CP23">
            <v>0</v>
          </cell>
          <cell r="CQ23">
            <v>3.6139815384615384</v>
          </cell>
          <cell r="CR23">
            <v>10</v>
          </cell>
          <cell r="CS23">
            <v>1</v>
          </cell>
          <cell r="CT23">
            <v>0</v>
          </cell>
          <cell r="CU23">
            <v>0</v>
          </cell>
          <cell r="CV23">
            <v>12</v>
          </cell>
          <cell r="CW23">
            <v>27</v>
          </cell>
          <cell r="CX23">
            <v>54</v>
          </cell>
          <cell r="CY23">
            <v>1.5</v>
          </cell>
          <cell r="CZ23">
            <v>1.5</v>
          </cell>
          <cell r="DA23">
            <v>1.5</v>
          </cell>
          <cell r="DB23">
            <v>600</v>
          </cell>
          <cell r="DC23">
            <v>282</v>
          </cell>
          <cell r="DD23">
            <v>156</v>
          </cell>
          <cell r="DE23">
            <v>45</v>
          </cell>
          <cell r="DF23">
            <v>69</v>
          </cell>
          <cell r="DG23">
            <v>12</v>
          </cell>
          <cell r="DH23">
            <v>6</v>
          </cell>
          <cell r="DI23">
            <v>30</v>
          </cell>
        </row>
        <row r="24">
          <cell r="A24" t="str">
            <v>RS 023</v>
          </cell>
          <cell r="B24">
            <v>23</v>
          </cell>
          <cell r="C24" t="str">
            <v>C</v>
          </cell>
          <cell r="D24" t="str">
            <v>T</v>
          </cell>
          <cell r="E24" t="str">
            <v>Chimbiya - Zuze</v>
          </cell>
          <cell r="F24" t="str">
            <v>M01</v>
          </cell>
          <cell r="G24">
            <v>22</v>
          </cell>
          <cell r="H24">
            <v>31.8</v>
          </cell>
          <cell r="I24" t="str">
            <v>H</v>
          </cell>
          <cell r="J24" t="str">
            <v>DEDZA</v>
          </cell>
          <cell r="K24">
            <v>6</v>
          </cell>
          <cell r="L24">
            <v>0</v>
          </cell>
          <cell r="W24">
            <v>71</v>
          </cell>
          <cell r="X24" t="str">
            <v>AC</v>
          </cell>
          <cell r="Y24">
            <v>125</v>
          </cell>
          <cell r="Z24" t="str">
            <v>SB</v>
          </cell>
          <cell r="AA24">
            <v>150</v>
          </cell>
          <cell r="AB24" t="str">
            <v>GR</v>
          </cell>
          <cell r="AC24">
            <v>4</v>
          </cell>
          <cell r="AD24" t="str">
            <v>VR</v>
          </cell>
          <cell r="AE24">
            <v>81</v>
          </cell>
          <cell r="AF24" t="str">
            <v>SS</v>
          </cell>
          <cell r="AG24" t="str">
            <v>SS</v>
          </cell>
          <cell r="AH24">
            <v>5</v>
          </cell>
          <cell r="AI24">
            <v>86</v>
          </cell>
          <cell r="AJ24" t="str">
            <v>AO</v>
          </cell>
          <cell r="AK24" t="str">
            <v>AC</v>
          </cell>
          <cell r="AL24">
            <v>40</v>
          </cell>
          <cell r="AM24">
            <v>6</v>
          </cell>
          <cell r="AN24">
            <v>0</v>
          </cell>
          <cell r="BO24" t="str">
            <v>RS 023</v>
          </cell>
          <cell r="BP24">
            <v>31.8</v>
          </cell>
          <cell r="BQ24">
            <v>6</v>
          </cell>
          <cell r="BR24" t="str">
            <v>H</v>
          </cell>
          <cell r="BS24" t="str">
            <v>S</v>
          </cell>
          <cell r="BT24">
            <v>0</v>
          </cell>
          <cell r="BU24" t="str">
            <v>AC</v>
          </cell>
          <cell r="BV24" t="str">
            <v>AO</v>
          </cell>
          <cell r="BW24">
            <v>6</v>
          </cell>
          <cell r="BX24">
            <v>40</v>
          </cell>
          <cell r="BY24">
            <v>40</v>
          </cell>
          <cell r="BZ24">
            <v>1</v>
          </cell>
          <cell r="CA24">
            <v>4</v>
          </cell>
          <cell r="CB24">
            <v>2.6040000000000001</v>
          </cell>
          <cell r="CC24">
            <v>2.5019690693008183</v>
          </cell>
          <cell r="CD24">
            <v>10</v>
          </cell>
          <cell r="CE24">
            <v>7</v>
          </cell>
          <cell r="CF24">
            <v>0</v>
          </cell>
          <cell r="CG24">
            <v>10</v>
          </cell>
          <cell r="CH24">
            <v>7</v>
          </cell>
          <cell r="CI24">
            <v>0.3</v>
          </cell>
          <cell r="CJ24">
            <v>1E-3</v>
          </cell>
          <cell r="CK24">
            <v>1E-3</v>
          </cell>
          <cell r="CL24">
            <v>0</v>
          </cell>
          <cell r="CM24">
            <v>3.876923076923077E-4</v>
          </cell>
          <cell r="CN24">
            <v>3.876923076923077E-4</v>
          </cell>
          <cell r="CO24">
            <v>0</v>
          </cell>
          <cell r="CP24">
            <v>0</v>
          </cell>
          <cell r="CQ24">
            <v>2.5023567616085107</v>
          </cell>
          <cell r="CR24">
            <v>5</v>
          </cell>
          <cell r="CS24">
            <v>1</v>
          </cell>
          <cell r="CT24">
            <v>0</v>
          </cell>
          <cell r="CU24">
            <v>0</v>
          </cell>
          <cell r="CV24">
            <v>12</v>
          </cell>
          <cell r="CW24">
            <v>27</v>
          </cell>
          <cell r="CX24">
            <v>54</v>
          </cell>
          <cell r="CY24">
            <v>2</v>
          </cell>
          <cell r="CZ24">
            <v>2</v>
          </cell>
          <cell r="DA24">
            <v>2</v>
          </cell>
          <cell r="DB24">
            <v>600</v>
          </cell>
          <cell r="DC24">
            <v>282</v>
          </cell>
          <cell r="DD24">
            <v>156</v>
          </cell>
          <cell r="DE24">
            <v>45</v>
          </cell>
          <cell r="DF24">
            <v>69</v>
          </cell>
          <cell r="DG24">
            <v>12</v>
          </cell>
          <cell r="DH24">
            <v>6</v>
          </cell>
          <cell r="DI24">
            <v>30</v>
          </cell>
        </row>
        <row r="25">
          <cell r="A25" t="str">
            <v>RS 033</v>
          </cell>
          <cell r="B25">
            <v>33</v>
          </cell>
          <cell r="C25" t="str">
            <v>C</v>
          </cell>
          <cell r="D25" t="str">
            <v>T</v>
          </cell>
          <cell r="E25" t="str">
            <v>Dauya - Kapesi</v>
          </cell>
          <cell r="F25" t="str">
            <v>M01</v>
          </cell>
          <cell r="G25">
            <v>23</v>
          </cell>
          <cell r="H25">
            <v>12.5</v>
          </cell>
          <cell r="I25" t="str">
            <v>F</v>
          </cell>
          <cell r="J25" t="str">
            <v>DEDZA</v>
          </cell>
          <cell r="K25">
            <v>7</v>
          </cell>
          <cell r="L25">
            <v>0</v>
          </cell>
          <cell r="W25">
            <v>71</v>
          </cell>
          <cell r="X25" t="str">
            <v>AC</v>
          </cell>
          <cell r="Y25">
            <v>125</v>
          </cell>
          <cell r="Z25" t="str">
            <v>SB</v>
          </cell>
          <cell r="AA25">
            <v>100</v>
          </cell>
          <cell r="AB25" t="str">
            <v>GR</v>
          </cell>
          <cell r="AC25">
            <v>4</v>
          </cell>
          <cell r="AD25" t="str">
            <v>VR</v>
          </cell>
          <cell r="AE25">
            <v>81</v>
          </cell>
          <cell r="AF25" t="str">
            <v>AO</v>
          </cell>
          <cell r="AG25" t="str">
            <v>AC</v>
          </cell>
          <cell r="AH25">
            <v>40</v>
          </cell>
          <cell r="AI25">
            <v>87</v>
          </cell>
          <cell r="AJ25" t="str">
            <v>AO</v>
          </cell>
          <cell r="AK25" t="str">
            <v>AC</v>
          </cell>
          <cell r="AL25">
            <v>40</v>
          </cell>
          <cell r="AM25">
            <v>6</v>
          </cell>
          <cell r="AN25">
            <v>0</v>
          </cell>
          <cell r="BO25" t="str">
            <v>RS 033</v>
          </cell>
          <cell r="BP25">
            <v>12.5</v>
          </cell>
          <cell r="BQ25">
            <v>6</v>
          </cell>
          <cell r="BR25" t="str">
            <v>F</v>
          </cell>
          <cell r="BS25" t="str">
            <v>C</v>
          </cell>
          <cell r="BT25">
            <v>0</v>
          </cell>
          <cell r="BU25" t="str">
            <v>AC</v>
          </cell>
          <cell r="BV25" t="str">
            <v>AO</v>
          </cell>
          <cell r="BW25">
            <v>6</v>
          </cell>
          <cell r="BX25">
            <v>40</v>
          </cell>
          <cell r="BY25">
            <v>40</v>
          </cell>
          <cell r="BZ25">
            <v>1</v>
          </cell>
          <cell r="CA25">
            <v>4</v>
          </cell>
          <cell r="CB25">
            <v>2.1040000000000001</v>
          </cell>
          <cell r="CC25">
            <v>2.7620246334310852</v>
          </cell>
          <cell r="CD25">
            <v>20</v>
          </cell>
          <cell r="CE25">
            <v>8</v>
          </cell>
          <cell r="CF25">
            <v>0</v>
          </cell>
          <cell r="CG25">
            <v>20</v>
          </cell>
          <cell r="CH25">
            <v>8</v>
          </cell>
          <cell r="CI25">
            <v>0.1</v>
          </cell>
          <cell r="CJ25">
            <v>3.3333333333333343E-4</v>
          </cell>
          <cell r="CK25">
            <v>3.3333333333333343E-4</v>
          </cell>
          <cell r="CL25">
            <v>0</v>
          </cell>
          <cell r="CM25">
            <v>1.2923076923076926E-4</v>
          </cell>
          <cell r="CN25">
            <v>1.2923076923076926E-4</v>
          </cell>
          <cell r="CO25">
            <v>0</v>
          </cell>
          <cell r="CP25">
            <v>0</v>
          </cell>
          <cell r="CQ25">
            <v>2.7621538642003158</v>
          </cell>
          <cell r="CR25">
            <v>0</v>
          </cell>
          <cell r="CS25">
            <v>1</v>
          </cell>
          <cell r="CT25">
            <v>0</v>
          </cell>
          <cell r="CU25">
            <v>0</v>
          </cell>
          <cell r="CV25">
            <v>11</v>
          </cell>
          <cell r="CW25">
            <v>27</v>
          </cell>
          <cell r="CX25">
            <v>54</v>
          </cell>
          <cell r="CY25">
            <v>3</v>
          </cell>
          <cell r="CZ25">
            <v>2</v>
          </cell>
          <cell r="DA25">
            <v>1.5</v>
          </cell>
          <cell r="DB25">
            <v>600</v>
          </cell>
          <cell r="DC25">
            <v>282</v>
          </cell>
          <cell r="DD25">
            <v>156</v>
          </cell>
          <cell r="DE25">
            <v>45</v>
          </cell>
          <cell r="DF25">
            <v>69</v>
          </cell>
          <cell r="DG25">
            <v>12</v>
          </cell>
          <cell r="DH25">
            <v>6</v>
          </cell>
          <cell r="DI25">
            <v>30</v>
          </cell>
        </row>
        <row r="26">
          <cell r="A26" t="str">
            <v>RS 034</v>
          </cell>
          <cell r="B26">
            <v>34</v>
          </cell>
          <cell r="C26" t="str">
            <v>C</v>
          </cell>
          <cell r="D26" t="str">
            <v>T</v>
          </cell>
          <cell r="E26" t="str">
            <v>Nkutu - Bembeke</v>
          </cell>
          <cell r="F26" t="str">
            <v>M01</v>
          </cell>
          <cell r="G26">
            <v>24</v>
          </cell>
          <cell r="H26">
            <v>9</v>
          </cell>
          <cell r="I26" t="str">
            <v>H</v>
          </cell>
          <cell r="J26" t="str">
            <v>DEDZA</v>
          </cell>
          <cell r="K26">
            <v>7</v>
          </cell>
          <cell r="L26">
            <v>0</v>
          </cell>
          <cell r="W26">
            <v>71</v>
          </cell>
          <cell r="X26" t="str">
            <v>AC</v>
          </cell>
          <cell r="Y26">
            <v>125</v>
          </cell>
          <cell r="Z26" t="str">
            <v>SB</v>
          </cell>
          <cell r="AA26">
            <v>150</v>
          </cell>
          <cell r="AB26" t="str">
            <v>GR</v>
          </cell>
          <cell r="AC26">
            <v>10</v>
          </cell>
          <cell r="AD26" t="str">
            <v>VR</v>
          </cell>
          <cell r="AE26">
            <v>0</v>
          </cell>
          <cell r="AF26">
            <v>0</v>
          </cell>
          <cell r="AG26">
            <v>0</v>
          </cell>
          <cell r="AH26">
            <v>0</v>
          </cell>
          <cell r="AI26">
            <v>0</v>
          </cell>
          <cell r="AJ26">
            <v>0</v>
          </cell>
          <cell r="AK26">
            <v>0</v>
          </cell>
          <cell r="AL26">
            <v>0</v>
          </cell>
          <cell r="AM26">
            <v>2</v>
          </cell>
          <cell r="AN26" t="str">
            <v>never resealed</v>
          </cell>
          <cell r="BO26" t="str">
            <v>RS 034</v>
          </cell>
          <cell r="BP26">
            <v>9</v>
          </cell>
          <cell r="BQ26">
            <v>6</v>
          </cell>
          <cell r="BR26" t="str">
            <v>H</v>
          </cell>
          <cell r="BS26" t="str">
            <v>C</v>
          </cell>
          <cell r="BT26">
            <v>0</v>
          </cell>
          <cell r="BU26" t="str">
            <v>AC</v>
          </cell>
          <cell r="BV26" t="str">
            <v/>
          </cell>
          <cell r="BW26">
            <v>2</v>
          </cell>
          <cell r="BX26">
            <v>40</v>
          </cell>
          <cell r="BY26" t="str">
            <v/>
          </cell>
          <cell r="BZ26">
            <v>1</v>
          </cell>
          <cell r="CA26">
            <v>10</v>
          </cell>
          <cell r="CB26">
            <v>2.052</v>
          </cell>
          <cell r="CC26">
            <v>2.8482416422287393</v>
          </cell>
          <cell r="CD26">
            <v>40</v>
          </cell>
          <cell r="CE26">
            <v>18</v>
          </cell>
          <cell r="CF26">
            <v>3</v>
          </cell>
          <cell r="CG26">
            <v>37</v>
          </cell>
          <cell r="CH26">
            <v>15</v>
          </cell>
          <cell r="CI26">
            <v>2.2999999999999998</v>
          </cell>
          <cell r="CJ26">
            <v>7.6666666666666654E-3</v>
          </cell>
          <cell r="CK26">
            <v>3.0076666666666667</v>
          </cell>
          <cell r="CL26">
            <v>3</v>
          </cell>
          <cell r="CM26">
            <v>5.2818461538461543E-2</v>
          </cell>
          <cell r="CN26">
            <v>5.2818461538461543E-2</v>
          </cell>
          <cell r="CO26">
            <v>0</v>
          </cell>
          <cell r="CP26">
            <v>0</v>
          </cell>
          <cell r="CQ26">
            <v>2.9010601037672008</v>
          </cell>
          <cell r="CR26">
            <v>0</v>
          </cell>
          <cell r="CS26">
            <v>1</v>
          </cell>
          <cell r="CT26">
            <v>0</v>
          </cell>
          <cell r="CU26">
            <v>0</v>
          </cell>
          <cell r="CV26">
            <v>27</v>
          </cell>
          <cell r="CW26">
            <v>27</v>
          </cell>
          <cell r="CX26" t="str">
            <v/>
          </cell>
          <cell r="CY26">
            <v>2</v>
          </cell>
          <cell r="CZ26">
            <v>2</v>
          </cell>
          <cell r="DA26">
            <v>1.5</v>
          </cell>
          <cell r="DB26">
            <v>400</v>
          </cell>
          <cell r="DC26">
            <v>188</v>
          </cell>
          <cell r="DD26">
            <v>104</v>
          </cell>
          <cell r="DE26">
            <v>30</v>
          </cell>
          <cell r="DF26">
            <v>46</v>
          </cell>
          <cell r="DG26">
            <v>8</v>
          </cell>
          <cell r="DH26">
            <v>4</v>
          </cell>
          <cell r="DI26">
            <v>20</v>
          </cell>
        </row>
        <row r="27">
          <cell r="A27" t="str">
            <v>RS 030</v>
          </cell>
          <cell r="B27">
            <v>30</v>
          </cell>
          <cell r="C27" t="str">
            <v>C</v>
          </cell>
          <cell r="D27" t="str">
            <v>T</v>
          </cell>
          <cell r="E27" t="str">
            <v>Nkutu - Masasa</v>
          </cell>
          <cell r="F27" t="str">
            <v>M01</v>
          </cell>
          <cell r="G27">
            <v>25</v>
          </cell>
          <cell r="H27">
            <v>2.8</v>
          </cell>
          <cell r="I27" t="str">
            <v>H</v>
          </cell>
          <cell r="J27" t="str">
            <v>DEDZA</v>
          </cell>
          <cell r="K27">
            <v>7</v>
          </cell>
          <cell r="L27">
            <v>0</v>
          </cell>
          <cell r="W27">
            <v>71</v>
          </cell>
          <cell r="X27" t="str">
            <v>AC</v>
          </cell>
          <cell r="Y27">
            <v>125</v>
          </cell>
          <cell r="Z27" t="str">
            <v>SB</v>
          </cell>
          <cell r="AA27">
            <v>150</v>
          </cell>
          <cell r="AB27" t="str">
            <v>GR</v>
          </cell>
          <cell r="AC27">
            <v>10</v>
          </cell>
          <cell r="AD27" t="str">
            <v>VR</v>
          </cell>
          <cell r="AE27">
            <v>0</v>
          </cell>
          <cell r="AF27">
            <v>0</v>
          </cell>
          <cell r="AG27">
            <v>0</v>
          </cell>
          <cell r="AH27">
            <v>0</v>
          </cell>
          <cell r="AI27">
            <v>0</v>
          </cell>
          <cell r="AJ27">
            <v>0</v>
          </cell>
          <cell r="AK27">
            <v>0</v>
          </cell>
          <cell r="AL27">
            <v>0</v>
          </cell>
          <cell r="AM27">
            <v>2</v>
          </cell>
          <cell r="AN27" t="str">
            <v>never resealed</v>
          </cell>
          <cell r="BO27" t="str">
            <v>RS 030</v>
          </cell>
          <cell r="BP27">
            <v>2.8</v>
          </cell>
          <cell r="BQ27">
            <v>6</v>
          </cell>
          <cell r="BR27" t="str">
            <v>H</v>
          </cell>
          <cell r="BS27" t="str">
            <v>C</v>
          </cell>
          <cell r="BT27">
            <v>0</v>
          </cell>
          <cell r="BU27" t="str">
            <v>AC</v>
          </cell>
          <cell r="BV27" t="str">
            <v/>
          </cell>
          <cell r="BW27">
            <v>2</v>
          </cell>
          <cell r="BX27">
            <v>40</v>
          </cell>
          <cell r="BY27" t="str">
            <v/>
          </cell>
          <cell r="BZ27">
            <v>1</v>
          </cell>
          <cell r="CA27">
            <v>10</v>
          </cell>
          <cell r="CB27">
            <v>2.052</v>
          </cell>
          <cell r="CC27">
            <v>3.8643706744868038</v>
          </cell>
          <cell r="CD27">
            <v>80</v>
          </cell>
          <cell r="CE27">
            <v>56</v>
          </cell>
          <cell r="CF27">
            <v>41</v>
          </cell>
          <cell r="CG27">
            <v>39</v>
          </cell>
          <cell r="CH27">
            <v>15</v>
          </cell>
          <cell r="CI27">
            <v>3.1</v>
          </cell>
          <cell r="CJ27">
            <v>1.0333333333333335E-2</v>
          </cell>
          <cell r="CK27">
            <v>10</v>
          </cell>
          <cell r="CL27">
            <v>41</v>
          </cell>
          <cell r="CM27">
            <v>0.37513358974358968</v>
          </cell>
          <cell r="CN27">
            <v>0.37513358974358968</v>
          </cell>
          <cell r="CO27">
            <v>0</v>
          </cell>
          <cell r="CP27">
            <v>0</v>
          </cell>
          <cell r="CQ27">
            <v>4.2395042642303933</v>
          </cell>
          <cell r="CR27">
            <v>0</v>
          </cell>
          <cell r="CS27">
            <v>1</v>
          </cell>
          <cell r="CT27">
            <v>0</v>
          </cell>
          <cell r="CU27">
            <v>0</v>
          </cell>
          <cell r="CV27">
            <v>27</v>
          </cell>
          <cell r="CW27">
            <v>27</v>
          </cell>
          <cell r="CX27" t="str">
            <v/>
          </cell>
          <cell r="CY27">
            <v>2</v>
          </cell>
          <cell r="CZ27">
            <v>2</v>
          </cell>
          <cell r="DA27">
            <v>1.5</v>
          </cell>
          <cell r="DB27">
            <v>400</v>
          </cell>
          <cell r="DC27">
            <v>188</v>
          </cell>
          <cell r="DD27">
            <v>104</v>
          </cell>
          <cell r="DE27">
            <v>30</v>
          </cell>
          <cell r="DF27">
            <v>46</v>
          </cell>
          <cell r="DG27">
            <v>8</v>
          </cell>
          <cell r="DH27">
            <v>4</v>
          </cell>
          <cell r="DI27">
            <v>20</v>
          </cell>
        </row>
        <row r="28">
          <cell r="A28" t="str">
            <v>RS 015</v>
          </cell>
          <cell r="B28">
            <v>15</v>
          </cell>
          <cell r="C28" t="str">
            <v>C</v>
          </cell>
          <cell r="D28" t="str">
            <v>T</v>
          </cell>
          <cell r="E28" t="str">
            <v>Masasa - Kalitsilo</v>
          </cell>
          <cell r="F28" t="str">
            <v>M01</v>
          </cell>
          <cell r="G28">
            <v>26</v>
          </cell>
          <cell r="H28">
            <v>20.9</v>
          </cell>
          <cell r="I28" t="str">
            <v>R</v>
          </cell>
          <cell r="J28" t="str">
            <v>NTCHEU</v>
          </cell>
          <cell r="K28">
            <v>8</v>
          </cell>
          <cell r="L28">
            <v>0</v>
          </cell>
          <cell r="W28">
            <v>71</v>
          </cell>
          <cell r="X28" t="str">
            <v>DS</v>
          </cell>
          <cell r="Y28">
            <v>150</v>
          </cell>
          <cell r="Z28" t="str">
            <v>SB</v>
          </cell>
          <cell r="AA28">
            <v>125</v>
          </cell>
          <cell r="AB28" t="str">
            <v>GR</v>
          </cell>
          <cell r="AC28">
            <v>10</v>
          </cell>
          <cell r="AD28" t="str">
            <v>VR</v>
          </cell>
          <cell r="AE28">
            <v>0</v>
          </cell>
          <cell r="AF28">
            <v>0</v>
          </cell>
          <cell r="AG28">
            <v>0</v>
          </cell>
          <cell r="AH28">
            <v>0</v>
          </cell>
          <cell r="AI28">
            <v>0</v>
          </cell>
          <cell r="AJ28">
            <v>0</v>
          </cell>
          <cell r="AK28">
            <v>0</v>
          </cell>
          <cell r="AL28">
            <v>0</v>
          </cell>
          <cell r="AM28">
            <v>1</v>
          </cell>
          <cell r="AN28" t="str">
            <v>never resealed</v>
          </cell>
          <cell r="BO28" t="str">
            <v>RS 015</v>
          </cell>
          <cell r="BP28">
            <v>20.9</v>
          </cell>
          <cell r="BQ28">
            <v>6</v>
          </cell>
          <cell r="BR28" t="str">
            <v>R</v>
          </cell>
          <cell r="BS28" t="str">
            <v>C</v>
          </cell>
          <cell r="BT28">
            <v>0</v>
          </cell>
          <cell r="BU28" t="str">
            <v>DS</v>
          </cell>
          <cell r="BV28" t="str">
            <v/>
          </cell>
          <cell r="BW28">
            <v>1</v>
          </cell>
          <cell r="BX28">
            <v>15</v>
          </cell>
          <cell r="BY28" t="str">
            <v/>
          </cell>
          <cell r="BZ28">
            <v>1</v>
          </cell>
          <cell r="CA28">
            <v>10</v>
          </cell>
          <cell r="CB28">
            <v>1.427</v>
          </cell>
          <cell r="CC28">
            <v>3.3221936863895123</v>
          </cell>
          <cell r="CD28">
            <v>95</v>
          </cell>
          <cell r="CE28">
            <v>86</v>
          </cell>
          <cell r="CF28">
            <v>71</v>
          </cell>
          <cell r="CG28">
            <v>24</v>
          </cell>
          <cell r="CH28">
            <v>15</v>
          </cell>
          <cell r="CI28">
            <v>18.7</v>
          </cell>
          <cell r="CJ28">
            <v>6.2333333333333338E-2</v>
          </cell>
          <cell r="CK28">
            <v>10</v>
          </cell>
          <cell r="CL28">
            <v>71</v>
          </cell>
          <cell r="CM28">
            <v>0.59323512820512814</v>
          </cell>
          <cell r="CN28">
            <v>0.59323512820512814</v>
          </cell>
          <cell r="CO28">
            <v>0</v>
          </cell>
          <cell r="CP28">
            <v>0</v>
          </cell>
          <cell r="CQ28">
            <v>3.9154288145946405</v>
          </cell>
          <cell r="CR28">
            <v>5</v>
          </cell>
          <cell r="CS28">
            <v>1</v>
          </cell>
          <cell r="CT28">
            <v>0</v>
          </cell>
          <cell r="CU28">
            <v>0</v>
          </cell>
          <cell r="CV28">
            <v>27</v>
          </cell>
          <cell r="CW28">
            <v>27</v>
          </cell>
          <cell r="CX28" t="str">
            <v/>
          </cell>
          <cell r="CY28">
            <v>2</v>
          </cell>
          <cell r="CZ28">
            <v>2</v>
          </cell>
          <cell r="DA28">
            <v>1.3</v>
          </cell>
          <cell r="DB28">
            <v>400</v>
          </cell>
          <cell r="DC28">
            <v>188</v>
          </cell>
          <cell r="DD28">
            <v>104</v>
          </cell>
          <cell r="DE28">
            <v>30</v>
          </cell>
          <cell r="DF28">
            <v>46</v>
          </cell>
          <cell r="DG28">
            <v>8</v>
          </cell>
          <cell r="DH28">
            <v>4</v>
          </cell>
          <cell r="DI28">
            <v>20</v>
          </cell>
        </row>
        <row r="29">
          <cell r="A29" t="str">
            <v>RS 027</v>
          </cell>
          <cell r="B29">
            <v>27</v>
          </cell>
          <cell r="C29" t="str">
            <v>C</v>
          </cell>
          <cell r="D29" t="str">
            <v>T</v>
          </cell>
          <cell r="E29" t="str">
            <v>Kalitsilo - Mlangeni</v>
          </cell>
          <cell r="F29" t="str">
            <v>M01</v>
          </cell>
          <cell r="G29">
            <v>27</v>
          </cell>
          <cell r="H29">
            <v>14.7</v>
          </cell>
          <cell r="I29" t="str">
            <v>R</v>
          </cell>
          <cell r="J29" t="str">
            <v>DEDZA</v>
          </cell>
          <cell r="K29">
            <v>8</v>
          </cell>
          <cell r="L29">
            <v>0</v>
          </cell>
          <cell r="W29">
            <v>71</v>
          </cell>
          <cell r="X29" t="str">
            <v>AC</v>
          </cell>
          <cell r="Y29">
            <v>125</v>
          </cell>
          <cell r="Z29" t="str">
            <v>SB</v>
          </cell>
          <cell r="AA29">
            <v>150</v>
          </cell>
          <cell r="AB29" t="str">
            <v>GR</v>
          </cell>
          <cell r="AC29">
            <v>10</v>
          </cell>
          <cell r="AD29" t="str">
            <v>VR</v>
          </cell>
          <cell r="AE29">
            <v>0</v>
          </cell>
          <cell r="AF29">
            <v>0</v>
          </cell>
          <cell r="AG29">
            <v>0</v>
          </cell>
          <cell r="AH29">
            <v>0</v>
          </cell>
          <cell r="AI29">
            <v>0</v>
          </cell>
          <cell r="AJ29">
            <v>0</v>
          </cell>
          <cell r="AK29">
            <v>0</v>
          </cell>
          <cell r="AL29">
            <v>0</v>
          </cell>
          <cell r="AM29">
            <v>2</v>
          </cell>
          <cell r="AN29" t="str">
            <v>never resealed</v>
          </cell>
          <cell r="BO29" t="str">
            <v>RS 027</v>
          </cell>
          <cell r="BP29">
            <v>14.7</v>
          </cell>
          <cell r="BQ29">
            <v>6</v>
          </cell>
          <cell r="BR29" t="str">
            <v>R</v>
          </cell>
          <cell r="BS29" t="str">
            <v>C</v>
          </cell>
          <cell r="BT29">
            <v>0</v>
          </cell>
          <cell r="BU29" t="str">
            <v>AC</v>
          </cell>
          <cell r="BV29" t="str">
            <v/>
          </cell>
          <cell r="BW29">
            <v>2</v>
          </cell>
          <cell r="BX29">
            <v>40</v>
          </cell>
          <cell r="BY29" t="str">
            <v/>
          </cell>
          <cell r="BZ29">
            <v>1</v>
          </cell>
          <cell r="CA29">
            <v>10</v>
          </cell>
          <cell r="CB29">
            <v>2.052</v>
          </cell>
          <cell r="CC29">
            <v>3.1289903053303436</v>
          </cell>
          <cell r="CD29">
            <v>50</v>
          </cell>
          <cell r="CE29">
            <v>15</v>
          </cell>
          <cell r="CF29">
            <v>0</v>
          </cell>
          <cell r="CG29">
            <v>50</v>
          </cell>
          <cell r="CH29">
            <v>15</v>
          </cell>
          <cell r="CI29">
            <v>17.5</v>
          </cell>
          <cell r="CJ29">
            <v>5.8333333333333341E-2</v>
          </cell>
          <cell r="CK29">
            <v>5.8333333333333341E-2</v>
          </cell>
          <cell r="CL29">
            <v>0</v>
          </cell>
          <cell r="CM29">
            <v>2.2615384615384617E-2</v>
          </cell>
          <cell r="CN29">
            <v>2.2615384615384617E-2</v>
          </cell>
          <cell r="CO29">
            <v>0</v>
          </cell>
          <cell r="CP29">
            <v>0</v>
          </cell>
          <cell r="CQ29">
            <v>3.1516056899457281</v>
          </cell>
          <cell r="CR29">
            <v>0</v>
          </cell>
          <cell r="CS29">
            <v>1</v>
          </cell>
          <cell r="CT29">
            <v>0</v>
          </cell>
          <cell r="CU29">
            <v>0</v>
          </cell>
          <cell r="CV29">
            <v>27</v>
          </cell>
          <cell r="CW29">
            <v>27</v>
          </cell>
          <cell r="CX29" t="str">
            <v/>
          </cell>
          <cell r="CY29">
            <v>1.8</v>
          </cell>
          <cell r="CZ29">
            <v>1.5</v>
          </cell>
          <cell r="DA29">
            <v>1.5</v>
          </cell>
          <cell r="DB29">
            <v>400</v>
          </cell>
          <cell r="DC29">
            <v>188</v>
          </cell>
          <cell r="DD29">
            <v>104</v>
          </cell>
          <cell r="DE29">
            <v>30</v>
          </cell>
          <cell r="DF29">
            <v>46</v>
          </cell>
          <cell r="DG29">
            <v>8</v>
          </cell>
          <cell r="DH29">
            <v>4</v>
          </cell>
          <cell r="DI29">
            <v>20</v>
          </cell>
        </row>
        <row r="30">
          <cell r="A30" t="str">
            <v>RS 032</v>
          </cell>
          <cell r="B30">
            <v>32</v>
          </cell>
          <cell r="C30" t="str">
            <v>C</v>
          </cell>
          <cell r="D30" t="str">
            <v>T</v>
          </cell>
          <cell r="E30" t="str">
            <v>Mlangeni - Biriwiri</v>
          </cell>
          <cell r="F30" t="str">
            <v>M01</v>
          </cell>
          <cell r="G30">
            <v>28</v>
          </cell>
          <cell r="H30">
            <v>13.1</v>
          </cell>
          <cell r="I30" t="str">
            <v>R</v>
          </cell>
          <cell r="J30" t="str">
            <v>NTCHEU</v>
          </cell>
          <cell r="K30">
            <v>8</v>
          </cell>
          <cell r="L30">
            <v>0</v>
          </cell>
          <cell r="W30">
            <v>71</v>
          </cell>
          <cell r="X30" t="str">
            <v>AC</v>
          </cell>
          <cell r="Y30">
            <v>125</v>
          </cell>
          <cell r="Z30" t="str">
            <v>SB</v>
          </cell>
          <cell r="AA30">
            <v>150</v>
          </cell>
          <cell r="AB30" t="str">
            <v>GR</v>
          </cell>
          <cell r="AC30">
            <v>10</v>
          </cell>
          <cell r="AD30" t="str">
            <v>VR</v>
          </cell>
          <cell r="AE30">
            <v>0</v>
          </cell>
          <cell r="AF30">
            <v>0</v>
          </cell>
          <cell r="AG30">
            <v>0</v>
          </cell>
          <cell r="AH30">
            <v>0</v>
          </cell>
          <cell r="AI30">
            <v>0</v>
          </cell>
          <cell r="AJ30">
            <v>0</v>
          </cell>
          <cell r="AK30">
            <v>0</v>
          </cell>
          <cell r="AL30">
            <v>0</v>
          </cell>
          <cell r="AM30">
            <v>2</v>
          </cell>
          <cell r="AN30" t="str">
            <v>never resealed</v>
          </cell>
          <cell r="BO30" t="str">
            <v>RS 032</v>
          </cell>
          <cell r="BP30">
            <v>13.1</v>
          </cell>
          <cell r="BQ30">
            <v>6</v>
          </cell>
          <cell r="BR30" t="str">
            <v>R</v>
          </cell>
          <cell r="BS30" t="str">
            <v>C</v>
          </cell>
          <cell r="BT30">
            <v>0</v>
          </cell>
          <cell r="BU30" t="str">
            <v>AC</v>
          </cell>
          <cell r="BV30" t="str">
            <v/>
          </cell>
          <cell r="BW30">
            <v>2</v>
          </cell>
          <cell r="BX30">
            <v>40</v>
          </cell>
          <cell r="BY30" t="str">
            <v/>
          </cell>
          <cell r="BZ30">
            <v>1</v>
          </cell>
          <cell r="CA30">
            <v>10</v>
          </cell>
          <cell r="CB30">
            <v>2.052</v>
          </cell>
          <cell r="CC30">
            <v>2.21</v>
          </cell>
          <cell r="CD30">
            <v>50</v>
          </cell>
          <cell r="CE30">
            <v>30</v>
          </cell>
          <cell r="CF30">
            <v>15</v>
          </cell>
          <cell r="CG30">
            <v>35</v>
          </cell>
          <cell r="CH30">
            <v>15</v>
          </cell>
          <cell r="CI30">
            <v>0</v>
          </cell>
          <cell r="CJ30">
            <v>0</v>
          </cell>
          <cell r="CK30">
            <v>10</v>
          </cell>
          <cell r="CL30">
            <v>15</v>
          </cell>
          <cell r="CM30">
            <v>0.19923076923076921</v>
          </cell>
          <cell r="CN30">
            <v>0.19923076923076921</v>
          </cell>
          <cell r="CO30">
            <v>0</v>
          </cell>
          <cell r="CP30">
            <v>0</v>
          </cell>
          <cell r="CQ30">
            <v>2.4092307692307693</v>
          </cell>
          <cell r="CR30">
            <v>0</v>
          </cell>
          <cell r="CS30">
            <v>1</v>
          </cell>
          <cell r="CT30">
            <v>0</v>
          </cell>
          <cell r="CU30">
            <v>0</v>
          </cell>
          <cell r="CV30">
            <v>27</v>
          </cell>
          <cell r="CW30">
            <v>27</v>
          </cell>
          <cell r="CX30" t="str">
            <v/>
          </cell>
          <cell r="CY30">
            <v>1.5</v>
          </cell>
          <cell r="CZ30">
            <v>1.5</v>
          </cell>
          <cell r="DA30">
            <v>1.5</v>
          </cell>
          <cell r="DB30">
            <v>400</v>
          </cell>
          <cell r="DC30">
            <v>188</v>
          </cell>
          <cell r="DD30">
            <v>104</v>
          </cell>
          <cell r="DE30">
            <v>30</v>
          </cell>
          <cell r="DF30">
            <v>46</v>
          </cell>
          <cell r="DG30">
            <v>8</v>
          </cell>
          <cell r="DH30">
            <v>4</v>
          </cell>
          <cell r="DI30">
            <v>20</v>
          </cell>
        </row>
        <row r="31">
          <cell r="A31" t="str">
            <v>RS 021</v>
          </cell>
          <cell r="B31">
            <v>21</v>
          </cell>
          <cell r="C31" t="str">
            <v>C</v>
          </cell>
          <cell r="D31" t="str">
            <v>T</v>
          </cell>
          <cell r="E31" t="str">
            <v>Biriwiri - Ntcheu</v>
          </cell>
          <cell r="F31" t="str">
            <v>M01</v>
          </cell>
          <cell r="G31">
            <v>29</v>
          </cell>
          <cell r="H31">
            <v>6.7</v>
          </cell>
          <cell r="I31" t="str">
            <v>F</v>
          </cell>
          <cell r="J31" t="str">
            <v>NTCHEU</v>
          </cell>
          <cell r="K31">
            <v>8</v>
          </cell>
          <cell r="L31">
            <v>0</v>
          </cell>
          <cell r="W31">
            <v>71</v>
          </cell>
          <cell r="X31" t="str">
            <v>DS</v>
          </cell>
          <cell r="Y31">
            <v>125</v>
          </cell>
          <cell r="Z31" t="str">
            <v>SB</v>
          </cell>
          <cell r="AA31">
            <v>150</v>
          </cell>
          <cell r="AB31" t="str">
            <v>GR</v>
          </cell>
          <cell r="AC31">
            <v>10</v>
          </cell>
          <cell r="AD31" t="str">
            <v>VR</v>
          </cell>
          <cell r="AE31">
            <v>0</v>
          </cell>
          <cell r="AF31">
            <v>0</v>
          </cell>
          <cell r="AG31">
            <v>0</v>
          </cell>
          <cell r="AH31">
            <v>0</v>
          </cell>
          <cell r="AI31">
            <v>0</v>
          </cell>
          <cell r="AJ31">
            <v>0</v>
          </cell>
          <cell r="AK31">
            <v>0</v>
          </cell>
          <cell r="AL31">
            <v>0</v>
          </cell>
          <cell r="AM31">
            <v>1</v>
          </cell>
          <cell r="AN31" t="str">
            <v>never resealed</v>
          </cell>
          <cell r="BO31" t="str">
            <v>RS 021</v>
          </cell>
          <cell r="BP31">
            <v>6.7</v>
          </cell>
          <cell r="BQ31">
            <v>6</v>
          </cell>
          <cell r="BR31" t="str">
            <v>F</v>
          </cell>
          <cell r="BS31" t="str">
            <v>C</v>
          </cell>
          <cell r="BT31">
            <v>0</v>
          </cell>
          <cell r="BU31" t="str">
            <v>DS</v>
          </cell>
          <cell r="BV31" t="str">
            <v/>
          </cell>
          <cell r="BW31">
            <v>1</v>
          </cell>
          <cell r="BX31">
            <v>15</v>
          </cell>
          <cell r="BY31" t="str">
            <v/>
          </cell>
          <cell r="BZ31">
            <v>1</v>
          </cell>
          <cell r="CA31">
            <v>10</v>
          </cell>
          <cell r="CB31">
            <v>1.677</v>
          </cell>
          <cell r="CC31">
            <v>2.4494146627565985</v>
          </cell>
          <cell r="CD31">
            <v>40</v>
          </cell>
          <cell r="CE31">
            <v>5</v>
          </cell>
          <cell r="CF31">
            <v>0</v>
          </cell>
          <cell r="CG31">
            <v>40</v>
          </cell>
          <cell r="CH31">
            <v>5</v>
          </cell>
          <cell r="CI31">
            <v>0.4</v>
          </cell>
          <cell r="CJ31">
            <v>1.3333333333333337E-3</v>
          </cell>
          <cell r="CK31">
            <v>1.3333333333333337E-3</v>
          </cell>
          <cell r="CL31">
            <v>0</v>
          </cell>
          <cell r="CM31">
            <v>5.1692307692307704E-4</v>
          </cell>
          <cell r="CN31">
            <v>5.1692307692307704E-4</v>
          </cell>
          <cell r="CO31">
            <v>0</v>
          </cell>
          <cell r="CP31">
            <v>0</v>
          </cell>
          <cell r="CQ31">
            <v>2.4499315858335216</v>
          </cell>
          <cell r="CR31">
            <v>0</v>
          </cell>
          <cell r="CS31">
            <v>1</v>
          </cell>
          <cell r="CT31">
            <v>0</v>
          </cell>
          <cell r="CU31">
            <v>0</v>
          </cell>
          <cell r="CV31">
            <v>27</v>
          </cell>
          <cell r="CW31">
            <v>27</v>
          </cell>
          <cell r="CX31" t="str">
            <v/>
          </cell>
          <cell r="CY31">
            <v>2</v>
          </cell>
          <cell r="CZ31">
            <v>1.5</v>
          </cell>
          <cell r="DA31">
            <v>1.5</v>
          </cell>
          <cell r="DB31">
            <v>400</v>
          </cell>
          <cell r="DC31">
            <v>188</v>
          </cell>
          <cell r="DD31">
            <v>104</v>
          </cell>
          <cell r="DE31">
            <v>30</v>
          </cell>
          <cell r="DF31">
            <v>46</v>
          </cell>
          <cell r="DG31">
            <v>8</v>
          </cell>
          <cell r="DH31">
            <v>4</v>
          </cell>
          <cell r="DI31">
            <v>20</v>
          </cell>
        </row>
        <row r="32">
          <cell r="A32" t="str">
            <v>RS 019</v>
          </cell>
          <cell r="B32">
            <v>19</v>
          </cell>
          <cell r="C32" t="str">
            <v>C</v>
          </cell>
          <cell r="D32" t="str">
            <v>T</v>
          </cell>
          <cell r="E32" t="str">
            <v>Ntcheu - Bemvu</v>
          </cell>
          <cell r="F32" t="str">
            <v>M01</v>
          </cell>
          <cell r="G32">
            <v>30</v>
          </cell>
          <cell r="H32">
            <v>11.8</v>
          </cell>
          <cell r="I32" t="str">
            <v>F</v>
          </cell>
          <cell r="J32" t="str">
            <v>NTCHEU</v>
          </cell>
          <cell r="K32">
            <v>8</v>
          </cell>
          <cell r="L32">
            <v>0</v>
          </cell>
          <cell r="W32">
            <v>71</v>
          </cell>
          <cell r="X32" t="str">
            <v>DS</v>
          </cell>
          <cell r="Y32">
            <v>125</v>
          </cell>
          <cell r="Z32" t="str">
            <v>SB</v>
          </cell>
          <cell r="AA32">
            <v>150</v>
          </cell>
          <cell r="AB32" t="str">
            <v>CG</v>
          </cell>
          <cell r="AC32">
            <v>10</v>
          </cell>
          <cell r="AD32" t="str">
            <v>VR</v>
          </cell>
          <cell r="AE32">
            <v>89</v>
          </cell>
          <cell r="AF32" t="str">
            <v>AO</v>
          </cell>
          <cell r="AG32" t="str">
            <v>AC</v>
          </cell>
          <cell r="AH32">
            <v>50</v>
          </cell>
          <cell r="AI32">
            <v>0</v>
          </cell>
          <cell r="AJ32">
            <v>0</v>
          </cell>
          <cell r="AK32">
            <v>0</v>
          </cell>
          <cell r="AL32">
            <v>0</v>
          </cell>
          <cell r="AM32">
            <v>7</v>
          </cell>
          <cell r="AN32">
            <v>0</v>
          </cell>
          <cell r="BO32" t="str">
            <v>RS 019</v>
          </cell>
          <cell r="BP32">
            <v>11.8</v>
          </cell>
          <cell r="BQ32">
            <v>6</v>
          </cell>
          <cell r="BR32" t="str">
            <v>F</v>
          </cell>
          <cell r="BS32" t="str">
            <v>C</v>
          </cell>
          <cell r="BT32">
            <v>0</v>
          </cell>
          <cell r="BU32" t="str">
            <v>AC</v>
          </cell>
          <cell r="BV32" t="str">
            <v>DS</v>
          </cell>
          <cell r="BW32">
            <v>7</v>
          </cell>
          <cell r="BX32">
            <v>40</v>
          </cell>
          <cell r="BY32">
            <v>15</v>
          </cell>
          <cell r="BZ32">
            <v>1</v>
          </cell>
          <cell r="CA32">
            <v>10</v>
          </cell>
          <cell r="CB32">
            <v>2.2290000000000001</v>
          </cell>
          <cell r="CC32">
            <v>2.2000000000000002</v>
          </cell>
          <cell r="CD32">
            <v>70</v>
          </cell>
          <cell r="CE32">
            <v>4</v>
          </cell>
          <cell r="CF32">
            <v>0</v>
          </cell>
          <cell r="CG32">
            <v>70</v>
          </cell>
          <cell r="CH32">
            <v>4</v>
          </cell>
          <cell r="CI32">
            <v>0.5</v>
          </cell>
          <cell r="CJ32">
            <v>1.6666666666666668E-3</v>
          </cell>
          <cell r="CK32">
            <v>1.6666666666666668E-3</v>
          </cell>
          <cell r="CL32">
            <v>0</v>
          </cell>
          <cell r="CM32">
            <v>6.4615384615384621E-4</v>
          </cell>
          <cell r="CN32">
            <v>6.4615384615384621E-4</v>
          </cell>
          <cell r="CO32">
            <v>0</v>
          </cell>
          <cell r="CP32">
            <v>0</v>
          </cell>
          <cell r="CQ32">
            <v>2.2006461538461539</v>
          </cell>
          <cell r="CR32">
            <v>0</v>
          </cell>
          <cell r="CS32">
            <v>1</v>
          </cell>
          <cell r="CT32">
            <v>0</v>
          </cell>
          <cell r="CU32">
            <v>0</v>
          </cell>
          <cell r="CV32">
            <v>9</v>
          </cell>
          <cell r="CW32">
            <v>27</v>
          </cell>
          <cell r="CX32">
            <v>54</v>
          </cell>
          <cell r="CY32">
            <v>1.5</v>
          </cell>
          <cell r="CZ32">
            <v>1.3</v>
          </cell>
          <cell r="DA32">
            <v>1.3</v>
          </cell>
          <cell r="DB32">
            <v>440</v>
          </cell>
          <cell r="DC32">
            <v>207</v>
          </cell>
          <cell r="DD32">
            <v>115</v>
          </cell>
          <cell r="DE32">
            <v>33</v>
          </cell>
          <cell r="DF32">
            <v>51</v>
          </cell>
          <cell r="DG32">
            <v>9</v>
          </cell>
          <cell r="DH32">
            <v>5</v>
          </cell>
          <cell r="DI32">
            <v>22</v>
          </cell>
        </row>
        <row r="33">
          <cell r="A33" t="str">
            <v>RS 029</v>
          </cell>
          <cell r="B33">
            <v>29</v>
          </cell>
          <cell r="C33" t="str">
            <v>C</v>
          </cell>
          <cell r="D33" t="str">
            <v>T</v>
          </cell>
          <cell r="E33" t="str">
            <v>Bemvu - Njereza</v>
          </cell>
          <cell r="F33" t="str">
            <v>M01</v>
          </cell>
          <cell r="G33">
            <v>31</v>
          </cell>
          <cell r="H33">
            <v>8.8000000000000007</v>
          </cell>
          <cell r="I33" t="str">
            <v>R</v>
          </cell>
          <cell r="J33" t="str">
            <v>NTCHEU</v>
          </cell>
          <cell r="K33">
            <v>8</v>
          </cell>
          <cell r="L33">
            <v>0</v>
          </cell>
          <cell r="W33">
            <v>71</v>
          </cell>
          <cell r="X33" t="str">
            <v>AC</v>
          </cell>
          <cell r="Y33">
            <v>125</v>
          </cell>
          <cell r="Z33" t="str">
            <v>SB</v>
          </cell>
          <cell r="AA33">
            <v>150</v>
          </cell>
          <cell r="AB33" t="str">
            <v>GR</v>
          </cell>
          <cell r="AC33">
            <v>10</v>
          </cell>
          <cell r="AD33" t="str">
            <v>VR</v>
          </cell>
          <cell r="AE33">
            <v>89</v>
          </cell>
          <cell r="AF33" t="str">
            <v>AO</v>
          </cell>
          <cell r="AG33" t="str">
            <v>AC</v>
          </cell>
          <cell r="AH33">
            <v>50</v>
          </cell>
          <cell r="AI33">
            <v>0</v>
          </cell>
          <cell r="AJ33">
            <v>0</v>
          </cell>
          <cell r="AK33">
            <v>0</v>
          </cell>
          <cell r="AL33">
            <v>0</v>
          </cell>
          <cell r="AM33">
            <v>6</v>
          </cell>
          <cell r="AN33">
            <v>0</v>
          </cell>
          <cell r="BO33" t="str">
            <v>RS 029</v>
          </cell>
          <cell r="BP33">
            <v>8.8000000000000007</v>
          </cell>
          <cell r="BQ33">
            <v>6</v>
          </cell>
          <cell r="BR33" t="str">
            <v>R</v>
          </cell>
          <cell r="BS33" t="str">
            <v>C</v>
          </cell>
          <cell r="BT33">
            <v>0</v>
          </cell>
          <cell r="BU33" t="str">
            <v>AC</v>
          </cell>
          <cell r="BV33" t="str">
            <v>AC</v>
          </cell>
          <cell r="BW33">
            <v>6</v>
          </cell>
          <cell r="BX33">
            <v>40</v>
          </cell>
          <cell r="BY33">
            <v>40</v>
          </cell>
          <cell r="BZ33">
            <v>1</v>
          </cell>
          <cell r="CA33">
            <v>10</v>
          </cell>
          <cell r="CB33">
            <v>2.6040000000000001</v>
          </cell>
          <cell r="CC33">
            <v>2.3115847507331377</v>
          </cell>
          <cell r="CD33">
            <v>1</v>
          </cell>
          <cell r="CE33">
            <v>0</v>
          </cell>
          <cell r="CF33">
            <v>0</v>
          </cell>
          <cell r="CG33">
            <v>1</v>
          </cell>
          <cell r="CH33">
            <v>0</v>
          </cell>
          <cell r="CI33">
            <v>0</v>
          </cell>
          <cell r="CJ33">
            <v>0</v>
          </cell>
          <cell r="CK33">
            <v>0</v>
          </cell>
          <cell r="CL33">
            <v>0</v>
          </cell>
          <cell r="CM33">
            <v>0</v>
          </cell>
          <cell r="CN33">
            <v>0</v>
          </cell>
          <cell r="CO33">
            <v>0</v>
          </cell>
          <cell r="CP33">
            <v>0</v>
          </cell>
          <cell r="CQ33">
            <v>2.3115847507331377</v>
          </cell>
          <cell r="CR33">
            <v>0</v>
          </cell>
          <cell r="CS33">
            <v>1</v>
          </cell>
          <cell r="CT33">
            <v>0</v>
          </cell>
          <cell r="CU33">
            <v>0</v>
          </cell>
          <cell r="CV33">
            <v>9</v>
          </cell>
          <cell r="CW33">
            <v>27</v>
          </cell>
          <cell r="CX33">
            <v>54</v>
          </cell>
          <cell r="CY33">
            <v>1.1000000000000001</v>
          </cell>
          <cell r="CZ33">
            <v>1.2</v>
          </cell>
          <cell r="DA33">
            <v>1.1000000000000001</v>
          </cell>
          <cell r="DB33">
            <v>440</v>
          </cell>
          <cell r="DC33">
            <v>207</v>
          </cell>
          <cell r="DD33">
            <v>115</v>
          </cell>
          <cell r="DE33">
            <v>33</v>
          </cell>
          <cell r="DF33">
            <v>51</v>
          </cell>
          <cell r="DG33">
            <v>9</v>
          </cell>
          <cell r="DH33">
            <v>5</v>
          </cell>
          <cell r="DI33">
            <v>22</v>
          </cell>
        </row>
        <row r="34">
          <cell r="A34" t="str">
            <v>RS 016</v>
          </cell>
          <cell r="B34">
            <v>16</v>
          </cell>
          <cell r="C34" t="str">
            <v>C</v>
          </cell>
          <cell r="D34" t="str">
            <v>T</v>
          </cell>
          <cell r="E34" t="str">
            <v>Njereza - Balaka Market</v>
          </cell>
          <cell r="F34" t="str">
            <v>M01</v>
          </cell>
          <cell r="G34">
            <v>32</v>
          </cell>
          <cell r="H34">
            <v>12</v>
          </cell>
          <cell r="I34" t="str">
            <v>R</v>
          </cell>
          <cell r="J34" t="str">
            <v>NTCHEU</v>
          </cell>
          <cell r="K34">
            <v>8</v>
          </cell>
          <cell r="L34">
            <v>0</v>
          </cell>
          <cell r="W34">
            <v>71</v>
          </cell>
          <cell r="X34" t="str">
            <v>DS</v>
          </cell>
          <cell r="Y34">
            <v>150</v>
          </cell>
          <cell r="Z34" t="str">
            <v>SB</v>
          </cell>
          <cell r="AA34">
            <v>125</v>
          </cell>
          <cell r="AB34" t="str">
            <v>GR</v>
          </cell>
          <cell r="AC34">
            <v>10</v>
          </cell>
          <cell r="AD34" t="str">
            <v>VR</v>
          </cell>
          <cell r="AE34">
            <v>89</v>
          </cell>
          <cell r="AF34" t="str">
            <v>AO</v>
          </cell>
          <cell r="AG34" t="str">
            <v>AC</v>
          </cell>
          <cell r="AH34">
            <v>50</v>
          </cell>
          <cell r="AI34">
            <v>0</v>
          </cell>
          <cell r="AJ34">
            <v>0</v>
          </cell>
          <cell r="AK34">
            <v>0</v>
          </cell>
          <cell r="AL34">
            <v>0</v>
          </cell>
          <cell r="AM34">
            <v>7</v>
          </cell>
          <cell r="AN34">
            <v>0</v>
          </cell>
          <cell r="BO34" t="str">
            <v>RS 016</v>
          </cell>
          <cell r="BP34">
            <v>12</v>
          </cell>
          <cell r="BQ34">
            <v>6</v>
          </cell>
          <cell r="BR34" t="str">
            <v>R</v>
          </cell>
          <cell r="BS34" t="str">
            <v>S</v>
          </cell>
          <cell r="BT34">
            <v>0</v>
          </cell>
          <cell r="BU34" t="str">
            <v>AC</v>
          </cell>
          <cell r="BV34" t="str">
            <v>DS</v>
          </cell>
          <cell r="BW34">
            <v>7</v>
          </cell>
          <cell r="BX34">
            <v>40</v>
          </cell>
          <cell r="BY34">
            <v>15</v>
          </cell>
          <cell r="BZ34">
            <v>1</v>
          </cell>
          <cell r="CA34">
            <v>10</v>
          </cell>
          <cell r="CB34">
            <v>1.9790000000000001</v>
          </cell>
          <cell r="CC34">
            <v>1.8983616102372702</v>
          </cell>
          <cell r="CD34">
            <v>0</v>
          </cell>
          <cell r="CE34">
            <v>0</v>
          </cell>
          <cell r="CF34">
            <v>0</v>
          </cell>
          <cell r="CG34">
            <v>0</v>
          </cell>
          <cell r="CH34">
            <v>0</v>
          </cell>
          <cell r="CI34">
            <v>0</v>
          </cell>
          <cell r="CJ34">
            <v>0</v>
          </cell>
          <cell r="CK34">
            <v>0</v>
          </cell>
          <cell r="CL34">
            <v>0</v>
          </cell>
          <cell r="CM34">
            <v>0</v>
          </cell>
          <cell r="CN34">
            <v>0</v>
          </cell>
          <cell r="CO34">
            <v>0</v>
          </cell>
          <cell r="CP34">
            <v>0</v>
          </cell>
          <cell r="CQ34">
            <v>1.8983616102372702</v>
          </cell>
          <cell r="CR34">
            <v>0</v>
          </cell>
          <cell r="CS34">
            <v>1</v>
          </cell>
          <cell r="CT34">
            <v>0</v>
          </cell>
          <cell r="CU34">
            <v>0</v>
          </cell>
          <cell r="CV34">
            <v>9</v>
          </cell>
          <cell r="CW34">
            <v>27</v>
          </cell>
          <cell r="CX34">
            <v>54</v>
          </cell>
          <cell r="CY34">
            <v>1.1000000000000001</v>
          </cell>
          <cell r="CZ34">
            <v>1.2</v>
          </cell>
          <cell r="DA34">
            <v>1.1000000000000001</v>
          </cell>
          <cell r="DB34">
            <v>400</v>
          </cell>
          <cell r="DC34">
            <v>188</v>
          </cell>
          <cell r="DD34">
            <v>104</v>
          </cell>
          <cell r="DE34">
            <v>30</v>
          </cell>
          <cell r="DF34">
            <v>46</v>
          </cell>
          <cell r="DG34">
            <v>8</v>
          </cell>
          <cell r="DH34">
            <v>4</v>
          </cell>
          <cell r="DI34">
            <v>20</v>
          </cell>
        </row>
        <row r="35">
          <cell r="A35" t="str">
            <v>RS 036</v>
          </cell>
          <cell r="B35">
            <v>36</v>
          </cell>
          <cell r="C35" t="str">
            <v>C</v>
          </cell>
          <cell r="D35" t="str">
            <v>T</v>
          </cell>
          <cell r="E35" t="str">
            <v>Balaka Market - Chingeni</v>
          </cell>
          <cell r="F35" t="str">
            <v>M01</v>
          </cell>
          <cell r="G35">
            <v>33</v>
          </cell>
          <cell r="H35">
            <v>4.7</v>
          </cell>
          <cell r="I35" t="str">
            <v>F</v>
          </cell>
          <cell r="J35" t="str">
            <v>MACHINGA</v>
          </cell>
          <cell r="K35">
            <v>8</v>
          </cell>
          <cell r="L35">
            <v>0</v>
          </cell>
          <cell r="W35">
            <v>71</v>
          </cell>
          <cell r="X35" t="str">
            <v>AC</v>
          </cell>
          <cell r="Y35">
            <v>125</v>
          </cell>
          <cell r="Z35" t="str">
            <v>SB</v>
          </cell>
          <cell r="AA35">
            <v>150</v>
          </cell>
          <cell r="AB35" t="str">
            <v>GR</v>
          </cell>
          <cell r="AC35">
            <v>10</v>
          </cell>
          <cell r="AD35" t="str">
            <v>VR</v>
          </cell>
          <cell r="AE35">
            <v>89</v>
          </cell>
          <cell r="AF35" t="str">
            <v>AO</v>
          </cell>
          <cell r="AG35" t="str">
            <v>AC</v>
          </cell>
          <cell r="AH35">
            <v>50</v>
          </cell>
          <cell r="AI35">
            <v>0</v>
          </cell>
          <cell r="AJ35">
            <v>0</v>
          </cell>
          <cell r="AK35">
            <v>0</v>
          </cell>
          <cell r="AL35">
            <v>0</v>
          </cell>
          <cell r="AM35">
            <v>6</v>
          </cell>
          <cell r="AN35">
            <v>0</v>
          </cell>
          <cell r="BO35" t="str">
            <v>RS 036</v>
          </cell>
          <cell r="BP35">
            <v>4.7</v>
          </cell>
          <cell r="BQ35">
            <v>6</v>
          </cell>
          <cell r="BR35" t="str">
            <v>F</v>
          </cell>
          <cell r="BS35" t="str">
            <v>C</v>
          </cell>
          <cell r="BT35">
            <v>0</v>
          </cell>
          <cell r="BU35" t="str">
            <v>AC</v>
          </cell>
          <cell r="BV35" t="str">
            <v>AC</v>
          </cell>
          <cell r="BW35">
            <v>6</v>
          </cell>
          <cell r="BX35">
            <v>40</v>
          </cell>
          <cell r="BY35">
            <v>40</v>
          </cell>
          <cell r="BZ35">
            <v>1</v>
          </cell>
          <cell r="CA35">
            <v>10</v>
          </cell>
          <cell r="CB35">
            <v>2.6040000000000001</v>
          </cell>
          <cell r="CC35">
            <v>3.05</v>
          </cell>
          <cell r="CD35">
            <v>60</v>
          </cell>
          <cell r="CE35">
            <v>25</v>
          </cell>
          <cell r="CF35">
            <v>10</v>
          </cell>
          <cell r="CG35">
            <v>50</v>
          </cell>
          <cell r="CH35">
            <v>15</v>
          </cell>
          <cell r="CI35">
            <v>0.3</v>
          </cell>
          <cell r="CJ35">
            <v>1E-3</v>
          </cell>
          <cell r="CK35">
            <v>10</v>
          </cell>
          <cell r="CL35">
            <v>10</v>
          </cell>
          <cell r="CM35">
            <v>0.16653153846153848</v>
          </cell>
          <cell r="CN35">
            <v>0.16653153846153848</v>
          </cell>
          <cell r="CO35">
            <v>0</v>
          </cell>
          <cell r="CP35">
            <v>0</v>
          </cell>
          <cell r="CQ35">
            <v>3.2165315384615383</v>
          </cell>
          <cell r="CR35">
            <v>10</v>
          </cell>
          <cell r="CS35">
            <v>1</v>
          </cell>
          <cell r="CT35">
            <v>0</v>
          </cell>
          <cell r="CU35">
            <v>0</v>
          </cell>
          <cell r="CV35">
            <v>9</v>
          </cell>
          <cell r="CW35">
            <v>27</v>
          </cell>
          <cell r="CX35">
            <v>54</v>
          </cell>
          <cell r="CY35">
            <v>2</v>
          </cell>
          <cell r="CZ35">
            <v>1.5</v>
          </cell>
          <cell r="DA35">
            <v>1.3</v>
          </cell>
          <cell r="DB35">
            <v>500</v>
          </cell>
          <cell r="DC35">
            <v>235</v>
          </cell>
          <cell r="DD35">
            <v>130</v>
          </cell>
          <cell r="DE35">
            <v>38</v>
          </cell>
          <cell r="DF35">
            <v>58</v>
          </cell>
          <cell r="DG35">
            <v>10</v>
          </cell>
          <cell r="DH35">
            <v>5</v>
          </cell>
          <cell r="DI35">
            <v>25</v>
          </cell>
        </row>
        <row r="36">
          <cell r="A36" t="str">
            <v>RS 018</v>
          </cell>
          <cell r="B36">
            <v>18</v>
          </cell>
          <cell r="C36" t="str">
            <v>C</v>
          </cell>
          <cell r="D36" t="str">
            <v>T</v>
          </cell>
          <cell r="E36" t="str">
            <v>Chingeni - Senzani</v>
          </cell>
          <cell r="F36" t="str">
            <v>M01</v>
          </cell>
          <cell r="G36">
            <v>34</v>
          </cell>
          <cell r="H36">
            <v>14.8</v>
          </cell>
          <cell r="I36" t="str">
            <v>R</v>
          </cell>
          <cell r="J36" t="str">
            <v>NTCHEU</v>
          </cell>
          <cell r="K36">
            <v>8</v>
          </cell>
          <cell r="L36">
            <v>0</v>
          </cell>
          <cell r="W36">
            <v>89</v>
          </cell>
          <cell r="X36" t="str">
            <v>DS</v>
          </cell>
          <cell r="Y36">
            <v>200</v>
          </cell>
          <cell r="Z36" t="str">
            <v>SB</v>
          </cell>
          <cell r="AA36">
            <v>200</v>
          </cell>
          <cell r="AB36" t="str">
            <v>GR</v>
          </cell>
          <cell r="AC36">
            <v>16</v>
          </cell>
          <cell r="AD36" t="str">
            <v>VR</v>
          </cell>
          <cell r="AE36">
            <v>0</v>
          </cell>
          <cell r="AF36">
            <v>0</v>
          </cell>
          <cell r="AG36">
            <v>0</v>
          </cell>
          <cell r="AH36">
            <v>0</v>
          </cell>
          <cell r="AI36">
            <v>0</v>
          </cell>
          <cell r="AJ36">
            <v>0</v>
          </cell>
          <cell r="AK36">
            <v>0</v>
          </cell>
          <cell r="AL36">
            <v>0</v>
          </cell>
          <cell r="AM36">
            <v>1</v>
          </cell>
          <cell r="AN36" t="str">
            <v>never resealed</v>
          </cell>
          <cell r="BO36" t="str">
            <v>RS 018</v>
          </cell>
          <cell r="BP36">
            <v>14.8</v>
          </cell>
          <cell r="BQ36">
            <v>6</v>
          </cell>
          <cell r="BR36" t="str">
            <v>R</v>
          </cell>
          <cell r="BS36" t="str">
            <v>C</v>
          </cell>
          <cell r="BT36">
            <v>0</v>
          </cell>
          <cell r="BU36" t="str">
            <v>DS</v>
          </cell>
          <cell r="BV36" t="str">
            <v/>
          </cell>
          <cell r="BW36">
            <v>1</v>
          </cell>
          <cell r="BX36">
            <v>15</v>
          </cell>
          <cell r="BY36" t="str">
            <v/>
          </cell>
          <cell r="BZ36">
            <v>1</v>
          </cell>
          <cell r="CA36">
            <v>16</v>
          </cell>
          <cell r="CB36">
            <v>2.177</v>
          </cell>
          <cell r="CC36">
            <v>2.9262475073313787</v>
          </cell>
          <cell r="CD36">
            <v>0</v>
          </cell>
          <cell r="CE36">
            <v>0</v>
          </cell>
          <cell r="CF36">
            <v>0</v>
          </cell>
          <cell r="CG36">
            <v>0</v>
          </cell>
          <cell r="CH36">
            <v>0</v>
          </cell>
          <cell r="CI36">
            <v>0.9</v>
          </cell>
          <cell r="CJ36">
            <v>3.0000000000000005E-3</v>
          </cell>
          <cell r="CK36">
            <v>3.0000000000000005E-3</v>
          </cell>
          <cell r="CL36">
            <v>0</v>
          </cell>
          <cell r="CM36">
            <v>1.1630769230769234E-3</v>
          </cell>
          <cell r="CN36">
            <v>1.1630769230769234E-3</v>
          </cell>
          <cell r="CO36">
            <v>0</v>
          </cell>
          <cell r="CP36">
            <v>0</v>
          </cell>
          <cell r="CQ36">
            <v>2.9274105842544556</v>
          </cell>
          <cell r="CR36">
            <v>0</v>
          </cell>
          <cell r="CS36">
            <v>1</v>
          </cell>
          <cell r="CT36">
            <v>0</v>
          </cell>
          <cell r="CU36">
            <v>0</v>
          </cell>
          <cell r="CV36">
            <v>9</v>
          </cell>
          <cell r="CW36">
            <v>9</v>
          </cell>
          <cell r="CX36" t="str">
            <v/>
          </cell>
          <cell r="CY36">
            <v>1.5</v>
          </cell>
          <cell r="CZ36">
            <v>1.3</v>
          </cell>
          <cell r="DA36">
            <v>1.1000000000000001</v>
          </cell>
          <cell r="DB36">
            <v>400</v>
          </cell>
          <cell r="DC36">
            <v>188</v>
          </cell>
          <cell r="DD36">
            <v>104</v>
          </cell>
          <cell r="DE36">
            <v>30</v>
          </cell>
          <cell r="DF36">
            <v>46</v>
          </cell>
          <cell r="DG36">
            <v>8</v>
          </cell>
          <cell r="DH36">
            <v>4</v>
          </cell>
          <cell r="DI36">
            <v>20</v>
          </cell>
        </row>
        <row r="37">
          <cell r="A37" t="str">
            <v>RS 105</v>
          </cell>
          <cell r="B37">
            <v>105</v>
          </cell>
          <cell r="C37" t="str">
            <v>S</v>
          </cell>
          <cell r="D37" t="str">
            <v>T</v>
          </cell>
          <cell r="E37" t="str">
            <v>Senzani - Lipaluwa River</v>
          </cell>
          <cell r="F37" t="str">
            <v>M01</v>
          </cell>
          <cell r="G37">
            <v>35</v>
          </cell>
          <cell r="H37">
            <v>26.8</v>
          </cell>
          <cell r="I37" t="str">
            <v>F</v>
          </cell>
          <cell r="J37" t="str">
            <v>NTCHEU</v>
          </cell>
          <cell r="K37">
            <v>8</v>
          </cell>
          <cell r="L37">
            <v>0</v>
          </cell>
          <cell r="W37">
            <v>89</v>
          </cell>
          <cell r="X37" t="str">
            <v>DS</v>
          </cell>
          <cell r="Y37">
            <v>200</v>
          </cell>
          <cell r="Z37" t="str">
            <v>SB</v>
          </cell>
          <cell r="AA37">
            <v>150</v>
          </cell>
          <cell r="AB37" t="str">
            <v>GR</v>
          </cell>
          <cell r="AC37">
            <v>5</v>
          </cell>
          <cell r="AD37" t="str">
            <v>VR</v>
          </cell>
          <cell r="AE37">
            <v>0</v>
          </cell>
          <cell r="AF37">
            <v>0</v>
          </cell>
          <cell r="AG37">
            <v>0</v>
          </cell>
          <cell r="AH37">
            <v>0</v>
          </cell>
          <cell r="AI37">
            <v>0</v>
          </cell>
          <cell r="AJ37">
            <v>0</v>
          </cell>
          <cell r="AK37">
            <v>0</v>
          </cell>
          <cell r="AL37">
            <v>0</v>
          </cell>
          <cell r="AM37">
            <v>1</v>
          </cell>
          <cell r="AN37" t="str">
            <v>never resealed</v>
          </cell>
          <cell r="BO37" t="str">
            <v>RS 105</v>
          </cell>
          <cell r="BP37">
            <v>26.8</v>
          </cell>
          <cell r="BQ37">
            <v>6</v>
          </cell>
          <cell r="BR37" t="str">
            <v>F</v>
          </cell>
          <cell r="BS37" t="str">
            <v>C</v>
          </cell>
          <cell r="BT37">
            <v>0</v>
          </cell>
          <cell r="BU37" t="str">
            <v>DS</v>
          </cell>
          <cell r="BV37" t="str">
            <v/>
          </cell>
          <cell r="BW37">
            <v>1</v>
          </cell>
          <cell r="BX37">
            <v>15</v>
          </cell>
          <cell r="BY37" t="str">
            <v/>
          </cell>
          <cell r="BZ37">
            <v>1</v>
          </cell>
          <cell r="CA37">
            <v>5</v>
          </cell>
          <cell r="CB37">
            <v>1.677</v>
          </cell>
          <cell r="CC37">
            <v>3.31</v>
          </cell>
          <cell r="CD37">
            <v>2.5</v>
          </cell>
          <cell r="CE37">
            <v>0</v>
          </cell>
          <cell r="CF37">
            <v>0</v>
          </cell>
          <cell r="CG37">
            <v>2.5</v>
          </cell>
          <cell r="CH37">
            <v>0</v>
          </cell>
          <cell r="CI37">
            <v>1.1000000000000001</v>
          </cell>
          <cell r="CJ37">
            <v>3.666666666666667E-3</v>
          </cell>
          <cell r="CK37">
            <v>3.666666666666667E-3</v>
          </cell>
          <cell r="CL37">
            <v>0</v>
          </cell>
          <cell r="CM37">
            <v>1.4215384615384617E-3</v>
          </cell>
          <cell r="CN37">
            <v>1.4215384615384617E-3</v>
          </cell>
          <cell r="CO37">
            <v>0</v>
          </cell>
          <cell r="CP37">
            <v>0</v>
          </cell>
          <cell r="CQ37">
            <v>3.3114215384615386</v>
          </cell>
          <cell r="CR37">
            <v>0</v>
          </cell>
          <cell r="CS37">
            <v>1</v>
          </cell>
          <cell r="CT37">
            <v>0</v>
          </cell>
          <cell r="CU37">
            <v>0</v>
          </cell>
          <cell r="CV37">
            <v>9</v>
          </cell>
          <cell r="CW37">
            <v>9</v>
          </cell>
          <cell r="CX37" t="str">
            <v/>
          </cell>
          <cell r="CY37">
            <v>1.1000000000000001</v>
          </cell>
          <cell r="CZ37">
            <v>1.2</v>
          </cell>
          <cell r="DA37">
            <v>1.1000000000000001</v>
          </cell>
          <cell r="DB37">
            <v>400</v>
          </cell>
          <cell r="DC37">
            <v>188</v>
          </cell>
          <cell r="DD37">
            <v>104</v>
          </cell>
          <cell r="DE37">
            <v>30</v>
          </cell>
          <cell r="DF37">
            <v>46</v>
          </cell>
          <cell r="DG37">
            <v>8</v>
          </cell>
          <cell r="DH37">
            <v>4</v>
          </cell>
          <cell r="DI37">
            <v>20</v>
          </cell>
        </row>
        <row r="38">
          <cell r="A38" t="str">
            <v>RS 094</v>
          </cell>
          <cell r="B38">
            <v>94</v>
          </cell>
          <cell r="C38" t="str">
            <v>S</v>
          </cell>
          <cell r="D38" t="str">
            <v>T</v>
          </cell>
          <cell r="E38" t="str">
            <v>Matope - Chigaru</v>
          </cell>
          <cell r="F38" t="str">
            <v>M01</v>
          </cell>
          <cell r="G38">
            <v>36</v>
          </cell>
          <cell r="H38">
            <v>4.9000000000000004</v>
          </cell>
          <cell r="I38" t="str">
            <v>R</v>
          </cell>
          <cell r="J38" t="str">
            <v>BLANTYRE</v>
          </cell>
          <cell r="K38">
            <v>9</v>
          </cell>
          <cell r="L38">
            <v>0</v>
          </cell>
          <cell r="W38">
            <v>89</v>
          </cell>
          <cell r="X38" t="str">
            <v>DS</v>
          </cell>
          <cell r="Y38">
            <v>200</v>
          </cell>
          <cell r="Z38" t="str">
            <v>SB</v>
          </cell>
          <cell r="AA38">
            <v>150</v>
          </cell>
          <cell r="AB38" t="str">
            <v>GR</v>
          </cell>
          <cell r="AC38">
            <v>5</v>
          </cell>
          <cell r="AD38" t="str">
            <v>VR</v>
          </cell>
          <cell r="AE38">
            <v>0</v>
          </cell>
          <cell r="AF38">
            <v>0</v>
          </cell>
          <cell r="AG38">
            <v>0</v>
          </cell>
          <cell r="AH38">
            <v>0</v>
          </cell>
          <cell r="AI38">
            <v>0</v>
          </cell>
          <cell r="AJ38">
            <v>0</v>
          </cell>
          <cell r="AK38">
            <v>0</v>
          </cell>
          <cell r="AL38">
            <v>0</v>
          </cell>
          <cell r="AM38">
            <v>1</v>
          </cell>
          <cell r="AN38" t="str">
            <v>never resealed</v>
          </cell>
          <cell r="BO38" t="str">
            <v>RS 094</v>
          </cell>
          <cell r="BP38">
            <v>4.9000000000000004</v>
          </cell>
          <cell r="BQ38">
            <v>6</v>
          </cell>
          <cell r="BR38" t="str">
            <v>R</v>
          </cell>
          <cell r="BS38" t="str">
            <v>C</v>
          </cell>
          <cell r="BT38">
            <v>0</v>
          </cell>
          <cell r="BU38" t="str">
            <v>DS</v>
          </cell>
          <cell r="BV38" t="str">
            <v/>
          </cell>
          <cell r="BW38">
            <v>1</v>
          </cell>
          <cell r="BX38">
            <v>15</v>
          </cell>
          <cell r="BY38" t="str">
            <v/>
          </cell>
          <cell r="BZ38">
            <v>1</v>
          </cell>
          <cell r="CA38">
            <v>5</v>
          </cell>
          <cell r="CB38">
            <v>1.677</v>
          </cell>
          <cell r="CC38">
            <v>2.868769501466276</v>
          </cell>
          <cell r="CD38">
            <v>0</v>
          </cell>
          <cell r="CE38">
            <v>0</v>
          </cell>
          <cell r="CF38">
            <v>0</v>
          </cell>
          <cell r="CG38">
            <v>0</v>
          </cell>
          <cell r="CH38">
            <v>0</v>
          </cell>
          <cell r="CI38">
            <v>0.21</v>
          </cell>
          <cell r="CJ38">
            <v>7.000000000000001E-4</v>
          </cell>
          <cell r="CK38">
            <v>7.000000000000001E-4</v>
          </cell>
          <cell r="CL38">
            <v>0</v>
          </cell>
          <cell r="CM38">
            <v>2.7138461538461539E-4</v>
          </cell>
          <cell r="CN38">
            <v>2.7138461538461539E-4</v>
          </cell>
          <cell r="CO38">
            <v>0</v>
          </cell>
          <cell r="CP38">
            <v>0</v>
          </cell>
          <cell r="CQ38">
            <v>2.8690408860816605</v>
          </cell>
          <cell r="CR38">
            <v>0</v>
          </cell>
          <cell r="CS38">
            <v>1</v>
          </cell>
          <cell r="CT38">
            <v>0</v>
          </cell>
          <cell r="CU38">
            <v>0</v>
          </cell>
          <cell r="CV38">
            <v>9</v>
          </cell>
          <cell r="CW38">
            <v>9</v>
          </cell>
          <cell r="CX38" t="str">
            <v/>
          </cell>
          <cell r="CY38">
            <v>1.1000000000000001</v>
          </cell>
          <cell r="CZ38">
            <v>1.2</v>
          </cell>
          <cell r="DA38">
            <v>1</v>
          </cell>
          <cell r="DB38">
            <v>400</v>
          </cell>
          <cell r="DC38">
            <v>188</v>
          </cell>
          <cell r="DD38">
            <v>104</v>
          </cell>
          <cell r="DE38">
            <v>30</v>
          </cell>
          <cell r="DF38">
            <v>46</v>
          </cell>
          <cell r="DG38">
            <v>8</v>
          </cell>
          <cell r="DH38">
            <v>4</v>
          </cell>
          <cell r="DI38">
            <v>20</v>
          </cell>
        </row>
        <row r="39">
          <cell r="A39" t="str">
            <v>RS 090</v>
          </cell>
          <cell r="B39">
            <v>90</v>
          </cell>
          <cell r="C39" t="str">
            <v>S</v>
          </cell>
          <cell r="D39" t="str">
            <v>T</v>
          </cell>
          <cell r="E39" t="str">
            <v>Chigaru - Ndeka</v>
          </cell>
          <cell r="F39" t="str">
            <v>M01</v>
          </cell>
          <cell r="G39">
            <v>37</v>
          </cell>
          <cell r="H39">
            <v>12</v>
          </cell>
          <cell r="I39" t="str">
            <v>R</v>
          </cell>
          <cell r="J39" t="str">
            <v>BLANTYRE</v>
          </cell>
          <cell r="K39">
            <v>9</v>
          </cell>
          <cell r="L39">
            <v>0</v>
          </cell>
          <cell r="W39">
            <v>87</v>
          </cell>
          <cell r="X39" t="str">
            <v>DS</v>
          </cell>
          <cell r="Y39">
            <v>200</v>
          </cell>
          <cell r="Z39" t="str">
            <v>GR</v>
          </cell>
          <cell r="AA39">
            <v>200</v>
          </cell>
          <cell r="AB39" t="str">
            <v>GR</v>
          </cell>
          <cell r="AC39">
            <v>16</v>
          </cell>
          <cell r="AD39" t="str">
            <v>VR</v>
          </cell>
          <cell r="AE39">
            <v>0</v>
          </cell>
          <cell r="AF39">
            <v>0</v>
          </cell>
          <cell r="AG39">
            <v>0</v>
          </cell>
          <cell r="AH39">
            <v>0</v>
          </cell>
          <cell r="AI39">
            <v>0</v>
          </cell>
          <cell r="AJ39">
            <v>0</v>
          </cell>
          <cell r="AK39">
            <v>0</v>
          </cell>
          <cell r="AL39">
            <v>0</v>
          </cell>
          <cell r="AM39">
            <v>1</v>
          </cell>
          <cell r="AN39" t="str">
            <v>never resealed</v>
          </cell>
          <cell r="BO39" t="str">
            <v>RS 090</v>
          </cell>
          <cell r="BP39">
            <v>12</v>
          </cell>
          <cell r="BQ39">
            <v>6.7</v>
          </cell>
          <cell r="BR39" t="str">
            <v>R</v>
          </cell>
          <cell r="BS39" t="str">
            <v>C</v>
          </cell>
          <cell r="BT39">
            <v>0</v>
          </cell>
          <cell r="BU39" t="str">
            <v>DS</v>
          </cell>
          <cell r="BV39" t="str">
            <v/>
          </cell>
          <cell r="BW39">
            <v>1</v>
          </cell>
          <cell r="BX39">
            <v>15</v>
          </cell>
          <cell r="BY39" t="str">
            <v/>
          </cell>
          <cell r="BZ39">
            <v>1</v>
          </cell>
          <cell r="CA39">
            <v>16</v>
          </cell>
          <cell r="CB39">
            <v>1.9770000000000001</v>
          </cell>
          <cell r="CC39">
            <v>3.1605583577712615</v>
          </cell>
          <cell r="CD39">
            <v>40</v>
          </cell>
          <cell r="CE39">
            <v>12</v>
          </cell>
          <cell r="CF39">
            <v>0</v>
          </cell>
          <cell r="CG39">
            <v>40</v>
          </cell>
          <cell r="CH39">
            <v>12</v>
          </cell>
          <cell r="CI39">
            <v>0.67</v>
          </cell>
          <cell r="CJ39">
            <v>2E-3</v>
          </cell>
          <cell r="CK39">
            <v>2E-3</v>
          </cell>
          <cell r="CL39">
            <v>0</v>
          </cell>
          <cell r="CM39">
            <v>7.7538461538461539E-4</v>
          </cell>
          <cell r="CN39">
            <v>7.7538461538461539E-4</v>
          </cell>
          <cell r="CO39">
            <v>0</v>
          </cell>
          <cell r="CP39">
            <v>0</v>
          </cell>
          <cell r="CQ39">
            <v>3.1613337423866459</v>
          </cell>
          <cell r="CR39">
            <v>10</v>
          </cell>
          <cell r="CS39">
            <v>1</v>
          </cell>
          <cell r="CT39">
            <v>0</v>
          </cell>
          <cell r="CU39">
            <v>0</v>
          </cell>
          <cell r="CV39">
            <v>11</v>
          </cell>
          <cell r="CW39">
            <v>11</v>
          </cell>
          <cell r="CX39" t="str">
            <v/>
          </cell>
          <cell r="CY39">
            <v>2</v>
          </cell>
          <cell r="CZ39">
            <v>2</v>
          </cell>
          <cell r="DA39">
            <v>1</v>
          </cell>
          <cell r="DB39">
            <v>400</v>
          </cell>
          <cell r="DC39">
            <v>188</v>
          </cell>
          <cell r="DD39">
            <v>104</v>
          </cell>
          <cell r="DE39">
            <v>30</v>
          </cell>
          <cell r="DF39">
            <v>46</v>
          </cell>
          <cell r="DG39">
            <v>8</v>
          </cell>
          <cell r="DH39">
            <v>4</v>
          </cell>
          <cell r="DI39">
            <v>20</v>
          </cell>
        </row>
        <row r="40">
          <cell r="A40" t="str">
            <v>RS 098</v>
          </cell>
          <cell r="B40">
            <v>98</v>
          </cell>
          <cell r="C40" t="str">
            <v>S</v>
          </cell>
          <cell r="D40" t="str">
            <v>T</v>
          </cell>
          <cell r="E40" t="str">
            <v>Ndeka - Lirangwe</v>
          </cell>
          <cell r="F40" t="str">
            <v>M01</v>
          </cell>
          <cell r="G40">
            <v>38</v>
          </cell>
          <cell r="H40">
            <v>10.9</v>
          </cell>
          <cell r="I40" t="str">
            <v>R</v>
          </cell>
          <cell r="J40" t="str">
            <v>BLANTYRE</v>
          </cell>
          <cell r="K40">
            <v>9</v>
          </cell>
          <cell r="L40">
            <v>0</v>
          </cell>
          <cell r="W40">
            <v>89</v>
          </cell>
          <cell r="X40" t="str">
            <v>DS</v>
          </cell>
          <cell r="Y40">
            <v>200</v>
          </cell>
          <cell r="Z40" t="str">
            <v>SB</v>
          </cell>
          <cell r="AA40">
            <v>150</v>
          </cell>
          <cell r="AB40" t="str">
            <v>GR</v>
          </cell>
          <cell r="AC40">
            <v>5</v>
          </cell>
          <cell r="AD40" t="str">
            <v>VR</v>
          </cell>
          <cell r="AE40">
            <v>0</v>
          </cell>
          <cell r="AF40">
            <v>0</v>
          </cell>
          <cell r="AG40">
            <v>0</v>
          </cell>
          <cell r="AH40">
            <v>0</v>
          </cell>
          <cell r="AI40">
            <v>0</v>
          </cell>
          <cell r="AJ40">
            <v>0</v>
          </cell>
          <cell r="AK40">
            <v>0</v>
          </cell>
          <cell r="AL40">
            <v>0</v>
          </cell>
          <cell r="AM40">
            <v>1</v>
          </cell>
          <cell r="AN40" t="str">
            <v>never resealed</v>
          </cell>
          <cell r="BO40" t="str">
            <v>RS 098</v>
          </cell>
          <cell r="BP40">
            <v>10.9</v>
          </cell>
          <cell r="BQ40">
            <v>6.7</v>
          </cell>
          <cell r="BR40" t="str">
            <v>R</v>
          </cell>
          <cell r="BS40" t="str">
            <v>C</v>
          </cell>
          <cell r="BT40">
            <v>0</v>
          </cell>
          <cell r="BU40" t="str">
            <v>DS</v>
          </cell>
          <cell r="BV40" t="str">
            <v/>
          </cell>
          <cell r="BW40">
            <v>1</v>
          </cell>
          <cell r="BX40">
            <v>15</v>
          </cell>
          <cell r="BY40" t="str">
            <v/>
          </cell>
          <cell r="BZ40">
            <v>1</v>
          </cell>
          <cell r="CA40">
            <v>5</v>
          </cell>
          <cell r="CB40">
            <v>1.677</v>
          </cell>
          <cell r="CC40">
            <v>3.1</v>
          </cell>
          <cell r="CD40">
            <v>20</v>
          </cell>
          <cell r="CE40">
            <v>0</v>
          </cell>
          <cell r="CF40">
            <v>0</v>
          </cell>
          <cell r="CG40">
            <v>20</v>
          </cell>
          <cell r="CH40">
            <v>0</v>
          </cell>
          <cell r="CI40">
            <v>0.2</v>
          </cell>
          <cell r="CJ40">
            <v>5.9701492537313444E-4</v>
          </cell>
          <cell r="CK40">
            <v>5.9701492537313444E-4</v>
          </cell>
          <cell r="CL40">
            <v>0</v>
          </cell>
          <cell r="CM40">
            <v>2.3145809414466134E-4</v>
          </cell>
          <cell r="CN40">
            <v>2.3145809414466134E-4</v>
          </cell>
          <cell r="CO40">
            <v>0</v>
          </cell>
          <cell r="CP40">
            <v>0</v>
          </cell>
          <cell r="CQ40">
            <v>3.1002314580941448</v>
          </cell>
          <cell r="CR40">
            <v>15</v>
          </cell>
          <cell r="CS40">
            <v>1</v>
          </cell>
          <cell r="CT40">
            <v>0</v>
          </cell>
          <cell r="CU40">
            <v>0</v>
          </cell>
          <cell r="CV40">
            <v>9</v>
          </cell>
          <cell r="CW40">
            <v>9</v>
          </cell>
          <cell r="CX40" t="str">
            <v/>
          </cell>
          <cell r="CY40">
            <v>2</v>
          </cell>
          <cell r="CZ40">
            <v>2</v>
          </cell>
          <cell r="DA40">
            <v>1.3</v>
          </cell>
          <cell r="DB40">
            <v>600</v>
          </cell>
          <cell r="DC40">
            <v>282</v>
          </cell>
          <cell r="DD40">
            <v>156</v>
          </cell>
          <cell r="DE40">
            <v>45</v>
          </cell>
          <cell r="DF40">
            <v>69</v>
          </cell>
          <cell r="DG40">
            <v>12</v>
          </cell>
          <cell r="DH40">
            <v>6</v>
          </cell>
          <cell r="DI40">
            <v>30</v>
          </cell>
        </row>
        <row r="41">
          <cell r="A41" t="str">
            <v>RS 096</v>
          </cell>
          <cell r="B41">
            <v>96</v>
          </cell>
          <cell r="C41" t="str">
            <v>S</v>
          </cell>
          <cell r="D41" t="str">
            <v>T</v>
          </cell>
          <cell r="E41" t="str">
            <v>Lirangwe - Chirimba</v>
          </cell>
          <cell r="F41" t="str">
            <v>M01</v>
          </cell>
          <cell r="G41">
            <v>39</v>
          </cell>
          <cell r="H41">
            <v>22.5</v>
          </cell>
          <cell r="I41" t="str">
            <v>R</v>
          </cell>
          <cell r="J41" t="str">
            <v>BLANTYRE</v>
          </cell>
          <cell r="K41">
            <v>9</v>
          </cell>
          <cell r="L41">
            <v>0</v>
          </cell>
          <cell r="W41">
            <v>89</v>
          </cell>
          <cell r="X41" t="str">
            <v>DS</v>
          </cell>
          <cell r="Y41">
            <v>200</v>
          </cell>
          <cell r="Z41" t="str">
            <v>SB</v>
          </cell>
          <cell r="AA41">
            <v>150</v>
          </cell>
          <cell r="AB41" t="str">
            <v>GR</v>
          </cell>
          <cell r="AC41">
            <v>5</v>
          </cell>
          <cell r="AD41" t="str">
            <v>VR</v>
          </cell>
          <cell r="AE41">
            <v>0</v>
          </cell>
          <cell r="AF41">
            <v>0</v>
          </cell>
          <cell r="AG41">
            <v>0</v>
          </cell>
          <cell r="AH41">
            <v>0</v>
          </cell>
          <cell r="AI41">
            <v>0</v>
          </cell>
          <cell r="AJ41">
            <v>0</v>
          </cell>
          <cell r="AK41">
            <v>0</v>
          </cell>
          <cell r="AL41">
            <v>0</v>
          </cell>
          <cell r="AM41">
            <v>1</v>
          </cell>
          <cell r="AN41" t="str">
            <v>never resealed</v>
          </cell>
          <cell r="BO41" t="str">
            <v>RS 096</v>
          </cell>
          <cell r="BP41">
            <v>22.5</v>
          </cell>
          <cell r="BQ41">
            <v>6.7</v>
          </cell>
          <cell r="BR41" t="str">
            <v>R</v>
          </cell>
          <cell r="BS41" t="str">
            <v>C</v>
          </cell>
          <cell r="BT41">
            <v>0</v>
          </cell>
          <cell r="BU41" t="str">
            <v>DS</v>
          </cell>
          <cell r="BV41" t="str">
            <v/>
          </cell>
          <cell r="BW41">
            <v>1</v>
          </cell>
          <cell r="BX41">
            <v>15</v>
          </cell>
          <cell r="BY41" t="str">
            <v/>
          </cell>
          <cell r="BZ41">
            <v>1</v>
          </cell>
          <cell r="CA41">
            <v>5</v>
          </cell>
          <cell r="CB41">
            <v>1.677</v>
          </cell>
          <cell r="CC41">
            <v>3.0335055718475079</v>
          </cell>
          <cell r="CD41">
            <v>60</v>
          </cell>
          <cell r="CE41">
            <v>12</v>
          </cell>
          <cell r="CF41">
            <v>0</v>
          </cell>
          <cell r="CG41">
            <v>60</v>
          </cell>
          <cell r="CH41">
            <v>12</v>
          </cell>
          <cell r="CI41">
            <v>2</v>
          </cell>
          <cell r="CJ41">
            <v>5.9701492537313433E-3</v>
          </cell>
          <cell r="CK41">
            <v>5.9701492537313433E-3</v>
          </cell>
          <cell r="CL41">
            <v>0</v>
          </cell>
          <cell r="CM41">
            <v>2.3145809414466131E-3</v>
          </cell>
          <cell r="CN41">
            <v>2.3145809414466131E-3</v>
          </cell>
          <cell r="CO41">
            <v>0</v>
          </cell>
          <cell r="CP41">
            <v>0</v>
          </cell>
          <cell r="CQ41">
            <v>3.0358201527889546</v>
          </cell>
          <cell r="CR41">
            <v>5</v>
          </cell>
          <cell r="CS41">
            <v>1</v>
          </cell>
          <cell r="CT41">
            <v>0</v>
          </cell>
          <cell r="CU41">
            <v>0</v>
          </cell>
          <cell r="CV41">
            <v>9</v>
          </cell>
          <cell r="CW41">
            <v>9</v>
          </cell>
          <cell r="CX41" t="str">
            <v/>
          </cell>
          <cell r="CY41">
            <v>1.5</v>
          </cell>
          <cell r="CZ41">
            <v>2</v>
          </cell>
          <cell r="DA41">
            <v>2</v>
          </cell>
          <cell r="DB41">
            <v>600</v>
          </cell>
          <cell r="DC41">
            <v>282</v>
          </cell>
          <cell r="DD41">
            <v>156</v>
          </cell>
          <cell r="DE41">
            <v>45</v>
          </cell>
          <cell r="DF41">
            <v>69</v>
          </cell>
          <cell r="DG41">
            <v>12</v>
          </cell>
          <cell r="DH41">
            <v>6</v>
          </cell>
          <cell r="DI41">
            <v>30</v>
          </cell>
        </row>
        <row r="42">
          <cell r="A42" t="str">
            <v>RS 095</v>
          </cell>
          <cell r="B42">
            <v>95</v>
          </cell>
          <cell r="C42" t="str">
            <v>S</v>
          </cell>
          <cell r="D42" t="str">
            <v>T</v>
          </cell>
          <cell r="E42" t="str">
            <v>Chirimba - Blantyre</v>
          </cell>
          <cell r="F42" t="str">
            <v>M01</v>
          </cell>
          <cell r="G42">
            <v>40</v>
          </cell>
          <cell r="H42">
            <v>10.4</v>
          </cell>
          <cell r="I42" t="str">
            <v>R</v>
          </cell>
          <cell r="J42" t="str">
            <v>BLANTYRE</v>
          </cell>
          <cell r="K42">
            <v>9</v>
          </cell>
          <cell r="L42">
            <v>0</v>
          </cell>
          <cell r="W42">
            <v>89</v>
          </cell>
          <cell r="X42" t="str">
            <v>DS</v>
          </cell>
          <cell r="Y42">
            <v>200</v>
          </cell>
          <cell r="Z42" t="str">
            <v>SB</v>
          </cell>
          <cell r="AA42">
            <v>150</v>
          </cell>
          <cell r="AB42" t="str">
            <v>GR</v>
          </cell>
          <cell r="AC42">
            <v>5</v>
          </cell>
          <cell r="AD42" t="str">
            <v>VR</v>
          </cell>
          <cell r="AE42">
            <v>0</v>
          </cell>
          <cell r="AF42">
            <v>0</v>
          </cell>
          <cell r="AG42">
            <v>0</v>
          </cell>
          <cell r="AH42">
            <v>0</v>
          </cell>
          <cell r="AI42">
            <v>0</v>
          </cell>
          <cell r="AJ42">
            <v>0</v>
          </cell>
          <cell r="AK42">
            <v>0</v>
          </cell>
          <cell r="AL42">
            <v>0</v>
          </cell>
          <cell r="AM42">
            <v>1</v>
          </cell>
          <cell r="AN42" t="str">
            <v>never resealed</v>
          </cell>
          <cell r="BO42" t="str">
            <v>RS 095</v>
          </cell>
          <cell r="BP42">
            <v>10.4</v>
          </cell>
          <cell r="BQ42">
            <v>6.7</v>
          </cell>
          <cell r="BR42" t="str">
            <v>R</v>
          </cell>
          <cell r="BS42" t="str">
            <v>C</v>
          </cell>
          <cell r="BT42">
            <v>0</v>
          </cell>
          <cell r="BU42" t="str">
            <v>DS</v>
          </cell>
          <cell r="BV42" t="str">
            <v/>
          </cell>
          <cell r="BW42">
            <v>1</v>
          </cell>
          <cell r="BX42">
            <v>15</v>
          </cell>
          <cell r="BY42" t="str">
            <v/>
          </cell>
          <cell r="BZ42">
            <v>1</v>
          </cell>
          <cell r="CA42">
            <v>5</v>
          </cell>
          <cell r="CB42">
            <v>1.677</v>
          </cell>
          <cell r="CC42">
            <v>4.1772032258064513</v>
          </cell>
          <cell r="CD42">
            <v>75</v>
          </cell>
          <cell r="CE42">
            <v>38</v>
          </cell>
          <cell r="CF42">
            <v>23</v>
          </cell>
          <cell r="CG42">
            <v>52</v>
          </cell>
          <cell r="CH42">
            <v>15</v>
          </cell>
          <cell r="CI42">
            <v>2.5</v>
          </cell>
          <cell r="CJ42">
            <v>7.462686567164179E-3</v>
          </cell>
          <cell r="CK42">
            <v>10</v>
          </cell>
          <cell r="CL42">
            <v>23</v>
          </cell>
          <cell r="CM42">
            <v>0.25497244546498277</v>
          </cell>
          <cell r="CN42">
            <v>0.25497244546498277</v>
          </cell>
          <cell r="CO42">
            <v>0</v>
          </cell>
          <cell r="CP42">
            <v>0</v>
          </cell>
          <cell r="CQ42">
            <v>4.432175671271434</v>
          </cell>
          <cell r="CR42">
            <v>5</v>
          </cell>
          <cell r="CS42">
            <v>1</v>
          </cell>
          <cell r="CT42">
            <v>0</v>
          </cell>
          <cell r="CU42">
            <v>0</v>
          </cell>
          <cell r="CV42">
            <v>9</v>
          </cell>
          <cell r="CW42">
            <v>9</v>
          </cell>
          <cell r="CX42" t="str">
            <v/>
          </cell>
          <cell r="CY42">
            <v>3</v>
          </cell>
          <cell r="CZ42">
            <v>2.8</v>
          </cell>
          <cell r="DA42">
            <v>1.1000000000000001</v>
          </cell>
          <cell r="DB42">
            <v>900</v>
          </cell>
          <cell r="DC42">
            <v>423</v>
          </cell>
          <cell r="DD42">
            <v>234</v>
          </cell>
          <cell r="DE42">
            <v>68</v>
          </cell>
          <cell r="DF42">
            <v>104</v>
          </cell>
          <cell r="DG42">
            <v>18</v>
          </cell>
          <cell r="DH42">
            <v>9</v>
          </cell>
          <cell r="DI42">
            <v>45</v>
          </cell>
        </row>
        <row r="43">
          <cell r="A43" t="str">
            <v>RS 092</v>
          </cell>
          <cell r="B43">
            <v>92</v>
          </cell>
          <cell r="C43" t="str">
            <v>S</v>
          </cell>
          <cell r="D43" t="str">
            <v>T</v>
          </cell>
          <cell r="E43" t="str">
            <v>Blantyre - Bango</v>
          </cell>
          <cell r="F43" t="str">
            <v>M01</v>
          </cell>
          <cell r="G43">
            <v>41</v>
          </cell>
          <cell r="H43">
            <v>7.4</v>
          </cell>
          <cell r="I43" t="str">
            <v>R</v>
          </cell>
          <cell r="J43" t="str">
            <v>BLANTYRE</v>
          </cell>
          <cell r="K43">
            <v>10</v>
          </cell>
          <cell r="L43">
            <v>0</v>
          </cell>
          <cell r="W43">
            <v>80</v>
          </cell>
          <cell r="X43" t="str">
            <v>DS</v>
          </cell>
          <cell r="Y43">
            <v>150</v>
          </cell>
          <cell r="Z43" t="str">
            <v>SB</v>
          </cell>
          <cell r="AA43">
            <v>150</v>
          </cell>
          <cell r="AB43" t="str">
            <v>GR</v>
          </cell>
          <cell r="AC43">
            <v>12</v>
          </cell>
          <cell r="AD43" t="str">
            <v>VR</v>
          </cell>
          <cell r="AE43">
            <v>0</v>
          </cell>
          <cell r="AF43">
            <v>0</v>
          </cell>
          <cell r="AG43">
            <v>0</v>
          </cell>
          <cell r="AH43">
            <v>0</v>
          </cell>
          <cell r="AI43">
            <v>0</v>
          </cell>
          <cell r="AJ43">
            <v>0</v>
          </cell>
          <cell r="AK43">
            <v>0</v>
          </cell>
          <cell r="AL43">
            <v>0</v>
          </cell>
          <cell r="AM43">
            <v>1</v>
          </cell>
          <cell r="AN43" t="str">
            <v>never resealed</v>
          </cell>
          <cell r="BO43" t="str">
            <v>RS 092</v>
          </cell>
          <cell r="BP43">
            <v>7.4</v>
          </cell>
          <cell r="BQ43">
            <v>6</v>
          </cell>
          <cell r="BR43" t="str">
            <v>R</v>
          </cell>
          <cell r="BS43" t="str">
            <v>C</v>
          </cell>
          <cell r="BT43">
            <v>0</v>
          </cell>
          <cell r="BU43" t="str">
            <v>DS</v>
          </cell>
          <cell r="BV43" t="str">
            <v/>
          </cell>
          <cell r="BW43">
            <v>1</v>
          </cell>
          <cell r="BX43">
            <v>15</v>
          </cell>
          <cell r="BY43" t="str">
            <v/>
          </cell>
          <cell r="BZ43">
            <v>1</v>
          </cell>
          <cell r="CA43">
            <v>12</v>
          </cell>
          <cell r="CB43">
            <v>1.677</v>
          </cell>
          <cell r="CC43">
            <v>5.69</v>
          </cell>
          <cell r="CD43">
            <v>85</v>
          </cell>
          <cell r="CE43">
            <v>51</v>
          </cell>
          <cell r="CF43">
            <v>36</v>
          </cell>
          <cell r="CG43">
            <v>49</v>
          </cell>
          <cell r="CH43">
            <v>15</v>
          </cell>
          <cell r="CI43">
            <v>600</v>
          </cell>
          <cell r="CJ43">
            <v>2</v>
          </cell>
          <cell r="CK43">
            <v>10</v>
          </cell>
          <cell r="CL43">
            <v>36</v>
          </cell>
          <cell r="CM43">
            <v>1.0935384615384616</v>
          </cell>
          <cell r="CN43">
            <v>1.0935384615384616</v>
          </cell>
          <cell r="CO43">
            <v>0</v>
          </cell>
          <cell r="CP43">
            <v>0</v>
          </cell>
          <cell r="CQ43">
            <v>6.7835384615384617</v>
          </cell>
          <cell r="CR43">
            <v>0</v>
          </cell>
          <cell r="CS43">
            <v>1</v>
          </cell>
          <cell r="CT43">
            <v>0</v>
          </cell>
          <cell r="CU43">
            <v>0</v>
          </cell>
          <cell r="CV43">
            <v>18</v>
          </cell>
          <cell r="CW43">
            <v>18</v>
          </cell>
          <cell r="CX43" t="str">
            <v/>
          </cell>
          <cell r="CY43">
            <v>3</v>
          </cell>
          <cell r="CZ43">
            <v>3</v>
          </cell>
          <cell r="DA43">
            <v>2</v>
          </cell>
          <cell r="DB43">
            <v>500</v>
          </cell>
          <cell r="DC43">
            <v>235</v>
          </cell>
          <cell r="DD43">
            <v>130</v>
          </cell>
          <cell r="DE43">
            <v>38</v>
          </cell>
          <cell r="DF43">
            <v>58</v>
          </cell>
          <cell r="DG43">
            <v>10</v>
          </cell>
          <cell r="DH43">
            <v>5</v>
          </cell>
          <cell r="DI43">
            <v>25</v>
          </cell>
        </row>
        <row r="44">
          <cell r="A44" t="str">
            <v>RS 104</v>
          </cell>
          <cell r="B44">
            <v>104</v>
          </cell>
          <cell r="C44" t="str">
            <v>S</v>
          </cell>
          <cell r="D44" t="str">
            <v>T</v>
          </cell>
          <cell r="E44" t="str">
            <v>Bango - Mirale Police Post</v>
          </cell>
          <cell r="F44" t="str">
            <v>M01</v>
          </cell>
          <cell r="G44">
            <v>42</v>
          </cell>
          <cell r="H44">
            <v>11.4</v>
          </cell>
          <cell r="I44" t="str">
            <v>R</v>
          </cell>
          <cell r="J44" t="str">
            <v>BLANTYRE</v>
          </cell>
          <cell r="K44">
            <v>9</v>
          </cell>
          <cell r="L44">
            <v>0</v>
          </cell>
          <cell r="W44">
            <v>80</v>
          </cell>
          <cell r="X44" t="str">
            <v>DS</v>
          </cell>
          <cell r="Y44">
            <v>150</v>
          </cell>
          <cell r="Z44" t="str">
            <v>SB</v>
          </cell>
          <cell r="AA44">
            <v>100</v>
          </cell>
          <cell r="AB44" t="str">
            <v>GR</v>
          </cell>
          <cell r="AC44">
            <v>12</v>
          </cell>
          <cell r="AD44" t="str">
            <v>VR</v>
          </cell>
          <cell r="AE44">
            <v>0</v>
          </cell>
          <cell r="AF44">
            <v>0</v>
          </cell>
          <cell r="AG44">
            <v>0</v>
          </cell>
          <cell r="AH44">
            <v>0</v>
          </cell>
          <cell r="AI44">
            <v>0</v>
          </cell>
          <cell r="AJ44">
            <v>0</v>
          </cell>
          <cell r="AK44">
            <v>0</v>
          </cell>
          <cell r="AL44">
            <v>0</v>
          </cell>
          <cell r="AM44">
            <v>1</v>
          </cell>
          <cell r="AN44" t="str">
            <v>never resealed</v>
          </cell>
          <cell r="BO44" t="str">
            <v>RS 104</v>
          </cell>
          <cell r="BP44">
            <v>11.4</v>
          </cell>
          <cell r="BQ44">
            <v>6</v>
          </cell>
          <cell r="BR44" t="str">
            <v>R</v>
          </cell>
          <cell r="BS44" t="str">
            <v>C</v>
          </cell>
          <cell r="BT44">
            <v>0</v>
          </cell>
          <cell r="BU44" t="str">
            <v>DS</v>
          </cell>
          <cell r="BV44" t="str">
            <v/>
          </cell>
          <cell r="BW44">
            <v>1</v>
          </cell>
          <cell r="BX44">
            <v>15</v>
          </cell>
          <cell r="BY44" t="str">
            <v/>
          </cell>
          <cell r="BZ44">
            <v>1</v>
          </cell>
          <cell r="CA44">
            <v>12</v>
          </cell>
          <cell r="CB44">
            <v>1.177</v>
          </cell>
          <cell r="CC44">
            <v>5.1370979472140768</v>
          </cell>
          <cell r="CD44">
            <v>90</v>
          </cell>
          <cell r="CE44">
            <v>55</v>
          </cell>
          <cell r="CF44">
            <v>40</v>
          </cell>
          <cell r="CG44">
            <v>50</v>
          </cell>
          <cell r="CH44">
            <v>15</v>
          </cell>
          <cell r="CI44">
            <v>25</v>
          </cell>
          <cell r="CJ44">
            <v>8.3333333333333343E-2</v>
          </cell>
          <cell r="CK44">
            <v>10</v>
          </cell>
          <cell r="CL44">
            <v>40</v>
          </cell>
          <cell r="CM44">
            <v>0.39608974358974353</v>
          </cell>
          <cell r="CN44">
            <v>0.39608974358974353</v>
          </cell>
          <cell r="CO44">
            <v>0</v>
          </cell>
          <cell r="CP44">
            <v>0</v>
          </cell>
          <cell r="CQ44">
            <v>5.5331876908038202</v>
          </cell>
          <cell r="CR44">
            <v>60</v>
          </cell>
          <cell r="CS44">
            <v>1</v>
          </cell>
          <cell r="CT44">
            <v>0</v>
          </cell>
          <cell r="CU44">
            <v>0</v>
          </cell>
          <cell r="CV44">
            <v>18</v>
          </cell>
          <cell r="CW44">
            <v>18</v>
          </cell>
          <cell r="CX44" t="str">
            <v/>
          </cell>
          <cell r="CY44">
            <v>2</v>
          </cell>
          <cell r="CZ44">
            <v>2</v>
          </cell>
          <cell r="DA44">
            <v>2</v>
          </cell>
          <cell r="DB44">
            <v>400</v>
          </cell>
          <cell r="DC44">
            <v>188</v>
          </cell>
          <cell r="DD44">
            <v>104</v>
          </cell>
          <cell r="DE44">
            <v>30</v>
          </cell>
          <cell r="DF44">
            <v>46</v>
          </cell>
          <cell r="DG44">
            <v>8</v>
          </cell>
          <cell r="DH44">
            <v>4</v>
          </cell>
          <cell r="DI44">
            <v>20</v>
          </cell>
        </row>
        <row r="45">
          <cell r="A45" t="str">
            <v>RS 093</v>
          </cell>
          <cell r="B45">
            <v>93</v>
          </cell>
          <cell r="C45" t="str">
            <v>S</v>
          </cell>
          <cell r="D45" t="str">
            <v>T</v>
          </cell>
          <cell r="E45" t="str">
            <v>Mirale Police Post - Madziabango</v>
          </cell>
          <cell r="F45" t="str">
            <v>M01</v>
          </cell>
          <cell r="G45">
            <v>43</v>
          </cell>
          <cell r="H45">
            <v>7.9</v>
          </cell>
          <cell r="I45" t="str">
            <v>R</v>
          </cell>
          <cell r="J45" t="str">
            <v>BLANTYRE</v>
          </cell>
          <cell r="K45">
            <v>9</v>
          </cell>
          <cell r="L45">
            <v>0</v>
          </cell>
          <cell r="W45">
            <v>80</v>
          </cell>
          <cell r="X45" t="str">
            <v>DS</v>
          </cell>
          <cell r="Y45">
            <v>150</v>
          </cell>
          <cell r="Z45" t="str">
            <v>SB</v>
          </cell>
          <cell r="AA45">
            <v>150</v>
          </cell>
          <cell r="AB45" t="str">
            <v>GR</v>
          </cell>
          <cell r="AC45">
            <v>12</v>
          </cell>
          <cell r="AD45" t="str">
            <v>VR</v>
          </cell>
          <cell r="AE45">
            <v>0</v>
          </cell>
          <cell r="AF45">
            <v>0</v>
          </cell>
          <cell r="AG45">
            <v>0</v>
          </cell>
          <cell r="AH45">
            <v>0</v>
          </cell>
          <cell r="AI45">
            <v>0</v>
          </cell>
          <cell r="AJ45">
            <v>0</v>
          </cell>
          <cell r="AK45">
            <v>0</v>
          </cell>
          <cell r="AL45">
            <v>0</v>
          </cell>
          <cell r="AM45">
            <v>1</v>
          </cell>
          <cell r="AN45" t="str">
            <v>never resealed</v>
          </cell>
          <cell r="BO45" t="str">
            <v>RS 093</v>
          </cell>
          <cell r="BP45">
            <v>7.9</v>
          </cell>
          <cell r="BQ45">
            <v>6</v>
          </cell>
          <cell r="BR45" t="str">
            <v>R</v>
          </cell>
          <cell r="BS45" t="str">
            <v>C</v>
          </cell>
          <cell r="BT45">
            <v>0</v>
          </cell>
          <cell r="BU45" t="str">
            <v>DS</v>
          </cell>
          <cell r="BV45" t="str">
            <v/>
          </cell>
          <cell r="BW45">
            <v>1</v>
          </cell>
          <cell r="BX45">
            <v>15</v>
          </cell>
          <cell r="BY45" t="str">
            <v/>
          </cell>
          <cell r="BZ45">
            <v>1</v>
          </cell>
          <cell r="CA45">
            <v>12</v>
          </cell>
          <cell r="CB45">
            <v>1.677</v>
          </cell>
          <cell r="CC45">
            <v>6.7552300377042318</v>
          </cell>
          <cell r="CD45">
            <v>85</v>
          </cell>
          <cell r="CE45">
            <v>50</v>
          </cell>
          <cell r="CF45">
            <v>35</v>
          </cell>
          <cell r="CG45">
            <v>50</v>
          </cell>
          <cell r="CH45">
            <v>15</v>
          </cell>
          <cell r="CI45">
            <v>24</v>
          </cell>
          <cell r="CJ45">
            <v>8.0000000000000016E-2</v>
          </cell>
          <cell r="CK45">
            <v>10</v>
          </cell>
          <cell r="CL45">
            <v>35</v>
          </cell>
          <cell r="CM45">
            <v>0.36175384615384615</v>
          </cell>
          <cell r="CN45">
            <v>0.36175384615384615</v>
          </cell>
          <cell r="CO45">
            <v>0</v>
          </cell>
          <cell r="CP45">
            <v>0</v>
          </cell>
          <cell r="CQ45">
            <v>7.1169838838580777</v>
          </cell>
          <cell r="CR45">
            <v>55</v>
          </cell>
          <cell r="CS45">
            <v>1</v>
          </cell>
          <cell r="CT45">
            <v>0</v>
          </cell>
          <cell r="CU45">
            <v>0</v>
          </cell>
          <cell r="CV45">
            <v>18</v>
          </cell>
          <cell r="CW45">
            <v>18</v>
          </cell>
          <cell r="CX45" t="str">
            <v/>
          </cell>
          <cell r="CY45">
            <v>1.8</v>
          </cell>
          <cell r="CZ45">
            <v>2</v>
          </cell>
          <cell r="DA45">
            <v>1.8</v>
          </cell>
          <cell r="DB45">
            <v>400</v>
          </cell>
          <cell r="DC45">
            <v>188</v>
          </cell>
          <cell r="DD45">
            <v>104</v>
          </cell>
          <cell r="DE45">
            <v>30</v>
          </cell>
          <cell r="DF45">
            <v>46</v>
          </cell>
          <cell r="DG45">
            <v>8</v>
          </cell>
          <cell r="DH45">
            <v>4</v>
          </cell>
          <cell r="DI45">
            <v>20</v>
          </cell>
        </row>
        <row r="46">
          <cell r="A46" t="str">
            <v>RS 106</v>
          </cell>
          <cell r="B46">
            <v>106</v>
          </cell>
          <cell r="C46" t="str">
            <v>S</v>
          </cell>
          <cell r="D46" t="str">
            <v>T</v>
          </cell>
          <cell r="E46" t="str">
            <v>Madziabango - Thabwa</v>
          </cell>
          <cell r="F46" t="str">
            <v>M01</v>
          </cell>
          <cell r="G46">
            <v>44</v>
          </cell>
          <cell r="H46">
            <v>11.7</v>
          </cell>
          <cell r="I46" t="str">
            <v>H</v>
          </cell>
          <cell r="J46" t="str">
            <v>CHIKWAWA</v>
          </cell>
          <cell r="K46">
            <v>9</v>
          </cell>
          <cell r="L46">
            <v>0</v>
          </cell>
          <cell r="W46">
            <v>80</v>
          </cell>
          <cell r="X46" t="str">
            <v>DS</v>
          </cell>
          <cell r="Y46">
            <v>150</v>
          </cell>
          <cell r="Z46" t="str">
            <v>SB</v>
          </cell>
          <cell r="AA46">
            <v>100</v>
          </cell>
          <cell r="AB46" t="str">
            <v>GR</v>
          </cell>
          <cell r="AC46">
            <v>12</v>
          </cell>
          <cell r="AD46" t="str">
            <v>VR</v>
          </cell>
          <cell r="AE46">
            <v>0</v>
          </cell>
          <cell r="AF46">
            <v>0</v>
          </cell>
          <cell r="AG46">
            <v>0</v>
          </cell>
          <cell r="AH46">
            <v>0</v>
          </cell>
          <cell r="AI46">
            <v>0</v>
          </cell>
          <cell r="AJ46">
            <v>0</v>
          </cell>
          <cell r="AK46">
            <v>0</v>
          </cell>
          <cell r="AL46">
            <v>0</v>
          </cell>
          <cell r="AM46">
            <v>1</v>
          </cell>
          <cell r="AN46" t="str">
            <v>never resealed</v>
          </cell>
          <cell r="BO46" t="str">
            <v>RS 106</v>
          </cell>
          <cell r="BP46">
            <v>11.7</v>
          </cell>
          <cell r="BQ46">
            <v>6</v>
          </cell>
          <cell r="BR46" t="str">
            <v>H</v>
          </cell>
          <cell r="BS46" t="str">
            <v>C</v>
          </cell>
          <cell r="BT46">
            <v>0</v>
          </cell>
          <cell r="BU46" t="str">
            <v>DS</v>
          </cell>
          <cell r="BV46" t="str">
            <v/>
          </cell>
          <cell r="BW46">
            <v>1</v>
          </cell>
          <cell r="BX46">
            <v>15</v>
          </cell>
          <cell r="BY46" t="str">
            <v/>
          </cell>
          <cell r="BZ46">
            <v>1</v>
          </cell>
          <cell r="CA46">
            <v>12</v>
          </cell>
          <cell r="CB46">
            <v>1.177</v>
          </cell>
          <cell r="CC46">
            <v>6.6103543854972013</v>
          </cell>
          <cell r="CD46">
            <v>80</v>
          </cell>
          <cell r="CE46">
            <v>50</v>
          </cell>
          <cell r="CF46">
            <v>35</v>
          </cell>
          <cell r="CG46">
            <v>45</v>
          </cell>
          <cell r="CH46">
            <v>15</v>
          </cell>
          <cell r="CI46">
            <v>23</v>
          </cell>
          <cell r="CJ46">
            <v>7.6666666666666675E-2</v>
          </cell>
          <cell r="CK46">
            <v>10</v>
          </cell>
          <cell r="CL46">
            <v>35</v>
          </cell>
          <cell r="CM46">
            <v>0.36049487179487183</v>
          </cell>
          <cell r="CN46">
            <v>0.36049487179487183</v>
          </cell>
          <cell r="CO46">
            <v>0</v>
          </cell>
          <cell r="CP46">
            <v>0</v>
          </cell>
          <cell r="CQ46">
            <v>6.9708492572920733</v>
          </cell>
          <cell r="CR46">
            <v>50</v>
          </cell>
          <cell r="CS46">
            <v>1</v>
          </cell>
          <cell r="CT46">
            <v>0</v>
          </cell>
          <cell r="CU46">
            <v>0</v>
          </cell>
          <cell r="CV46">
            <v>18</v>
          </cell>
          <cell r="CW46">
            <v>18</v>
          </cell>
          <cell r="CX46" t="str">
            <v/>
          </cell>
          <cell r="CY46">
            <v>1.5</v>
          </cell>
          <cell r="CZ46">
            <v>2</v>
          </cell>
          <cell r="DA46">
            <v>1.3</v>
          </cell>
          <cell r="DB46">
            <v>300</v>
          </cell>
          <cell r="DC46">
            <v>141</v>
          </cell>
          <cell r="DD46">
            <v>78</v>
          </cell>
          <cell r="DE46">
            <v>23</v>
          </cell>
          <cell r="DF46">
            <v>35</v>
          </cell>
          <cell r="DG46">
            <v>6</v>
          </cell>
          <cell r="DH46">
            <v>3</v>
          </cell>
          <cell r="DI46">
            <v>15</v>
          </cell>
        </row>
        <row r="47">
          <cell r="A47" t="str">
            <v>RS 102</v>
          </cell>
          <cell r="B47">
            <v>102</v>
          </cell>
          <cell r="C47" t="str">
            <v>S</v>
          </cell>
          <cell r="D47" t="str">
            <v>T</v>
          </cell>
          <cell r="E47" t="str">
            <v>Thabwa - Chikwawa</v>
          </cell>
          <cell r="F47" t="str">
            <v>M01</v>
          </cell>
          <cell r="G47">
            <v>45</v>
          </cell>
          <cell r="H47">
            <v>8.3000000000000007</v>
          </cell>
          <cell r="I47" t="str">
            <v>F</v>
          </cell>
          <cell r="J47" t="str">
            <v>CHIKWAWA</v>
          </cell>
          <cell r="K47">
            <v>9</v>
          </cell>
          <cell r="L47">
            <v>0</v>
          </cell>
          <cell r="W47">
            <v>80</v>
          </cell>
          <cell r="X47" t="str">
            <v>DS</v>
          </cell>
          <cell r="Y47">
            <v>150</v>
          </cell>
          <cell r="Z47" t="str">
            <v>SB</v>
          </cell>
          <cell r="AA47">
            <v>100</v>
          </cell>
          <cell r="AB47" t="str">
            <v>GR</v>
          </cell>
          <cell r="AC47">
            <v>12</v>
          </cell>
          <cell r="AD47" t="str">
            <v>VR</v>
          </cell>
          <cell r="AE47">
            <v>0</v>
          </cell>
          <cell r="AF47">
            <v>0</v>
          </cell>
          <cell r="AG47">
            <v>0</v>
          </cell>
          <cell r="AH47">
            <v>0</v>
          </cell>
          <cell r="AI47">
            <v>0</v>
          </cell>
          <cell r="AJ47">
            <v>0</v>
          </cell>
          <cell r="AK47">
            <v>0</v>
          </cell>
          <cell r="AL47">
            <v>0</v>
          </cell>
          <cell r="AM47">
            <v>1</v>
          </cell>
          <cell r="AN47" t="str">
            <v>never resealed</v>
          </cell>
          <cell r="BO47" t="str">
            <v>RS 102</v>
          </cell>
          <cell r="BP47">
            <v>8.3000000000000007</v>
          </cell>
          <cell r="BQ47">
            <v>6</v>
          </cell>
          <cell r="BR47" t="str">
            <v>F</v>
          </cell>
          <cell r="BS47" t="str">
            <v>C</v>
          </cell>
          <cell r="BT47">
            <v>0</v>
          </cell>
          <cell r="BU47" t="str">
            <v>DS</v>
          </cell>
          <cell r="BV47" t="str">
            <v/>
          </cell>
          <cell r="BW47">
            <v>1</v>
          </cell>
          <cell r="BX47">
            <v>15</v>
          </cell>
          <cell r="BY47" t="str">
            <v/>
          </cell>
          <cell r="BZ47">
            <v>1</v>
          </cell>
          <cell r="CA47">
            <v>12</v>
          </cell>
          <cell r="CB47">
            <v>1.177</v>
          </cell>
          <cell r="CC47">
            <v>8.3274964809384162</v>
          </cell>
          <cell r="CD47">
            <v>99</v>
          </cell>
          <cell r="CE47">
            <v>80</v>
          </cell>
          <cell r="CF47">
            <v>65</v>
          </cell>
          <cell r="CG47">
            <v>34</v>
          </cell>
          <cell r="CH47">
            <v>15</v>
          </cell>
          <cell r="CI47">
            <v>85</v>
          </cell>
          <cell r="CJ47">
            <v>0.28333333333333333</v>
          </cell>
          <cell r="CK47">
            <v>10</v>
          </cell>
          <cell r="CL47">
            <v>65</v>
          </cell>
          <cell r="CM47">
            <v>0.63701282051282049</v>
          </cell>
          <cell r="CN47">
            <v>0.63701282051282049</v>
          </cell>
          <cell r="CO47">
            <v>0</v>
          </cell>
          <cell r="CP47">
            <v>0</v>
          </cell>
          <cell r="CQ47">
            <v>8.9645093014512369</v>
          </cell>
          <cell r="CR47">
            <v>75</v>
          </cell>
          <cell r="CS47">
            <v>1</v>
          </cell>
          <cell r="CT47">
            <v>0</v>
          </cell>
          <cell r="CU47">
            <v>0</v>
          </cell>
          <cell r="CV47">
            <v>18</v>
          </cell>
          <cell r="CW47">
            <v>18</v>
          </cell>
          <cell r="CX47" t="str">
            <v/>
          </cell>
          <cell r="CY47">
            <v>1.2</v>
          </cell>
          <cell r="CZ47">
            <v>2</v>
          </cell>
          <cell r="DA47">
            <v>1.1000000000000001</v>
          </cell>
          <cell r="DB47">
            <v>500</v>
          </cell>
          <cell r="DC47">
            <v>235</v>
          </cell>
          <cell r="DD47">
            <v>130</v>
          </cell>
          <cell r="DE47">
            <v>38</v>
          </cell>
          <cell r="DF47">
            <v>58</v>
          </cell>
          <cell r="DG47">
            <v>10</v>
          </cell>
          <cell r="DH47">
            <v>5</v>
          </cell>
          <cell r="DI47">
            <v>25</v>
          </cell>
        </row>
        <row r="48">
          <cell r="A48" t="str">
            <v>RS 101</v>
          </cell>
          <cell r="B48">
            <v>101</v>
          </cell>
          <cell r="C48" t="str">
            <v>S</v>
          </cell>
          <cell r="D48" t="str">
            <v>T</v>
          </cell>
          <cell r="E48" t="str">
            <v>Chikwawa - Lengwe T/Off</v>
          </cell>
          <cell r="F48" t="str">
            <v>M01</v>
          </cell>
          <cell r="G48">
            <v>46</v>
          </cell>
          <cell r="H48">
            <v>18.7</v>
          </cell>
          <cell r="I48" t="str">
            <v>F</v>
          </cell>
          <cell r="J48" t="str">
            <v>CHIKWAWA</v>
          </cell>
          <cell r="K48">
            <v>9</v>
          </cell>
          <cell r="L48">
            <v>0</v>
          </cell>
          <cell r="W48">
            <v>78</v>
          </cell>
          <cell r="X48" t="str">
            <v>SA</v>
          </cell>
          <cell r="Y48">
            <v>60</v>
          </cell>
          <cell r="Z48" t="str">
            <v>SB</v>
          </cell>
          <cell r="AA48">
            <v>150</v>
          </cell>
          <cell r="AB48" t="str">
            <v>GR</v>
          </cell>
          <cell r="AC48">
            <v>6</v>
          </cell>
          <cell r="AD48" t="str">
            <v>VR</v>
          </cell>
          <cell r="AE48">
            <v>83</v>
          </cell>
          <cell r="AF48" t="str">
            <v>RC</v>
          </cell>
          <cell r="AG48" t="str">
            <v>ST</v>
          </cell>
          <cell r="AH48">
            <v>15</v>
          </cell>
          <cell r="AI48">
            <v>98</v>
          </cell>
          <cell r="AJ48" t="str">
            <v>RC</v>
          </cell>
          <cell r="AK48" t="str">
            <v>DS</v>
          </cell>
          <cell r="AL48">
            <v>15</v>
          </cell>
          <cell r="AM48">
            <v>1</v>
          </cell>
          <cell r="AN48" t="str">
            <v>under reconstuction</v>
          </cell>
          <cell r="BO48" t="str">
            <v>RS 101</v>
          </cell>
          <cell r="BP48">
            <v>18.7</v>
          </cell>
          <cell r="BQ48" t="str">
            <v>n.a.</v>
          </cell>
          <cell r="BR48" t="str">
            <v>F</v>
          </cell>
          <cell r="BS48" t="str">
            <v>n.a.</v>
          </cell>
          <cell r="BT48">
            <v>0</v>
          </cell>
          <cell r="BU48" t="str">
            <v>DS</v>
          </cell>
          <cell r="BV48" t="str">
            <v/>
          </cell>
          <cell r="BW48">
            <v>1</v>
          </cell>
          <cell r="BX48">
            <v>15</v>
          </cell>
          <cell r="BY48" t="str">
            <v/>
          </cell>
          <cell r="BZ48">
            <v>1</v>
          </cell>
          <cell r="CA48">
            <v>6</v>
          </cell>
          <cell r="CB48">
            <v>1.6850000000000001</v>
          </cell>
          <cell r="CC48" t="str">
            <v>Under reconstruction 1998</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t="str">
            <v/>
          </cell>
          <cell r="CY48" t="str">
            <v>n.a.</v>
          </cell>
          <cell r="CZ48" t="str">
            <v>n.a.</v>
          </cell>
          <cell r="DA48" t="str">
            <v>n.a.</v>
          </cell>
          <cell r="DB48">
            <v>300</v>
          </cell>
          <cell r="DC48">
            <v>141</v>
          </cell>
          <cell r="DD48">
            <v>78</v>
          </cell>
          <cell r="DE48">
            <v>23</v>
          </cell>
          <cell r="DF48">
            <v>35</v>
          </cell>
          <cell r="DG48">
            <v>6</v>
          </cell>
          <cell r="DH48">
            <v>3</v>
          </cell>
          <cell r="DI48">
            <v>15</v>
          </cell>
        </row>
        <row r="49">
          <cell r="A49" t="str">
            <v>RS 103</v>
          </cell>
          <cell r="B49">
            <v>103</v>
          </cell>
          <cell r="C49" t="str">
            <v>S</v>
          </cell>
          <cell r="D49" t="str">
            <v>T</v>
          </cell>
          <cell r="E49" t="str">
            <v>Lengwe T/Off - Nchalo</v>
          </cell>
          <cell r="F49" t="str">
            <v>M01</v>
          </cell>
          <cell r="G49">
            <v>47</v>
          </cell>
          <cell r="H49">
            <v>8.5</v>
          </cell>
          <cell r="I49" t="str">
            <v>F</v>
          </cell>
          <cell r="J49" t="str">
            <v>CHIKWAWA</v>
          </cell>
          <cell r="K49">
            <v>9</v>
          </cell>
          <cell r="L49">
            <v>0</v>
          </cell>
          <cell r="W49">
            <v>78</v>
          </cell>
          <cell r="X49" t="str">
            <v>SA</v>
          </cell>
          <cell r="Y49">
            <v>60</v>
          </cell>
          <cell r="Z49" t="str">
            <v>SB</v>
          </cell>
          <cell r="AA49">
            <v>150</v>
          </cell>
          <cell r="AB49" t="str">
            <v>GR</v>
          </cell>
          <cell r="AC49">
            <v>6</v>
          </cell>
          <cell r="AD49" t="str">
            <v>VR</v>
          </cell>
          <cell r="AE49">
            <v>83</v>
          </cell>
          <cell r="AF49" t="str">
            <v>RC</v>
          </cell>
          <cell r="AG49" t="str">
            <v>ST</v>
          </cell>
          <cell r="AH49">
            <v>15</v>
          </cell>
          <cell r="AI49">
            <v>98</v>
          </cell>
          <cell r="AJ49" t="str">
            <v>RC</v>
          </cell>
          <cell r="AK49" t="str">
            <v>DS</v>
          </cell>
          <cell r="AL49">
            <v>15</v>
          </cell>
          <cell r="AM49">
            <v>1</v>
          </cell>
          <cell r="AN49" t="str">
            <v>under reconstuction</v>
          </cell>
          <cell r="BO49" t="str">
            <v>RS 103</v>
          </cell>
          <cell r="BP49">
            <v>8.5</v>
          </cell>
          <cell r="BQ49" t="str">
            <v>n.a.</v>
          </cell>
          <cell r="BR49" t="str">
            <v>F</v>
          </cell>
          <cell r="BS49" t="str">
            <v>n.a.</v>
          </cell>
          <cell r="BT49">
            <v>0</v>
          </cell>
          <cell r="BU49" t="str">
            <v>DS</v>
          </cell>
          <cell r="BV49" t="str">
            <v/>
          </cell>
          <cell r="BW49">
            <v>1</v>
          </cell>
          <cell r="BX49">
            <v>15</v>
          </cell>
          <cell r="BY49" t="str">
            <v/>
          </cell>
          <cell r="BZ49">
            <v>1</v>
          </cell>
          <cell r="CA49">
            <v>6</v>
          </cell>
          <cell r="CB49">
            <v>1.6850000000000001</v>
          </cell>
          <cell r="CC49" t="str">
            <v>Under reconstruction 1998</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t="str">
            <v/>
          </cell>
          <cell r="CY49" t="str">
            <v>n.a.</v>
          </cell>
          <cell r="CZ49" t="str">
            <v>n.a.</v>
          </cell>
          <cell r="DA49" t="str">
            <v>n.a.</v>
          </cell>
          <cell r="DB49">
            <v>300</v>
          </cell>
          <cell r="DC49">
            <v>141</v>
          </cell>
          <cell r="DD49">
            <v>78</v>
          </cell>
          <cell r="DE49">
            <v>23</v>
          </cell>
          <cell r="DF49">
            <v>35</v>
          </cell>
          <cell r="DG49">
            <v>6</v>
          </cell>
          <cell r="DH49">
            <v>3</v>
          </cell>
          <cell r="DI49">
            <v>15</v>
          </cell>
        </row>
        <row r="50">
          <cell r="A50" t="str">
            <v>RS 099</v>
          </cell>
          <cell r="B50">
            <v>99</v>
          </cell>
          <cell r="C50" t="str">
            <v>S</v>
          </cell>
          <cell r="D50" t="str">
            <v>T</v>
          </cell>
          <cell r="E50" t="str">
            <v>Nchalo - Gama</v>
          </cell>
          <cell r="F50" t="str">
            <v>M01</v>
          </cell>
          <cell r="G50">
            <v>48</v>
          </cell>
          <cell r="H50">
            <v>16.899999999999999</v>
          </cell>
          <cell r="I50" t="str">
            <v>F</v>
          </cell>
          <cell r="J50" t="str">
            <v>CHIKWAWA</v>
          </cell>
          <cell r="K50">
            <v>10</v>
          </cell>
          <cell r="L50">
            <v>0</v>
          </cell>
          <cell r="W50">
            <v>78</v>
          </cell>
          <cell r="X50" t="str">
            <v>SA</v>
          </cell>
          <cell r="Y50">
            <v>60</v>
          </cell>
          <cell r="Z50" t="str">
            <v>SB</v>
          </cell>
          <cell r="AA50">
            <v>150</v>
          </cell>
          <cell r="AB50" t="str">
            <v>GR</v>
          </cell>
          <cell r="AC50">
            <v>6</v>
          </cell>
          <cell r="AD50" t="str">
            <v>VR</v>
          </cell>
          <cell r="AE50">
            <v>83</v>
          </cell>
          <cell r="AF50" t="str">
            <v>RC</v>
          </cell>
          <cell r="AG50" t="str">
            <v>ST</v>
          </cell>
          <cell r="AH50">
            <v>15</v>
          </cell>
          <cell r="AI50">
            <v>98</v>
          </cell>
          <cell r="AJ50" t="str">
            <v>RC</v>
          </cell>
          <cell r="AK50" t="str">
            <v>DS</v>
          </cell>
          <cell r="AL50">
            <v>15</v>
          </cell>
          <cell r="AM50">
            <v>1</v>
          </cell>
          <cell r="AN50" t="str">
            <v>under reconstuction</v>
          </cell>
          <cell r="BO50" t="str">
            <v>RS 099</v>
          </cell>
          <cell r="BP50">
            <v>16.899999999999999</v>
          </cell>
          <cell r="BQ50" t="str">
            <v>n.a.</v>
          </cell>
          <cell r="BR50" t="str">
            <v>F</v>
          </cell>
          <cell r="BS50" t="str">
            <v>n.a.</v>
          </cell>
          <cell r="BT50">
            <v>0</v>
          </cell>
          <cell r="BU50" t="str">
            <v>DS</v>
          </cell>
          <cell r="BV50" t="str">
            <v/>
          </cell>
          <cell r="BW50">
            <v>1</v>
          </cell>
          <cell r="BX50">
            <v>15</v>
          </cell>
          <cell r="BY50" t="str">
            <v/>
          </cell>
          <cell r="BZ50">
            <v>1</v>
          </cell>
          <cell r="CA50">
            <v>6</v>
          </cell>
          <cell r="CB50">
            <v>1.6850000000000001</v>
          </cell>
          <cell r="CC50" t="str">
            <v>Under reconstruction 1998</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t="str">
            <v/>
          </cell>
          <cell r="CY50" t="str">
            <v>n.a.</v>
          </cell>
          <cell r="CZ50" t="str">
            <v>n.a.</v>
          </cell>
          <cell r="DA50" t="str">
            <v>n.a.</v>
          </cell>
          <cell r="DB50">
            <v>300</v>
          </cell>
          <cell r="DC50">
            <v>141</v>
          </cell>
          <cell r="DD50">
            <v>78</v>
          </cell>
          <cell r="DE50">
            <v>23</v>
          </cell>
          <cell r="DF50">
            <v>35</v>
          </cell>
          <cell r="DG50">
            <v>6</v>
          </cell>
          <cell r="DH50">
            <v>3</v>
          </cell>
          <cell r="DI50">
            <v>15</v>
          </cell>
        </row>
        <row r="51">
          <cell r="A51" t="str">
            <v>RS 100</v>
          </cell>
          <cell r="B51">
            <v>100</v>
          </cell>
          <cell r="C51" t="str">
            <v>S</v>
          </cell>
          <cell r="D51" t="str">
            <v>T</v>
          </cell>
          <cell r="E51" t="str">
            <v>Gama - Ngabu</v>
          </cell>
          <cell r="F51" t="str">
            <v>M01</v>
          </cell>
          <cell r="G51">
            <v>49</v>
          </cell>
          <cell r="H51">
            <v>7</v>
          </cell>
          <cell r="I51" t="str">
            <v>R</v>
          </cell>
          <cell r="J51" t="str">
            <v>CHIKWAWA</v>
          </cell>
          <cell r="K51">
            <v>10</v>
          </cell>
          <cell r="L51">
            <v>0</v>
          </cell>
          <cell r="W51">
            <v>78</v>
          </cell>
          <cell r="X51" t="str">
            <v>SA</v>
          </cell>
          <cell r="Y51">
            <v>60</v>
          </cell>
          <cell r="Z51" t="str">
            <v>SB</v>
          </cell>
          <cell r="AA51">
            <v>150</v>
          </cell>
          <cell r="AB51" t="str">
            <v>GR</v>
          </cell>
          <cell r="AC51">
            <v>6</v>
          </cell>
          <cell r="AD51" t="str">
            <v>VR</v>
          </cell>
          <cell r="AE51">
            <v>83</v>
          </cell>
          <cell r="AF51" t="str">
            <v>RC</v>
          </cell>
          <cell r="AG51" t="str">
            <v>ST</v>
          </cell>
          <cell r="AH51">
            <v>15</v>
          </cell>
          <cell r="AI51">
            <v>0</v>
          </cell>
          <cell r="AJ51">
            <v>0</v>
          </cell>
          <cell r="AK51">
            <v>0</v>
          </cell>
          <cell r="AL51">
            <v>0</v>
          </cell>
          <cell r="AM51">
            <v>1</v>
          </cell>
          <cell r="AN51">
            <v>0</v>
          </cell>
          <cell r="BO51" t="str">
            <v>RS 100</v>
          </cell>
          <cell r="BP51">
            <v>7</v>
          </cell>
          <cell r="BQ51" t="str">
            <v>n.a.</v>
          </cell>
          <cell r="BR51" t="str">
            <v>R</v>
          </cell>
          <cell r="BS51" t="str">
            <v>n.a.</v>
          </cell>
          <cell r="BT51">
            <v>0</v>
          </cell>
          <cell r="BU51" t="str">
            <v>ST</v>
          </cell>
          <cell r="BV51" t="str">
            <v/>
          </cell>
          <cell r="BW51">
            <v>1</v>
          </cell>
          <cell r="BX51">
            <v>10</v>
          </cell>
          <cell r="BY51" t="str">
            <v/>
          </cell>
          <cell r="BZ51">
            <v>1</v>
          </cell>
          <cell r="CA51">
            <v>6</v>
          </cell>
          <cell r="CB51">
            <v>1.6850000000000001</v>
          </cell>
          <cell r="CC51" t="str">
            <v>Under reconstruction 1998</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t="str">
            <v/>
          </cell>
          <cell r="CY51" t="str">
            <v>n.a.</v>
          </cell>
          <cell r="CZ51" t="str">
            <v>n.a.</v>
          </cell>
          <cell r="DA51" t="str">
            <v>n.a.</v>
          </cell>
          <cell r="DB51">
            <v>300</v>
          </cell>
          <cell r="DC51">
            <v>141</v>
          </cell>
          <cell r="DD51">
            <v>78</v>
          </cell>
          <cell r="DE51">
            <v>23</v>
          </cell>
          <cell r="DF51">
            <v>35</v>
          </cell>
          <cell r="DG51">
            <v>6</v>
          </cell>
          <cell r="DH51">
            <v>3</v>
          </cell>
          <cell r="DI51">
            <v>15</v>
          </cell>
        </row>
        <row r="52">
          <cell r="A52" t="str">
            <v>RS 097</v>
          </cell>
          <cell r="B52">
            <v>97</v>
          </cell>
          <cell r="C52" t="str">
            <v>S</v>
          </cell>
          <cell r="D52" t="str">
            <v>T</v>
          </cell>
          <cell r="E52" t="str">
            <v>Ngabu - Lalanje River</v>
          </cell>
          <cell r="F52" t="str">
            <v>M01</v>
          </cell>
          <cell r="G52">
            <v>50</v>
          </cell>
          <cell r="H52">
            <v>17.399999999999999</v>
          </cell>
          <cell r="I52" t="str">
            <v>F</v>
          </cell>
          <cell r="J52" t="str">
            <v>CHIKWAWA</v>
          </cell>
          <cell r="K52">
            <v>10</v>
          </cell>
          <cell r="L52">
            <v>0</v>
          </cell>
          <cell r="W52">
            <v>78</v>
          </cell>
          <cell r="X52" t="str">
            <v>SA</v>
          </cell>
          <cell r="Y52">
            <v>60</v>
          </cell>
          <cell r="Z52" t="str">
            <v>SB</v>
          </cell>
          <cell r="AA52">
            <v>150</v>
          </cell>
          <cell r="AB52" t="str">
            <v>GR</v>
          </cell>
          <cell r="AC52">
            <v>6</v>
          </cell>
          <cell r="AD52" t="str">
            <v>VR</v>
          </cell>
          <cell r="AE52">
            <v>83</v>
          </cell>
          <cell r="AF52" t="str">
            <v>RC</v>
          </cell>
          <cell r="AG52" t="str">
            <v>ST</v>
          </cell>
          <cell r="AH52">
            <v>15</v>
          </cell>
          <cell r="AI52">
            <v>0</v>
          </cell>
          <cell r="AJ52">
            <v>0</v>
          </cell>
          <cell r="AK52">
            <v>0</v>
          </cell>
          <cell r="AL52">
            <v>0</v>
          </cell>
          <cell r="AM52">
            <v>1</v>
          </cell>
          <cell r="AN52">
            <v>0</v>
          </cell>
          <cell r="BO52" t="str">
            <v>RS 097</v>
          </cell>
          <cell r="BP52">
            <v>17.399999999999999</v>
          </cell>
          <cell r="BQ52">
            <v>6</v>
          </cell>
          <cell r="BR52" t="str">
            <v>F</v>
          </cell>
          <cell r="BS52" t="str">
            <v>C</v>
          </cell>
          <cell r="BT52">
            <v>25</v>
          </cell>
          <cell r="BU52" t="str">
            <v>ST</v>
          </cell>
          <cell r="BV52" t="str">
            <v/>
          </cell>
          <cell r="BW52">
            <v>1</v>
          </cell>
          <cell r="BX52">
            <v>10</v>
          </cell>
          <cell r="BY52" t="str">
            <v/>
          </cell>
          <cell r="BZ52">
            <v>1</v>
          </cell>
          <cell r="CA52">
            <v>6</v>
          </cell>
          <cell r="CB52">
            <v>1.6850000000000001</v>
          </cell>
          <cell r="CC52">
            <v>7</v>
          </cell>
          <cell r="CD52">
            <v>80</v>
          </cell>
          <cell r="CE52">
            <v>65</v>
          </cell>
          <cell r="CF52">
            <v>50</v>
          </cell>
          <cell r="CG52">
            <v>30</v>
          </cell>
          <cell r="CH52">
            <v>15</v>
          </cell>
          <cell r="CI52">
            <v>95</v>
          </cell>
          <cell r="CJ52">
            <v>0.31666666666666665</v>
          </cell>
          <cell r="CK52">
            <v>10</v>
          </cell>
          <cell r="CL52">
            <v>50</v>
          </cell>
          <cell r="CM52">
            <v>0.55037179487179477</v>
          </cell>
          <cell r="CN52">
            <v>0.55037179487179477</v>
          </cell>
          <cell r="CO52">
            <v>0</v>
          </cell>
          <cell r="CP52">
            <v>0</v>
          </cell>
          <cell r="CQ52">
            <v>7.5503717948717952</v>
          </cell>
          <cell r="CR52">
            <v>50</v>
          </cell>
          <cell r="CS52">
            <v>1</v>
          </cell>
          <cell r="CT52">
            <v>0</v>
          </cell>
          <cell r="CU52">
            <v>0</v>
          </cell>
          <cell r="CV52">
            <v>15</v>
          </cell>
          <cell r="CW52">
            <v>15</v>
          </cell>
          <cell r="CX52" t="str">
            <v/>
          </cell>
          <cell r="CY52">
            <v>2</v>
          </cell>
          <cell r="CZ52">
            <v>2</v>
          </cell>
          <cell r="DA52">
            <v>2</v>
          </cell>
          <cell r="DB52">
            <v>200</v>
          </cell>
          <cell r="DC52">
            <v>94</v>
          </cell>
          <cell r="DD52">
            <v>52</v>
          </cell>
          <cell r="DE52">
            <v>15</v>
          </cell>
          <cell r="DF52">
            <v>23</v>
          </cell>
          <cell r="DG52">
            <v>4</v>
          </cell>
          <cell r="DH52">
            <v>2</v>
          </cell>
          <cell r="DI52">
            <v>10</v>
          </cell>
        </row>
        <row r="53">
          <cell r="A53" t="str">
            <v>RS 091</v>
          </cell>
          <cell r="B53">
            <v>91</v>
          </cell>
          <cell r="C53" t="str">
            <v>S</v>
          </cell>
          <cell r="D53" t="str">
            <v>T</v>
          </cell>
          <cell r="E53" t="str">
            <v>Lalanje River - Thangadzi River</v>
          </cell>
          <cell r="F53" t="str">
            <v>M01</v>
          </cell>
          <cell r="G53">
            <v>51</v>
          </cell>
          <cell r="H53">
            <v>9.1999999999999993</v>
          </cell>
          <cell r="I53" t="str">
            <v>H</v>
          </cell>
          <cell r="J53" t="str">
            <v>CHIKWAWA</v>
          </cell>
          <cell r="K53">
            <v>10</v>
          </cell>
          <cell r="L53">
            <v>0</v>
          </cell>
          <cell r="W53">
            <v>76</v>
          </cell>
          <cell r="X53" t="str">
            <v>SA</v>
          </cell>
          <cell r="Y53">
            <v>60</v>
          </cell>
          <cell r="Z53" t="str">
            <v>SB</v>
          </cell>
          <cell r="AA53">
            <v>150</v>
          </cell>
          <cell r="AB53" t="str">
            <v>GR</v>
          </cell>
          <cell r="AC53">
            <v>6</v>
          </cell>
          <cell r="AD53" t="str">
            <v>VR</v>
          </cell>
          <cell r="AE53">
            <v>83</v>
          </cell>
          <cell r="AF53" t="str">
            <v>RC</v>
          </cell>
          <cell r="AG53" t="str">
            <v>ST</v>
          </cell>
          <cell r="AH53">
            <v>15</v>
          </cell>
          <cell r="AI53">
            <v>0</v>
          </cell>
          <cell r="AJ53">
            <v>0</v>
          </cell>
          <cell r="AK53">
            <v>0</v>
          </cell>
          <cell r="AL53">
            <v>0</v>
          </cell>
          <cell r="AM53">
            <v>1</v>
          </cell>
          <cell r="AN53">
            <v>0</v>
          </cell>
          <cell r="BO53" t="str">
            <v>RS 091</v>
          </cell>
          <cell r="BP53">
            <v>9.1999999999999993</v>
          </cell>
          <cell r="BQ53">
            <v>6</v>
          </cell>
          <cell r="BR53" t="str">
            <v>H</v>
          </cell>
          <cell r="BS53" t="str">
            <v>C</v>
          </cell>
          <cell r="BT53">
            <v>25</v>
          </cell>
          <cell r="BU53" t="str">
            <v>ST</v>
          </cell>
          <cell r="BV53" t="str">
            <v/>
          </cell>
          <cell r="BW53">
            <v>1</v>
          </cell>
          <cell r="BX53">
            <v>10</v>
          </cell>
          <cell r="BY53" t="str">
            <v/>
          </cell>
          <cell r="BZ53">
            <v>1</v>
          </cell>
          <cell r="CA53">
            <v>6</v>
          </cell>
          <cell r="CB53">
            <v>1.6850000000000001</v>
          </cell>
          <cell r="CC53">
            <v>7</v>
          </cell>
          <cell r="CD53">
            <v>85</v>
          </cell>
          <cell r="CE53">
            <v>70</v>
          </cell>
          <cell r="CF53">
            <v>55</v>
          </cell>
          <cell r="CG53">
            <v>30</v>
          </cell>
          <cell r="CH53">
            <v>15</v>
          </cell>
          <cell r="CI53">
            <v>105</v>
          </cell>
          <cell r="CJ53">
            <v>0.35000000000000003</v>
          </cell>
          <cell r="CK53">
            <v>10</v>
          </cell>
          <cell r="CL53">
            <v>55</v>
          </cell>
          <cell r="CM53">
            <v>0.59603846153846152</v>
          </cell>
          <cell r="CN53">
            <v>0.59603846153846152</v>
          </cell>
          <cell r="CO53">
            <v>0</v>
          </cell>
          <cell r="CP53">
            <v>0</v>
          </cell>
          <cell r="CQ53">
            <v>7.5960384615384617</v>
          </cell>
          <cell r="CR53">
            <v>50</v>
          </cell>
          <cell r="CS53">
            <v>1</v>
          </cell>
          <cell r="CT53">
            <v>0</v>
          </cell>
          <cell r="CU53">
            <v>0</v>
          </cell>
          <cell r="CV53">
            <v>15</v>
          </cell>
          <cell r="CW53">
            <v>15</v>
          </cell>
          <cell r="CX53" t="str">
            <v/>
          </cell>
          <cell r="CY53">
            <v>2</v>
          </cell>
          <cell r="CZ53">
            <v>2</v>
          </cell>
          <cell r="DA53">
            <v>2</v>
          </cell>
          <cell r="DB53">
            <v>200</v>
          </cell>
          <cell r="DC53">
            <v>94</v>
          </cell>
          <cell r="DD53">
            <v>52</v>
          </cell>
          <cell r="DE53">
            <v>15</v>
          </cell>
          <cell r="DF53">
            <v>23</v>
          </cell>
          <cell r="DG53">
            <v>4</v>
          </cell>
          <cell r="DH53">
            <v>2</v>
          </cell>
          <cell r="DI53">
            <v>10</v>
          </cell>
        </row>
        <row r="54">
          <cell r="A54" t="str">
            <v>RS 315</v>
          </cell>
          <cell r="B54">
            <v>137</v>
          </cell>
          <cell r="C54" t="str">
            <v>S</v>
          </cell>
          <cell r="D54" t="str">
            <v>T</v>
          </cell>
          <cell r="E54" t="str">
            <v>Thangadzi River - Bangula</v>
          </cell>
          <cell r="F54" t="str">
            <v>M01</v>
          </cell>
          <cell r="G54">
            <v>52</v>
          </cell>
          <cell r="H54">
            <v>5.2</v>
          </cell>
          <cell r="I54" t="str">
            <v>F</v>
          </cell>
          <cell r="J54" t="str">
            <v>NSANJE</v>
          </cell>
          <cell r="K54">
            <v>10</v>
          </cell>
          <cell r="L54">
            <v>0</v>
          </cell>
          <cell r="W54">
            <v>76</v>
          </cell>
          <cell r="X54" t="str">
            <v>SA</v>
          </cell>
          <cell r="Y54">
            <v>60</v>
          </cell>
          <cell r="Z54" t="str">
            <v>SB</v>
          </cell>
          <cell r="AA54">
            <v>150</v>
          </cell>
          <cell r="AB54" t="str">
            <v>GR</v>
          </cell>
          <cell r="AC54">
            <v>6</v>
          </cell>
          <cell r="AD54" t="str">
            <v>VR</v>
          </cell>
          <cell r="AE54">
            <v>83</v>
          </cell>
          <cell r="AF54" t="str">
            <v>RC</v>
          </cell>
          <cell r="AG54" t="str">
            <v>ST</v>
          </cell>
          <cell r="AH54">
            <v>15</v>
          </cell>
          <cell r="AI54">
            <v>0</v>
          </cell>
          <cell r="AJ54">
            <v>0</v>
          </cell>
          <cell r="AK54">
            <v>0</v>
          </cell>
          <cell r="AL54">
            <v>0</v>
          </cell>
          <cell r="AM54">
            <v>1</v>
          </cell>
          <cell r="AN54">
            <v>0</v>
          </cell>
          <cell r="BO54" t="str">
            <v>RS 315</v>
          </cell>
          <cell r="BP54">
            <v>5.2</v>
          </cell>
          <cell r="BQ54">
            <v>6</v>
          </cell>
          <cell r="BR54" t="str">
            <v>H</v>
          </cell>
          <cell r="BS54" t="str">
            <v>C</v>
          </cell>
          <cell r="BT54">
            <v>25</v>
          </cell>
          <cell r="BU54" t="str">
            <v>ST</v>
          </cell>
          <cell r="BV54" t="str">
            <v/>
          </cell>
          <cell r="BW54">
            <v>1</v>
          </cell>
          <cell r="BX54">
            <v>10</v>
          </cell>
          <cell r="BY54" t="str">
            <v/>
          </cell>
          <cell r="BZ54">
            <v>1</v>
          </cell>
          <cell r="CA54">
            <v>6</v>
          </cell>
          <cell r="CB54">
            <v>1.6850000000000001</v>
          </cell>
          <cell r="CC54">
            <v>7</v>
          </cell>
          <cell r="CD54">
            <v>85</v>
          </cell>
          <cell r="CE54">
            <v>70</v>
          </cell>
          <cell r="CF54">
            <v>55</v>
          </cell>
          <cell r="CG54">
            <v>30</v>
          </cell>
          <cell r="CH54">
            <v>15</v>
          </cell>
          <cell r="CI54">
            <v>105</v>
          </cell>
          <cell r="CJ54">
            <v>0.35000000000000003</v>
          </cell>
          <cell r="CK54">
            <v>10</v>
          </cell>
          <cell r="CL54">
            <v>55</v>
          </cell>
          <cell r="CM54">
            <v>0.59603846153846152</v>
          </cell>
          <cell r="CN54">
            <v>0.59603846153846152</v>
          </cell>
          <cell r="CO54">
            <v>0</v>
          </cell>
          <cell r="CP54">
            <v>0</v>
          </cell>
          <cell r="CQ54">
            <v>7.5960384615384617</v>
          </cell>
          <cell r="CR54">
            <v>50</v>
          </cell>
          <cell r="CS54">
            <v>1</v>
          </cell>
          <cell r="CT54">
            <v>0</v>
          </cell>
          <cell r="CU54">
            <v>0</v>
          </cell>
          <cell r="CV54">
            <v>15</v>
          </cell>
          <cell r="CW54">
            <v>15</v>
          </cell>
          <cell r="CX54" t="str">
            <v/>
          </cell>
          <cell r="CY54">
            <v>2</v>
          </cell>
          <cell r="CZ54">
            <v>2</v>
          </cell>
          <cell r="DA54">
            <v>2</v>
          </cell>
          <cell r="DB54">
            <v>220</v>
          </cell>
          <cell r="DC54">
            <v>104</v>
          </cell>
          <cell r="DD54">
            <v>58</v>
          </cell>
          <cell r="DE54">
            <v>17</v>
          </cell>
          <cell r="DF54">
            <v>26</v>
          </cell>
          <cell r="DG54">
            <v>5</v>
          </cell>
          <cell r="DH54">
            <v>3</v>
          </cell>
          <cell r="DI54">
            <v>11</v>
          </cell>
        </row>
        <row r="55">
          <cell r="A55" t="str">
            <v>RS 115</v>
          </cell>
          <cell r="B55">
            <v>115</v>
          </cell>
          <cell r="C55" t="str">
            <v>S</v>
          </cell>
          <cell r="D55" t="str">
            <v>T</v>
          </cell>
          <cell r="E55" t="str">
            <v>Limbe - Chigumula</v>
          </cell>
          <cell r="F55" t="str">
            <v>M02</v>
          </cell>
          <cell r="G55">
            <v>1</v>
          </cell>
          <cell r="H55">
            <v>9.4</v>
          </cell>
          <cell r="I55" t="str">
            <v>R</v>
          </cell>
          <cell r="J55" t="str">
            <v>BLANTYRE</v>
          </cell>
          <cell r="K55">
            <v>9</v>
          </cell>
          <cell r="L55">
            <v>0</v>
          </cell>
          <cell r="W55">
            <v>60</v>
          </cell>
          <cell r="X55" t="str">
            <v>GM</v>
          </cell>
          <cell r="Y55">
            <v>150</v>
          </cell>
          <cell r="Z55" t="str">
            <v>SB</v>
          </cell>
          <cell r="AA55">
            <v>125</v>
          </cell>
          <cell r="AB55" t="str">
            <v>GR</v>
          </cell>
          <cell r="AC55">
            <v>12</v>
          </cell>
          <cell r="AD55" t="str">
            <v>VR</v>
          </cell>
          <cell r="AE55">
            <v>99</v>
          </cell>
          <cell r="AF55" t="str">
            <v>RC</v>
          </cell>
          <cell r="AG55" t="str">
            <v>ST</v>
          </cell>
          <cell r="AH55">
            <v>15</v>
          </cell>
          <cell r="AI55">
            <v>0</v>
          </cell>
          <cell r="AJ55">
            <v>0</v>
          </cell>
          <cell r="AK55">
            <v>0</v>
          </cell>
          <cell r="AL55">
            <v>0</v>
          </cell>
          <cell r="AM55">
            <v>1</v>
          </cell>
          <cell r="AN55" t="str">
            <v>reconstruct 1999</v>
          </cell>
          <cell r="BO55" t="str">
            <v>RS 115</v>
          </cell>
          <cell r="BP55">
            <v>9.4</v>
          </cell>
          <cell r="BQ55">
            <v>3</v>
          </cell>
          <cell r="BR55" t="str">
            <v>R</v>
          </cell>
          <cell r="BS55" t="str">
            <v>C</v>
          </cell>
          <cell r="BT55">
            <v>0</v>
          </cell>
          <cell r="BU55" t="str">
            <v>ST</v>
          </cell>
          <cell r="BV55" t="str">
            <v/>
          </cell>
          <cell r="BW55">
            <v>1</v>
          </cell>
          <cell r="BX55">
            <v>10</v>
          </cell>
          <cell r="BY55" t="str">
            <v/>
          </cell>
          <cell r="BZ55">
            <v>1</v>
          </cell>
          <cell r="CA55">
            <v>12</v>
          </cell>
          <cell r="CB55">
            <v>1.9</v>
          </cell>
          <cell r="CC55" t="str">
            <v>To be reconstructed 1999</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-1</v>
          </cell>
          <cell r="CW55">
            <v>-1</v>
          </cell>
          <cell r="CX55" t="str">
            <v/>
          </cell>
          <cell r="CY55">
            <v>3</v>
          </cell>
          <cell r="CZ55">
            <v>2</v>
          </cell>
          <cell r="DA55">
            <v>1.5</v>
          </cell>
          <cell r="DB55">
            <v>1700</v>
          </cell>
          <cell r="DC55">
            <v>799</v>
          </cell>
          <cell r="DD55">
            <v>442</v>
          </cell>
          <cell r="DE55">
            <v>128</v>
          </cell>
          <cell r="DF55">
            <v>196</v>
          </cell>
          <cell r="DG55">
            <v>34</v>
          </cell>
          <cell r="DH55">
            <v>17</v>
          </cell>
          <cell r="DI55">
            <v>85</v>
          </cell>
        </row>
        <row r="56">
          <cell r="A56" t="str">
            <v>RS 112</v>
          </cell>
          <cell r="B56">
            <v>112</v>
          </cell>
          <cell r="C56" t="str">
            <v>S</v>
          </cell>
          <cell r="D56" t="str">
            <v>T</v>
          </cell>
          <cell r="E56" t="str">
            <v>Chigumula - Nantipwili River</v>
          </cell>
          <cell r="F56" t="str">
            <v>M02</v>
          </cell>
          <cell r="G56">
            <v>2</v>
          </cell>
          <cell r="H56">
            <v>2.6</v>
          </cell>
          <cell r="I56" t="str">
            <v>R</v>
          </cell>
          <cell r="J56" t="str">
            <v>BLANTYRE</v>
          </cell>
          <cell r="K56">
            <v>9</v>
          </cell>
          <cell r="L56">
            <v>0</v>
          </cell>
          <cell r="W56">
            <v>60</v>
          </cell>
          <cell r="X56" t="str">
            <v>GM</v>
          </cell>
          <cell r="Y56">
            <v>150</v>
          </cell>
          <cell r="Z56" t="str">
            <v>SB</v>
          </cell>
          <cell r="AA56">
            <v>125</v>
          </cell>
          <cell r="AB56" t="str">
            <v>GR</v>
          </cell>
          <cell r="AC56">
            <v>12</v>
          </cell>
          <cell r="AD56" t="str">
            <v>VR</v>
          </cell>
          <cell r="AE56">
            <v>99</v>
          </cell>
          <cell r="AF56" t="str">
            <v>RC</v>
          </cell>
          <cell r="AG56" t="str">
            <v>ST</v>
          </cell>
          <cell r="AH56">
            <v>15</v>
          </cell>
          <cell r="AI56">
            <v>0</v>
          </cell>
          <cell r="AJ56">
            <v>0</v>
          </cell>
          <cell r="AK56">
            <v>0</v>
          </cell>
          <cell r="AL56">
            <v>0</v>
          </cell>
          <cell r="AM56">
            <v>1</v>
          </cell>
          <cell r="AN56" t="str">
            <v>reconstruct 1999</v>
          </cell>
          <cell r="BO56" t="str">
            <v>RS 112</v>
          </cell>
          <cell r="BP56">
            <v>2.6</v>
          </cell>
          <cell r="BQ56" t="str">
            <v>n.a.</v>
          </cell>
          <cell r="BR56" t="str">
            <v>R</v>
          </cell>
          <cell r="BS56" t="str">
            <v>X</v>
          </cell>
          <cell r="BT56">
            <v>80</v>
          </cell>
          <cell r="BU56" t="str">
            <v>ST</v>
          </cell>
          <cell r="BV56" t="str">
            <v/>
          </cell>
          <cell r="BW56">
            <v>1</v>
          </cell>
          <cell r="BX56">
            <v>10</v>
          </cell>
          <cell r="BY56" t="str">
            <v/>
          </cell>
          <cell r="BZ56">
            <v>1</v>
          </cell>
          <cell r="CA56">
            <v>12</v>
          </cell>
          <cell r="CB56">
            <v>1.9</v>
          </cell>
          <cell r="CC56" t="str">
            <v>Bitumen surface removed. To be re-constructed 1999</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-1</v>
          </cell>
          <cell r="CW56">
            <v>-1</v>
          </cell>
          <cell r="CX56" t="str">
            <v/>
          </cell>
          <cell r="CY56" t="str">
            <v>n.a.</v>
          </cell>
          <cell r="CZ56" t="str">
            <v>n.a.</v>
          </cell>
          <cell r="DA56">
            <v>1.5</v>
          </cell>
          <cell r="DB56">
            <v>1600</v>
          </cell>
          <cell r="DC56">
            <v>752</v>
          </cell>
          <cell r="DD56">
            <v>416</v>
          </cell>
          <cell r="DE56">
            <v>120</v>
          </cell>
          <cell r="DF56">
            <v>184</v>
          </cell>
          <cell r="DG56">
            <v>32</v>
          </cell>
          <cell r="DH56">
            <v>16</v>
          </cell>
          <cell r="DI56">
            <v>80</v>
          </cell>
        </row>
        <row r="57">
          <cell r="A57" t="str">
            <v>RS 110</v>
          </cell>
          <cell r="B57">
            <v>110</v>
          </cell>
          <cell r="C57" t="str">
            <v>S</v>
          </cell>
          <cell r="D57" t="str">
            <v>T</v>
          </cell>
          <cell r="E57" t="str">
            <v>Bvumbwe - Thunga</v>
          </cell>
          <cell r="F57" t="str">
            <v>M02</v>
          </cell>
          <cell r="G57">
            <v>3</v>
          </cell>
          <cell r="H57">
            <v>9.3000000000000007</v>
          </cell>
          <cell r="I57" t="str">
            <v>F</v>
          </cell>
          <cell r="J57" t="str">
            <v>THYOLO</v>
          </cell>
          <cell r="K57">
            <v>9</v>
          </cell>
          <cell r="L57">
            <v>0</v>
          </cell>
          <cell r="W57">
            <v>60</v>
          </cell>
          <cell r="X57" t="str">
            <v>GM</v>
          </cell>
          <cell r="Y57">
            <v>150</v>
          </cell>
          <cell r="Z57" t="str">
            <v>SB</v>
          </cell>
          <cell r="AA57">
            <v>125</v>
          </cell>
          <cell r="AB57" t="str">
            <v>GR</v>
          </cell>
          <cell r="AC57">
            <v>12</v>
          </cell>
          <cell r="AD57" t="str">
            <v>VR</v>
          </cell>
          <cell r="AE57">
            <v>99</v>
          </cell>
          <cell r="AF57" t="str">
            <v>RC</v>
          </cell>
          <cell r="AG57" t="str">
            <v>ST</v>
          </cell>
          <cell r="AH57">
            <v>15</v>
          </cell>
          <cell r="AI57">
            <v>0</v>
          </cell>
          <cell r="AJ57">
            <v>0</v>
          </cell>
          <cell r="AK57">
            <v>0</v>
          </cell>
          <cell r="AL57">
            <v>0</v>
          </cell>
          <cell r="AM57">
            <v>1</v>
          </cell>
          <cell r="AN57" t="str">
            <v>reconstruct 1999</v>
          </cell>
          <cell r="BO57" t="str">
            <v>RS 110</v>
          </cell>
          <cell r="BP57">
            <v>9.3000000000000007</v>
          </cell>
          <cell r="BQ57" t="str">
            <v>n.a.</v>
          </cell>
          <cell r="BR57" t="str">
            <v>F</v>
          </cell>
          <cell r="BS57" t="str">
            <v>X</v>
          </cell>
          <cell r="BT57">
            <v>80</v>
          </cell>
          <cell r="BU57" t="str">
            <v>ST</v>
          </cell>
          <cell r="BV57" t="str">
            <v/>
          </cell>
          <cell r="BW57">
            <v>1</v>
          </cell>
          <cell r="BX57">
            <v>10</v>
          </cell>
          <cell r="BY57" t="str">
            <v/>
          </cell>
          <cell r="BZ57">
            <v>1</v>
          </cell>
          <cell r="CA57">
            <v>12</v>
          </cell>
          <cell r="CB57">
            <v>1.9</v>
          </cell>
          <cell r="CC57" t="str">
            <v>Bitumen surface removed. To be re-constructed 1999</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-1</v>
          </cell>
          <cell r="CW57">
            <v>-1</v>
          </cell>
          <cell r="CX57" t="str">
            <v/>
          </cell>
          <cell r="CY57" t="str">
            <v>n.a.</v>
          </cell>
          <cell r="CZ57" t="str">
            <v>n.a.</v>
          </cell>
          <cell r="DA57">
            <v>1.5</v>
          </cell>
          <cell r="DB57">
            <v>1000</v>
          </cell>
          <cell r="DC57">
            <v>470</v>
          </cell>
          <cell r="DD57">
            <v>260</v>
          </cell>
          <cell r="DE57">
            <v>75</v>
          </cell>
          <cell r="DF57">
            <v>115</v>
          </cell>
          <cell r="DG57">
            <v>20</v>
          </cell>
          <cell r="DH57">
            <v>10</v>
          </cell>
          <cell r="DI57">
            <v>50</v>
          </cell>
        </row>
        <row r="58">
          <cell r="A58" t="str">
            <v>RS 117</v>
          </cell>
          <cell r="B58">
            <v>117</v>
          </cell>
          <cell r="C58" t="str">
            <v>S</v>
          </cell>
          <cell r="D58" t="str">
            <v>T</v>
          </cell>
          <cell r="E58" t="str">
            <v>Thunga - Thyolo</v>
          </cell>
          <cell r="F58" t="str">
            <v>M02</v>
          </cell>
          <cell r="G58">
            <v>4</v>
          </cell>
          <cell r="H58">
            <v>12</v>
          </cell>
          <cell r="I58" t="str">
            <v>H</v>
          </cell>
          <cell r="J58" t="str">
            <v>THYOLO</v>
          </cell>
          <cell r="K58">
            <v>9</v>
          </cell>
          <cell r="L58">
            <v>0</v>
          </cell>
          <cell r="W58">
            <v>60</v>
          </cell>
          <cell r="X58" t="str">
            <v>GM</v>
          </cell>
          <cell r="Y58">
            <v>150</v>
          </cell>
          <cell r="Z58" t="str">
            <v>SB</v>
          </cell>
          <cell r="AA58">
            <v>125</v>
          </cell>
          <cell r="AB58" t="str">
            <v>GR</v>
          </cell>
          <cell r="AC58">
            <v>12</v>
          </cell>
          <cell r="AD58" t="str">
            <v>VR</v>
          </cell>
          <cell r="AE58">
            <v>99</v>
          </cell>
          <cell r="AF58" t="str">
            <v>RC</v>
          </cell>
          <cell r="AG58" t="str">
            <v>ST</v>
          </cell>
          <cell r="AH58">
            <v>15</v>
          </cell>
          <cell r="AI58">
            <v>0</v>
          </cell>
          <cell r="AJ58">
            <v>0</v>
          </cell>
          <cell r="AK58">
            <v>0</v>
          </cell>
          <cell r="AL58">
            <v>0</v>
          </cell>
          <cell r="AM58">
            <v>1</v>
          </cell>
          <cell r="AN58" t="str">
            <v>reconstruct 1999</v>
          </cell>
          <cell r="BO58" t="str">
            <v>RS 117</v>
          </cell>
          <cell r="BP58">
            <v>12</v>
          </cell>
          <cell r="BQ58">
            <v>3.5</v>
          </cell>
          <cell r="BR58" t="str">
            <v>H</v>
          </cell>
          <cell r="BS58" t="str">
            <v>C</v>
          </cell>
          <cell r="BT58">
            <v>0</v>
          </cell>
          <cell r="BU58" t="str">
            <v>ST</v>
          </cell>
          <cell r="BV58" t="str">
            <v/>
          </cell>
          <cell r="BW58">
            <v>1</v>
          </cell>
          <cell r="BX58">
            <v>10</v>
          </cell>
          <cell r="BY58" t="str">
            <v/>
          </cell>
          <cell r="BZ58">
            <v>1</v>
          </cell>
          <cell r="CA58">
            <v>12</v>
          </cell>
          <cell r="CB58">
            <v>1.9</v>
          </cell>
          <cell r="CC58" t="str">
            <v>To be reconstructed 1999</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t="str">
            <v>recon 99</v>
          </cell>
          <cell r="CW58">
            <v>0</v>
          </cell>
          <cell r="CX58">
            <v>0</v>
          </cell>
          <cell r="CY58">
            <v>3</v>
          </cell>
          <cell r="CZ58">
            <v>2</v>
          </cell>
          <cell r="DA58">
            <v>1.5</v>
          </cell>
          <cell r="DB58">
            <v>935</v>
          </cell>
          <cell r="DC58">
            <v>440</v>
          </cell>
          <cell r="DD58">
            <v>244</v>
          </cell>
          <cell r="DE58">
            <v>71</v>
          </cell>
          <cell r="DF58">
            <v>108</v>
          </cell>
          <cell r="DG58">
            <v>19</v>
          </cell>
          <cell r="DH58">
            <v>10</v>
          </cell>
          <cell r="DI58">
            <v>47</v>
          </cell>
        </row>
        <row r="59">
          <cell r="A59" t="str">
            <v>RS 109</v>
          </cell>
          <cell r="B59">
            <v>109</v>
          </cell>
          <cell r="C59" t="str">
            <v>S</v>
          </cell>
          <cell r="D59" t="str">
            <v>T</v>
          </cell>
          <cell r="E59" t="str">
            <v>Thyolo - Thuchila River</v>
          </cell>
          <cell r="F59" t="str">
            <v>M02</v>
          </cell>
          <cell r="G59">
            <v>5</v>
          </cell>
          <cell r="H59">
            <v>22.7</v>
          </cell>
          <cell r="I59" t="str">
            <v>H</v>
          </cell>
          <cell r="J59" t="str">
            <v>THYOLO</v>
          </cell>
          <cell r="K59">
            <v>9</v>
          </cell>
          <cell r="L59">
            <v>0</v>
          </cell>
          <cell r="W59">
            <v>60</v>
          </cell>
          <cell r="X59" t="str">
            <v>GM</v>
          </cell>
          <cell r="Y59">
            <v>150</v>
          </cell>
          <cell r="Z59" t="str">
            <v>SB</v>
          </cell>
          <cell r="AA59">
            <v>125</v>
          </cell>
          <cell r="AB59" t="str">
            <v>GR</v>
          </cell>
          <cell r="AC59">
            <v>12</v>
          </cell>
          <cell r="AD59" t="str">
            <v>VR</v>
          </cell>
          <cell r="AE59">
            <v>98</v>
          </cell>
          <cell r="AF59" t="str">
            <v>RC</v>
          </cell>
          <cell r="AG59" t="str">
            <v>ST</v>
          </cell>
          <cell r="AH59">
            <v>15</v>
          </cell>
          <cell r="AI59">
            <v>0</v>
          </cell>
          <cell r="AJ59">
            <v>0</v>
          </cell>
          <cell r="AK59">
            <v>0</v>
          </cell>
          <cell r="AL59">
            <v>0</v>
          </cell>
          <cell r="AM59">
            <v>1</v>
          </cell>
          <cell r="AN59" t="str">
            <v>reconstructed 1998</v>
          </cell>
          <cell r="BO59" t="str">
            <v>RS 109</v>
          </cell>
          <cell r="BP59">
            <v>22.7</v>
          </cell>
          <cell r="BQ59" t="str">
            <v>n.a.</v>
          </cell>
          <cell r="BR59" t="str">
            <v>H</v>
          </cell>
          <cell r="BS59" t="str">
            <v>n.a.</v>
          </cell>
          <cell r="BT59">
            <v>0</v>
          </cell>
          <cell r="BU59" t="str">
            <v>ST</v>
          </cell>
          <cell r="BV59" t="str">
            <v/>
          </cell>
          <cell r="BW59">
            <v>1</v>
          </cell>
          <cell r="BX59">
            <v>10</v>
          </cell>
          <cell r="BY59" t="str">
            <v/>
          </cell>
          <cell r="BZ59">
            <v>1</v>
          </cell>
          <cell r="CA59">
            <v>12</v>
          </cell>
          <cell r="CB59">
            <v>1.9</v>
          </cell>
          <cell r="CC59" t="str">
            <v>Under reconstruction 1998</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t="str">
            <v/>
          </cell>
          <cell r="CY59" t="str">
            <v>n.a.</v>
          </cell>
          <cell r="CZ59" t="str">
            <v>n.a.</v>
          </cell>
          <cell r="DA59" t="str">
            <v>n.a.</v>
          </cell>
          <cell r="DB59">
            <v>935</v>
          </cell>
          <cell r="DC59">
            <v>440</v>
          </cell>
          <cell r="DD59">
            <v>244</v>
          </cell>
          <cell r="DE59">
            <v>71</v>
          </cell>
          <cell r="DF59">
            <v>108</v>
          </cell>
          <cell r="DG59">
            <v>19</v>
          </cell>
          <cell r="DH59">
            <v>10</v>
          </cell>
          <cell r="DI59">
            <v>47</v>
          </cell>
        </row>
        <row r="60">
          <cell r="A60" t="str">
            <v>RS 111</v>
          </cell>
          <cell r="B60">
            <v>111</v>
          </cell>
          <cell r="C60" t="str">
            <v>S</v>
          </cell>
          <cell r="D60" t="str">
            <v>T</v>
          </cell>
          <cell r="E60" t="str">
            <v>Luchenza - Luwanje</v>
          </cell>
          <cell r="F60" t="str">
            <v>M02</v>
          </cell>
          <cell r="G60">
            <v>6</v>
          </cell>
          <cell r="H60">
            <v>11</v>
          </cell>
          <cell r="I60" t="str">
            <v>R</v>
          </cell>
          <cell r="J60" t="str">
            <v>MULANJE</v>
          </cell>
          <cell r="K60">
            <v>9</v>
          </cell>
          <cell r="L60">
            <v>0</v>
          </cell>
          <cell r="W60">
            <v>60</v>
          </cell>
          <cell r="X60" t="str">
            <v>GM</v>
          </cell>
          <cell r="Y60">
            <v>150</v>
          </cell>
          <cell r="Z60" t="str">
            <v>SB</v>
          </cell>
          <cell r="AA60">
            <v>125</v>
          </cell>
          <cell r="AB60" t="str">
            <v>GR</v>
          </cell>
          <cell r="AC60">
            <v>12</v>
          </cell>
          <cell r="AD60" t="str">
            <v>VR</v>
          </cell>
          <cell r="AE60">
            <v>98</v>
          </cell>
          <cell r="AF60" t="str">
            <v>RC</v>
          </cell>
          <cell r="AG60" t="str">
            <v>ST</v>
          </cell>
          <cell r="AH60">
            <v>15</v>
          </cell>
          <cell r="AI60">
            <v>0</v>
          </cell>
          <cell r="AJ60">
            <v>0</v>
          </cell>
          <cell r="AK60">
            <v>0</v>
          </cell>
          <cell r="AL60">
            <v>0</v>
          </cell>
          <cell r="AM60">
            <v>1</v>
          </cell>
          <cell r="AN60" t="str">
            <v>reconstructed 1998</v>
          </cell>
          <cell r="BO60" t="str">
            <v>RS 111</v>
          </cell>
          <cell r="BP60">
            <v>11</v>
          </cell>
          <cell r="BQ60" t="str">
            <v>n.a.</v>
          </cell>
          <cell r="BR60" t="str">
            <v>R</v>
          </cell>
          <cell r="BS60" t="str">
            <v>n.a.</v>
          </cell>
          <cell r="BT60">
            <v>0</v>
          </cell>
          <cell r="BU60" t="str">
            <v>ST</v>
          </cell>
          <cell r="BV60" t="str">
            <v/>
          </cell>
          <cell r="BW60">
            <v>1</v>
          </cell>
          <cell r="BX60">
            <v>10</v>
          </cell>
          <cell r="BY60" t="str">
            <v/>
          </cell>
          <cell r="BZ60">
            <v>1</v>
          </cell>
          <cell r="CA60">
            <v>12</v>
          </cell>
          <cell r="CB60">
            <v>1.9</v>
          </cell>
          <cell r="CC60" t="str">
            <v>Under reconstruction 1998</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t="str">
            <v/>
          </cell>
          <cell r="CY60" t="str">
            <v>n.a.</v>
          </cell>
          <cell r="CZ60" t="str">
            <v>n.a.</v>
          </cell>
          <cell r="DA60" t="str">
            <v>n.a.</v>
          </cell>
          <cell r="DB60">
            <v>400</v>
          </cell>
          <cell r="DC60">
            <v>188</v>
          </cell>
          <cell r="DD60">
            <v>104</v>
          </cell>
          <cell r="DE60">
            <v>30</v>
          </cell>
          <cell r="DF60">
            <v>46</v>
          </cell>
          <cell r="DG60">
            <v>8</v>
          </cell>
          <cell r="DH60">
            <v>4</v>
          </cell>
          <cell r="DI60">
            <v>20</v>
          </cell>
        </row>
        <row r="61">
          <cell r="A61" t="str">
            <v>RS 108</v>
          </cell>
          <cell r="B61">
            <v>108</v>
          </cell>
          <cell r="C61" t="str">
            <v>S</v>
          </cell>
          <cell r="D61" t="str">
            <v>T</v>
          </cell>
          <cell r="E61" t="str">
            <v>Luwanje - Chitakale</v>
          </cell>
          <cell r="F61" t="str">
            <v>M02</v>
          </cell>
          <cell r="G61">
            <v>7</v>
          </cell>
          <cell r="H61">
            <v>9.5</v>
          </cell>
          <cell r="I61" t="str">
            <v>F</v>
          </cell>
          <cell r="J61" t="str">
            <v>MULANJE</v>
          </cell>
          <cell r="K61">
            <v>9</v>
          </cell>
          <cell r="L61">
            <v>0</v>
          </cell>
          <cell r="W61">
            <v>60</v>
          </cell>
          <cell r="X61" t="str">
            <v>GM</v>
          </cell>
          <cell r="Y61">
            <v>150</v>
          </cell>
          <cell r="Z61" t="str">
            <v>SB</v>
          </cell>
          <cell r="AA61">
            <v>125</v>
          </cell>
          <cell r="AB61" t="str">
            <v>GR</v>
          </cell>
          <cell r="AC61">
            <v>12</v>
          </cell>
          <cell r="AD61" t="str">
            <v>VR</v>
          </cell>
          <cell r="AE61">
            <v>98</v>
          </cell>
          <cell r="AF61" t="str">
            <v>RC</v>
          </cell>
          <cell r="AG61" t="str">
            <v>ST</v>
          </cell>
          <cell r="AH61">
            <v>15</v>
          </cell>
          <cell r="AI61">
            <v>0</v>
          </cell>
          <cell r="AJ61">
            <v>0</v>
          </cell>
          <cell r="AK61">
            <v>0</v>
          </cell>
          <cell r="AL61">
            <v>0</v>
          </cell>
          <cell r="AM61">
            <v>1</v>
          </cell>
          <cell r="AN61" t="str">
            <v>reconstruct 1998</v>
          </cell>
          <cell r="BO61" t="str">
            <v>RS 108</v>
          </cell>
          <cell r="BP61">
            <v>9.5</v>
          </cell>
          <cell r="BQ61" t="str">
            <v>n.a.</v>
          </cell>
          <cell r="BR61" t="str">
            <v>F</v>
          </cell>
          <cell r="BS61" t="str">
            <v>n.a.</v>
          </cell>
          <cell r="BT61">
            <v>0</v>
          </cell>
          <cell r="BU61" t="str">
            <v>ST</v>
          </cell>
          <cell r="BV61" t="str">
            <v/>
          </cell>
          <cell r="BW61">
            <v>1</v>
          </cell>
          <cell r="BX61">
            <v>10</v>
          </cell>
          <cell r="BY61" t="str">
            <v/>
          </cell>
          <cell r="BZ61">
            <v>1</v>
          </cell>
          <cell r="CA61">
            <v>12</v>
          </cell>
          <cell r="CB61">
            <v>1.9</v>
          </cell>
          <cell r="CC61" t="str">
            <v>Under reconstruction 1998</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t="str">
            <v/>
          </cell>
          <cell r="CY61" t="str">
            <v>n.a.</v>
          </cell>
          <cell r="CZ61" t="str">
            <v>n.a.</v>
          </cell>
          <cell r="DA61" t="str">
            <v>n.a.</v>
          </cell>
          <cell r="DB61">
            <v>400</v>
          </cell>
          <cell r="DC61">
            <v>188</v>
          </cell>
          <cell r="DD61">
            <v>104</v>
          </cell>
          <cell r="DE61">
            <v>30</v>
          </cell>
          <cell r="DF61">
            <v>46</v>
          </cell>
          <cell r="DG61">
            <v>8</v>
          </cell>
          <cell r="DH61">
            <v>4</v>
          </cell>
          <cell r="DI61">
            <v>20</v>
          </cell>
        </row>
        <row r="62">
          <cell r="A62" t="str">
            <v>RS 114</v>
          </cell>
          <cell r="B62">
            <v>114</v>
          </cell>
          <cell r="C62" t="str">
            <v>S</v>
          </cell>
          <cell r="D62" t="str">
            <v>T</v>
          </cell>
          <cell r="E62" t="str">
            <v>Chitakale - Chanunkha River</v>
          </cell>
          <cell r="F62" t="str">
            <v>M02</v>
          </cell>
          <cell r="G62">
            <v>8</v>
          </cell>
          <cell r="H62">
            <v>10</v>
          </cell>
          <cell r="I62" t="str">
            <v>F</v>
          </cell>
          <cell r="J62" t="str">
            <v>MULANJE</v>
          </cell>
          <cell r="K62">
            <v>9</v>
          </cell>
          <cell r="L62">
            <v>0</v>
          </cell>
          <cell r="W62">
            <v>60</v>
          </cell>
          <cell r="X62" t="str">
            <v>GM</v>
          </cell>
          <cell r="Y62">
            <v>150</v>
          </cell>
          <cell r="Z62" t="str">
            <v>SB</v>
          </cell>
          <cell r="AA62">
            <v>125</v>
          </cell>
          <cell r="AB62" t="str">
            <v>GR</v>
          </cell>
          <cell r="AC62">
            <v>12</v>
          </cell>
          <cell r="AD62" t="str">
            <v>VR</v>
          </cell>
          <cell r="AE62">
            <v>98</v>
          </cell>
          <cell r="AF62" t="str">
            <v>RC</v>
          </cell>
          <cell r="AG62" t="str">
            <v>ST</v>
          </cell>
          <cell r="AH62">
            <v>15</v>
          </cell>
          <cell r="AI62">
            <v>0</v>
          </cell>
          <cell r="AJ62">
            <v>0</v>
          </cell>
          <cell r="AK62">
            <v>0</v>
          </cell>
          <cell r="AL62">
            <v>0</v>
          </cell>
          <cell r="AM62">
            <v>1</v>
          </cell>
          <cell r="AN62" t="str">
            <v>reconstruct 1998</v>
          </cell>
          <cell r="BO62" t="str">
            <v>RS 114</v>
          </cell>
          <cell r="BP62">
            <v>10</v>
          </cell>
          <cell r="BQ62" t="str">
            <v>n.a.</v>
          </cell>
          <cell r="BR62" t="str">
            <v>F</v>
          </cell>
          <cell r="BS62" t="str">
            <v>n.a.</v>
          </cell>
          <cell r="BT62">
            <v>0</v>
          </cell>
          <cell r="BU62" t="str">
            <v>ST</v>
          </cell>
          <cell r="BV62" t="str">
            <v/>
          </cell>
          <cell r="BW62">
            <v>1</v>
          </cell>
          <cell r="BX62">
            <v>10</v>
          </cell>
          <cell r="BY62" t="str">
            <v/>
          </cell>
          <cell r="BZ62">
            <v>1</v>
          </cell>
          <cell r="CA62">
            <v>12</v>
          </cell>
          <cell r="CB62">
            <v>1.9</v>
          </cell>
          <cell r="CC62" t="str">
            <v>Under reconstruction 1998</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t="str">
            <v/>
          </cell>
          <cell r="CY62" t="str">
            <v>n.a.</v>
          </cell>
          <cell r="CZ62" t="str">
            <v>n.a.</v>
          </cell>
          <cell r="DA62" t="str">
            <v>n.a.</v>
          </cell>
          <cell r="DB62">
            <v>350</v>
          </cell>
          <cell r="DC62">
            <v>165</v>
          </cell>
          <cell r="DD62">
            <v>91</v>
          </cell>
          <cell r="DE62">
            <v>27</v>
          </cell>
          <cell r="DF62">
            <v>41</v>
          </cell>
          <cell r="DG62">
            <v>7</v>
          </cell>
          <cell r="DH62">
            <v>4</v>
          </cell>
          <cell r="DI62">
            <v>18</v>
          </cell>
        </row>
        <row r="63">
          <cell r="A63" t="str">
            <v>RS 118</v>
          </cell>
          <cell r="B63">
            <v>118</v>
          </cell>
          <cell r="C63" t="str">
            <v>S</v>
          </cell>
          <cell r="D63" t="str">
            <v>T</v>
          </cell>
          <cell r="E63" t="str">
            <v>Chanunkha River - Mimosa</v>
          </cell>
          <cell r="F63" t="str">
            <v>M02</v>
          </cell>
          <cell r="G63">
            <v>9</v>
          </cell>
          <cell r="H63">
            <v>7.5</v>
          </cell>
          <cell r="I63" t="str">
            <v>R</v>
          </cell>
          <cell r="J63" t="str">
            <v>MULANJE</v>
          </cell>
          <cell r="K63">
            <v>9</v>
          </cell>
          <cell r="L63">
            <v>0</v>
          </cell>
          <cell r="W63">
            <v>60</v>
          </cell>
          <cell r="X63" t="str">
            <v>GM</v>
          </cell>
          <cell r="Y63">
            <v>150</v>
          </cell>
          <cell r="Z63" t="str">
            <v>SB</v>
          </cell>
          <cell r="AA63">
            <v>125</v>
          </cell>
          <cell r="AB63" t="str">
            <v>GR</v>
          </cell>
          <cell r="AC63">
            <v>12</v>
          </cell>
          <cell r="AD63" t="str">
            <v>VR</v>
          </cell>
          <cell r="AE63">
            <v>98</v>
          </cell>
          <cell r="AF63" t="str">
            <v>RC</v>
          </cell>
          <cell r="AG63" t="str">
            <v>ST</v>
          </cell>
          <cell r="AH63">
            <v>15</v>
          </cell>
          <cell r="AI63">
            <v>0</v>
          </cell>
          <cell r="AJ63">
            <v>0</v>
          </cell>
          <cell r="AK63">
            <v>0</v>
          </cell>
          <cell r="AL63">
            <v>0</v>
          </cell>
          <cell r="AM63">
            <v>1</v>
          </cell>
          <cell r="AN63" t="str">
            <v>reconstruct 1998</v>
          </cell>
          <cell r="BO63" t="str">
            <v>RS 118</v>
          </cell>
          <cell r="BP63">
            <v>7.5</v>
          </cell>
          <cell r="BQ63" t="str">
            <v>n.a.</v>
          </cell>
          <cell r="BR63" t="str">
            <v>R</v>
          </cell>
          <cell r="BS63" t="str">
            <v>n.a.</v>
          </cell>
          <cell r="BT63">
            <v>0</v>
          </cell>
          <cell r="BU63" t="str">
            <v>ST</v>
          </cell>
          <cell r="BV63" t="str">
            <v/>
          </cell>
          <cell r="BW63">
            <v>1</v>
          </cell>
          <cell r="BX63">
            <v>10</v>
          </cell>
          <cell r="BY63" t="str">
            <v/>
          </cell>
          <cell r="BZ63">
            <v>1</v>
          </cell>
          <cell r="CA63">
            <v>12</v>
          </cell>
          <cell r="CB63">
            <v>1.9</v>
          </cell>
          <cell r="CC63" t="str">
            <v>Under reconstruction 1998</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t="str">
            <v/>
          </cell>
          <cell r="CY63" t="str">
            <v>n.a.</v>
          </cell>
          <cell r="CZ63" t="str">
            <v>n.a.</v>
          </cell>
          <cell r="DA63" t="str">
            <v>n.a.</v>
          </cell>
          <cell r="DB63">
            <v>350</v>
          </cell>
          <cell r="DC63">
            <v>165</v>
          </cell>
          <cell r="DD63">
            <v>91</v>
          </cell>
          <cell r="DE63">
            <v>27</v>
          </cell>
          <cell r="DF63">
            <v>41</v>
          </cell>
          <cell r="DG63">
            <v>7</v>
          </cell>
          <cell r="DH63">
            <v>4</v>
          </cell>
          <cell r="DI63">
            <v>18</v>
          </cell>
        </row>
        <row r="64">
          <cell r="A64" t="str">
            <v>RS 113</v>
          </cell>
          <cell r="B64">
            <v>113</v>
          </cell>
          <cell r="C64" t="str">
            <v>S</v>
          </cell>
          <cell r="D64" t="str">
            <v>T</v>
          </cell>
          <cell r="E64" t="str">
            <v>Mimosa - Muloza International Border</v>
          </cell>
          <cell r="F64" t="str">
            <v>M02</v>
          </cell>
          <cell r="G64">
            <v>10</v>
          </cell>
          <cell r="H64">
            <v>14.2</v>
          </cell>
          <cell r="I64" t="str">
            <v>R</v>
          </cell>
          <cell r="J64" t="str">
            <v>MULANJE</v>
          </cell>
          <cell r="K64">
            <v>9</v>
          </cell>
          <cell r="L64">
            <v>0</v>
          </cell>
          <cell r="W64">
            <v>60</v>
          </cell>
          <cell r="X64" t="str">
            <v>GM</v>
          </cell>
          <cell r="Y64">
            <v>150</v>
          </cell>
          <cell r="Z64" t="str">
            <v>SB</v>
          </cell>
          <cell r="AA64">
            <v>125</v>
          </cell>
          <cell r="AB64" t="str">
            <v>GR</v>
          </cell>
          <cell r="AC64">
            <v>12</v>
          </cell>
          <cell r="AD64" t="str">
            <v>VR</v>
          </cell>
          <cell r="AE64">
            <v>98</v>
          </cell>
          <cell r="AF64" t="str">
            <v>RC</v>
          </cell>
          <cell r="AG64" t="str">
            <v>ST</v>
          </cell>
          <cell r="AH64">
            <v>15</v>
          </cell>
          <cell r="AI64">
            <v>0</v>
          </cell>
          <cell r="AJ64">
            <v>0</v>
          </cell>
          <cell r="AK64">
            <v>0</v>
          </cell>
          <cell r="AL64">
            <v>0</v>
          </cell>
          <cell r="AM64">
            <v>1</v>
          </cell>
          <cell r="AN64" t="str">
            <v>reconstruct 1998</v>
          </cell>
          <cell r="BO64" t="str">
            <v>RS 113</v>
          </cell>
          <cell r="BP64">
            <v>14.2</v>
          </cell>
          <cell r="BQ64" t="str">
            <v>n.a.</v>
          </cell>
          <cell r="BR64" t="str">
            <v>R</v>
          </cell>
          <cell r="BS64" t="str">
            <v>n.a.</v>
          </cell>
          <cell r="BT64">
            <v>0</v>
          </cell>
          <cell r="BU64" t="str">
            <v>ST</v>
          </cell>
          <cell r="BV64" t="str">
            <v/>
          </cell>
          <cell r="BW64">
            <v>1</v>
          </cell>
          <cell r="BX64">
            <v>10</v>
          </cell>
          <cell r="BY64" t="str">
            <v/>
          </cell>
          <cell r="BZ64">
            <v>1</v>
          </cell>
          <cell r="CA64">
            <v>12</v>
          </cell>
          <cell r="CB64">
            <v>1.9</v>
          </cell>
          <cell r="CC64" t="str">
            <v>Under reconstruction 1998</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t="str">
            <v/>
          </cell>
          <cell r="CY64" t="str">
            <v>n.a.</v>
          </cell>
          <cell r="CZ64" t="str">
            <v>n.a.</v>
          </cell>
          <cell r="DA64" t="str">
            <v>n.a.</v>
          </cell>
          <cell r="DB64">
            <v>200</v>
          </cell>
          <cell r="DC64">
            <v>94</v>
          </cell>
          <cell r="DD64">
            <v>52</v>
          </cell>
          <cell r="DE64">
            <v>15</v>
          </cell>
          <cell r="DF64">
            <v>23</v>
          </cell>
          <cell r="DG64">
            <v>4</v>
          </cell>
          <cell r="DH64">
            <v>2</v>
          </cell>
          <cell r="DI64">
            <v>10</v>
          </cell>
        </row>
        <row r="65">
          <cell r="A65" t="str">
            <v>RS 123</v>
          </cell>
          <cell r="B65">
            <v>123</v>
          </cell>
          <cell r="C65" t="str">
            <v>S</v>
          </cell>
          <cell r="D65" t="str">
            <v>T</v>
          </cell>
          <cell r="E65" t="str">
            <v>Chinkombero (BBC Post) - Mbulumbuzi</v>
          </cell>
          <cell r="F65" t="str">
            <v>M03</v>
          </cell>
          <cell r="G65">
            <v>1</v>
          </cell>
          <cell r="H65">
            <v>12.4</v>
          </cell>
          <cell r="I65" t="str">
            <v>F</v>
          </cell>
          <cell r="J65" t="str">
            <v>CHIRADZULU</v>
          </cell>
          <cell r="K65">
            <v>9</v>
          </cell>
          <cell r="L65">
            <v>0</v>
          </cell>
          <cell r="W65">
            <v>50</v>
          </cell>
          <cell r="X65" t="str">
            <v>GM</v>
          </cell>
          <cell r="Y65">
            <v>150</v>
          </cell>
          <cell r="Z65" t="str">
            <v>SB</v>
          </cell>
          <cell r="AA65">
            <v>150</v>
          </cell>
          <cell r="AB65" t="str">
            <v>GR</v>
          </cell>
          <cell r="AC65">
            <v>15</v>
          </cell>
          <cell r="AD65" t="str">
            <v>VR</v>
          </cell>
          <cell r="AE65">
            <v>87</v>
          </cell>
          <cell r="AF65" t="str">
            <v>SR</v>
          </cell>
          <cell r="AG65" t="str">
            <v>ST</v>
          </cell>
          <cell r="AH65">
            <v>10</v>
          </cell>
          <cell r="AI65">
            <v>96</v>
          </cell>
          <cell r="AJ65" t="str">
            <v>SS</v>
          </cell>
          <cell r="AK65" t="str">
            <v>SS</v>
          </cell>
          <cell r="AL65">
            <v>5</v>
          </cell>
          <cell r="AM65">
            <v>3</v>
          </cell>
          <cell r="AN65">
            <v>0</v>
          </cell>
          <cell r="BO65" t="str">
            <v>RS 123</v>
          </cell>
          <cell r="BP65">
            <v>12.4</v>
          </cell>
          <cell r="BQ65">
            <v>6</v>
          </cell>
          <cell r="BR65" t="str">
            <v>F</v>
          </cell>
          <cell r="BS65" t="str">
            <v>S</v>
          </cell>
          <cell r="BT65">
            <v>0</v>
          </cell>
          <cell r="BU65" t="str">
            <v>SS</v>
          </cell>
          <cell r="BV65" t="str">
            <v>SR</v>
          </cell>
          <cell r="BW65">
            <v>3</v>
          </cell>
          <cell r="BX65">
            <v>5</v>
          </cell>
          <cell r="BY65">
            <v>10</v>
          </cell>
          <cell r="BZ65">
            <v>1</v>
          </cell>
          <cell r="CA65">
            <v>15</v>
          </cell>
          <cell r="CB65">
            <v>2.15</v>
          </cell>
          <cell r="CC65">
            <v>6.2166767262063463</v>
          </cell>
          <cell r="CD65">
            <v>50</v>
          </cell>
          <cell r="CE65">
            <v>8</v>
          </cell>
          <cell r="CF65">
            <v>0</v>
          </cell>
          <cell r="CG65">
            <v>50</v>
          </cell>
          <cell r="CH65">
            <v>8</v>
          </cell>
          <cell r="CI65">
            <v>5</v>
          </cell>
          <cell r="CJ65">
            <v>1.6666666666666666E-2</v>
          </cell>
          <cell r="CK65">
            <v>1.6666666666666666E-2</v>
          </cell>
          <cell r="CL65">
            <v>0</v>
          </cell>
          <cell r="CM65">
            <v>6.4615384615384621E-3</v>
          </cell>
          <cell r="CN65">
            <v>6.4615384615384621E-3</v>
          </cell>
          <cell r="CO65">
            <v>0</v>
          </cell>
          <cell r="CP65">
            <v>0</v>
          </cell>
          <cell r="CQ65">
            <v>6.2231382646678846</v>
          </cell>
          <cell r="CR65">
            <v>0</v>
          </cell>
          <cell r="CS65">
            <v>1</v>
          </cell>
          <cell r="CT65">
            <v>0</v>
          </cell>
          <cell r="CU65">
            <v>0</v>
          </cell>
          <cell r="CV65">
            <v>2</v>
          </cell>
          <cell r="CW65">
            <v>48</v>
          </cell>
          <cell r="CX65">
            <v>96</v>
          </cell>
          <cell r="CY65">
            <v>2.5</v>
          </cell>
          <cell r="CZ65">
            <v>1.7</v>
          </cell>
          <cell r="DA65">
            <v>1.7</v>
          </cell>
          <cell r="DB65">
            <v>1400</v>
          </cell>
          <cell r="DC65">
            <v>658</v>
          </cell>
          <cell r="DD65">
            <v>364</v>
          </cell>
          <cell r="DE65">
            <v>105</v>
          </cell>
          <cell r="DF65">
            <v>161</v>
          </cell>
          <cell r="DG65">
            <v>28</v>
          </cell>
          <cell r="DH65">
            <v>14</v>
          </cell>
          <cell r="DI65">
            <v>70</v>
          </cell>
        </row>
        <row r="66">
          <cell r="A66" t="str">
            <v>RS 124</v>
          </cell>
          <cell r="B66">
            <v>124</v>
          </cell>
          <cell r="C66" t="str">
            <v>S</v>
          </cell>
          <cell r="D66" t="str">
            <v>T</v>
          </cell>
          <cell r="E66" t="str">
            <v>Mbulumbuzi - Magomero</v>
          </cell>
          <cell r="F66" t="str">
            <v>M03</v>
          </cell>
          <cell r="G66">
            <v>2</v>
          </cell>
          <cell r="H66">
            <v>11.5</v>
          </cell>
          <cell r="I66" t="str">
            <v>H</v>
          </cell>
          <cell r="J66" t="str">
            <v>CHIRADZULU</v>
          </cell>
          <cell r="K66">
            <v>9</v>
          </cell>
          <cell r="L66">
            <v>0</v>
          </cell>
          <cell r="W66">
            <v>50</v>
          </cell>
          <cell r="X66" t="str">
            <v>GM</v>
          </cell>
          <cell r="Y66">
            <v>150</v>
          </cell>
          <cell r="Z66" t="str">
            <v>SB</v>
          </cell>
          <cell r="AA66">
            <v>150</v>
          </cell>
          <cell r="AB66" t="str">
            <v>GR</v>
          </cell>
          <cell r="AC66">
            <v>15</v>
          </cell>
          <cell r="AD66" t="str">
            <v>VR</v>
          </cell>
          <cell r="AE66">
            <v>87</v>
          </cell>
          <cell r="AF66" t="str">
            <v>SR</v>
          </cell>
          <cell r="AG66" t="str">
            <v>ST</v>
          </cell>
          <cell r="AH66">
            <v>10</v>
          </cell>
          <cell r="AI66">
            <v>96</v>
          </cell>
          <cell r="AJ66" t="str">
            <v>SS</v>
          </cell>
          <cell r="AK66" t="str">
            <v>SS</v>
          </cell>
          <cell r="AL66">
            <v>5</v>
          </cell>
          <cell r="AM66">
            <v>3</v>
          </cell>
          <cell r="AN66">
            <v>0</v>
          </cell>
          <cell r="BO66" t="str">
            <v>RS 124</v>
          </cell>
          <cell r="BP66">
            <v>11.5</v>
          </cell>
          <cell r="BQ66">
            <v>6</v>
          </cell>
          <cell r="BR66" t="str">
            <v>H</v>
          </cell>
          <cell r="BS66" t="str">
            <v>S</v>
          </cell>
          <cell r="BT66">
            <v>0</v>
          </cell>
          <cell r="BU66" t="str">
            <v>SS</v>
          </cell>
          <cell r="BV66" t="str">
            <v>SR</v>
          </cell>
          <cell r="BW66">
            <v>3</v>
          </cell>
          <cell r="BX66">
            <v>5</v>
          </cell>
          <cell r="BY66">
            <v>10</v>
          </cell>
          <cell r="BZ66">
            <v>1</v>
          </cell>
          <cell r="CA66">
            <v>15</v>
          </cell>
          <cell r="CB66">
            <v>2.15</v>
          </cell>
          <cell r="CC66">
            <v>5.0605850173287124</v>
          </cell>
          <cell r="CD66">
            <v>40</v>
          </cell>
          <cell r="CE66">
            <v>2</v>
          </cell>
          <cell r="CF66">
            <v>0</v>
          </cell>
          <cell r="CG66">
            <v>40</v>
          </cell>
          <cell r="CH66">
            <v>2</v>
          </cell>
          <cell r="CI66">
            <v>0.7</v>
          </cell>
          <cell r="CJ66">
            <v>2.3333333333333331E-3</v>
          </cell>
          <cell r="CK66">
            <v>2.3333333333333331E-3</v>
          </cell>
          <cell r="CL66">
            <v>0</v>
          </cell>
          <cell r="CM66">
            <v>9.0461538461538446E-4</v>
          </cell>
          <cell r="CN66">
            <v>9.0461538461538446E-4</v>
          </cell>
          <cell r="CO66">
            <v>0</v>
          </cell>
          <cell r="CP66">
            <v>0</v>
          </cell>
          <cell r="CQ66">
            <v>5.0614896327133279</v>
          </cell>
          <cell r="CR66">
            <v>0</v>
          </cell>
          <cell r="CS66">
            <v>1</v>
          </cell>
          <cell r="CT66">
            <v>0</v>
          </cell>
          <cell r="CU66">
            <v>0</v>
          </cell>
          <cell r="CV66">
            <v>2</v>
          </cell>
          <cell r="CW66">
            <v>48</v>
          </cell>
          <cell r="CX66">
            <v>96</v>
          </cell>
          <cell r="CY66">
            <v>2.2999999999999998</v>
          </cell>
          <cell r="CZ66">
            <v>1.5</v>
          </cell>
          <cell r="DA66">
            <v>1.7</v>
          </cell>
          <cell r="DB66">
            <v>1300</v>
          </cell>
          <cell r="DC66">
            <v>611</v>
          </cell>
          <cell r="DD66">
            <v>338</v>
          </cell>
          <cell r="DE66">
            <v>98</v>
          </cell>
          <cell r="DF66">
            <v>150</v>
          </cell>
          <cell r="DG66">
            <v>26</v>
          </cell>
          <cell r="DH66">
            <v>13</v>
          </cell>
          <cell r="DI66">
            <v>65</v>
          </cell>
        </row>
        <row r="67">
          <cell r="A67" t="str">
            <v>RS 126</v>
          </cell>
          <cell r="B67">
            <v>126</v>
          </cell>
          <cell r="C67" t="str">
            <v>S</v>
          </cell>
          <cell r="D67" t="str">
            <v>T</v>
          </cell>
          <cell r="E67" t="str">
            <v>Namadzi River-Zomba South T'ship Boundary</v>
          </cell>
          <cell r="F67" t="str">
            <v>M03</v>
          </cell>
          <cell r="G67">
            <v>3</v>
          </cell>
          <cell r="H67">
            <v>13.3</v>
          </cell>
          <cell r="I67" t="str">
            <v>R</v>
          </cell>
          <cell r="J67" t="str">
            <v>ZOMBA</v>
          </cell>
          <cell r="K67">
            <v>9</v>
          </cell>
          <cell r="L67">
            <v>0</v>
          </cell>
          <cell r="W67">
            <v>50</v>
          </cell>
          <cell r="X67" t="str">
            <v>GM</v>
          </cell>
          <cell r="Y67">
            <v>150</v>
          </cell>
          <cell r="Z67" t="str">
            <v>SB</v>
          </cell>
          <cell r="AA67">
            <v>150</v>
          </cell>
          <cell r="AB67" t="str">
            <v>GR</v>
          </cell>
          <cell r="AC67">
            <v>15</v>
          </cell>
          <cell r="AD67" t="str">
            <v>VR</v>
          </cell>
          <cell r="AE67">
            <v>87</v>
          </cell>
          <cell r="AF67" t="str">
            <v>SR</v>
          </cell>
          <cell r="AG67" t="str">
            <v>ST</v>
          </cell>
          <cell r="AH67">
            <v>10</v>
          </cell>
          <cell r="AI67">
            <v>96</v>
          </cell>
          <cell r="AJ67" t="str">
            <v>SS</v>
          </cell>
          <cell r="AK67" t="str">
            <v>SS</v>
          </cell>
          <cell r="AL67">
            <v>5</v>
          </cell>
          <cell r="AM67">
            <v>3</v>
          </cell>
          <cell r="AN67">
            <v>0</v>
          </cell>
          <cell r="BO67" t="str">
            <v>RS 126</v>
          </cell>
          <cell r="BP67">
            <v>13.3</v>
          </cell>
          <cell r="BQ67">
            <v>6</v>
          </cell>
          <cell r="BR67" t="str">
            <v>R</v>
          </cell>
          <cell r="BS67" t="str">
            <v>S</v>
          </cell>
          <cell r="BT67">
            <v>0</v>
          </cell>
          <cell r="BU67" t="str">
            <v>SS</v>
          </cell>
          <cell r="BV67" t="str">
            <v>SR</v>
          </cell>
          <cell r="BW67">
            <v>3</v>
          </cell>
          <cell r="BX67">
            <v>5</v>
          </cell>
          <cell r="BY67">
            <v>10</v>
          </cell>
          <cell r="BZ67">
            <v>1</v>
          </cell>
          <cell r="CA67">
            <v>15</v>
          </cell>
          <cell r="CB67">
            <v>2.15</v>
          </cell>
          <cell r="CC67">
            <v>5.78</v>
          </cell>
          <cell r="CD67">
            <v>50</v>
          </cell>
          <cell r="CE67">
            <v>5</v>
          </cell>
          <cell r="CF67">
            <v>0</v>
          </cell>
          <cell r="CG67">
            <v>50</v>
          </cell>
          <cell r="CH67">
            <v>5</v>
          </cell>
          <cell r="CI67">
            <v>0.3</v>
          </cell>
          <cell r="CJ67">
            <v>1E-3</v>
          </cell>
          <cell r="CK67">
            <v>1E-3</v>
          </cell>
          <cell r="CL67">
            <v>0</v>
          </cell>
          <cell r="CM67">
            <v>3.876923076923077E-4</v>
          </cell>
          <cell r="CN67">
            <v>3.876923076923077E-4</v>
          </cell>
          <cell r="CO67">
            <v>0</v>
          </cell>
          <cell r="CP67">
            <v>0</v>
          </cell>
          <cell r="CQ67">
            <v>5.7803876923076922</v>
          </cell>
          <cell r="CR67">
            <v>0</v>
          </cell>
          <cell r="CS67">
            <v>1</v>
          </cell>
          <cell r="CT67">
            <v>0</v>
          </cell>
          <cell r="CU67">
            <v>0</v>
          </cell>
          <cell r="CV67">
            <v>2</v>
          </cell>
          <cell r="CW67">
            <v>48</v>
          </cell>
          <cell r="CX67">
            <v>96</v>
          </cell>
          <cell r="CY67">
            <v>2.5</v>
          </cell>
          <cell r="CZ67">
            <v>3</v>
          </cell>
          <cell r="DA67">
            <v>1.5</v>
          </cell>
          <cell r="DB67">
            <v>1300</v>
          </cell>
          <cell r="DC67">
            <v>611</v>
          </cell>
          <cell r="DD67">
            <v>338</v>
          </cell>
          <cell r="DE67">
            <v>98</v>
          </cell>
          <cell r="DF67">
            <v>150</v>
          </cell>
          <cell r="DG67">
            <v>26</v>
          </cell>
          <cell r="DH67">
            <v>13</v>
          </cell>
          <cell r="DI67">
            <v>65</v>
          </cell>
        </row>
        <row r="68">
          <cell r="A68" t="str">
            <v>RS 121</v>
          </cell>
          <cell r="B68">
            <v>121</v>
          </cell>
          <cell r="C68" t="str">
            <v>S</v>
          </cell>
          <cell r="D68" t="str">
            <v>T</v>
          </cell>
          <cell r="E68" t="str">
            <v>Zomba South Township Boundary-Zomba.</v>
          </cell>
          <cell r="F68" t="str">
            <v>M03</v>
          </cell>
          <cell r="G68">
            <v>4</v>
          </cell>
          <cell r="H68">
            <v>4.5</v>
          </cell>
          <cell r="I68" t="str">
            <v>R</v>
          </cell>
          <cell r="J68" t="str">
            <v>ZOMBA CITY</v>
          </cell>
          <cell r="K68">
            <v>9</v>
          </cell>
          <cell r="L68">
            <v>0</v>
          </cell>
          <cell r="W68">
            <v>50</v>
          </cell>
          <cell r="X68" t="str">
            <v>GM</v>
          </cell>
          <cell r="Y68">
            <v>150</v>
          </cell>
          <cell r="Z68" t="str">
            <v>SB</v>
          </cell>
          <cell r="AA68">
            <v>150</v>
          </cell>
          <cell r="AB68" t="str">
            <v>GR</v>
          </cell>
          <cell r="AC68">
            <v>15</v>
          </cell>
          <cell r="AD68" t="str">
            <v>VR</v>
          </cell>
          <cell r="AE68">
            <v>87</v>
          </cell>
          <cell r="AF68" t="str">
            <v>SR</v>
          </cell>
          <cell r="AG68" t="str">
            <v>ST</v>
          </cell>
          <cell r="AH68">
            <v>10</v>
          </cell>
          <cell r="AI68">
            <v>96</v>
          </cell>
          <cell r="AJ68" t="str">
            <v>SS</v>
          </cell>
          <cell r="AK68" t="str">
            <v>SS</v>
          </cell>
          <cell r="AL68">
            <v>5</v>
          </cell>
          <cell r="AM68">
            <v>3</v>
          </cell>
          <cell r="AN68">
            <v>0</v>
          </cell>
          <cell r="BO68" t="str">
            <v>RS 121</v>
          </cell>
          <cell r="BP68">
            <v>4.5</v>
          </cell>
          <cell r="BQ68">
            <v>6.7</v>
          </cell>
          <cell r="BR68" t="str">
            <v>R</v>
          </cell>
          <cell r="BS68" t="str">
            <v>C</v>
          </cell>
          <cell r="BT68">
            <v>0</v>
          </cell>
          <cell r="BU68" t="str">
            <v>SS</v>
          </cell>
          <cell r="BV68" t="str">
            <v>SR</v>
          </cell>
          <cell r="BW68">
            <v>3</v>
          </cell>
          <cell r="BX68">
            <v>5</v>
          </cell>
          <cell r="BY68">
            <v>10</v>
          </cell>
          <cell r="BZ68">
            <v>1</v>
          </cell>
          <cell r="CA68">
            <v>15</v>
          </cell>
          <cell r="CB68">
            <v>2.15</v>
          </cell>
          <cell r="CC68">
            <v>6.83</v>
          </cell>
          <cell r="CD68">
            <v>20</v>
          </cell>
          <cell r="CE68">
            <v>10</v>
          </cell>
          <cell r="CF68">
            <v>0</v>
          </cell>
          <cell r="CG68">
            <v>20</v>
          </cell>
          <cell r="CH68">
            <v>10</v>
          </cell>
          <cell r="CI68">
            <v>0.1</v>
          </cell>
          <cell r="CJ68">
            <v>2.9850746268656722E-4</v>
          </cell>
          <cell r="CK68">
            <v>2.9850746268656722E-4</v>
          </cell>
          <cell r="CL68">
            <v>0</v>
          </cell>
          <cell r="CM68">
            <v>1.1572904707233067E-4</v>
          </cell>
          <cell r="CN68">
            <v>1.1572904707233067E-4</v>
          </cell>
          <cell r="CO68">
            <v>0</v>
          </cell>
          <cell r="CP68">
            <v>0</v>
          </cell>
          <cell r="CQ68">
            <v>6.8301157290470726</v>
          </cell>
          <cell r="CR68">
            <v>0</v>
          </cell>
          <cell r="CS68">
            <v>1</v>
          </cell>
          <cell r="CT68">
            <v>0</v>
          </cell>
          <cell r="CU68">
            <v>0</v>
          </cell>
          <cell r="CV68">
            <v>2</v>
          </cell>
          <cell r="CW68">
            <v>48</v>
          </cell>
          <cell r="CX68">
            <v>96</v>
          </cell>
          <cell r="CY68">
            <v>1.5</v>
          </cell>
          <cell r="CZ68">
            <v>1.5</v>
          </cell>
          <cell r="DA68">
            <v>1</v>
          </cell>
          <cell r="DB68">
            <v>2500</v>
          </cell>
          <cell r="DC68">
            <v>1175</v>
          </cell>
          <cell r="DD68">
            <v>650</v>
          </cell>
          <cell r="DE68">
            <v>188</v>
          </cell>
          <cell r="DF68">
            <v>288</v>
          </cell>
          <cell r="DG68">
            <v>50</v>
          </cell>
          <cell r="DH68">
            <v>25</v>
          </cell>
          <cell r="DI68">
            <v>125</v>
          </cell>
        </row>
        <row r="69">
          <cell r="A69" t="str">
            <v>RS 127</v>
          </cell>
          <cell r="B69">
            <v>127</v>
          </cell>
          <cell r="C69" t="str">
            <v>S</v>
          </cell>
          <cell r="D69" t="str">
            <v>T</v>
          </cell>
          <cell r="E69" t="str">
            <v>Zomba - Mwandakale</v>
          </cell>
          <cell r="F69" t="str">
            <v>M03</v>
          </cell>
          <cell r="G69">
            <v>5</v>
          </cell>
          <cell r="H69">
            <v>4.0999999999999996</v>
          </cell>
          <cell r="I69" t="str">
            <v>H</v>
          </cell>
          <cell r="J69" t="str">
            <v>ZOMBA CITY</v>
          </cell>
          <cell r="K69">
            <v>9</v>
          </cell>
          <cell r="L69">
            <v>0</v>
          </cell>
          <cell r="W69">
            <v>71</v>
          </cell>
          <cell r="X69" t="str">
            <v>SA</v>
          </cell>
          <cell r="Y69">
            <v>125</v>
          </cell>
          <cell r="Z69" t="str">
            <v>SB</v>
          </cell>
          <cell r="AA69">
            <v>150</v>
          </cell>
          <cell r="AB69" t="str">
            <v>GR</v>
          </cell>
          <cell r="AC69">
            <v>14</v>
          </cell>
          <cell r="AD69" t="str">
            <v>VR</v>
          </cell>
          <cell r="AE69">
            <v>0</v>
          </cell>
          <cell r="AF69">
            <v>0</v>
          </cell>
          <cell r="AG69">
            <v>0</v>
          </cell>
          <cell r="AH69">
            <v>0</v>
          </cell>
          <cell r="AI69">
            <v>0</v>
          </cell>
          <cell r="AJ69">
            <v>0</v>
          </cell>
          <cell r="AK69">
            <v>0</v>
          </cell>
          <cell r="AL69">
            <v>0</v>
          </cell>
          <cell r="AM69">
            <v>2</v>
          </cell>
          <cell r="AN69" t="str">
            <v>never resealed</v>
          </cell>
          <cell r="BO69" t="str">
            <v>RS 127</v>
          </cell>
          <cell r="BP69">
            <v>4.0999999999999996</v>
          </cell>
          <cell r="BQ69">
            <v>6.7</v>
          </cell>
          <cell r="BR69" t="str">
            <v>H</v>
          </cell>
          <cell r="BS69" t="str">
            <v>A</v>
          </cell>
          <cell r="BT69">
            <v>0</v>
          </cell>
          <cell r="BU69" t="str">
            <v>SA</v>
          </cell>
          <cell r="BV69" t="str">
            <v/>
          </cell>
          <cell r="BW69">
            <v>2</v>
          </cell>
          <cell r="BX69">
            <v>10</v>
          </cell>
          <cell r="BY69" t="str">
            <v/>
          </cell>
          <cell r="BZ69">
            <v>1</v>
          </cell>
          <cell r="CA69">
            <v>14</v>
          </cell>
          <cell r="CB69">
            <v>1.508</v>
          </cell>
          <cell r="CC69">
            <v>8.69</v>
          </cell>
          <cell r="CD69">
            <v>20</v>
          </cell>
          <cell r="CE69">
            <v>10</v>
          </cell>
          <cell r="CF69">
            <v>0</v>
          </cell>
          <cell r="CG69">
            <v>20</v>
          </cell>
          <cell r="CH69">
            <v>10</v>
          </cell>
          <cell r="CI69">
            <v>0.1</v>
          </cell>
          <cell r="CJ69">
            <v>2.9850746268656722E-4</v>
          </cell>
          <cell r="CK69">
            <v>2.9850746268656722E-4</v>
          </cell>
          <cell r="CL69">
            <v>0</v>
          </cell>
          <cell r="CM69">
            <v>1.1572904707233067E-4</v>
          </cell>
          <cell r="CN69">
            <v>1.1572904707233067E-4</v>
          </cell>
          <cell r="CO69">
            <v>0</v>
          </cell>
          <cell r="CP69">
            <v>0</v>
          </cell>
          <cell r="CQ69">
            <v>8.6901157290470721</v>
          </cell>
          <cell r="CR69">
            <v>0</v>
          </cell>
          <cell r="CS69">
            <v>1</v>
          </cell>
          <cell r="CT69">
            <v>0</v>
          </cell>
          <cell r="CU69">
            <v>0</v>
          </cell>
          <cell r="CV69">
            <v>27</v>
          </cell>
          <cell r="CW69">
            <v>27</v>
          </cell>
          <cell r="CX69" t="str">
            <v/>
          </cell>
          <cell r="CY69">
            <v>1.5</v>
          </cell>
          <cell r="CZ69">
            <v>1.5</v>
          </cell>
          <cell r="DA69">
            <v>1</v>
          </cell>
          <cell r="DB69">
            <v>3000</v>
          </cell>
          <cell r="DC69">
            <v>1410</v>
          </cell>
          <cell r="DD69">
            <v>780</v>
          </cell>
          <cell r="DE69">
            <v>225</v>
          </cell>
          <cell r="DF69">
            <v>345</v>
          </cell>
          <cell r="DG69">
            <v>60</v>
          </cell>
          <cell r="DH69">
            <v>30</v>
          </cell>
          <cell r="DI69">
            <v>150</v>
          </cell>
        </row>
        <row r="70">
          <cell r="A70" t="str">
            <v>RS 130</v>
          </cell>
          <cell r="B70">
            <v>130</v>
          </cell>
          <cell r="C70" t="str">
            <v>S</v>
          </cell>
          <cell r="D70" t="str">
            <v>T</v>
          </cell>
          <cell r="E70" t="str">
            <v>Jokala - Likwenu River Bridge</v>
          </cell>
          <cell r="F70" t="str">
            <v>M03</v>
          </cell>
          <cell r="G70">
            <v>6</v>
          </cell>
          <cell r="H70">
            <v>23.6</v>
          </cell>
          <cell r="I70" t="str">
            <v>R</v>
          </cell>
          <cell r="J70" t="str">
            <v>ZOMBA</v>
          </cell>
          <cell r="K70">
            <v>8</v>
          </cell>
          <cell r="L70">
            <v>0</v>
          </cell>
          <cell r="W70">
            <v>71</v>
          </cell>
          <cell r="X70" t="str">
            <v>SA</v>
          </cell>
          <cell r="Y70">
            <v>125</v>
          </cell>
          <cell r="Z70" t="str">
            <v>SB</v>
          </cell>
          <cell r="AA70">
            <v>150</v>
          </cell>
          <cell r="AB70" t="str">
            <v>GR</v>
          </cell>
          <cell r="AC70">
            <v>14</v>
          </cell>
          <cell r="AD70" t="str">
            <v>VR</v>
          </cell>
          <cell r="AE70">
            <v>0</v>
          </cell>
          <cell r="AF70">
            <v>0</v>
          </cell>
          <cell r="AG70">
            <v>0</v>
          </cell>
          <cell r="AH70">
            <v>0</v>
          </cell>
          <cell r="AI70">
            <v>0</v>
          </cell>
          <cell r="AJ70">
            <v>0</v>
          </cell>
          <cell r="AK70">
            <v>0</v>
          </cell>
          <cell r="AL70">
            <v>0</v>
          </cell>
          <cell r="AM70">
            <v>2</v>
          </cell>
          <cell r="AN70" t="str">
            <v>never resealed</v>
          </cell>
          <cell r="BO70" t="str">
            <v>RS 130</v>
          </cell>
          <cell r="BP70">
            <v>23.6</v>
          </cell>
          <cell r="BQ70">
            <v>6</v>
          </cell>
          <cell r="BR70" t="str">
            <v>R</v>
          </cell>
          <cell r="BS70" t="str">
            <v>S</v>
          </cell>
          <cell r="BT70">
            <v>0</v>
          </cell>
          <cell r="BU70" t="str">
            <v>SA</v>
          </cell>
          <cell r="BV70" t="str">
            <v/>
          </cell>
          <cell r="BW70">
            <v>2</v>
          </cell>
          <cell r="BX70">
            <v>10</v>
          </cell>
          <cell r="BY70" t="str">
            <v/>
          </cell>
          <cell r="BZ70">
            <v>1</v>
          </cell>
          <cell r="CA70">
            <v>14</v>
          </cell>
          <cell r="CB70">
            <v>1.508</v>
          </cell>
          <cell r="CC70">
            <v>2.92</v>
          </cell>
          <cell r="CD70">
            <v>85</v>
          </cell>
          <cell r="CE70">
            <v>51</v>
          </cell>
          <cell r="CF70">
            <v>36</v>
          </cell>
          <cell r="CG70">
            <v>49</v>
          </cell>
          <cell r="CH70">
            <v>15</v>
          </cell>
          <cell r="CI70">
            <v>0.2</v>
          </cell>
          <cell r="CJ70">
            <v>6.6666666666666686E-4</v>
          </cell>
          <cell r="CK70">
            <v>10</v>
          </cell>
          <cell r="CL70">
            <v>36</v>
          </cell>
          <cell r="CM70">
            <v>0.33840564102564102</v>
          </cell>
          <cell r="CN70">
            <v>0.33840564102564102</v>
          </cell>
          <cell r="CO70">
            <v>0</v>
          </cell>
          <cell r="CP70">
            <v>0</v>
          </cell>
          <cell r="CQ70">
            <v>3.2584056410256408</v>
          </cell>
          <cell r="CR70">
            <v>0</v>
          </cell>
          <cell r="CS70">
            <v>1</v>
          </cell>
          <cell r="CT70">
            <v>0</v>
          </cell>
          <cell r="CU70">
            <v>0</v>
          </cell>
          <cell r="CV70">
            <v>27</v>
          </cell>
          <cell r="CW70">
            <v>27</v>
          </cell>
          <cell r="CX70" t="str">
            <v/>
          </cell>
          <cell r="CY70">
            <v>1.5</v>
          </cell>
          <cell r="CZ70">
            <v>1.5</v>
          </cell>
          <cell r="DA70">
            <v>1.1000000000000001</v>
          </cell>
          <cell r="DB70">
            <v>1100</v>
          </cell>
          <cell r="DC70">
            <v>517</v>
          </cell>
          <cell r="DD70">
            <v>286</v>
          </cell>
          <cell r="DE70">
            <v>83</v>
          </cell>
          <cell r="DF70">
            <v>127</v>
          </cell>
          <cell r="DG70">
            <v>22</v>
          </cell>
          <cell r="DH70">
            <v>11</v>
          </cell>
          <cell r="DI70">
            <v>55</v>
          </cell>
        </row>
        <row r="71">
          <cell r="A71" t="str">
            <v>RS 128</v>
          </cell>
          <cell r="B71">
            <v>128</v>
          </cell>
          <cell r="C71" t="str">
            <v>S</v>
          </cell>
          <cell r="D71" t="str">
            <v>T</v>
          </cell>
          <cell r="E71" t="str">
            <v>Likwenu River Bridge - Mpilisi</v>
          </cell>
          <cell r="F71" t="str">
            <v>M03</v>
          </cell>
          <cell r="G71">
            <v>7</v>
          </cell>
          <cell r="H71">
            <v>15.4</v>
          </cell>
          <cell r="I71" t="str">
            <v>H</v>
          </cell>
          <cell r="J71" t="str">
            <v>MACHINGA</v>
          </cell>
          <cell r="K71">
            <v>8</v>
          </cell>
          <cell r="L71">
            <v>0</v>
          </cell>
          <cell r="W71">
            <v>71</v>
          </cell>
          <cell r="X71" t="str">
            <v>SA</v>
          </cell>
          <cell r="Y71">
            <v>125</v>
          </cell>
          <cell r="Z71" t="str">
            <v>SB</v>
          </cell>
          <cell r="AA71">
            <v>150</v>
          </cell>
          <cell r="AB71" t="str">
            <v>GR</v>
          </cell>
          <cell r="AC71">
            <v>14</v>
          </cell>
          <cell r="AD71" t="str">
            <v>VR</v>
          </cell>
          <cell r="AE71">
            <v>0</v>
          </cell>
          <cell r="AF71">
            <v>0</v>
          </cell>
          <cell r="AG71">
            <v>0</v>
          </cell>
          <cell r="AH71">
            <v>0</v>
          </cell>
          <cell r="AI71">
            <v>0</v>
          </cell>
          <cell r="AJ71">
            <v>0</v>
          </cell>
          <cell r="AK71">
            <v>0</v>
          </cell>
          <cell r="AL71">
            <v>0</v>
          </cell>
          <cell r="AM71">
            <v>2</v>
          </cell>
          <cell r="AN71" t="str">
            <v>never resealed</v>
          </cell>
          <cell r="BO71" t="str">
            <v>RS 128</v>
          </cell>
          <cell r="BP71">
            <v>15.4</v>
          </cell>
          <cell r="BQ71">
            <v>6</v>
          </cell>
          <cell r="BR71" t="str">
            <v>H</v>
          </cell>
          <cell r="BS71" t="str">
            <v>S</v>
          </cell>
          <cell r="BT71">
            <v>0</v>
          </cell>
          <cell r="BU71" t="str">
            <v>SA</v>
          </cell>
          <cell r="BV71" t="str">
            <v/>
          </cell>
          <cell r="BW71">
            <v>2</v>
          </cell>
          <cell r="BX71">
            <v>10</v>
          </cell>
          <cell r="BY71" t="str">
            <v/>
          </cell>
          <cell r="BZ71">
            <v>1</v>
          </cell>
          <cell r="CA71">
            <v>14</v>
          </cell>
          <cell r="CB71">
            <v>1.508</v>
          </cell>
          <cell r="CC71">
            <v>2.9890041055718477</v>
          </cell>
          <cell r="CD71">
            <v>80</v>
          </cell>
          <cell r="CE71">
            <v>16</v>
          </cell>
          <cell r="CF71">
            <v>1</v>
          </cell>
          <cell r="CG71">
            <v>79</v>
          </cell>
          <cell r="CH71">
            <v>15</v>
          </cell>
          <cell r="CI71">
            <v>3</v>
          </cell>
          <cell r="CJ71">
            <v>1.0000000000000002E-2</v>
          </cell>
          <cell r="CK71">
            <v>1.01</v>
          </cell>
          <cell r="CL71">
            <v>1</v>
          </cell>
          <cell r="CM71">
            <v>2.0492307692307695E-2</v>
          </cell>
          <cell r="CN71">
            <v>2.0492307692307695E-2</v>
          </cell>
          <cell r="CO71">
            <v>0</v>
          </cell>
          <cell r="CP71">
            <v>0</v>
          </cell>
          <cell r="CQ71">
            <v>3.0094964132641553</v>
          </cell>
          <cell r="CR71">
            <v>0</v>
          </cell>
          <cell r="CS71">
            <v>1</v>
          </cell>
          <cell r="CT71">
            <v>0</v>
          </cell>
          <cell r="CU71">
            <v>0</v>
          </cell>
          <cell r="CV71">
            <v>27</v>
          </cell>
          <cell r="CW71">
            <v>27</v>
          </cell>
          <cell r="CX71" t="str">
            <v/>
          </cell>
          <cell r="CY71">
            <v>1.2</v>
          </cell>
          <cell r="CZ71">
            <v>1.5</v>
          </cell>
          <cell r="DA71">
            <v>1.1000000000000001</v>
          </cell>
          <cell r="DB71">
            <v>1100</v>
          </cell>
          <cell r="DC71">
            <v>517</v>
          </cell>
          <cell r="DD71">
            <v>286</v>
          </cell>
          <cell r="DE71">
            <v>83</v>
          </cell>
          <cell r="DF71">
            <v>127</v>
          </cell>
          <cell r="DG71">
            <v>22</v>
          </cell>
          <cell r="DH71">
            <v>11</v>
          </cell>
          <cell r="DI71">
            <v>55</v>
          </cell>
        </row>
        <row r="72">
          <cell r="A72" t="str">
            <v>RS 119</v>
          </cell>
          <cell r="B72">
            <v>119</v>
          </cell>
          <cell r="C72" t="str">
            <v>S</v>
          </cell>
          <cell r="D72" t="str">
            <v>T</v>
          </cell>
          <cell r="E72" t="str">
            <v>Mpilisi - M'manga</v>
          </cell>
          <cell r="F72" t="str">
            <v>M03</v>
          </cell>
          <cell r="G72">
            <v>8</v>
          </cell>
          <cell r="H72">
            <v>12.5</v>
          </cell>
          <cell r="I72" t="str">
            <v>R</v>
          </cell>
          <cell r="J72" t="str">
            <v>MACHINGA</v>
          </cell>
          <cell r="K72">
            <v>8</v>
          </cell>
          <cell r="L72">
            <v>0</v>
          </cell>
          <cell r="W72">
            <v>71</v>
          </cell>
          <cell r="X72" t="str">
            <v>SA</v>
          </cell>
          <cell r="Y72">
            <v>125</v>
          </cell>
          <cell r="Z72" t="str">
            <v>SB</v>
          </cell>
          <cell r="AA72">
            <v>150</v>
          </cell>
          <cell r="AB72" t="str">
            <v>GR</v>
          </cell>
          <cell r="AC72">
            <v>14</v>
          </cell>
          <cell r="AD72" t="str">
            <v>VR</v>
          </cell>
          <cell r="AE72">
            <v>0</v>
          </cell>
          <cell r="AF72">
            <v>0</v>
          </cell>
          <cell r="AG72">
            <v>0</v>
          </cell>
          <cell r="AH72">
            <v>0</v>
          </cell>
          <cell r="AI72">
            <v>0</v>
          </cell>
          <cell r="AJ72">
            <v>0</v>
          </cell>
          <cell r="AK72">
            <v>0</v>
          </cell>
          <cell r="AL72">
            <v>0</v>
          </cell>
          <cell r="AM72">
            <v>2</v>
          </cell>
          <cell r="AN72" t="str">
            <v>never resealed</v>
          </cell>
          <cell r="BO72" t="str">
            <v>RS 119</v>
          </cell>
          <cell r="BP72">
            <v>12.5</v>
          </cell>
          <cell r="BQ72">
            <v>6</v>
          </cell>
          <cell r="BR72" t="str">
            <v>R</v>
          </cell>
          <cell r="BS72" t="str">
            <v>S</v>
          </cell>
          <cell r="BT72">
            <v>0</v>
          </cell>
          <cell r="BU72" t="str">
            <v>SA</v>
          </cell>
          <cell r="BV72" t="str">
            <v/>
          </cell>
          <cell r="BW72">
            <v>2</v>
          </cell>
          <cell r="BX72">
            <v>10</v>
          </cell>
          <cell r="BY72" t="str">
            <v/>
          </cell>
          <cell r="BZ72">
            <v>1</v>
          </cell>
          <cell r="CA72">
            <v>14</v>
          </cell>
          <cell r="CB72">
            <v>1.508</v>
          </cell>
          <cell r="CC72">
            <v>4.49</v>
          </cell>
          <cell r="CD72">
            <v>90</v>
          </cell>
          <cell r="CE72">
            <v>45</v>
          </cell>
          <cell r="CF72">
            <v>30</v>
          </cell>
          <cell r="CG72">
            <v>60</v>
          </cell>
          <cell r="CH72">
            <v>15</v>
          </cell>
          <cell r="CI72">
            <v>48</v>
          </cell>
          <cell r="CJ72">
            <v>0.16000000000000003</v>
          </cell>
          <cell r="CK72">
            <v>10</v>
          </cell>
          <cell r="CL72">
            <v>30</v>
          </cell>
          <cell r="CM72">
            <v>0.35889230769230773</v>
          </cell>
          <cell r="CN72">
            <v>0.35889230769230773</v>
          </cell>
          <cell r="CO72">
            <v>0</v>
          </cell>
          <cell r="CP72">
            <v>0</v>
          </cell>
          <cell r="CQ72">
            <v>4.8488923076923083</v>
          </cell>
          <cell r="CR72">
            <v>30</v>
          </cell>
          <cell r="CS72">
            <v>1</v>
          </cell>
          <cell r="CT72">
            <v>0</v>
          </cell>
          <cell r="CU72">
            <v>0</v>
          </cell>
          <cell r="CV72">
            <v>27</v>
          </cell>
          <cell r="CW72">
            <v>27</v>
          </cell>
          <cell r="CX72" t="str">
            <v/>
          </cell>
          <cell r="CY72">
            <v>1.5</v>
          </cell>
          <cell r="CZ72">
            <v>2</v>
          </cell>
          <cell r="DA72">
            <v>1.5</v>
          </cell>
          <cell r="DB72">
            <v>1000</v>
          </cell>
          <cell r="DC72">
            <v>470</v>
          </cell>
          <cell r="DD72">
            <v>260</v>
          </cell>
          <cell r="DE72">
            <v>75</v>
          </cell>
          <cell r="DF72">
            <v>115</v>
          </cell>
          <cell r="DG72">
            <v>20</v>
          </cell>
          <cell r="DH72">
            <v>10</v>
          </cell>
          <cell r="DI72">
            <v>50</v>
          </cell>
        </row>
        <row r="73">
          <cell r="A73" t="str">
            <v>RS 131</v>
          </cell>
          <cell r="B73">
            <v>131</v>
          </cell>
          <cell r="C73" t="str">
            <v>S</v>
          </cell>
          <cell r="D73" t="str">
            <v>T</v>
          </cell>
          <cell r="E73" t="str">
            <v>M'manga - Chibwana.</v>
          </cell>
          <cell r="F73" t="str">
            <v>M03</v>
          </cell>
          <cell r="G73">
            <v>9</v>
          </cell>
          <cell r="H73">
            <v>9.6999999999999993</v>
          </cell>
          <cell r="I73" t="str">
            <v>F</v>
          </cell>
          <cell r="J73" t="str">
            <v>MACHINGA</v>
          </cell>
          <cell r="K73">
            <v>8</v>
          </cell>
          <cell r="L73">
            <v>0</v>
          </cell>
          <cell r="W73">
            <v>74</v>
          </cell>
          <cell r="X73" t="str">
            <v>SA</v>
          </cell>
          <cell r="Y73">
            <v>125</v>
          </cell>
          <cell r="Z73" t="str">
            <v>SB</v>
          </cell>
          <cell r="AA73">
            <v>150</v>
          </cell>
          <cell r="AB73" t="str">
            <v>GR</v>
          </cell>
          <cell r="AC73">
            <v>14</v>
          </cell>
          <cell r="AD73" t="str">
            <v>VR</v>
          </cell>
          <cell r="AE73">
            <v>86</v>
          </cell>
          <cell r="AF73" t="str">
            <v>SR</v>
          </cell>
          <cell r="AG73" t="str">
            <v>ST</v>
          </cell>
          <cell r="AH73">
            <v>10</v>
          </cell>
          <cell r="AI73">
            <v>0</v>
          </cell>
          <cell r="AJ73">
            <v>0</v>
          </cell>
          <cell r="AK73">
            <v>0</v>
          </cell>
          <cell r="AL73">
            <v>0</v>
          </cell>
          <cell r="AM73">
            <v>5</v>
          </cell>
          <cell r="AN73">
            <v>0</v>
          </cell>
          <cell r="BO73" t="str">
            <v>RS 131</v>
          </cell>
          <cell r="BP73">
            <v>9.6999999999999993</v>
          </cell>
          <cell r="BQ73">
            <v>6</v>
          </cell>
          <cell r="BR73" t="str">
            <v>F</v>
          </cell>
          <cell r="BS73" t="str">
            <v>C</v>
          </cell>
          <cell r="BT73">
            <v>0</v>
          </cell>
          <cell r="BU73" t="str">
            <v>ST</v>
          </cell>
          <cell r="BV73" t="str">
            <v>SA</v>
          </cell>
          <cell r="BW73">
            <v>5</v>
          </cell>
          <cell r="BX73">
            <v>10</v>
          </cell>
          <cell r="BY73">
            <v>10</v>
          </cell>
          <cell r="BZ73">
            <v>1</v>
          </cell>
          <cell r="CA73">
            <v>14</v>
          </cell>
          <cell r="CB73">
            <v>1.6850000000000001</v>
          </cell>
          <cell r="CC73">
            <v>6.21</v>
          </cell>
          <cell r="CD73">
            <v>80</v>
          </cell>
          <cell r="CE73">
            <v>75</v>
          </cell>
          <cell r="CF73">
            <v>60</v>
          </cell>
          <cell r="CG73">
            <v>20</v>
          </cell>
          <cell r="CH73">
            <v>15</v>
          </cell>
          <cell r="CI73">
            <v>950</v>
          </cell>
          <cell r="CJ73">
            <v>3.166666666666667</v>
          </cell>
          <cell r="CK73">
            <v>10</v>
          </cell>
          <cell r="CL73">
            <v>60</v>
          </cell>
          <cell r="CM73">
            <v>1.6929487179487179</v>
          </cell>
          <cell r="CN73">
            <v>1.6929487179487179</v>
          </cell>
          <cell r="CO73">
            <v>0</v>
          </cell>
          <cell r="CP73">
            <v>0</v>
          </cell>
          <cell r="CQ73">
            <v>7.9029487179487177</v>
          </cell>
          <cell r="CR73">
            <v>90</v>
          </cell>
          <cell r="CS73">
            <v>1</v>
          </cell>
          <cell r="CT73">
            <v>0</v>
          </cell>
          <cell r="CU73">
            <v>0</v>
          </cell>
          <cell r="CV73">
            <v>12</v>
          </cell>
          <cell r="CW73">
            <v>24</v>
          </cell>
          <cell r="CX73">
            <v>48</v>
          </cell>
          <cell r="CY73">
            <v>2</v>
          </cell>
          <cell r="CZ73">
            <v>2</v>
          </cell>
          <cell r="DA73">
            <v>1.2</v>
          </cell>
          <cell r="DB73">
            <v>300</v>
          </cell>
          <cell r="DC73">
            <v>141</v>
          </cell>
          <cell r="DD73">
            <v>78</v>
          </cell>
          <cell r="DE73">
            <v>23</v>
          </cell>
          <cell r="DF73">
            <v>35</v>
          </cell>
          <cell r="DG73">
            <v>6</v>
          </cell>
          <cell r="DH73">
            <v>3</v>
          </cell>
          <cell r="DI73">
            <v>15</v>
          </cell>
        </row>
        <row r="74">
          <cell r="A74" t="str">
            <v>RS 125</v>
          </cell>
          <cell r="B74">
            <v>125</v>
          </cell>
          <cell r="C74" t="str">
            <v>S</v>
          </cell>
          <cell r="D74" t="str">
            <v>T</v>
          </cell>
          <cell r="E74" t="str">
            <v xml:space="preserve">Chibwana - Hoba. </v>
          </cell>
          <cell r="F74" t="str">
            <v>M03</v>
          </cell>
          <cell r="G74">
            <v>10</v>
          </cell>
          <cell r="H74">
            <v>10.8</v>
          </cell>
          <cell r="I74" t="str">
            <v>F</v>
          </cell>
          <cell r="J74" t="str">
            <v>MACHINGA</v>
          </cell>
          <cell r="K74">
            <v>8</v>
          </cell>
          <cell r="L74">
            <v>0</v>
          </cell>
          <cell r="W74">
            <v>74</v>
          </cell>
          <cell r="X74" t="str">
            <v>DS</v>
          </cell>
          <cell r="Y74">
            <v>150</v>
          </cell>
          <cell r="Z74" t="str">
            <v>SB</v>
          </cell>
          <cell r="AA74">
            <v>100</v>
          </cell>
          <cell r="AB74" t="str">
            <v>GR</v>
          </cell>
          <cell r="AC74">
            <v>6</v>
          </cell>
          <cell r="AD74" t="str">
            <v>VR</v>
          </cell>
          <cell r="AE74">
            <v>86</v>
          </cell>
          <cell r="AF74" t="str">
            <v>SR</v>
          </cell>
          <cell r="AG74" t="str">
            <v>ST</v>
          </cell>
          <cell r="AH74">
            <v>10</v>
          </cell>
          <cell r="AI74">
            <v>96</v>
          </cell>
          <cell r="AJ74" t="str">
            <v>SS</v>
          </cell>
          <cell r="AK74" t="str">
            <v>SS</v>
          </cell>
          <cell r="AL74">
            <v>5</v>
          </cell>
          <cell r="AM74">
            <v>3</v>
          </cell>
          <cell r="AN74">
            <v>0</v>
          </cell>
          <cell r="BO74" t="str">
            <v>RS 125</v>
          </cell>
          <cell r="BP74">
            <v>10.8</v>
          </cell>
          <cell r="BQ74">
            <v>6</v>
          </cell>
          <cell r="BR74" t="str">
            <v>F</v>
          </cell>
          <cell r="BS74" t="str">
            <v>S</v>
          </cell>
          <cell r="BT74">
            <v>0</v>
          </cell>
          <cell r="BU74" t="str">
            <v>SS</v>
          </cell>
          <cell r="BV74" t="str">
            <v>SR</v>
          </cell>
          <cell r="BW74">
            <v>3</v>
          </cell>
          <cell r="BX74">
            <v>5</v>
          </cell>
          <cell r="BY74">
            <v>10</v>
          </cell>
          <cell r="BZ74">
            <v>1</v>
          </cell>
          <cell r="CA74">
            <v>6</v>
          </cell>
          <cell r="CB74">
            <v>1.3540000000000001</v>
          </cell>
          <cell r="CC74">
            <v>5.78</v>
          </cell>
          <cell r="CD74">
            <v>60</v>
          </cell>
          <cell r="CE74">
            <v>6</v>
          </cell>
          <cell r="CF74">
            <v>0</v>
          </cell>
          <cell r="CG74">
            <v>60</v>
          </cell>
          <cell r="CH74">
            <v>6</v>
          </cell>
          <cell r="CI74">
            <v>76</v>
          </cell>
          <cell r="CJ74">
            <v>0.25333333333333335</v>
          </cell>
          <cell r="CK74">
            <v>0.25333333333333335</v>
          </cell>
          <cell r="CL74">
            <v>0</v>
          </cell>
          <cell r="CM74">
            <v>9.8215384615384621E-2</v>
          </cell>
          <cell r="CN74">
            <v>9.8215384615384621E-2</v>
          </cell>
          <cell r="CO74">
            <v>0</v>
          </cell>
          <cell r="CP74">
            <v>0</v>
          </cell>
          <cell r="CQ74">
            <v>5.8782153846153848</v>
          </cell>
          <cell r="CR74">
            <v>70</v>
          </cell>
          <cell r="CS74">
            <v>1</v>
          </cell>
          <cell r="CT74">
            <v>0</v>
          </cell>
          <cell r="CU74">
            <v>0</v>
          </cell>
          <cell r="CV74">
            <v>2</v>
          </cell>
          <cell r="CW74">
            <v>24</v>
          </cell>
          <cell r="CX74">
            <v>48</v>
          </cell>
          <cell r="CY74">
            <v>1.5</v>
          </cell>
          <cell r="CZ74">
            <v>2</v>
          </cell>
          <cell r="DA74">
            <v>1.2</v>
          </cell>
          <cell r="DB74">
            <v>300</v>
          </cell>
          <cell r="DC74">
            <v>141</v>
          </cell>
          <cell r="DD74">
            <v>78</v>
          </cell>
          <cell r="DE74">
            <v>23</v>
          </cell>
          <cell r="DF74">
            <v>35</v>
          </cell>
          <cell r="DG74">
            <v>6</v>
          </cell>
          <cell r="DH74">
            <v>3</v>
          </cell>
          <cell r="DI74">
            <v>15</v>
          </cell>
        </row>
        <row r="75">
          <cell r="A75" t="str">
            <v>RS 120</v>
          </cell>
          <cell r="B75">
            <v>120</v>
          </cell>
          <cell r="C75" t="str">
            <v>S</v>
          </cell>
          <cell r="D75" t="str">
            <v>T</v>
          </cell>
          <cell r="E75" t="str">
            <v>Hoba - Mpale River</v>
          </cell>
          <cell r="F75" t="str">
            <v>M03</v>
          </cell>
          <cell r="G75">
            <v>11</v>
          </cell>
          <cell r="H75">
            <v>14.6</v>
          </cell>
          <cell r="I75" t="str">
            <v>F</v>
          </cell>
          <cell r="J75" t="str">
            <v>MACHINGA</v>
          </cell>
          <cell r="K75">
            <v>8</v>
          </cell>
          <cell r="L75">
            <v>0</v>
          </cell>
          <cell r="W75">
            <v>74</v>
          </cell>
          <cell r="X75" t="str">
            <v>DS</v>
          </cell>
          <cell r="Y75">
            <v>150</v>
          </cell>
          <cell r="Z75" t="str">
            <v>SB</v>
          </cell>
          <cell r="AA75">
            <v>100</v>
          </cell>
          <cell r="AB75" t="str">
            <v>GR</v>
          </cell>
          <cell r="AC75">
            <v>6</v>
          </cell>
          <cell r="AD75" t="str">
            <v>VR</v>
          </cell>
          <cell r="AE75">
            <v>86</v>
          </cell>
          <cell r="AF75" t="str">
            <v>SR</v>
          </cell>
          <cell r="AG75" t="str">
            <v>ST</v>
          </cell>
          <cell r="AH75">
            <v>10</v>
          </cell>
          <cell r="AI75">
            <v>96</v>
          </cell>
          <cell r="AJ75" t="str">
            <v>SS</v>
          </cell>
          <cell r="AK75" t="str">
            <v>SS</v>
          </cell>
          <cell r="AL75">
            <v>5</v>
          </cell>
          <cell r="AM75">
            <v>3</v>
          </cell>
          <cell r="AN75">
            <v>0</v>
          </cell>
          <cell r="BO75" t="str">
            <v>RS 120</v>
          </cell>
          <cell r="BP75">
            <v>14.6</v>
          </cell>
          <cell r="BQ75">
            <v>6</v>
          </cell>
          <cell r="BR75" t="str">
            <v>F</v>
          </cell>
          <cell r="BS75" t="str">
            <v>S</v>
          </cell>
          <cell r="BT75">
            <v>0</v>
          </cell>
          <cell r="BU75" t="str">
            <v>SS</v>
          </cell>
          <cell r="BV75" t="str">
            <v>SR</v>
          </cell>
          <cell r="BW75">
            <v>3</v>
          </cell>
          <cell r="BX75">
            <v>5</v>
          </cell>
          <cell r="BY75">
            <v>10</v>
          </cell>
          <cell r="BZ75">
            <v>1</v>
          </cell>
          <cell r="CA75">
            <v>6</v>
          </cell>
          <cell r="CB75">
            <v>1.3540000000000001</v>
          </cell>
          <cell r="CC75">
            <v>4.87</v>
          </cell>
          <cell r="CD75">
            <v>20</v>
          </cell>
          <cell r="CE75">
            <v>0</v>
          </cell>
          <cell r="CF75">
            <v>0</v>
          </cell>
          <cell r="CG75">
            <v>20</v>
          </cell>
          <cell r="CH75">
            <v>0</v>
          </cell>
          <cell r="CI75">
            <v>3</v>
          </cell>
          <cell r="CJ75">
            <v>1.0000000000000002E-2</v>
          </cell>
          <cell r="CK75">
            <v>1.0000000000000002E-2</v>
          </cell>
          <cell r="CL75">
            <v>0</v>
          </cell>
          <cell r="CM75">
            <v>3.8769230769230782E-3</v>
          </cell>
          <cell r="CN75">
            <v>3.8769230769230782E-3</v>
          </cell>
          <cell r="CO75">
            <v>0</v>
          </cell>
          <cell r="CP75">
            <v>0</v>
          </cell>
          <cell r="CQ75">
            <v>4.8738769230769234</v>
          </cell>
          <cell r="CR75">
            <v>0</v>
          </cell>
          <cell r="CS75">
            <v>1</v>
          </cell>
          <cell r="CT75">
            <v>0</v>
          </cell>
          <cell r="CU75">
            <v>0</v>
          </cell>
          <cell r="CV75">
            <v>2</v>
          </cell>
          <cell r="CW75">
            <v>24</v>
          </cell>
          <cell r="CX75">
            <v>48</v>
          </cell>
          <cell r="CY75">
            <v>1.2</v>
          </cell>
          <cell r="CZ75">
            <v>1.5</v>
          </cell>
          <cell r="DA75">
            <v>1.1000000000000001</v>
          </cell>
          <cell r="DB75">
            <v>300</v>
          </cell>
          <cell r="DC75">
            <v>141</v>
          </cell>
          <cell r="DD75">
            <v>78</v>
          </cell>
          <cell r="DE75">
            <v>23</v>
          </cell>
          <cell r="DF75">
            <v>35</v>
          </cell>
          <cell r="DG75">
            <v>6</v>
          </cell>
          <cell r="DH75">
            <v>3</v>
          </cell>
          <cell r="DI75">
            <v>15</v>
          </cell>
        </row>
        <row r="76">
          <cell r="A76" t="str">
            <v>RS 129</v>
          </cell>
          <cell r="B76">
            <v>129</v>
          </cell>
          <cell r="C76" t="str">
            <v>S</v>
          </cell>
          <cell r="D76" t="str">
            <v>T</v>
          </cell>
          <cell r="E76" t="str">
            <v>Mpale River - Nkungulu</v>
          </cell>
          <cell r="F76" t="str">
            <v>M03</v>
          </cell>
          <cell r="G76">
            <v>12</v>
          </cell>
          <cell r="H76">
            <v>13</v>
          </cell>
          <cell r="I76" t="str">
            <v>R</v>
          </cell>
          <cell r="J76" t="str">
            <v>MACHINGA &amp; MANGOCHI</v>
          </cell>
          <cell r="K76">
            <v>8</v>
          </cell>
          <cell r="L76">
            <v>0</v>
          </cell>
          <cell r="W76">
            <v>74</v>
          </cell>
          <cell r="X76" t="str">
            <v>DS</v>
          </cell>
          <cell r="Y76">
            <v>150</v>
          </cell>
          <cell r="Z76" t="str">
            <v>SB</v>
          </cell>
          <cell r="AA76">
            <v>100</v>
          </cell>
          <cell r="AB76" t="str">
            <v>GR</v>
          </cell>
          <cell r="AC76">
            <v>6</v>
          </cell>
          <cell r="AD76" t="str">
            <v>VR</v>
          </cell>
          <cell r="AE76">
            <v>86</v>
          </cell>
          <cell r="AF76" t="str">
            <v>SR</v>
          </cell>
          <cell r="AG76" t="str">
            <v>ST</v>
          </cell>
          <cell r="AH76">
            <v>10</v>
          </cell>
          <cell r="AI76">
            <v>96</v>
          </cell>
          <cell r="AJ76" t="str">
            <v>SS</v>
          </cell>
          <cell r="AK76" t="str">
            <v>SS</v>
          </cell>
          <cell r="AL76">
            <v>5</v>
          </cell>
          <cell r="AM76">
            <v>3</v>
          </cell>
          <cell r="AN76">
            <v>0</v>
          </cell>
          <cell r="BO76" t="str">
            <v>RS 129</v>
          </cell>
          <cell r="BP76">
            <v>13</v>
          </cell>
          <cell r="BQ76">
            <v>6</v>
          </cell>
          <cell r="BR76" t="str">
            <v>R</v>
          </cell>
          <cell r="BS76" t="str">
            <v>S</v>
          </cell>
          <cell r="BT76">
            <v>0</v>
          </cell>
          <cell r="BU76" t="str">
            <v>SS</v>
          </cell>
          <cell r="BV76" t="str">
            <v>SR</v>
          </cell>
          <cell r="BW76">
            <v>3</v>
          </cell>
          <cell r="BX76">
            <v>5</v>
          </cell>
          <cell r="BY76">
            <v>10</v>
          </cell>
          <cell r="BZ76">
            <v>1</v>
          </cell>
          <cell r="CA76">
            <v>6</v>
          </cell>
          <cell r="CB76">
            <v>1.3540000000000001</v>
          </cell>
          <cell r="CC76">
            <v>3.2750301575393848</v>
          </cell>
          <cell r="CD76">
            <v>70</v>
          </cell>
          <cell r="CE76">
            <v>15</v>
          </cell>
          <cell r="CF76">
            <v>0</v>
          </cell>
          <cell r="CG76">
            <v>70</v>
          </cell>
          <cell r="CH76">
            <v>15</v>
          </cell>
          <cell r="CI76">
            <v>11</v>
          </cell>
          <cell r="CJ76">
            <v>3.6666666666666667E-2</v>
          </cell>
          <cell r="CK76">
            <v>3.6666666666666667E-2</v>
          </cell>
          <cell r="CL76">
            <v>0</v>
          </cell>
          <cell r="CM76">
            <v>1.4215384615384618E-2</v>
          </cell>
          <cell r="CN76">
            <v>1.4215384615384618E-2</v>
          </cell>
          <cell r="CO76">
            <v>0</v>
          </cell>
          <cell r="CP76">
            <v>0</v>
          </cell>
          <cell r="CQ76">
            <v>3.2892455421547693</v>
          </cell>
          <cell r="CR76">
            <v>10</v>
          </cell>
          <cell r="CS76">
            <v>1</v>
          </cell>
          <cell r="CT76">
            <v>0</v>
          </cell>
          <cell r="CU76">
            <v>0</v>
          </cell>
          <cell r="CV76">
            <v>2</v>
          </cell>
          <cell r="CW76">
            <v>24</v>
          </cell>
          <cell r="CX76">
            <v>48</v>
          </cell>
          <cell r="CY76">
            <v>1.2</v>
          </cell>
          <cell r="CZ76">
            <v>1.5</v>
          </cell>
          <cell r="DA76">
            <v>1.1000000000000001</v>
          </cell>
          <cell r="DB76">
            <v>300</v>
          </cell>
          <cell r="DC76">
            <v>141</v>
          </cell>
          <cell r="DD76">
            <v>78</v>
          </cell>
          <cell r="DE76">
            <v>23</v>
          </cell>
          <cell r="DF76">
            <v>35</v>
          </cell>
          <cell r="DG76">
            <v>6</v>
          </cell>
          <cell r="DH76">
            <v>3</v>
          </cell>
          <cell r="DI76">
            <v>15</v>
          </cell>
        </row>
        <row r="77">
          <cell r="A77" t="str">
            <v>RS 321</v>
          </cell>
          <cell r="B77">
            <v>143</v>
          </cell>
          <cell r="C77" t="str">
            <v>S</v>
          </cell>
          <cell r="D77" t="str">
            <v>T</v>
          </cell>
          <cell r="E77" t="str">
            <v>Nkungulu - Mangochi</v>
          </cell>
          <cell r="F77" t="str">
            <v>M03</v>
          </cell>
          <cell r="G77">
            <v>13</v>
          </cell>
          <cell r="H77">
            <v>21.3</v>
          </cell>
          <cell r="I77" t="str">
            <v>F</v>
          </cell>
          <cell r="J77" t="str">
            <v>MANGOCHI</v>
          </cell>
          <cell r="K77">
            <v>8</v>
          </cell>
          <cell r="L77">
            <v>0</v>
          </cell>
          <cell r="W77">
            <v>74</v>
          </cell>
          <cell r="X77" t="str">
            <v>DS</v>
          </cell>
          <cell r="Y77">
            <v>100</v>
          </cell>
          <cell r="Z77" t="str">
            <v>SB</v>
          </cell>
          <cell r="AA77">
            <v>100</v>
          </cell>
          <cell r="AB77" t="str">
            <v>GR</v>
          </cell>
          <cell r="AC77">
            <v>6</v>
          </cell>
          <cell r="AD77" t="str">
            <v>VR</v>
          </cell>
          <cell r="AE77">
            <v>0</v>
          </cell>
          <cell r="AF77">
            <v>0</v>
          </cell>
          <cell r="AG77">
            <v>0</v>
          </cell>
          <cell r="AH77">
            <v>0</v>
          </cell>
          <cell r="AI77">
            <v>0</v>
          </cell>
          <cell r="AJ77">
            <v>0</v>
          </cell>
          <cell r="AK77">
            <v>0</v>
          </cell>
          <cell r="AL77">
            <v>0</v>
          </cell>
          <cell r="AM77">
            <v>1</v>
          </cell>
          <cell r="AN77" t="str">
            <v>never resealed</v>
          </cell>
          <cell r="BO77" t="str">
            <v>RS 321</v>
          </cell>
          <cell r="BP77">
            <v>21.3</v>
          </cell>
          <cell r="BQ77">
            <v>6</v>
          </cell>
          <cell r="BR77" t="str">
            <v>F</v>
          </cell>
          <cell r="BS77" t="str">
            <v>C</v>
          </cell>
          <cell r="BT77">
            <v>0</v>
          </cell>
          <cell r="BU77" t="str">
            <v>DS</v>
          </cell>
          <cell r="BV77" t="str">
            <v/>
          </cell>
          <cell r="BW77">
            <v>1</v>
          </cell>
          <cell r="BX77">
            <v>15</v>
          </cell>
          <cell r="BY77" t="str">
            <v/>
          </cell>
          <cell r="BZ77">
            <v>1</v>
          </cell>
          <cell r="CA77">
            <v>6</v>
          </cell>
          <cell r="CB77">
            <v>1.177</v>
          </cell>
          <cell r="CC77">
            <v>4.2485348973607042</v>
          </cell>
          <cell r="CD77">
            <v>97</v>
          </cell>
          <cell r="CE77">
            <v>68</v>
          </cell>
          <cell r="CF77">
            <v>53</v>
          </cell>
          <cell r="CG77">
            <v>44</v>
          </cell>
          <cell r="CH77">
            <v>15</v>
          </cell>
          <cell r="CI77">
            <v>4.5</v>
          </cell>
          <cell r="CJ77">
            <v>1.5000000000000001E-2</v>
          </cell>
          <cell r="CK77">
            <v>10</v>
          </cell>
          <cell r="CL77">
            <v>53</v>
          </cell>
          <cell r="CM77">
            <v>0.45628076923076921</v>
          </cell>
          <cell r="CN77">
            <v>0.45628076923076921</v>
          </cell>
          <cell r="CO77">
            <v>0</v>
          </cell>
          <cell r="CP77">
            <v>0</v>
          </cell>
          <cell r="CQ77">
            <v>4.7048156665914735</v>
          </cell>
          <cell r="CR77">
            <v>20</v>
          </cell>
          <cell r="CS77">
            <v>1</v>
          </cell>
          <cell r="CT77">
            <v>0</v>
          </cell>
          <cell r="CU77">
            <v>0</v>
          </cell>
          <cell r="CV77">
            <v>24</v>
          </cell>
          <cell r="CW77">
            <v>24</v>
          </cell>
          <cell r="CX77" t="str">
            <v/>
          </cell>
          <cell r="CY77">
            <v>2</v>
          </cell>
          <cell r="CZ77">
            <v>1.8</v>
          </cell>
          <cell r="DA77">
            <v>1.5</v>
          </cell>
          <cell r="DB77">
            <v>300</v>
          </cell>
          <cell r="DC77">
            <v>141</v>
          </cell>
          <cell r="DD77">
            <v>78</v>
          </cell>
          <cell r="DE77">
            <v>23</v>
          </cell>
          <cell r="DF77">
            <v>35</v>
          </cell>
          <cell r="DG77">
            <v>6</v>
          </cell>
          <cell r="DH77">
            <v>3</v>
          </cell>
          <cell r="DI77">
            <v>15</v>
          </cell>
        </row>
        <row r="78">
          <cell r="A78" t="str">
            <v>RS 322</v>
          </cell>
          <cell r="B78">
            <v>144</v>
          </cell>
          <cell r="C78" t="str">
            <v>S</v>
          </cell>
          <cell r="D78" t="str">
            <v>T</v>
          </cell>
          <cell r="E78" t="str">
            <v>Mangochi - Chingo</v>
          </cell>
          <cell r="F78" t="str">
            <v>M03</v>
          </cell>
          <cell r="G78">
            <v>14</v>
          </cell>
          <cell r="H78">
            <v>6</v>
          </cell>
          <cell r="I78" t="str">
            <v>R</v>
          </cell>
          <cell r="J78" t="str">
            <v>MANGOCHI</v>
          </cell>
          <cell r="K78">
            <v>8</v>
          </cell>
          <cell r="L78">
            <v>0</v>
          </cell>
          <cell r="W78">
            <v>81</v>
          </cell>
          <cell r="X78" t="str">
            <v>ST</v>
          </cell>
          <cell r="Y78">
            <v>150</v>
          </cell>
          <cell r="Z78" t="str">
            <v>SB</v>
          </cell>
          <cell r="AA78">
            <v>150</v>
          </cell>
          <cell r="AB78" t="str">
            <v>GR</v>
          </cell>
          <cell r="AC78">
            <v>6</v>
          </cell>
          <cell r="AD78" t="str">
            <v>VR</v>
          </cell>
          <cell r="AE78">
            <v>0</v>
          </cell>
          <cell r="AF78">
            <v>0</v>
          </cell>
          <cell r="AG78">
            <v>0</v>
          </cell>
          <cell r="AH78">
            <v>0</v>
          </cell>
          <cell r="AI78">
            <v>0</v>
          </cell>
          <cell r="AJ78">
            <v>0</v>
          </cell>
          <cell r="AK78">
            <v>0</v>
          </cell>
          <cell r="AL78">
            <v>0</v>
          </cell>
          <cell r="AM78">
            <v>1</v>
          </cell>
          <cell r="AN78" t="str">
            <v>never resealed</v>
          </cell>
          <cell r="BO78" t="str">
            <v>RS 322</v>
          </cell>
          <cell r="BP78">
            <v>6</v>
          </cell>
          <cell r="BQ78">
            <v>6</v>
          </cell>
          <cell r="BR78" t="str">
            <v>R</v>
          </cell>
          <cell r="BS78" t="str">
            <v>C</v>
          </cell>
          <cell r="BT78">
            <v>30</v>
          </cell>
          <cell r="BU78" t="str">
            <v>ST</v>
          </cell>
          <cell r="BV78" t="str">
            <v/>
          </cell>
          <cell r="BW78">
            <v>1</v>
          </cell>
          <cell r="BX78">
            <v>10</v>
          </cell>
          <cell r="BY78" t="str">
            <v/>
          </cell>
          <cell r="BZ78">
            <v>1</v>
          </cell>
          <cell r="CA78">
            <v>6</v>
          </cell>
          <cell r="CB78">
            <v>1.508</v>
          </cell>
          <cell r="CC78">
            <v>8</v>
          </cell>
          <cell r="CD78">
            <v>95</v>
          </cell>
          <cell r="CE78">
            <v>80</v>
          </cell>
          <cell r="CF78">
            <v>65</v>
          </cell>
          <cell r="CG78">
            <v>30</v>
          </cell>
          <cell r="CH78">
            <v>15</v>
          </cell>
          <cell r="CI78">
            <v>8</v>
          </cell>
          <cell r="CJ78">
            <v>2.6666666666666668E-2</v>
          </cell>
          <cell r="CK78">
            <v>10</v>
          </cell>
          <cell r="CL78">
            <v>65</v>
          </cell>
          <cell r="CM78">
            <v>0.5400717948717948</v>
          </cell>
          <cell r="CN78">
            <v>0.5400717948717948</v>
          </cell>
          <cell r="CO78">
            <v>0</v>
          </cell>
          <cell r="CP78">
            <v>0</v>
          </cell>
          <cell r="CQ78">
            <v>8.5400717948717944</v>
          </cell>
          <cell r="CR78">
            <v>20</v>
          </cell>
          <cell r="CS78">
            <v>1</v>
          </cell>
          <cell r="CT78">
            <v>0</v>
          </cell>
          <cell r="CU78">
            <v>0</v>
          </cell>
          <cell r="CV78">
            <v>17</v>
          </cell>
          <cell r="CW78">
            <v>17</v>
          </cell>
          <cell r="CX78" t="str">
            <v/>
          </cell>
          <cell r="CY78">
            <v>2</v>
          </cell>
          <cell r="CZ78">
            <v>2</v>
          </cell>
          <cell r="DA78">
            <v>1.5</v>
          </cell>
          <cell r="DB78">
            <v>250</v>
          </cell>
          <cell r="DC78">
            <v>118</v>
          </cell>
          <cell r="DD78">
            <v>65</v>
          </cell>
          <cell r="DE78">
            <v>19</v>
          </cell>
          <cell r="DF78">
            <v>29</v>
          </cell>
          <cell r="DG78">
            <v>5</v>
          </cell>
          <cell r="DH78">
            <v>3</v>
          </cell>
          <cell r="DI78">
            <v>13</v>
          </cell>
        </row>
        <row r="79">
          <cell r="A79" t="str">
            <v>RS 324</v>
          </cell>
          <cell r="B79">
            <v>146</v>
          </cell>
          <cell r="C79" t="str">
            <v>S</v>
          </cell>
          <cell r="D79" t="str">
            <v>T</v>
          </cell>
          <cell r="E79" t="str">
            <v>Chingo - Mbalula</v>
          </cell>
          <cell r="F79" t="str">
            <v>M03</v>
          </cell>
          <cell r="G79">
            <v>15</v>
          </cell>
          <cell r="H79">
            <v>6</v>
          </cell>
          <cell r="I79" t="str">
            <v>R</v>
          </cell>
          <cell r="J79" t="str">
            <v>MANGOCHI</v>
          </cell>
          <cell r="K79">
            <v>7</v>
          </cell>
          <cell r="L79">
            <v>0</v>
          </cell>
          <cell r="W79">
            <v>81</v>
          </cell>
          <cell r="X79" t="str">
            <v>ST</v>
          </cell>
          <cell r="Y79">
            <v>150</v>
          </cell>
          <cell r="Z79" t="str">
            <v>SB</v>
          </cell>
          <cell r="AA79">
            <v>150</v>
          </cell>
          <cell r="AB79" t="str">
            <v>GR</v>
          </cell>
          <cell r="AC79">
            <v>6</v>
          </cell>
          <cell r="AD79" t="str">
            <v>VR</v>
          </cell>
          <cell r="AE79">
            <v>0</v>
          </cell>
          <cell r="AF79">
            <v>0</v>
          </cell>
          <cell r="AG79">
            <v>0</v>
          </cell>
          <cell r="AH79">
            <v>0</v>
          </cell>
          <cell r="AI79">
            <v>0</v>
          </cell>
          <cell r="AJ79">
            <v>0</v>
          </cell>
          <cell r="AK79">
            <v>0</v>
          </cell>
          <cell r="AL79">
            <v>0</v>
          </cell>
          <cell r="AM79">
            <v>1</v>
          </cell>
          <cell r="AN79" t="str">
            <v>never resealed</v>
          </cell>
          <cell r="BO79" t="str">
            <v>RS 324</v>
          </cell>
          <cell r="BP79">
            <v>6</v>
          </cell>
          <cell r="BQ79">
            <v>6</v>
          </cell>
          <cell r="BR79" t="str">
            <v>R</v>
          </cell>
          <cell r="BS79" t="str">
            <v>C</v>
          </cell>
          <cell r="BT79">
            <v>0</v>
          </cell>
          <cell r="BU79" t="str">
            <v>ST</v>
          </cell>
          <cell r="BV79" t="str">
            <v/>
          </cell>
          <cell r="BW79">
            <v>1</v>
          </cell>
          <cell r="BX79">
            <v>10</v>
          </cell>
          <cell r="BY79" t="str">
            <v/>
          </cell>
          <cell r="BZ79">
            <v>1</v>
          </cell>
          <cell r="CA79">
            <v>6</v>
          </cell>
          <cell r="CB79">
            <v>1.508</v>
          </cell>
          <cell r="CC79">
            <v>8</v>
          </cell>
          <cell r="CD79">
            <v>85</v>
          </cell>
          <cell r="CE79">
            <v>60</v>
          </cell>
          <cell r="CF79">
            <v>45</v>
          </cell>
          <cell r="CG79">
            <v>40</v>
          </cell>
          <cell r="CH79">
            <v>15</v>
          </cell>
          <cell r="CI79">
            <v>10</v>
          </cell>
          <cell r="CJ79">
            <v>3.3333333333333333E-2</v>
          </cell>
          <cell r="CK79">
            <v>10</v>
          </cell>
          <cell r="CL79">
            <v>45</v>
          </cell>
          <cell r="CM79">
            <v>0.41028205128205131</v>
          </cell>
          <cell r="CN79">
            <v>0.41028205128205131</v>
          </cell>
          <cell r="CO79">
            <v>0</v>
          </cell>
          <cell r="CP79">
            <v>0</v>
          </cell>
          <cell r="CQ79">
            <v>8.4102820512820511</v>
          </cell>
          <cell r="CR79">
            <v>20</v>
          </cell>
          <cell r="CS79">
            <v>1</v>
          </cell>
          <cell r="CT79">
            <v>0</v>
          </cell>
          <cell r="CU79">
            <v>0</v>
          </cell>
          <cell r="CV79">
            <v>17</v>
          </cell>
          <cell r="CW79">
            <v>17</v>
          </cell>
          <cell r="CX79" t="str">
            <v/>
          </cell>
          <cell r="CY79">
            <v>2</v>
          </cell>
          <cell r="CZ79">
            <v>2</v>
          </cell>
          <cell r="DA79">
            <v>1.5</v>
          </cell>
          <cell r="DB79">
            <v>250</v>
          </cell>
          <cell r="DC79">
            <v>118</v>
          </cell>
          <cell r="DD79">
            <v>65</v>
          </cell>
          <cell r="DE79">
            <v>19</v>
          </cell>
          <cell r="DF79">
            <v>29</v>
          </cell>
          <cell r="DG79">
            <v>5</v>
          </cell>
          <cell r="DH79">
            <v>3</v>
          </cell>
          <cell r="DI79">
            <v>13</v>
          </cell>
        </row>
        <row r="80">
          <cell r="A80" t="str">
            <v>RS 326</v>
          </cell>
          <cell r="B80">
            <v>148</v>
          </cell>
          <cell r="C80" t="str">
            <v>S</v>
          </cell>
          <cell r="D80" t="str">
            <v>T</v>
          </cell>
          <cell r="E80" t="str">
            <v>Chowe - Matola</v>
          </cell>
          <cell r="F80" t="str">
            <v>M03</v>
          </cell>
          <cell r="G80">
            <v>17</v>
          </cell>
          <cell r="H80">
            <v>4.7</v>
          </cell>
          <cell r="I80" t="str">
            <v>R</v>
          </cell>
          <cell r="J80" t="str">
            <v>MANGOCHI</v>
          </cell>
          <cell r="K80">
            <v>7</v>
          </cell>
          <cell r="L80">
            <v>0</v>
          </cell>
          <cell r="W80">
            <v>81</v>
          </cell>
          <cell r="X80" t="str">
            <v>ST</v>
          </cell>
          <cell r="Y80">
            <v>150</v>
          </cell>
          <cell r="Z80" t="str">
            <v>SB</v>
          </cell>
          <cell r="AA80">
            <v>150</v>
          </cell>
          <cell r="AB80" t="str">
            <v>GR</v>
          </cell>
          <cell r="AC80">
            <v>6</v>
          </cell>
          <cell r="AD80" t="str">
            <v>VR</v>
          </cell>
          <cell r="AE80">
            <v>0</v>
          </cell>
          <cell r="AF80">
            <v>0</v>
          </cell>
          <cell r="AG80">
            <v>0</v>
          </cell>
          <cell r="AH80">
            <v>0</v>
          </cell>
          <cell r="AI80">
            <v>0</v>
          </cell>
          <cell r="AJ80">
            <v>0</v>
          </cell>
          <cell r="AK80">
            <v>0</v>
          </cell>
          <cell r="AL80">
            <v>0</v>
          </cell>
          <cell r="AM80">
            <v>1</v>
          </cell>
          <cell r="AN80" t="str">
            <v>never resealed</v>
          </cell>
          <cell r="BO80" t="str">
            <v>RS 326</v>
          </cell>
          <cell r="BP80">
            <v>4.7</v>
          </cell>
          <cell r="BQ80">
            <v>6</v>
          </cell>
          <cell r="BR80" t="str">
            <v>R</v>
          </cell>
          <cell r="BS80" t="str">
            <v>C</v>
          </cell>
          <cell r="BT80">
            <v>0</v>
          </cell>
          <cell r="BU80" t="str">
            <v>ST</v>
          </cell>
          <cell r="BV80" t="str">
            <v/>
          </cell>
          <cell r="BW80">
            <v>1</v>
          </cell>
          <cell r="BX80">
            <v>10</v>
          </cell>
          <cell r="BY80" t="str">
            <v/>
          </cell>
          <cell r="BZ80">
            <v>1</v>
          </cell>
          <cell r="CA80">
            <v>6</v>
          </cell>
          <cell r="CB80">
            <v>1.508</v>
          </cell>
          <cell r="CC80">
            <v>8</v>
          </cell>
          <cell r="CD80">
            <v>90</v>
          </cell>
          <cell r="CE80">
            <v>75</v>
          </cell>
          <cell r="CF80">
            <v>60</v>
          </cell>
          <cell r="CG80">
            <v>30</v>
          </cell>
          <cell r="CH80">
            <v>15</v>
          </cell>
          <cell r="CI80">
            <v>5</v>
          </cell>
          <cell r="CJ80">
            <v>1.6666666666666666E-2</v>
          </cell>
          <cell r="CK80">
            <v>10</v>
          </cell>
          <cell r="CL80">
            <v>60</v>
          </cell>
          <cell r="CM80">
            <v>0.50321794871794867</v>
          </cell>
          <cell r="CN80">
            <v>0.50321794871794867</v>
          </cell>
          <cell r="CO80">
            <v>0</v>
          </cell>
          <cell r="CP80">
            <v>0</v>
          </cell>
          <cell r="CQ80">
            <v>8.503217948717948</v>
          </cell>
          <cell r="CR80">
            <v>20</v>
          </cell>
          <cell r="CS80">
            <v>1</v>
          </cell>
          <cell r="CT80">
            <v>0</v>
          </cell>
          <cell r="CU80">
            <v>0</v>
          </cell>
          <cell r="CV80">
            <v>17</v>
          </cell>
          <cell r="CW80">
            <v>17</v>
          </cell>
          <cell r="CX80" t="str">
            <v/>
          </cell>
          <cell r="CY80">
            <v>2</v>
          </cell>
          <cell r="CZ80">
            <v>2</v>
          </cell>
          <cell r="DA80">
            <v>1.5</v>
          </cell>
          <cell r="DB80">
            <v>120</v>
          </cell>
          <cell r="DC80">
            <v>57</v>
          </cell>
          <cell r="DD80">
            <v>32</v>
          </cell>
          <cell r="DE80">
            <v>9</v>
          </cell>
          <cell r="DF80">
            <v>14</v>
          </cell>
          <cell r="DG80">
            <v>3</v>
          </cell>
          <cell r="DH80">
            <v>2</v>
          </cell>
          <cell r="DI80">
            <v>6</v>
          </cell>
        </row>
        <row r="81">
          <cell r="A81" t="str">
            <v>RS 107</v>
          </cell>
          <cell r="B81">
            <v>107</v>
          </cell>
          <cell r="C81" t="str">
            <v>S</v>
          </cell>
          <cell r="D81" t="str">
            <v>T</v>
          </cell>
          <cell r="E81" t="str">
            <v>Limbe - Gogomwa</v>
          </cell>
          <cell r="F81" t="str">
            <v>M04</v>
          </cell>
          <cell r="G81">
            <v>1</v>
          </cell>
          <cell r="H81">
            <v>5.6</v>
          </cell>
          <cell r="I81" t="str">
            <v>R</v>
          </cell>
          <cell r="J81" t="str">
            <v>BLANTYRE</v>
          </cell>
          <cell r="K81">
            <v>9</v>
          </cell>
          <cell r="L81" t="str">
            <v>Changed designation from M2 to M4</v>
          </cell>
          <cell r="W81">
            <v>58</v>
          </cell>
          <cell r="X81" t="str">
            <v>ST</v>
          </cell>
          <cell r="Y81">
            <v>400</v>
          </cell>
          <cell r="Z81" t="str">
            <v>SB</v>
          </cell>
          <cell r="AA81">
            <v>125</v>
          </cell>
          <cell r="AB81" t="str">
            <v>GR</v>
          </cell>
          <cell r="AC81">
            <v>19</v>
          </cell>
          <cell r="AD81" t="str">
            <v>VR</v>
          </cell>
          <cell r="AE81">
            <v>0</v>
          </cell>
          <cell r="AF81">
            <v>0</v>
          </cell>
          <cell r="AG81">
            <v>0</v>
          </cell>
          <cell r="AH81">
            <v>0</v>
          </cell>
          <cell r="AI81">
            <v>0</v>
          </cell>
          <cell r="AJ81">
            <v>0</v>
          </cell>
          <cell r="AK81">
            <v>0</v>
          </cell>
          <cell r="AL81">
            <v>0</v>
          </cell>
          <cell r="AM81">
            <v>1</v>
          </cell>
          <cell r="AN81" t="str">
            <v>bitumen removed 4km</v>
          </cell>
          <cell r="BO81" t="str">
            <v>RS 107</v>
          </cell>
          <cell r="BP81">
            <v>5.6</v>
          </cell>
          <cell r="BQ81">
            <v>6</v>
          </cell>
          <cell r="BR81" t="str">
            <v>R</v>
          </cell>
          <cell r="BS81" t="str">
            <v>C</v>
          </cell>
          <cell r="BT81">
            <v>70</v>
          </cell>
          <cell r="BU81" t="str">
            <v>ST</v>
          </cell>
          <cell r="BV81" t="str">
            <v/>
          </cell>
          <cell r="BW81">
            <v>1</v>
          </cell>
          <cell r="BX81">
            <v>10</v>
          </cell>
          <cell r="BY81" t="str">
            <v/>
          </cell>
          <cell r="BZ81">
            <v>1</v>
          </cell>
          <cell r="CA81">
            <v>19</v>
          </cell>
          <cell r="CB81">
            <v>1.258</v>
          </cell>
          <cell r="CC81">
            <v>7.976293094129149</v>
          </cell>
          <cell r="CD81">
            <v>95</v>
          </cell>
          <cell r="CE81">
            <v>80</v>
          </cell>
          <cell r="CF81">
            <v>65</v>
          </cell>
          <cell r="CG81">
            <v>30</v>
          </cell>
          <cell r="CH81">
            <v>15</v>
          </cell>
          <cell r="CI81">
            <v>6</v>
          </cell>
          <cell r="CJ81">
            <v>2.0000000000000004E-2</v>
          </cell>
          <cell r="CK81">
            <v>10</v>
          </cell>
          <cell r="CL81">
            <v>65</v>
          </cell>
          <cell r="CM81">
            <v>0.53755384615384616</v>
          </cell>
          <cell r="CN81">
            <v>0.53755384615384616</v>
          </cell>
          <cell r="CO81">
            <v>0</v>
          </cell>
          <cell r="CP81">
            <v>0</v>
          </cell>
          <cell r="CQ81">
            <v>8.5138469402829955</v>
          </cell>
          <cell r="CR81">
            <v>20</v>
          </cell>
          <cell r="CS81">
            <v>1</v>
          </cell>
          <cell r="CT81">
            <v>0</v>
          </cell>
          <cell r="CU81">
            <v>0</v>
          </cell>
          <cell r="CV81">
            <v>40</v>
          </cell>
          <cell r="CW81">
            <v>40</v>
          </cell>
          <cell r="CX81" t="str">
            <v/>
          </cell>
          <cell r="CY81">
            <v>2</v>
          </cell>
          <cell r="CZ81">
            <v>2</v>
          </cell>
          <cell r="DA81">
            <v>1.5</v>
          </cell>
          <cell r="DB81">
            <v>900</v>
          </cell>
          <cell r="DC81">
            <v>423</v>
          </cell>
          <cell r="DD81">
            <v>234</v>
          </cell>
          <cell r="DE81">
            <v>68</v>
          </cell>
          <cell r="DF81">
            <v>104</v>
          </cell>
          <cell r="DG81">
            <v>18</v>
          </cell>
          <cell r="DH81">
            <v>9</v>
          </cell>
          <cell r="DI81">
            <v>45</v>
          </cell>
        </row>
        <row r="82">
          <cell r="A82" t="str">
            <v>RS 331</v>
          </cell>
          <cell r="B82">
            <v>153</v>
          </cell>
          <cell r="C82" t="str">
            <v>S</v>
          </cell>
          <cell r="D82" t="str">
            <v>T</v>
          </cell>
          <cell r="E82" t="str">
            <v>Gogomwa - Mikolongwe</v>
          </cell>
          <cell r="F82" t="str">
            <v>M04</v>
          </cell>
          <cell r="G82">
            <v>2</v>
          </cell>
          <cell r="H82">
            <v>11.9</v>
          </cell>
          <cell r="I82" t="str">
            <v>H</v>
          </cell>
          <cell r="J82" t="str">
            <v>CHIRADZULU</v>
          </cell>
          <cell r="K82">
            <v>9</v>
          </cell>
          <cell r="L82">
            <v>0</v>
          </cell>
          <cell r="W82">
            <v>58</v>
          </cell>
          <cell r="X82" t="str">
            <v>ST</v>
          </cell>
          <cell r="Y82">
            <v>400</v>
          </cell>
          <cell r="Z82" t="str">
            <v>SB</v>
          </cell>
          <cell r="AA82">
            <v>125</v>
          </cell>
          <cell r="AB82" t="str">
            <v>GR</v>
          </cell>
          <cell r="AC82">
            <v>19</v>
          </cell>
          <cell r="AD82" t="str">
            <v>VR</v>
          </cell>
          <cell r="AE82">
            <v>0</v>
          </cell>
          <cell r="AF82">
            <v>0</v>
          </cell>
          <cell r="AG82">
            <v>0</v>
          </cell>
          <cell r="AH82">
            <v>0</v>
          </cell>
          <cell r="AI82">
            <v>0</v>
          </cell>
          <cell r="AJ82">
            <v>0</v>
          </cell>
          <cell r="AK82">
            <v>0</v>
          </cell>
          <cell r="AL82">
            <v>0</v>
          </cell>
          <cell r="AM82">
            <v>1</v>
          </cell>
          <cell r="AN82" t="str">
            <v>never resealed</v>
          </cell>
          <cell r="BO82" t="str">
            <v>RS 331</v>
          </cell>
          <cell r="BP82">
            <v>11.9</v>
          </cell>
          <cell r="BQ82" t="str">
            <v>n.a.</v>
          </cell>
          <cell r="BR82" t="str">
            <v>H</v>
          </cell>
          <cell r="BS82">
            <v>0</v>
          </cell>
          <cell r="BT82">
            <v>100</v>
          </cell>
          <cell r="BU82" t="str">
            <v>ST</v>
          </cell>
          <cell r="BV82" t="str">
            <v/>
          </cell>
          <cell r="BW82">
            <v>1</v>
          </cell>
          <cell r="BX82">
            <v>10</v>
          </cell>
          <cell r="BY82" t="str">
            <v/>
          </cell>
          <cell r="BZ82">
            <v>1</v>
          </cell>
          <cell r="CA82">
            <v>0</v>
          </cell>
          <cell r="CB82">
            <v>0</v>
          </cell>
          <cell r="CC82" t="str">
            <v>bitumen surface removed</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t="str">
            <v>n.a.</v>
          </cell>
          <cell r="CZ82" t="str">
            <v>n.a.</v>
          </cell>
          <cell r="DA82">
            <v>1.5</v>
          </cell>
          <cell r="DB82">
            <v>880</v>
          </cell>
          <cell r="DC82">
            <v>414</v>
          </cell>
          <cell r="DD82">
            <v>229</v>
          </cell>
          <cell r="DE82">
            <v>66</v>
          </cell>
          <cell r="DF82">
            <v>102</v>
          </cell>
          <cell r="DG82">
            <v>18</v>
          </cell>
          <cell r="DH82">
            <v>9</v>
          </cell>
          <cell r="DI82">
            <v>44</v>
          </cell>
        </row>
        <row r="83">
          <cell r="A83" t="str">
            <v>RS 005</v>
          </cell>
          <cell r="B83" t="str">
            <v>5</v>
          </cell>
          <cell r="C83" t="str">
            <v>N</v>
          </cell>
          <cell r="D83" t="str">
            <v>T</v>
          </cell>
          <cell r="E83" t="str">
            <v>Mzuzu - Nkhata Bay t/off (Kalwe)</v>
          </cell>
          <cell r="F83" t="str">
            <v>M05</v>
          </cell>
          <cell r="G83">
            <v>1</v>
          </cell>
          <cell r="H83">
            <v>45</v>
          </cell>
          <cell r="I83" t="str">
            <v>F</v>
          </cell>
          <cell r="J83" t="str">
            <v>MZIMBA &amp; NKHAT BAY</v>
          </cell>
          <cell r="K83">
            <v>3</v>
          </cell>
          <cell r="L83">
            <v>0</v>
          </cell>
          <cell r="W83">
            <v>75</v>
          </cell>
          <cell r="X83" t="str">
            <v>ST</v>
          </cell>
          <cell r="Y83">
            <v>150</v>
          </cell>
          <cell r="Z83" t="str">
            <v>SG</v>
          </cell>
          <cell r="AA83">
            <v>100</v>
          </cell>
          <cell r="AB83" t="str">
            <v>GR</v>
          </cell>
          <cell r="AC83">
            <v>7</v>
          </cell>
          <cell r="AD83" t="str">
            <v>VR</v>
          </cell>
          <cell r="AE83">
            <v>0</v>
          </cell>
          <cell r="AF83">
            <v>0</v>
          </cell>
          <cell r="AG83">
            <v>0</v>
          </cell>
          <cell r="AH83">
            <v>0</v>
          </cell>
          <cell r="AI83">
            <v>0</v>
          </cell>
          <cell r="AJ83">
            <v>0</v>
          </cell>
          <cell r="AK83">
            <v>0</v>
          </cell>
          <cell r="AL83">
            <v>0</v>
          </cell>
          <cell r="AM83">
            <v>1</v>
          </cell>
          <cell r="AN83" t="str">
            <v>never resealed</v>
          </cell>
          <cell r="BO83" t="str">
            <v>RS 005</v>
          </cell>
          <cell r="BP83">
            <v>45</v>
          </cell>
          <cell r="BQ83">
            <v>6</v>
          </cell>
          <cell r="BR83" t="str">
            <v>F</v>
          </cell>
          <cell r="BS83" t="str">
            <v>C</v>
          </cell>
          <cell r="BT83">
            <v>0</v>
          </cell>
          <cell r="BU83" t="str">
            <v>ST</v>
          </cell>
          <cell r="BV83" t="str">
            <v/>
          </cell>
          <cell r="BW83">
            <v>1</v>
          </cell>
          <cell r="BX83">
            <v>10</v>
          </cell>
          <cell r="BY83" t="str">
            <v/>
          </cell>
          <cell r="BZ83">
            <v>2</v>
          </cell>
          <cell r="CA83">
            <v>7</v>
          </cell>
          <cell r="CB83">
            <v>1.36</v>
          </cell>
          <cell r="CC83">
            <v>6.6040586284683052</v>
          </cell>
          <cell r="CD83">
            <v>36</v>
          </cell>
          <cell r="CE83">
            <v>23</v>
          </cell>
          <cell r="CF83">
            <v>8</v>
          </cell>
          <cell r="CG83">
            <v>28</v>
          </cell>
          <cell r="CH83">
            <v>15</v>
          </cell>
          <cell r="CI83">
            <v>8.6999999999999993</v>
          </cell>
          <cell r="CJ83">
            <v>2.9000000000000001E-2</v>
          </cell>
          <cell r="CK83">
            <v>8.0289999999999999</v>
          </cell>
          <cell r="CL83">
            <v>8</v>
          </cell>
          <cell r="CM83">
            <v>0.14416615384615386</v>
          </cell>
          <cell r="CN83">
            <v>0.14416615384615386</v>
          </cell>
          <cell r="CO83">
            <v>0</v>
          </cell>
          <cell r="CP83">
            <v>0</v>
          </cell>
          <cell r="CQ83">
            <v>6.748224782314459</v>
          </cell>
          <cell r="CR83">
            <v>0</v>
          </cell>
          <cell r="CS83">
            <v>1</v>
          </cell>
          <cell r="CT83">
            <v>0</v>
          </cell>
          <cell r="CU83">
            <v>0</v>
          </cell>
          <cell r="CV83">
            <v>23</v>
          </cell>
          <cell r="CW83">
            <v>23</v>
          </cell>
          <cell r="CX83" t="str">
            <v/>
          </cell>
          <cell r="CY83">
            <v>2</v>
          </cell>
          <cell r="CZ83">
            <v>2</v>
          </cell>
          <cell r="DA83">
            <v>2</v>
          </cell>
          <cell r="DB83">
            <v>400</v>
          </cell>
          <cell r="DC83">
            <v>188</v>
          </cell>
          <cell r="DD83">
            <v>104</v>
          </cell>
          <cell r="DE83">
            <v>30</v>
          </cell>
          <cell r="DF83">
            <v>46</v>
          </cell>
          <cell r="DG83">
            <v>8</v>
          </cell>
          <cell r="DH83">
            <v>4</v>
          </cell>
          <cell r="DI83">
            <v>20</v>
          </cell>
        </row>
        <row r="84">
          <cell r="A84" t="str">
            <v>RS 007</v>
          </cell>
          <cell r="B84" t="str">
            <v>7</v>
          </cell>
          <cell r="C84" t="str">
            <v>N</v>
          </cell>
          <cell r="D84" t="str">
            <v>T</v>
          </cell>
          <cell r="E84" t="str">
            <v>Nkhata Bay t/off (Kalwe) - Dwambazi River</v>
          </cell>
          <cell r="F84" t="str">
            <v>M05</v>
          </cell>
          <cell r="G84">
            <v>2</v>
          </cell>
          <cell r="H84">
            <v>82</v>
          </cell>
          <cell r="I84" t="str">
            <v>R</v>
          </cell>
          <cell r="J84" t="str">
            <v>NKHATA BAY</v>
          </cell>
          <cell r="K84" t="str">
            <v>3,4</v>
          </cell>
          <cell r="L84">
            <v>0</v>
          </cell>
          <cell r="W84">
            <v>94</v>
          </cell>
          <cell r="X84" t="str">
            <v>DS</v>
          </cell>
          <cell r="Y84">
            <v>150</v>
          </cell>
          <cell r="Z84" t="str">
            <v>SB</v>
          </cell>
          <cell r="AA84">
            <v>225</v>
          </cell>
          <cell r="AB84" t="str">
            <v>GR</v>
          </cell>
          <cell r="AC84">
            <v>22</v>
          </cell>
          <cell r="AD84" t="str">
            <v>VR</v>
          </cell>
          <cell r="AE84">
            <v>0</v>
          </cell>
          <cell r="AF84">
            <v>0</v>
          </cell>
          <cell r="AG84">
            <v>0</v>
          </cell>
          <cell r="AH84">
            <v>0</v>
          </cell>
          <cell r="AI84">
            <v>0</v>
          </cell>
          <cell r="AJ84">
            <v>0</v>
          </cell>
          <cell r="AK84">
            <v>0</v>
          </cell>
          <cell r="AL84">
            <v>0</v>
          </cell>
          <cell r="AM84">
            <v>1</v>
          </cell>
          <cell r="AN84" t="str">
            <v>never resealed</v>
          </cell>
          <cell r="BO84" t="str">
            <v>RS 007</v>
          </cell>
          <cell r="BP84">
            <v>82</v>
          </cell>
          <cell r="BQ84">
            <v>6</v>
          </cell>
          <cell r="BR84" t="str">
            <v>R</v>
          </cell>
          <cell r="BS84" t="str">
            <v>C</v>
          </cell>
          <cell r="BT84">
            <v>0</v>
          </cell>
          <cell r="BU84" t="str">
            <v>DS</v>
          </cell>
          <cell r="BV84" t="str">
            <v/>
          </cell>
          <cell r="BW84">
            <v>1</v>
          </cell>
          <cell r="BX84">
            <v>15</v>
          </cell>
          <cell r="BY84" t="str">
            <v/>
          </cell>
          <cell r="BZ84">
            <v>1</v>
          </cell>
          <cell r="CA84">
            <v>22</v>
          </cell>
          <cell r="CB84">
            <v>2.427</v>
          </cell>
          <cell r="CC84">
            <v>3.7143049448882604</v>
          </cell>
          <cell r="CD84">
            <v>0</v>
          </cell>
          <cell r="CE84">
            <v>0</v>
          </cell>
          <cell r="CF84">
            <v>0</v>
          </cell>
          <cell r="CG84">
            <v>0</v>
          </cell>
          <cell r="CH84">
            <v>0</v>
          </cell>
          <cell r="CI84">
            <v>1.9</v>
          </cell>
          <cell r="CJ84">
            <v>6.3333333333333332E-3</v>
          </cell>
          <cell r="CK84">
            <v>6.3333333333333332E-3</v>
          </cell>
          <cell r="CL84">
            <v>0</v>
          </cell>
          <cell r="CM84">
            <v>2.4553846153846158E-3</v>
          </cell>
          <cell r="CN84">
            <v>2.4553846153846158E-3</v>
          </cell>
          <cell r="CO84">
            <v>0</v>
          </cell>
          <cell r="CP84">
            <v>0</v>
          </cell>
          <cell r="CQ84">
            <v>3.7167603295036451</v>
          </cell>
          <cell r="CR84">
            <v>0</v>
          </cell>
          <cell r="CS84">
            <v>1</v>
          </cell>
          <cell r="CT84">
            <v>0</v>
          </cell>
          <cell r="CU84">
            <v>0</v>
          </cell>
          <cell r="CV84">
            <v>4</v>
          </cell>
          <cell r="CW84">
            <v>4</v>
          </cell>
          <cell r="CX84" t="str">
            <v/>
          </cell>
          <cell r="CY84">
            <v>1.8</v>
          </cell>
          <cell r="CZ84">
            <v>1.1000000000000001</v>
          </cell>
          <cell r="DA84">
            <v>1.1000000000000001</v>
          </cell>
          <cell r="DB84">
            <v>300</v>
          </cell>
          <cell r="DC84">
            <v>141</v>
          </cell>
          <cell r="DD84">
            <v>78</v>
          </cell>
          <cell r="DE84">
            <v>23</v>
          </cell>
          <cell r="DF84">
            <v>35</v>
          </cell>
          <cell r="DG84">
            <v>6</v>
          </cell>
          <cell r="DH84">
            <v>3</v>
          </cell>
          <cell r="DI84">
            <v>15</v>
          </cell>
        </row>
        <row r="85">
          <cell r="A85" t="str">
            <v>RS 047</v>
          </cell>
          <cell r="B85">
            <v>47</v>
          </cell>
          <cell r="C85" t="str">
            <v>C</v>
          </cell>
          <cell r="D85" t="str">
            <v>T</v>
          </cell>
          <cell r="E85" t="str">
            <v>Dwambazi River - Lawrence Kachulu</v>
          </cell>
          <cell r="F85" t="str">
            <v>M05</v>
          </cell>
          <cell r="G85">
            <v>3</v>
          </cell>
          <cell r="H85">
            <v>16.5</v>
          </cell>
          <cell r="I85" t="str">
            <v>F</v>
          </cell>
          <cell r="J85" t="str">
            <v>NKHATA BAY</v>
          </cell>
          <cell r="K85">
            <v>4</v>
          </cell>
          <cell r="L85">
            <v>0</v>
          </cell>
          <cell r="W85">
            <v>94</v>
          </cell>
          <cell r="X85" t="str">
            <v>DS</v>
          </cell>
          <cell r="Y85">
            <v>150</v>
          </cell>
          <cell r="Z85" t="str">
            <v>SB</v>
          </cell>
          <cell r="AA85">
            <v>225</v>
          </cell>
          <cell r="AB85" t="str">
            <v>GR</v>
          </cell>
          <cell r="AC85">
            <v>22</v>
          </cell>
          <cell r="AD85" t="str">
            <v>VR</v>
          </cell>
          <cell r="AE85">
            <v>0</v>
          </cell>
          <cell r="AF85">
            <v>0</v>
          </cell>
          <cell r="AG85">
            <v>0</v>
          </cell>
          <cell r="AH85">
            <v>0</v>
          </cell>
          <cell r="AI85">
            <v>0</v>
          </cell>
          <cell r="AJ85">
            <v>0</v>
          </cell>
          <cell r="AK85">
            <v>0</v>
          </cell>
          <cell r="AL85">
            <v>0</v>
          </cell>
          <cell r="AM85">
            <v>1</v>
          </cell>
          <cell r="AN85" t="str">
            <v>never resealed</v>
          </cell>
          <cell r="BO85" t="str">
            <v>RS 047</v>
          </cell>
          <cell r="BP85">
            <v>16.5</v>
          </cell>
          <cell r="BQ85">
            <v>6</v>
          </cell>
          <cell r="BR85" t="str">
            <v>F</v>
          </cell>
          <cell r="BS85" t="str">
            <v>C</v>
          </cell>
          <cell r="BT85">
            <v>0</v>
          </cell>
          <cell r="BU85" t="str">
            <v>DS</v>
          </cell>
          <cell r="BV85" t="str">
            <v/>
          </cell>
          <cell r="BW85">
            <v>1</v>
          </cell>
          <cell r="BX85">
            <v>15</v>
          </cell>
          <cell r="BY85" t="str">
            <v/>
          </cell>
          <cell r="BZ85">
            <v>1</v>
          </cell>
          <cell r="CA85">
            <v>22</v>
          </cell>
          <cell r="CB85">
            <v>2.427</v>
          </cell>
          <cell r="CC85">
            <v>3.5804019550342137</v>
          </cell>
          <cell r="CD85">
            <v>0</v>
          </cell>
          <cell r="CE85">
            <v>0</v>
          </cell>
          <cell r="CF85">
            <v>0</v>
          </cell>
          <cell r="CG85">
            <v>0</v>
          </cell>
          <cell r="CH85">
            <v>0</v>
          </cell>
          <cell r="CI85">
            <v>0</v>
          </cell>
          <cell r="CJ85">
            <v>0</v>
          </cell>
          <cell r="CK85">
            <v>0</v>
          </cell>
          <cell r="CL85">
            <v>0</v>
          </cell>
          <cell r="CM85">
            <v>0</v>
          </cell>
          <cell r="CN85">
            <v>0</v>
          </cell>
          <cell r="CO85">
            <v>0</v>
          </cell>
          <cell r="CP85">
            <v>0</v>
          </cell>
          <cell r="CQ85">
            <v>3.5804019550342137</v>
          </cell>
          <cell r="CR85">
            <v>0</v>
          </cell>
          <cell r="CS85">
            <v>1</v>
          </cell>
          <cell r="CT85">
            <v>0</v>
          </cell>
          <cell r="CU85">
            <v>0</v>
          </cell>
          <cell r="CV85">
            <v>4</v>
          </cell>
          <cell r="CW85">
            <v>4</v>
          </cell>
          <cell r="CX85" t="str">
            <v/>
          </cell>
          <cell r="CY85">
            <v>1</v>
          </cell>
          <cell r="CZ85">
            <v>1</v>
          </cell>
          <cell r="DA85">
            <v>1</v>
          </cell>
          <cell r="DB85">
            <v>300</v>
          </cell>
          <cell r="DC85">
            <v>141</v>
          </cell>
          <cell r="DD85">
            <v>78</v>
          </cell>
          <cell r="DE85">
            <v>23</v>
          </cell>
          <cell r="DF85">
            <v>35</v>
          </cell>
          <cell r="DG85">
            <v>6</v>
          </cell>
          <cell r="DH85">
            <v>3</v>
          </cell>
          <cell r="DI85">
            <v>15</v>
          </cell>
        </row>
        <row r="86">
          <cell r="A86" t="str">
            <v>RS 052</v>
          </cell>
          <cell r="B86">
            <v>52</v>
          </cell>
          <cell r="C86" t="str">
            <v>C</v>
          </cell>
          <cell r="D86" t="str">
            <v>T</v>
          </cell>
          <cell r="E86" t="str">
            <v>Lawrence Kachulu - Chamulala</v>
          </cell>
          <cell r="F86" t="str">
            <v>M05</v>
          </cell>
          <cell r="G86">
            <v>4</v>
          </cell>
          <cell r="H86">
            <v>12.7</v>
          </cell>
          <cell r="I86" t="str">
            <v>F</v>
          </cell>
          <cell r="J86" t="str">
            <v>NKHOTA KOTA</v>
          </cell>
          <cell r="K86">
            <v>4</v>
          </cell>
          <cell r="L86">
            <v>0</v>
          </cell>
          <cell r="W86">
            <v>94</v>
          </cell>
          <cell r="X86" t="str">
            <v>DS</v>
          </cell>
          <cell r="Y86">
            <v>150</v>
          </cell>
          <cell r="Z86" t="str">
            <v>SB</v>
          </cell>
          <cell r="AA86">
            <v>225</v>
          </cell>
          <cell r="AB86" t="str">
            <v>GR</v>
          </cell>
          <cell r="AC86">
            <v>22</v>
          </cell>
          <cell r="AD86" t="str">
            <v>VR</v>
          </cell>
          <cell r="AE86">
            <v>0</v>
          </cell>
          <cell r="AF86">
            <v>0</v>
          </cell>
          <cell r="AG86">
            <v>0</v>
          </cell>
          <cell r="AH86">
            <v>0</v>
          </cell>
          <cell r="AI86">
            <v>0</v>
          </cell>
          <cell r="AJ86">
            <v>0</v>
          </cell>
          <cell r="AK86">
            <v>0</v>
          </cell>
          <cell r="AL86">
            <v>0</v>
          </cell>
          <cell r="AM86">
            <v>1</v>
          </cell>
          <cell r="AN86" t="str">
            <v>never resealed</v>
          </cell>
          <cell r="BO86" t="str">
            <v>RS 052</v>
          </cell>
          <cell r="BP86">
            <v>12.7</v>
          </cell>
          <cell r="BQ86">
            <v>6</v>
          </cell>
          <cell r="BR86" t="str">
            <v>F</v>
          </cell>
          <cell r="BS86" t="str">
            <v>C</v>
          </cell>
          <cell r="BT86">
            <v>0</v>
          </cell>
          <cell r="BU86" t="str">
            <v>DS</v>
          </cell>
          <cell r="BV86" t="str">
            <v/>
          </cell>
          <cell r="BW86">
            <v>1</v>
          </cell>
          <cell r="BX86">
            <v>15</v>
          </cell>
          <cell r="BY86" t="str">
            <v/>
          </cell>
          <cell r="BZ86">
            <v>1</v>
          </cell>
          <cell r="CA86">
            <v>22</v>
          </cell>
          <cell r="CB86">
            <v>2.427</v>
          </cell>
          <cell r="CC86">
            <v>5.75</v>
          </cell>
          <cell r="CD86">
            <v>0</v>
          </cell>
          <cell r="CE86">
            <v>0</v>
          </cell>
          <cell r="CF86">
            <v>0</v>
          </cell>
          <cell r="CG86">
            <v>0</v>
          </cell>
          <cell r="CH86">
            <v>0</v>
          </cell>
          <cell r="CI86">
            <v>0.12</v>
          </cell>
          <cell r="CJ86">
            <v>3.9999999999999996E-4</v>
          </cell>
          <cell r="CK86">
            <v>3.9999999999999996E-4</v>
          </cell>
          <cell r="CL86">
            <v>0</v>
          </cell>
          <cell r="CM86">
            <v>1.5507692307692309E-4</v>
          </cell>
          <cell r="CN86">
            <v>1.5507692307692309E-4</v>
          </cell>
          <cell r="CO86">
            <v>0</v>
          </cell>
          <cell r="CP86">
            <v>0</v>
          </cell>
          <cell r="CQ86">
            <v>5.7501550769230771</v>
          </cell>
          <cell r="CR86">
            <v>0</v>
          </cell>
          <cell r="CS86">
            <v>1</v>
          </cell>
          <cell r="CT86">
            <v>0</v>
          </cell>
          <cell r="CU86">
            <v>0</v>
          </cell>
          <cell r="CV86">
            <v>4</v>
          </cell>
          <cell r="CW86">
            <v>4</v>
          </cell>
          <cell r="CX86" t="str">
            <v/>
          </cell>
          <cell r="CY86">
            <v>1</v>
          </cell>
          <cell r="CZ86">
            <v>1</v>
          </cell>
          <cell r="DA86">
            <v>1</v>
          </cell>
          <cell r="DB86">
            <v>300</v>
          </cell>
          <cell r="DC86">
            <v>141</v>
          </cell>
          <cell r="DD86">
            <v>78</v>
          </cell>
          <cell r="DE86">
            <v>23</v>
          </cell>
          <cell r="DF86">
            <v>35</v>
          </cell>
          <cell r="DG86">
            <v>6</v>
          </cell>
          <cell r="DH86">
            <v>3</v>
          </cell>
          <cell r="DI86">
            <v>15</v>
          </cell>
        </row>
        <row r="87">
          <cell r="A87" t="str">
            <v>RS 048</v>
          </cell>
          <cell r="B87">
            <v>48</v>
          </cell>
          <cell r="C87" t="str">
            <v>C</v>
          </cell>
          <cell r="D87" t="str">
            <v>T</v>
          </cell>
          <cell r="E87" t="str">
            <v>Chamulala - Dwangwa River</v>
          </cell>
          <cell r="F87" t="str">
            <v>M05</v>
          </cell>
          <cell r="G87">
            <v>5</v>
          </cell>
          <cell r="H87">
            <v>10.199999999999999</v>
          </cell>
          <cell r="I87" t="str">
            <v>F</v>
          </cell>
          <cell r="J87" t="str">
            <v>NKHOTA KOTA</v>
          </cell>
          <cell r="K87">
            <v>4</v>
          </cell>
          <cell r="L87">
            <v>0</v>
          </cell>
          <cell r="W87">
            <v>94</v>
          </cell>
          <cell r="X87" t="str">
            <v>DS</v>
          </cell>
          <cell r="Y87">
            <v>150</v>
          </cell>
          <cell r="Z87" t="str">
            <v>SB</v>
          </cell>
          <cell r="AA87">
            <v>225</v>
          </cell>
          <cell r="AB87" t="str">
            <v>GR</v>
          </cell>
          <cell r="AC87">
            <v>22</v>
          </cell>
          <cell r="AD87" t="str">
            <v>VR</v>
          </cell>
          <cell r="AE87">
            <v>0</v>
          </cell>
          <cell r="AF87">
            <v>0</v>
          </cell>
          <cell r="AG87">
            <v>0</v>
          </cell>
          <cell r="AH87">
            <v>0</v>
          </cell>
          <cell r="AI87">
            <v>0</v>
          </cell>
          <cell r="AJ87">
            <v>0</v>
          </cell>
          <cell r="AK87">
            <v>0</v>
          </cell>
          <cell r="AL87">
            <v>0</v>
          </cell>
          <cell r="AM87">
            <v>1</v>
          </cell>
          <cell r="AN87" t="str">
            <v>never resealed</v>
          </cell>
          <cell r="BO87" t="str">
            <v>RS 048</v>
          </cell>
          <cell r="BP87">
            <v>10.199999999999999</v>
          </cell>
          <cell r="BQ87">
            <v>6.7</v>
          </cell>
          <cell r="BR87" t="str">
            <v>F</v>
          </cell>
          <cell r="BS87" t="str">
            <v>S</v>
          </cell>
          <cell r="BT87">
            <v>0</v>
          </cell>
          <cell r="BU87" t="str">
            <v>DS</v>
          </cell>
          <cell r="BV87" t="str">
            <v/>
          </cell>
          <cell r="BW87">
            <v>1</v>
          </cell>
          <cell r="BX87">
            <v>15</v>
          </cell>
          <cell r="BY87" t="str">
            <v/>
          </cell>
          <cell r="BZ87">
            <v>1</v>
          </cell>
          <cell r="CA87">
            <v>22</v>
          </cell>
          <cell r="CB87">
            <v>2.427</v>
          </cell>
          <cell r="CC87">
            <v>5</v>
          </cell>
          <cell r="CD87">
            <v>0</v>
          </cell>
          <cell r="CE87">
            <v>0</v>
          </cell>
          <cell r="CF87">
            <v>0</v>
          </cell>
          <cell r="CG87">
            <v>0</v>
          </cell>
          <cell r="CH87">
            <v>0</v>
          </cell>
          <cell r="CI87">
            <v>0.1</v>
          </cell>
          <cell r="CJ87">
            <v>2.9850746268656722E-4</v>
          </cell>
          <cell r="CK87">
            <v>2.9850746268656722E-4</v>
          </cell>
          <cell r="CL87">
            <v>0</v>
          </cell>
          <cell r="CM87">
            <v>1.1572904707233067E-4</v>
          </cell>
          <cell r="CN87">
            <v>1.1572904707233067E-4</v>
          </cell>
          <cell r="CO87">
            <v>0</v>
          </cell>
          <cell r="CP87">
            <v>0</v>
          </cell>
          <cell r="CQ87">
            <v>5.0001157290470726</v>
          </cell>
          <cell r="CR87">
            <v>0</v>
          </cell>
          <cell r="CS87">
            <v>1</v>
          </cell>
          <cell r="CT87">
            <v>0</v>
          </cell>
          <cell r="CU87">
            <v>0</v>
          </cell>
          <cell r="CV87">
            <v>4</v>
          </cell>
          <cell r="CW87">
            <v>4</v>
          </cell>
          <cell r="CX87" t="str">
            <v/>
          </cell>
          <cell r="CY87">
            <v>1.5</v>
          </cell>
          <cell r="CZ87">
            <v>1</v>
          </cell>
          <cell r="DA87">
            <v>1</v>
          </cell>
          <cell r="DB87">
            <v>300</v>
          </cell>
          <cell r="DC87">
            <v>141</v>
          </cell>
          <cell r="DD87">
            <v>78</v>
          </cell>
          <cell r="DE87">
            <v>23</v>
          </cell>
          <cell r="DF87">
            <v>35</v>
          </cell>
          <cell r="DG87">
            <v>6</v>
          </cell>
          <cell r="DH87">
            <v>3</v>
          </cell>
          <cell r="DI87">
            <v>15</v>
          </cell>
        </row>
        <row r="88">
          <cell r="A88" t="str">
            <v>RS 062</v>
          </cell>
          <cell r="B88">
            <v>62</v>
          </cell>
          <cell r="C88" t="str">
            <v>C</v>
          </cell>
          <cell r="D88" t="str">
            <v>T</v>
          </cell>
          <cell r="E88" t="str">
            <v>Dwangwa River- Musejere River</v>
          </cell>
          <cell r="F88" t="str">
            <v>M05</v>
          </cell>
          <cell r="G88">
            <v>6</v>
          </cell>
          <cell r="H88">
            <v>28.1</v>
          </cell>
          <cell r="I88" t="str">
            <v>F</v>
          </cell>
          <cell r="J88" t="str">
            <v>NKHOTA KOTA</v>
          </cell>
          <cell r="K88">
            <v>4</v>
          </cell>
          <cell r="L88">
            <v>0</v>
          </cell>
          <cell r="W88">
            <v>81</v>
          </cell>
          <cell r="X88" t="str">
            <v>ST</v>
          </cell>
          <cell r="Y88">
            <v>150</v>
          </cell>
          <cell r="Z88" t="str">
            <v>SB</v>
          </cell>
          <cell r="AA88">
            <v>225</v>
          </cell>
          <cell r="AB88" t="str">
            <v>GR</v>
          </cell>
          <cell r="AC88">
            <v>22</v>
          </cell>
          <cell r="AD88" t="str">
            <v>VR</v>
          </cell>
          <cell r="AE88">
            <v>93</v>
          </cell>
          <cell r="AF88" t="str">
            <v>SR</v>
          </cell>
          <cell r="AG88" t="str">
            <v>ST</v>
          </cell>
          <cell r="AH88">
            <v>10</v>
          </cell>
          <cell r="AI88">
            <v>0</v>
          </cell>
          <cell r="AJ88">
            <v>0</v>
          </cell>
          <cell r="AK88">
            <v>0</v>
          </cell>
          <cell r="AL88">
            <v>0</v>
          </cell>
          <cell r="AM88">
            <v>4</v>
          </cell>
          <cell r="AN88">
            <v>0</v>
          </cell>
          <cell r="BO88" t="str">
            <v>RS 062</v>
          </cell>
          <cell r="BP88">
            <v>28.1</v>
          </cell>
          <cell r="BQ88">
            <v>5.5</v>
          </cell>
          <cell r="BR88" t="str">
            <v>F</v>
          </cell>
          <cell r="BS88" t="str">
            <v>C</v>
          </cell>
          <cell r="BT88">
            <v>0</v>
          </cell>
          <cell r="BU88" t="str">
            <v>ST</v>
          </cell>
          <cell r="BV88" t="str">
            <v>ST</v>
          </cell>
          <cell r="BW88">
            <v>4</v>
          </cell>
          <cell r="BX88">
            <v>10</v>
          </cell>
          <cell r="BY88">
            <v>10</v>
          </cell>
          <cell r="BZ88">
            <v>1</v>
          </cell>
          <cell r="CA88">
            <v>22</v>
          </cell>
          <cell r="CB88">
            <v>2.4350000000000001</v>
          </cell>
          <cell r="CC88">
            <v>4.9400000000000004</v>
          </cell>
          <cell r="CD88">
            <v>0</v>
          </cell>
          <cell r="CE88">
            <v>0</v>
          </cell>
          <cell r="CF88">
            <v>0</v>
          </cell>
          <cell r="CG88">
            <v>0</v>
          </cell>
          <cell r="CH88">
            <v>0</v>
          </cell>
          <cell r="CI88">
            <v>1.4</v>
          </cell>
          <cell r="CJ88">
            <v>5.0909090909090904E-3</v>
          </cell>
          <cell r="CK88">
            <v>5.0909090909090904E-3</v>
          </cell>
          <cell r="CL88">
            <v>0</v>
          </cell>
          <cell r="CM88">
            <v>1.9737062937062936E-3</v>
          </cell>
          <cell r="CN88">
            <v>1.9737062937062936E-3</v>
          </cell>
          <cell r="CO88">
            <v>0</v>
          </cell>
          <cell r="CP88">
            <v>0</v>
          </cell>
          <cell r="CQ88">
            <v>4.941973706293707</v>
          </cell>
          <cell r="CR88">
            <v>0</v>
          </cell>
          <cell r="CS88">
            <v>1</v>
          </cell>
          <cell r="CT88">
            <v>0</v>
          </cell>
          <cell r="CU88">
            <v>0</v>
          </cell>
          <cell r="CV88">
            <v>5</v>
          </cell>
          <cell r="CW88">
            <v>17</v>
          </cell>
          <cell r="CX88">
            <v>34</v>
          </cell>
          <cell r="CY88">
            <v>2</v>
          </cell>
          <cell r="CZ88">
            <v>1.5</v>
          </cell>
          <cell r="DA88">
            <v>1.5</v>
          </cell>
          <cell r="DB88">
            <v>300</v>
          </cell>
          <cell r="DC88">
            <v>141</v>
          </cell>
          <cell r="DD88">
            <v>78</v>
          </cell>
          <cell r="DE88">
            <v>23</v>
          </cell>
          <cell r="DF88">
            <v>35</v>
          </cell>
          <cell r="DG88">
            <v>6</v>
          </cell>
          <cell r="DH88">
            <v>3</v>
          </cell>
          <cell r="DI88">
            <v>15</v>
          </cell>
        </row>
        <row r="89">
          <cell r="A89" t="str">
            <v>RS 043</v>
          </cell>
          <cell r="B89">
            <v>43</v>
          </cell>
          <cell r="C89" t="str">
            <v>C</v>
          </cell>
          <cell r="D89" t="str">
            <v>T</v>
          </cell>
          <cell r="E89" t="str">
            <v>Musenjere River- Bua River</v>
          </cell>
          <cell r="F89" t="str">
            <v>M05</v>
          </cell>
          <cell r="G89">
            <v>7</v>
          </cell>
          <cell r="H89">
            <v>14.7</v>
          </cell>
          <cell r="I89" t="str">
            <v>R</v>
          </cell>
          <cell r="J89" t="str">
            <v>NKHOTA KOTA</v>
          </cell>
          <cell r="K89">
            <v>5</v>
          </cell>
          <cell r="L89">
            <v>0</v>
          </cell>
          <cell r="W89">
            <v>81</v>
          </cell>
          <cell r="X89" t="str">
            <v>ST</v>
          </cell>
          <cell r="Y89">
            <v>150</v>
          </cell>
          <cell r="Z89" t="str">
            <v>SB</v>
          </cell>
          <cell r="AA89">
            <v>225</v>
          </cell>
          <cell r="AB89" t="str">
            <v>GR</v>
          </cell>
          <cell r="AC89">
            <v>22</v>
          </cell>
          <cell r="AD89" t="str">
            <v>VR</v>
          </cell>
          <cell r="AE89">
            <v>93</v>
          </cell>
          <cell r="AF89" t="str">
            <v>SR</v>
          </cell>
          <cell r="AG89" t="str">
            <v>ST</v>
          </cell>
          <cell r="AH89">
            <v>10</v>
          </cell>
          <cell r="AI89">
            <v>0</v>
          </cell>
          <cell r="AJ89">
            <v>0</v>
          </cell>
          <cell r="AK89">
            <v>0</v>
          </cell>
          <cell r="AL89">
            <v>0</v>
          </cell>
          <cell r="AM89">
            <v>4</v>
          </cell>
          <cell r="AN89">
            <v>0</v>
          </cell>
          <cell r="BO89" t="str">
            <v>RS 043</v>
          </cell>
          <cell r="BP89">
            <v>14.7</v>
          </cell>
          <cell r="BQ89">
            <v>5.5</v>
          </cell>
          <cell r="BR89" t="str">
            <v>R</v>
          </cell>
          <cell r="BS89" t="str">
            <v>C</v>
          </cell>
          <cell r="BT89">
            <v>0</v>
          </cell>
          <cell r="BU89" t="str">
            <v>ST</v>
          </cell>
          <cell r="BV89" t="str">
            <v>ST</v>
          </cell>
          <cell r="BW89">
            <v>4</v>
          </cell>
          <cell r="BX89">
            <v>10</v>
          </cell>
          <cell r="BY89">
            <v>10</v>
          </cell>
          <cell r="BZ89">
            <v>1</v>
          </cell>
          <cell r="CA89">
            <v>22</v>
          </cell>
          <cell r="CB89">
            <v>2.4350000000000001</v>
          </cell>
          <cell r="CC89">
            <v>4.7440662477307649</v>
          </cell>
          <cell r="CD89">
            <v>37</v>
          </cell>
          <cell r="CE89">
            <v>10</v>
          </cell>
          <cell r="CF89">
            <v>0</v>
          </cell>
          <cell r="CG89">
            <v>37</v>
          </cell>
          <cell r="CH89">
            <v>10</v>
          </cell>
          <cell r="CI89">
            <v>1.8</v>
          </cell>
          <cell r="CJ89">
            <v>6.5454545454545461E-3</v>
          </cell>
          <cell r="CK89">
            <v>6.5454545454545461E-3</v>
          </cell>
          <cell r="CL89">
            <v>0</v>
          </cell>
          <cell r="CM89">
            <v>2.537622377622378E-3</v>
          </cell>
          <cell r="CN89">
            <v>2.537622377622378E-3</v>
          </cell>
          <cell r="CO89">
            <v>0</v>
          </cell>
          <cell r="CP89">
            <v>0</v>
          </cell>
          <cell r="CQ89">
            <v>4.7466038701083875</v>
          </cell>
          <cell r="CR89">
            <v>0</v>
          </cell>
          <cell r="CS89">
            <v>1</v>
          </cell>
          <cell r="CT89">
            <v>0</v>
          </cell>
          <cell r="CU89">
            <v>0</v>
          </cell>
          <cell r="CV89">
            <v>5</v>
          </cell>
          <cell r="CW89">
            <v>17</v>
          </cell>
          <cell r="CX89">
            <v>34</v>
          </cell>
          <cell r="CY89">
            <v>2</v>
          </cell>
          <cell r="CZ89">
            <v>1</v>
          </cell>
          <cell r="DA89">
            <v>1.3</v>
          </cell>
          <cell r="DB89">
            <v>300</v>
          </cell>
          <cell r="DC89">
            <v>141</v>
          </cell>
          <cell r="DD89">
            <v>78</v>
          </cell>
          <cell r="DE89">
            <v>23</v>
          </cell>
          <cell r="DF89">
            <v>35</v>
          </cell>
          <cell r="DG89">
            <v>6</v>
          </cell>
          <cell r="DH89">
            <v>3</v>
          </cell>
          <cell r="DI89">
            <v>15</v>
          </cell>
        </row>
        <row r="90">
          <cell r="A90" t="str">
            <v>RS 066</v>
          </cell>
          <cell r="B90">
            <v>66</v>
          </cell>
          <cell r="C90" t="str">
            <v>C</v>
          </cell>
          <cell r="D90" t="str">
            <v>T</v>
          </cell>
          <cell r="E90" t="str">
            <v>Bua River - Nkhota-kota</v>
          </cell>
          <cell r="F90" t="str">
            <v>M05</v>
          </cell>
          <cell r="G90">
            <v>8</v>
          </cell>
          <cell r="H90">
            <v>14.8</v>
          </cell>
          <cell r="I90" t="str">
            <v>F</v>
          </cell>
          <cell r="J90" t="str">
            <v>NKHOTA KOTA</v>
          </cell>
          <cell r="K90">
            <v>5</v>
          </cell>
          <cell r="L90">
            <v>0</v>
          </cell>
          <cell r="W90">
            <v>81</v>
          </cell>
          <cell r="X90" t="str">
            <v>ST</v>
          </cell>
          <cell r="Y90">
            <v>150</v>
          </cell>
          <cell r="Z90" t="str">
            <v>SB</v>
          </cell>
          <cell r="AA90">
            <v>225</v>
          </cell>
          <cell r="AB90" t="str">
            <v>GR</v>
          </cell>
          <cell r="AC90">
            <v>22</v>
          </cell>
          <cell r="AD90" t="str">
            <v>VR</v>
          </cell>
          <cell r="AE90">
            <v>93</v>
          </cell>
          <cell r="AF90" t="str">
            <v>SR</v>
          </cell>
          <cell r="AG90" t="str">
            <v>ST</v>
          </cell>
          <cell r="AH90">
            <v>10</v>
          </cell>
          <cell r="AI90">
            <v>0</v>
          </cell>
          <cell r="AJ90">
            <v>0</v>
          </cell>
          <cell r="AK90">
            <v>0</v>
          </cell>
          <cell r="AL90">
            <v>0</v>
          </cell>
          <cell r="AM90">
            <v>4</v>
          </cell>
          <cell r="AN90">
            <v>0</v>
          </cell>
          <cell r="BO90" t="str">
            <v>RS 066</v>
          </cell>
          <cell r="BP90">
            <v>14.8</v>
          </cell>
          <cell r="BQ90">
            <v>5.5</v>
          </cell>
          <cell r="BR90" t="str">
            <v>F</v>
          </cell>
          <cell r="BS90" t="str">
            <v>C</v>
          </cell>
          <cell r="BT90">
            <v>0</v>
          </cell>
          <cell r="BU90" t="str">
            <v>ST</v>
          </cell>
          <cell r="BV90" t="str">
            <v>ST</v>
          </cell>
          <cell r="BW90">
            <v>4</v>
          </cell>
          <cell r="BX90">
            <v>10</v>
          </cell>
          <cell r="BY90">
            <v>10</v>
          </cell>
          <cell r="BZ90">
            <v>1</v>
          </cell>
          <cell r="CA90">
            <v>22</v>
          </cell>
          <cell r="CB90">
            <v>2.4350000000000001</v>
          </cell>
          <cell r="CC90">
            <v>5.3031239438852342</v>
          </cell>
          <cell r="CD90">
            <v>27</v>
          </cell>
          <cell r="CE90">
            <v>19</v>
          </cell>
          <cell r="CF90">
            <v>4</v>
          </cell>
          <cell r="CG90">
            <v>23</v>
          </cell>
          <cell r="CH90">
            <v>15</v>
          </cell>
          <cell r="CI90">
            <v>2.6</v>
          </cell>
          <cell r="CJ90">
            <v>9.4545454545454551E-3</v>
          </cell>
          <cell r="CK90">
            <v>4.0094545454545454</v>
          </cell>
          <cell r="CL90">
            <v>4</v>
          </cell>
          <cell r="CM90">
            <v>7.0126993006993002E-2</v>
          </cell>
          <cell r="CN90">
            <v>7.0126993006993002E-2</v>
          </cell>
          <cell r="CO90">
            <v>0</v>
          </cell>
          <cell r="CP90">
            <v>0</v>
          </cell>
          <cell r="CQ90">
            <v>5.3732509368922274</v>
          </cell>
          <cell r="CR90">
            <v>0</v>
          </cell>
          <cell r="CS90">
            <v>1</v>
          </cell>
          <cell r="CT90">
            <v>0</v>
          </cell>
          <cell r="CU90">
            <v>0</v>
          </cell>
          <cell r="CV90">
            <v>5</v>
          </cell>
          <cell r="CW90">
            <v>17</v>
          </cell>
          <cell r="CX90">
            <v>34</v>
          </cell>
          <cell r="CY90">
            <v>2</v>
          </cell>
          <cell r="CZ90">
            <v>1.2</v>
          </cell>
          <cell r="DA90">
            <v>1.1000000000000001</v>
          </cell>
          <cell r="DB90">
            <v>300</v>
          </cell>
          <cell r="DC90">
            <v>141</v>
          </cell>
          <cell r="DD90">
            <v>78</v>
          </cell>
          <cell r="DE90">
            <v>23</v>
          </cell>
          <cell r="DF90">
            <v>35</v>
          </cell>
          <cell r="DG90">
            <v>6</v>
          </cell>
          <cell r="DH90">
            <v>3</v>
          </cell>
          <cell r="DI90">
            <v>15</v>
          </cell>
        </row>
        <row r="91">
          <cell r="A91" t="str">
            <v>RS 050</v>
          </cell>
          <cell r="B91">
            <v>50</v>
          </cell>
          <cell r="C91" t="str">
            <v>C</v>
          </cell>
          <cell r="D91" t="str">
            <v>T</v>
          </cell>
          <cell r="E91" t="str">
            <v>Km 11.6-Km 18.3 (Nkhota-kota - Chia)</v>
          </cell>
          <cell r="F91" t="str">
            <v>M05</v>
          </cell>
          <cell r="G91">
            <v>10</v>
          </cell>
          <cell r="H91">
            <v>6.7</v>
          </cell>
          <cell r="I91" t="str">
            <v>F</v>
          </cell>
          <cell r="J91" t="str">
            <v>NKHOTA KOTA</v>
          </cell>
          <cell r="K91">
            <v>5</v>
          </cell>
          <cell r="L91">
            <v>0</v>
          </cell>
          <cell r="W91">
            <v>81</v>
          </cell>
          <cell r="X91" t="str">
            <v>DS</v>
          </cell>
          <cell r="Y91">
            <v>200</v>
          </cell>
          <cell r="Z91" t="str">
            <v>SB</v>
          </cell>
          <cell r="AA91">
            <v>100</v>
          </cell>
          <cell r="AB91" t="str">
            <v>GR</v>
          </cell>
          <cell r="AC91">
            <v>4</v>
          </cell>
          <cell r="AD91" t="str">
            <v>VR</v>
          </cell>
          <cell r="AE91">
            <v>93</v>
          </cell>
          <cell r="AF91" t="str">
            <v>SR</v>
          </cell>
          <cell r="AG91" t="str">
            <v>ST</v>
          </cell>
          <cell r="AH91">
            <v>10</v>
          </cell>
          <cell r="AI91">
            <v>0</v>
          </cell>
          <cell r="AJ91">
            <v>0</v>
          </cell>
          <cell r="AK91">
            <v>0</v>
          </cell>
          <cell r="AL91">
            <v>0</v>
          </cell>
          <cell r="AM91">
            <v>4</v>
          </cell>
          <cell r="AN91">
            <v>0</v>
          </cell>
          <cell r="BO91" t="str">
            <v>RS 050</v>
          </cell>
          <cell r="BP91">
            <v>6.7</v>
          </cell>
          <cell r="BQ91">
            <v>5.5</v>
          </cell>
          <cell r="BR91" t="str">
            <v>F</v>
          </cell>
          <cell r="BS91" t="str">
            <v>C</v>
          </cell>
          <cell r="BT91">
            <v>0</v>
          </cell>
          <cell r="BU91" t="str">
            <v>ST</v>
          </cell>
          <cell r="BV91" t="str">
            <v>DS</v>
          </cell>
          <cell r="BW91">
            <v>4</v>
          </cell>
          <cell r="BX91">
            <v>10</v>
          </cell>
          <cell r="BY91">
            <v>15</v>
          </cell>
          <cell r="BZ91">
            <v>1</v>
          </cell>
          <cell r="CA91">
            <v>4</v>
          </cell>
          <cell r="CB91">
            <v>1.3540000000000001</v>
          </cell>
          <cell r="CC91">
            <v>4.8691634262704078</v>
          </cell>
          <cell r="CD91">
            <v>34</v>
          </cell>
          <cell r="CE91">
            <v>22</v>
          </cell>
          <cell r="CF91">
            <v>7</v>
          </cell>
          <cell r="CG91">
            <v>27</v>
          </cell>
          <cell r="CH91">
            <v>15</v>
          </cell>
          <cell r="CI91">
            <v>3.1</v>
          </cell>
          <cell r="CJ91">
            <v>1.1272727272727275E-2</v>
          </cell>
          <cell r="CK91">
            <v>7.0112727272727273</v>
          </cell>
          <cell r="CL91">
            <v>7</v>
          </cell>
          <cell r="CM91">
            <v>0.12067804195804198</v>
          </cell>
          <cell r="CN91">
            <v>0.12067804195804198</v>
          </cell>
          <cell r="CO91">
            <v>0</v>
          </cell>
          <cell r="CP91">
            <v>0</v>
          </cell>
          <cell r="CQ91">
            <v>4.98984146822845</v>
          </cell>
          <cell r="CR91">
            <v>0</v>
          </cell>
          <cell r="CS91">
            <v>1.4</v>
          </cell>
          <cell r="CT91">
            <v>1.9999999999999996</v>
          </cell>
          <cell r="CU91">
            <v>0.79999999999999982</v>
          </cell>
          <cell r="CV91">
            <v>5</v>
          </cell>
          <cell r="CW91">
            <v>17</v>
          </cell>
          <cell r="CX91">
            <v>34</v>
          </cell>
          <cell r="CY91">
            <v>2</v>
          </cell>
          <cell r="CZ91">
            <v>1.2</v>
          </cell>
          <cell r="DA91">
            <v>1.1000000000000001</v>
          </cell>
          <cell r="DB91">
            <v>250</v>
          </cell>
          <cell r="DC91">
            <v>118</v>
          </cell>
          <cell r="DD91">
            <v>65</v>
          </cell>
          <cell r="DE91">
            <v>19</v>
          </cell>
          <cell r="DF91">
            <v>29</v>
          </cell>
          <cell r="DG91">
            <v>5</v>
          </cell>
          <cell r="DH91">
            <v>3</v>
          </cell>
          <cell r="DI91">
            <v>13</v>
          </cell>
        </row>
        <row r="92">
          <cell r="A92" t="str">
            <v>RS 054</v>
          </cell>
          <cell r="B92">
            <v>54</v>
          </cell>
          <cell r="C92" t="str">
            <v>C</v>
          </cell>
          <cell r="D92" t="str">
            <v>T</v>
          </cell>
          <cell r="E92" t="str">
            <v>Km 18.3 - Chia River</v>
          </cell>
          <cell r="F92" t="str">
            <v>M05</v>
          </cell>
          <cell r="G92">
            <v>11</v>
          </cell>
          <cell r="H92">
            <v>5.4</v>
          </cell>
          <cell r="I92" t="str">
            <v>F</v>
          </cell>
          <cell r="J92" t="str">
            <v>NKHOTA KOTA</v>
          </cell>
          <cell r="K92">
            <v>5</v>
          </cell>
          <cell r="L92">
            <v>0</v>
          </cell>
          <cell r="W92">
            <v>78</v>
          </cell>
          <cell r="X92" t="str">
            <v>ST</v>
          </cell>
          <cell r="Y92">
            <v>150</v>
          </cell>
          <cell r="Z92" t="str">
            <v>SB</v>
          </cell>
          <cell r="AA92">
            <v>225</v>
          </cell>
          <cell r="AB92" t="str">
            <v>GR</v>
          </cell>
          <cell r="AC92">
            <v>22</v>
          </cell>
          <cell r="AD92" t="str">
            <v>VR</v>
          </cell>
          <cell r="AE92">
            <v>93</v>
          </cell>
          <cell r="AF92" t="str">
            <v>SR</v>
          </cell>
          <cell r="AG92" t="str">
            <v>ST</v>
          </cell>
          <cell r="AH92">
            <v>10</v>
          </cell>
          <cell r="AI92">
            <v>0</v>
          </cell>
          <cell r="AJ92">
            <v>0</v>
          </cell>
          <cell r="AK92">
            <v>0</v>
          </cell>
          <cell r="AL92">
            <v>0</v>
          </cell>
          <cell r="AM92">
            <v>4</v>
          </cell>
          <cell r="AN92">
            <v>0</v>
          </cell>
          <cell r="BO92" t="str">
            <v>RS 054</v>
          </cell>
          <cell r="BP92">
            <v>5.4</v>
          </cell>
          <cell r="BQ92">
            <v>5.5</v>
          </cell>
          <cell r="BR92" t="str">
            <v>F</v>
          </cell>
          <cell r="BS92" t="str">
            <v>C</v>
          </cell>
          <cell r="BT92">
            <v>0</v>
          </cell>
          <cell r="BU92" t="str">
            <v>ST</v>
          </cell>
          <cell r="BV92" t="str">
            <v>ST</v>
          </cell>
          <cell r="BW92">
            <v>4</v>
          </cell>
          <cell r="BX92">
            <v>10</v>
          </cell>
          <cell r="BY92">
            <v>10</v>
          </cell>
          <cell r="BZ92">
            <v>1</v>
          </cell>
          <cell r="CA92">
            <v>22</v>
          </cell>
          <cell r="CB92">
            <v>2.4350000000000001</v>
          </cell>
          <cell r="CC92">
            <v>6.2855176278918226</v>
          </cell>
          <cell r="CD92">
            <v>90</v>
          </cell>
          <cell r="CE92">
            <v>65</v>
          </cell>
          <cell r="CF92">
            <v>50</v>
          </cell>
          <cell r="CG92">
            <v>40</v>
          </cell>
          <cell r="CH92">
            <v>15</v>
          </cell>
          <cell r="CI92">
            <v>1.2</v>
          </cell>
          <cell r="CJ92">
            <v>4.3636363636363638E-3</v>
          </cell>
          <cell r="CK92">
            <v>10</v>
          </cell>
          <cell r="CL92">
            <v>50</v>
          </cell>
          <cell r="CM92">
            <v>0.43241734265734261</v>
          </cell>
          <cell r="CN92">
            <v>0.43241734265734261</v>
          </cell>
          <cell r="CO92">
            <v>0</v>
          </cell>
          <cell r="CP92">
            <v>0</v>
          </cell>
          <cell r="CQ92">
            <v>6.7179349705491651</v>
          </cell>
          <cell r="CR92">
            <v>0</v>
          </cell>
          <cell r="CS92">
            <v>3</v>
          </cell>
          <cell r="CT92">
            <v>15</v>
          </cell>
          <cell r="CU92">
            <v>6</v>
          </cell>
          <cell r="CV92">
            <v>5</v>
          </cell>
          <cell r="CW92">
            <v>20</v>
          </cell>
          <cell r="CX92">
            <v>40</v>
          </cell>
          <cell r="CY92">
            <v>2</v>
          </cell>
          <cell r="CZ92">
            <v>1</v>
          </cell>
          <cell r="DA92">
            <v>1</v>
          </cell>
          <cell r="DB92">
            <v>250</v>
          </cell>
          <cell r="DC92">
            <v>118</v>
          </cell>
          <cell r="DD92">
            <v>65</v>
          </cell>
          <cell r="DE92">
            <v>19</v>
          </cell>
          <cell r="DF92">
            <v>29</v>
          </cell>
          <cell r="DG92">
            <v>5</v>
          </cell>
          <cell r="DH92">
            <v>3</v>
          </cell>
          <cell r="DI92">
            <v>13</v>
          </cell>
        </row>
        <row r="93">
          <cell r="A93" t="str">
            <v>RS 053</v>
          </cell>
          <cell r="B93">
            <v>53</v>
          </cell>
          <cell r="C93" t="str">
            <v>C</v>
          </cell>
          <cell r="D93" t="str">
            <v>T</v>
          </cell>
          <cell r="E93" t="str">
            <v>Chia River-Benga</v>
          </cell>
          <cell r="F93" t="str">
            <v>M05</v>
          </cell>
          <cell r="G93">
            <v>12</v>
          </cell>
          <cell r="H93">
            <v>29.4</v>
          </cell>
          <cell r="I93" t="str">
            <v>F</v>
          </cell>
          <cell r="J93" t="str">
            <v>NKHOTA KOTA</v>
          </cell>
          <cell r="K93">
            <v>5</v>
          </cell>
          <cell r="L93">
            <v>0</v>
          </cell>
          <cell r="W93">
            <v>78</v>
          </cell>
          <cell r="X93" t="str">
            <v>ST</v>
          </cell>
          <cell r="Y93">
            <v>150</v>
          </cell>
          <cell r="Z93" t="str">
            <v>SB</v>
          </cell>
          <cell r="AA93">
            <v>225</v>
          </cell>
          <cell r="AB93" t="str">
            <v>GR</v>
          </cell>
          <cell r="AC93">
            <v>22</v>
          </cell>
          <cell r="AD93" t="str">
            <v>VR</v>
          </cell>
          <cell r="AE93">
            <v>93</v>
          </cell>
          <cell r="AF93" t="str">
            <v>SR</v>
          </cell>
          <cell r="AG93" t="str">
            <v>ST</v>
          </cell>
          <cell r="AH93">
            <v>10</v>
          </cell>
          <cell r="AI93">
            <v>0</v>
          </cell>
          <cell r="AJ93">
            <v>0</v>
          </cell>
          <cell r="AK93">
            <v>0</v>
          </cell>
          <cell r="AL93">
            <v>0</v>
          </cell>
          <cell r="AM93">
            <v>4</v>
          </cell>
          <cell r="AN93" t="str">
            <v>10km reconstructed 1993</v>
          </cell>
          <cell r="BO93" t="str">
            <v>RS 053</v>
          </cell>
          <cell r="BP93">
            <v>29.4</v>
          </cell>
          <cell r="BQ93">
            <v>6</v>
          </cell>
          <cell r="BR93" t="str">
            <v>F</v>
          </cell>
          <cell r="BS93" t="str">
            <v>C</v>
          </cell>
          <cell r="BT93">
            <v>0</v>
          </cell>
          <cell r="BU93" t="str">
            <v>ST</v>
          </cell>
          <cell r="BV93" t="str">
            <v>ST</v>
          </cell>
          <cell r="BW93">
            <v>4</v>
          </cell>
          <cell r="BX93">
            <v>10</v>
          </cell>
          <cell r="BY93">
            <v>10</v>
          </cell>
          <cell r="BZ93">
            <v>1</v>
          </cell>
          <cell r="CA93">
            <v>22</v>
          </cell>
          <cell r="CB93">
            <v>2.4350000000000001</v>
          </cell>
          <cell r="CC93">
            <v>4.63</v>
          </cell>
          <cell r="CD93">
            <v>16</v>
          </cell>
          <cell r="CE93">
            <v>13</v>
          </cell>
          <cell r="CF93">
            <v>0</v>
          </cell>
          <cell r="CG93">
            <v>16</v>
          </cell>
          <cell r="CH93">
            <v>13</v>
          </cell>
          <cell r="CI93">
            <v>4.0999999999999996</v>
          </cell>
          <cell r="CJ93">
            <v>1.3666666666666667E-2</v>
          </cell>
          <cell r="CK93">
            <v>1.3666666666666667E-2</v>
          </cell>
          <cell r="CL93">
            <v>0</v>
          </cell>
          <cell r="CM93">
            <v>5.2984615384615383E-3</v>
          </cell>
          <cell r="CN93">
            <v>5.2984615384615383E-3</v>
          </cell>
          <cell r="CO93">
            <v>0</v>
          </cell>
          <cell r="CP93">
            <v>0</v>
          </cell>
          <cell r="CQ93">
            <v>4.6352984615384614</v>
          </cell>
          <cell r="CR93">
            <v>0</v>
          </cell>
          <cell r="CS93">
            <v>1.3</v>
          </cell>
          <cell r="CT93">
            <v>1.5000000000000002</v>
          </cell>
          <cell r="CU93">
            <v>0.60000000000000009</v>
          </cell>
          <cell r="CV93">
            <v>5</v>
          </cell>
          <cell r="CW93">
            <v>20</v>
          </cell>
          <cell r="CX93">
            <v>40</v>
          </cell>
          <cell r="CY93">
            <v>2</v>
          </cell>
          <cell r="CZ93">
            <v>1.2</v>
          </cell>
          <cell r="DA93">
            <v>1</v>
          </cell>
          <cell r="DB93">
            <v>250</v>
          </cell>
          <cell r="DC93">
            <v>118</v>
          </cell>
          <cell r="DD93">
            <v>65</v>
          </cell>
          <cell r="DE93">
            <v>19</v>
          </cell>
          <cell r="DF93">
            <v>29</v>
          </cell>
          <cell r="DG93">
            <v>5</v>
          </cell>
          <cell r="DH93">
            <v>3</v>
          </cell>
          <cell r="DI93">
            <v>13</v>
          </cell>
        </row>
        <row r="94">
          <cell r="A94" t="str">
            <v>RS 061</v>
          </cell>
          <cell r="B94">
            <v>61</v>
          </cell>
          <cell r="C94" t="str">
            <v>C</v>
          </cell>
          <cell r="D94" t="str">
            <v>T</v>
          </cell>
          <cell r="E94" t="str">
            <v>Benga-Kachisoka</v>
          </cell>
          <cell r="F94" t="str">
            <v>M05</v>
          </cell>
          <cell r="G94">
            <v>13</v>
          </cell>
          <cell r="H94">
            <v>2.7</v>
          </cell>
          <cell r="I94" t="str">
            <v>F</v>
          </cell>
          <cell r="J94" t="str">
            <v>NKHOTAKOTA</v>
          </cell>
          <cell r="K94">
            <v>5</v>
          </cell>
          <cell r="L94">
            <v>0</v>
          </cell>
          <cell r="W94">
            <v>83</v>
          </cell>
          <cell r="X94" t="str">
            <v>DS</v>
          </cell>
          <cell r="Y94">
            <v>200</v>
          </cell>
          <cell r="Z94" t="str">
            <v>SB</v>
          </cell>
          <cell r="AA94">
            <v>100</v>
          </cell>
          <cell r="AB94" t="str">
            <v>GR</v>
          </cell>
          <cell r="AC94">
            <v>4</v>
          </cell>
          <cell r="AD94" t="str">
            <v>VR</v>
          </cell>
          <cell r="AE94">
            <v>0</v>
          </cell>
          <cell r="AF94">
            <v>0</v>
          </cell>
          <cell r="AG94">
            <v>0</v>
          </cell>
          <cell r="AH94">
            <v>0</v>
          </cell>
          <cell r="AI94">
            <v>0</v>
          </cell>
          <cell r="AJ94">
            <v>0</v>
          </cell>
          <cell r="AK94">
            <v>0</v>
          </cell>
          <cell r="AL94">
            <v>0</v>
          </cell>
          <cell r="AM94">
            <v>1</v>
          </cell>
          <cell r="AN94" t="str">
            <v>never resealed</v>
          </cell>
          <cell r="BO94" t="str">
            <v>RS 061</v>
          </cell>
          <cell r="BP94">
            <v>2.7</v>
          </cell>
          <cell r="BQ94">
            <v>6</v>
          </cell>
          <cell r="BR94" t="str">
            <v>F</v>
          </cell>
          <cell r="BS94" t="str">
            <v>C</v>
          </cell>
          <cell r="BT94">
            <v>0</v>
          </cell>
          <cell r="BU94" t="str">
            <v>DS</v>
          </cell>
          <cell r="BV94" t="str">
            <v/>
          </cell>
          <cell r="BW94">
            <v>1</v>
          </cell>
          <cell r="BX94">
            <v>15</v>
          </cell>
          <cell r="BY94" t="str">
            <v/>
          </cell>
          <cell r="BZ94">
            <v>1</v>
          </cell>
          <cell r="CA94">
            <v>4</v>
          </cell>
          <cell r="CB94">
            <v>1.177</v>
          </cell>
          <cell r="CC94">
            <v>4.9512067774519402</v>
          </cell>
          <cell r="CD94">
            <v>34</v>
          </cell>
          <cell r="CE94">
            <v>19</v>
          </cell>
          <cell r="CF94">
            <v>4</v>
          </cell>
          <cell r="CG94">
            <v>30</v>
          </cell>
          <cell r="CH94">
            <v>15</v>
          </cell>
          <cell r="CI94">
            <v>1.9</v>
          </cell>
          <cell r="CJ94">
            <v>6.3333333333333332E-3</v>
          </cell>
          <cell r="CK94">
            <v>4.0063333333333331</v>
          </cell>
          <cell r="CL94">
            <v>4</v>
          </cell>
          <cell r="CM94">
            <v>6.891692307692307E-2</v>
          </cell>
          <cell r="CN94">
            <v>6.891692307692307E-2</v>
          </cell>
          <cell r="CO94">
            <v>0</v>
          </cell>
          <cell r="CP94">
            <v>0</v>
          </cell>
          <cell r="CQ94">
            <v>5.0201237005288633</v>
          </cell>
          <cell r="CR94">
            <v>0</v>
          </cell>
          <cell r="CS94">
            <v>1.5</v>
          </cell>
          <cell r="CT94">
            <v>2.5</v>
          </cell>
          <cell r="CU94">
            <v>1</v>
          </cell>
          <cell r="CV94">
            <v>15</v>
          </cell>
          <cell r="CW94">
            <v>15</v>
          </cell>
          <cell r="CX94" t="str">
            <v/>
          </cell>
          <cell r="CY94">
            <v>2</v>
          </cell>
          <cell r="CZ94">
            <v>1</v>
          </cell>
          <cell r="DA94">
            <v>1</v>
          </cell>
          <cell r="DB94">
            <v>250</v>
          </cell>
          <cell r="DC94">
            <v>118</v>
          </cell>
          <cell r="DD94">
            <v>65</v>
          </cell>
          <cell r="DE94">
            <v>19</v>
          </cell>
          <cell r="DF94">
            <v>29</v>
          </cell>
          <cell r="DG94">
            <v>5</v>
          </cell>
          <cell r="DH94">
            <v>3</v>
          </cell>
          <cell r="DI94">
            <v>13</v>
          </cell>
        </row>
        <row r="95">
          <cell r="A95" t="str">
            <v>RS 042</v>
          </cell>
          <cell r="B95">
            <v>42</v>
          </cell>
          <cell r="C95" t="str">
            <v>C</v>
          </cell>
          <cell r="D95" t="str">
            <v>T</v>
          </cell>
          <cell r="E95" t="str">
            <v>Chirua River Bridge - Thavite River Bridge</v>
          </cell>
          <cell r="F95" t="str">
            <v>M05</v>
          </cell>
          <cell r="G95">
            <v>14</v>
          </cell>
          <cell r="H95">
            <v>6</v>
          </cell>
          <cell r="I95" t="str">
            <v>F</v>
          </cell>
          <cell r="J95" t="str">
            <v>SALIMA</v>
          </cell>
          <cell r="K95">
            <v>5</v>
          </cell>
          <cell r="L95">
            <v>0</v>
          </cell>
          <cell r="W95">
            <v>83</v>
          </cell>
          <cell r="X95" t="str">
            <v>ST</v>
          </cell>
          <cell r="Y95">
            <v>150</v>
          </cell>
          <cell r="Z95" t="str">
            <v>GR</v>
          </cell>
          <cell r="AA95">
            <v>100</v>
          </cell>
          <cell r="AB95" t="str">
            <v>GR</v>
          </cell>
          <cell r="AC95">
            <v>8</v>
          </cell>
          <cell r="AD95" t="str">
            <v>VR</v>
          </cell>
          <cell r="AE95">
            <v>0</v>
          </cell>
          <cell r="AF95">
            <v>0</v>
          </cell>
          <cell r="AG95">
            <v>0</v>
          </cell>
          <cell r="AH95">
            <v>0</v>
          </cell>
          <cell r="AI95">
            <v>0</v>
          </cell>
          <cell r="AJ95">
            <v>0</v>
          </cell>
          <cell r="AK95">
            <v>0</v>
          </cell>
          <cell r="AL95">
            <v>0</v>
          </cell>
          <cell r="AM95">
            <v>1</v>
          </cell>
          <cell r="AN95" t="str">
            <v>never resealed</v>
          </cell>
          <cell r="BO95" t="str">
            <v>RS 042</v>
          </cell>
          <cell r="BP95">
            <v>6</v>
          </cell>
          <cell r="BQ95">
            <v>6</v>
          </cell>
          <cell r="BR95" t="str">
            <v>F</v>
          </cell>
          <cell r="BS95" t="str">
            <v>C</v>
          </cell>
          <cell r="BT95">
            <v>0</v>
          </cell>
          <cell r="BU95" t="str">
            <v>ST</v>
          </cell>
          <cell r="BV95" t="str">
            <v/>
          </cell>
          <cell r="BW95">
            <v>1</v>
          </cell>
          <cell r="BX95">
            <v>10</v>
          </cell>
          <cell r="BY95" t="str">
            <v/>
          </cell>
          <cell r="BZ95">
            <v>1</v>
          </cell>
          <cell r="CA95">
            <v>8</v>
          </cell>
          <cell r="CB95">
            <v>0.90800000000000003</v>
          </cell>
          <cell r="CC95">
            <v>4.5999999999999996</v>
          </cell>
          <cell r="CD95">
            <v>95</v>
          </cell>
          <cell r="CE95">
            <v>76</v>
          </cell>
          <cell r="CF95">
            <v>61</v>
          </cell>
          <cell r="CG95">
            <v>34</v>
          </cell>
          <cell r="CH95">
            <v>15</v>
          </cell>
          <cell r="CI95">
            <v>1.6</v>
          </cell>
          <cell r="CJ95">
            <v>5.3333333333333349E-3</v>
          </cell>
          <cell r="CK95">
            <v>10</v>
          </cell>
          <cell r="CL95">
            <v>61</v>
          </cell>
          <cell r="CM95">
            <v>0.50555282051282047</v>
          </cell>
          <cell r="CN95">
            <v>0.50555282051282047</v>
          </cell>
          <cell r="CO95">
            <v>0</v>
          </cell>
          <cell r="CP95">
            <v>0</v>
          </cell>
          <cell r="CQ95">
            <v>5.1055528205128198</v>
          </cell>
          <cell r="CR95">
            <v>0</v>
          </cell>
          <cell r="CS95">
            <v>1</v>
          </cell>
          <cell r="CT95">
            <v>0</v>
          </cell>
          <cell r="CU95">
            <v>0</v>
          </cell>
          <cell r="CV95">
            <v>15</v>
          </cell>
          <cell r="CW95">
            <v>15</v>
          </cell>
          <cell r="CX95" t="str">
            <v/>
          </cell>
          <cell r="CY95">
            <v>2</v>
          </cell>
          <cell r="CZ95">
            <v>1</v>
          </cell>
          <cell r="DA95">
            <v>1</v>
          </cell>
          <cell r="DB95">
            <v>150</v>
          </cell>
          <cell r="DC95">
            <v>71</v>
          </cell>
          <cell r="DD95">
            <v>39</v>
          </cell>
          <cell r="DE95">
            <v>12</v>
          </cell>
          <cell r="DF95">
            <v>18</v>
          </cell>
          <cell r="DG95">
            <v>3</v>
          </cell>
          <cell r="DH95">
            <v>2</v>
          </cell>
          <cell r="DI95">
            <v>8</v>
          </cell>
        </row>
        <row r="96">
          <cell r="A96" t="str">
            <v>RS 058</v>
          </cell>
          <cell r="B96">
            <v>58</v>
          </cell>
          <cell r="C96" t="str">
            <v>C</v>
          </cell>
          <cell r="D96" t="str">
            <v>T</v>
          </cell>
          <cell r="E96" t="str">
            <v>Thavite River Bridge - Kamphatenga</v>
          </cell>
          <cell r="F96" t="str">
            <v>M05</v>
          </cell>
          <cell r="G96">
            <v>15</v>
          </cell>
          <cell r="H96">
            <v>32.5</v>
          </cell>
          <cell r="I96" t="str">
            <v>F</v>
          </cell>
          <cell r="J96" t="str">
            <v>SALIMA</v>
          </cell>
          <cell r="K96">
            <v>7</v>
          </cell>
          <cell r="L96">
            <v>0</v>
          </cell>
          <cell r="W96">
            <v>83</v>
          </cell>
          <cell r="X96" t="str">
            <v>DS</v>
          </cell>
          <cell r="Y96">
            <v>200</v>
          </cell>
          <cell r="Z96" t="str">
            <v>SB</v>
          </cell>
          <cell r="AA96">
            <v>100</v>
          </cell>
          <cell r="AB96" t="str">
            <v>GR</v>
          </cell>
          <cell r="AC96">
            <v>4</v>
          </cell>
          <cell r="AD96" t="str">
            <v>VR</v>
          </cell>
          <cell r="AE96">
            <v>0</v>
          </cell>
          <cell r="AF96">
            <v>0</v>
          </cell>
          <cell r="AG96">
            <v>0</v>
          </cell>
          <cell r="AH96">
            <v>0</v>
          </cell>
          <cell r="AI96">
            <v>0</v>
          </cell>
          <cell r="AJ96">
            <v>0</v>
          </cell>
          <cell r="AK96">
            <v>0</v>
          </cell>
          <cell r="AL96">
            <v>0</v>
          </cell>
          <cell r="AM96">
            <v>1</v>
          </cell>
          <cell r="AN96" t="str">
            <v>never resealed</v>
          </cell>
          <cell r="BO96" t="str">
            <v>RS 058</v>
          </cell>
          <cell r="BP96">
            <v>32.5</v>
          </cell>
          <cell r="BQ96">
            <v>6</v>
          </cell>
          <cell r="BR96" t="str">
            <v>F</v>
          </cell>
          <cell r="BS96" t="str">
            <v>C</v>
          </cell>
          <cell r="BT96">
            <v>0</v>
          </cell>
          <cell r="BU96" t="str">
            <v>DS</v>
          </cell>
          <cell r="BV96" t="str">
            <v/>
          </cell>
          <cell r="BW96">
            <v>1</v>
          </cell>
          <cell r="BX96">
            <v>15</v>
          </cell>
          <cell r="BY96" t="str">
            <v/>
          </cell>
          <cell r="BZ96">
            <v>1</v>
          </cell>
          <cell r="CA96">
            <v>4</v>
          </cell>
          <cell r="CB96">
            <v>1.177</v>
          </cell>
          <cell r="CC96">
            <v>4.6480611775321456</v>
          </cell>
          <cell r="CD96">
            <v>45</v>
          </cell>
          <cell r="CE96">
            <v>35</v>
          </cell>
          <cell r="CF96">
            <v>20</v>
          </cell>
          <cell r="CG96">
            <v>25</v>
          </cell>
          <cell r="CH96">
            <v>15</v>
          </cell>
          <cell r="CI96">
            <v>2.8</v>
          </cell>
          <cell r="CJ96">
            <v>9.3333333333333324E-3</v>
          </cell>
          <cell r="CK96">
            <v>10</v>
          </cell>
          <cell r="CL96">
            <v>20</v>
          </cell>
          <cell r="CM96">
            <v>0.23583282051282048</v>
          </cell>
          <cell r="CN96">
            <v>0.23583282051282048</v>
          </cell>
          <cell r="CO96">
            <v>0</v>
          </cell>
          <cell r="CP96">
            <v>0</v>
          </cell>
          <cell r="CQ96">
            <v>4.8838939980449663</v>
          </cell>
          <cell r="CR96">
            <v>0</v>
          </cell>
          <cell r="CS96">
            <v>1</v>
          </cell>
          <cell r="CT96">
            <v>0</v>
          </cell>
          <cell r="CU96">
            <v>0</v>
          </cell>
          <cell r="CV96">
            <v>15</v>
          </cell>
          <cell r="CW96">
            <v>15</v>
          </cell>
          <cell r="CX96" t="str">
            <v/>
          </cell>
          <cell r="CY96">
            <v>2</v>
          </cell>
          <cell r="CZ96">
            <v>1</v>
          </cell>
          <cell r="DA96">
            <v>1</v>
          </cell>
          <cell r="DB96">
            <v>150</v>
          </cell>
          <cell r="DC96">
            <v>71</v>
          </cell>
          <cell r="DD96">
            <v>39</v>
          </cell>
          <cell r="DE96">
            <v>12</v>
          </cell>
          <cell r="DF96">
            <v>18</v>
          </cell>
          <cell r="DG96">
            <v>3</v>
          </cell>
          <cell r="DH96">
            <v>2</v>
          </cell>
          <cell r="DI96">
            <v>8</v>
          </cell>
        </row>
        <row r="97">
          <cell r="A97" t="str">
            <v>RS 044</v>
          </cell>
          <cell r="B97">
            <v>44</v>
          </cell>
          <cell r="C97" t="str">
            <v>C</v>
          </cell>
          <cell r="D97" t="str">
            <v>T</v>
          </cell>
          <cell r="E97" t="str">
            <v>Kaphatenga - junction S122</v>
          </cell>
          <cell r="F97" t="str">
            <v>M05</v>
          </cell>
          <cell r="G97">
            <v>16</v>
          </cell>
          <cell r="H97">
            <v>4.8</v>
          </cell>
          <cell r="I97" t="str">
            <v>F</v>
          </cell>
          <cell r="J97" t="str">
            <v>SALIMA</v>
          </cell>
          <cell r="K97">
            <v>7</v>
          </cell>
          <cell r="L97" t="str">
            <v>Changed junction road designation from M5</v>
          </cell>
          <cell r="W97">
            <v>83</v>
          </cell>
          <cell r="X97" t="str">
            <v>ST</v>
          </cell>
          <cell r="Y97">
            <v>200</v>
          </cell>
          <cell r="Z97" t="str">
            <v>SB</v>
          </cell>
          <cell r="AA97">
            <v>100</v>
          </cell>
          <cell r="AB97" t="str">
            <v>GR</v>
          </cell>
          <cell r="AC97">
            <v>4</v>
          </cell>
          <cell r="AD97" t="str">
            <v>VR</v>
          </cell>
          <cell r="AE97">
            <v>0</v>
          </cell>
          <cell r="AF97">
            <v>0</v>
          </cell>
          <cell r="AG97">
            <v>0</v>
          </cell>
          <cell r="AH97">
            <v>0</v>
          </cell>
          <cell r="AI97">
            <v>0</v>
          </cell>
          <cell r="AJ97">
            <v>0</v>
          </cell>
          <cell r="AK97">
            <v>0</v>
          </cell>
          <cell r="AL97">
            <v>0</v>
          </cell>
          <cell r="AM97">
            <v>1</v>
          </cell>
          <cell r="AN97" t="str">
            <v>never resealed</v>
          </cell>
          <cell r="BO97" t="str">
            <v>RS 044</v>
          </cell>
          <cell r="BP97">
            <v>4.8</v>
          </cell>
          <cell r="BQ97">
            <v>6</v>
          </cell>
          <cell r="BR97" t="str">
            <v>F</v>
          </cell>
          <cell r="BS97" t="str">
            <v>C</v>
          </cell>
          <cell r="BT97">
            <v>0</v>
          </cell>
          <cell r="BU97" t="str">
            <v>ST</v>
          </cell>
          <cell r="BV97" t="str">
            <v/>
          </cell>
          <cell r="BW97">
            <v>1</v>
          </cell>
          <cell r="BX97">
            <v>10</v>
          </cell>
          <cell r="BY97" t="str">
            <v/>
          </cell>
          <cell r="BZ97">
            <v>1</v>
          </cell>
          <cell r="CA97">
            <v>4</v>
          </cell>
          <cell r="CB97">
            <v>1.008</v>
          </cell>
          <cell r="CC97">
            <v>4.5464554518794991</v>
          </cell>
          <cell r="CD97">
            <v>0</v>
          </cell>
          <cell r="CE97">
            <v>0</v>
          </cell>
          <cell r="CF97">
            <v>0</v>
          </cell>
          <cell r="CG97">
            <v>0</v>
          </cell>
          <cell r="CH97">
            <v>0</v>
          </cell>
          <cell r="CI97">
            <v>0.5</v>
          </cell>
          <cell r="CJ97">
            <v>1.6666666666666668E-3</v>
          </cell>
          <cell r="CK97">
            <v>1.6666666666666668E-3</v>
          </cell>
          <cell r="CL97">
            <v>0</v>
          </cell>
          <cell r="CM97">
            <v>6.4615384615384621E-4</v>
          </cell>
          <cell r="CN97">
            <v>6.4615384615384621E-4</v>
          </cell>
          <cell r="CO97">
            <v>0</v>
          </cell>
          <cell r="CP97">
            <v>0</v>
          </cell>
          <cell r="CQ97">
            <v>4.5471016057256533</v>
          </cell>
          <cell r="CR97">
            <v>0</v>
          </cell>
          <cell r="CS97">
            <v>1</v>
          </cell>
          <cell r="CT97">
            <v>0</v>
          </cell>
          <cell r="CU97">
            <v>0</v>
          </cell>
          <cell r="CV97">
            <v>15</v>
          </cell>
          <cell r="CW97">
            <v>15</v>
          </cell>
          <cell r="CX97" t="str">
            <v/>
          </cell>
          <cell r="CY97">
            <v>2</v>
          </cell>
          <cell r="CZ97">
            <v>1</v>
          </cell>
          <cell r="DA97">
            <v>1</v>
          </cell>
          <cell r="DB97">
            <v>320</v>
          </cell>
          <cell r="DC97">
            <v>151</v>
          </cell>
          <cell r="DD97">
            <v>84</v>
          </cell>
          <cell r="DE97">
            <v>24</v>
          </cell>
          <cell r="DF97">
            <v>37</v>
          </cell>
          <cell r="DG97">
            <v>7</v>
          </cell>
          <cell r="DH97">
            <v>4</v>
          </cell>
          <cell r="DI97">
            <v>16</v>
          </cell>
        </row>
        <row r="98">
          <cell r="A98" t="str">
            <v>RS 051</v>
          </cell>
          <cell r="B98">
            <v>51</v>
          </cell>
          <cell r="C98" t="str">
            <v>C</v>
          </cell>
          <cell r="D98" t="str">
            <v>T</v>
          </cell>
          <cell r="E98" t="str">
            <v>Junction S122 - Linthipe River</v>
          </cell>
          <cell r="F98" t="str">
            <v>M05</v>
          </cell>
          <cell r="G98">
            <v>17</v>
          </cell>
          <cell r="H98">
            <v>1.9</v>
          </cell>
          <cell r="I98" t="str">
            <v>F</v>
          </cell>
          <cell r="J98" t="str">
            <v>SALIMA</v>
          </cell>
          <cell r="K98">
            <v>7</v>
          </cell>
          <cell r="L98">
            <v>0</v>
          </cell>
          <cell r="W98">
            <v>81</v>
          </cell>
          <cell r="X98" t="str">
            <v>DS</v>
          </cell>
          <cell r="Y98">
            <v>150</v>
          </cell>
          <cell r="Z98" t="str">
            <v>SB</v>
          </cell>
          <cell r="AA98">
            <v>100</v>
          </cell>
          <cell r="AB98" t="str">
            <v>GR</v>
          </cell>
          <cell r="AC98">
            <v>8</v>
          </cell>
          <cell r="AD98" t="str">
            <v>VR</v>
          </cell>
          <cell r="AE98">
            <v>94</v>
          </cell>
          <cell r="AF98" t="str">
            <v>RC</v>
          </cell>
          <cell r="AG98" t="str">
            <v>ST</v>
          </cell>
          <cell r="AH98">
            <v>15</v>
          </cell>
          <cell r="AI98">
            <v>0</v>
          </cell>
          <cell r="AJ98">
            <v>0</v>
          </cell>
          <cell r="AK98">
            <v>0</v>
          </cell>
          <cell r="AL98">
            <v>0</v>
          </cell>
          <cell r="AM98">
            <v>1</v>
          </cell>
          <cell r="AN98">
            <v>0</v>
          </cell>
          <cell r="BO98" t="str">
            <v>RS 051</v>
          </cell>
          <cell r="BP98">
            <v>1.9</v>
          </cell>
          <cell r="BQ98">
            <v>6</v>
          </cell>
          <cell r="BR98" t="str">
            <v>F</v>
          </cell>
          <cell r="BS98" t="str">
            <v>C</v>
          </cell>
          <cell r="BT98">
            <v>0</v>
          </cell>
          <cell r="BU98" t="str">
            <v>ST</v>
          </cell>
          <cell r="BV98" t="str">
            <v/>
          </cell>
          <cell r="BW98">
            <v>1</v>
          </cell>
          <cell r="BX98">
            <v>10</v>
          </cell>
          <cell r="BY98" t="str">
            <v/>
          </cell>
          <cell r="BZ98">
            <v>1</v>
          </cell>
          <cell r="CA98">
            <v>8</v>
          </cell>
          <cell r="CB98">
            <v>1.3540000000000001</v>
          </cell>
          <cell r="CC98">
            <v>5.7</v>
          </cell>
          <cell r="CD98">
            <v>0</v>
          </cell>
          <cell r="CE98">
            <v>0</v>
          </cell>
          <cell r="CF98">
            <v>0</v>
          </cell>
          <cell r="CG98">
            <v>0</v>
          </cell>
          <cell r="CH98">
            <v>0</v>
          </cell>
          <cell r="CI98">
            <v>0</v>
          </cell>
          <cell r="CJ98">
            <v>0</v>
          </cell>
          <cell r="CK98">
            <v>0</v>
          </cell>
          <cell r="CL98">
            <v>0</v>
          </cell>
          <cell r="CM98">
            <v>0</v>
          </cell>
          <cell r="CN98">
            <v>0</v>
          </cell>
          <cell r="CO98">
            <v>0</v>
          </cell>
          <cell r="CP98">
            <v>0</v>
          </cell>
          <cell r="CQ98">
            <v>5.7</v>
          </cell>
          <cell r="CR98">
            <v>0</v>
          </cell>
          <cell r="CS98">
            <v>1</v>
          </cell>
          <cell r="CT98">
            <v>0</v>
          </cell>
          <cell r="CU98">
            <v>0</v>
          </cell>
          <cell r="CV98">
            <v>4</v>
          </cell>
          <cell r="CW98">
            <v>4</v>
          </cell>
          <cell r="CX98" t="str">
            <v/>
          </cell>
          <cell r="CY98">
            <v>2</v>
          </cell>
          <cell r="CZ98">
            <v>1</v>
          </cell>
          <cell r="DA98">
            <v>1</v>
          </cell>
          <cell r="DB98">
            <v>300</v>
          </cell>
          <cell r="DC98">
            <v>141</v>
          </cell>
          <cell r="DD98">
            <v>78</v>
          </cell>
          <cell r="DE98">
            <v>23</v>
          </cell>
          <cell r="DF98">
            <v>35</v>
          </cell>
          <cell r="DG98">
            <v>6</v>
          </cell>
          <cell r="DH98">
            <v>3</v>
          </cell>
          <cell r="DI98">
            <v>15</v>
          </cell>
        </row>
        <row r="99">
          <cell r="A99" t="str">
            <v>RS 067</v>
          </cell>
          <cell r="B99">
            <v>67</v>
          </cell>
          <cell r="C99" t="str">
            <v>C</v>
          </cell>
          <cell r="D99" t="str">
            <v>T</v>
          </cell>
          <cell r="E99" t="str">
            <v>Linthipe River - Luwadzi River Bridge</v>
          </cell>
          <cell r="F99" t="str">
            <v>M05</v>
          </cell>
          <cell r="G99">
            <v>18</v>
          </cell>
          <cell r="H99">
            <v>20.8</v>
          </cell>
          <cell r="I99" t="str">
            <v>F</v>
          </cell>
          <cell r="J99" t="str">
            <v>SALIMA</v>
          </cell>
          <cell r="K99">
            <v>7</v>
          </cell>
          <cell r="L99">
            <v>0</v>
          </cell>
          <cell r="W99">
            <v>81</v>
          </cell>
          <cell r="X99" t="str">
            <v>DS</v>
          </cell>
          <cell r="Y99">
            <v>150</v>
          </cell>
          <cell r="Z99" t="str">
            <v>SB</v>
          </cell>
          <cell r="AA99">
            <v>100</v>
          </cell>
          <cell r="AB99" t="str">
            <v>GR</v>
          </cell>
          <cell r="AC99">
            <v>8</v>
          </cell>
          <cell r="AD99" t="str">
            <v>VR</v>
          </cell>
          <cell r="AE99">
            <v>94</v>
          </cell>
          <cell r="AF99" t="str">
            <v>RC</v>
          </cell>
          <cell r="AG99" t="str">
            <v>ST</v>
          </cell>
          <cell r="AH99">
            <v>15</v>
          </cell>
          <cell r="AI99">
            <v>0</v>
          </cell>
          <cell r="AJ99">
            <v>0</v>
          </cell>
          <cell r="AK99">
            <v>0</v>
          </cell>
          <cell r="AL99">
            <v>0</v>
          </cell>
          <cell r="AM99">
            <v>1</v>
          </cell>
          <cell r="AN99">
            <v>0</v>
          </cell>
          <cell r="BO99" t="str">
            <v>RS 067</v>
          </cell>
          <cell r="BP99">
            <v>20.8</v>
          </cell>
          <cell r="BQ99">
            <v>6.7</v>
          </cell>
          <cell r="BR99" t="str">
            <v>F</v>
          </cell>
          <cell r="BS99" t="str">
            <v>S</v>
          </cell>
          <cell r="BT99">
            <v>0</v>
          </cell>
          <cell r="BU99" t="str">
            <v>ST</v>
          </cell>
          <cell r="BV99" t="str">
            <v/>
          </cell>
          <cell r="BW99">
            <v>1</v>
          </cell>
          <cell r="BX99">
            <v>10</v>
          </cell>
          <cell r="BY99" t="str">
            <v/>
          </cell>
          <cell r="BZ99">
            <v>1</v>
          </cell>
          <cell r="CA99">
            <v>8</v>
          </cell>
          <cell r="CB99">
            <v>1.3540000000000001</v>
          </cell>
          <cell r="CC99">
            <v>2.96</v>
          </cell>
          <cell r="CD99">
            <v>10</v>
          </cell>
          <cell r="CE99">
            <v>0.5</v>
          </cell>
          <cell r="CF99">
            <v>0</v>
          </cell>
          <cell r="CG99">
            <v>10</v>
          </cell>
          <cell r="CH99">
            <v>0.5</v>
          </cell>
          <cell r="CI99">
            <v>0.1</v>
          </cell>
          <cell r="CJ99">
            <v>2.9850746268656722E-4</v>
          </cell>
          <cell r="CK99">
            <v>2.9850746268656722E-4</v>
          </cell>
          <cell r="CL99">
            <v>0</v>
          </cell>
          <cell r="CM99">
            <v>1.1572904707233067E-4</v>
          </cell>
          <cell r="CN99">
            <v>1.1572904707233067E-4</v>
          </cell>
          <cell r="CO99">
            <v>0</v>
          </cell>
          <cell r="CP99">
            <v>0</v>
          </cell>
          <cell r="CQ99">
            <v>2.9601157290470721</v>
          </cell>
          <cell r="CR99">
            <v>0</v>
          </cell>
          <cell r="CS99">
            <v>1</v>
          </cell>
          <cell r="CT99">
            <v>0</v>
          </cell>
          <cell r="CU99">
            <v>0</v>
          </cell>
          <cell r="CV99">
            <v>4</v>
          </cell>
          <cell r="CW99">
            <v>4</v>
          </cell>
          <cell r="CX99" t="str">
            <v/>
          </cell>
          <cell r="CY99">
            <v>2</v>
          </cell>
          <cell r="CZ99">
            <v>1</v>
          </cell>
          <cell r="DA99">
            <v>1</v>
          </cell>
          <cell r="DB99">
            <v>300</v>
          </cell>
          <cell r="DC99">
            <v>141</v>
          </cell>
          <cell r="DD99">
            <v>78</v>
          </cell>
          <cell r="DE99">
            <v>23</v>
          </cell>
          <cell r="DF99">
            <v>35</v>
          </cell>
          <cell r="DG99">
            <v>6</v>
          </cell>
          <cell r="DH99">
            <v>3</v>
          </cell>
          <cell r="DI99">
            <v>15</v>
          </cell>
        </row>
        <row r="100">
          <cell r="A100" t="str">
            <v>RS 064</v>
          </cell>
          <cell r="B100">
            <v>64</v>
          </cell>
          <cell r="C100" t="str">
            <v>C</v>
          </cell>
          <cell r="D100" t="str">
            <v>T</v>
          </cell>
          <cell r="E100" t="str">
            <v>Luwadzi River Bridge - Ngodzi River Bridge</v>
          </cell>
          <cell r="F100" t="str">
            <v>M05</v>
          </cell>
          <cell r="G100">
            <v>19</v>
          </cell>
          <cell r="H100">
            <v>15.8</v>
          </cell>
          <cell r="I100" t="str">
            <v>F</v>
          </cell>
          <cell r="J100" t="str">
            <v>SALIMA</v>
          </cell>
          <cell r="K100">
            <v>7</v>
          </cell>
          <cell r="L100">
            <v>0</v>
          </cell>
          <cell r="W100">
            <v>81</v>
          </cell>
          <cell r="X100" t="str">
            <v>DS</v>
          </cell>
          <cell r="Y100">
            <v>150</v>
          </cell>
          <cell r="Z100" t="str">
            <v>SB</v>
          </cell>
          <cell r="AA100">
            <v>100</v>
          </cell>
          <cell r="AB100" t="str">
            <v>GR</v>
          </cell>
          <cell r="AC100">
            <v>8</v>
          </cell>
          <cell r="AD100" t="str">
            <v>VR</v>
          </cell>
          <cell r="AE100">
            <v>94</v>
          </cell>
          <cell r="AF100" t="str">
            <v>RC</v>
          </cell>
          <cell r="AG100" t="str">
            <v>ST</v>
          </cell>
          <cell r="AH100">
            <v>15</v>
          </cell>
          <cell r="AI100">
            <v>0</v>
          </cell>
          <cell r="AJ100">
            <v>0</v>
          </cell>
          <cell r="AK100">
            <v>0</v>
          </cell>
          <cell r="AL100">
            <v>0</v>
          </cell>
          <cell r="AM100">
            <v>1</v>
          </cell>
          <cell r="AN100">
            <v>0</v>
          </cell>
          <cell r="BO100" t="str">
            <v>RS 064</v>
          </cell>
          <cell r="BP100">
            <v>15.8</v>
          </cell>
          <cell r="BQ100">
            <v>6.7</v>
          </cell>
          <cell r="BR100" t="str">
            <v>F</v>
          </cell>
          <cell r="BS100" t="str">
            <v>S</v>
          </cell>
          <cell r="BT100">
            <v>0</v>
          </cell>
          <cell r="BU100" t="str">
            <v>ST</v>
          </cell>
          <cell r="BV100" t="str">
            <v/>
          </cell>
          <cell r="BW100">
            <v>1</v>
          </cell>
          <cell r="BX100">
            <v>10</v>
          </cell>
          <cell r="BY100" t="str">
            <v/>
          </cell>
          <cell r="BZ100">
            <v>1</v>
          </cell>
          <cell r="CA100">
            <v>8</v>
          </cell>
          <cell r="CB100">
            <v>1.3540000000000001</v>
          </cell>
          <cell r="CC100">
            <v>3.7884175953079184</v>
          </cell>
          <cell r="CD100">
            <v>10</v>
          </cell>
          <cell r="CE100">
            <v>0</v>
          </cell>
          <cell r="CF100">
            <v>0</v>
          </cell>
          <cell r="CG100">
            <v>10</v>
          </cell>
          <cell r="CH100">
            <v>0</v>
          </cell>
          <cell r="CI100">
            <v>0</v>
          </cell>
          <cell r="CJ100">
            <v>0</v>
          </cell>
          <cell r="CK100">
            <v>0</v>
          </cell>
          <cell r="CL100">
            <v>0</v>
          </cell>
          <cell r="CM100">
            <v>0</v>
          </cell>
          <cell r="CN100">
            <v>0</v>
          </cell>
          <cell r="CO100">
            <v>0</v>
          </cell>
          <cell r="CP100">
            <v>0</v>
          </cell>
          <cell r="CQ100">
            <v>3.7884175953079184</v>
          </cell>
          <cell r="CR100">
            <v>0</v>
          </cell>
          <cell r="CS100">
            <v>1</v>
          </cell>
          <cell r="CT100">
            <v>0</v>
          </cell>
          <cell r="CU100">
            <v>0</v>
          </cell>
          <cell r="CV100">
            <v>4</v>
          </cell>
          <cell r="CW100">
            <v>4</v>
          </cell>
          <cell r="CX100" t="str">
            <v/>
          </cell>
          <cell r="CY100">
            <v>1.2</v>
          </cell>
          <cell r="CZ100">
            <v>1.2</v>
          </cell>
          <cell r="DA100">
            <v>1.1000000000000001</v>
          </cell>
          <cell r="DB100">
            <v>300</v>
          </cell>
          <cell r="DC100">
            <v>141</v>
          </cell>
          <cell r="DD100">
            <v>78</v>
          </cell>
          <cell r="DE100">
            <v>23</v>
          </cell>
          <cell r="DF100">
            <v>35</v>
          </cell>
          <cell r="DG100">
            <v>6</v>
          </cell>
          <cell r="DH100">
            <v>3</v>
          </cell>
          <cell r="DI100">
            <v>15</v>
          </cell>
        </row>
        <row r="101">
          <cell r="A101" t="str">
            <v>RS 059</v>
          </cell>
          <cell r="B101">
            <v>59</v>
          </cell>
          <cell r="C101" t="str">
            <v>C</v>
          </cell>
          <cell r="D101" t="str">
            <v>T</v>
          </cell>
          <cell r="E101" t="str">
            <v>Ngodzi River Bridge - Mtakataka</v>
          </cell>
          <cell r="F101" t="str">
            <v>M05</v>
          </cell>
          <cell r="G101">
            <v>20</v>
          </cell>
          <cell r="H101">
            <v>14.3</v>
          </cell>
          <cell r="I101" t="str">
            <v>F</v>
          </cell>
          <cell r="J101" t="str">
            <v>SALIMA</v>
          </cell>
          <cell r="K101">
            <v>7</v>
          </cell>
          <cell r="L101">
            <v>0</v>
          </cell>
          <cell r="W101">
            <v>81</v>
          </cell>
          <cell r="X101" t="str">
            <v>DS</v>
          </cell>
          <cell r="Y101">
            <v>150</v>
          </cell>
          <cell r="Z101" t="str">
            <v>SB</v>
          </cell>
          <cell r="AA101">
            <v>100</v>
          </cell>
          <cell r="AB101" t="str">
            <v>GR</v>
          </cell>
          <cell r="AC101">
            <v>8</v>
          </cell>
          <cell r="AD101" t="str">
            <v>VR</v>
          </cell>
          <cell r="AE101">
            <v>94</v>
          </cell>
          <cell r="AF101" t="str">
            <v>RC</v>
          </cell>
          <cell r="AG101" t="str">
            <v>ST</v>
          </cell>
          <cell r="AH101">
            <v>15</v>
          </cell>
          <cell r="AI101">
            <v>0</v>
          </cell>
          <cell r="AJ101">
            <v>0</v>
          </cell>
          <cell r="AK101">
            <v>0</v>
          </cell>
          <cell r="AL101">
            <v>0</v>
          </cell>
          <cell r="AM101">
            <v>1</v>
          </cell>
          <cell r="AN101">
            <v>0</v>
          </cell>
          <cell r="BO101" t="str">
            <v>RS 059</v>
          </cell>
          <cell r="BP101">
            <v>14.3</v>
          </cell>
          <cell r="BQ101">
            <v>6.7</v>
          </cell>
          <cell r="BR101" t="str">
            <v>F</v>
          </cell>
          <cell r="BS101" t="str">
            <v>S</v>
          </cell>
          <cell r="BT101">
            <v>0</v>
          </cell>
          <cell r="BU101" t="str">
            <v>ST</v>
          </cell>
          <cell r="BV101" t="str">
            <v/>
          </cell>
          <cell r="BW101">
            <v>1</v>
          </cell>
          <cell r="BX101">
            <v>10</v>
          </cell>
          <cell r="BY101" t="str">
            <v/>
          </cell>
          <cell r="BZ101">
            <v>1</v>
          </cell>
          <cell r="CA101">
            <v>8</v>
          </cell>
          <cell r="CB101">
            <v>1.3540000000000001</v>
          </cell>
          <cell r="CC101">
            <v>5.0676190390254909</v>
          </cell>
          <cell r="CD101">
            <v>10</v>
          </cell>
          <cell r="CE101">
            <v>1</v>
          </cell>
          <cell r="CF101">
            <v>0</v>
          </cell>
          <cell r="CG101">
            <v>10</v>
          </cell>
          <cell r="CH101">
            <v>1</v>
          </cell>
          <cell r="CI101">
            <v>0</v>
          </cell>
          <cell r="CJ101">
            <v>0</v>
          </cell>
          <cell r="CK101">
            <v>0</v>
          </cell>
          <cell r="CL101">
            <v>0</v>
          </cell>
          <cell r="CM101">
            <v>0</v>
          </cell>
          <cell r="CN101">
            <v>0</v>
          </cell>
          <cell r="CO101">
            <v>0</v>
          </cell>
          <cell r="CP101">
            <v>0</v>
          </cell>
          <cell r="CQ101">
            <v>5.0676190390254909</v>
          </cell>
          <cell r="CR101">
            <v>0</v>
          </cell>
          <cell r="CS101">
            <v>1</v>
          </cell>
          <cell r="CT101">
            <v>0</v>
          </cell>
          <cell r="CU101">
            <v>0</v>
          </cell>
          <cell r="CV101">
            <v>4</v>
          </cell>
          <cell r="CW101">
            <v>4</v>
          </cell>
          <cell r="CX101" t="str">
            <v/>
          </cell>
          <cell r="CY101">
            <v>1.5</v>
          </cell>
          <cell r="CZ101">
            <v>1.2</v>
          </cell>
          <cell r="DA101">
            <v>1.1000000000000001</v>
          </cell>
          <cell r="DB101">
            <v>160</v>
          </cell>
          <cell r="DC101">
            <v>76</v>
          </cell>
          <cell r="DD101">
            <v>42</v>
          </cell>
          <cell r="DE101">
            <v>12</v>
          </cell>
          <cell r="DF101">
            <v>19</v>
          </cell>
          <cell r="DG101">
            <v>4</v>
          </cell>
          <cell r="DH101">
            <v>2</v>
          </cell>
          <cell r="DI101">
            <v>8</v>
          </cell>
        </row>
        <row r="102">
          <cell r="A102" t="str">
            <v>RS 063</v>
          </cell>
          <cell r="B102">
            <v>63</v>
          </cell>
          <cell r="C102" t="str">
            <v>C</v>
          </cell>
          <cell r="D102" t="str">
            <v>T</v>
          </cell>
          <cell r="E102" t="str">
            <v>Mtakataka - Golomoti</v>
          </cell>
          <cell r="F102" t="str">
            <v>M05</v>
          </cell>
          <cell r="G102">
            <v>21</v>
          </cell>
          <cell r="H102">
            <v>25.5</v>
          </cell>
          <cell r="I102" t="str">
            <v>F</v>
          </cell>
          <cell r="J102" t="str">
            <v>DEDZA</v>
          </cell>
          <cell r="K102">
            <v>7</v>
          </cell>
          <cell r="L102">
            <v>0</v>
          </cell>
          <cell r="W102">
            <v>81</v>
          </cell>
          <cell r="X102" t="str">
            <v>DS</v>
          </cell>
          <cell r="Y102">
            <v>150</v>
          </cell>
          <cell r="Z102" t="str">
            <v>SB</v>
          </cell>
          <cell r="AA102">
            <v>100</v>
          </cell>
          <cell r="AB102" t="str">
            <v>GR</v>
          </cell>
          <cell r="AC102">
            <v>8</v>
          </cell>
          <cell r="AD102" t="str">
            <v>VR</v>
          </cell>
          <cell r="AE102">
            <v>94</v>
          </cell>
          <cell r="AF102" t="str">
            <v>RC</v>
          </cell>
          <cell r="AG102" t="str">
            <v>ST</v>
          </cell>
          <cell r="AH102">
            <v>15</v>
          </cell>
          <cell r="AI102">
            <v>0</v>
          </cell>
          <cell r="AJ102">
            <v>0</v>
          </cell>
          <cell r="AK102">
            <v>0</v>
          </cell>
          <cell r="AL102">
            <v>0</v>
          </cell>
          <cell r="AM102">
            <v>1</v>
          </cell>
          <cell r="AN102">
            <v>0</v>
          </cell>
          <cell r="BO102" t="str">
            <v>RS 063</v>
          </cell>
          <cell r="BP102">
            <v>25.5</v>
          </cell>
          <cell r="BQ102">
            <v>6.7</v>
          </cell>
          <cell r="BR102" t="str">
            <v>F</v>
          </cell>
          <cell r="BS102" t="str">
            <v>S</v>
          </cell>
          <cell r="BT102">
            <v>0</v>
          </cell>
          <cell r="BU102" t="str">
            <v>ST</v>
          </cell>
          <cell r="BV102" t="str">
            <v/>
          </cell>
          <cell r="BW102">
            <v>1</v>
          </cell>
          <cell r="BX102">
            <v>10</v>
          </cell>
          <cell r="BY102" t="str">
            <v/>
          </cell>
          <cell r="BZ102">
            <v>1</v>
          </cell>
          <cell r="CA102">
            <v>8</v>
          </cell>
          <cell r="CB102">
            <v>1.3540000000000001</v>
          </cell>
          <cell r="CC102">
            <v>4.04</v>
          </cell>
          <cell r="CD102">
            <v>1</v>
          </cell>
          <cell r="CE102">
            <v>0</v>
          </cell>
          <cell r="CF102">
            <v>0</v>
          </cell>
          <cell r="CG102">
            <v>1</v>
          </cell>
          <cell r="CH102">
            <v>0</v>
          </cell>
          <cell r="CI102">
            <v>0</v>
          </cell>
          <cell r="CJ102">
            <v>0</v>
          </cell>
          <cell r="CK102">
            <v>0</v>
          </cell>
          <cell r="CL102">
            <v>0</v>
          </cell>
          <cell r="CM102">
            <v>0</v>
          </cell>
          <cell r="CN102">
            <v>0</v>
          </cell>
          <cell r="CO102">
            <v>0</v>
          </cell>
          <cell r="CP102">
            <v>0</v>
          </cell>
          <cell r="CQ102">
            <v>4.04</v>
          </cell>
          <cell r="CR102">
            <v>0</v>
          </cell>
          <cell r="CS102">
            <v>1</v>
          </cell>
          <cell r="CT102">
            <v>0</v>
          </cell>
          <cell r="CU102">
            <v>0</v>
          </cell>
          <cell r="CV102">
            <v>4</v>
          </cell>
          <cell r="CW102">
            <v>4</v>
          </cell>
          <cell r="CX102" t="str">
            <v/>
          </cell>
          <cell r="CY102">
            <v>1.2</v>
          </cell>
          <cell r="CZ102">
            <v>1.2</v>
          </cell>
          <cell r="DA102">
            <v>1.1000000000000001</v>
          </cell>
          <cell r="DB102">
            <v>120</v>
          </cell>
          <cell r="DC102">
            <v>57</v>
          </cell>
          <cell r="DD102">
            <v>32</v>
          </cell>
          <cell r="DE102">
            <v>9</v>
          </cell>
          <cell r="DF102">
            <v>14</v>
          </cell>
          <cell r="DG102">
            <v>3</v>
          </cell>
          <cell r="DH102">
            <v>2</v>
          </cell>
          <cell r="DI102">
            <v>6</v>
          </cell>
        </row>
        <row r="103">
          <cell r="A103" t="str">
            <v>RS 055</v>
          </cell>
          <cell r="B103">
            <v>55</v>
          </cell>
          <cell r="C103" t="str">
            <v>C</v>
          </cell>
          <cell r="D103" t="str">
            <v>T</v>
          </cell>
          <cell r="E103" t="str">
            <v>Golomoti - Kasinje</v>
          </cell>
          <cell r="F103" t="str">
            <v>M05</v>
          </cell>
          <cell r="G103">
            <v>22</v>
          </cell>
          <cell r="H103">
            <v>14.4</v>
          </cell>
          <cell r="I103" t="str">
            <v>F</v>
          </cell>
          <cell r="J103" t="str">
            <v>NTCHEU</v>
          </cell>
          <cell r="K103">
            <v>8</v>
          </cell>
          <cell r="L103">
            <v>0</v>
          </cell>
          <cell r="W103">
            <v>81</v>
          </cell>
          <cell r="X103" t="str">
            <v>DS</v>
          </cell>
          <cell r="Y103">
            <v>150</v>
          </cell>
          <cell r="Z103" t="str">
            <v>SB</v>
          </cell>
          <cell r="AA103">
            <v>100</v>
          </cell>
          <cell r="AB103" t="str">
            <v>GR</v>
          </cell>
          <cell r="AC103">
            <v>8</v>
          </cell>
          <cell r="AD103" t="str">
            <v>VR</v>
          </cell>
          <cell r="AE103">
            <v>94</v>
          </cell>
          <cell r="AF103" t="str">
            <v>RC</v>
          </cell>
          <cell r="AG103" t="str">
            <v>ST</v>
          </cell>
          <cell r="AH103">
            <v>15</v>
          </cell>
          <cell r="AI103">
            <v>0</v>
          </cell>
          <cell r="AJ103">
            <v>0</v>
          </cell>
          <cell r="AK103">
            <v>0</v>
          </cell>
          <cell r="AL103">
            <v>0</v>
          </cell>
          <cell r="AM103">
            <v>1</v>
          </cell>
          <cell r="AN103">
            <v>0</v>
          </cell>
          <cell r="BO103" t="str">
            <v>RS 055</v>
          </cell>
          <cell r="BP103">
            <v>14.4</v>
          </cell>
          <cell r="BQ103">
            <v>6.7</v>
          </cell>
          <cell r="BR103" t="str">
            <v>F</v>
          </cell>
          <cell r="BS103" t="str">
            <v>S</v>
          </cell>
          <cell r="BT103">
            <v>0</v>
          </cell>
          <cell r="BU103" t="str">
            <v>ST</v>
          </cell>
          <cell r="BV103" t="str">
            <v/>
          </cell>
          <cell r="BW103">
            <v>1</v>
          </cell>
          <cell r="BX103">
            <v>10</v>
          </cell>
          <cell r="BY103" t="str">
            <v/>
          </cell>
          <cell r="BZ103">
            <v>1</v>
          </cell>
          <cell r="CA103">
            <v>8</v>
          </cell>
          <cell r="CB103">
            <v>1.3540000000000001</v>
          </cell>
          <cell r="CC103">
            <v>3.9922750281976094</v>
          </cell>
          <cell r="CD103">
            <v>5</v>
          </cell>
          <cell r="CE103">
            <v>0</v>
          </cell>
          <cell r="CF103">
            <v>0</v>
          </cell>
          <cell r="CG103">
            <v>5</v>
          </cell>
          <cell r="CH103">
            <v>0</v>
          </cell>
          <cell r="CI103">
            <v>0</v>
          </cell>
          <cell r="CJ103">
            <v>0</v>
          </cell>
          <cell r="CK103">
            <v>0</v>
          </cell>
          <cell r="CL103">
            <v>0</v>
          </cell>
          <cell r="CM103">
            <v>0</v>
          </cell>
          <cell r="CN103">
            <v>0</v>
          </cell>
          <cell r="CO103">
            <v>0</v>
          </cell>
          <cell r="CP103">
            <v>0</v>
          </cell>
          <cell r="CQ103">
            <v>3.9922750281976094</v>
          </cell>
          <cell r="CR103">
            <v>0</v>
          </cell>
          <cell r="CS103">
            <v>1</v>
          </cell>
          <cell r="CT103">
            <v>0</v>
          </cell>
          <cell r="CU103">
            <v>0</v>
          </cell>
          <cell r="CV103">
            <v>4</v>
          </cell>
          <cell r="CW103">
            <v>4</v>
          </cell>
          <cell r="CX103" t="str">
            <v/>
          </cell>
          <cell r="CY103">
            <v>1.2</v>
          </cell>
          <cell r="CZ103">
            <v>2</v>
          </cell>
          <cell r="DA103">
            <v>1.1000000000000001</v>
          </cell>
          <cell r="DB103">
            <v>100</v>
          </cell>
          <cell r="DC103">
            <v>47</v>
          </cell>
          <cell r="DD103">
            <v>26</v>
          </cell>
          <cell r="DE103">
            <v>8</v>
          </cell>
          <cell r="DF103">
            <v>12</v>
          </cell>
          <cell r="DG103">
            <v>2</v>
          </cell>
          <cell r="DH103">
            <v>1</v>
          </cell>
          <cell r="DI103">
            <v>5</v>
          </cell>
        </row>
        <row r="104">
          <cell r="A104" t="str">
            <v>RS 041</v>
          </cell>
          <cell r="B104">
            <v>41</v>
          </cell>
          <cell r="C104" t="str">
            <v>C</v>
          </cell>
          <cell r="D104" t="str">
            <v>T</v>
          </cell>
          <cell r="E104" t="str">
            <v>Kasinje - Sharpevale</v>
          </cell>
          <cell r="F104" t="str">
            <v>M05</v>
          </cell>
          <cell r="G104">
            <v>23</v>
          </cell>
          <cell r="H104">
            <v>10.5</v>
          </cell>
          <cell r="I104" t="str">
            <v>F</v>
          </cell>
          <cell r="J104" t="str">
            <v>NTCHEU</v>
          </cell>
          <cell r="K104">
            <v>8</v>
          </cell>
          <cell r="L104">
            <v>0</v>
          </cell>
          <cell r="W104">
            <v>81</v>
          </cell>
          <cell r="X104" t="str">
            <v>DS</v>
          </cell>
          <cell r="Y104">
            <v>150</v>
          </cell>
          <cell r="Z104" t="str">
            <v>SB</v>
          </cell>
          <cell r="AA104">
            <v>100</v>
          </cell>
          <cell r="AB104" t="str">
            <v>GR</v>
          </cell>
          <cell r="AC104">
            <v>8</v>
          </cell>
          <cell r="AD104" t="str">
            <v>VR</v>
          </cell>
          <cell r="AE104">
            <v>94</v>
          </cell>
          <cell r="AF104" t="str">
            <v>RC</v>
          </cell>
          <cell r="AG104" t="str">
            <v>ST</v>
          </cell>
          <cell r="AH104">
            <v>15</v>
          </cell>
          <cell r="AI104">
            <v>0</v>
          </cell>
          <cell r="AJ104">
            <v>0</v>
          </cell>
          <cell r="AK104">
            <v>0</v>
          </cell>
          <cell r="AL104">
            <v>0</v>
          </cell>
          <cell r="AM104">
            <v>1</v>
          </cell>
          <cell r="AN104">
            <v>0</v>
          </cell>
          <cell r="BO104" t="str">
            <v>RS 041</v>
          </cell>
          <cell r="BP104">
            <v>10.5</v>
          </cell>
          <cell r="BQ104">
            <v>6.7</v>
          </cell>
          <cell r="BR104" t="str">
            <v>F</v>
          </cell>
          <cell r="BS104" t="str">
            <v>S</v>
          </cell>
          <cell r="BT104">
            <v>0</v>
          </cell>
          <cell r="BU104" t="str">
            <v>ST</v>
          </cell>
          <cell r="BV104" t="str">
            <v/>
          </cell>
          <cell r="BW104">
            <v>1</v>
          </cell>
          <cell r="BX104">
            <v>10</v>
          </cell>
          <cell r="BY104" t="str">
            <v/>
          </cell>
          <cell r="BZ104">
            <v>1</v>
          </cell>
          <cell r="CA104">
            <v>8</v>
          </cell>
          <cell r="CB104">
            <v>1.3540000000000001</v>
          </cell>
          <cell r="CC104">
            <v>3.6602325187357452</v>
          </cell>
          <cell r="CD104">
            <v>1</v>
          </cell>
          <cell r="CE104">
            <v>0</v>
          </cell>
          <cell r="CF104">
            <v>0</v>
          </cell>
          <cell r="CG104">
            <v>1</v>
          </cell>
          <cell r="CH104">
            <v>0</v>
          </cell>
          <cell r="CI104">
            <v>0.1</v>
          </cell>
          <cell r="CJ104">
            <v>2.9850746268656722E-4</v>
          </cell>
          <cell r="CK104">
            <v>2.9850746268656722E-4</v>
          </cell>
          <cell r="CL104">
            <v>0</v>
          </cell>
          <cell r="CM104">
            <v>1.1572904707233067E-4</v>
          </cell>
          <cell r="CN104">
            <v>1.1572904707233067E-4</v>
          </cell>
          <cell r="CO104">
            <v>0</v>
          </cell>
          <cell r="CP104">
            <v>0</v>
          </cell>
          <cell r="CQ104">
            <v>3.6603482477828173</v>
          </cell>
          <cell r="CR104">
            <v>0</v>
          </cell>
          <cell r="CS104">
            <v>1</v>
          </cell>
          <cell r="CT104">
            <v>0</v>
          </cell>
          <cell r="CU104">
            <v>0</v>
          </cell>
          <cell r="CV104">
            <v>4</v>
          </cell>
          <cell r="CW104">
            <v>4</v>
          </cell>
          <cell r="CX104" t="str">
            <v/>
          </cell>
          <cell r="CY104">
            <v>1.2</v>
          </cell>
          <cell r="CZ104">
            <v>1.1000000000000001</v>
          </cell>
          <cell r="DA104">
            <v>1.2</v>
          </cell>
          <cell r="DB104">
            <v>110</v>
          </cell>
          <cell r="DC104">
            <v>52</v>
          </cell>
          <cell r="DD104">
            <v>29</v>
          </cell>
          <cell r="DE104">
            <v>9</v>
          </cell>
          <cell r="DF104">
            <v>13</v>
          </cell>
          <cell r="DG104">
            <v>3</v>
          </cell>
          <cell r="DH104">
            <v>2</v>
          </cell>
          <cell r="DI104">
            <v>6</v>
          </cell>
        </row>
        <row r="105">
          <cell r="A105" t="str">
            <v>RS 046</v>
          </cell>
          <cell r="B105">
            <v>46</v>
          </cell>
          <cell r="C105" t="str">
            <v>C</v>
          </cell>
          <cell r="D105" t="str">
            <v>T</v>
          </cell>
          <cell r="E105" t="str">
            <v>Sharpevale - Bilila</v>
          </cell>
          <cell r="F105" t="str">
            <v>M05</v>
          </cell>
          <cell r="G105">
            <v>24</v>
          </cell>
          <cell r="H105">
            <v>28.3</v>
          </cell>
          <cell r="I105" t="str">
            <v>R</v>
          </cell>
          <cell r="J105" t="str">
            <v>NTCHEU</v>
          </cell>
          <cell r="K105">
            <v>8</v>
          </cell>
          <cell r="L105">
            <v>0</v>
          </cell>
          <cell r="W105">
            <v>81</v>
          </cell>
          <cell r="X105" t="str">
            <v>DS</v>
          </cell>
          <cell r="Y105">
            <v>150</v>
          </cell>
          <cell r="Z105" t="str">
            <v>SB</v>
          </cell>
          <cell r="AA105">
            <v>100</v>
          </cell>
          <cell r="AB105" t="str">
            <v>GR</v>
          </cell>
          <cell r="AC105">
            <v>8</v>
          </cell>
          <cell r="AD105" t="str">
            <v>VR</v>
          </cell>
          <cell r="AE105">
            <v>94</v>
          </cell>
          <cell r="AF105" t="str">
            <v>RC</v>
          </cell>
          <cell r="AG105" t="str">
            <v>ST</v>
          </cell>
          <cell r="AH105">
            <v>15</v>
          </cell>
          <cell r="AI105">
            <v>0</v>
          </cell>
          <cell r="AJ105">
            <v>0</v>
          </cell>
          <cell r="AK105">
            <v>0</v>
          </cell>
          <cell r="AL105">
            <v>0</v>
          </cell>
          <cell r="AM105">
            <v>1</v>
          </cell>
          <cell r="AN105">
            <v>0</v>
          </cell>
          <cell r="BO105" t="str">
            <v>RS 046</v>
          </cell>
          <cell r="BP105">
            <v>28.3</v>
          </cell>
          <cell r="BQ105">
            <v>6.7</v>
          </cell>
          <cell r="BR105" t="str">
            <v>R</v>
          </cell>
          <cell r="BS105" t="str">
            <v>S</v>
          </cell>
          <cell r="BT105">
            <v>0</v>
          </cell>
          <cell r="BU105" t="str">
            <v>ST</v>
          </cell>
          <cell r="BV105" t="str">
            <v/>
          </cell>
          <cell r="BW105">
            <v>1</v>
          </cell>
          <cell r="BX105">
            <v>10</v>
          </cell>
          <cell r="BY105" t="str">
            <v/>
          </cell>
          <cell r="BZ105">
            <v>1</v>
          </cell>
          <cell r="CA105">
            <v>8</v>
          </cell>
          <cell r="CB105">
            <v>1.3540000000000001</v>
          </cell>
          <cell r="CC105">
            <v>3.6</v>
          </cell>
          <cell r="CD105">
            <v>1</v>
          </cell>
          <cell r="CE105">
            <v>0</v>
          </cell>
          <cell r="CF105">
            <v>0</v>
          </cell>
          <cell r="CG105">
            <v>1</v>
          </cell>
          <cell r="CH105">
            <v>0</v>
          </cell>
          <cell r="CI105">
            <v>0</v>
          </cell>
          <cell r="CJ105">
            <v>0</v>
          </cell>
          <cell r="CK105">
            <v>0</v>
          </cell>
          <cell r="CL105">
            <v>0</v>
          </cell>
          <cell r="CM105">
            <v>0</v>
          </cell>
          <cell r="CN105">
            <v>0</v>
          </cell>
          <cell r="CO105">
            <v>0</v>
          </cell>
          <cell r="CP105">
            <v>0</v>
          </cell>
          <cell r="CQ105">
            <v>3.6</v>
          </cell>
          <cell r="CR105">
            <v>0</v>
          </cell>
          <cell r="CS105">
            <v>1</v>
          </cell>
          <cell r="CT105">
            <v>0</v>
          </cell>
          <cell r="CU105">
            <v>0</v>
          </cell>
          <cell r="CV105">
            <v>4</v>
          </cell>
          <cell r="CW105">
            <v>4</v>
          </cell>
          <cell r="CX105" t="str">
            <v/>
          </cell>
          <cell r="CY105">
            <v>1.2</v>
          </cell>
          <cell r="CZ105">
            <v>1.2</v>
          </cell>
          <cell r="DA105">
            <v>1.2</v>
          </cell>
          <cell r="DB105">
            <v>110</v>
          </cell>
          <cell r="DC105">
            <v>52</v>
          </cell>
          <cell r="DD105">
            <v>29</v>
          </cell>
          <cell r="DE105">
            <v>9</v>
          </cell>
          <cell r="DF105">
            <v>13</v>
          </cell>
          <cell r="DG105">
            <v>3</v>
          </cell>
          <cell r="DH105">
            <v>2</v>
          </cell>
          <cell r="DI105">
            <v>6</v>
          </cell>
        </row>
        <row r="106">
          <cell r="A106" t="str">
            <v>RS 065</v>
          </cell>
          <cell r="B106">
            <v>65</v>
          </cell>
          <cell r="C106" t="str">
            <v>C</v>
          </cell>
          <cell r="D106" t="str">
            <v>T</v>
          </cell>
          <cell r="E106" t="str">
            <v>Bilila - Linengwe River</v>
          </cell>
          <cell r="F106" t="str">
            <v>M05</v>
          </cell>
          <cell r="G106">
            <v>25</v>
          </cell>
          <cell r="H106">
            <v>5.2</v>
          </cell>
          <cell r="I106" t="str">
            <v>F</v>
          </cell>
          <cell r="J106" t="str">
            <v>NTCHEU</v>
          </cell>
          <cell r="K106">
            <v>8</v>
          </cell>
          <cell r="L106">
            <v>0</v>
          </cell>
          <cell r="W106">
            <v>81</v>
          </cell>
          <cell r="X106" t="str">
            <v>DS</v>
          </cell>
          <cell r="Y106">
            <v>150</v>
          </cell>
          <cell r="Z106" t="str">
            <v>SB</v>
          </cell>
          <cell r="AA106">
            <v>100</v>
          </cell>
          <cell r="AB106" t="str">
            <v>GR</v>
          </cell>
          <cell r="AC106">
            <v>8</v>
          </cell>
          <cell r="AD106" t="str">
            <v>VR</v>
          </cell>
          <cell r="AE106">
            <v>94</v>
          </cell>
          <cell r="AF106" t="str">
            <v>RC</v>
          </cell>
          <cell r="AG106" t="str">
            <v>ST</v>
          </cell>
          <cell r="AH106">
            <v>15</v>
          </cell>
          <cell r="AI106">
            <v>0</v>
          </cell>
          <cell r="AJ106">
            <v>0</v>
          </cell>
          <cell r="AK106">
            <v>0</v>
          </cell>
          <cell r="AL106">
            <v>0</v>
          </cell>
          <cell r="AM106">
            <v>1</v>
          </cell>
          <cell r="AN106">
            <v>0</v>
          </cell>
          <cell r="BO106" t="str">
            <v>RS 065</v>
          </cell>
          <cell r="BP106">
            <v>5.2</v>
          </cell>
          <cell r="BQ106">
            <v>6.7</v>
          </cell>
          <cell r="BR106" t="str">
            <v>F</v>
          </cell>
          <cell r="BS106" t="str">
            <v>S</v>
          </cell>
          <cell r="BT106">
            <v>0</v>
          </cell>
          <cell r="BU106" t="str">
            <v>ST</v>
          </cell>
          <cell r="BV106" t="str">
            <v/>
          </cell>
          <cell r="BW106">
            <v>1</v>
          </cell>
          <cell r="BX106">
            <v>10</v>
          </cell>
          <cell r="BY106" t="str">
            <v/>
          </cell>
          <cell r="BZ106">
            <v>1</v>
          </cell>
          <cell r="CA106">
            <v>8</v>
          </cell>
          <cell r="CB106">
            <v>1.3540000000000001</v>
          </cell>
          <cell r="CC106">
            <v>3.6077724340175958</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3.6077724340175958</v>
          </cell>
          <cell r="CR106">
            <v>0</v>
          </cell>
          <cell r="CS106">
            <v>1</v>
          </cell>
          <cell r="CT106">
            <v>0</v>
          </cell>
          <cell r="CU106">
            <v>0</v>
          </cell>
          <cell r="CV106">
            <v>4</v>
          </cell>
          <cell r="CW106">
            <v>4</v>
          </cell>
          <cell r="CX106" t="str">
            <v/>
          </cell>
          <cell r="CY106">
            <v>1.2</v>
          </cell>
          <cell r="CZ106">
            <v>1.2</v>
          </cell>
          <cell r="DA106">
            <v>1.2</v>
          </cell>
          <cell r="DB106">
            <v>120</v>
          </cell>
          <cell r="DC106">
            <v>57</v>
          </cell>
          <cell r="DD106">
            <v>32</v>
          </cell>
          <cell r="DE106">
            <v>9</v>
          </cell>
          <cell r="DF106">
            <v>14</v>
          </cell>
          <cell r="DG106">
            <v>3</v>
          </cell>
          <cell r="DH106">
            <v>2</v>
          </cell>
          <cell r="DI106">
            <v>6</v>
          </cell>
        </row>
        <row r="107">
          <cell r="A107" t="str">
            <v>RS 056</v>
          </cell>
          <cell r="B107">
            <v>56</v>
          </cell>
          <cell r="C107" t="str">
            <v>C</v>
          </cell>
          <cell r="D107" t="str">
            <v>T</v>
          </cell>
          <cell r="E107" t="str">
            <v>Linengwe River - Balaka Market (junction M1)</v>
          </cell>
          <cell r="F107" t="str">
            <v>M05</v>
          </cell>
          <cell r="G107">
            <v>26</v>
          </cell>
          <cell r="H107">
            <v>7.4</v>
          </cell>
          <cell r="I107" t="str">
            <v>F</v>
          </cell>
          <cell r="J107" t="str">
            <v>NTCHEU</v>
          </cell>
          <cell r="K107">
            <v>8</v>
          </cell>
          <cell r="L107">
            <v>0</v>
          </cell>
          <cell r="W107">
            <v>81</v>
          </cell>
          <cell r="X107" t="str">
            <v>DS</v>
          </cell>
          <cell r="Y107">
            <v>150</v>
          </cell>
          <cell r="Z107" t="str">
            <v>SB</v>
          </cell>
          <cell r="AA107">
            <v>100</v>
          </cell>
          <cell r="AB107" t="str">
            <v>GR</v>
          </cell>
          <cell r="AC107">
            <v>8</v>
          </cell>
          <cell r="AD107" t="str">
            <v>VR</v>
          </cell>
          <cell r="AE107">
            <v>94</v>
          </cell>
          <cell r="AF107" t="str">
            <v>RC</v>
          </cell>
          <cell r="AG107" t="str">
            <v>ST</v>
          </cell>
          <cell r="AH107">
            <v>15</v>
          </cell>
          <cell r="AI107">
            <v>0</v>
          </cell>
          <cell r="AJ107">
            <v>0</v>
          </cell>
          <cell r="AK107">
            <v>0</v>
          </cell>
          <cell r="AL107">
            <v>0</v>
          </cell>
          <cell r="AM107">
            <v>1</v>
          </cell>
          <cell r="AN107">
            <v>0</v>
          </cell>
          <cell r="BO107" t="str">
            <v>RS 056</v>
          </cell>
          <cell r="BP107">
            <v>7.4</v>
          </cell>
          <cell r="BQ107">
            <v>6.7</v>
          </cell>
          <cell r="BR107" t="str">
            <v>F</v>
          </cell>
          <cell r="BS107" t="str">
            <v>S</v>
          </cell>
          <cell r="BT107">
            <v>0</v>
          </cell>
          <cell r="BU107" t="str">
            <v>ST</v>
          </cell>
          <cell r="BV107" t="str">
            <v/>
          </cell>
          <cell r="BW107">
            <v>1</v>
          </cell>
          <cell r="BX107">
            <v>10</v>
          </cell>
          <cell r="BY107" t="str">
            <v/>
          </cell>
          <cell r="BZ107">
            <v>1</v>
          </cell>
          <cell r="CA107">
            <v>8</v>
          </cell>
          <cell r="CB107">
            <v>1.3540000000000001</v>
          </cell>
          <cell r="CC107">
            <v>4.129522189638319</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4.129522189638319</v>
          </cell>
          <cell r="CR107">
            <v>0</v>
          </cell>
          <cell r="CS107">
            <v>1</v>
          </cell>
          <cell r="CT107">
            <v>0</v>
          </cell>
          <cell r="CU107">
            <v>0</v>
          </cell>
          <cell r="CV107">
            <v>4</v>
          </cell>
          <cell r="CW107">
            <v>4</v>
          </cell>
          <cell r="CX107" t="str">
            <v/>
          </cell>
          <cell r="CY107">
            <v>1.2</v>
          </cell>
          <cell r="CZ107">
            <v>1.2</v>
          </cell>
          <cell r="DA107">
            <v>1.2</v>
          </cell>
          <cell r="DB107">
            <v>120</v>
          </cell>
          <cell r="DC107">
            <v>57</v>
          </cell>
          <cell r="DD107">
            <v>32</v>
          </cell>
          <cell r="DE107">
            <v>9</v>
          </cell>
          <cell r="DF107">
            <v>14</v>
          </cell>
          <cell r="DG107">
            <v>3</v>
          </cell>
          <cell r="DH107">
            <v>2</v>
          </cell>
          <cell r="DI107">
            <v>6</v>
          </cell>
        </row>
        <row r="108">
          <cell r="A108" t="str">
            <v>RS 135</v>
          </cell>
          <cell r="B108">
            <v>135</v>
          </cell>
          <cell r="C108" t="str">
            <v>S</v>
          </cell>
          <cell r="D108" t="str">
            <v>T</v>
          </cell>
          <cell r="E108" t="str">
            <v>Zobwe - Mwanza</v>
          </cell>
          <cell r="F108" t="str">
            <v>M06</v>
          </cell>
          <cell r="G108">
            <v>1</v>
          </cell>
          <cell r="H108">
            <v>11.1</v>
          </cell>
          <cell r="I108" t="str">
            <v>H</v>
          </cell>
          <cell r="J108" t="str">
            <v>MWANZA</v>
          </cell>
          <cell r="K108">
            <v>9</v>
          </cell>
          <cell r="L108">
            <v>0</v>
          </cell>
          <cell r="W108">
            <v>87</v>
          </cell>
          <cell r="X108" t="str">
            <v>DS</v>
          </cell>
          <cell r="Y108">
            <v>200</v>
          </cell>
          <cell r="Z108" t="str">
            <v>SB</v>
          </cell>
          <cell r="AA108">
            <v>150</v>
          </cell>
          <cell r="AB108" t="str">
            <v>SB</v>
          </cell>
          <cell r="AC108">
            <v>17</v>
          </cell>
          <cell r="AD108" t="str">
            <v>VR</v>
          </cell>
          <cell r="AE108">
            <v>0</v>
          </cell>
          <cell r="AF108">
            <v>0</v>
          </cell>
          <cell r="AG108">
            <v>0</v>
          </cell>
          <cell r="AH108">
            <v>0</v>
          </cell>
          <cell r="AI108">
            <v>0</v>
          </cell>
          <cell r="AJ108">
            <v>0</v>
          </cell>
          <cell r="AK108">
            <v>0</v>
          </cell>
          <cell r="AL108">
            <v>0</v>
          </cell>
          <cell r="AM108">
            <v>1</v>
          </cell>
          <cell r="AN108" t="str">
            <v>never resealed</v>
          </cell>
          <cell r="BO108" t="str">
            <v>RS 135</v>
          </cell>
          <cell r="BP108">
            <v>11.1</v>
          </cell>
          <cell r="BQ108">
            <v>6</v>
          </cell>
          <cell r="BR108" t="str">
            <v>H</v>
          </cell>
          <cell r="BS108" t="str">
            <v>C</v>
          </cell>
          <cell r="BT108">
            <v>0</v>
          </cell>
          <cell r="BU108" t="str">
            <v>DS</v>
          </cell>
          <cell r="BV108" t="str">
            <v/>
          </cell>
          <cell r="BW108">
            <v>1</v>
          </cell>
          <cell r="BX108">
            <v>15</v>
          </cell>
          <cell r="BY108" t="str">
            <v/>
          </cell>
          <cell r="BZ108">
            <v>1</v>
          </cell>
          <cell r="CA108">
            <v>17</v>
          </cell>
          <cell r="CB108">
            <v>1.677</v>
          </cell>
          <cell r="CC108">
            <v>3.3421592375366567</v>
          </cell>
          <cell r="CD108">
            <v>70</v>
          </cell>
          <cell r="CE108">
            <v>35</v>
          </cell>
          <cell r="CF108">
            <v>20</v>
          </cell>
          <cell r="CG108">
            <v>50</v>
          </cell>
          <cell r="CH108">
            <v>15</v>
          </cell>
          <cell r="CI108">
            <v>4.2</v>
          </cell>
          <cell r="CJ108">
            <v>1.4000000000000002E-2</v>
          </cell>
          <cell r="CK108">
            <v>10</v>
          </cell>
          <cell r="CL108">
            <v>20</v>
          </cell>
          <cell r="CM108">
            <v>0.2375953846153846</v>
          </cell>
          <cell r="CN108">
            <v>0.2375953846153846</v>
          </cell>
          <cell r="CO108">
            <v>0</v>
          </cell>
          <cell r="CP108">
            <v>0</v>
          </cell>
          <cell r="CQ108">
            <v>3.5797546221520413</v>
          </cell>
          <cell r="CR108">
            <v>10</v>
          </cell>
          <cell r="CS108">
            <v>1</v>
          </cell>
          <cell r="CT108">
            <v>0</v>
          </cell>
          <cell r="CU108">
            <v>0</v>
          </cell>
          <cell r="CV108">
            <v>11</v>
          </cell>
          <cell r="CW108">
            <v>11</v>
          </cell>
          <cell r="CX108" t="str">
            <v/>
          </cell>
          <cell r="CY108">
            <v>2</v>
          </cell>
          <cell r="CZ108">
            <v>2.5</v>
          </cell>
          <cell r="DA108">
            <v>1.1000000000000001</v>
          </cell>
          <cell r="DB108">
            <v>200</v>
          </cell>
          <cell r="DC108">
            <v>94</v>
          </cell>
          <cell r="DD108">
            <v>52</v>
          </cell>
          <cell r="DE108">
            <v>15</v>
          </cell>
          <cell r="DF108">
            <v>23</v>
          </cell>
          <cell r="DG108">
            <v>4</v>
          </cell>
          <cell r="DH108">
            <v>2</v>
          </cell>
          <cell r="DI108">
            <v>10</v>
          </cell>
        </row>
        <row r="109">
          <cell r="A109" t="str">
            <v>RS 134</v>
          </cell>
          <cell r="B109">
            <v>134</v>
          </cell>
          <cell r="C109" t="str">
            <v>S</v>
          </cell>
          <cell r="D109" t="str">
            <v>T</v>
          </cell>
          <cell r="E109" t="str">
            <v>Mwanza - Moffati</v>
          </cell>
          <cell r="F109" t="str">
            <v>M06</v>
          </cell>
          <cell r="G109">
            <v>2</v>
          </cell>
          <cell r="H109">
            <v>6</v>
          </cell>
          <cell r="I109" t="str">
            <v>H</v>
          </cell>
          <cell r="J109" t="str">
            <v>MWANZA</v>
          </cell>
          <cell r="K109">
            <v>9</v>
          </cell>
          <cell r="L109">
            <v>0</v>
          </cell>
          <cell r="W109">
            <v>87</v>
          </cell>
          <cell r="X109" t="str">
            <v>DS</v>
          </cell>
          <cell r="Y109">
            <v>200</v>
          </cell>
          <cell r="Z109" t="str">
            <v>SB</v>
          </cell>
          <cell r="AA109">
            <v>150</v>
          </cell>
          <cell r="AB109" t="str">
            <v>SB</v>
          </cell>
          <cell r="AC109">
            <v>17</v>
          </cell>
          <cell r="AD109" t="str">
            <v>VR</v>
          </cell>
          <cell r="AE109">
            <v>0</v>
          </cell>
          <cell r="AF109">
            <v>0</v>
          </cell>
          <cell r="AG109">
            <v>0</v>
          </cell>
          <cell r="AH109">
            <v>0</v>
          </cell>
          <cell r="AI109">
            <v>0</v>
          </cell>
          <cell r="AJ109">
            <v>0</v>
          </cell>
          <cell r="AK109">
            <v>0</v>
          </cell>
          <cell r="AL109">
            <v>0</v>
          </cell>
          <cell r="AM109">
            <v>1</v>
          </cell>
          <cell r="AN109" t="str">
            <v>never resealed</v>
          </cell>
          <cell r="BO109" t="str">
            <v>RS 134</v>
          </cell>
          <cell r="BP109">
            <v>6</v>
          </cell>
          <cell r="BQ109">
            <v>6</v>
          </cell>
          <cell r="BR109" t="str">
            <v>H</v>
          </cell>
          <cell r="BS109" t="str">
            <v>C</v>
          </cell>
          <cell r="BT109">
            <v>0</v>
          </cell>
          <cell r="BU109" t="str">
            <v>DS</v>
          </cell>
          <cell r="BV109" t="str">
            <v/>
          </cell>
          <cell r="BW109">
            <v>1</v>
          </cell>
          <cell r="BX109">
            <v>15</v>
          </cell>
          <cell r="BY109" t="str">
            <v/>
          </cell>
          <cell r="BZ109">
            <v>1</v>
          </cell>
          <cell r="CA109">
            <v>17</v>
          </cell>
          <cell r="CB109">
            <v>1.677</v>
          </cell>
          <cell r="CC109">
            <v>3.1339210166177911</v>
          </cell>
          <cell r="CD109">
            <v>0</v>
          </cell>
          <cell r="CE109">
            <v>0</v>
          </cell>
          <cell r="CF109">
            <v>0</v>
          </cell>
          <cell r="CG109">
            <v>0</v>
          </cell>
          <cell r="CH109">
            <v>0</v>
          </cell>
          <cell r="CI109">
            <v>0.5</v>
          </cell>
          <cell r="CJ109">
            <v>1.6666666666666668E-3</v>
          </cell>
          <cell r="CK109">
            <v>1.6666666666666668E-3</v>
          </cell>
          <cell r="CL109">
            <v>0</v>
          </cell>
          <cell r="CM109">
            <v>6.4615384615384621E-4</v>
          </cell>
          <cell r="CN109">
            <v>6.4615384615384621E-4</v>
          </cell>
          <cell r="CO109">
            <v>0</v>
          </cell>
          <cell r="CP109">
            <v>0</v>
          </cell>
          <cell r="CQ109">
            <v>3.1345671704639448</v>
          </cell>
          <cell r="CR109">
            <v>0</v>
          </cell>
          <cell r="CS109">
            <v>1</v>
          </cell>
          <cell r="CT109">
            <v>0</v>
          </cell>
          <cell r="CU109">
            <v>0</v>
          </cell>
          <cell r="CV109">
            <v>11</v>
          </cell>
          <cell r="CW109">
            <v>11</v>
          </cell>
          <cell r="CX109" t="str">
            <v/>
          </cell>
          <cell r="CY109">
            <v>1.2</v>
          </cell>
          <cell r="CZ109">
            <v>1.5</v>
          </cell>
          <cell r="DA109">
            <v>1.1000000000000001</v>
          </cell>
          <cell r="DB109">
            <v>200</v>
          </cell>
          <cell r="DC109">
            <v>94</v>
          </cell>
          <cell r="DD109">
            <v>52</v>
          </cell>
          <cell r="DE109">
            <v>15</v>
          </cell>
          <cell r="DF109">
            <v>23</v>
          </cell>
          <cell r="DG109">
            <v>4</v>
          </cell>
          <cell r="DH109">
            <v>2</v>
          </cell>
          <cell r="DI109">
            <v>10</v>
          </cell>
        </row>
        <row r="110">
          <cell r="A110" t="str">
            <v>RS 133</v>
          </cell>
          <cell r="B110">
            <v>133</v>
          </cell>
          <cell r="C110" t="str">
            <v>S</v>
          </cell>
          <cell r="D110" t="str">
            <v>T</v>
          </cell>
          <cell r="E110" t="str">
            <v>Moffati - Zaka</v>
          </cell>
          <cell r="F110" t="str">
            <v>M06</v>
          </cell>
          <cell r="G110">
            <v>3</v>
          </cell>
          <cell r="H110">
            <v>9.3000000000000007</v>
          </cell>
          <cell r="I110" t="str">
            <v>R</v>
          </cell>
          <cell r="J110" t="str">
            <v>MWANZA</v>
          </cell>
          <cell r="K110">
            <v>9</v>
          </cell>
          <cell r="L110">
            <v>0</v>
          </cell>
          <cell r="W110">
            <v>87</v>
          </cell>
          <cell r="X110" t="str">
            <v>DS</v>
          </cell>
          <cell r="Y110">
            <v>200</v>
          </cell>
          <cell r="Z110" t="str">
            <v>SB</v>
          </cell>
          <cell r="AA110">
            <v>150</v>
          </cell>
          <cell r="AB110" t="str">
            <v>SB</v>
          </cell>
          <cell r="AC110">
            <v>17</v>
          </cell>
          <cell r="AD110" t="str">
            <v>VR</v>
          </cell>
          <cell r="AE110">
            <v>0</v>
          </cell>
          <cell r="AF110">
            <v>0</v>
          </cell>
          <cell r="AG110">
            <v>0</v>
          </cell>
          <cell r="AH110">
            <v>0</v>
          </cell>
          <cell r="AI110">
            <v>0</v>
          </cell>
          <cell r="AJ110">
            <v>0</v>
          </cell>
          <cell r="AK110">
            <v>0</v>
          </cell>
          <cell r="AL110">
            <v>0</v>
          </cell>
          <cell r="AM110">
            <v>1</v>
          </cell>
          <cell r="AN110" t="str">
            <v>never resealed</v>
          </cell>
          <cell r="BO110" t="str">
            <v>RS 133</v>
          </cell>
          <cell r="BP110">
            <v>9.3000000000000007</v>
          </cell>
          <cell r="BQ110">
            <v>6</v>
          </cell>
          <cell r="BR110" t="str">
            <v>R</v>
          </cell>
          <cell r="BS110" t="str">
            <v>C</v>
          </cell>
          <cell r="BT110">
            <v>0</v>
          </cell>
          <cell r="BU110" t="str">
            <v>DS</v>
          </cell>
          <cell r="BV110" t="str">
            <v/>
          </cell>
          <cell r="BW110">
            <v>1</v>
          </cell>
          <cell r="BX110">
            <v>15</v>
          </cell>
          <cell r="BY110" t="str">
            <v/>
          </cell>
          <cell r="BZ110">
            <v>1</v>
          </cell>
          <cell r="CA110">
            <v>17</v>
          </cell>
          <cell r="CB110">
            <v>1.677</v>
          </cell>
          <cell r="CC110">
            <v>3.3008809384164226</v>
          </cell>
          <cell r="CD110">
            <v>1</v>
          </cell>
          <cell r="CE110">
            <v>0</v>
          </cell>
          <cell r="CF110">
            <v>0</v>
          </cell>
          <cell r="CG110">
            <v>1</v>
          </cell>
          <cell r="CH110">
            <v>0</v>
          </cell>
          <cell r="CI110">
            <v>0.2</v>
          </cell>
          <cell r="CJ110">
            <v>6.6666666666666686E-4</v>
          </cell>
          <cell r="CK110">
            <v>6.6666666666666686E-4</v>
          </cell>
          <cell r="CL110">
            <v>0</v>
          </cell>
          <cell r="CM110">
            <v>2.5846153846153852E-4</v>
          </cell>
          <cell r="CN110">
            <v>2.5846153846153852E-4</v>
          </cell>
          <cell r="CO110">
            <v>0</v>
          </cell>
          <cell r="CP110">
            <v>0</v>
          </cell>
          <cell r="CQ110">
            <v>3.3011393999548839</v>
          </cell>
          <cell r="CR110">
            <v>1</v>
          </cell>
          <cell r="CS110">
            <v>1</v>
          </cell>
          <cell r="CT110">
            <v>0</v>
          </cell>
          <cell r="CU110">
            <v>0</v>
          </cell>
          <cell r="CV110">
            <v>11</v>
          </cell>
          <cell r="CW110">
            <v>11</v>
          </cell>
          <cell r="CX110" t="str">
            <v/>
          </cell>
          <cell r="CY110">
            <v>1.2</v>
          </cell>
          <cell r="CZ110">
            <v>1.2</v>
          </cell>
          <cell r="DA110">
            <v>1.3</v>
          </cell>
          <cell r="DB110">
            <v>400</v>
          </cell>
          <cell r="DC110">
            <v>188</v>
          </cell>
          <cell r="DD110">
            <v>104</v>
          </cell>
          <cell r="DE110">
            <v>30</v>
          </cell>
          <cell r="DF110">
            <v>46</v>
          </cell>
          <cell r="DG110">
            <v>8</v>
          </cell>
          <cell r="DH110">
            <v>4</v>
          </cell>
          <cell r="DI110">
            <v>20</v>
          </cell>
        </row>
        <row r="111">
          <cell r="A111" t="str">
            <v>RS 136</v>
          </cell>
          <cell r="B111">
            <v>136</v>
          </cell>
          <cell r="C111" t="str">
            <v>S</v>
          </cell>
          <cell r="D111" t="str">
            <v>T</v>
          </cell>
          <cell r="E111" t="str">
            <v>Zaka - Lisungwi River</v>
          </cell>
          <cell r="F111" t="str">
            <v>M06</v>
          </cell>
          <cell r="G111">
            <v>4</v>
          </cell>
          <cell r="H111">
            <v>13.2</v>
          </cell>
          <cell r="I111" t="str">
            <v>R</v>
          </cell>
          <cell r="J111" t="str">
            <v>MWANZA</v>
          </cell>
          <cell r="K111">
            <v>9</v>
          </cell>
          <cell r="L111">
            <v>0</v>
          </cell>
          <cell r="W111">
            <v>87</v>
          </cell>
          <cell r="X111" t="str">
            <v>DS</v>
          </cell>
          <cell r="Y111">
            <v>200</v>
          </cell>
          <cell r="Z111" t="str">
            <v>SB</v>
          </cell>
          <cell r="AA111">
            <v>150</v>
          </cell>
          <cell r="AB111" t="str">
            <v>SB</v>
          </cell>
          <cell r="AC111">
            <v>17</v>
          </cell>
          <cell r="AD111" t="str">
            <v>VR</v>
          </cell>
          <cell r="AE111">
            <v>0</v>
          </cell>
          <cell r="AF111">
            <v>0</v>
          </cell>
          <cell r="AG111">
            <v>0</v>
          </cell>
          <cell r="AH111">
            <v>0</v>
          </cell>
          <cell r="AI111">
            <v>0</v>
          </cell>
          <cell r="AJ111">
            <v>0</v>
          </cell>
          <cell r="AK111">
            <v>0</v>
          </cell>
          <cell r="AL111">
            <v>0</v>
          </cell>
          <cell r="AM111">
            <v>1</v>
          </cell>
          <cell r="AN111" t="str">
            <v>never resealed</v>
          </cell>
          <cell r="BO111" t="str">
            <v>RS 136</v>
          </cell>
          <cell r="BP111">
            <v>13.2</v>
          </cell>
          <cell r="BQ111">
            <v>6</v>
          </cell>
          <cell r="BR111" t="str">
            <v>R</v>
          </cell>
          <cell r="BS111" t="str">
            <v>C</v>
          </cell>
          <cell r="BT111">
            <v>0</v>
          </cell>
          <cell r="BU111" t="str">
            <v>DS</v>
          </cell>
          <cell r="BV111" t="str">
            <v/>
          </cell>
          <cell r="BW111">
            <v>1</v>
          </cell>
          <cell r="BX111">
            <v>15</v>
          </cell>
          <cell r="BY111" t="str">
            <v/>
          </cell>
          <cell r="BZ111">
            <v>1</v>
          </cell>
          <cell r="CA111">
            <v>17</v>
          </cell>
          <cell r="CB111">
            <v>1.677</v>
          </cell>
          <cell r="CC111">
            <v>3.1440294321514268</v>
          </cell>
          <cell r="CD111">
            <v>0</v>
          </cell>
          <cell r="CE111">
            <v>0</v>
          </cell>
          <cell r="CF111">
            <v>0</v>
          </cell>
          <cell r="CG111">
            <v>0</v>
          </cell>
          <cell r="CH111">
            <v>0</v>
          </cell>
          <cell r="CI111">
            <v>0.3</v>
          </cell>
          <cell r="CJ111">
            <v>1E-3</v>
          </cell>
          <cell r="CK111">
            <v>1E-3</v>
          </cell>
          <cell r="CL111">
            <v>0</v>
          </cell>
          <cell r="CM111">
            <v>3.876923076923077E-4</v>
          </cell>
          <cell r="CN111">
            <v>3.876923076923077E-4</v>
          </cell>
          <cell r="CO111">
            <v>0</v>
          </cell>
          <cell r="CP111">
            <v>0</v>
          </cell>
          <cell r="CQ111">
            <v>3.1444171244591193</v>
          </cell>
          <cell r="CR111">
            <v>0</v>
          </cell>
          <cell r="CS111">
            <v>1</v>
          </cell>
          <cell r="CT111">
            <v>0</v>
          </cell>
          <cell r="CU111">
            <v>0</v>
          </cell>
          <cell r="CV111">
            <v>11</v>
          </cell>
          <cell r="CW111">
            <v>11</v>
          </cell>
          <cell r="CX111" t="str">
            <v/>
          </cell>
          <cell r="CY111">
            <v>1.2</v>
          </cell>
          <cell r="CZ111">
            <v>1.2</v>
          </cell>
          <cell r="DA111">
            <v>1.2</v>
          </cell>
          <cell r="DB111">
            <v>400</v>
          </cell>
          <cell r="DC111">
            <v>188</v>
          </cell>
          <cell r="DD111">
            <v>104</v>
          </cell>
          <cell r="DE111">
            <v>30</v>
          </cell>
          <cell r="DF111">
            <v>46</v>
          </cell>
          <cell r="DG111">
            <v>8</v>
          </cell>
          <cell r="DH111">
            <v>4</v>
          </cell>
          <cell r="DI111">
            <v>20</v>
          </cell>
        </row>
        <row r="112">
          <cell r="A112" t="str">
            <v>RS 132</v>
          </cell>
          <cell r="B112">
            <v>132</v>
          </cell>
          <cell r="C112" t="str">
            <v>S</v>
          </cell>
          <cell r="D112" t="str">
            <v>T</v>
          </cell>
          <cell r="E112" t="str">
            <v>Ndeka - Nachimbeya Rapids</v>
          </cell>
          <cell r="F112" t="str">
            <v>M06</v>
          </cell>
          <cell r="G112">
            <v>5</v>
          </cell>
          <cell r="H112">
            <v>9.1999999999999993</v>
          </cell>
          <cell r="I112" t="str">
            <v>F</v>
          </cell>
          <cell r="J112" t="str">
            <v>BLANTYRE</v>
          </cell>
          <cell r="K112">
            <v>9</v>
          </cell>
          <cell r="L112">
            <v>0</v>
          </cell>
          <cell r="W112">
            <v>89</v>
          </cell>
          <cell r="X112" t="str">
            <v>DS</v>
          </cell>
          <cell r="Y112">
            <v>150</v>
          </cell>
          <cell r="Z112" t="str">
            <v>SB</v>
          </cell>
          <cell r="AA112">
            <v>100</v>
          </cell>
          <cell r="AB112" t="str">
            <v>GR</v>
          </cell>
          <cell r="AC112">
            <v>12</v>
          </cell>
          <cell r="AD112" t="str">
            <v>VR</v>
          </cell>
          <cell r="AE112">
            <v>0</v>
          </cell>
          <cell r="AF112">
            <v>0</v>
          </cell>
          <cell r="AG112">
            <v>0</v>
          </cell>
          <cell r="AH112">
            <v>0</v>
          </cell>
          <cell r="AI112">
            <v>0</v>
          </cell>
          <cell r="AJ112">
            <v>0</v>
          </cell>
          <cell r="AK112">
            <v>0</v>
          </cell>
          <cell r="AL112">
            <v>0</v>
          </cell>
          <cell r="AM112">
            <v>1</v>
          </cell>
          <cell r="AN112" t="str">
            <v>never resealed</v>
          </cell>
          <cell r="BO112" t="str">
            <v>RS 132</v>
          </cell>
          <cell r="BP112">
            <v>9.1999999999999993</v>
          </cell>
          <cell r="BQ112">
            <v>6</v>
          </cell>
          <cell r="BR112" t="str">
            <v>F</v>
          </cell>
          <cell r="BS112" t="str">
            <v>C</v>
          </cell>
          <cell r="BT112">
            <v>0</v>
          </cell>
          <cell r="BU112" t="str">
            <v>DS</v>
          </cell>
          <cell r="BV112" t="str">
            <v/>
          </cell>
          <cell r="BW112">
            <v>1</v>
          </cell>
          <cell r="BX112">
            <v>15</v>
          </cell>
          <cell r="BY112" t="str">
            <v/>
          </cell>
          <cell r="BZ112">
            <v>1</v>
          </cell>
          <cell r="CA112">
            <v>12</v>
          </cell>
          <cell r="CB112">
            <v>1.177</v>
          </cell>
          <cell r="CC112">
            <v>3.385588545799552</v>
          </cell>
          <cell r="CD112">
            <v>0</v>
          </cell>
          <cell r="CE112">
            <v>0</v>
          </cell>
          <cell r="CF112">
            <v>0</v>
          </cell>
          <cell r="CG112">
            <v>0</v>
          </cell>
          <cell r="CH112">
            <v>0</v>
          </cell>
          <cell r="CI112">
            <v>0.2</v>
          </cell>
          <cell r="CJ112">
            <v>6.6666666666666686E-4</v>
          </cell>
          <cell r="CK112">
            <v>6.6666666666666686E-4</v>
          </cell>
          <cell r="CL112">
            <v>0</v>
          </cell>
          <cell r="CM112">
            <v>2.5846153846153852E-4</v>
          </cell>
          <cell r="CN112">
            <v>2.5846153846153852E-4</v>
          </cell>
          <cell r="CO112">
            <v>0</v>
          </cell>
          <cell r="CP112">
            <v>0</v>
          </cell>
          <cell r="CQ112">
            <v>3.3858470073380134</v>
          </cell>
          <cell r="CR112">
            <v>0</v>
          </cell>
          <cell r="CS112">
            <v>1</v>
          </cell>
          <cell r="CT112">
            <v>0</v>
          </cell>
          <cell r="CU112">
            <v>0</v>
          </cell>
          <cell r="CV112">
            <v>9</v>
          </cell>
          <cell r="CW112">
            <v>9</v>
          </cell>
          <cell r="CX112" t="str">
            <v/>
          </cell>
          <cell r="CY112">
            <v>1.2</v>
          </cell>
          <cell r="CZ112">
            <v>1.2</v>
          </cell>
          <cell r="DA112">
            <v>1.2</v>
          </cell>
          <cell r="DB112">
            <v>430</v>
          </cell>
          <cell r="DC112">
            <v>203</v>
          </cell>
          <cell r="DD112">
            <v>112</v>
          </cell>
          <cell r="DE112">
            <v>33</v>
          </cell>
          <cell r="DF112">
            <v>50</v>
          </cell>
          <cell r="DG112">
            <v>9</v>
          </cell>
          <cell r="DH112">
            <v>5</v>
          </cell>
          <cell r="DI112">
            <v>22</v>
          </cell>
        </row>
        <row r="113">
          <cell r="A113" t="str">
            <v>RS 140</v>
          </cell>
          <cell r="B113">
            <v>140</v>
          </cell>
          <cell r="C113" t="str">
            <v>S</v>
          </cell>
          <cell r="D113" t="str">
            <v>T</v>
          </cell>
          <cell r="E113" t="str">
            <v>Chingeni - Liwawadzi River</v>
          </cell>
          <cell r="F113" t="str">
            <v>M08</v>
          </cell>
          <cell r="G113">
            <v>1</v>
          </cell>
          <cell r="H113">
            <v>16.100000000000001</v>
          </cell>
          <cell r="I113" t="str">
            <v>F</v>
          </cell>
          <cell r="J113" t="str">
            <v>MACHINGA</v>
          </cell>
          <cell r="K113">
            <v>8</v>
          </cell>
          <cell r="L113">
            <v>0</v>
          </cell>
          <cell r="W113">
            <v>71</v>
          </cell>
          <cell r="X113" t="str">
            <v>SA</v>
          </cell>
          <cell r="Y113">
            <v>125</v>
          </cell>
          <cell r="Z113" t="str">
            <v>SB</v>
          </cell>
          <cell r="AA113">
            <v>150</v>
          </cell>
          <cell r="AB113" t="str">
            <v>GR</v>
          </cell>
          <cell r="AC113">
            <v>14</v>
          </cell>
          <cell r="AD113" t="str">
            <v>VR</v>
          </cell>
          <cell r="AE113">
            <v>0</v>
          </cell>
          <cell r="AF113">
            <v>0</v>
          </cell>
          <cell r="AG113">
            <v>0</v>
          </cell>
          <cell r="AH113">
            <v>0</v>
          </cell>
          <cell r="AI113">
            <v>0</v>
          </cell>
          <cell r="AJ113">
            <v>0</v>
          </cell>
          <cell r="AK113">
            <v>0</v>
          </cell>
          <cell r="AL113">
            <v>0</v>
          </cell>
          <cell r="AM113">
            <v>2</v>
          </cell>
          <cell r="AN113" t="str">
            <v>some bitumen removed</v>
          </cell>
          <cell r="BO113" t="str">
            <v>RS 140</v>
          </cell>
          <cell r="BP113">
            <v>16.100000000000001</v>
          </cell>
          <cell r="BQ113">
            <v>6</v>
          </cell>
          <cell r="BR113" t="str">
            <v>F</v>
          </cell>
          <cell r="BS113" t="str">
            <v>C</v>
          </cell>
          <cell r="BT113">
            <v>35</v>
          </cell>
          <cell r="BU113" t="str">
            <v>SA</v>
          </cell>
          <cell r="BV113" t="str">
            <v/>
          </cell>
          <cell r="BW113">
            <v>2</v>
          </cell>
          <cell r="BX113">
            <v>10</v>
          </cell>
          <cell r="BY113" t="str">
            <v/>
          </cell>
          <cell r="BZ113">
            <v>1</v>
          </cell>
          <cell r="CA113">
            <v>14</v>
          </cell>
          <cell r="CB113">
            <v>1.508</v>
          </cell>
          <cell r="CC113">
            <v>4.3889715216682958</v>
          </cell>
          <cell r="CD113">
            <v>70</v>
          </cell>
          <cell r="CE113">
            <v>21</v>
          </cell>
          <cell r="CF113">
            <v>6</v>
          </cell>
          <cell r="CG113">
            <v>64</v>
          </cell>
          <cell r="CH113">
            <v>15</v>
          </cell>
          <cell r="CI113">
            <v>1.5</v>
          </cell>
          <cell r="CJ113">
            <v>5.000000000000001E-3</v>
          </cell>
          <cell r="CK113">
            <v>6.0049999999999999</v>
          </cell>
          <cell r="CL113">
            <v>6</v>
          </cell>
          <cell r="CM113">
            <v>0.10163076923076925</v>
          </cell>
          <cell r="CN113">
            <v>0.10163076923076925</v>
          </cell>
          <cell r="CO113">
            <v>0</v>
          </cell>
          <cell r="CP113">
            <v>0</v>
          </cell>
          <cell r="CQ113">
            <v>4.4906022908990648</v>
          </cell>
          <cell r="CR113">
            <v>0</v>
          </cell>
          <cell r="CS113">
            <v>1</v>
          </cell>
          <cell r="CT113">
            <v>0</v>
          </cell>
          <cell r="CU113">
            <v>0</v>
          </cell>
          <cell r="CV113">
            <v>27</v>
          </cell>
          <cell r="CW113">
            <v>27</v>
          </cell>
          <cell r="CX113" t="str">
            <v/>
          </cell>
          <cell r="CY113">
            <v>1.5</v>
          </cell>
          <cell r="CZ113">
            <v>2</v>
          </cell>
          <cell r="DA113">
            <v>1.5</v>
          </cell>
          <cell r="DB113">
            <v>230</v>
          </cell>
          <cell r="DC113">
            <v>109</v>
          </cell>
          <cell r="DD113">
            <v>60</v>
          </cell>
          <cell r="DE113">
            <v>18</v>
          </cell>
          <cell r="DF113">
            <v>27</v>
          </cell>
          <cell r="DG113">
            <v>5</v>
          </cell>
          <cell r="DH113">
            <v>3</v>
          </cell>
          <cell r="DI113">
            <v>12</v>
          </cell>
        </row>
        <row r="114">
          <cell r="A114" t="str">
            <v>RS 137</v>
          </cell>
          <cell r="B114">
            <v>137</v>
          </cell>
          <cell r="C114" t="str">
            <v>S</v>
          </cell>
          <cell r="D114" t="str">
            <v>T</v>
          </cell>
          <cell r="E114" t="str">
            <v>Liwawadzi River - Chimwaliro River</v>
          </cell>
          <cell r="F114" t="str">
            <v>M08</v>
          </cell>
          <cell r="G114">
            <v>2</v>
          </cell>
          <cell r="H114">
            <v>8.8000000000000007</v>
          </cell>
          <cell r="I114" t="str">
            <v>R</v>
          </cell>
          <cell r="J114" t="str">
            <v>MACHINGA</v>
          </cell>
          <cell r="K114">
            <v>8</v>
          </cell>
          <cell r="L114">
            <v>0</v>
          </cell>
          <cell r="W114">
            <v>71</v>
          </cell>
          <cell r="X114" t="str">
            <v>SA</v>
          </cell>
          <cell r="Y114">
            <v>125</v>
          </cell>
          <cell r="Z114" t="str">
            <v>SB</v>
          </cell>
          <cell r="AA114">
            <v>150</v>
          </cell>
          <cell r="AB114" t="str">
            <v>GR</v>
          </cell>
          <cell r="AC114">
            <v>14</v>
          </cell>
          <cell r="AD114" t="str">
            <v>VR</v>
          </cell>
          <cell r="AE114">
            <v>0</v>
          </cell>
          <cell r="AF114">
            <v>0</v>
          </cell>
          <cell r="AG114">
            <v>0</v>
          </cell>
          <cell r="AH114">
            <v>0</v>
          </cell>
          <cell r="AI114">
            <v>0</v>
          </cell>
          <cell r="AJ114">
            <v>0</v>
          </cell>
          <cell r="AK114">
            <v>0</v>
          </cell>
          <cell r="AL114">
            <v>0</v>
          </cell>
          <cell r="AM114">
            <v>2</v>
          </cell>
          <cell r="AN114" t="str">
            <v>some bitumen removed</v>
          </cell>
          <cell r="BO114" t="str">
            <v>RS 137</v>
          </cell>
          <cell r="BP114">
            <v>8.8000000000000007</v>
          </cell>
          <cell r="BQ114" t="str">
            <v>n.a.</v>
          </cell>
          <cell r="BR114" t="str">
            <v>R</v>
          </cell>
          <cell r="BS114" t="str">
            <v>X</v>
          </cell>
          <cell r="BT114">
            <v>60</v>
          </cell>
          <cell r="BU114" t="str">
            <v>SA</v>
          </cell>
          <cell r="BV114" t="str">
            <v/>
          </cell>
          <cell r="BW114">
            <v>2</v>
          </cell>
          <cell r="BX114">
            <v>10</v>
          </cell>
          <cell r="BY114" t="str">
            <v/>
          </cell>
          <cell r="BZ114">
            <v>1</v>
          </cell>
          <cell r="CA114">
            <v>14</v>
          </cell>
          <cell r="CB114">
            <v>1.508</v>
          </cell>
          <cell r="CC114" t="str">
            <v>bitumen surface removed</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27</v>
          </cell>
          <cell r="CW114">
            <v>27</v>
          </cell>
          <cell r="CX114" t="str">
            <v/>
          </cell>
          <cell r="CY114" t="str">
            <v>n.a.</v>
          </cell>
          <cell r="CZ114" t="str">
            <v>n.a.</v>
          </cell>
          <cell r="DA114">
            <v>1.5</v>
          </cell>
          <cell r="DB114">
            <v>260</v>
          </cell>
          <cell r="DC114">
            <v>123</v>
          </cell>
          <cell r="DD114">
            <v>68</v>
          </cell>
          <cell r="DE114">
            <v>20</v>
          </cell>
          <cell r="DF114">
            <v>30</v>
          </cell>
          <cell r="DG114">
            <v>6</v>
          </cell>
          <cell r="DH114">
            <v>3</v>
          </cell>
          <cell r="DI114">
            <v>13</v>
          </cell>
        </row>
        <row r="115">
          <cell r="A115" t="str">
            <v>RS 138</v>
          </cell>
          <cell r="B115">
            <v>138</v>
          </cell>
          <cell r="C115" t="str">
            <v>S</v>
          </cell>
          <cell r="D115" t="str">
            <v>T</v>
          </cell>
          <cell r="E115" t="str">
            <v>Chimwaliro River - M'manga</v>
          </cell>
          <cell r="F115" t="str">
            <v>M08</v>
          </cell>
          <cell r="G115">
            <v>3</v>
          </cell>
          <cell r="H115">
            <v>10.199999999999999</v>
          </cell>
          <cell r="I115" t="str">
            <v>F</v>
          </cell>
          <cell r="J115" t="str">
            <v>MACHINGA</v>
          </cell>
          <cell r="K115">
            <v>8</v>
          </cell>
          <cell r="L115">
            <v>0</v>
          </cell>
          <cell r="W115">
            <v>71</v>
          </cell>
          <cell r="X115" t="str">
            <v>SA</v>
          </cell>
          <cell r="Y115">
            <v>125</v>
          </cell>
          <cell r="Z115" t="str">
            <v>SB</v>
          </cell>
          <cell r="AA115">
            <v>150</v>
          </cell>
          <cell r="AB115" t="str">
            <v>GR</v>
          </cell>
          <cell r="AC115">
            <v>14</v>
          </cell>
          <cell r="AD115" t="str">
            <v>VR</v>
          </cell>
          <cell r="AE115">
            <v>0</v>
          </cell>
          <cell r="AF115">
            <v>0</v>
          </cell>
          <cell r="AG115">
            <v>0</v>
          </cell>
          <cell r="AH115">
            <v>0</v>
          </cell>
          <cell r="AI115">
            <v>0</v>
          </cell>
          <cell r="AJ115">
            <v>0</v>
          </cell>
          <cell r="AK115">
            <v>0</v>
          </cell>
          <cell r="AL115">
            <v>0</v>
          </cell>
          <cell r="AM115">
            <v>2</v>
          </cell>
          <cell r="AN115" t="str">
            <v>some bitumen removed</v>
          </cell>
          <cell r="BO115" t="str">
            <v>RS 138</v>
          </cell>
          <cell r="BP115">
            <v>10.199999999999999</v>
          </cell>
          <cell r="BQ115" t="str">
            <v>n.a.</v>
          </cell>
          <cell r="BR115" t="str">
            <v>F</v>
          </cell>
          <cell r="BS115" t="str">
            <v>X</v>
          </cell>
          <cell r="BT115">
            <v>60</v>
          </cell>
          <cell r="BU115" t="str">
            <v>SA</v>
          </cell>
          <cell r="BV115" t="str">
            <v/>
          </cell>
          <cell r="BW115">
            <v>2</v>
          </cell>
          <cell r="BX115">
            <v>10</v>
          </cell>
          <cell r="BY115" t="str">
            <v/>
          </cell>
          <cell r="BZ115">
            <v>1</v>
          </cell>
          <cell r="CA115">
            <v>14</v>
          </cell>
          <cell r="CB115">
            <v>1.508</v>
          </cell>
          <cell r="CC115" t="str">
            <v>bitumen surface removed</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27</v>
          </cell>
          <cell r="CW115">
            <v>27</v>
          </cell>
          <cell r="CX115" t="str">
            <v/>
          </cell>
          <cell r="CY115" t="str">
            <v>n.a.</v>
          </cell>
          <cell r="CZ115" t="str">
            <v>n.a.</v>
          </cell>
          <cell r="DA115">
            <v>1.5</v>
          </cell>
          <cell r="DB115">
            <v>230</v>
          </cell>
          <cell r="DC115">
            <v>109</v>
          </cell>
          <cell r="DD115">
            <v>60</v>
          </cell>
          <cell r="DE115">
            <v>18</v>
          </cell>
          <cell r="DF115">
            <v>27</v>
          </cell>
          <cell r="DG115">
            <v>5</v>
          </cell>
          <cell r="DH115">
            <v>3</v>
          </cell>
          <cell r="DI115">
            <v>12</v>
          </cell>
        </row>
        <row r="116">
          <cell r="A116" t="str">
            <v>RS 071</v>
          </cell>
          <cell r="B116">
            <v>71</v>
          </cell>
          <cell r="C116" t="str">
            <v>C</v>
          </cell>
          <cell r="D116" t="str">
            <v>T</v>
          </cell>
          <cell r="E116" t="str">
            <v>Mua - Kamwendo</v>
          </cell>
          <cell r="F116" t="str">
            <v>M10</v>
          </cell>
          <cell r="G116">
            <v>1</v>
          </cell>
          <cell r="H116">
            <v>8.9</v>
          </cell>
          <cell r="I116" t="str">
            <v>F</v>
          </cell>
          <cell r="J116" t="str">
            <v>DEDZA</v>
          </cell>
          <cell r="K116">
            <v>7</v>
          </cell>
          <cell r="L116">
            <v>0</v>
          </cell>
          <cell r="W116">
            <v>74</v>
          </cell>
          <cell r="X116" t="str">
            <v>DS</v>
          </cell>
          <cell r="Y116">
            <v>150</v>
          </cell>
          <cell r="Z116" t="str">
            <v>SB</v>
          </cell>
          <cell r="AA116">
            <v>100</v>
          </cell>
          <cell r="AB116" t="str">
            <v>GR</v>
          </cell>
          <cell r="AC116">
            <v>8</v>
          </cell>
          <cell r="AD116" t="str">
            <v>VR</v>
          </cell>
          <cell r="AE116">
            <v>0</v>
          </cell>
          <cell r="AF116">
            <v>0</v>
          </cell>
          <cell r="AG116">
            <v>0</v>
          </cell>
          <cell r="AH116">
            <v>0</v>
          </cell>
          <cell r="AI116">
            <v>0</v>
          </cell>
          <cell r="AJ116">
            <v>0</v>
          </cell>
          <cell r="AK116">
            <v>0</v>
          </cell>
          <cell r="AL116">
            <v>0</v>
          </cell>
          <cell r="AM116">
            <v>1</v>
          </cell>
          <cell r="AN116" t="str">
            <v>bitumen removed</v>
          </cell>
          <cell r="BO116" t="str">
            <v>RS 071</v>
          </cell>
          <cell r="BP116">
            <v>8.9</v>
          </cell>
          <cell r="BQ116" t="str">
            <v>n.a.</v>
          </cell>
          <cell r="BR116" t="str">
            <v>F</v>
          </cell>
          <cell r="BS116" t="str">
            <v>X</v>
          </cell>
          <cell r="BT116">
            <v>90</v>
          </cell>
          <cell r="BU116" t="str">
            <v>DS</v>
          </cell>
          <cell r="BV116" t="str">
            <v/>
          </cell>
          <cell r="BW116">
            <v>1</v>
          </cell>
          <cell r="BX116">
            <v>15</v>
          </cell>
          <cell r="BY116" t="str">
            <v/>
          </cell>
          <cell r="BZ116">
            <v>1</v>
          </cell>
          <cell r="CA116">
            <v>8</v>
          </cell>
          <cell r="CB116">
            <v>1.177</v>
          </cell>
          <cell r="CC116" t="str">
            <v>bitumen surface removed</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24</v>
          </cell>
          <cell r="CW116">
            <v>24</v>
          </cell>
          <cell r="CX116" t="str">
            <v/>
          </cell>
          <cell r="CY116" t="str">
            <v>n.a.</v>
          </cell>
          <cell r="CZ116" t="str">
            <v>n.a.</v>
          </cell>
          <cell r="DA116">
            <v>2</v>
          </cell>
          <cell r="DB116">
            <v>60</v>
          </cell>
          <cell r="DC116">
            <v>29</v>
          </cell>
          <cell r="DD116">
            <v>16</v>
          </cell>
          <cell r="DE116">
            <v>5</v>
          </cell>
          <cell r="DF116">
            <v>7</v>
          </cell>
          <cell r="DG116">
            <v>2</v>
          </cell>
          <cell r="DH116">
            <v>1</v>
          </cell>
          <cell r="DI116">
            <v>3</v>
          </cell>
        </row>
        <row r="117">
          <cell r="A117" t="str">
            <v>RS 070</v>
          </cell>
          <cell r="B117">
            <v>70</v>
          </cell>
          <cell r="C117" t="str">
            <v>C</v>
          </cell>
          <cell r="D117" t="str">
            <v>T</v>
          </cell>
          <cell r="E117" t="str">
            <v>Kamwendo - Malambalala</v>
          </cell>
          <cell r="F117" t="str">
            <v>M10</v>
          </cell>
          <cell r="G117">
            <v>2</v>
          </cell>
          <cell r="H117">
            <v>2.9</v>
          </cell>
          <cell r="I117" t="str">
            <v>F</v>
          </cell>
          <cell r="J117" t="str">
            <v>DEDZA</v>
          </cell>
          <cell r="K117">
            <v>7</v>
          </cell>
          <cell r="L117">
            <v>0</v>
          </cell>
          <cell r="W117">
            <v>74</v>
          </cell>
          <cell r="X117" t="str">
            <v>DS</v>
          </cell>
          <cell r="Y117">
            <v>150</v>
          </cell>
          <cell r="Z117" t="str">
            <v>SB</v>
          </cell>
          <cell r="AA117">
            <v>100</v>
          </cell>
          <cell r="AB117" t="str">
            <v>GR</v>
          </cell>
          <cell r="AC117">
            <v>8</v>
          </cell>
          <cell r="AD117" t="str">
            <v>VR</v>
          </cell>
          <cell r="AE117">
            <v>0</v>
          </cell>
          <cell r="AF117">
            <v>0</v>
          </cell>
          <cell r="AG117">
            <v>0</v>
          </cell>
          <cell r="AH117">
            <v>0</v>
          </cell>
          <cell r="AI117">
            <v>0</v>
          </cell>
          <cell r="AJ117">
            <v>0</v>
          </cell>
          <cell r="AK117">
            <v>0</v>
          </cell>
          <cell r="AL117">
            <v>0</v>
          </cell>
          <cell r="AM117">
            <v>1</v>
          </cell>
          <cell r="AN117" t="str">
            <v>bitumen removed</v>
          </cell>
          <cell r="BO117" t="str">
            <v>RS 070</v>
          </cell>
          <cell r="BP117">
            <v>2.9</v>
          </cell>
          <cell r="BQ117" t="str">
            <v>n.a.</v>
          </cell>
          <cell r="BR117" t="str">
            <v>F</v>
          </cell>
          <cell r="BS117" t="str">
            <v>X</v>
          </cell>
          <cell r="BT117">
            <v>90</v>
          </cell>
          <cell r="BU117" t="str">
            <v>DS</v>
          </cell>
          <cell r="BV117" t="str">
            <v/>
          </cell>
          <cell r="BW117">
            <v>1</v>
          </cell>
          <cell r="BX117">
            <v>15</v>
          </cell>
          <cell r="BY117" t="str">
            <v/>
          </cell>
          <cell r="BZ117">
            <v>1</v>
          </cell>
          <cell r="CA117">
            <v>8</v>
          </cell>
          <cell r="CB117">
            <v>1.177</v>
          </cell>
          <cell r="CC117" t="str">
            <v>bitumen surface removed</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24</v>
          </cell>
          <cell r="CW117">
            <v>24</v>
          </cell>
          <cell r="CX117" t="str">
            <v/>
          </cell>
          <cell r="CY117" t="str">
            <v>n.a.</v>
          </cell>
          <cell r="CZ117" t="str">
            <v>n.a.</v>
          </cell>
          <cell r="DA117">
            <v>2</v>
          </cell>
          <cell r="DB117">
            <v>60</v>
          </cell>
          <cell r="DC117">
            <v>29</v>
          </cell>
          <cell r="DD117">
            <v>16</v>
          </cell>
          <cell r="DE117">
            <v>5</v>
          </cell>
          <cell r="DF117">
            <v>7</v>
          </cell>
          <cell r="DG117">
            <v>2</v>
          </cell>
          <cell r="DH117">
            <v>1</v>
          </cell>
          <cell r="DI117">
            <v>3</v>
          </cell>
        </row>
        <row r="118">
          <cell r="A118" t="str">
            <v>RS 072</v>
          </cell>
          <cell r="B118">
            <v>72</v>
          </cell>
          <cell r="C118" t="str">
            <v>C</v>
          </cell>
          <cell r="D118" t="str">
            <v>T</v>
          </cell>
          <cell r="E118" t="str">
            <v>Malambalala - Bwanje River</v>
          </cell>
          <cell r="F118" t="str">
            <v>M10</v>
          </cell>
          <cell r="G118">
            <v>3</v>
          </cell>
          <cell r="H118">
            <v>9</v>
          </cell>
          <cell r="I118" t="str">
            <v>F</v>
          </cell>
          <cell r="J118" t="str">
            <v>DEDZA &amp; MANGOCHI</v>
          </cell>
          <cell r="K118">
            <v>7</v>
          </cell>
          <cell r="L118">
            <v>0</v>
          </cell>
          <cell r="W118">
            <v>74</v>
          </cell>
          <cell r="X118" t="str">
            <v>DS</v>
          </cell>
          <cell r="Y118">
            <v>150</v>
          </cell>
          <cell r="Z118" t="str">
            <v>SB</v>
          </cell>
          <cell r="AA118">
            <v>100</v>
          </cell>
          <cell r="AB118" t="str">
            <v>GR</v>
          </cell>
          <cell r="AC118">
            <v>8</v>
          </cell>
          <cell r="AD118" t="str">
            <v>VR</v>
          </cell>
          <cell r="AE118">
            <v>0</v>
          </cell>
          <cell r="AF118">
            <v>0</v>
          </cell>
          <cell r="AG118">
            <v>0</v>
          </cell>
          <cell r="AH118">
            <v>0</v>
          </cell>
          <cell r="AI118">
            <v>0</v>
          </cell>
          <cell r="AJ118">
            <v>0</v>
          </cell>
          <cell r="AK118">
            <v>0</v>
          </cell>
          <cell r="AL118">
            <v>0</v>
          </cell>
          <cell r="AM118">
            <v>1</v>
          </cell>
          <cell r="AN118" t="str">
            <v>bitumen removed</v>
          </cell>
          <cell r="BO118" t="str">
            <v>RS 072</v>
          </cell>
          <cell r="BP118">
            <v>9</v>
          </cell>
          <cell r="BQ118" t="str">
            <v>n.a.</v>
          </cell>
          <cell r="BR118" t="str">
            <v>F</v>
          </cell>
          <cell r="BS118" t="str">
            <v>X</v>
          </cell>
          <cell r="BT118">
            <v>90</v>
          </cell>
          <cell r="BU118" t="str">
            <v>DS</v>
          </cell>
          <cell r="BV118" t="str">
            <v/>
          </cell>
          <cell r="BW118">
            <v>1</v>
          </cell>
          <cell r="BX118">
            <v>15</v>
          </cell>
          <cell r="BY118" t="str">
            <v/>
          </cell>
          <cell r="BZ118">
            <v>1</v>
          </cell>
          <cell r="CA118">
            <v>8</v>
          </cell>
          <cell r="CB118">
            <v>1.177</v>
          </cell>
          <cell r="CC118" t="str">
            <v>bitumen surface removed</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24</v>
          </cell>
          <cell r="CW118">
            <v>24</v>
          </cell>
          <cell r="CX118" t="str">
            <v/>
          </cell>
          <cell r="CY118" t="str">
            <v>n.a.</v>
          </cell>
          <cell r="CZ118" t="str">
            <v>n.a.</v>
          </cell>
          <cell r="DA118">
            <v>2</v>
          </cell>
          <cell r="DB118">
            <v>60</v>
          </cell>
          <cell r="DC118">
            <v>29</v>
          </cell>
          <cell r="DD118">
            <v>16</v>
          </cell>
          <cell r="DE118">
            <v>5</v>
          </cell>
          <cell r="DF118">
            <v>7</v>
          </cell>
          <cell r="DG118">
            <v>2</v>
          </cell>
          <cell r="DH118">
            <v>1</v>
          </cell>
          <cell r="DI118">
            <v>3</v>
          </cell>
        </row>
        <row r="119">
          <cell r="A119" t="str">
            <v>RS 069</v>
          </cell>
          <cell r="B119">
            <v>69</v>
          </cell>
          <cell r="C119" t="str">
            <v>C</v>
          </cell>
          <cell r="D119" t="str">
            <v>T</v>
          </cell>
          <cell r="E119" t="str">
            <v>Bwanje River - Kangb'ma</v>
          </cell>
          <cell r="F119" t="str">
            <v>M10</v>
          </cell>
          <cell r="G119">
            <v>4</v>
          </cell>
          <cell r="H119">
            <v>3.6</v>
          </cell>
          <cell r="I119" t="str">
            <v>F</v>
          </cell>
          <cell r="J119" t="str">
            <v>NTCHEU</v>
          </cell>
          <cell r="K119">
            <v>7</v>
          </cell>
          <cell r="L119">
            <v>0</v>
          </cell>
          <cell r="W119">
            <v>74</v>
          </cell>
          <cell r="X119" t="str">
            <v>DS</v>
          </cell>
          <cell r="Y119">
            <v>150</v>
          </cell>
          <cell r="Z119" t="str">
            <v>SB</v>
          </cell>
          <cell r="AA119">
            <v>100</v>
          </cell>
          <cell r="AB119" t="str">
            <v>GR</v>
          </cell>
          <cell r="AC119">
            <v>8</v>
          </cell>
          <cell r="AD119" t="str">
            <v>VR</v>
          </cell>
          <cell r="AE119">
            <v>0</v>
          </cell>
          <cell r="AF119">
            <v>0</v>
          </cell>
          <cell r="AG119">
            <v>0</v>
          </cell>
          <cell r="AH119">
            <v>0</v>
          </cell>
          <cell r="AI119">
            <v>0</v>
          </cell>
          <cell r="AJ119">
            <v>0</v>
          </cell>
          <cell r="AK119">
            <v>0</v>
          </cell>
          <cell r="AL119">
            <v>0</v>
          </cell>
          <cell r="AM119">
            <v>1</v>
          </cell>
          <cell r="AN119" t="str">
            <v>bitumen removed</v>
          </cell>
          <cell r="BO119" t="str">
            <v>RS 069</v>
          </cell>
          <cell r="BP119">
            <v>3.6</v>
          </cell>
          <cell r="BQ119" t="str">
            <v>n.a.</v>
          </cell>
          <cell r="BR119" t="str">
            <v>F</v>
          </cell>
          <cell r="BS119" t="str">
            <v>X</v>
          </cell>
          <cell r="BT119">
            <v>90</v>
          </cell>
          <cell r="BU119" t="str">
            <v>DS</v>
          </cell>
          <cell r="BV119" t="str">
            <v/>
          </cell>
          <cell r="BW119">
            <v>1</v>
          </cell>
          <cell r="BX119">
            <v>15</v>
          </cell>
          <cell r="BY119" t="str">
            <v/>
          </cell>
          <cell r="BZ119">
            <v>1</v>
          </cell>
          <cell r="CA119">
            <v>8</v>
          </cell>
          <cell r="CB119">
            <v>1.177</v>
          </cell>
          <cell r="CC119" t="str">
            <v>bitumen surface removed</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24</v>
          </cell>
          <cell r="CW119">
            <v>24</v>
          </cell>
          <cell r="CX119" t="str">
            <v/>
          </cell>
          <cell r="CY119" t="str">
            <v>n.a.</v>
          </cell>
          <cell r="CZ119" t="str">
            <v>n.a.</v>
          </cell>
          <cell r="DA119">
            <v>2</v>
          </cell>
          <cell r="DB119">
            <v>60</v>
          </cell>
          <cell r="DC119">
            <v>29</v>
          </cell>
          <cell r="DD119">
            <v>16</v>
          </cell>
          <cell r="DE119">
            <v>5</v>
          </cell>
          <cell r="DF119">
            <v>7</v>
          </cell>
          <cell r="DG119">
            <v>2</v>
          </cell>
          <cell r="DH119">
            <v>1</v>
          </cell>
          <cell r="DI119">
            <v>3</v>
          </cell>
        </row>
        <row r="120">
          <cell r="A120" t="str">
            <v>RS 068</v>
          </cell>
          <cell r="B120">
            <v>68</v>
          </cell>
          <cell r="C120" t="str">
            <v>C</v>
          </cell>
          <cell r="D120" t="str">
            <v>T</v>
          </cell>
          <cell r="E120" t="str">
            <v>Kangb'ma - Phanga</v>
          </cell>
          <cell r="F120" t="str">
            <v>M10</v>
          </cell>
          <cell r="G120">
            <v>5</v>
          </cell>
          <cell r="H120">
            <v>1.6</v>
          </cell>
          <cell r="I120" t="str">
            <v>F</v>
          </cell>
          <cell r="J120" t="str">
            <v>MANGOCHI</v>
          </cell>
          <cell r="K120">
            <v>7</v>
          </cell>
          <cell r="L120">
            <v>0</v>
          </cell>
          <cell r="W120">
            <v>74</v>
          </cell>
          <cell r="X120" t="str">
            <v>DS</v>
          </cell>
          <cell r="Y120">
            <v>150</v>
          </cell>
          <cell r="Z120" t="str">
            <v>SB</v>
          </cell>
          <cell r="AA120">
            <v>100</v>
          </cell>
          <cell r="AB120" t="str">
            <v>GR</v>
          </cell>
          <cell r="AC120">
            <v>8</v>
          </cell>
          <cell r="AD120" t="str">
            <v>VR</v>
          </cell>
          <cell r="AE120">
            <v>89</v>
          </cell>
          <cell r="AF120" t="str">
            <v>SR</v>
          </cell>
          <cell r="AG120" t="str">
            <v>ST</v>
          </cell>
          <cell r="AH120">
            <v>10</v>
          </cell>
          <cell r="AI120">
            <v>0</v>
          </cell>
          <cell r="AJ120">
            <v>0</v>
          </cell>
          <cell r="AK120">
            <v>0</v>
          </cell>
          <cell r="AL120">
            <v>0</v>
          </cell>
          <cell r="AM120">
            <v>4</v>
          </cell>
          <cell r="AN120">
            <v>0</v>
          </cell>
          <cell r="BO120" t="str">
            <v>RS 068</v>
          </cell>
          <cell r="BP120">
            <v>1.6</v>
          </cell>
          <cell r="BQ120" t="str">
            <v>n.a.</v>
          </cell>
          <cell r="BR120" t="str">
            <v>F</v>
          </cell>
          <cell r="BS120" t="str">
            <v>X</v>
          </cell>
          <cell r="BT120">
            <v>90</v>
          </cell>
          <cell r="BU120" t="str">
            <v>ST</v>
          </cell>
          <cell r="BV120" t="str">
            <v>DS</v>
          </cell>
          <cell r="BW120">
            <v>4</v>
          </cell>
          <cell r="BX120">
            <v>10</v>
          </cell>
          <cell r="BY120">
            <v>15</v>
          </cell>
          <cell r="BZ120">
            <v>1</v>
          </cell>
          <cell r="CA120">
            <v>8</v>
          </cell>
          <cell r="CB120">
            <v>1.3540000000000001</v>
          </cell>
          <cell r="CC120" t="str">
            <v>bitumen surface removed</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9</v>
          </cell>
          <cell r="CW120">
            <v>24</v>
          </cell>
          <cell r="CX120">
            <v>48</v>
          </cell>
          <cell r="CY120" t="str">
            <v>n.a.</v>
          </cell>
          <cell r="CZ120" t="str">
            <v>n.a.</v>
          </cell>
          <cell r="DA120">
            <v>2</v>
          </cell>
          <cell r="DB120">
            <v>60</v>
          </cell>
          <cell r="DC120">
            <v>29</v>
          </cell>
          <cell r="DD120">
            <v>16</v>
          </cell>
          <cell r="DE120">
            <v>5</v>
          </cell>
          <cell r="DF120">
            <v>7</v>
          </cell>
          <cell r="DG120">
            <v>2</v>
          </cell>
          <cell r="DH120">
            <v>1</v>
          </cell>
          <cell r="DI120">
            <v>3</v>
          </cell>
        </row>
        <row r="121">
          <cell r="A121" t="str">
            <v>RS 141</v>
          </cell>
          <cell r="B121">
            <v>141</v>
          </cell>
          <cell r="C121" t="str">
            <v>S</v>
          </cell>
          <cell r="D121" t="str">
            <v>T</v>
          </cell>
          <cell r="E121" t="str">
            <v>Regional Bdy - Mpanga</v>
          </cell>
          <cell r="F121" t="str">
            <v>M10</v>
          </cell>
          <cell r="G121">
            <v>6</v>
          </cell>
          <cell r="H121">
            <v>1.4</v>
          </cell>
          <cell r="I121" t="str">
            <v>F</v>
          </cell>
          <cell r="J121" t="str">
            <v>MANGOCHI</v>
          </cell>
          <cell r="K121">
            <v>7</v>
          </cell>
          <cell r="L121">
            <v>0</v>
          </cell>
          <cell r="W121">
            <v>74</v>
          </cell>
          <cell r="X121" t="str">
            <v>DS</v>
          </cell>
          <cell r="Y121">
            <v>150</v>
          </cell>
          <cell r="Z121" t="str">
            <v>SB</v>
          </cell>
          <cell r="AA121">
            <v>100</v>
          </cell>
          <cell r="AB121" t="str">
            <v>GR</v>
          </cell>
          <cell r="AC121">
            <v>8</v>
          </cell>
          <cell r="AD121" t="str">
            <v>VR</v>
          </cell>
          <cell r="AE121">
            <v>89</v>
          </cell>
          <cell r="AF121" t="str">
            <v>SR</v>
          </cell>
          <cell r="AG121" t="str">
            <v>ST</v>
          </cell>
          <cell r="AH121">
            <v>10</v>
          </cell>
          <cell r="AI121">
            <v>0</v>
          </cell>
          <cell r="AJ121">
            <v>0</v>
          </cell>
          <cell r="AK121">
            <v>0</v>
          </cell>
          <cell r="AL121">
            <v>0</v>
          </cell>
          <cell r="AM121">
            <v>4</v>
          </cell>
          <cell r="AN121">
            <v>0</v>
          </cell>
          <cell r="BO121" t="str">
            <v>RS 141</v>
          </cell>
          <cell r="BP121">
            <v>1.4</v>
          </cell>
          <cell r="BQ121" t="str">
            <v>n.a.</v>
          </cell>
          <cell r="BR121" t="str">
            <v>F</v>
          </cell>
          <cell r="BS121" t="str">
            <v>X</v>
          </cell>
          <cell r="BT121">
            <v>90</v>
          </cell>
          <cell r="BU121" t="str">
            <v>ST</v>
          </cell>
          <cell r="BV121" t="str">
            <v>DS</v>
          </cell>
          <cell r="BW121">
            <v>4</v>
          </cell>
          <cell r="BX121">
            <v>10</v>
          </cell>
          <cell r="BY121">
            <v>15</v>
          </cell>
          <cell r="BZ121">
            <v>1</v>
          </cell>
          <cell r="CA121">
            <v>8</v>
          </cell>
          <cell r="CB121">
            <v>1.3540000000000001</v>
          </cell>
          <cell r="CC121" t="str">
            <v>bitumen surface removed</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9</v>
          </cell>
          <cell r="CW121">
            <v>24</v>
          </cell>
          <cell r="CX121">
            <v>48</v>
          </cell>
          <cell r="CY121" t="str">
            <v>n.a.</v>
          </cell>
          <cell r="CZ121" t="str">
            <v>n.a.</v>
          </cell>
          <cell r="DA121">
            <v>2</v>
          </cell>
          <cell r="DB121">
            <v>100</v>
          </cell>
          <cell r="DC121">
            <v>47</v>
          </cell>
          <cell r="DD121">
            <v>26</v>
          </cell>
          <cell r="DE121">
            <v>8</v>
          </cell>
          <cell r="DF121">
            <v>12</v>
          </cell>
          <cell r="DG121">
            <v>2</v>
          </cell>
          <cell r="DH121">
            <v>1</v>
          </cell>
          <cell r="DI121">
            <v>5</v>
          </cell>
        </row>
        <row r="122">
          <cell r="A122" t="str">
            <v>RS 143</v>
          </cell>
          <cell r="B122">
            <v>143</v>
          </cell>
          <cell r="C122" t="str">
            <v>S</v>
          </cell>
          <cell r="D122" t="str">
            <v>T</v>
          </cell>
          <cell r="E122" t="str">
            <v>Mpanga - Chantulo</v>
          </cell>
          <cell r="F122" t="str">
            <v>M10</v>
          </cell>
          <cell r="G122">
            <v>7</v>
          </cell>
          <cell r="H122">
            <v>5.3</v>
          </cell>
          <cell r="I122" t="str">
            <v>F</v>
          </cell>
          <cell r="J122" t="str">
            <v>MANGOCHI</v>
          </cell>
          <cell r="K122">
            <v>7</v>
          </cell>
          <cell r="L122">
            <v>0</v>
          </cell>
          <cell r="W122">
            <v>74</v>
          </cell>
          <cell r="X122" t="str">
            <v>DS</v>
          </cell>
          <cell r="Y122">
            <v>150</v>
          </cell>
          <cell r="Z122" t="str">
            <v>SB</v>
          </cell>
          <cell r="AA122">
            <v>100</v>
          </cell>
          <cell r="AB122" t="str">
            <v>GR</v>
          </cell>
          <cell r="AC122">
            <v>8</v>
          </cell>
          <cell r="AD122" t="str">
            <v>VR</v>
          </cell>
          <cell r="AE122">
            <v>89</v>
          </cell>
          <cell r="AF122" t="str">
            <v>SR</v>
          </cell>
          <cell r="AG122" t="str">
            <v>ST</v>
          </cell>
          <cell r="AH122">
            <v>10</v>
          </cell>
          <cell r="AI122">
            <v>0</v>
          </cell>
          <cell r="AJ122">
            <v>0</v>
          </cell>
          <cell r="AK122">
            <v>0</v>
          </cell>
          <cell r="AL122">
            <v>0</v>
          </cell>
          <cell r="AM122">
            <v>4</v>
          </cell>
          <cell r="AN122">
            <v>0</v>
          </cell>
          <cell r="BO122" t="str">
            <v>RS 143</v>
          </cell>
          <cell r="BP122">
            <v>5.3</v>
          </cell>
          <cell r="BQ122" t="str">
            <v>n.a.</v>
          </cell>
          <cell r="BR122" t="str">
            <v>F</v>
          </cell>
          <cell r="BS122" t="str">
            <v>X</v>
          </cell>
          <cell r="BT122">
            <v>90</v>
          </cell>
          <cell r="BU122" t="str">
            <v>ST</v>
          </cell>
          <cell r="BV122" t="str">
            <v>DS</v>
          </cell>
          <cell r="BW122">
            <v>4</v>
          </cell>
          <cell r="BX122">
            <v>10</v>
          </cell>
          <cell r="BY122">
            <v>15</v>
          </cell>
          <cell r="BZ122">
            <v>1</v>
          </cell>
          <cell r="CA122">
            <v>8</v>
          </cell>
          <cell r="CB122">
            <v>1.3540000000000001</v>
          </cell>
          <cell r="CC122" t="str">
            <v>bitumen surface removed</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9</v>
          </cell>
          <cell r="CW122">
            <v>24</v>
          </cell>
          <cell r="CX122">
            <v>48</v>
          </cell>
          <cell r="CY122" t="str">
            <v>n.a.</v>
          </cell>
          <cell r="CZ122" t="str">
            <v>n.a.</v>
          </cell>
          <cell r="DA122">
            <v>2</v>
          </cell>
          <cell r="DB122">
            <v>100</v>
          </cell>
          <cell r="DC122">
            <v>47</v>
          </cell>
          <cell r="DD122">
            <v>26</v>
          </cell>
          <cell r="DE122">
            <v>8</v>
          </cell>
          <cell r="DF122">
            <v>12</v>
          </cell>
          <cell r="DG122">
            <v>2</v>
          </cell>
          <cell r="DH122">
            <v>1</v>
          </cell>
          <cell r="DI122">
            <v>5</v>
          </cell>
        </row>
        <row r="123">
          <cell r="A123" t="str">
            <v>RS 142</v>
          </cell>
          <cell r="B123">
            <v>142</v>
          </cell>
          <cell r="C123" t="str">
            <v>S</v>
          </cell>
          <cell r="D123" t="str">
            <v>T</v>
          </cell>
          <cell r="E123" t="str">
            <v>Kuchilipa - Mang'oma</v>
          </cell>
          <cell r="F123" t="str">
            <v>M10</v>
          </cell>
          <cell r="G123">
            <v>8</v>
          </cell>
          <cell r="H123">
            <v>24.1</v>
          </cell>
          <cell r="I123" t="str">
            <v>F</v>
          </cell>
          <cell r="J123" t="str">
            <v>MANGOCHI</v>
          </cell>
          <cell r="K123">
            <v>7</v>
          </cell>
          <cell r="L123">
            <v>0</v>
          </cell>
          <cell r="W123">
            <v>74</v>
          </cell>
          <cell r="X123" t="str">
            <v>DS</v>
          </cell>
          <cell r="Y123">
            <v>150</v>
          </cell>
          <cell r="Z123" t="str">
            <v>SB</v>
          </cell>
          <cell r="AA123">
            <v>100</v>
          </cell>
          <cell r="AB123" t="str">
            <v>GR</v>
          </cell>
          <cell r="AC123">
            <v>8</v>
          </cell>
          <cell r="AD123" t="str">
            <v>VR</v>
          </cell>
          <cell r="AE123">
            <v>89</v>
          </cell>
          <cell r="AF123" t="str">
            <v>SR</v>
          </cell>
          <cell r="AG123" t="str">
            <v>ST</v>
          </cell>
          <cell r="AH123">
            <v>10</v>
          </cell>
          <cell r="AI123">
            <v>0</v>
          </cell>
          <cell r="AJ123">
            <v>0</v>
          </cell>
          <cell r="AK123">
            <v>0</v>
          </cell>
          <cell r="AL123">
            <v>0</v>
          </cell>
          <cell r="AM123">
            <v>4</v>
          </cell>
          <cell r="AN123">
            <v>0</v>
          </cell>
          <cell r="BO123" t="str">
            <v>RS 142</v>
          </cell>
          <cell r="BP123">
            <v>24.1</v>
          </cell>
          <cell r="BQ123" t="str">
            <v>n.a.</v>
          </cell>
          <cell r="BR123" t="str">
            <v>F</v>
          </cell>
          <cell r="BS123" t="str">
            <v>X</v>
          </cell>
          <cell r="BT123">
            <v>90</v>
          </cell>
          <cell r="BU123" t="str">
            <v>ST</v>
          </cell>
          <cell r="BV123" t="str">
            <v>DS</v>
          </cell>
          <cell r="BW123">
            <v>4</v>
          </cell>
          <cell r="BX123">
            <v>10</v>
          </cell>
          <cell r="BY123">
            <v>15</v>
          </cell>
          <cell r="BZ123">
            <v>1</v>
          </cell>
          <cell r="CA123">
            <v>8</v>
          </cell>
          <cell r="CB123">
            <v>1.3540000000000001</v>
          </cell>
          <cell r="CC123" t="str">
            <v>bitumen surface removed</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9</v>
          </cell>
          <cell r="CW123">
            <v>24</v>
          </cell>
          <cell r="CX123">
            <v>48</v>
          </cell>
          <cell r="CY123" t="str">
            <v>n.a.</v>
          </cell>
          <cell r="CZ123" t="str">
            <v>n.a.</v>
          </cell>
          <cell r="DA123">
            <v>2</v>
          </cell>
          <cell r="DB123">
            <v>100</v>
          </cell>
          <cell r="DC123">
            <v>47</v>
          </cell>
          <cell r="DD123">
            <v>26</v>
          </cell>
          <cell r="DE123">
            <v>8</v>
          </cell>
          <cell r="DF123">
            <v>12</v>
          </cell>
          <cell r="DG123">
            <v>2</v>
          </cell>
          <cell r="DH123">
            <v>1</v>
          </cell>
          <cell r="DI123">
            <v>5</v>
          </cell>
        </row>
        <row r="124">
          <cell r="A124" t="str">
            <v>RS 145</v>
          </cell>
          <cell r="B124">
            <v>145</v>
          </cell>
          <cell r="C124" t="str">
            <v>S</v>
          </cell>
          <cell r="D124" t="str">
            <v>T</v>
          </cell>
          <cell r="E124" t="str">
            <v>Mang'oma - Koche River</v>
          </cell>
          <cell r="F124" t="str">
            <v>M10</v>
          </cell>
          <cell r="G124">
            <v>9</v>
          </cell>
          <cell r="H124">
            <v>30.8</v>
          </cell>
          <cell r="I124" t="str">
            <v>F</v>
          </cell>
          <cell r="J124" t="str">
            <v>MANGOCHI</v>
          </cell>
          <cell r="K124">
            <v>7</v>
          </cell>
          <cell r="L124">
            <v>0</v>
          </cell>
          <cell r="W124">
            <v>74</v>
          </cell>
          <cell r="X124" t="str">
            <v>DS</v>
          </cell>
          <cell r="Y124">
            <v>150</v>
          </cell>
          <cell r="Z124" t="str">
            <v>SB</v>
          </cell>
          <cell r="AA124">
            <v>100</v>
          </cell>
          <cell r="AB124" t="str">
            <v>GR</v>
          </cell>
          <cell r="AC124">
            <v>8</v>
          </cell>
          <cell r="AD124" t="str">
            <v>VR</v>
          </cell>
          <cell r="AE124">
            <v>89</v>
          </cell>
          <cell r="AF124" t="str">
            <v>SR</v>
          </cell>
          <cell r="AG124" t="str">
            <v>ST</v>
          </cell>
          <cell r="AH124">
            <v>10</v>
          </cell>
          <cell r="AI124">
            <v>0</v>
          </cell>
          <cell r="AJ124">
            <v>0</v>
          </cell>
          <cell r="AK124">
            <v>0</v>
          </cell>
          <cell r="AL124">
            <v>0</v>
          </cell>
          <cell r="AM124">
            <v>4</v>
          </cell>
          <cell r="AN124">
            <v>0</v>
          </cell>
          <cell r="BO124" t="str">
            <v>RS 145</v>
          </cell>
          <cell r="BP124">
            <v>30.8</v>
          </cell>
          <cell r="BQ124">
            <v>6.7</v>
          </cell>
          <cell r="BR124" t="str">
            <v>F</v>
          </cell>
          <cell r="BS124" t="str">
            <v>C</v>
          </cell>
          <cell r="BT124">
            <v>0</v>
          </cell>
          <cell r="BU124" t="str">
            <v>ST</v>
          </cell>
          <cell r="BV124" t="str">
            <v>DS</v>
          </cell>
          <cell r="BW124">
            <v>4</v>
          </cell>
          <cell r="BX124">
            <v>10</v>
          </cell>
          <cell r="BY124">
            <v>15</v>
          </cell>
          <cell r="BZ124">
            <v>1</v>
          </cell>
          <cell r="CA124">
            <v>8</v>
          </cell>
          <cell r="CB124">
            <v>1.3540000000000001</v>
          </cell>
          <cell r="CC124">
            <v>6.38</v>
          </cell>
          <cell r="CD124">
            <v>95</v>
          </cell>
          <cell r="CE124">
            <v>75</v>
          </cell>
          <cell r="CF124">
            <v>60</v>
          </cell>
          <cell r="CG124">
            <v>35</v>
          </cell>
          <cell r="CH124">
            <v>15</v>
          </cell>
          <cell r="CI124">
            <v>25</v>
          </cell>
          <cell r="CJ124">
            <v>7.4626865671641798E-2</v>
          </cell>
          <cell r="CK124">
            <v>10</v>
          </cell>
          <cell r="CL124">
            <v>60</v>
          </cell>
          <cell r="CM124">
            <v>0.52510907003444307</v>
          </cell>
          <cell r="CN124">
            <v>0.52510907003444307</v>
          </cell>
          <cell r="CO124">
            <v>0</v>
          </cell>
          <cell r="CP124">
            <v>0</v>
          </cell>
          <cell r="CQ124">
            <v>6.9051090700344426</v>
          </cell>
          <cell r="CR124">
            <v>90</v>
          </cell>
          <cell r="CS124">
            <v>1.5</v>
          </cell>
          <cell r="CT124">
            <v>2.5</v>
          </cell>
          <cell r="CU124">
            <v>1</v>
          </cell>
          <cell r="CV124">
            <v>9</v>
          </cell>
          <cell r="CW124">
            <v>24</v>
          </cell>
          <cell r="CX124">
            <v>48</v>
          </cell>
          <cell r="CY124">
            <v>3</v>
          </cell>
          <cell r="CZ124">
            <v>3</v>
          </cell>
          <cell r="DA124">
            <v>1</v>
          </cell>
          <cell r="DB124">
            <v>125</v>
          </cell>
          <cell r="DC124">
            <v>59</v>
          </cell>
          <cell r="DD124">
            <v>33</v>
          </cell>
          <cell r="DE124">
            <v>10</v>
          </cell>
          <cell r="DF124">
            <v>15</v>
          </cell>
          <cell r="DG124">
            <v>3</v>
          </cell>
          <cell r="DH124">
            <v>2</v>
          </cell>
          <cell r="DI124">
            <v>7</v>
          </cell>
        </row>
        <row r="125">
          <cell r="A125" t="str">
            <v>RS 144</v>
          </cell>
          <cell r="B125">
            <v>144</v>
          </cell>
          <cell r="C125" t="str">
            <v>S</v>
          </cell>
          <cell r="D125" t="str">
            <v>T</v>
          </cell>
          <cell r="E125" t="str">
            <v>Koche River - Mangochi</v>
          </cell>
          <cell r="F125" t="str">
            <v>M10</v>
          </cell>
          <cell r="G125">
            <v>10</v>
          </cell>
          <cell r="H125">
            <v>19.600000000000001</v>
          </cell>
          <cell r="I125" t="str">
            <v>F</v>
          </cell>
          <cell r="J125" t="str">
            <v>MANGOCHI</v>
          </cell>
          <cell r="K125">
            <v>8</v>
          </cell>
          <cell r="L125">
            <v>0</v>
          </cell>
          <cell r="W125">
            <v>74</v>
          </cell>
          <cell r="X125" t="str">
            <v>DS</v>
          </cell>
          <cell r="Y125">
            <v>150</v>
          </cell>
          <cell r="Z125" t="str">
            <v>SB</v>
          </cell>
          <cell r="AA125">
            <v>100</v>
          </cell>
          <cell r="AB125" t="str">
            <v>GR</v>
          </cell>
          <cell r="AC125">
            <v>8</v>
          </cell>
          <cell r="AD125" t="str">
            <v>VR</v>
          </cell>
          <cell r="AE125">
            <v>89</v>
          </cell>
          <cell r="AF125" t="str">
            <v>SR</v>
          </cell>
          <cell r="AG125" t="str">
            <v>ST</v>
          </cell>
          <cell r="AH125">
            <v>10</v>
          </cell>
          <cell r="AI125">
            <v>0</v>
          </cell>
          <cell r="AJ125">
            <v>0</v>
          </cell>
          <cell r="AK125">
            <v>0</v>
          </cell>
          <cell r="AL125">
            <v>0</v>
          </cell>
          <cell r="AM125">
            <v>4</v>
          </cell>
          <cell r="AN125">
            <v>0</v>
          </cell>
          <cell r="BO125" t="str">
            <v>RS 144</v>
          </cell>
          <cell r="BP125">
            <v>19.600000000000001</v>
          </cell>
          <cell r="BQ125">
            <v>6.7</v>
          </cell>
          <cell r="BR125" t="str">
            <v>F</v>
          </cell>
          <cell r="BS125" t="str">
            <v>C</v>
          </cell>
          <cell r="BT125">
            <v>0</v>
          </cell>
          <cell r="BU125" t="str">
            <v>ST</v>
          </cell>
          <cell r="BV125" t="str">
            <v>DS</v>
          </cell>
          <cell r="BW125">
            <v>4</v>
          </cell>
          <cell r="BX125">
            <v>10</v>
          </cell>
          <cell r="BY125">
            <v>15</v>
          </cell>
          <cell r="BZ125">
            <v>1</v>
          </cell>
          <cell r="CA125">
            <v>8</v>
          </cell>
          <cell r="CB125">
            <v>1.3540000000000001</v>
          </cell>
          <cell r="CC125">
            <v>5.18</v>
          </cell>
          <cell r="CD125">
            <v>75</v>
          </cell>
          <cell r="CE125">
            <v>38</v>
          </cell>
          <cell r="CF125">
            <v>23</v>
          </cell>
          <cell r="CG125">
            <v>52</v>
          </cell>
          <cell r="CH125">
            <v>15</v>
          </cell>
          <cell r="CI125">
            <v>14</v>
          </cell>
          <cell r="CJ125">
            <v>4.1791044776119404E-2</v>
          </cell>
          <cell r="CK125">
            <v>10</v>
          </cell>
          <cell r="CL125">
            <v>23</v>
          </cell>
          <cell r="CM125">
            <v>0.26793800229621123</v>
          </cell>
          <cell r="CN125">
            <v>0.26793800229621123</v>
          </cell>
          <cell r="CO125">
            <v>0</v>
          </cell>
          <cell r="CP125">
            <v>0</v>
          </cell>
          <cell r="CQ125">
            <v>5.4479380022962109</v>
          </cell>
          <cell r="CR125">
            <v>50</v>
          </cell>
          <cell r="CS125">
            <v>1.5</v>
          </cell>
          <cell r="CT125">
            <v>2.5</v>
          </cell>
          <cell r="CU125">
            <v>1</v>
          </cell>
          <cell r="CV125">
            <v>9</v>
          </cell>
          <cell r="CW125">
            <v>24</v>
          </cell>
          <cell r="CX125">
            <v>48</v>
          </cell>
          <cell r="CY125">
            <v>2.2999999999999998</v>
          </cell>
          <cell r="CZ125">
            <v>2</v>
          </cell>
          <cell r="DA125">
            <v>1</v>
          </cell>
          <cell r="DB125">
            <v>1000</v>
          </cell>
          <cell r="DC125">
            <v>470</v>
          </cell>
          <cell r="DD125">
            <v>260</v>
          </cell>
          <cell r="DE125">
            <v>75</v>
          </cell>
          <cell r="DF125">
            <v>115</v>
          </cell>
          <cell r="DG125">
            <v>20</v>
          </cell>
          <cell r="DH125">
            <v>10</v>
          </cell>
          <cell r="DI125">
            <v>50</v>
          </cell>
        </row>
        <row r="126">
          <cell r="A126" t="str">
            <v>RS 080</v>
          </cell>
          <cell r="B126">
            <v>80</v>
          </cell>
          <cell r="C126" t="str">
            <v>C</v>
          </cell>
          <cell r="D126" t="str">
            <v>T</v>
          </cell>
          <cell r="E126" t="str">
            <v>International Border - Mchinji</v>
          </cell>
          <cell r="F126" t="str">
            <v>M12</v>
          </cell>
          <cell r="G126">
            <v>1</v>
          </cell>
          <cell r="H126">
            <v>11.5</v>
          </cell>
          <cell r="I126" t="str">
            <v>F</v>
          </cell>
          <cell r="J126" t="str">
            <v>MCHINJI</v>
          </cell>
          <cell r="K126">
            <v>6</v>
          </cell>
          <cell r="L126">
            <v>0</v>
          </cell>
          <cell r="W126">
            <v>79</v>
          </cell>
          <cell r="X126" t="str">
            <v>DS</v>
          </cell>
          <cell r="Y126">
            <v>250</v>
          </cell>
          <cell r="Z126" t="str">
            <v>GR</v>
          </cell>
          <cell r="AA126">
            <v>100</v>
          </cell>
          <cell r="AB126" t="str">
            <v>GR</v>
          </cell>
          <cell r="AC126">
            <v>25</v>
          </cell>
          <cell r="AD126" t="str">
            <v>VR</v>
          </cell>
          <cell r="AE126">
            <v>91</v>
          </cell>
          <cell r="AF126" t="str">
            <v>SR</v>
          </cell>
          <cell r="AG126" t="str">
            <v>ST</v>
          </cell>
          <cell r="AH126">
            <v>10</v>
          </cell>
          <cell r="AI126">
            <v>0</v>
          </cell>
          <cell r="AJ126">
            <v>0</v>
          </cell>
          <cell r="AK126">
            <v>0</v>
          </cell>
          <cell r="AL126">
            <v>0</v>
          </cell>
          <cell r="AM126">
            <v>4</v>
          </cell>
          <cell r="AN126">
            <v>0</v>
          </cell>
          <cell r="BO126" t="str">
            <v>RS 080</v>
          </cell>
          <cell r="BP126">
            <v>11.5</v>
          </cell>
          <cell r="BQ126">
            <v>6</v>
          </cell>
          <cell r="BR126" t="str">
            <v>F</v>
          </cell>
          <cell r="BS126" t="str">
            <v>C</v>
          </cell>
          <cell r="BT126">
            <v>0</v>
          </cell>
          <cell r="BU126" t="str">
            <v>ST</v>
          </cell>
          <cell r="BV126" t="str">
            <v>DS</v>
          </cell>
          <cell r="BW126">
            <v>4</v>
          </cell>
          <cell r="BX126">
            <v>10</v>
          </cell>
          <cell r="BY126">
            <v>15</v>
          </cell>
          <cell r="BZ126">
            <v>1</v>
          </cell>
          <cell r="CA126">
            <v>25</v>
          </cell>
          <cell r="CB126">
            <v>1.254</v>
          </cell>
          <cell r="CC126">
            <v>3.2394887221034847</v>
          </cell>
          <cell r="CD126">
            <v>38</v>
          </cell>
          <cell r="CE126">
            <v>6</v>
          </cell>
          <cell r="CF126">
            <v>0</v>
          </cell>
          <cell r="CG126">
            <v>38</v>
          </cell>
          <cell r="CH126">
            <v>6</v>
          </cell>
          <cell r="CI126">
            <v>0.7</v>
          </cell>
          <cell r="CJ126">
            <v>2.3333333333333331E-3</v>
          </cell>
          <cell r="CK126">
            <v>2.3333333333333331E-3</v>
          </cell>
          <cell r="CL126">
            <v>0</v>
          </cell>
          <cell r="CM126">
            <v>9.0461538461538446E-4</v>
          </cell>
          <cell r="CN126">
            <v>9.0461538461538446E-4</v>
          </cell>
          <cell r="CO126">
            <v>0</v>
          </cell>
          <cell r="CP126">
            <v>0</v>
          </cell>
          <cell r="CQ126">
            <v>3.2403933374881002</v>
          </cell>
          <cell r="CR126">
            <v>0</v>
          </cell>
          <cell r="CS126">
            <v>1</v>
          </cell>
          <cell r="CT126">
            <v>0</v>
          </cell>
          <cell r="CU126">
            <v>0</v>
          </cell>
          <cell r="CV126">
            <v>7</v>
          </cell>
          <cell r="CW126">
            <v>19</v>
          </cell>
          <cell r="CX126">
            <v>38</v>
          </cell>
          <cell r="CY126">
            <v>2</v>
          </cell>
          <cell r="CZ126">
            <v>2</v>
          </cell>
          <cell r="DA126">
            <v>1.2</v>
          </cell>
          <cell r="DB126">
            <v>200</v>
          </cell>
          <cell r="DC126">
            <v>94</v>
          </cell>
          <cell r="DD126">
            <v>52</v>
          </cell>
          <cell r="DE126">
            <v>15</v>
          </cell>
          <cell r="DF126">
            <v>23</v>
          </cell>
          <cell r="DG126">
            <v>4</v>
          </cell>
          <cell r="DH126">
            <v>2</v>
          </cell>
          <cell r="DI126">
            <v>10</v>
          </cell>
        </row>
        <row r="127">
          <cell r="A127" t="str">
            <v>RS 079</v>
          </cell>
          <cell r="B127">
            <v>79</v>
          </cell>
          <cell r="C127" t="str">
            <v>C</v>
          </cell>
          <cell r="D127" t="str">
            <v>T</v>
          </cell>
          <cell r="E127" t="str">
            <v>Mchinji - Kamwendo</v>
          </cell>
          <cell r="F127" t="str">
            <v>M12</v>
          </cell>
          <cell r="G127">
            <v>2</v>
          </cell>
          <cell r="H127">
            <v>19.100000000000001</v>
          </cell>
          <cell r="I127" t="str">
            <v>F</v>
          </cell>
          <cell r="J127" t="str">
            <v>MCHINJI</v>
          </cell>
          <cell r="K127">
            <v>6</v>
          </cell>
          <cell r="L127">
            <v>0</v>
          </cell>
          <cell r="W127">
            <v>79</v>
          </cell>
          <cell r="X127" t="str">
            <v>DS</v>
          </cell>
          <cell r="Y127">
            <v>250</v>
          </cell>
          <cell r="Z127" t="str">
            <v>GR</v>
          </cell>
          <cell r="AA127">
            <v>100</v>
          </cell>
          <cell r="AB127" t="str">
            <v>GR</v>
          </cell>
          <cell r="AC127">
            <v>25</v>
          </cell>
          <cell r="AD127" t="str">
            <v>VR</v>
          </cell>
          <cell r="AE127">
            <v>91</v>
          </cell>
          <cell r="AF127" t="str">
            <v>SR</v>
          </cell>
          <cell r="AG127" t="str">
            <v>ST</v>
          </cell>
          <cell r="AH127">
            <v>10</v>
          </cell>
          <cell r="AI127">
            <v>0</v>
          </cell>
          <cell r="AJ127">
            <v>0</v>
          </cell>
          <cell r="AK127">
            <v>0</v>
          </cell>
          <cell r="AL127">
            <v>0</v>
          </cell>
          <cell r="AM127">
            <v>4</v>
          </cell>
          <cell r="AN127">
            <v>0</v>
          </cell>
          <cell r="BO127" t="str">
            <v>RS 079</v>
          </cell>
          <cell r="BP127">
            <v>19.100000000000001</v>
          </cell>
          <cell r="BQ127">
            <v>6</v>
          </cell>
          <cell r="BR127" t="str">
            <v>F</v>
          </cell>
          <cell r="BS127" t="str">
            <v>C</v>
          </cell>
          <cell r="BT127">
            <v>0</v>
          </cell>
          <cell r="BU127" t="str">
            <v>ST</v>
          </cell>
          <cell r="BV127" t="str">
            <v>DS</v>
          </cell>
          <cell r="BW127">
            <v>4</v>
          </cell>
          <cell r="BX127">
            <v>10</v>
          </cell>
          <cell r="BY127">
            <v>15</v>
          </cell>
          <cell r="BZ127">
            <v>1</v>
          </cell>
          <cell r="CA127">
            <v>25</v>
          </cell>
          <cell r="CB127">
            <v>1.254</v>
          </cell>
          <cell r="CC127">
            <v>3.272964250312977</v>
          </cell>
          <cell r="CD127">
            <v>12</v>
          </cell>
          <cell r="CE127">
            <v>1</v>
          </cell>
          <cell r="CF127">
            <v>0</v>
          </cell>
          <cell r="CG127">
            <v>12</v>
          </cell>
          <cell r="CH127">
            <v>1</v>
          </cell>
          <cell r="CI127">
            <v>0.4</v>
          </cell>
          <cell r="CJ127">
            <v>1.3333333333333337E-3</v>
          </cell>
          <cell r="CK127">
            <v>1.3333333333333337E-3</v>
          </cell>
          <cell r="CL127">
            <v>0</v>
          </cell>
          <cell r="CM127">
            <v>5.1692307692307704E-4</v>
          </cell>
          <cell r="CN127">
            <v>5.1692307692307704E-4</v>
          </cell>
          <cell r="CO127">
            <v>0</v>
          </cell>
          <cell r="CP127">
            <v>0</v>
          </cell>
          <cell r="CQ127">
            <v>3.2734811733899001</v>
          </cell>
          <cell r="CR127">
            <v>0</v>
          </cell>
          <cell r="CS127">
            <v>1</v>
          </cell>
          <cell r="CT127">
            <v>0</v>
          </cell>
          <cell r="CU127">
            <v>0</v>
          </cell>
          <cell r="CV127">
            <v>7</v>
          </cell>
          <cell r="CW127">
            <v>19</v>
          </cell>
          <cell r="CX127">
            <v>38</v>
          </cell>
          <cell r="CY127">
            <v>2</v>
          </cell>
          <cell r="CZ127">
            <v>1.7</v>
          </cell>
          <cell r="DA127">
            <v>1</v>
          </cell>
          <cell r="DB127">
            <v>390</v>
          </cell>
          <cell r="DC127">
            <v>184</v>
          </cell>
          <cell r="DD127">
            <v>102</v>
          </cell>
          <cell r="DE127">
            <v>30</v>
          </cell>
          <cell r="DF127">
            <v>45</v>
          </cell>
          <cell r="DG127">
            <v>8</v>
          </cell>
          <cell r="DH127">
            <v>4</v>
          </cell>
          <cell r="DI127">
            <v>20</v>
          </cell>
        </row>
        <row r="128">
          <cell r="A128" t="str">
            <v>RS 077</v>
          </cell>
          <cell r="B128">
            <v>77</v>
          </cell>
          <cell r="C128" t="str">
            <v>C</v>
          </cell>
          <cell r="D128" t="str">
            <v>T</v>
          </cell>
          <cell r="E128" t="str">
            <v>Kamwendo - Bua River</v>
          </cell>
          <cell r="F128" t="str">
            <v>M12</v>
          </cell>
          <cell r="G128">
            <v>3</v>
          </cell>
          <cell r="H128">
            <v>14.7</v>
          </cell>
          <cell r="I128" t="str">
            <v>F</v>
          </cell>
          <cell r="J128" t="str">
            <v>MCHINJI</v>
          </cell>
          <cell r="K128">
            <v>6</v>
          </cell>
          <cell r="L128">
            <v>0</v>
          </cell>
          <cell r="W128">
            <v>79</v>
          </cell>
          <cell r="X128" t="str">
            <v>DS</v>
          </cell>
          <cell r="Y128">
            <v>250</v>
          </cell>
          <cell r="Z128" t="str">
            <v>GR</v>
          </cell>
          <cell r="AA128">
            <v>100</v>
          </cell>
          <cell r="AB128" t="str">
            <v>GR</v>
          </cell>
          <cell r="AC128">
            <v>25</v>
          </cell>
          <cell r="AD128" t="str">
            <v>VR</v>
          </cell>
          <cell r="AE128">
            <v>91</v>
          </cell>
          <cell r="AF128" t="str">
            <v>SR</v>
          </cell>
          <cell r="AG128" t="str">
            <v>ST</v>
          </cell>
          <cell r="AH128">
            <v>10</v>
          </cell>
          <cell r="AI128">
            <v>0</v>
          </cell>
          <cell r="AJ128">
            <v>0</v>
          </cell>
          <cell r="AK128">
            <v>0</v>
          </cell>
          <cell r="AL128">
            <v>0</v>
          </cell>
          <cell r="AM128">
            <v>4</v>
          </cell>
          <cell r="AN128">
            <v>0</v>
          </cell>
          <cell r="BO128" t="str">
            <v>RS 077</v>
          </cell>
          <cell r="BP128">
            <v>14.7</v>
          </cell>
          <cell r="BQ128">
            <v>6</v>
          </cell>
          <cell r="BR128" t="str">
            <v>F</v>
          </cell>
          <cell r="BS128" t="str">
            <v>C</v>
          </cell>
          <cell r="BT128">
            <v>0</v>
          </cell>
          <cell r="BU128" t="str">
            <v>ST</v>
          </cell>
          <cell r="BV128" t="str">
            <v>DS</v>
          </cell>
          <cell r="BW128">
            <v>4</v>
          </cell>
          <cell r="BX128">
            <v>10</v>
          </cell>
          <cell r="BY128">
            <v>15</v>
          </cell>
          <cell r="BZ128">
            <v>1</v>
          </cell>
          <cell r="CA128">
            <v>25</v>
          </cell>
          <cell r="CB128">
            <v>1.254</v>
          </cell>
          <cell r="CC128">
            <v>3.3033989240279333</v>
          </cell>
          <cell r="CD128">
            <v>15</v>
          </cell>
          <cell r="CE128">
            <v>0</v>
          </cell>
          <cell r="CF128">
            <v>0</v>
          </cell>
          <cell r="CG128">
            <v>15</v>
          </cell>
          <cell r="CH128">
            <v>0</v>
          </cell>
          <cell r="CI128">
            <v>0.3</v>
          </cell>
          <cell r="CJ128">
            <v>1E-3</v>
          </cell>
          <cell r="CK128">
            <v>1E-3</v>
          </cell>
          <cell r="CL128">
            <v>0</v>
          </cell>
          <cell r="CM128">
            <v>3.876923076923077E-4</v>
          </cell>
          <cell r="CN128">
            <v>3.876923076923077E-4</v>
          </cell>
          <cell r="CO128">
            <v>0</v>
          </cell>
          <cell r="CP128">
            <v>0</v>
          </cell>
          <cell r="CQ128">
            <v>3.3037866163356258</v>
          </cell>
          <cell r="CR128">
            <v>0</v>
          </cell>
          <cell r="CS128">
            <v>1</v>
          </cell>
          <cell r="CT128">
            <v>0</v>
          </cell>
          <cell r="CU128">
            <v>0</v>
          </cell>
          <cell r="CV128">
            <v>7</v>
          </cell>
          <cell r="CW128">
            <v>19</v>
          </cell>
          <cell r="CX128">
            <v>38</v>
          </cell>
          <cell r="CY128">
            <v>2</v>
          </cell>
          <cell r="CZ128">
            <v>1.5</v>
          </cell>
          <cell r="DA128">
            <v>1</v>
          </cell>
          <cell r="DB128">
            <v>390</v>
          </cell>
          <cell r="DC128">
            <v>184</v>
          </cell>
          <cell r="DD128">
            <v>102</v>
          </cell>
          <cell r="DE128">
            <v>30</v>
          </cell>
          <cell r="DF128">
            <v>45</v>
          </cell>
          <cell r="DG128">
            <v>8</v>
          </cell>
          <cell r="DH128">
            <v>4</v>
          </cell>
          <cell r="DI128">
            <v>20</v>
          </cell>
        </row>
        <row r="129">
          <cell r="A129" t="str">
            <v>RS 076</v>
          </cell>
          <cell r="B129">
            <v>76</v>
          </cell>
          <cell r="C129" t="str">
            <v>C</v>
          </cell>
          <cell r="D129" t="str">
            <v>T</v>
          </cell>
          <cell r="E129" t="str">
            <v>Bua River - Namitete River Bridge</v>
          </cell>
          <cell r="F129" t="str">
            <v>M12</v>
          </cell>
          <cell r="G129">
            <v>4</v>
          </cell>
          <cell r="H129">
            <v>27.9</v>
          </cell>
          <cell r="I129" t="str">
            <v>F</v>
          </cell>
          <cell r="J129" t="str">
            <v>MCHINJI</v>
          </cell>
          <cell r="K129">
            <v>6</v>
          </cell>
          <cell r="L129">
            <v>0</v>
          </cell>
          <cell r="W129">
            <v>79</v>
          </cell>
          <cell r="X129" t="str">
            <v>DS</v>
          </cell>
          <cell r="Y129">
            <v>250</v>
          </cell>
          <cell r="Z129" t="str">
            <v>GR</v>
          </cell>
          <cell r="AA129">
            <v>100</v>
          </cell>
          <cell r="AB129" t="str">
            <v>GR</v>
          </cell>
          <cell r="AC129">
            <v>25</v>
          </cell>
          <cell r="AD129" t="str">
            <v>VR</v>
          </cell>
          <cell r="AE129">
            <v>91</v>
          </cell>
          <cell r="AF129" t="str">
            <v>SR</v>
          </cell>
          <cell r="AG129" t="str">
            <v>ST</v>
          </cell>
          <cell r="AH129">
            <v>10</v>
          </cell>
          <cell r="AI129">
            <v>0</v>
          </cell>
          <cell r="AJ129">
            <v>0</v>
          </cell>
          <cell r="AK129">
            <v>0</v>
          </cell>
          <cell r="AL129">
            <v>0</v>
          </cell>
          <cell r="AM129">
            <v>4</v>
          </cell>
          <cell r="AN129">
            <v>0</v>
          </cell>
          <cell r="BO129" t="str">
            <v>RS 076</v>
          </cell>
          <cell r="BP129">
            <v>27.9</v>
          </cell>
          <cell r="BQ129">
            <v>6</v>
          </cell>
          <cell r="BR129" t="str">
            <v>F</v>
          </cell>
          <cell r="BS129" t="str">
            <v>C</v>
          </cell>
          <cell r="BT129">
            <v>0</v>
          </cell>
          <cell r="BU129" t="str">
            <v>ST</v>
          </cell>
          <cell r="BV129" t="str">
            <v>DS</v>
          </cell>
          <cell r="BW129">
            <v>4</v>
          </cell>
          <cell r="BX129">
            <v>10</v>
          </cell>
          <cell r="BY129">
            <v>15</v>
          </cell>
          <cell r="BZ129">
            <v>1</v>
          </cell>
          <cell r="CA129">
            <v>25</v>
          </cell>
          <cell r="CB129">
            <v>1.254</v>
          </cell>
          <cell r="CC129">
            <v>2.9693093575046658</v>
          </cell>
          <cell r="CD129">
            <v>14</v>
          </cell>
          <cell r="CE129">
            <v>2.8</v>
          </cell>
          <cell r="CF129">
            <v>0</v>
          </cell>
          <cell r="CG129">
            <v>14</v>
          </cell>
          <cell r="CH129">
            <v>2.8</v>
          </cell>
          <cell r="CI129">
            <v>1.2</v>
          </cell>
          <cell r="CJ129">
            <v>4.0000000000000001E-3</v>
          </cell>
          <cell r="CK129">
            <v>4.0000000000000001E-3</v>
          </cell>
          <cell r="CL129">
            <v>0</v>
          </cell>
          <cell r="CM129">
            <v>1.5507692307692308E-3</v>
          </cell>
          <cell r="CN129">
            <v>1.5507692307692308E-3</v>
          </cell>
          <cell r="CO129">
            <v>0</v>
          </cell>
          <cell r="CP129">
            <v>0</v>
          </cell>
          <cell r="CQ129">
            <v>2.9708601267354351</v>
          </cell>
          <cell r="CR129">
            <v>0</v>
          </cell>
          <cell r="CS129">
            <v>1.2</v>
          </cell>
          <cell r="CT129">
            <v>0.99999999999999978</v>
          </cell>
          <cell r="CU129">
            <v>0.39999999999999991</v>
          </cell>
          <cell r="CV129">
            <v>7</v>
          </cell>
          <cell r="CW129">
            <v>19</v>
          </cell>
          <cell r="CX129">
            <v>38</v>
          </cell>
          <cell r="CY129">
            <v>2</v>
          </cell>
          <cell r="CZ129">
            <v>1.5</v>
          </cell>
          <cell r="DA129">
            <v>1</v>
          </cell>
          <cell r="DB129">
            <v>390</v>
          </cell>
          <cell r="DC129">
            <v>184</v>
          </cell>
          <cell r="DD129">
            <v>102</v>
          </cell>
          <cell r="DE129">
            <v>30</v>
          </cell>
          <cell r="DF129">
            <v>45</v>
          </cell>
          <cell r="DG129">
            <v>8</v>
          </cell>
          <cell r="DH129">
            <v>4</v>
          </cell>
          <cell r="DI129">
            <v>20</v>
          </cell>
        </row>
        <row r="130">
          <cell r="A130" t="str">
            <v>RS 075</v>
          </cell>
          <cell r="B130">
            <v>75</v>
          </cell>
          <cell r="C130" t="str">
            <v>C</v>
          </cell>
          <cell r="D130" t="str">
            <v>T</v>
          </cell>
          <cell r="E130" t="str">
            <v>Namitete River Bridge - Chileka</v>
          </cell>
          <cell r="F130" t="str">
            <v>M12</v>
          </cell>
          <cell r="G130">
            <v>5</v>
          </cell>
          <cell r="H130">
            <v>4.0999999999999996</v>
          </cell>
          <cell r="I130" t="str">
            <v>R</v>
          </cell>
          <cell r="J130" t="str">
            <v>LILONGWE</v>
          </cell>
          <cell r="K130">
            <v>6</v>
          </cell>
          <cell r="L130">
            <v>0</v>
          </cell>
          <cell r="W130">
            <v>79</v>
          </cell>
          <cell r="X130" t="str">
            <v>DS</v>
          </cell>
          <cell r="Y130">
            <v>250</v>
          </cell>
          <cell r="Z130" t="str">
            <v>GR</v>
          </cell>
          <cell r="AA130">
            <v>100</v>
          </cell>
          <cell r="AB130" t="str">
            <v>GR</v>
          </cell>
          <cell r="AC130">
            <v>25</v>
          </cell>
          <cell r="AD130" t="str">
            <v>VR</v>
          </cell>
          <cell r="AE130">
            <v>91</v>
          </cell>
          <cell r="AF130" t="str">
            <v>SR</v>
          </cell>
          <cell r="AG130" t="str">
            <v>ST</v>
          </cell>
          <cell r="AH130">
            <v>10</v>
          </cell>
          <cell r="AI130">
            <v>0</v>
          </cell>
          <cell r="AJ130">
            <v>0</v>
          </cell>
          <cell r="AK130">
            <v>0</v>
          </cell>
          <cell r="AL130">
            <v>0</v>
          </cell>
          <cell r="AM130">
            <v>4</v>
          </cell>
          <cell r="AN130">
            <v>0</v>
          </cell>
          <cell r="BO130" t="str">
            <v>RS 075</v>
          </cell>
          <cell r="BP130">
            <v>4.0999999999999996</v>
          </cell>
          <cell r="BQ130">
            <v>6</v>
          </cell>
          <cell r="BR130" t="str">
            <v>R</v>
          </cell>
          <cell r="BS130" t="str">
            <v>C</v>
          </cell>
          <cell r="BT130">
            <v>0</v>
          </cell>
          <cell r="BU130" t="str">
            <v>ST</v>
          </cell>
          <cell r="BV130" t="str">
            <v>DS</v>
          </cell>
          <cell r="BW130">
            <v>4</v>
          </cell>
          <cell r="BX130">
            <v>10</v>
          </cell>
          <cell r="BY130">
            <v>15</v>
          </cell>
          <cell r="BZ130">
            <v>1</v>
          </cell>
          <cell r="CA130">
            <v>25</v>
          </cell>
          <cell r="CB130">
            <v>1.254</v>
          </cell>
          <cell r="CC130">
            <v>4.0210929844349206</v>
          </cell>
          <cell r="CD130">
            <v>60</v>
          </cell>
          <cell r="CE130">
            <v>30</v>
          </cell>
          <cell r="CF130">
            <v>15</v>
          </cell>
          <cell r="CG130">
            <v>45</v>
          </cell>
          <cell r="CH130">
            <v>15</v>
          </cell>
          <cell r="CI130">
            <v>0</v>
          </cell>
          <cell r="CJ130">
            <v>0</v>
          </cell>
          <cell r="CK130">
            <v>10</v>
          </cell>
          <cell r="CL130">
            <v>15</v>
          </cell>
          <cell r="CM130">
            <v>0.19923076923076921</v>
          </cell>
          <cell r="CN130">
            <v>0.19923076923076921</v>
          </cell>
          <cell r="CO130">
            <v>0</v>
          </cell>
          <cell r="CP130">
            <v>0</v>
          </cell>
          <cell r="CQ130">
            <v>4.2203237536656895</v>
          </cell>
          <cell r="CR130">
            <v>0</v>
          </cell>
          <cell r="CS130">
            <v>2</v>
          </cell>
          <cell r="CT130">
            <v>5</v>
          </cell>
          <cell r="CU130">
            <v>2</v>
          </cell>
          <cell r="CV130">
            <v>7</v>
          </cell>
          <cell r="CW130">
            <v>19</v>
          </cell>
          <cell r="CX130">
            <v>38</v>
          </cell>
          <cell r="CY130">
            <v>2</v>
          </cell>
          <cell r="CZ130">
            <v>3</v>
          </cell>
          <cell r="DA130">
            <v>1.3</v>
          </cell>
          <cell r="DB130">
            <v>390</v>
          </cell>
          <cell r="DC130">
            <v>184</v>
          </cell>
          <cell r="DD130">
            <v>102</v>
          </cell>
          <cell r="DE130">
            <v>30</v>
          </cell>
          <cell r="DF130">
            <v>45</v>
          </cell>
          <cell r="DG130">
            <v>8</v>
          </cell>
          <cell r="DH130">
            <v>4</v>
          </cell>
          <cell r="DI130">
            <v>20</v>
          </cell>
        </row>
        <row r="131">
          <cell r="A131" t="str">
            <v>RS 836</v>
          </cell>
          <cell r="B131" t="str">
            <v>n.a.</v>
          </cell>
          <cell r="C131" t="str">
            <v>C</v>
          </cell>
          <cell r="D131" t="str">
            <v>T</v>
          </cell>
          <cell r="E131" t="str">
            <v>Chileka - Chankhandwe</v>
          </cell>
          <cell r="F131" t="str">
            <v>M12</v>
          </cell>
          <cell r="G131">
            <v>6</v>
          </cell>
          <cell r="H131">
            <v>31.4</v>
          </cell>
          <cell r="I131" t="str">
            <v>R</v>
          </cell>
          <cell r="J131" t="str">
            <v>LILONGWE</v>
          </cell>
          <cell r="K131">
            <v>6</v>
          </cell>
          <cell r="L131" t="str">
            <v xml:space="preserve">New section part of RS 78 </v>
          </cell>
          <cell r="W131">
            <v>79</v>
          </cell>
          <cell r="X131" t="str">
            <v>DS</v>
          </cell>
          <cell r="Y131">
            <v>250</v>
          </cell>
          <cell r="Z131" t="str">
            <v>GR</v>
          </cell>
          <cell r="AA131">
            <v>100</v>
          </cell>
          <cell r="AB131" t="str">
            <v>GR</v>
          </cell>
          <cell r="AC131">
            <v>25</v>
          </cell>
          <cell r="AD131" t="str">
            <v>VR</v>
          </cell>
          <cell r="AE131">
            <v>91</v>
          </cell>
          <cell r="AF131" t="str">
            <v>SR</v>
          </cell>
          <cell r="AG131" t="str">
            <v>ST</v>
          </cell>
          <cell r="AH131">
            <v>10</v>
          </cell>
          <cell r="AI131">
            <v>0</v>
          </cell>
          <cell r="AJ131">
            <v>0</v>
          </cell>
          <cell r="AK131">
            <v>0</v>
          </cell>
          <cell r="AL131">
            <v>0</v>
          </cell>
          <cell r="AM131">
            <v>4</v>
          </cell>
          <cell r="AN131">
            <v>0</v>
          </cell>
          <cell r="BO131" t="str">
            <v>RS 836</v>
          </cell>
          <cell r="BP131">
            <v>31.4</v>
          </cell>
          <cell r="BQ131">
            <v>6</v>
          </cell>
          <cell r="BR131" t="str">
            <v>R</v>
          </cell>
          <cell r="BS131" t="str">
            <v>C</v>
          </cell>
          <cell r="BT131">
            <v>0</v>
          </cell>
          <cell r="BU131" t="str">
            <v>ST</v>
          </cell>
          <cell r="BV131" t="str">
            <v>DS</v>
          </cell>
          <cell r="BW131">
            <v>4</v>
          </cell>
          <cell r="BX131">
            <v>10</v>
          </cell>
          <cell r="BY131">
            <v>15</v>
          </cell>
          <cell r="BZ131">
            <v>1</v>
          </cell>
          <cell r="CA131">
            <v>25</v>
          </cell>
          <cell r="CB131">
            <v>1.254</v>
          </cell>
          <cell r="CC131">
            <v>2.98</v>
          </cell>
          <cell r="CD131">
            <v>28</v>
          </cell>
          <cell r="CE131">
            <v>11</v>
          </cell>
          <cell r="CF131">
            <v>0</v>
          </cell>
          <cell r="CG131">
            <v>28</v>
          </cell>
          <cell r="CH131">
            <v>11</v>
          </cell>
          <cell r="CI131">
            <v>0.3</v>
          </cell>
          <cell r="CJ131">
            <v>1E-3</v>
          </cell>
          <cell r="CK131">
            <v>1E-3</v>
          </cell>
          <cell r="CL131">
            <v>0</v>
          </cell>
          <cell r="CM131">
            <v>3.876923076923077E-4</v>
          </cell>
          <cell r="CN131">
            <v>3.876923076923077E-4</v>
          </cell>
          <cell r="CO131">
            <v>0</v>
          </cell>
          <cell r="CP131">
            <v>0</v>
          </cell>
          <cell r="CQ131">
            <v>2.9803876923076924</v>
          </cell>
          <cell r="CR131">
            <v>0</v>
          </cell>
          <cell r="CS131">
            <v>1</v>
          </cell>
          <cell r="CT131">
            <v>0</v>
          </cell>
          <cell r="CU131">
            <v>0</v>
          </cell>
          <cell r="CV131">
            <v>7</v>
          </cell>
          <cell r="CW131">
            <v>19</v>
          </cell>
          <cell r="CX131">
            <v>38</v>
          </cell>
          <cell r="CY131">
            <v>2.5</v>
          </cell>
          <cell r="CZ131">
            <v>1.5</v>
          </cell>
          <cell r="DA131">
            <v>1</v>
          </cell>
          <cell r="DB131">
            <v>500</v>
          </cell>
          <cell r="DC131">
            <v>235</v>
          </cell>
          <cell r="DD131">
            <v>130</v>
          </cell>
          <cell r="DE131">
            <v>38</v>
          </cell>
          <cell r="DF131">
            <v>58</v>
          </cell>
          <cell r="DG131">
            <v>10</v>
          </cell>
          <cell r="DH131">
            <v>5</v>
          </cell>
          <cell r="DI131">
            <v>25</v>
          </cell>
        </row>
        <row r="132">
          <cell r="A132" t="str">
            <v>RS 074</v>
          </cell>
          <cell r="B132">
            <v>74</v>
          </cell>
          <cell r="C132" t="str">
            <v>C</v>
          </cell>
          <cell r="D132" t="str">
            <v>T</v>
          </cell>
          <cell r="E132" t="str">
            <v>Chankhandwe - Njewa</v>
          </cell>
          <cell r="F132" t="str">
            <v>M12</v>
          </cell>
          <cell r="G132">
            <v>7</v>
          </cell>
          <cell r="H132">
            <v>11.3</v>
          </cell>
          <cell r="I132" t="str">
            <v>R</v>
          </cell>
          <cell r="J132" t="str">
            <v>LILONGWE</v>
          </cell>
          <cell r="K132">
            <v>6</v>
          </cell>
          <cell r="L132">
            <v>0</v>
          </cell>
          <cell r="W132">
            <v>79</v>
          </cell>
          <cell r="X132" t="str">
            <v>DS</v>
          </cell>
          <cell r="Y132">
            <v>250</v>
          </cell>
          <cell r="Z132" t="str">
            <v>GR</v>
          </cell>
          <cell r="AA132">
            <v>100</v>
          </cell>
          <cell r="AB132" t="str">
            <v>GR</v>
          </cell>
          <cell r="AC132">
            <v>25</v>
          </cell>
          <cell r="AD132" t="str">
            <v>VR</v>
          </cell>
          <cell r="AE132">
            <v>91</v>
          </cell>
          <cell r="AF132" t="str">
            <v>SR</v>
          </cell>
          <cell r="AG132" t="str">
            <v>ST</v>
          </cell>
          <cell r="AH132">
            <v>10</v>
          </cell>
          <cell r="AI132">
            <v>0</v>
          </cell>
          <cell r="AJ132">
            <v>0</v>
          </cell>
          <cell r="AK132">
            <v>0</v>
          </cell>
          <cell r="AL132">
            <v>0</v>
          </cell>
          <cell r="AM132">
            <v>4</v>
          </cell>
          <cell r="AN132">
            <v>0</v>
          </cell>
          <cell r="BO132" t="str">
            <v>RS 074</v>
          </cell>
          <cell r="BP132">
            <v>11.3</v>
          </cell>
          <cell r="BQ132">
            <v>6</v>
          </cell>
          <cell r="BR132" t="str">
            <v>R</v>
          </cell>
          <cell r="BS132" t="str">
            <v>C</v>
          </cell>
          <cell r="BT132">
            <v>0</v>
          </cell>
          <cell r="BU132" t="str">
            <v>ST</v>
          </cell>
          <cell r="BV132" t="str">
            <v>DS</v>
          </cell>
          <cell r="BW132">
            <v>4</v>
          </cell>
          <cell r="BX132">
            <v>10</v>
          </cell>
          <cell r="BY132">
            <v>15</v>
          </cell>
          <cell r="BZ132">
            <v>1</v>
          </cell>
          <cell r="CA132">
            <v>25</v>
          </cell>
          <cell r="CB132">
            <v>1.254</v>
          </cell>
          <cell r="CC132">
            <v>2.5701163989307867</v>
          </cell>
          <cell r="CD132">
            <v>0</v>
          </cell>
          <cell r="CE132">
            <v>0</v>
          </cell>
          <cell r="CF132">
            <v>0</v>
          </cell>
          <cell r="CG132">
            <v>0</v>
          </cell>
          <cell r="CH132">
            <v>0</v>
          </cell>
          <cell r="CI132">
            <v>0</v>
          </cell>
          <cell r="CJ132">
            <v>0</v>
          </cell>
          <cell r="CK132">
            <v>0</v>
          </cell>
          <cell r="CL132">
            <v>0</v>
          </cell>
          <cell r="CM132">
            <v>0</v>
          </cell>
          <cell r="CN132">
            <v>0</v>
          </cell>
          <cell r="CO132">
            <v>0</v>
          </cell>
          <cell r="CP132">
            <v>0</v>
          </cell>
          <cell r="CQ132">
            <v>2.5701163989307867</v>
          </cell>
          <cell r="CR132">
            <v>0</v>
          </cell>
          <cell r="CS132">
            <v>1</v>
          </cell>
          <cell r="CT132">
            <v>0</v>
          </cell>
          <cell r="CU132">
            <v>0</v>
          </cell>
          <cell r="CV132">
            <v>7</v>
          </cell>
          <cell r="CW132">
            <v>19</v>
          </cell>
          <cell r="CX132">
            <v>38</v>
          </cell>
          <cell r="CY132">
            <v>1.5</v>
          </cell>
          <cell r="CZ132">
            <v>1</v>
          </cell>
          <cell r="DA132">
            <v>1</v>
          </cell>
          <cell r="DB132">
            <v>700</v>
          </cell>
          <cell r="DC132">
            <v>329</v>
          </cell>
          <cell r="DD132">
            <v>182</v>
          </cell>
          <cell r="DE132">
            <v>53</v>
          </cell>
          <cell r="DF132">
            <v>81</v>
          </cell>
          <cell r="DG132">
            <v>14</v>
          </cell>
          <cell r="DH132">
            <v>7</v>
          </cell>
          <cell r="DI132">
            <v>35</v>
          </cell>
        </row>
        <row r="133">
          <cell r="A133" t="str">
            <v>RS 082</v>
          </cell>
          <cell r="B133">
            <v>82</v>
          </cell>
          <cell r="C133" t="str">
            <v>C</v>
          </cell>
          <cell r="D133" t="str">
            <v>T</v>
          </cell>
          <cell r="E133" t="str">
            <v xml:space="preserve">Alimaunde (junction M1) - Lumbadzi River </v>
          </cell>
          <cell r="F133" t="str">
            <v>M14</v>
          </cell>
          <cell r="G133">
            <v>1</v>
          </cell>
          <cell r="H133">
            <v>25</v>
          </cell>
          <cell r="I133" t="str">
            <v>F</v>
          </cell>
          <cell r="J133" t="str">
            <v>LILONGWE</v>
          </cell>
          <cell r="K133">
            <v>6</v>
          </cell>
          <cell r="L133">
            <v>0</v>
          </cell>
          <cell r="W133">
            <v>92</v>
          </cell>
          <cell r="X133" t="str">
            <v>DS</v>
          </cell>
          <cell r="Y133">
            <v>150</v>
          </cell>
          <cell r="Z133" t="str">
            <v>SB</v>
          </cell>
          <cell r="AA133">
            <v>150</v>
          </cell>
          <cell r="AB133" t="str">
            <v>SB</v>
          </cell>
          <cell r="AC133">
            <v>7</v>
          </cell>
          <cell r="AD133" t="str">
            <v>VR</v>
          </cell>
          <cell r="AE133">
            <v>0</v>
          </cell>
          <cell r="AF133">
            <v>0</v>
          </cell>
          <cell r="AG133">
            <v>0</v>
          </cell>
          <cell r="AH133">
            <v>0</v>
          </cell>
          <cell r="AI133">
            <v>0</v>
          </cell>
          <cell r="AJ133">
            <v>0</v>
          </cell>
          <cell r="AK133">
            <v>0</v>
          </cell>
          <cell r="AL133">
            <v>0</v>
          </cell>
          <cell r="AM133">
            <v>1</v>
          </cell>
          <cell r="AN133" t="str">
            <v>never resealed</v>
          </cell>
          <cell r="BO133" t="str">
            <v>RS 082</v>
          </cell>
          <cell r="BP133">
            <v>25</v>
          </cell>
          <cell r="BQ133">
            <v>6.7</v>
          </cell>
          <cell r="BR133" t="str">
            <v>F</v>
          </cell>
          <cell r="BS133" t="str">
            <v>C</v>
          </cell>
          <cell r="BT133">
            <v>0</v>
          </cell>
          <cell r="BU133" t="str">
            <v>DS</v>
          </cell>
          <cell r="BV133" t="str">
            <v/>
          </cell>
          <cell r="BW133">
            <v>1</v>
          </cell>
          <cell r="BX133">
            <v>15</v>
          </cell>
          <cell r="BY133" t="str">
            <v/>
          </cell>
          <cell r="BZ133">
            <v>1</v>
          </cell>
          <cell r="CA133">
            <v>7</v>
          </cell>
          <cell r="CB133">
            <v>1.677</v>
          </cell>
          <cell r="CC133">
            <v>3.56</v>
          </cell>
          <cell r="CD133">
            <v>6</v>
          </cell>
          <cell r="CE133">
            <v>0.05</v>
          </cell>
          <cell r="CF133">
            <v>0</v>
          </cell>
          <cell r="CG133">
            <v>6</v>
          </cell>
          <cell r="CH133">
            <v>0.05</v>
          </cell>
          <cell r="CI133">
            <v>0.5</v>
          </cell>
          <cell r="CJ133">
            <v>1.4925373134328358E-3</v>
          </cell>
          <cell r="CK133">
            <v>1.4925373134328358E-3</v>
          </cell>
          <cell r="CL133">
            <v>0</v>
          </cell>
          <cell r="CM133">
            <v>5.7864523536165326E-4</v>
          </cell>
          <cell r="CN133">
            <v>5.7864523536165326E-4</v>
          </cell>
          <cell r="CO133">
            <v>0</v>
          </cell>
          <cell r="CP133">
            <v>0</v>
          </cell>
          <cell r="CQ133">
            <v>3.5605786452353616</v>
          </cell>
          <cell r="CR133">
            <v>0</v>
          </cell>
          <cell r="CS133">
            <v>1</v>
          </cell>
          <cell r="CT133">
            <v>0</v>
          </cell>
          <cell r="CU133">
            <v>0</v>
          </cell>
          <cell r="CV133">
            <v>6</v>
          </cell>
          <cell r="CW133">
            <v>6</v>
          </cell>
          <cell r="CX133" t="str">
            <v/>
          </cell>
          <cell r="CY133">
            <v>1.8</v>
          </cell>
          <cell r="CZ133">
            <v>1.2</v>
          </cell>
          <cell r="DA133">
            <v>1.2</v>
          </cell>
          <cell r="DB133">
            <v>500</v>
          </cell>
          <cell r="DC133">
            <v>235</v>
          </cell>
          <cell r="DD133">
            <v>130</v>
          </cell>
          <cell r="DE133">
            <v>38</v>
          </cell>
          <cell r="DF133">
            <v>58</v>
          </cell>
          <cell r="DG133">
            <v>10</v>
          </cell>
          <cell r="DH133">
            <v>5</v>
          </cell>
          <cell r="DI133">
            <v>25</v>
          </cell>
        </row>
        <row r="134">
          <cell r="A134" t="str">
            <v>RS 081</v>
          </cell>
          <cell r="B134">
            <v>81</v>
          </cell>
          <cell r="C134" t="str">
            <v>C</v>
          </cell>
          <cell r="D134" t="str">
            <v>T</v>
          </cell>
          <cell r="E134" t="str">
            <v>Lumbadzi River Bridge - Chezi</v>
          </cell>
          <cell r="F134" t="str">
            <v>M14</v>
          </cell>
          <cell r="G134">
            <v>2</v>
          </cell>
          <cell r="H134">
            <v>10.9</v>
          </cell>
          <cell r="I134" t="str">
            <v>F</v>
          </cell>
          <cell r="J134" t="str">
            <v>LILONGWE</v>
          </cell>
          <cell r="K134">
            <v>6</v>
          </cell>
          <cell r="L134">
            <v>0</v>
          </cell>
          <cell r="W134">
            <v>92</v>
          </cell>
          <cell r="X134" t="str">
            <v>DS</v>
          </cell>
          <cell r="Y134">
            <v>150</v>
          </cell>
          <cell r="Z134" t="str">
            <v>SB</v>
          </cell>
          <cell r="AA134">
            <v>150</v>
          </cell>
          <cell r="AB134" t="str">
            <v>SB</v>
          </cell>
          <cell r="AC134">
            <v>7</v>
          </cell>
          <cell r="AD134" t="str">
            <v>VR</v>
          </cell>
          <cell r="AE134">
            <v>0</v>
          </cell>
          <cell r="AF134">
            <v>0</v>
          </cell>
          <cell r="AG134">
            <v>0</v>
          </cell>
          <cell r="AH134">
            <v>0</v>
          </cell>
          <cell r="AI134">
            <v>0</v>
          </cell>
          <cell r="AJ134">
            <v>0</v>
          </cell>
          <cell r="AK134">
            <v>0</v>
          </cell>
          <cell r="AL134">
            <v>0</v>
          </cell>
          <cell r="AM134">
            <v>1</v>
          </cell>
          <cell r="AN134" t="str">
            <v>never resealed</v>
          </cell>
          <cell r="BO134" t="str">
            <v>RS 081</v>
          </cell>
          <cell r="BP134">
            <v>10.9</v>
          </cell>
          <cell r="BQ134">
            <v>6.7</v>
          </cell>
          <cell r="BR134" t="str">
            <v>F</v>
          </cell>
          <cell r="BS134" t="str">
            <v>C</v>
          </cell>
          <cell r="BT134">
            <v>0</v>
          </cell>
          <cell r="BU134" t="str">
            <v>DS</v>
          </cell>
          <cell r="BV134" t="str">
            <v/>
          </cell>
          <cell r="BW134">
            <v>1</v>
          </cell>
          <cell r="BX134">
            <v>15</v>
          </cell>
          <cell r="BY134" t="str">
            <v/>
          </cell>
          <cell r="BZ134">
            <v>1</v>
          </cell>
          <cell r="CA134">
            <v>7</v>
          </cell>
          <cell r="CB134">
            <v>1.677</v>
          </cell>
          <cell r="CC134">
            <v>4.25</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4.25</v>
          </cell>
          <cell r="CR134">
            <v>0</v>
          </cell>
          <cell r="CS134">
            <v>1</v>
          </cell>
          <cell r="CT134">
            <v>0</v>
          </cell>
          <cell r="CU134">
            <v>0</v>
          </cell>
          <cell r="CV134">
            <v>6</v>
          </cell>
          <cell r="CW134">
            <v>6</v>
          </cell>
          <cell r="CX134" t="str">
            <v/>
          </cell>
          <cell r="CY134">
            <v>1.2</v>
          </cell>
          <cell r="CZ134">
            <v>1.1000000000000001</v>
          </cell>
          <cell r="DA134">
            <v>1.2</v>
          </cell>
          <cell r="DB134">
            <v>400</v>
          </cell>
          <cell r="DC134">
            <v>188</v>
          </cell>
          <cell r="DD134">
            <v>104</v>
          </cell>
          <cell r="DE134">
            <v>30</v>
          </cell>
          <cell r="DF134">
            <v>46</v>
          </cell>
          <cell r="DG134">
            <v>8</v>
          </cell>
          <cell r="DH134">
            <v>4</v>
          </cell>
          <cell r="DI134">
            <v>20</v>
          </cell>
        </row>
        <row r="135">
          <cell r="A135" t="str">
            <v>RS 084</v>
          </cell>
          <cell r="B135">
            <v>84</v>
          </cell>
          <cell r="C135" t="str">
            <v>C</v>
          </cell>
          <cell r="D135" t="str">
            <v>T</v>
          </cell>
          <cell r="E135" t="str">
            <v>Chezi - Kachinchezo</v>
          </cell>
          <cell r="F135" t="str">
            <v>M14</v>
          </cell>
          <cell r="G135">
            <v>3</v>
          </cell>
          <cell r="H135">
            <v>9.6</v>
          </cell>
          <cell r="I135" t="str">
            <v>R</v>
          </cell>
          <cell r="J135" t="str">
            <v>DOWA</v>
          </cell>
          <cell r="K135">
            <v>6</v>
          </cell>
          <cell r="L135">
            <v>0</v>
          </cell>
          <cell r="W135">
            <v>92</v>
          </cell>
          <cell r="X135" t="str">
            <v>DS</v>
          </cell>
          <cell r="Y135">
            <v>150</v>
          </cell>
          <cell r="Z135" t="str">
            <v>SB</v>
          </cell>
          <cell r="AA135">
            <v>150</v>
          </cell>
          <cell r="AB135" t="str">
            <v>SB</v>
          </cell>
          <cell r="AC135">
            <v>7</v>
          </cell>
          <cell r="AD135" t="str">
            <v>VR</v>
          </cell>
          <cell r="AE135">
            <v>0</v>
          </cell>
          <cell r="AF135">
            <v>0</v>
          </cell>
          <cell r="AG135">
            <v>0</v>
          </cell>
          <cell r="AH135">
            <v>0</v>
          </cell>
          <cell r="AI135">
            <v>0</v>
          </cell>
          <cell r="AJ135">
            <v>0</v>
          </cell>
          <cell r="AK135">
            <v>0</v>
          </cell>
          <cell r="AL135">
            <v>0</v>
          </cell>
          <cell r="AM135">
            <v>1</v>
          </cell>
          <cell r="AN135" t="str">
            <v>never resealed</v>
          </cell>
          <cell r="BO135" t="str">
            <v>RS 084</v>
          </cell>
          <cell r="BP135">
            <v>9.6</v>
          </cell>
          <cell r="BQ135">
            <v>6.7</v>
          </cell>
          <cell r="BR135" t="str">
            <v>R</v>
          </cell>
          <cell r="BS135" t="str">
            <v>C</v>
          </cell>
          <cell r="BT135">
            <v>0</v>
          </cell>
          <cell r="BU135" t="str">
            <v>DS</v>
          </cell>
          <cell r="BV135" t="str">
            <v/>
          </cell>
          <cell r="BW135">
            <v>1</v>
          </cell>
          <cell r="BX135">
            <v>15</v>
          </cell>
          <cell r="BY135" t="str">
            <v/>
          </cell>
          <cell r="BZ135">
            <v>1</v>
          </cell>
          <cell r="CA135">
            <v>7</v>
          </cell>
          <cell r="CB135">
            <v>1.677</v>
          </cell>
          <cell r="CC135">
            <v>3.66</v>
          </cell>
          <cell r="CD135">
            <v>0</v>
          </cell>
          <cell r="CE135">
            <v>0</v>
          </cell>
          <cell r="CF135">
            <v>0</v>
          </cell>
          <cell r="CG135">
            <v>0</v>
          </cell>
          <cell r="CH135">
            <v>0</v>
          </cell>
          <cell r="CI135">
            <v>0.1</v>
          </cell>
          <cell r="CJ135">
            <v>2.9850746268656722E-4</v>
          </cell>
          <cell r="CK135">
            <v>2.9850746268656722E-4</v>
          </cell>
          <cell r="CL135">
            <v>0</v>
          </cell>
          <cell r="CM135">
            <v>1.1572904707233067E-4</v>
          </cell>
          <cell r="CN135">
            <v>1.1572904707233067E-4</v>
          </cell>
          <cell r="CO135">
            <v>0</v>
          </cell>
          <cell r="CP135">
            <v>0</v>
          </cell>
          <cell r="CQ135">
            <v>3.6601157290470723</v>
          </cell>
          <cell r="CR135">
            <v>0</v>
          </cell>
          <cell r="CS135">
            <v>1</v>
          </cell>
          <cell r="CT135">
            <v>0</v>
          </cell>
          <cell r="CU135">
            <v>0</v>
          </cell>
          <cell r="CV135">
            <v>6</v>
          </cell>
          <cell r="CW135">
            <v>6</v>
          </cell>
          <cell r="CX135" t="str">
            <v/>
          </cell>
          <cell r="CY135">
            <v>1.1000000000000001</v>
          </cell>
          <cell r="CZ135">
            <v>1.1000000000000001</v>
          </cell>
          <cell r="DA135">
            <v>1.1000000000000001</v>
          </cell>
          <cell r="DB135">
            <v>300</v>
          </cell>
          <cell r="DC135">
            <v>141</v>
          </cell>
          <cell r="DD135">
            <v>78</v>
          </cell>
          <cell r="DE135">
            <v>23</v>
          </cell>
          <cell r="DF135">
            <v>35</v>
          </cell>
          <cell r="DG135">
            <v>6</v>
          </cell>
          <cell r="DH135">
            <v>3</v>
          </cell>
          <cell r="DI135">
            <v>15</v>
          </cell>
        </row>
        <row r="136">
          <cell r="A136" t="str">
            <v>RS 216</v>
          </cell>
          <cell r="B136">
            <v>38</v>
          </cell>
          <cell r="C136" t="str">
            <v>C</v>
          </cell>
          <cell r="D136" t="str">
            <v>T</v>
          </cell>
          <cell r="E136" t="str">
            <v>Kachinchezo - Kanyenyeva</v>
          </cell>
          <cell r="F136" t="str">
            <v>M14</v>
          </cell>
          <cell r="G136">
            <v>4</v>
          </cell>
          <cell r="H136">
            <v>10.8</v>
          </cell>
          <cell r="I136" t="str">
            <v>R</v>
          </cell>
          <cell r="J136" t="str">
            <v>DOWA</v>
          </cell>
          <cell r="K136">
            <v>6</v>
          </cell>
          <cell r="L136" t="str">
            <v>Changed designation from M16 to M14</v>
          </cell>
          <cell r="W136">
            <v>92</v>
          </cell>
          <cell r="X136" t="str">
            <v>DS</v>
          </cell>
          <cell r="Y136">
            <v>150</v>
          </cell>
          <cell r="Z136" t="str">
            <v>SB</v>
          </cell>
          <cell r="AA136">
            <v>150</v>
          </cell>
          <cell r="AB136" t="str">
            <v>SB</v>
          </cell>
          <cell r="AC136">
            <v>7</v>
          </cell>
          <cell r="AD136" t="str">
            <v>VR</v>
          </cell>
          <cell r="AE136">
            <v>0</v>
          </cell>
          <cell r="AF136">
            <v>0</v>
          </cell>
          <cell r="AG136">
            <v>0</v>
          </cell>
          <cell r="AH136">
            <v>0</v>
          </cell>
          <cell r="AI136">
            <v>0</v>
          </cell>
          <cell r="AJ136">
            <v>0</v>
          </cell>
          <cell r="AK136">
            <v>0</v>
          </cell>
          <cell r="AL136">
            <v>0</v>
          </cell>
          <cell r="AM136">
            <v>1</v>
          </cell>
          <cell r="AN136" t="str">
            <v>never resealed</v>
          </cell>
          <cell r="BO136" t="str">
            <v>RS 216</v>
          </cell>
          <cell r="BP136">
            <v>10.8</v>
          </cell>
          <cell r="BQ136">
            <v>6.7</v>
          </cell>
          <cell r="BR136" t="str">
            <v>R</v>
          </cell>
          <cell r="BS136" t="str">
            <v>C</v>
          </cell>
          <cell r="BT136">
            <v>0</v>
          </cell>
          <cell r="BU136" t="str">
            <v>DS</v>
          </cell>
          <cell r="BV136" t="str">
            <v/>
          </cell>
          <cell r="BW136">
            <v>1</v>
          </cell>
          <cell r="BX136">
            <v>15</v>
          </cell>
          <cell r="BY136" t="str">
            <v/>
          </cell>
          <cell r="BZ136">
            <v>1</v>
          </cell>
          <cell r="CA136">
            <v>7</v>
          </cell>
          <cell r="CB136">
            <v>1.677</v>
          </cell>
          <cell r="CC136">
            <v>3.81</v>
          </cell>
          <cell r="CD136">
            <v>0</v>
          </cell>
          <cell r="CE136">
            <v>0</v>
          </cell>
          <cell r="CF136">
            <v>0</v>
          </cell>
          <cell r="CG136">
            <v>0</v>
          </cell>
          <cell r="CH136">
            <v>0</v>
          </cell>
          <cell r="CI136">
            <v>0.1</v>
          </cell>
          <cell r="CJ136">
            <v>2.9850746268656722E-4</v>
          </cell>
          <cell r="CK136">
            <v>2.9850746268656722E-4</v>
          </cell>
          <cell r="CL136">
            <v>0</v>
          </cell>
          <cell r="CM136">
            <v>1.1572904707233067E-4</v>
          </cell>
          <cell r="CN136">
            <v>1.1572904707233067E-4</v>
          </cell>
          <cell r="CO136">
            <v>0</v>
          </cell>
          <cell r="CP136">
            <v>0</v>
          </cell>
          <cell r="CQ136">
            <v>3.8101157290470722</v>
          </cell>
          <cell r="CR136">
            <v>0</v>
          </cell>
          <cell r="CS136">
            <v>1</v>
          </cell>
          <cell r="CT136">
            <v>0</v>
          </cell>
          <cell r="CU136">
            <v>0</v>
          </cell>
          <cell r="CV136">
            <v>6</v>
          </cell>
          <cell r="CW136">
            <v>6</v>
          </cell>
          <cell r="CX136" t="str">
            <v/>
          </cell>
          <cell r="CY136">
            <v>1.1000000000000001</v>
          </cell>
          <cell r="CZ136">
            <v>1.1000000000000001</v>
          </cell>
          <cell r="DA136">
            <v>1.1000000000000001</v>
          </cell>
          <cell r="DB136">
            <v>300</v>
          </cell>
          <cell r="DC136">
            <v>141</v>
          </cell>
          <cell r="DD136">
            <v>78</v>
          </cell>
          <cell r="DE136">
            <v>23</v>
          </cell>
          <cell r="DF136">
            <v>35</v>
          </cell>
          <cell r="DG136">
            <v>6</v>
          </cell>
          <cell r="DH136">
            <v>3</v>
          </cell>
          <cell r="DI136">
            <v>15</v>
          </cell>
        </row>
        <row r="137">
          <cell r="A137" t="str">
            <v>RS 221</v>
          </cell>
          <cell r="B137">
            <v>43</v>
          </cell>
          <cell r="C137" t="str">
            <v>C</v>
          </cell>
          <cell r="D137" t="str">
            <v>T</v>
          </cell>
          <cell r="E137" t="str">
            <v>Kanyenyeva - Chembe Railroad Bridge</v>
          </cell>
          <cell r="F137" t="str">
            <v>M14</v>
          </cell>
          <cell r="G137">
            <v>5</v>
          </cell>
          <cell r="H137">
            <v>1.8</v>
          </cell>
          <cell r="I137" t="str">
            <v>R</v>
          </cell>
          <cell r="J137" t="str">
            <v>DOWA</v>
          </cell>
          <cell r="K137">
            <v>6</v>
          </cell>
          <cell r="L137" t="str">
            <v xml:space="preserve">Changed designation from M16 to M14 </v>
          </cell>
          <cell r="W137">
            <v>92</v>
          </cell>
          <cell r="X137" t="str">
            <v>DS</v>
          </cell>
          <cell r="Y137">
            <v>150</v>
          </cell>
          <cell r="Z137" t="str">
            <v>SB</v>
          </cell>
          <cell r="AA137">
            <v>150</v>
          </cell>
          <cell r="AB137" t="str">
            <v>SB</v>
          </cell>
          <cell r="AC137">
            <v>7</v>
          </cell>
          <cell r="AD137" t="str">
            <v>VR</v>
          </cell>
          <cell r="AE137">
            <v>0</v>
          </cell>
          <cell r="AF137">
            <v>0</v>
          </cell>
          <cell r="AG137">
            <v>0</v>
          </cell>
          <cell r="AH137">
            <v>0</v>
          </cell>
          <cell r="AI137">
            <v>0</v>
          </cell>
          <cell r="AJ137">
            <v>0</v>
          </cell>
          <cell r="AK137">
            <v>0</v>
          </cell>
          <cell r="AL137">
            <v>0</v>
          </cell>
          <cell r="AM137">
            <v>1</v>
          </cell>
          <cell r="AN137" t="str">
            <v>never resealed</v>
          </cell>
          <cell r="BO137" t="str">
            <v>RS 221</v>
          </cell>
          <cell r="BP137">
            <v>1.8</v>
          </cell>
          <cell r="BQ137">
            <v>8</v>
          </cell>
          <cell r="BR137" t="str">
            <v>R</v>
          </cell>
          <cell r="BS137" t="str">
            <v>C</v>
          </cell>
          <cell r="BT137">
            <v>1</v>
          </cell>
          <cell r="BU137" t="str">
            <v>DS</v>
          </cell>
          <cell r="BV137" t="str">
            <v/>
          </cell>
          <cell r="BW137">
            <v>1</v>
          </cell>
          <cell r="BX137">
            <v>15</v>
          </cell>
          <cell r="BY137" t="str">
            <v/>
          </cell>
          <cell r="BZ137">
            <v>1</v>
          </cell>
          <cell r="CA137">
            <v>7</v>
          </cell>
          <cell r="CB137">
            <v>1.677</v>
          </cell>
          <cell r="CC137">
            <v>3.8</v>
          </cell>
          <cell r="CD137">
            <v>0</v>
          </cell>
          <cell r="CE137">
            <v>0</v>
          </cell>
          <cell r="CF137">
            <v>0</v>
          </cell>
          <cell r="CG137">
            <v>0</v>
          </cell>
          <cell r="CH137">
            <v>0</v>
          </cell>
          <cell r="CI137">
            <v>0.15</v>
          </cell>
          <cell r="CJ137">
            <v>3.7499999999999995E-4</v>
          </cell>
          <cell r="CK137">
            <v>3.7499999999999995E-4</v>
          </cell>
          <cell r="CL137">
            <v>0</v>
          </cell>
          <cell r="CM137">
            <v>1.4538461538461537E-4</v>
          </cell>
          <cell r="CN137">
            <v>1.4538461538461537E-4</v>
          </cell>
          <cell r="CO137">
            <v>0</v>
          </cell>
          <cell r="CP137">
            <v>0</v>
          </cell>
          <cell r="CQ137">
            <v>3.8001453846153845</v>
          </cell>
          <cell r="CR137">
            <v>0</v>
          </cell>
          <cell r="CS137">
            <v>1</v>
          </cell>
          <cell r="CT137">
            <v>0</v>
          </cell>
          <cell r="CU137">
            <v>0</v>
          </cell>
          <cell r="CV137">
            <v>6</v>
          </cell>
          <cell r="CW137">
            <v>6</v>
          </cell>
          <cell r="CX137" t="str">
            <v/>
          </cell>
          <cell r="CY137">
            <v>1.1000000000000001</v>
          </cell>
          <cell r="CZ137">
            <v>1.1000000000000001</v>
          </cell>
          <cell r="DA137">
            <v>1.1000000000000001</v>
          </cell>
          <cell r="DB137">
            <v>300</v>
          </cell>
          <cell r="DC137">
            <v>141</v>
          </cell>
          <cell r="DD137">
            <v>78</v>
          </cell>
          <cell r="DE137">
            <v>23</v>
          </cell>
          <cell r="DF137">
            <v>35</v>
          </cell>
          <cell r="DG137">
            <v>6</v>
          </cell>
          <cell r="DH137">
            <v>3</v>
          </cell>
          <cell r="DI137">
            <v>15</v>
          </cell>
        </row>
        <row r="138">
          <cell r="A138" t="str">
            <v>RS 060</v>
          </cell>
          <cell r="B138">
            <v>60</v>
          </cell>
          <cell r="C138" t="str">
            <v>C</v>
          </cell>
          <cell r="D138" t="str">
            <v>T</v>
          </cell>
          <cell r="E138" t="str">
            <v>Chembe Railroad Bridge - Makande</v>
          </cell>
          <cell r="F138" t="str">
            <v>M14</v>
          </cell>
          <cell r="G138">
            <v>6</v>
          </cell>
          <cell r="H138">
            <v>6.8</v>
          </cell>
          <cell r="I138" t="str">
            <v>F</v>
          </cell>
          <cell r="J138" t="str">
            <v>SALIMA</v>
          </cell>
          <cell r="K138">
            <v>6</v>
          </cell>
          <cell r="L138" t="str">
            <v>Changed designation from M5 to M14</v>
          </cell>
          <cell r="W138">
            <v>92</v>
          </cell>
          <cell r="X138" t="str">
            <v>DS</v>
          </cell>
          <cell r="Y138">
            <v>150</v>
          </cell>
          <cell r="Z138" t="str">
            <v>SB</v>
          </cell>
          <cell r="AA138">
            <v>150</v>
          </cell>
          <cell r="AB138" t="str">
            <v>SB</v>
          </cell>
          <cell r="AC138">
            <v>7</v>
          </cell>
          <cell r="AD138" t="str">
            <v>VR</v>
          </cell>
          <cell r="AE138">
            <v>0</v>
          </cell>
          <cell r="AF138">
            <v>0</v>
          </cell>
          <cell r="AG138">
            <v>0</v>
          </cell>
          <cell r="AH138">
            <v>0</v>
          </cell>
          <cell r="AI138">
            <v>0</v>
          </cell>
          <cell r="AJ138">
            <v>0</v>
          </cell>
          <cell r="AK138">
            <v>0</v>
          </cell>
          <cell r="AL138">
            <v>0</v>
          </cell>
          <cell r="AM138">
            <v>1</v>
          </cell>
          <cell r="AN138" t="str">
            <v>never resealed</v>
          </cell>
          <cell r="BO138" t="str">
            <v>RS 060</v>
          </cell>
          <cell r="BP138">
            <v>6.8</v>
          </cell>
          <cell r="BQ138">
            <v>6.7</v>
          </cell>
          <cell r="BR138" t="str">
            <v>F</v>
          </cell>
          <cell r="BS138" t="str">
            <v>C</v>
          </cell>
          <cell r="BT138">
            <v>0</v>
          </cell>
          <cell r="BU138" t="str">
            <v>DS</v>
          </cell>
          <cell r="BV138" t="str">
            <v/>
          </cell>
          <cell r="BW138">
            <v>1</v>
          </cell>
          <cell r="BX138">
            <v>15</v>
          </cell>
          <cell r="BY138" t="str">
            <v/>
          </cell>
          <cell r="BZ138">
            <v>1</v>
          </cell>
          <cell r="CA138">
            <v>7</v>
          </cell>
          <cell r="CB138">
            <v>1.677</v>
          </cell>
          <cell r="CC138">
            <v>4.38</v>
          </cell>
          <cell r="CD138">
            <v>0</v>
          </cell>
          <cell r="CE138">
            <v>0</v>
          </cell>
          <cell r="CF138">
            <v>0</v>
          </cell>
          <cell r="CG138">
            <v>0</v>
          </cell>
          <cell r="CH138">
            <v>0</v>
          </cell>
          <cell r="CI138">
            <v>0.2</v>
          </cell>
          <cell r="CJ138">
            <v>5.9701492537313444E-4</v>
          </cell>
          <cell r="CK138">
            <v>5.9701492537313444E-4</v>
          </cell>
          <cell r="CL138">
            <v>0</v>
          </cell>
          <cell r="CM138">
            <v>2.3145809414466134E-4</v>
          </cell>
          <cell r="CN138">
            <v>2.3145809414466134E-4</v>
          </cell>
          <cell r="CO138">
            <v>0</v>
          </cell>
          <cell r="CP138">
            <v>0</v>
          </cell>
          <cell r="CQ138">
            <v>4.3802314580941442</v>
          </cell>
          <cell r="CR138">
            <v>0</v>
          </cell>
          <cell r="CS138">
            <v>1</v>
          </cell>
          <cell r="CT138">
            <v>0</v>
          </cell>
          <cell r="CU138">
            <v>0</v>
          </cell>
          <cell r="CV138">
            <v>6</v>
          </cell>
          <cell r="CW138">
            <v>6</v>
          </cell>
          <cell r="CX138" t="str">
            <v/>
          </cell>
          <cell r="CY138">
            <v>1.1000000000000001</v>
          </cell>
          <cell r="CZ138">
            <v>1.1000000000000001</v>
          </cell>
          <cell r="DA138">
            <v>1.1000000000000001</v>
          </cell>
          <cell r="DB138">
            <v>300</v>
          </cell>
          <cell r="DC138">
            <v>141</v>
          </cell>
          <cell r="DD138">
            <v>78</v>
          </cell>
          <cell r="DE138">
            <v>23</v>
          </cell>
          <cell r="DF138">
            <v>35</v>
          </cell>
          <cell r="DG138">
            <v>6</v>
          </cell>
          <cell r="DH138">
            <v>3</v>
          </cell>
          <cell r="DI138">
            <v>15</v>
          </cell>
        </row>
        <row r="139">
          <cell r="A139" t="str">
            <v>RS 045</v>
          </cell>
          <cell r="B139">
            <v>45</v>
          </cell>
          <cell r="C139" t="str">
            <v>C</v>
          </cell>
          <cell r="D139" t="str">
            <v>T</v>
          </cell>
          <cell r="E139" t="str">
            <v>Makande - Kaphatenga</v>
          </cell>
          <cell r="F139" t="str">
            <v>M14</v>
          </cell>
          <cell r="G139">
            <v>7</v>
          </cell>
          <cell r="H139">
            <v>4.5999999999999996</v>
          </cell>
          <cell r="I139" t="str">
            <v>F</v>
          </cell>
          <cell r="J139" t="str">
            <v>SALIMA</v>
          </cell>
          <cell r="K139">
            <v>6</v>
          </cell>
          <cell r="L139" t="str">
            <v>Changed designation from M5 to M14</v>
          </cell>
          <cell r="W139">
            <v>92</v>
          </cell>
          <cell r="X139" t="str">
            <v>DS</v>
          </cell>
          <cell r="Y139">
            <v>150</v>
          </cell>
          <cell r="Z139" t="str">
            <v>SB</v>
          </cell>
          <cell r="AA139">
            <v>150</v>
          </cell>
          <cell r="AB139" t="str">
            <v>SB</v>
          </cell>
          <cell r="AC139">
            <v>7</v>
          </cell>
          <cell r="AD139" t="str">
            <v>VR</v>
          </cell>
          <cell r="AE139">
            <v>0</v>
          </cell>
          <cell r="AF139">
            <v>0</v>
          </cell>
          <cell r="AG139">
            <v>0</v>
          </cell>
          <cell r="AH139">
            <v>0</v>
          </cell>
          <cell r="AI139">
            <v>0</v>
          </cell>
          <cell r="AJ139">
            <v>0</v>
          </cell>
          <cell r="AK139">
            <v>0</v>
          </cell>
          <cell r="AL139">
            <v>0</v>
          </cell>
          <cell r="AM139">
            <v>1</v>
          </cell>
          <cell r="AN139" t="str">
            <v>never resealed</v>
          </cell>
          <cell r="BO139" t="str">
            <v>RS 045</v>
          </cell>
          <cell r="BP139">
            <v>4.5999999999999996</v>
          </cell>
          <cell r="BQ139">
            <v>6.7</v>
          </cell>
          <cell r="BR139" t="str">
            <v>F</v>
          </cell>
          <cell r="BS139" t="str">
            <v>C</v>
          </cell>
          <cell r="BT139">
            <v>0</v>
          </cell>
          <cell r="BU139" t="str">
            <v>DS</v>
          </cell>
          <cell r="BV139" t="str">
            <v/>
          </cell>
          <cell r="BW139">
            <v>1</v>
          </cell>
          <cell r="BX139">
            <v>15</v>
          </cell>
          <cell r="BY139" t="str">
            <v/>
          </cell>
          <cell r="BZ139">
            <v>1</v>
          </cell>
          <cell r="CA139">
            <v>7</v>
          </cell>
          <cell r="CB139">
            <v>1.677</v>
          </cell>
          <cell r="CC139">
            <v>4</v>
          </cell>
          <cell r="CD139">
            <v>0</v>
          </cell>
          <cell r="CE139">
            <v>0</v>
          </cell>
          <cell r="CF139">
            <v>0</v>
          </cell>
          <cell r="CG139">
            <v>0</v>
          </cell>
          <cell r="CH139">
            <v>0</v>
          </cell>
          <cell r="CI139">
            <v>0.1</v>
          </cell>
          <cell r="CJ139">
            <v>2.9850746268656722E-4</v>
          </cell>
          <cell r="CK139">
            <v>2.9850746268656722E-4</v>
          </cell>
          <cell r="CL139">
            <v>0</v>
          </cell>
          <cell r="CM139">
            <v>1.1572904707233067E-4</v>
          </cell>
          <cell r="CN139">
            <v>1.1572904707233067E-4</v>
          </cell>
          <cell r="CO139">
            <v>0</v>
          </cell>
          <cell r="CP139">
            <v>0</v>
          </cell>
          <cell r="CQ139">
            <v>4.0001157290470726</v>
          </cell>
          <cell r="CR139">
            <v>0</v>
          </cell>
          <cell r="CS139">
            <v>1</v>
          </cell>
          <cell r="CT139">
            <v>0</v>
          </cell>
          <cell r="CU139">
            <v>0</v>
          </cell>
          <cell r="CV139">
            <v>6</v>
          </cell>
          <cell r="CW139">
            <v>6</v>
          </cell>
          <cell r="CX139" t="str">
            <v/>
          </cell>
          <cell r="CY139">
            <v>1.1000000000000001</v>
          </cell>
          <cell r="CZ139">
            <v>1.1000000000000001</v>
          </cell>
          <cell r="DA139">
            <v>1.1000000000000001</v>
          </cell>
          <cell r="DB139">
            <v>300</v>
          </cell>
          <cell r="DC139">
            <v>141</v>
          </cell>
          <cell r="DD139">
            <v>78</v>
          </cell>
          <cell r="DE139">
            <v>23</v>
          </cell>
          <cell r="DF139">
            <v>35</v>
          </cell>
          <cell r="DG139">
            <v>6</v>
          </cell>
          <cell r="DH139">
            <v>3</v>
          </cell>
          <cell r="DI139">
            <v>15</v>
          </cell>
        </row>
        <row r="140">
          <cell r="A140" t="str">
            <v>RS 260</v>
          </cell>
          <cell r="B140">
            <v>82</v>
          </cell>
          <cell r="C140" t="str">
            <v>C</v>
          </cell>
          <cell r="D140" t="str">
            <v>T</v>
          </cell>
          <cell r="E140" t="str">
            <v>Chiwengo - Kasungu</v>
          </cell>
          <cell r="F140" t="str">
            <v>M18</v>
          </cell>
          <cell r="G140">
            <v>1</v>
          </cell>
          <cell r="H140">
            <v>9.4</v>
          </cell>
          <cell r="I140" t="str">
            <v>F</v>
          </cell>
          <cell r="J140" t="str">
            <v>KASUNGU</v>
          </cell>
          <cell r="K140">
            <v>5</v>
          </cell>
          <cell r="L140" t="str">
            <v xml:space="preserve">Changed designation from S120 to M18 </v>
          </cell>
          <cell r="W140">
            <v>97</v>
          </cell>
          <cell r="X140" t="str">
            <v>DS</v>
          </cell>
          <cell r="Y140">
            <v>150</v>
          </cell>
          <cell r="Z140" t="str">
            <v>GR</v>
          </cell>
          <cell r="AA140">
            <v>100</v>
          </cell>
          <cell r="AB140" t="str">
            <v>GR</v>
          </cell>
          <cell r="AC140">
            <v>5</v>
          </cell>
          <cell r="AD140" t="str">
            <v>AM</v>
          </cell>
          <cell r="AE140">
            <v>0</v>
          </cell>
          <cell r="AF140">
            <v>0</v>
          </cell>
          <cell r="AG140">
            <v>0</v>
          </cell>
          <cell r="AH140">
            <v>0</v>
          </cell>
          <cell r="AI140">
            <v>0</v>
          </cell>
          <cell r="AJ140">
            <v>0</v>
          </cell>
          <cell r="AK140">
            <v>0</v>
          </cell>
          <cell r="AL140">
            <v>0</v>
          </cell>
          <cell r="AM140">
            <v>1</v>
          </cell>
          <cell r="AN140" t="str">
            <v>never resealed</v>
          </cell>
          <cell r="BO140" t="str">
            <v>RS 260</v>
          </cell>
          <cell r="BP140">
            <v>9.4</v>
          </cell>
          <cell r="BQ140">
            <v>6.7</v>
          </cell>
          <cell r="BR140" t="str">
            <v>F</v>
          </cell>
          <cell r="BS140">
            <v>0</v>
          </cell>
          <cell r="BT140">
            <v>0</v>
          </cell>
          <cell r="BU140" t="str">
            <v>DS</v>
          </cell>
          <cell r="BV140" t="str">
            <v/>
          </cell>
          <cell r="BW140">
            <v>1</v>
          </cell>
          <cell r="BX140">
            <v>15</v>
          </cell>
          <cell r="BY140" t="str">
            <v/>
          </cell>
          <cell r="BZ140">
            <v>1</v>
          </cell>
          <cell r="CA140">
            <v>5</v>
          </cell>
          <cell r="CB140">
            <v>1.077</v>
          </cell>
          <cell r="CC140">
            <v>2.8</v>
          </cell>
          <cell r="CD140">
            <v>0</v>
          </cell>
          <cell r="CE140">
            <v>0</v>
          </cell>
          <cell r="CF140">
            <v>0</v>
          </cell>
          <cell r="CG140">
            <v>0</v>
          </cell>
          <cell r="CH140">
            <v>0</v>
          </cell>
          <cell r="CI140">
            <v>0</v>
          </cell>
          <cell r="CJ140">
            <v>0</v>
          </cell>
          <cell r="CK140">
            <v>0</v>
          </cell>
          <cell r="CL140">
            <v>0</v>
          </cell>
          <cell r="CM140">
            <v>0</v>
          </cell>
          <cell r="CN140">
            <v>0</v>
          </cell>
          <cell r="CO140">
            <v>0</v>
          </cell>
          <cell r="CP140">
            <v>0</v>
          </cell>
          <cell r="CQ140">
            <v>2.8</v>
          </cell>
          <cell r="CR140">
            <v>0</v>
          </cell>
          <cell r="CS140">
            <v>1</v>
          </cell>
          <cell r="CT140">
            <v>0</v>
          </cell>
          <cell r="CU140">
            <v>0</v>
          </cell>
          <cell r="CV140">
            <v>1</v>
          </cell>
          <cell r="CW140">
            <v>1</v>
          </cell>
          <cell r="CX140" t="str">
            <v/>
          </cell>
          <cell r="CY140">
            <v>1</v>
          </cell>
          <cell r="CZ140">
            <v>1</v>
          </cell>
          <cell r="DA140">
            <v>1</v>
          </cell>
          <cell r="DB140">
            <v>100</v>
          </cell>
          <cell r="DC140">
            <v>47</v>
          </cell>
          <cell r="DD140">
            <v>26</v>
          </cell>
          <cell r="DE140">
            <v>8</v>
          </cell>
          <cell r="DF140">
            <v>12</v>
          </cell>
          <cell r="DG140">
            <v>2</v>
          </cell>
          <cell r="DH140">
            <v>1</v>
          </cell>
          <cell r="DI140">
            <v>5</v>
          </cell>
        </row>
        <row r="141">
          <cell r="A141" t="str">
            <v>RS 008</v>
          </cell>
          <cell r="B141" t="str">
            <v>8</v>
          </cell>
          <cell r="C141" t="str">
            <v>N</v>
          </cell>
          <cell r="D141" t="str">
            <v>T</v>
          </cell>
          <cell r="E141" t="str">
            <v>Bwengu (junction M1) - Njakwa</v>
          </cell>
          <cell r="F141" t="str">
            <v>M24</v>
          </cell>
          <cell r="G141">
            <v>1</v>
          </cell>
          <cell r="H141">
            <v>1.5</v>
          </cell>
          <cell r="I141" t="str">
            <v>R</v>
          </cell>
          <cell r="J141" t="str">
            <v>RUMPHI</v>
          </cell>
          <cell r="K141">
            <v>3</v>
          </cell>
          <cell r="L141">
            <v>0</v>
          </cell>
          <cell r="W141">
            <v>80</v>
          </cell>
          <cell r="X141" t="str">
            <v>DS</v>
          </cell>
          <cell r="Y141">
            <v>150</v>
          </cell>
          <cell r="Z141" t="str">
            <v>SB</v>
          </cell>
          <cell r="AA141">
            <v>100</v>
          </cell>
          <cell r="AB141" t="str">
            <v>GR</v>
          </cell>
          <cell r="AC141">
            <v>13</v>
          </cell>
          <cell r="AD141" t="str">
            <v>VR</v>
          </cell>
          <cell r="AE141">
            <v>87</v>
          </cell>
          <cell r="AF141" t="str">
            <v>SR</v>
          </cell>
          <cell r="AG141" t="str">
            <v>ST</v>
          </cell>
          <cell r="AH141">
            <v>10</v>
          </cell>
          <cell r="AI141">
            <v>0</v>
          </cell>
          <cell r="AJ141">
            <v>0</v>
          </cell>
          <cell r="AK141">
            <v>0</v>
          </cell>
          <cell r="AL141">
            <v>0</v>
          </cell>
          <cell r="AM141">
            <v>4</v>
          </cell>
          <cell r="AN141">
            <v>0</v>
          </cell>
          <cell r="BO141" t="str">
            <v>RS 008</v>
          </cell>
          <cell r="BP141">
            <v>1.5</v>
          </cell>
          <cell r="BQ141">
            <v>6.7</v>
          </cell>
          <cell r="BR141" t="str">
            <v>R</v>
          </cell>
          <cell r="BS141">
            <v>0</v>
          </cell>
          <cell r="BT141">
            <v>0</v>
          </cell>
          <cell r="BU141" t="str">
            <v>ST</v>
          </cell>
          <cell r="BV141" t="str">
            <v>DS</v>
          </cell>
          <cell r="BW141">
            <v>4</v>
          </cell>
          <cell r="BX141">
            <v>10</v>
          </cell>
          <cell r="BY141">
            <v>15</v>
          </cell>
          <cell r="BZ141">
            <v>1</v>
          </cell>
          <cell r="CA141">
            <v>13</v>
          </cell>
          <cell r="CB141">
            <v>1.3540000000000001</v>
          </cell>
          <cell r="CC141">
            <v>5.5</v>
          </cell>
          <cell r="CD141">
            <v>80</v>
          </cell>
          <cell r="CE141">
            <v>30</v>
          </cell>
          <cell r="CF141">
            <v>15</v>
          </cell>
          <cell r="CG141">
            <v>65</v>
          </cell>
          <cell r="CH141">
            <v>15</v>
          </cell>
          <cell r="CI141">
            <v>85</v>
          </cell>
          <cell r="CJ141">
            <v>0.2537313432835821</v>
          </cell>
          <cell r="CK141">
            <v>10</v>
          </cell>
          <cell r="CL141">
            <v>15</v>
          </cell>
          <cell r="CM141">
            <v>0.29506314580941445</v>
          </cell>
          <cell r="CN141">
            <v>0.29506314580941445</v>
          </cell>
          <cell r="CO141">
            <v>0</v>
          </cell>
          <cell r="CP141">
            <v>0</v>
          </cell>
          <cell r="CQ141">
            <v>5.7950631458094142</v>
          </cell>
          <cell r="CR141">
            <v>5</v>
          </cell>
          <cell r="CS141">
            <v>1</v>
          </cell>
          <cell r="CT141">
            <v>0</v>
          </cell>
          <cell r="CU141">
            <v>0</v>
          </cell>
          <cell r="CV141">
            <v>11</v>
          </cell>
          <cell r="CW141">
            <v>18</v>
          </cell>
          <cell r="CX141">
            <v>36</v>
          </cell>
          <cell r="CY141">
            <v>2</v>
          </cell>
          <cell r="CZ141">
            <v>2</v>
          </cell>
          <cell r="DA141">
            <v>2</v>
          </cell>
          <cell r="DB141">
            <v>119</v>
          </cell>
          <cell r="DC141">
            <v>56</v>
          </cell>
          <cell r="DD141">
            <v>31</v>
          </cell>
          <cell r="DE141">
            <v>9</v>
          </cell>
          <cell r="DF141">
            <v>14</v>
          </cell>
          <cell r="DG141">
            <v>3</v>
          </cell>
          <cell r="DH141">
            <v>2</v>
          </cell>
          <cell r="DI141">
            <v>6</v>
          </cell>
        </row>
        <row r="142">
          <cell r="A142" t="str">
            <v>RS 009</v>
          </cell>
          <cell r="B142" t="str">
            <v>9</v>
          </cell>
          <cell r="C142" t="str">
            <v>N</v>
          </cell>
          <cell r="D142" t="str">
            <v>T</v>
          </cell>
          <cell r="E142" t="str">
            <v>Njakwa - Rumphi</v>
          </cell>
          <cell r="F142" t="str">
            <v>M24</v>
          </cell>
          <cell r="G142">
            <v>2</v>
          </cell>
          <cell r="H142">
            <v>8.5</v>
          </cell>
          <cell r="I142" t="str">
            <v>R</v>
          </cell>
          <cell r="J142" t="str">
            <v>RUMPHI</v>
          </cell>
          <cell r="K142">
            <v>3</v>
          </cell>
          <cell r="L142">
            <v>0</v>
          </cell>
          <cell r="W142">
            <v>80</v>
          </cell>
          <cell r="X142" t="str">
            <v>DS</v>
          </cell>
          <cell r="Y142">
            <v>150</v>
          </cell>
          <cell r="Z142" t="str">
            <v>SB</v>
          </cell>
          <cell r="AA142">
            <v>100</v>
          </cell>
          <cell r="AB142" t="str">
            <v>GR</v>
          </cell>
          <cell r="AC142">
            <v>13</v>
          </cell>
          <cell r="AD142" t="str">
            <v>VR</v>
          </cell>
          <cell r="AE142">
            <v>87</v>
          </cell>
          <cell r="AF142" t="str">
            <v>SR</v>
          </cell>
          <cell r="AG142" t="str">
            <v>ST</v>
          </cell>
          <cell r="AH142">
            <v>10</v>
          </cell>
          <cell r="AI142">
            <v>0</v>
          </cell>
          <cell r="AJ142">
            <v>0</v>
          </cell>
          <cell r="AK142">
            <v>0</v>
          </cell>
          <cell r="AL142">
            <v>0</v>
          </cell>
          <cell r="AM142">
            <v>4</v>
          </cell>
          <cell r="AN142">
            <v>0</v>
          </cell>
          <cell r="BO142" t="str">
            <v>RS 009</v>
          </cell>
          <cell r="BP142">
            <v>8.5</v>
          </cell>
          <cell r="BQ142">
            <v>6.7</v>
          </cell>
          <cell r="BR142" t="str">
            <v>R</v>
          </cell>
          <cell r="BS142">
            <v>0</v>
          </cell>
          <cell r="BT142">
            <v>0</v>
          </cell>
          <cell r="BU142" t="str">
            <v>ST</v>
          </cell>
          <cell r="BV142" t="str">
            <v>DS</v>
          </cell>
          <cell r="BW142">
            <v>4</v>
          </cell>
          <cell r="BX142">
            <v>10</v>
          </cell>
          <cell r="BY142">
            <v>15</v>
          </cell>
          <cell r="BZ142">
            <v>1</v>
          </cell>
          <cell r="CA142">
            <v>13</v>
          </cell>
          <cell r="CB142">
            <v>1.3540000000000001</v>
          </cell>
          <cell r="CC142">
            <v>5.5</v>
          </cell>
          <cell r="CD142">
            <v>70</v>
          </cell>
          <cell r="CE142">
            <v>40</v>
          </cell>
          <cell r="CF142">
            <v>25</v>
          </cell>
          <cell r="CG142">
            <v>45</v>
          </cell>
          <cell r="CH142">
            <v>15</v>
          </cell>
          <cell r="CI142">
            <v>90</v>
          </cell>
          <cell r="CJ142">
            <v>0.26865671641791045</v>
          </cell>
          <cell r="CK142">
            <v>10</v>
          </cell>
          <cell r="CL142">
            <v>25</v>
          </cell>
          <cell r="CM142">
            <v>0.36685419058553392</v>
          </cell>
          <cell r="CN142">
            <v>0.36685419058553392</v>
          </cell>
          <cell r="CO142">
            <v>0</v>
          </cell>
          <cell r="CP142">
            <v>0</v>
          </cell>
          <cell r="CQ142">
            <v>5.866854190585534</v>
          </cell>
          <cell r="CR142">
            <v>5</v>
          </cell>
          <cell r="CS142">
            <v>1</v>
          </cell>
          <cell r="CT142">
            <v>0</v>
          </cell>
          <cell r="CU142">
            <v>0</v>
          </cell>
          <cell r="CV142">
            <v>11</v>
          </cell>
          <cell r="CW142">
            <v>18</v>
          </cell>
          <cell r="CX142">
            <v>36</v>
          </cell>
          <cell r="CY142">
            <v>2</v>
          </cell>
          <cell r="CZ142">
            <v>2</v>
          </cell>
          <cell r="DA142">
            <v>2</v>
          </cell>
          <cell r="DB142">
            <v>119</v>
          </cell>
          <cell r="DC142">
            <v>56</v>
          </cell>
          <cell r="DD142">
            <v>31</v>
          </cell>
          <cell r="DE142">
            <v>9</v>
          </cell>
          <cell r="DF142">
            <v>14</v>
          </cell>
          <cell r="DG142">
            <v>3</v>
          </cell>
          <cell r="DH142">
            <v>2</v>
          </cell>
          <cell r="DI142">
            <v>6</v>
          </cell>
        </row>
        <row r="143">
          <cell r="A143" t="str">
            <v>RS 592</v>
          </cell>
          <cell r="B143">
            <v>414</v>
          </cell>
          <cell r="C143" t="str">
            <v>C</v>
          </cell>
          <cell r="D143" t="str">
            <v>T</v>
          </cell>
          <cell r="E143" t="str">
            <v>Kia - Kia Turn Off (Lilongwe airport road)</v>
          </cell>
          <cell r="F143" t="str">
            <v>M30</v>
          </cell>
          <cell r="G143">
            <v>1</v>
          </cell>
          <cell r="H143">
            <v>4.3</v>
          </cell>
          <cell r="I143" t="str">
            <v>F</v>
          </cell>
          <cell r="J143" t="str">
            <v>LILONGWE</v>
          </cell>
          <cell r="K143">
            <v>6</v>
          </cell>
          <cell r="L143" t="str">
            <v>Changed designation from T361 to M30</v>
          </cell>
          <cell r="W143">
            <v>85</v>
          </cell>
          <cell r="X143" t="str">
            <v>DS</v>
          </cell>
          <cell r="Y143">
            <v>150</v>
          </cell>
          <cell r="Z143" t="str">
            <v>GR</v>
          </cell>
          <cell r="AA143">
            <v>100</v>
          </cell>
          <cell r="AB143" t="str">
            <v>GR</v>
          </cell>
          <cell r="AC143">
            <v>25</v>
          </cell>
          <cell r="AD143" t="str">
            <v>PM</v>
          </cell>
          <cell r="AE143">
            <v>0</v>
          </cell>
          <cell r="AF143">
            <v>0</v>
          </cell>
          <cell r="AG143">
            <v>0</v>
          </cell>
          <cell r="AH143">
            <v>0</v>
          </cell>
          <cell r="AI143">
            <v>0</v>
          </cell>
          <cell r="AJ143">
            <v>0</v>
          </cell>
          <cell r="AK143">
            <v>0</v>
          </cell>
          <cell r="AL143">
            <v>0</v>
          </cell>
          <cell r="AM143">
            <v>1</v>
          </cell>
          <cell r="AN143">
            <v>0</v>
          </cell>
          <cell r="BO143" t="str">
            <v>RS 592</v>
          </cell>
          <cell r="BP143">
            <v>4.3</v>
          </cell>
          <cell r="BQ143">
            <v>6.7</v>
          </cell>
          <cell r="BR143" t="str">
            <v>F</v>
          </cell>
          <cell r="BS143">
            <v>0</v>
          </cell>
          <cell r="BT143">
            <v>0</v>
          </cell>
          <cell r="BU143" t="str">
            <v>DS</v>
          </cell>
          <cell r="BV143" t="str">
            <v/>
          </cell>
          <cell r="BW143">
            <v>1</v>
          </cell>
          <cell r="BX143">
            <v>15</v>
          </cell>
          <cell r="BY143" t="str">
            <v/>
          </cell>
          <cell r="BZ143">
            <v>1</v>
          </cell>
          <cell r="CA143">
            <v>25</v>
          </cell>
          <cell r="CB143">
            <v>1.077</v>
          </cell>
          <cell r="CC143">
            <v>3.55</v>
          </cell>
          <cell r="CD143">
            <v>15</v>
          </cell>
          <cell r="CE143">
            <v>0</v>
          </cell>
          <cell r="CF143">
            <v>0</v>
          </cell>
          <cell r="CG143">
            <v>15</v>
          </cell>
          <cell r="CH143">
            <v>0</v>
          </cell>
          <cell r="CI143">
            <v>0</v>
          </cell>
          <cell r="CJ143">
            <v>0</v>
          </cell>
          <cell r="CK143">
            <v>0</v>
          </cell>
          <cell r="CL143">
            <v>0</v>
          </cell>
          <cell r="CM143">
            <v>0</v>
          </cell>
          <cell r="CN143">
            <v>0</v>
          </cell>
          <cell r="CO143">
            <v>0</v>
          </cell>
          <cell r="CP143">
            <v>0</v>
          </cell>
          <cell r="CQ143">
            <v>3.55</v>
          </cell>
          <cell r="CR143">
            <v>1</v>
          </cell>
          <cell r="CS143">
            <v>0</v>
          </cell>
          <cell r="CT143">
            <v>0</v>
          </cell>
          <cell r="CU143">
            <v>0</v>
          </cell>
          <cell r="CV143">
            <v>13</v>
          </cell>
          <cell r="CW143">
            <v>13</v>
          </cell>
          <cell r="CX143" t="str">
            <v/>
          </cell>
          <cell r="CY143">
            <v>1</v>
          </cell>
          <cell r="CZ143">
            <v>1</v>
          </cell>
          <cell r="DA143">
            <v>1</v>
          </cell>
          <cell r="DB143">
            <v>500</v>
          </cell>
          <cell r="DC143">
            <v>235</v>
          </cell>
          <cell r="DD143">
            <v>130</v>
          </cell>
          <cell r="DE143">
            <v>38</v>
          </cell>
          <cell r="DF143">
            <v>58</v>
          </cell>
          <cell r="DG143">
            <v>10</v>
          </cell>
          <cell r="DH143">
            <v>5</v>
          </cell>
          <cell r="DI143">
            <v>25</v>
          </cell>
        </row>
        <row r="144">
          <cell r="A144" t="str">
            <v>RS 194</v>
          </cell>
          <cell r="B144">
            <v>16</v>
          </cell>
          <cell r="C144" t="str">
            <v>N</v>
          </cell>
          <cell r="D144" t="str">
            <v>T</v>
          </cell>
          <cell r="E144" t="str">
            <v>Chilumba Jetty - junction M1</v>
          </cell>
          <cell r="F144" t="str">
            <v>S102</v>
          </cell>
          <cell r="G144">
            <v>1</v>
          </cell>
          <cell r="H144">
            <v>5.9</v>
          </cell>
          <cell r="I144" t="str">
            <v>F</v>
          </cell>
          <cell r="J144" t="str">
            <v>KARONGA</v>
          </cell>
          <cell r="K144">
            <v>2</v>
          </cell>
          <cell r="L144">
            <v>0</v>
          </cell>
          <cell r="W144">
            <v>80</v>
          </cell>
          <cell r="X144" t="str">
            <v>ST</v>
          </cell>
          <cell r="Y144">
            <v>100</v>
          </cell>
          <cell r="Z144" t="str">
            <v>GR</v>
          </cell>
          <cell r="AA144">
            <v>100</v>
          </cell>
          <cell r="AB144" t="str">
            <v>GR</v>
          </cell>
          <cell r="AC144">
            <v>10</v>
          </cell>
          <cell r="AD144" t="str">
            <v>PM</v>
          </cell>
          <cell r="AE144">
            <v>0</v>
          </cell>
          <cell r="AF144">
            <v>0</v>
          </cell>
          <cell r="AG144">
            <v>0</v>
          </cell>
          <cell r="AH144">
            <v>0</v>
          </cell>
          <cell r="AI144">
            <v>0</v>
          </cell>
          <cell r="AJ144">
            <v>0</v>
          </cell>
          <cell r="AK144">
            <v>0</v>
          </cell>
          <cell r="AL144">
            <v>0</v>
          </cell>
          <cell r="AM144">
            <v>1</v>
          </cell>
          <cell r="AN144">
            <v>0</v>
          </cell>
          <cell r="BO144" t="str">
            <v>RS 194</v>
          </cell>
          <cell r="BP144">
            <v>5.9</v>
          </cell>
          <cell r="BQ144">
            <v>5.5</v>
          </cell>
          <cell r="BR144" t="str">
            <v>F</v>
          </cell>
          <cell r="BS144">
            <v>0</v>
          </cell>
          <cell r="BT144">
            <v>0</v>
          </cell>
          <cell r="BU144" t="str">
            <v>ST</v>
          </cell>
          <cell r="BV144" t="str">
            <v/>
          </cell>
          <cell r="BW144">
            <v>1</v>
          </cell>
          <cell r="BX144">
            <v>10</v>
          </cell>
          <cell r="BY144" t="str">
            <v/>
          </cell>
          <cell r="BZ144">
            <v>1</v>
          </cell>
          <cell r="CA144">
            <v>10</v>
          </cell>
          <cell r="CB144">
            <v>0.90800000000000003</v>
          </cell>
          <cell r="CC144">
            <v>7.65</v>
          </cell>
          <cell r="CD144">
            <v>75</v>
          </cell>
          <cell r="CE144">
            <v>60</v>
          </cell>
          <cell r="CF144">
            <v>45</v>
          </cell>
          <cell r="CG144">
            <v>30</v>
          </cell>
          <cell r="CH144">
            <v>15</v>
          </cell>
          <cell r="CI144">
            <v>100</v>
          </cell>
          <cell r="CJ144">
            <v>0.36363636363636365</v>
          </cell>
          <cell r="CK144">
            <v>10</v>
          </cell>
          <cell r="CL144">
            <v>45</v>
          </cell>
          <cell r="CM144">
            <v>0.53503496503496506</v>
          </cell>
          <cell r="CN144">
            <v>0.53503496503496506</v>
          </cell>
          <cell r="CO144">
            <v>0</v>
          </cell>
          <cell r="CP144">
            <v>0</v>
          </cell>
          <cell r="CQ144">
            <v>8.1850349650349656</v>
          </cell>
          <cell r="CR144">
            <v>0</v>
          </cell>
          <cell r="CS144">
            <v>0</v>
          </cell>
          <cell r="CT144">
            <v>0</v>
          </cell>
          <cell r="CU144">
            <v>0</v>
          </cell>
          <cell r="CV144">
            <v>18</v>
          </cell>
          <cell r="CW144">
            <v>18</v>
          </cell>
          <cell r="CX144" t="str">
            <v/>
          </cell>
          <cell r="CY144">
            <v>2</v>
          </cell>
          <cell r="CZ144">
            <v>1.5</v>
          </cell>
          <cell r="DA144">
            <v>1.5</v>
          </cell>
          <cell r="DB144">
            <v>60</v>
          </cell>
          <cell r="DC144">
            <v>29</v>
          </cell>
          <cell r="DD144">
            <v>16</v>
          </cell>
          <cell r="DE144">
            <v>5</v>
          </cell>
          <cell r="DF144">
            <v>7</v>
          </cell>
          <cell r="DG144">
            <v>2</v>
          </cell>
          <cell r="DH144">
            <v>1</v>
          </cell>
          <cell r="DI144">
            <v>3</v>
          </cell>
        </row>
        <row r="145">
          <cell r="A145" t="str">
            <v>RS 163</v>
          </cell>
          <cell r="B145">
            <v>163</v>
          </cell>
          <cell r="C145" t="str">
            <v>C</v>
          </cell>
          <cell r="D145" t="str">
            <v>T</v>
          </cell>
          <cell r="E145" t="str">
            <v>Lifupa Road (in Kasungu National Park)</v>
          </cell>
          <cell r="F145" t="str">
            <v>S114</v>
          </cell>
          <cell r="G145">
            <v>2</v>
          </cell>
          <cell r="H145">
            <v>3.2</v>
          </cell>
          <cell r="I145" t="str">
            <v>F</v>
          </cell>
          <cell r="J145" t="str">
            <v>KASUNGU</v>
          </cell>
          <cell r="K145">
            <v>5</v>
          </cell>
          <cell r="L145" t="str">
            <v>Changed from urban to trunk</v>
          </cell>
          <cell r="W145" t="str">
            <v>very old origional</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t="str">
            <v>bitumen removed</v>
          </cell>
          <cell r="BO145" t="str">
            <v>RS 163</v>
          </cell>
          <cell r="BP145">
            <v>3.2</v>
          </cell>
          <cell r="BQ145" t="str">
            <v>n.a.</v>
          </cell>
          <cell r="BR145" t="str">
            <v>F</v>
          </cell>
          <cell r="BS145" t="str">
            <v>X</v>
          </cell>
          <cell r="BT145">
            <v>100</v>
          </cell>
          <cell r="BU145">
            <v>0</v>
          </cell>
          <cell r="BV145" t="str">
            <v/>
          </cell>
          <cell r="BW145">
            <v>0</v>
          </cell>
          <cell r="BX145" t="str">
            <v/>
          </cell>
          <cell r="BY145" t="str">
            <v/>
          </cell>
          <cell r="BZ145" t="str">
            <v/>
          </cell>
          <cell r="CA145" t="str">
            <v/>
          </cell>
          <cell r="CB145" t="str">
            <v/>
          </cell>
          <cell r="CC145" t="str">
            <v>bitumen surface removed</v>
          </cell>
          <cell r="CD145">
            <v>0</v>
          </cell>
          <cell r="CE145">
            <v>0</v>
          </cell>
          <cell r="CF145">
            <v>0</v>
          </cell>
          <cell r="CG145">
            <v>0</v>
          </cell>
          <cell r="CH145">
            <v>0</v>
          </cell>
          <cell r="CI145">
            <v>0</v>
          </cell>
          <cell r="CJ145">
            <v>0</v>
          </cell>
          <cell r="CK145">
            <v>0</v>
          </cell>
          <cell r="CL145">
            <v>0</v>
          </cell>
          <cell r="CM145">
            <v>0</v>
          </cell>
          <cell r="CN145">
            <v>0</v>
          </cell>
          <cell r="CO145">
            <v>0</v>
          </cell>
          <cell r="CP145">
            <v>0</v>
          </cell>
          <cell r="CQ145">
            <v>0</v>
          </cell>
          <cell r="CR145">
            <v>0</v>
          </cell>
          <cell r="CS145">
            <v>0</v>
          </cell>
          <cell r="CT145">
            <v>0</v>
          </cell>
          <cell r="CU145">
            <v>0</v>
          </cell>
          <cell r="CV145" t="str">
            <v>n.a</v>
          </cell>
          <cell r="CW145" t="str">
            <v>n.a.</v>
          </cell>
          <cell r="CX145">
            <v>0</v>
          </cell>
          <cell r="CY145" t="str">
            <v>n.a.</v>
          </cell>
          <cell r="CZ145" t="str">
            <v>n.a.</v>
          </cell>
          <cell r="DA145">
            <v>2.5</v>
          </cell>
          <cell r="DB145">
            <v>50</v>
          </cell>
          <cell r="DC145">
            <v>24</v>
          </cell>
          <cell r="DD145">
            <v>13</v>
          </cell>
          <cell r="DE145">
            <v>4</v>
          </cell>
          <cell r="DF145">
            <v>6</v>
          </cell>
          <cell r="DG145">
            <v>1</v>
          </cell>
          <cell r="DH145">
            <v>1</v>
          </cell>
          <cell r="DI145">
            <v>3</v>
          </cell>
        </row>
        <row r="146">
          <cell r="A146" t="str">
            <v>RS 237</v>
          </cell>
          <cell r="B146">
            <v>59</v>
          </cell>
          <cell r="C146" t="str">
            <v>C</v>
          </cell>
          <cell r="D146" t="str">
            <v>T</v>
          </cell>
          <cell r="E146" t="str">
            <v>Bua River Bridge  - Kapiri</v>
          </cell>
          <cell r="F146" t="str">
            <v>S116</v>
          </cell>
          <cell r="G146">
            <v>7</v>
          </cell>
          <cell r="H146">
            <v>29.3</v>
          </cell>
          <cell r="I146" t="str">
            <v>F</v>
          </cell>
          <cell r="J146" t="str">
            <v>KASUNGU</v>
          </cell>
          <cell r="K146">
            <v>5</v>
          </cell>
          <cell r="L146">
            <v>0</v>
          </cell>
          <cell r="W146">
            <v>98</v>
          </cell>
          <cell r="X146" t="str">
            <v>DS</v>
          </cell>
          <cell r="Y146">
            <v>150</v>
          </cell>
          <cell r="Z146" t="str">
            <v>GR</v>
          </cell>
          <cell r="AA146">
            <v>150</v>
          </cell>
          <cell r="AB146" t="str">
            <v>GR</v>
          </cell>
          <cell r="AC146">
            <v>5</v>
          </cell>
          <cell r="AD146" t="str">
            <v>AM</v>
          </cell>
          <cell r="AE146">
            <v>0</v>
          </cell>
          <cell r="AF146">
            <v>0</v>
          </cell>
          <cell r="AG146">
            <v>0</v>
          </cell>
          <cell r="AH146">
            <v>0</v>
          </cell>
          <cell r="AI146">
            <v>0</v>
          </cell>
          <cell r="AJ146">
            <v>0</v>
          </cell>
          <cell r="AK146">
            <v>0</v>
          </cell>
          <cell r="AL146">
            <v>0</v>
          </cell>
          <cell r="AM146">
            <v>1</v>
          </cell>
          <cell r="AN146" t="str">
            <v>never resealed</v>
          </cell>
          <cell r="BO146" t="str">
            <v>RS 237</v>
          </cell>
          <cell r="BP146">
            <v>29.3</v>
          </cell>
          <cell r="BQ146">
            <v>6.7</v>
          </cell>
          <cell r="BR146" t="str">
            <v>F</v>
          </cell>
          <cell r="BS146">
            <v>0</v>
          </cell>
          <cell r="BT146">
            <v>0</v>
          </cell>
          <cell r="BU146" t="str">
            <v>DS</v>
          </cell>
          <cell r="BV146" t="str">
            <v/>
          </cell>
          <cell r="BW146">
            <v>1</v>
          </cell>
          <cell r="BX146">
            <v>15</v>
          </cell>
          <cell r="BY146" t="str">
            <v/>
          </cell>
          <cell r="BZ146">
            <v>1</v>
          </cell>
          <cell r="CA146">
            <v>5</v>
          </cell>
          <cell r="CB146">
            <v>1.5270000000000001</v>
          </cell>
          <cell r="CC146">
            <v>3.3</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3.3</v>
          </cell>
          <cell r="CR146">
            <v>0</v>
          </cell>
          <cell r="CS146">
            <v>1</v>
          </cell>
          <cell r="CT146">
            <v>0</v>
          </cell>
          <cell r="CU146">
            <v>0</v>
          </cell>
          <cell r="CV146">
            <v>0</v>
          </cell>
          <cell r="CW146">
            <v>0</v>
          </cell>
          <cell r="CX146" t="str">
            <v/>
          </cell>
          <cell r="CY146">
            <v>1</v>
          </cell>
          <cell r="CZ146">
            <v>1</v>
          </cell>
          <cell r="DA146">
            <v>1</v>
          </cell>
          <cell r="DB146">
            <v>80</v>
          </cell>
          <cell r="DC146">
            <v>38</v>
          </cell>
          <cell r="DD146">
            <v>21</v>
          </cell>
          <cell r="DE146">
            <v>6</v>
          </cell>
          <cell r="DF146">
            <v>10</v>
          </cell>
          <cell r="DG146">
            <v>2</v>
          </cell>
          <cell r="DH146">
            <v>1</v>
          </cell>
          <cell r="DI146">
            <v>4</v>
          </cell>
        </row>
        <row r="147">
          <cell r="A147" t="str">
            <v>RS 240</v>
          </cell>
          <cell r="B147">
            <v>62</v>
          </cell>
          <cell r="C147" t="str">
            <v>C</v>
          </cell>
          <cell r="D147" t="str">
            <v>T</v>
          </cell>
          <cell r="E147" t="str">
            <v>Kapiri - Matutu</v>
          </cell>
          <cell r="F147" t="str">
            <v>S116</v>
          </cell>
          <cell r="G147">
            <v>8</v>
          </cell>
          <cell r="H147">
            <v>24</v>
          </cell>
          <cell r="I147" t="str">
            <v>F</v>
          </cell>
          <cell r="J147" t="str">
            <v>MCHINJI</v>
          </cell>
          <cell r="K147" t="str">
            <v>5,6</v>
          </cell>
          <cell r="L147">
            <v>0</v>
          </cell>
          <cell r="W147">
            <v>98</v>
          </cell>
          <cell r="X147" t="str">
            <v>DS</v>
          </cell>
          <cell r="Y147">
            <v>150</v>
          </cell>
          <cell r="Z147" t="str">
            <v>GR</v>
          </cell>
          <cell r="AA147">
            <v>150</v>
          </cell>
          <cell r="AB147" t="str">
            <v>GR</v>
          </cell>
          <cell r="AC147">
            <v>5</v>
          </cell>
          <cell r="AD147" t="str">
            <v>AM</v>
          </cell>
          <cell r="AE147">
            <v>0</v>
          </cell>
          <cell r="AF147">
            <v>0</v>
          </cell>
          <cell r="AG147">
            <v>0</v>
          </cell>
          <cell r="AH147">
            <v>0</v>
          </cell>
          <cell r="AI147">
            <v>0</v>
          </cell>
          <cell r="AJ147">
            <v>0</v>
          </cell>
          <cell r="AK147">
            <v>0</v>
          </cell>
          <cell r="AL147">
            <v>0</v>
          </cell>
          <cell r="AM147">
            <v>1</v>
          </cell>
          <cell r="AN147" t="str">
            <v>never resealed</v>
          </cell>
          <cell r="BO147" t="str">
            <v>RS 240</v>
          </cell>
          <cell r="BP147">
            <v>24</v>
          </cell>
          <cell r="BQ147">
            <v>6.7</v>
          </cell>
          <cell r="BR147" t="str">
            <v>F</v>
          </cell>
          <cell r="BS147">
            <v>0</v>
          </cell>
          <cell r="BT147">
            <v>0</v>
          </cell>
          <cell r="BU147" t="str">
            <v>DS</v>
          </cell>
          <cell r="BV147" t="str">
            <v/>
          </cell>
          <cell r="BW147">
            <v>1</v>
          </cell>
          <cell r="BX147">
            <v>15</v>
          </cell>
          <cell r="BY147" t="str">
            <v/>
          </cell>
          <cell r="BZ147">
            <v>1</v>
          </cell>
          <cell r="CA147">
            <v>5</v>
          </cell>
          <cell r="CB147">
            <v>1.5270000000000001</v>
          </cell>
          <cell r="CC147">
            <v>3.27</v>
          </cell>
          <cell r="CD147">
            <v>0</v>
          </cell>
          <cell r="CE147">
            <v>0</v>
          </cell>
          <cell r="CF147">
            <v>0</v>
          </cell>
          <cell r="CG147">
            <v>0</v>
          </cell>
          <cell r="CH147">
            <v>0</v>
          </cell>
          <cell r="CI147">
            <v>0</v>
          </cell>
          <cell r="CJ147">
            <v>0</v>
          </cell>
          <cell r="CK147">
            <v>0</v>
          </cell>
          <cell r="CL147">
            <v>0</v>
          </cell>
          <cell r="CM147">
            <v>0</v>
          </cell>
          <cell r="CN147">
            <v>0</v>
          </cell>
          <cell r="CO147">
            <v>0</v>
          </cell>
          <cell r="CP147">
            <v>0</v>
          </cell>
          <cell r="CQ147">
            <v>3.27</v>
          </cell>
          <cell r="CR147">
            <v>0</v>
          </cell>
          <cell r="CS147">
            <v>1</v>
          </cell>
          <cell r="CT147">
            <v>0</v>
          </cell>
          <cell r="CU147">
            <v>0</v>
          </cell>
          <cell r="CV147">
            <v>0</v>
          </cell>
          <cell r="CW147">
            <v>0</v>
          </cell>
          <cell r="CX147" t="str">
            <v/>
          </cell>
          <cell r="CY147">
            <v>1</v>
          </cell>
          <cell r="CZ147">
            <v>1</v>
          </cell>
          <cell r="DA147">
            <v>1</v>
          </cell>
          <cell r="DB147">
            <v>80</v>
          </cell>
          <cell r="DC147">
            <v>38</v>
          </cell>
          <cell r="DD147">
            <v>21</v>
          </cell>
          <cell r="DE147">
            <v>6</v>
          </cell>
          <cell r="DF147">
            <v>10</v>
          </cell>
          <cell r="DG147">
            <v>2</v>
          </cell>
          <cell r="DH147">
            <v>1</v>
          </cell>
          <cell r="DI147">
            <v>4</v>
          </cell>
        </row>
        <row r="148">
          <cell r="A148" t="str">
            <v>RS 245</v>
          </cell>
          <cell r="B148">
            <v>67</v>
          </cell>
          <cell r="C148" t="str">
            <v>C</v>
          </cell>
          <cell r="D148" t="str">
            <v>T</v>
          </cell>
          <cell r="E148" t="str">
            <v>Kalolo - Santhe T.C.</v>
          </cell>
          <cell r="F148" t="str">
            <v>S117</v>
          </cell>
          <cell r="G148">
            <v>1</v>
          </cell>
          <cell r="H148">
            <v>22.9</v>
          </cell>
          <cell r="I148" t="str">
            <v>F</v>
          </cell>
          <cell r="J148" t="str">
            <v>KASUNGU</v>
          </cell>
          <cell r="K148" t="str">
            <v>5,6</v>
          </cell>
          <cell r="L148" t="str">
            <v>Part currently bitumen</v>
          </cell>
          <cell r="W148">
            <v>98</v>
          </cell>
          <cell r="X148" t="str">
            <v>DS</v>
          </cell>
          <cell r="Y148">
            <v>151</v>
          </cell>
          <cell r="Z148" t="str">
            <v>GR</v>
          </cell>
          <cell r="AA148">
            <v>151</v>
          </cell>
          <cell r="AB148" t="str">
            <v>GR</v>
          </cell>
          <cell r="AC148">
            <v>6</v>
          </cell>
          <cell r="AD148" t="str">
            <v>AM</v>
          </cell>
          <cell r="AE148">
            <v>0</v>
          </cell>
          <cell r="AF148">
            <v>0</v>
          </cell>
          <cell r="AG148">
            <v>0</v>
          </cell>
          <cell r="AH148">
            <v>0</v>
          </cell>
          <cell r="AI148">
            <v>0</v>
          </cell>
          <cell r="AJ148">
            <v>0</v>
          </cell>
          <cell r="AK148">
            <v>0</v>
          </cell>
          <cell r="AL148">
            <v>0</v>
          </cell>
          <cell r="AM148">
            <v>1</v>
          </cell>
          <cell r="AN148" t="str">
            <v>never resealed</v>
          </cell>
          <cell r="BO148" t="str">
            <v>RS 245</v>
          </cell>
          <cell r="BP148">
            <v>22.9</v>
          </cell>
          <cell r="BQ148">
            <v>6.7</v>
          </cell>
          <cell r="BR148" t="str">
            <v>F</v>
          </cell>
          <cell r="BS148">
            <v>0</v>
          </cell>
          <cell r="BT148">
            <v>0</v>
          </cell>
          <cell r="BU148" t="str">
            <v>DS</v>
          </cell>
          <cell r="BV148" t="str">
            <v/>
          </cell>
          <cell r="BW148">
            <v>1</v>
          </cell>
          <cell r="BX148">
            <v>15</v>
          </cell>
          <cell r="BY148" t="str">
            <v/>
          </cell>
          <cell r="BZ148">
            <v>1</v>
          </cell>
          <cell r="CA148">
            <v>6</v>
          </cell>
          <cell r="CB148">
            <v>1.536</v>
          </cell>
          <cell r="CC148">
            <v>3.3</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3.3</v>
          </cell>
          <cell r="CR148">
            <v>0</v>
          </cell>
          <cell r="CS148">
            <v>1</v>
          </cell>
          <cell r="CT148">
            <v>0</v>
          </cell>
          <cell r="CU148">
            <v>0</v>
          </cell>
          <cell r="CV148">
            <v>0</v>
          </cell>
          <cell r="CW148">
            <v>0</v>
          </cell>
          <cell r="CX148" t="str">
            <v/>
          </cell>
          <cell r="CY148">
            <v>1</v>
          </cell>
          <cell r="CZ148">
            <v>1</v>
          </cell>
          <cell r="DA148">
            <v>1</v>
          </cell>
          <cell r="DB148">
            <v>60</v>
          </cell>
          <cell r="DC148">
            <v>29</v>
          </cell>
          <cell r="DD148">
            <v>16</v>
          </cell>
          <cell r="DE148">
            <v>5</v>
          </cell>
          <cell r="DF148">
            <v>7</v>
          </cell>
          <cell r="DG148">
            <v>2</v>
          </cell>
          <cell r="DH148">
            <v>1</v>
          </cell>
          <cell r="DI148">
            <v>3</v>
          </cell>
        </row>
        <row r="149">
          <cell r="A149" t="str">
            <v>RS 274</v>
          </cell>
          <cell r="B149">
            <v>96</v>
          </cell>
          <cell r="C149" t="str">
            <v>C</v>
          </cell>
          <cell r="D149" t="str">
            <v>T</v>
          </cell>
          <cell r="E149" t="str">
            <v>junction M5 - Salima railway crossing</v>
          </cell>
          <cell r="F149" t="str">
            <v>S122</v>
          </cell>
          <cell r="G149">
            <v>1</v>
          </cell>
          <cell r="H149">
            <v>4.2</v>
          </cell>
          <cell r="I149" t="str">
            <v>F</v>
          </cell>
          <cell r="J149" t="str">
            <v>SALIMA</v>
          </cell>
          <cell r="K149">
            <v>7</v>
          </cell>
          <cell r="L149">
            <v>0</v>
          </cell>
          <cell r="W149">
            <v>76</v>
          </cell>
          <cell r="X149" t="str">
            <v>ST</v>
          </cell>
          <cell r="Y149">
            <v>150</v>
          </cell>
          <cell r="Z149" t="str">
            <v>GR</v>
          </cell>
          <cell r="AA149">
            <v>100</v>
          </cell>
          <cell r="AB149" t="str">
            <v>GR</v>
          </cell>
          <cell r="AC149">
            <v>8</v>
          </cell>
          <cell r="AD149" t="str">
            <v>VR</v>
          </cell>
          <cell r="AE149">
            <v>0</v>
          </cell>
          <cell r="AF149">
            <v>0</v>
          </cell>
          <cell r="AG149">
            <v>0</v>
          </cell>
          <cell r="AH149">
            <v>0</v>
          </cell>
          <cell r="AI149">
            <v>0</v>
          </cell>
          <cell r="AJ149">
            <v>0</v>
          </cell>
          <cell r="AK149">
            <v>0</v>
          </cell>
          <cell r="AL149">
            <v>0</v>
          </cell>
          <cell r="AM149">
            <v>1</v>
          </cell>
          <cell r="AN149" t="str">
            <v>never resealed</v>
          </cell>
          <cell r="BO149" t="str">
            <v>RS 274</v>
          </cell>
          <cell r="BP149">
            <v>4.2</v>
          </cell>
          <cell r="BQ149">
            <v>6</v>
          </cell>
          <cell r="BR149" t="str">
            <v>F</v>
          </cell>
          <cell r="BS149">
            <v>0</v>
          </cell>
          <cell r="BT149">
            <v>0</v>
          </cell>
          <cell r="BU149" t="str">
            <v>ST</v>
          </cell>
          <cell r="BV149" t="str">
            <v/>
          </cell>
          <cell r="BW149">
            <v>1</v>
          </cell>
          <cell r="BX149">
            <v>10</v>
          </cell>
          <cell r="BY149" t="str">
            <v/>
          </cell>
          <cell r="BZ149">
            <v>1</v>
          </cell>
          <cell r="CA149">
            <v>8</v>
          </cell>
          <cell r="CB149">
            <v>0.90800000000000003</v>
          </cell>
          <cell r="CC149">
            <v>6.5</v>
          </cell>
          <cell r="CD149">
            <v>90</v>
          </cell>
          <cell r="CE149">
            <v>65</v>
          </cell>
          <cell r="CF149">
            <v>50</v>
          </cell>
          <cell r="CG149">
            <v>40</v>
          </cell>
          <cell r="CH149">
            <v>15</v>
          </cell>
          <cell r="CI149">
            <v>79</v>
          </cell>
          <cell r="CJ149">
            <v>0.26333333333333336</v>
          </cell>
          <cell r="CK149">
            <v>10</v>
          </cell>
          <cell r="CL149">
            <v>50</v>
          </cell>
          <cell r="CM149">
            <v>0.53022820512820512</v>
          </cell>
          <cell r="CN149">
            <v>0.53022820512820512</v>
          </cell>
          <cell r="CO149">
            <v>0</v>
          </cell>
          <cell r="CP149">
            <v>0</v>
          </cell>
          <cell r="CQ149">
            <v>7.0302282051282052</v>
          </cell>
          <cell r="CR149">
            <v>5</v>
          </cell>
          <cell r="CS149">
            <v>0</v>
          </cell>
          <cell r="CT149">
            <v>0</v>
          </cell>
          <cell r="CU149">
            <v>1</v>
          </cell>
          <cell r="CV149">
            <v>22</v>
          </cell>
          <cell r="CW149">
            <v>22</v>
          </cell>
          <cell r="CX149" t="str">
            <v/>
          </cell>
          <cell r="CY149">
            <v>2</v>
          </cell>
          <cell r="CZ149">
            <v>1</v>
          </cell>
          <cell r="DA149">
            <v>1</v>
          </cell>
          <cell r="DB149">
            <v>470</v>
          </cell>
          <cell r="DC149">
            <v>221</v>
          </cell>
          <cell r="DD149">
            <v>123</v>
          </cell>
          <cell r="DE149">
            <v>36</v>
          </cell>
          <cell r="DF149">
            <v>55</v>
          </cell>
          <cell r="DG149">
            <v>10</v>
          </cell>
          <cell r="DH149">
            <v>5</v>
          </cell>
          <cell r="DI149">
            <v>24</v>
          </cell>
        </row>
        <row r="150">
          <cell r="A150" t="str">
            <v>RS 276</v>
          </cell>
          <cell r="B150">
            <v>98</v>
          </cell>
          <cell r="C150" t="str">
            <v>C</v>
          </cell>
          <cell r="D150" t="str">
            <v>T</v>
          </cell>
          <cell r="E150" t="str">
            <v>Salima railway crossing - Mikute</v>
          </cell>
          <cell r="F150" t="str">
            <v>S122</v>
          </cell>
          <cell r="G150">
            <v>2</v>
          </cell>
          <cell r="H150">
            <v>14.4</v>
          </cell>
          <cell r="I150" t="str">
            <v>F</v>
          </cell>
          <cell r="J150" t="str">
            <v>SALIMA</v>
          </cell>
          <cell r="K150">
            <v>7</v>
          </cell>
          <cell r="L150">
            <v>0</v>
          </cell>
          <cell r="W150">
            <v>76</v>
          </cell>
          <cell r="X150" t="str">
            <v>ST</v>
          </cell>
          <cell r="Y150">
            <v>150</v>
          </cell>
          <cell r="Z150" t="str">
            <v>GR</v>
          </cell>
          <cell r="AA150">
            <v>100</v>
          </cell>
          <cell r="AB150" t="str">
            <v>GR</v>
          </cell>
          <cell r="AC150">
            <v>8</v>
          </cell>
          <cell r="AD150" t="str">
            <v>VR</v>
          </cell>
          <cell r="AE150">
            <v>0</v>
          </cell>
          <cell r="AF150">
            <v>0</v>
          </cell>
          <cell r="AG150">
            <v>0</v>
          </cell>
          <cell r="AH150">
            <v>0</v>
          </cell>
          <cell r="AI150">
            <v>0</v>
          </cell>
          <cell r="AJ150">
            <v>0</v>
          </cell>
          <cell r="AK150">
            <v>0</v>
          </cell>
          <cell r="AL150">
            <v>0</v>
          </cell>
          <cell r="AM150">
            <v>1</v>
          </cell>
          <cell r="AN150" t="str">
            <v>never resealed</v>
          </cell>
          <cell r="BO150" t="str">
            <v>RS 276</v>
          </cell>
          <cell r="BP150">
            <v>14.4</v>
          </cell>
          <cell r="BQ150">
            <v>6</v>
          </cell>
          <cell r="BR150" t="str">
            <v>F</v>
          </cell>
          <cell r="BS150">
            <v>0</v>
          </cell>
          <cell r="BT150">
            <v>0</v>
          </cell>
          <cell r="BU150" t="str">
            <v>ST</v>
          </cell>
          <cell r="BV150" t="str">
            <v/>
          </cell>
          <cell r="BW150">
            <v>1</v>
          </cell>
          <cell r="BX150">
            <v>10</v>
          </cell>
          <cell r="BY150" t="str">
            <v/>
          </cell>
          <cell r="BZ150">
            <v>1</v>
          </cell>
          <cell r="CA150">
            <v>8</v>
          </cell>
          <cell r="CB150">
            <v>0.90800000000000003</v>
          </cell>
          <cell r="CC150">
            <v>6.58</v>
          </cell>
          <cell r="CD150">
            <v>95</v>
          </cell>
          <cell r="CE150">
            <v>45</v>
          </cell>
          <cell r="CF150">
            <v>30</v>
          </cell>
          <cell r="CG150">
            <v>65</v>
          </cell>
          <cell r="CH150">
            <v>15</v>
          </cell>
          <cell r="CI150">
            <v>8</v>
          </cell>
          <cell r="CJ150">
            <v>2.6666666666666668E-2</v>
          </cell>
          <cell r="CK150">
            <v>10</v>
          </cell>
          <cell r="CL150">
            <v>30</v>
          </cell>
          <cell r="CM150">
            <v>0.30853333333333333</v>
          </cell>
          <cell r="CN150">
            <v>0.30853333333333333</v>
          </cell>
          <cell r="CO150">
            <v>0</v>
          </cell>
          <cell r="CP150">
            <v>0</v>
          </cell>
          <cell r="CQ150">
            <v>6.8885333333333332</v>
          </cell>
          <cell r="CR150">
            <v>0</v>
          </cell>
          <cell r="CS150">
            <v>0</v>
          </cell>
          <cell r="CT150">
            <v>0</v>
          </cell>
          <cell r="CU150">
            <v>1</v>
          </cell>
          <cell r="CV150">
            <v>22</v>
          </cell>
          <cell r="CW150">
            <v>22</v>
          </cell>
          <cell r="CX150" t="str">
            <v/>
          </cell>
          <cell r="CY150">
            <v>2.5</v>
          </cell>
          <cell r="CZ150">
            <v>2.5</v>
          </cell>
          <cell r="DA150">
            <v>1.3</v>
          </cell>
          <cell r="DB150">
            <v>370</v>
          </cell>
          <cell r="DC150">
            <v>174</v>
          </cell>
          <cell r="DD150">
            <v>97</v>
          </cell>
          <cell r="DE150">
            <v>28</v>
          </cell>
          <cell r="DF150">
            <v>43</v>
          </cell>
          <cell r="DG150">
            <v>8</v>
          </cell>
          <cell r="DH150">
            <v>4</v>
          </cell>
          <cell r="DI150">
            <v>19</v>
          </cell>
        </row>
        <row r="151">
          <cell r="A151" t="str">
            <v>RS 275</v>
          </cell>
          <cell r="B151">
            <v>97</v>
          </cell>
          <cell r="C151" t="str">
            <v>C</v>
          </cell>
          <cell r="D151" t="str">
            <v>T</v>
          </cell>
          <cell r="E151" t="str">
            <v>Mikute - Grand Beach</v>
          </cell>
          <cell r="F151" t="str">
            <v>S122</v>
          </cell>
          <cell r="G151">
            <v>3</v>
          </cell>
          <cell r="H151">
            <v>5.6</v>
          </cell>
          <cell r="I151" t="str">
            <v>F</v>
          </cell>
          <cell r="J151" t="str">
            <v>SALIMA</v>
          </cell>
          <cell r="K151">
            <v>7</v>
          </cell>
          <cell r="L151">
            <v>0</v>
          </cell>
          <cell r="W151">
            <v>76</v>
          </cell>
          <cell r="X151" t="str">
            <v>ST</v>
          </cell>
          <cell r="Y151">
            <v>150</v>
          </cell>
          <cell r="Z151" t="str">
            <v>GR</v>
          </cell>
          <cell r="AA151">
            <v>100</v>
          </cell>
          <cell r="AB151" t="str">
            <v>GR</v>
          </cell>
          <cell r="AC151">
            <v>8</v>
          </cell>
          <cell r="AD151" t="str">
            <v>VR</v>
          </cell>
          <cell r="AE151">
            <v>0</v>
          </cell>
          <cell r="AF151">
            <v>0</v>
          </cell>
          <cell r="AG151">
            <v>0</v>
          </cell>
          <cell r="AH151">
            <v>0</v>
          </cell>
          <cell r="AI151">
            <v>0</v>
          </cell>
          <cell r="AJ151">
            <v>0</v>
          </cell>
          <cell r="AK151">
            <v>0</v>
          </cell>
          <cell r="AL151">
            <v>0</v>
          </cell>
          <cell r="AM151">
            <v>1</v>
          </cell>
          <cell r="AN151" t="str">
            <v>never resealed</v>
          </cell>
          <cell r="BO151" t="str">
            <v>RS 275</v>
          </cell>
          <cell r="BP151">
            <v>5.6</v>
          </cell>
          <cell r="BQ151">
            <v>6</v>
          </cell>
          <cell r="BR151" t="str">
            <v>F</v>
          </cell>
          <cell r="BS151">
            <v>0</v>
          </cell>
          <cell r="BT151">
            <v>0</v>
          </cell>
          <cell r="BU151" t="str">
            <v>ST</v>
          </cell>
          <cell r="BV151" t="str">
            <v/>
          </cell>
          <cell r="BW151">
            <v>1</v>
          </cell>
          <cell r="BX151">
            <v>10</v>
          </cell>
          <cell r="BY151" t="str">
            <v/>
          </cell>
          <cell r="BZ151">
            <v>1</v>
          </cell>
          <cell r="CA151">
            <v>8</v>
          </cell>
          <cell r="CB151">
            <v>0.90800000000000003</v>
          </cell>
          <cell r="CC151">
            <v>8.94</v>
          </cell>
          <cell r="CD151">
            <v>50</v>
          </cell>
          <cell r="CE151">
            <v>5</v>
          </cell>
          <cell r="CF151">
            <v>0</v>
          </cell>
          <cell r="CG151">
            <v>50</v>
          </cell>
          <cell r="CH151">
            <v>5</v>
          </cell>
          <cell r="CI151">
            <v>65</v>
          </cell>
          <cell r="CJ151">
            <v>0.21666666666666665</v>
          </cell>
          <cell r="CK151">
            <v>0.21666666666666665</v>
          </cell>
          <cell r="CL151">
            <v>0</v>
          </cell>
          <cell r="CM151">
            <v>8.3999999999999991E-2</v>
          </cell>
          <cell r="CN151">
            <v>8.3999999999999991E-2</v>
          </cell>
          <cell r="CO151">
            <v>0</v>
          </cell>
          <cell r="CP151">
            <v>0</v>
          </cell>
          <cell r="CQ151">
            <v>9.0239999999999991</v>
          </cell>
          <cell r="CR151">
            <v>0</v>
          </cell>
          <cell r="CS151">
            <v>0</v>
          </cell>
          <cell r="CT151">
            <v>0</v>
          </cell>
          <cell r="CU151">
            <v>1</v>
          </cell>
          <cell r="CV151">
            <v>22</v>
          </cell>
          <cell r="CW151">
            <v>22</v>
          </cell>
          <cell r="CX151" t="str">
            <v/>
          </cell>
          <cell r="CY151">
            <v>3</v>
          </cell>
          <cell r="CZ151">
            <v>3</v>
          </cell>
          <cell r="DA151">
            <v>1.5</v>
          </cell>
          <cell r="DB151">
            <v>250</v>
          </cell>
          <cell r="DC151">
            <v>118</v>
          </cell>
          <cell r="DD151">
            <v>65</v>
          </cell>
          <cell r="DE151">
            <v>19</v>
          </cell>
          <cell r="DF151">
            <v>29</v>
          </cell>
          <cell r="DG151">
            <v>5</v>
          </cell>
          <cell r="DH151">
            <v>3</v>
          </cell>
          <cell r="DI151">
            <v>13</v>
          </cell>
        </row>
        <row r="152">
          <cell r="A152" t="str">
            <v>RS 161</v>
          </cell>
          <cell r="B152">
            <v>161</v>
          </cell>
          <cell r="C152" t="str">
            <v>C</v>
          </cell>
          <cell r="D152" t="str">
            <v>T</v>
          </cell>
          <cell r="E152" t="str">
            <v>Likuni Road</v>
          </cell>
          <cell r="F152" t="str">
            <v>S124</v>
          </cell>
          <cell r="G152">
            <v>1</v>
          </cell>
          <cell r="H152">
            <v>8.8000000000000007</v>
          </cell>
          <cell r="I152" t="str">
            <v>F</v>
          </cell>
          <cell r="J152" t="str">
            <v>LILONGWE</v>
          </cell>
          <cell r="K152">
            <v>6</v>
          </cell>
          <cell r="L152" t="str">
            <v>Changed from urban to trunk</v>
          </cell>
          <cell r="W152">
            <v>73</v>
          </cell>
          <cell r="X152" t="str">
            <v>ST</v>
          </cell>
          <cell r="Y152">
            <v>150</v>
          </cell>
          <cell r="Z152" t="str">
            <v>GR</v>
          </cell>
          <cell r="AA152">
            <v>100</v>
          </cell>
          <cell r="AB152" t="str">
            <v>GR</v>
          </cell>
          <cell r="AC152">
            <v>25</v>
          </cell>
          <cell r="AD152" t="str">
            <v>VR</v>
          </cell>
          <cell r="AE152">
            <v>98</v>
          </cell>
          <cell r="AF152" t="str">
            <v>SS</v>
          </cell>
          <cell r="AG152" t="str">
            <v>SS</v>
          </cell>
          <cell r="AH152">
            <v>5</v>
          </cell>
          <cell r="AI152">
            <v>0</v>
          </cell>
          <cell r="AJ152">
            <v>0</v>
          </cell>
          <cell r="AK152">
            <v>0</v>
          </cell>
          <cell r="AL152">
            <v>0</v>
          </cell>
          <cell r="AM152">
            <v>3</v>
          </cell>
          <cell r="AN152">
            <v>0</v>
          </cell>
          <cell r="BO152" t="str">
            <v>RS 161</v>
          </cell>
          <cell r="BP152">
            <v>8.8000000000000007</v>
          </cell>
          <cell r="BQ152">
            <v>6</v>
          </cell>
          <cell r="BR152" t="str">
            <v>F</v>
          </cell>
          <cell r="BS152" t="str">
            <v>C</v>
          </cell>
          <cell r="BT152">
            <v>0</v>
          </cell>
          <cell r="BU152" t="str">
            <v>SS</v>
          </cell>
          <cell r="BV152" t="str">
            <v>ST</v>
          </cell>
          <cell r="BW152">
            <v>3</v>
          </cell>
          <cell r="BX152">
            <v>5</v>
          </cell>
          <cell r="BY152">
            <v>10</v>
          </cell>
          <cell r="BZ152">
            <v>1</v>
          </cell>
          <cell r="CA152">
            <v>25</v>
          </cell>
          <cell r="CB152">
            <v>0.90800000000000003</v>
          </cell>
          <cell r="CC152">
            <v>6.77</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5</v>
          </cell>
          <cell r="CR152">
            <v>0</v>
          </cell>
          <cell r="CS152">
            <v>1</v>
          </cell>
          <cell r="CT152">
            <v>0</v>
          </cell>
          <cell r="CU152">
            <v>0</v>
          </cell>
          <cell r="CV152">
            <v>0</v>
          </cell>
          <cell r="CW152">
            <v>25</v>
          </cell>
          <cell r="CX152">
            <v>50</v>
          </cell>
          <cell r="CY152">
            <v>1</v>
          </cell>
          <cell r="CZ152">
            <v>1.5</v>
          </cell>
          <cell r="DA152">
            <v>2</v>
          </cell>
          <cell r="DB152">
            <v>1169</v>
          </cell>
          <cell r="DC152">
            <v>550</v>
          </cell>
          <cell r="DD152">
            <v>304</v>
          </cell>
          <cell r="DE152">
            <v>88</v>
          </cell>
          <cell r="DF152">
            <v>135</v>
          </cell>
          <cell r="DG152">
            <v>24</v>
          </cell>
          <cell r="DH152">
            <v>12</v>
          </cell>
          <cell r="DI152">
            <v>59</v>
          </cell>
        </row>
        <row r="153">
          <cell r="A153" t="str">
            <v>RS 289</v>
          </cell>
          <cell r="B153">
            <v>111</v>
          </cell>
          <cell r="C153" t="str">
            <v>C</v>
          </cell>
          <cell r="D153" t="str">
            <v>T</v>
          </cell>
          <cell r="E153" t="str">
            <v>Likuni - Chinsapo</v>
          </cell>
          <cell r="F153" t="str">
            <v>S124</v>
          </cell>
          <cell r="G153">
            <v>2</v>
          </cell>
          <cell r="H153">
            <v>4.3</v>
          </cell>
          <cell r="I153" t="str">
            <v>F</v>
          </cell>
          <cell r="J153" t="str">
            <v>LILONGWE</v>
          </cell>
          <cell r="K153">
            <v>6</v>
          </cell>
          <cell r="L153">
            <v>0</v>
          </cell>
          <cell r="W153">
            <v>73</v>
          </cell>
          <cell r="X153" t="str">
            <v>ST</v>
          </cell>
          <cell r="Y153">
            <v>150</v>
          </cell>
          <cell r="Z153" t="str">
            <v>GR</v>
          </cell>
          <cell r="AA153">
            <v>100</v>
          </cell>
          <cell r="AB153" t="str">
            <v>GR</v>
          </cell>
          <cell r="AC153">
            <v>25</v>
          </cell>
          <cell r="AD153" t="str">
            <v>VR</v>
          </cell>
          <cell r="AE153">
            <v>98</v>
          </cell>
          <cell r="AF153" t="str">
            <v>SS</v>
          </cell>
          <cell r="AG153" t="str">
            <v>SS</v>
          </cell>
          <cell r="AH153">
            <v>5</v>
          </cell>
          <cell r="AI153">
            <v>0</v>
          </cell>
          <cell r="AJ153">
            <v>0</v>
          </cell>
          <cell r="AK153">
            <v>0</v>
          </cell>
          <cell r="AL153">
            <v>0</v>
          </cell>
          <cell r="AM153">
            <v>3</v>
          </cell>
          <cell r="AN153">
            <v>0</v>
          </cell>
          <cell r="BO153" t="str">
            <v>RS 289</v>
          </cell>
          <cell r="BP153">
            <v>4.3</v>
          </cell>
          <cell r="BQ153">
            <v>6</v>
          </cell>
          <cell r="BR153" t="str">
            <v>F</v>
          </cell>
          <cell r="BS153">
            <v>0</v>
          </cell>
          <cell r="BT153">
            <v>0</v>
          </cell>
          <cell r="BU153" t="str">
            <v>SS</v>
          </cell>
          <cell r="BV153" t="str">
            <v>ST</v>
          </cell>
          <cell r="BW153">
            <v>3</v>
          </cell>
          <cell r="BX153">
            <v>5</v>
          </cell>
          <cell r="BY153">
            <v>10</v>
          </cell>
          <cell r="BZ153">
            <v>1</v>
          </cell>
          <cell r="CA153">
            <v>25</v>
          </cell>
          <cell r="CB153">
            <v>0.90800000000000003</v>
          </cell>
          <cell r="CC153">
            <v>6.77</v>
          </cell>
          <cell r="CD153">
            <v>0</v>
          </cell>
          <cell r="CE153">
            <v>0</v>
          </cell>
          <cell r="CF153">
            <v>0</v>
          </cell>
          <cell r="CG153">
            <v>0</v>
          </cell>
          <cell r="CH153">
            <v>0</v>
          </cell>
          <cell r="CI153">
            <v>0</v>
          </cell>
          <cell r="CJ153">
            <v>0</v>
          </cell>
          <cell r="CK153">
            <v>0</v>
          </cell>
          <cell r="CL153">
            <v>0</v>
          </cell>
          <cell r="CM153">
            <v>0</v>
          </cell>
          <cell r="CN153">
            <v>0</v>
          </cell>
          <cell r="CO153">
            <v>0</v>
          </cell>
          <cell r="CP153">
            <v>0</v>
          </cell>
          <cell r="CQ153">
            <v>5</v>
          </cell>
          <cell r="CR153">
            <v>0</v>
          </cell>
          <cell r="CS153">
            <v>1</v>
          </cell>
          <cell r="CT153">
            <v>0</v>
          </cell>
          <cell r="CU153">
            <v>0</v>
          </cell>
          <cell r="CV153">
            <v>0</v>
          </cell>
          <cell r="CW153">
            <v>25</v>
          </cell>
          <cell r="CX153">
            <v>50</v>
          </cell>
          <cell r="CY153">
            <v>1</v>
          </cell>
          <cell r="CZ153">
            <v>1.5</v>
          </cell>
          <cell r="DA153">
            <v>2</v>
          </cell>
          <cell r="DB153">
            <v>1169</v>
          </cell>
          <cell r="DC153">
            <v>550</v>
          </cell>
          <cell r="DD153">
            <v>304</v>
          </cell>
          <cell r="DE153">
            <v>88</v>
          </cell>
          <cell r="DF153">
            <v>135</v>
          </cell>
          <cell r="DG153">
            <v>24</v>
          </cell>
          <cell r="DH153">
            <v>12</v>
          </cell>
          <cell r="DI153">
            <v>59</v>
          </cell>
        </row>
        <row r="154">
          <cell r="A154" t="str">
            <v>RS 298</v>
          </cell>
          <cell r="B154">
            <v>120</v>
          </cell>
          <cell r="C154" t="str">
            <v>C</v>
          </cell>
          <cell r="D154" t="str">
            <v>T</v>
          </cell>
          <cell r="E154" t="str">
            <v>Chitsime - Kayabwa</v>
          </cell>
          <cell r="F154" t="str">
            <v>S125</v>
          </cell>
          <cell r="G154">
            <v>1</v>
          </cell>
          <cell r="H154">
            <v>6.7</v>
          </cell>
          <cell r="I154" t="str">
            <v>F</v>
          </cell>
          <cell r="J154" t="str">
            <v>LILONGWE</v>
          </cell>
          <cell r="K154">
            <v>6</v>
          </cell>
          <cell r="L154">
            <v>0</v>
          </cell>
          <cell r="W154">
            <v>90</v>
          </cell>
          <cell r="X154" t="str">
            <v>ST</v>
          </cell>
          <cell r="Y154">
            <v>150</v>
          </cell>
          <cell r="Z154" t="str">
            <v>GR</v>
          </cell>
          <cell r="AA154">
            <v>100</v>
          </cell>
          <cell r="AB154" t="str">
            <v>GR</v>
          </cell>
          <cell r="AC154">
            <v>5</v>
          </cell>
          <cell r="AD154" t="str">
            <v>AM</v>
          </cell>
          <cell r="AE154">
            <v>0</v>
          </cell>
          <cell r="AF154">
            <v>0</v>
          </cell>
          <cell r="AG154">
            <v>0</v>
          </cell>
          <cell r="AH154">
            <v>0</v>
          </cell>
          <cell r="AI154">
            <v>0</v>
          </cell>
          <cell r="AJ154">
            <v>0</v>
          </cell>
          <cell r="AK154">
            <v>0</v>
          </cell>
          <cell r="AL154">
            <v>0</v>
          </cell>
          <cell r="AM154">
            <v>1</v>
          </cell>
          <cell r="AN154" t="str">
            <v>never resealed</v>
          </cell>
          <cell r="BO154" t="str">
            <v>RS 298</v>
          </cell>
          <cell r="BP154">
            <v>6.7</v>
          </cell>
          <cell r="BQ154">
            <v>6</v>
          </cell>
          <cell r="BR154" t="str">
            <v>F</v>
          </cell>
          <cell r="BS154">
            <v>0</v>
          </cell>
          <cell r="BT154">
            <v>0</v>
          </cell>
          <cell r="BU154" t="str">
            <v>ST</v>
          </cell>
          <cell r="BV154" t="str">
            <v/>
          </cell>
          <cell r="BW154">
            <v>1</v>
          </cell>
          <cell r="BX154">
            <v>10</v>
          </cell>
          <cell r="BY154" t="str">
            <v/>
          </cell>
          <cell r="BZ154">
            <v>1</v>
          </cell>
          <cell r="CA154">
            <v>5</v>
          </cell>
          <cell r="CB154">
            <v>0.90800000000000003</v>
          </cell>
          <cell r="CC154">
            <v>4.5</v>
          </cell>
          <cell r="CD154">
            <v>15</v>
          </cell>
          <cell r="CE154">
            <v>0</v>
          </cell>
          <cell r="CF154">
            <v>0</v>
          </cell>
          <cell r="CG154">
            <v>15</v>
          </cell>
          <cell r="CH154">
            <v>0</v>
          </cell>
          <cell r="CI154">
            <v>0</v>
          </cell>
          <cell r="CJ154">
            <v>0</v>
          </cell>
          <cell r="CK154">
            <v>0</v>
          </cell>
          <cell r="CL154">
            <v>0</v>
          </cell>
          <cell r="CM154">
            <v>0</v>
          </cell>
          <cell r="CN154">
            <v>0</v>
          </cell>
          <cell r="CO154">
            <v>0</v>
          </cell>
          <cell r="CP154">
            <v>0</v>
          </cell>
          <cell r="CQ154">
            <v>4.5</v>
          </cell>
          <cell r="CR154">
            <v>0</v>
          </cell>
          <cell r="CS154">
            <v>1</v>
          </cell>
          <cell r="CT154">
            <v>0</v>
          </cell>
          <cell r="CU154">
            <v>0</v>
          </cell>
          <cell r="CV154">
            <v>8</v>
          </cell>
          <cell r="CW154">
            <v>8</v>
          </cell>
          <cell r="CX154" t="str">
            <v/>
          </cell>
          <cell r="CY154">
            <v>1.2</v>
          </cell>
          <cell r="CZ154">
            <v>1.5</v>
          </cell>
          <cell r="DA154">
            <v>1.2</v>
          </cell>
          <cell r="DB154">
            <v>300</v>
          </cell>
          <cell r="DC154">
            <v>141</v>
          </cell>
          <cell r="DD154">
            <v>78</v>
          </cell>
          <cell r="DE154">
            <v>23</v>
          </cell>
          <cell r="DF154">
            <v>35</v>
          </cell>
          <cell r="DG154">
            <v>6</v>
          </cell>
          <cell r="DH154">
            <v>3</v>
          </cell>
          <cell r="DI154">
            <v>15</v>
          </cell>
        </row>
        <row r="155">
          <cell r="A155" t="str">
            <v>RS 294</v>
          </cell>
          <cell r="B155">
            <v>116</v>
          </cell>
          <cell r="C155" t="str">
            <v>C</v>
          </cell>
          <cell r="D155" t="str">
            <v>T</v>
          </cell>
          <cell r="E155" t="str">
            <v>Kayabwa - Bunda</v>
          </cell>
          <cell r="F155" t="str">
            <v>S125</v>
          </cell>
          <cell r="G155">
            <v>2</v>
          </cell>
          <cell r="H155">
            <v>9.6999999999999993</v>
          </cell>
          <cell r="I155" t="str">
            <v>F</v>
          </cell>
          <cell r="J155" t="str">
            <v>LILONGWE</v>
          </cell>
          <cell r="K155">
            <v>6</v>
          </cell>
          <cell r="L155">
            <v>0</v>
          </cell>
          <cell r="W155">
            <v>90</v>
          </cell>
          <cell r="X155" t="str">
            <v>ST</v>
          </cell>
          <cell r="Y155">
            <v>150</v>
          </cell>
          <cell r="Z155" t="str">
            <v>GR</v>
          </cell>
          <cell r="AA155">
            <v>100</v>
          </cell>
          <cell r="AB155" t="str">
            <v>GR</v>
          </cell>
          <cell r="AC155">
            <v>5</v>
          </cell>
          <cell r="AD155" t="str">
            <v>PM</v>
          </cell>
          <cell r="AE155">
            <v>0</v>
          </cell>
          <cell r="AF155">
            <v>0</v>
          </cell>
          <cell r="AG155">
            <v>0</v>
          </cell>
          <cell r="AH155">
            <v>0</v>
          </cell>
          <cell r="AI155">
            <v>0</v>
          </cell>
          <cell r="AJ155">
            <v>0</v>
          </cell>
          <cell r="AK155">
            <v>0</v>
          </cell>
          <cell r="AL155">
            <v>0</v>
          </cell>
          <cell r="AM155">
            <v>1</v>
          </cell>
          <cell r="AN155" t="str">
            <v>never resealed</v>
          </cell>
          <cell r="BO155" t="str">
            <v>RS 294</v>
          </cell>
          <cell r="BP155">
            <v>9.6999999999999993</v>
          </cell>
          <cell r="BQ155">
            <v>6</v>
          </cell>
          <cell r="BR155" t="str">
            <v>F</v>
          </cell>
          <cell r="BS155">
            <v>0</v>
          </cell>
          <cell r="BT155">
            <v>0</v>
          </cell>
          <cell r="BU155" t="str">
            <v>ST</v>
          </cell>
          <cell r="BV155" t="str">
            <v/>
          </cell>
          <cell r="BW155">
            <v>1</v>
          </cell>
          <cell r="BX155">
            <v>10</v>
          </cell>
          <cell r="BY155" t="str">
            <v/>
          </cell>
          <cell r="BZ155">
            <v>1</v>
          </cell>
          <cell r="CA155">
            <v>5</v>
          </cell>
          <cell r="CB155">
            <v>0.90800000000000003</v>
          </cell>
          <cell r="CC155">
            <v>4.5</v>
          </cell>
          <cell r="CD155">
            <v>15</v>
          </cell>
          <cell r="CE155">
            <v>0</v>
          </cell>
          <cell r="CF155">
            <v>0</v>
          </cell>
          <cell r="CG155">
            <v>15</v>
          </cell>
          <cell r="CH155">
            <v>0</v>
          </cell>
          <cell r="CI155">
            <v>0</v>
          </cell>
          <cell r="CJ155">
            <v>0</v>
          </cell>
          <cell r="CK155">
            <v>0</v>
          </cell>
          <cell r="CL155">
            <v>0</v>
          </cell>
          <cell r="CM155">
            <v>0</v>
          </cell>
          <cell r="CN155">
            <v>0</v>
          </cell>
          <cell r="CO155">
            <v>0</v>
          </cell>
          <cell r="CP155">
            <v>0</v>
          </cell>
          <cell r="CQ155">
            <v>4.5</v>
          </cell>
          <cell r="CR155">
            <v>0</v>
          </cell>
          <cell r="CS155">
            <v>1</v>
          </cell>
          <cell r="CT155">
            <v>0</v>
          </cell>
          <cell r="CU155">
            <v>0</v>
          </cell>
          <cell r="CV155">
            <v>8</v>
          </cell>
          <cell r="CW155">
            <v>8</v>
          </cell>
          <cell r="CX155" t="str">
            <v/>
          </cell>
          <cell r="CY155">
            <v>1.2</v>
          </cell>
          <cell r="CZ155">
            <v>1.5</v>
          </cell>
          <cell r="DA155">
            <v>1.2</v>
          </cell>
          <cell r="DB155">
            <v>300</v>
          </cell>
          <cell r="DC155">
            <v>141</v>
          </cell>
          <cell r="DD155">
            <v>78</v>
          </cell>
          <cell r="DE155">
            <v>23</v>
          </cell>
          <cell r="DF155">
            <v>35</v>
          </cell>
          <cell r="DG155">
            <v>6</v>
          </cell>
          <cell r="DH155">
            <v>3</v>
          </cell>
          <cell r="DI155">
            <v>15</v>
          </cell>
        </row>
        <row r="156">
          <cell r="A156" t="str">
            <v>RS 307</v>
          </cell>
          <cell r="B156">
            <v>129</v>
          </cell>
          <cell r="C156" t="str">
            <v>C</v>
          </cell>
          <cell r="D156" t="str">
            <v>T</v>
          </cell>
          <cell r="E156" t="str">
            <v>Mganja - Kabulika</v>
          </cell>
          <cell r="F156" t="str">
            <v>S127</v>
          </cell>
          <cell r="G156">
            <v>4</v>
          </cell>
          <cell r="H156">
            <v>8.5</v>
          </cell>
          <cell r="I156" t="str">
            <v>R</v>
          </cell>
          <cell r="J156" t="str">
            <v>DEDZA</v>
          </cell>
          <cell r="K156">
            <v>7</v>
          </cell>
          <cell r="L156">
            <v>0</v>
          </cell>
          <cell r="W156">
            <v>73</v>
          </cell>
          <cell r="X156" t="str">
            <v>ST</v>
          </cell>
          <cell r="Y156">
            <v>100</v>
          </cell>
          <cell r="Z156" t="str">
            <v>GR</v>
          </cell>
          <cell r="AA156">
            <v>100</v>
          </cell>
          <cell r="AB156" t="str">
            <v>GR</v>
          </cell>
          <cell r="AC156">
            <v>5</v>
          </cell>
          <cell r="AD156" t="str">
            <v>PM</v>
          </cell>
          <cell r="AE156">
            <v>0</v>
          </cell>
          <cell r="AF156">
            <v>0</v>
          </cell>
          <cell r="AG156">
            <v>0</v>
          </cell>
          <cell r="AH156">
            <v>0</v>
          </cell>
          <cell r="AI156">
            <v>0</v>
          </cell>
          <cell r="AJ156">
            <v>0</v>
          </cell>
          <cell r="AK156">
            <v>0</v>
          </cell>
          <cell r="AL156">
            <v>0</v>
          </cell>
          <cell r="AM156">
            <v>1</v>
          </cell>
          <cell r="AN156" t="str">
            <v>never resealed</v>
          </cell>
          <cell r="BO156" t="str">
            <v>RS 307</v>
          </cell>
          <cell r="BP156">
            <v>8.5</v>
          </cell>
          <cell r="BQ156">
            <v>5.5</v>
          </cell>
          <cell r="BR156" t="str">
            <v>R</v>
          </cell>
          <cell r="BS156">
            <v>0</v>
          </cell>
          <cell r="BT156">
            <v>0</v>
          </cell>
          <cell r="BU156" t="str">
            <v>ST</v>
          </cell>
          <cell r="BV156" t="str">
            <v/>
          </cell>
          <cell r="BW156">
            <v>1</v>
          </cell>
          <cell r="BX156">
            <v>10</v>
          </cell>
          <cell r="BY156" t="str">
            <v/>
          </cell>
          <cell r="BZ156">
            <v>1</v>
          </cell>
          <cell r="CA156">
            <v>5</v>
          </cell>
          <cell r="CB156">
            <v>0.90800000000000003</v>
          </cell>
          <cell r="CC156">
            <v>5</v>
          </cell>
          <cell r="CD156">
            <v>30</v>
          </cell>
          <cell r="CE156">
            <v>15</v>
          </cell>
          <cell r="CF156">
            <v>0</v>
          </cell>
          <cell r="CG156">
            <v>30</v>
          </cell>
          <cell r="CH156">
            <v>15</v>
          </cell>
          <cell r="CI156">
            <v>5</v>
          </cell>
          <cell r="CJ156">
            <v>1.8181818181818181E-2</v>
          </cell>
          <cell r="CK156">
            <v>1.8181818181818181E-2</v>
          </cell>
          <cell r="CL156">
            <v>0</v>
          </cell>
          <cell r="CM156">
            <v>7.0489510489510484E-3</v>
          </cell>
          <cell r="CN156">
            <v>7.0489510489510484E-3</v>
          </cell>
          <cell r="CO156">
            <v>0</v>
          </cell>
          <cell r="CP156">
            <v>0</v>
          </cell>
          <cell r="CQ156">
            <v>5.0070489510489509</v>
          </cell>
          <cell r="CR156">
            <v>3</v>
          </cell>
          <cell r="CS156">
            <v>1</v>
          </cell>
          <cell r="CT156">
            <v>0</v>
          </cell>
          <cell r="CU156">
            <v>0</v>
          </cell>
          <cell r="CV156">
            <v>25</v>
          </cell>
          <cell r="CW156">
            <v>25</v>
          </cell>
          <cell r="CX156" t="str">
            <v/>
          </cell>
          <cell r="CY156">
            <v>1.3</v>
          </cell>
          <cell r="CZ156">
            <v>1.2</v>
          </cell>
          <cell r="DA156">
            <v>1.3</v>
          </cell>
          <cell r="DB156">
            <v>40</v>
          </cell>
          <cell r="DC156">
            <v>19</v>
          </cell>
          <cell r="DD156">
            <v>11</v>
          </cell>
          <cell r="DE156">
            <v>3</v>
          </cell>
          <cell r="DF156">
            <v>5</v>
          </cell>
          <cell r="DG156">
            <v>1</v>
          </cell>
          <cell r="DH156">
            <v>1</v>
          </cell>
          <cell r="DI156">
            <v>2</v>
          </cell>
        </row>
        <row r="157">
          <cell r="A157" t="str">
            <v>RS 333</v>
          </cell>
          <cell r="B157">
            <v>155</v>
          </cell>
          <cell r="C157" t="str">
            <v>S</v>
          </cell>
          <cell r="D157" t="str">
            <v>T</v>
          </cell>
          <cell r="E157" t="str">
            <v>Mang'oma - Nsandu</v>
          </cell>
          <cell r="F157" t="str">
            <v>S128</v>
          </cell>
          <cell r="G157">
            <v>1</v>
          </cell>
          <cell r="H157">
            <v>11.6</v>
          </cell>
          <cell r="I157" t="str">
            <v>F</v>
          </cell>
          <cell r="J157" t="str">
            <v>MANGOCHI</v>
          </cell>
          <cell r="K157">
            <v>7</v>
          </cell>
          <cell r="L157" t="str">
            <v>Changed designation from M15 to S128</v>
          </cell>
          <cell r="W157">
            <v>74</v>
          </cell>
          <cell r="X157" t="str">
            <v>ST</v>
          </cell>
          <cell r="Y157">
            <v>100</v>
          </cell>
          <cell r="Z157" t="str">
            <v>GR</v>
          </cell>
          <cell r="AA157">
            <v>100</v>
          </cell>
          <cell r="AB157" t="str">
            <v>GR</v>
          </cell>
          <cell r="AC157">
            <v>7</v>
          </cell>
          <cell r="AD157" t="str">
            <v>PM</v>
          </cell>
          <cell r="AE157">
            <v>0</v>
          </cell>
          <cell r="AF157">
            <v>0</v>
          </cell>
          <cell r="AG157">
            <v>0</v>
          </cell>
          <cell r="AH157">
            <v>0</v>
          </cell>
          <cell r="AI157">
            <v>0</v>
          </cell>
          <cell r="AJ157">
            <v>0</v>
          </cell>
          <cell r="AK157">
            <v>0</v>
          </cell>
          <cell r="AL157">
            <v>0</v>
          </cell>
          <cell r="AM157">
            <v>1</v>
          </cell>
          <cell r="AN157" t="str">
            <v>never resealed</v>
          </cell>
          <cell r="BO157" t="str">
            <v>RS 333</v>
          </cell>
          <cell r="BP157">
            <v>11.6</v>
          </cell>
          <cell r="BQ157">
            <v>6.7</v>
          </cell>
          <cell r="BR157" t="str">
            <v>F</v>
          </cell>
          <cell r="BS157">
            <v>0</v>
          </cell>
          <cell r="BT157">
            <v>0</v>
          </cell>
          <cell r="BU157" t="str">
            <v>ST</v>
          </cell>
          <cell r="BV157" t="str">
            <v/>
          </cell>
          <cell r="BW157">
            <v>1</v>
          </cell>
          <cell r="BX157">
            <v>10</v>
          </cell>
          <cell r="BY157" t="str">
            <v/>
          </cell>
          <cell r="BZ157">
            <v>1</v>
          </cell>
          <cell r="CA157">
            <v>7</v>
          </cell>
          <cell r="CB157">
            <v>0.90800000000000003</v>
          </cell>
          <cell r="CC157">
            <v>6.38</v>
          </cell>
          <cell r="CD157">
            <v>95</v>
          </cell>
          <cell r="CE157">
            <v>75</v>
          </cell>
          <cell r="CF157">
            <v>60</v>
          </cell>
          <cell r="CG157">
            <v>35</v>
          </cell>
          <cell r="CH157">
            <v>15</v>
          </cell>
          <cell r="CI157">
            <v>25</v>
          </cell>
          <cell r="CJ157">
            <v>7.4626865671641798E-2</v>
          </cell>
          <cell r="CK157">
            <v>10</v>
          </cell>
          <cell r="CL157">
            <v>60</v>
          </cell>
          <cell r="CM157">
            <v>0.52510907003444307</v>
          </cell>
          <cell r="CN157">
            <v>0.52510907003444307</v>
          </cell>
          <cell r="CO157">
            <v>0</v>
          </cell>
          <cell r="CP157">
            <v>0</v>
          </cell>
          <cell r="CQ157">
            <v>6.9051090700344426</v>
          </cell>
          <cell r="CR157">
            <v>80</v>
          </cell>
          <cell r="CS157">
            <v>1.6</v>
          </cell>
          <cell r="CT157">
            <v>3.0000000000000004</v>
          </cell>
          <cell r="CU157">
            <v>1.2000000000000002</v>
          </cell>
          <cell r="CV157">
            <v>24</v>
          </cell>
          <cell r="CW157">
            <v>24</v>
          </cell>
          <cell r="CX157" t="str">
            <v/>
          </cell>
          <cell r="CY157">
            <v>3</v>
          </cell>
          <cell r="CZ157">
            <v>3</v>
          </cell>
          <cell r="DA157">
            <v>1</v>
          </cell>
          <cell r="DB157">
            <v>1000</v>
          </cell>
          <cell r="DC157">
            <v>470</v>
          </cell>
          <cell r="DD157">
            <v>260</v>
          </cell>
          <cell r="DE157">
            <v>75</v>
          </cell>
          <cell r="DF157">
            <v>115</v>
          </cell>
          <cell r="DG157">
            <v>20</v>
          </cell>
          <cell r="DH157">
            <v>10</v>
          </cell>
          <cell r="DI157">
            <v>50</v>
          </cell>
        </row>
        <row r="158">
          <cell r="A158" t="str">
            <v>RS 354</v>
          </cell>
          <cell r="B158">
            <v>176</v>
          </cell>
          <cell r="C158" t="str">
            <v>S</v>
          </cell>
          <cell r="D158" t="str">
            <v>T</v>
          </cell>
          <cell r="E158" t="str">
            <v>Naminga - Malipa</v>
          </cell>
          <cell r="F158" t="str">
            <v>S131</v>
          </cell>
          <cell r="G158">
            <v>9</v>
          </cell>
          <cell r="H158">
            <v>5.2</v>
          </cell>
          <cell r="I158" t="str">
            <v>R</v>
          </cell>
          <cell r="J158" t="str">
            <v>MACHINGA</v>
          </cell>
          <cell r="K158">
            <v>8</v>
          </cell>
          <cell r="L158">
            <v>0</v>
          </cell>
          <cell r="W158">
            <v>83</v>
          </cell>
          <cell r="X158" t="str">
            <v>DS</v>
          </cell>
          <cell r="Y158">
            <v>100</v>
          </cell>
          <cell r="Z158" t="str">
            <v>GR</v>
          </cell>
          <cell r="AA158">
            <v>100</v>
          </cell>
          <cell r="AB158" t="str">
            <v>GR</v>
          </cell>
          <cell r="AC158">
            <v>5</v>
          </cell>
          <cell r="AD158">
            <v>0</v>
          </cell>
          <cell r="AE158">
            <v>0</v>
          </cell>
          <cell r="AF158">
            <v>0</v>
          </cell>
          <cell r="AG158">
            <v>0</v>
          </cell>
          <cell r="AH158">
            <v>0</v>
          </cell>
          <cell r="AI158">
            <v>0</v>
          </cell>
          <cell r="AJ158">
            <v>0</v>
          </cell>
          <cell r="AK158">
            <v>0</v>
          </cell>
          <cell r="AL158">
            <v>0</v>
          </cell>
          <cell r="AM158">
            <v>1</v>
          </cell>
          <cell r="AN158" t="str">
            <v>never resealed</v>
          </cell>
          <cell r="BO158" t="str">
            <v>RS 354</v>
          </cell>
          <cell r="BP158">
            <v>5.2</v>
          </cell>
          <cell r="BQ158">
            <v>6.7</v>
          </cell>
          <cell r="BR158" t="str">
            <v>R</v>
          </cell>
          <cell r="BS158">
            <v>0</v>
          </cell>
          <cell r="BT158">
            <v>0</v>
          </cell>
          <cell r="BU158" t="str">
            <v>DS</v>
          </cell>
          <cell r="BV158" t="str">
            <v/>
          </cell>
          <cell r="BW158">
            <v>1</v>
          </cell>
          <cell r="BX158">
            <v>15</v>
          </cell>
          <cell r="BY158" t="str">
            <v/>
          </cell>
          <cell r="BZ158">
            <v>1</v>
          </cell>
          <cell r="CA158">
            <v>5</v>
          </cell>
          <cell r="CB158">
            <v>1.077</v>
          </cell>
          <cell r="CC158">
            <v>3</v>
          </cell>
          <cell r="CD158">
            <v>10</v>
          </cell>
          <cell r="CE158">
            <v>5</v>
          </cell>
          <cell r="CF158">
            <v>0</v>
          </cell>
          <cell r="CG158">
            <v>10</v>
          </cell>
          <cell r="CH158">
            <v>5</v>
          </cell>
          <cell r="CI158">
            <v>2</v>
          </cell>
          <cell r="CJ158">
            <v>5.9701492537313433E-3</v>
          </cell>
          <cell r="CK158">
            <v>5.9701492537313433E-3</v>
          </cell>
          <cell r="CL158">
            <v>0</v>
          </cell>
          <cell r="CM158">
            <v>2.3145809414466131E-3</v>
          </cell>
          <cell r="CN158">
            <v>2.3145809414466131E-3</v>
          </cell>
          <cell r="CO158">
            <v>0</v>
          </cell>
          <cell r="CP158">
            <v>0</v>
          </cell>
          <cell r="CQ158">
            <v>3.0023145809414467</v>
          </cell>
          <cell r="CR158">
            <v>0</v>
          </cell>
          <cell r="CS158">
            <v>1</v>
          </cell>
          <cell r="CT158">
            <v>0</v>
          </cell>
          <cell r="CU158">
            <v>0</v>
          </cell>
          <cell r="CV158">
            <v>15</v>
          </cell>
          <cell r="CW158">
            <v>15</v>
          </cell>
          <cell r="CX158" t="str">
            <v/>
          </cell>
          <cell r="CY158">
            <v>1.5</v>
          </cell>
          <cell r="CZ158">
            <v>1.5</v>
          </cell>
          <cell r="DA158">
            <v>1.5</v>
          </cell>
          <cell r="DB158">
            <v>150</v>
          </cell>
          <cell r="DC158">
            <v>71</v>
          </cell>
          <cell r="DD158">
            <v>39</v>
          </cell>
          <cell r="DE158">
            <v>12</v>
          </cell>
          <cell r="DF158">
            <v>18</v>
          </cell>
          <cell r="DG158">
            <v>3</v>
          </cell>
          <cell r="DH158">
            <v>2</v>
          </cell>
          <cell r="DI158">
            <v>8</v>
          </cell>
        </row>
        <row r="159">
          <cell r="A159" t="str">
            <v>RS 348</v>
          </cell>
          <cell r="B159">
            <v>170</v>
          </cell>
          <cell r="C159" t="str">
            <v>S</v>
          </cell>
          <cell r="D159" t="str">
            <v>T</v>
          </cell>
          <cell r="E159" t="str">
            <v>Malipa - Liwonde (junction M3)</v>
          </cell>
          <cell r="F159" t="str">
            <v>S131</v>
          </cell>
          <cell r="G159">
            <v>10</v>
          </cell>
          <cell r="H159">
            <v>19.100000000000001</v>
          </cell>
          <cell r="I159" t="str">
            <v>R</v>
          </cell>
          <cell r="J159" t="str">
            <v>MACHINGA</v>
          </cell>
          <cell r="K159">
            <v>8</v>
          </cell>
          <cell r="L159">
            <v>0</v>
          </cell>
          <cell r="W159">
            <v>83</v>
          </cell>
          <cell r="X159" t="str">
            <v>DS</v>
          </cell>
          <cell r="Y159">
            <v>100</v>
          </cell>
          <cell r="Z159" t="str">
            <v>GR</v>
          </cell>
          <cell r="AA159">
            <v>100</v>
          </cell>
          <cell r="AB159" t="str">
            <v>GR</v>
          </cell>
          <cell r="AC159">
            <v>6</v>
          </cell>
          <cell r="AD159">
            <v>0</v>
          </cell>
          <cell r="AE159">
            <v>0</v>
          </cell>
          <cell r="AF159">
            <v>0</v>
          </cell>
          <cell r="AG159">
            <v>0</v>
          </cell>
          <cell r="AH159">
            <v>0</v>
          </cell>
          <cell r="AI159">
            <v>0</v>
          </cell>
          <cell r="AJ159">
            <v>0</v>
          </cell>
          <cell r="AK159">
            <v>0</v>
          </cell>
          <cell r="AL159">
            <v>0</v>
          </cell>
          <cell r="AM159">
            <v>1</v>
          </cell>
          <cell r="AN159" t="str">
            <v>never resealed</v>
          </cell>
          <cell r="BO159" t="str">
            <v>RS 348</v>
          </cell>
          <cell r="BP159">
            <v>19.100000000000001</v>
          </cell>
          <cell r="BQ159">
            <v>6.7</v>
          </cell>
          <cell r="BR159" t="str">
            <v>R</v>
          </cell>
          <cell r="BS159">
            <v>0</v>
          </cell>
          <cell r="BT159">
            <v>0</v>
          </cell>
          <cell r="BU159" t="str">
            <v>DS</v>
          </cell>
          <cell r="BV159" t="str">
            <v/>
          </cell>
          <cell r="BW159">
            <v>1</v>
          </cell>
          <cell r="BX159">
            <v>15</v>
          </cell>
          <cell r="BY159" t="str">
            <v/>
          </cell>
          <cell r="BZ159">
            <v>1</v>
          </cell>
          <cell r="CA159">
            <v>6</v>
          </cell>
          <cell r="CB159">
            <v>1.077</v>
          </cell>
          <cell r="CC159">
            <v>3</v>
          </cell>
          <cell r="CD159">
            <v>10</v>
          </cell>
          <cell r="CE159">
            <v>5</v>
          </cell>
          <cell r="CF159">
            <v>0</v>
          </cell>
          <cell r="CG159">
            <v>10</v>
          </cell>
          <cell r="CH159">
            <v>5</v>
          </cell>
          <cell r="CI159">
            <v>2</v>
          </cell>
          <cell r="CJ159">
            <v>5.9701492537313433E-3</v>
          </cell>
          <cell r="CK159">
            <v>5.9701492537313433E-3</v>
          </cell>
          <cell r="CL159">
            <v>0</v>
          </cell>
          <cell r="CM159">
            <v>2.3145809414466131E-3</v>
          </cell>
          <cell r="CN159">
            <v>2.3145809414466131E-3</v>
          </cell>
          <cell r="CO159">
            <v>0</v>
          </cell>
          <cell r="CP159">
            <v>0</v>
          </cell>
          <cell r="CQ159">
            <v>3.0023145809414467</v>
          </cell>
          <cell r="CR159">
            <v>0</v>
          </cell>
          <cell r="CS159">
            <v>1</v>
          </cell>
          <cell r="CT159">
            <v>0</v>
          </cell>
          <cell r="CU159">
            <v>0</v>
          </cell>
          <cell r="CV159">
            <v>15</v>
          </cell>
          <cell r="CW159">
            <v>15</v>
          </cell>
          <cell r="CX159" t="str">
            <v/>
          </cell>
          <cell r="CY159">
            <v>1.5</v>
          </cell>
          <cell r="CZ159">
            <v>1.5</v>
          </cell>
          <cell r="DA159">
            <v>1.5</v>
          </cell>
          <cell r="DB159">
            <v>150</v>
          </cell>
          <cell r="DC159">
            <v>71</v>
          </cell>
          <cell r="DD159">
            <v>39</v>
          </cell>
          <cell r="DE159">
            <v>12</v>
          </cell>
          <cell r="DF159">
            <v>18</v>
          </cell>
          <cell r="DG159">
            <v>3</v>
          </cell>
          <cell r="DH159">
            <v>2</v>
          </cell>
          <cell r="DI159">
            <v>8</v>
          </cell>
        </row>
        <row r="160">
          <cell r="A160" t="str">
            <v>RS 382</v>
          </cell>
          <cell r="B160">
            <v>204</v>
          </cell>
          <cell r="C160" t="str">
            <v>S</v>
          </cell>
          <cell r="D160" t="str">
            <v>T</v>
          </cell>
          <cell r="E160" t="str">
            <v>Chileka Airport - Chirimba (junction M1)</v>
          </cell>
          <cell r="F160" t="str">
            <v>S137</v>
          </cell>
          <cell r="G160">
            <v>6</v>
          </cell>
          <cell r="H160">
            <v>8.3000000000000007</v>
          </cell>
          <cell r="I160" t="str">
            <v>H</v>
          </cell>
          <cell r="J160" t="str">
            <v>BLANTYRE</v>
          </cell>
          <cell r="K160">
            <v>9</v>
          </cell>
          <cell r="L160">
            <v>0</v>
          </cell>
          <cell r="W160">
            <v>65</v>
          </cell>
          <cell r="X160" t="str">
            <v>DS</v>
          </cell>
          <cell r="Y160">
            <v>100</v>
          </cell>
          <cell r="Z160" t="str">
            <v>GR</v>
          </cell>
          <cell r="AA160">
            <v>100</v>
          </cell>
          <cell r="AB160" t="str">
            <v>GR</v>
          </cell>
          <cell r="AC160">
            <v>6</v>
          </cell>
          <cell r="AD160">
            <v>0</v>
          </cell>
          <cell r="AE160">
            <v>0</v>
          </cell>
          <cell r="AF160">
            <v>0</v>
          </cell>
          <cell r="AG160">
            <v>0</v>
          </cell>
          <cell r="AH160">
            <v>0</v>
          </cell>
          <cell r="AI160">
            <v>0</v>
          </cell>
          <cell r="AJ160">
            <v>0</v>
          </cell>
          <cell r="AK160">
            <v>0</v>
          </cell>
          <cell r="AL160">
            <v>0</v>
          </cell>
          <cell r="AM160">
            <v>1</v>
          </cell>
          <cell r="AN160" t="str">
            <v>never resealed</v>
          </cell>
          <cell r="BO160" t="str">
            <v>RS 382</v>
          </cell>
          <cell r="BP160">
            <v>8.3000000000000007</v>
          </cell>
          <cell r="BQ160">
            <v>6.5</v>
          </cell>
          <cell r="BR160" t="str">
            <v>H</v>
          </cell>
          <cell r="BS160">
            <v>0</v>
          </cell>
          <cell r="BT160">
            <v>0</v>
          </cell>
          <cell r="BU160" t="str">
            <v>DS</v>
          </cell>
          <cell r="BV160" t="str">
            <v/>
          </cell>
          <cell r="BW160">
            <v>1</v>
          </cell>
          <cell r="BX160">
            <v>15</v>
          </cell>
          <cell r="BY160" t="str">
            <v/>
          </cell>
          <cell r="BZ160">
            <v>1</v>
          </cell>
          <cell r="CA160">
            <v>6</v>
          </cell>
          <cell r="CB160">
            <v>1.077</v>
          </cell>
          <cell r="CC160">
            <v>7</v>
          </cell>
          <cell r="CD160">
            <v>90</v>
          </cell>
          <cell r="CE160">
            <v>75</v>
          </cell>
          <cell r="CF160">
            <v>60</v>
          </cell>
          <cell r="CG160">
            <v>30</v>
          </cell>
          <cell r="CH160">
            <v>15</v>
          </cell>
          <cell r="CI160">
            <v>47</v>
          </cell>
          <cell r="CJ160">
            <v>0.14461538461538462</v>
          </cell>
          <cell r="CK160">
            <v>10</v>
          </cell>
          <cell r="CL160">
            <v>60</v>
          </cell>
          <cell r="CM160">
            <v>0.55154319526627205</v>
          </cell>
          <cell r="CN160">
            <v>0.55154319526627205</v>
          </cell>
          <cell r="CO160">
            <v>0</v>
          </cell>
          <cell r="CP160">
            <v>0</v>
          </cell>
          <cell r="CQ160">
            <v>7.5515431952662722</v>
          </cell>
          <cell r="CR160">
            <v>0</v>
          </cell>
          <cell r="CS160">
            <v>1</v>
          </cell>
          <cell r="CT160">
            <v>0</v>
          </cell>
          <cell r="CU160">
            <v>0</v>
          </cell>
          <cell r="CV160">
            <v>33</v>
          </cell>
          <cell r="CW160">
            <v>33</v>
          </cell>
          <cell r="CX160" t="str">
            <v/>
          </cell>
          <cell r="CY160">
            <v>2.5</v>
          </cell>
          <cell r="CZ160">
            <v>2</v>
          </cell>
          <cell r="DA160">
            <v>2.5</v>
          </cell>
          <cell r="DB160">
            <v>860</v>
          </cell>
          <cell r="DC160">
            <v>405</v>
          </cell>
          <cell r="DD160">
            <v>224</v>
          </cell>
          <cell r="DE160">
            <v>65</v>
          </cell>
          <cell r="DF160">
            <v>99</v>
          </cell>
          <cell r="DG160">
            <v>18</v>
          </cell>
          <cell r="DH160">
            <v>9</v>
          </cell>
          <cell r="DI160">
            <v>43</v>
          </cell>
        </row>
        <row r="161">
          <cell r="A161" t="str">
            <v>RS 391</v>
          </cell>
          <cell r="B161">
            <v>213</v>
          </cell>
          <cell r="C161" t="str">
            <v>S</v>
          </cell>
          <cell r="D161" t="str">
            <v>T</v>
          </cell>
          <cell r="E161" t="str">
            <v>Kuntiya - junction M3</v>
          </cell>
          <cell r="F161" t="str">
            <v>S139</v>
          </cell>
          <cell r="G161">
            <v>6</v>
          </cell>
          <cell r="H161">
            <v>2.1</v>
          </cell>
          <cell r="I161" t="str">
            <v>H</v>
          </cell>
          <cell r="J161" t="str">
            <v>ZOMBA CITY</v>
          </cell>
          <cell r="K161">
            <v>9</v>
          </cell>
          <cell r="L161" t="str">
            <v>Changed designation from S142 to S139</v>
          </cell>
          <cell r="W161">
            <v>67</v>
          </cell>
          <cell r="X161" t="str">
            <v>ST</v>
          </cell>
          <cell r="Y161">
            <v>100</v>
          </cell>
          <cell r="Z161" t="str">
            <v>GR</v>
          </cell>
          <cell r="AA161">
            <v>100</v>
          </cell>
          <cell r="AB161" t="str">
            <v>GR</v>
          </cell>
          <cell r="AC161">
            <v>5</v>
          </cell>
          <cell r="AD161">
            <v>0</v>
          </cell>
          <cell r="AE161">
            <v>0</v>
          </cell>
          <cell r="AF161">
            <v>0</v>
          </cell>
          <cell r="AG161">
            <v>0</v>
          </cell>
          <cell r="AH161">
            <v>0</v>
          </cell>
          <cell r="AI161">
            <v>0</v>
          </cell>
          <cell r="AJ161">
            <v>0</v>
          </cell>
          <cell r="AK161">
            <v>0</v>
          </cell>
          <cell r="AL161">
            <v>0</v>
          </cell>
          <cell r="AM161">
            <v>1</v>
          </cell>
          <cell r="AN161" t="str">
            <v>never resealed</v>
          </cell>
          <cell r="BO161" t="str">
            <v>RS 391</v>
          </cell>
          <cell r="BP161">
            <v>2.1</v>
          </cell>
          <cell r="BQ161">
            <v>5.5</v>
          </cell>
          <cell r="BR161" t="str">
            <v>H</v>
          </cell>
          <cell r="BS161">
            <v>0</v>
          </cell>
          <cell r="BT161">
            <v>0</v>
          </cell>
          <cell r="BU161" t="str">
            <v>ST</v>
          </cell>
          <cell r="BV161" t="str">
            <v/>
          </cell>
          <cell r="BW161">
            <v>1</v>
          </cell>
          <cell r="BX161">
            <v>10</v>
          </cell>
          <cell r="BY161" t="str">
            <v/>
          </cell>
          <cell r="BZ161">
            <v>1</v>
          </cell>
          <cell r="CA161">
            <v>5</v>
          </cell>
          <cell r="CB161">
            <v>0.90800000000000003</v>
          </cell>
          <cell r="CC161">
            <v>5</v>
          </cell>
          <cell r="CD161">
            <v>85</v>
          </cell>
          <cell r="CE161">
            <v>55</v>
          </cell>
          <cell r="CF161">
            <v>40</v>
          </cell>
          <cell r="CG161">
            <v>45</v>
          </cell>
          <cell r="CH161">
            <v>15</v>
          </cell>
          <cell r="CI161">
            <v>15</v>
          </cell>
          <cell r="CJ161">
            <v>5.454545454545455E-2</v>
          </cell>
          <cell r="CK161">
            <v>10</v>
          </cell>
          <cell r="CL161">
            <v>40</v>
          </cell>
          <cell r="CM161">
            <v>0.38521678321678315</v>
          </cell>
          <cell r="CN161">
            <v>0.38521678321678315</v>
          </cell>
          <cell r="CO161">
            <v>0</v>
          </cell>
          <cell r="CP161">
            <v>0</v>
          </cell>
          <cell r="CQ161">
            <v>5.3852167832167828</v>
          </cell>
          <cell r="CR161">
            <v>0</v>
          </cell>
          <cell r="CS161">
            <v>1</v>
          </cell>
          <cell r="CT161">
            <v>0</v>
          </cell>
          <cell r="CU161">
            <v>0</v>
          </cell>
          <cell r="CV161">
            <v>31</v>
          </cell>
          <cell r="CW161">
            <v>31</v>
          </cell>
          <cell r="CX161" t="str">
            <v/>
          </cell>
          <cell r="CY161">
            <v>2</v>
          </cell>
          <cell r="CZ161">
            <v>1.5</v>
          </cell>
          <cell r="DA161">
            <v>2</v>
          </cell>
          <cell r="DB161">
            <v>65</v>
          </cell>
          <cell r="DC161">
            <v>31</v>
          </cell>
          <cell r="DD161">
            <v>17</v>
          </cell>
          <cell r="DE161">
            <v>5</v>
          </cell>
          <cell r="DF161">
            <v>8</v>
          </cell>
          <cell r="DG161">
            <v>2</v>
          </cell>
          <cell r="DH161">
            <v>1</v>
          </cell>
          <cell r="DI161">
            <v>4</v>
          </cell>
        </row>
        <row r="162">
          <cell r="A162" t="str">
            <v>RS 393</v>
          </cell>
          <cell r="B162">
            <v>215</v>
          </cell>
          <cell r="C162" t="str">
            <v>S</v>
          </cell>
          <cell r="D162" t="str">
            <v>T</v>
          </cell>
          <cell r="E162" t="str">
            <v>M3 junction - Ndege (Air Wing)</v>
          </cell>
          <cell r="F162" t="str">
            <v>S143</v>
          </cell>
          <cell r="G162">
            <v>1</v>
          </cell>
          <cell r="H162">
            <v>3.9</v>
          </cell>
          <cell r="I162" t="str">
            <v>F</v>
          </cell>
          <cell r="J162" t="str">
            <v>ZOMBA</v>
          </cell>
          <cell r="K162">
            <v>9</v>
          </cell>
          <cell r="L162">
            <v>0</v>
          </cell>
          <cell r="W162">
            <v>83</v>
          </cell>
          <cell r="X162" t="str">
            <v>ST</v>
          </cell>
          <cell r="Y162">
            <v>100</v>
          </cell>
          <cell r="Z162" t="str">
            <v>GR</v>
          </cell>
          <cell r="AA162">
            <v>100</v>
          </cell>
          <cell r="AB162" t="str">
            <v>GR</v>
          </cell>
          <cell r="AC162">
            <v>10</v>
          </cell>
          <cell r="AD162">
            <v>0</v>
          </cell>
          <cell r="AE162">
            <v>0</v>
          </cell>
          <cell r="AF162">
            <v>0</v>
          </cell>
          <cell r="AG162">
            <v>0</v>
          </cell>
          <cell r="AH162">
            <v>0</v>
          </cell>
          <cell r="AI162">
            <v>0</v>
          </cell>
          <cell r="AJ162">
            <v>0</v>
          </cell>
          <cell r="AK162">
            <v>0</v>
          </cell>
          <cell r="AL162">
            <v>0</v>
          </cell>
          <cell r="AM162">
            <v>1</v>
          </cell>
          <cell r="AN162" t="str">
            <v>never resealed</v>
          </cell>
          <cell r="BO162" t="str">
            <v>RS 393</v>
          </cell>
          <cell r="BP162">
            <v>3.9</v>
          </cell>
          <cell r="BQ162">
            <v>6</v>
          </cell>
          <cell r="BR162" t="str">
            <v>F</v>
          </cell>
          <cell r="BS162">
            <v>0</v>
          </cell>
          <cell r="BT162">
            <v>0</v>
          </cell>
          <cell r="BU162" t="str">
            <v>ST</v>
          </cell>
          <cell r="BV162" t="str">
            <v/>
          </cell>
          <cell r="BW162">
            <v>1</v>
          </cell>
          <cell r="BX162">
            <v>10</v>
          </cell>
          <cell r="BY162" t="str">
            <v/>
          </cell>
          <cell r="BZ162">
            <v>1</v>
          </cell>
          <cell r="CA162">
            <v>10</v>
          </cell>
          <cell r="CB162">
            <v>0.90800000000000003</v>
          </cell>
          <cell r="CC162">
            <v>8.35</v>
          </cell>
          <cell r="CD162">
            <v>50</v>
          </cell>
          <cell r="CE162">
            <v>20</v>
          </cell>
          <cell r="CF162">
            <v>5</v>
          </cell>
          <cell r="CG162">
            <v>45</v>
          </cell>
          <cell r="CH162">
            <v>15</v>
          </cell>
          <cell r="CI162">
            <v>12</v>
          </cell>
          <cell r="CJ162">
            <v>4.0000000000000008E-2</v>
          </cell>
          <cell r="CK162">
            <v>5.04</v>
          </cell>
          <cell r="CL162">
            <v>5</v>
          </cell>
          <cell r="CM162">
            <v>9.8584615384615396E-2</v>
          </cell>
          <cell r="CN162">
            <v>9.8584615384615396E-2</v>
          </cell>
          <cell r="CO162">
            <v>0</v>
          </cell>
          <cell r="CP162">
            <v>0</v>
          </cell>
          <cell r="CQ162">
            <v>8.4485846153846147</v>
          </cell>
          <cell r="CR162">
            <v>0</v>
          </cell>
          <cell r="CS162">
            <v>1</v>
          </cell>
          <cell r="CT162">
            <v>0</v>
          </cell>
          <cell r="CU162">
            <v>0</v>
          </cell>
          <cell r="CV162">
            <v>15</v>
          </cell>
          <cell r="CW162">
            <v>15</v>
          </cell>
          <cell r="CX162" t="str">
            <v/>
          </cell>
          <cell r="CY162">
            <v>1.5</v>
          </cell>
          <cell r="CZ162">
            <v>1.5</v>
          </cell>
          <cell r="DA162">
            <v>2</v>
          </cell>
          <cell r="DB162">
            <v>80</v>
          </cell>
          <cell r="DC162">
            <v>38</v>
          </cell>
          <cell r="DD162">
            <v>21</v>
          </cell>
          <cell r="DE162">
            <v>6</v>
          </cell>
          <cell r="DF162">
            <v>10</v>
          </cell>
          <cell r="DG162">
            <v>2</v>
          </cell>
          <cell r="DH162">
            <v>1</v>
          </cell>
          <cell r="DI162">
            <v>4</v>
          </cell>
        </row>
        <row r="163">
          <cell r="A163" t="str">
            <v>RS 406</v>
          </cell>
          <cell r="B163">
            <v>228</v>
          </cell>
          <cell r="C163" t="str">
            <v>S</v>
          </cell>
          <cell r="D163" t="str">
            <v>T</v>
          </cell>
          <cell r="E163" t="str">
            <v>Chiradzulu - Walala</v>
          </cell>
          <cell r="F163" t="str">
            <v>S146</v>
          </cell>
          <cell r="G163">
            <v>3</v>
          </cell>
          <cell r="H163">
            <v>11.7</v>
          </cell>
          <cell r="I163" t="str">
            <v>R</v>
          </cell>
          <cell r="J163" t="str">
            <v>CHIRADZULU</v>
          </cell>
          <cell r="K163">
            <v>9</v>
          </cell>
          <cell r="L163">
            <v>0</v>
          </cell>
          <cell r="W163">
            <v>80</v>
          </cell>
          <cell r="X163" t="str">
            <v>ST</v>
          </cell>
          <cell r="Y163">
            <v>150</v>
          </cell>
          <cell r="Z163" t="str">
            <v>GR</v>
          </cell>
          <cell r="AA163">
            <v>100</v>
          </cell>
          <cell r="AB163" t="str">
            <v>GR</v>
          </cell>
          <cell r="AC163">
            <v>5</v>
          </cell>
          <cell r="AD163" t="str">
            <v>PM</v>
          </cell>
          <cell r="AE163">
            <v>0</v>
          </cell>
          <cell r="AF163">
            <v>0</v>
          </cell>
          <cell r="AG163">
            <v>0</v>
          </cell>
          <cell r="AH163">
            <v>0</v>
          </cell>
          <cell r="AI163">
            <v>0</v>
          </cell>
          <cell r="AJ163">
            <v>0</v>
          </cell>
          <cell r="AK163">
            <v>0</v>
          </cell>
          <cell r="AL163">
            <v>0</v>
          </cell>
          <cell r="AM163">
            <v>1</v>
          </cell>
          <cell r="AN163" t="str">
            <v>never resealed</v>
          </cell>
          <cell r="BO163" t="str">
            <v>RS 406</v>
          </cell>
          <cell r="BP163">
            <v>11.7</v>
          </cell>
          <cell r="BQ163">
            <v>6.7</v>
          </cell>
          <cell r="BR163" t="str">
            <v>R</v>
          </cell>
          <cell r="BS163">
            <v>0</v>
          </cell>
          <cell r="BT163">
            <v>0</v>
          </cell>
          <cell r="BU163" t="str">
            <v>ST</v>
          </cell>
          <cell r="BV163" t="str">
            <v/>
          </cell>
          <cell r="BW163">
            <v>1</v>
          </cell>
          <cell r="BX163">
            <v>10</v>
          </cell>
          <cell r="BY163" t="str">
            <v/>
          </cell>
          <cell r="BZ163">
            <v>1</v>
          </cell>
          <cell r="CA163">
            <v>5</v>
          </cell>
          <cell r="CB163">
            <v>0.90800000000000003</v>
          </cell>
          <cell r="CC163">
            <v>6.28</v>
          </cell>
          <cell r="CD163">
            <v>90</v>
          </cell>
          <cell r="CE163">
            <v>65</v>
          </cell>
          <cell r="CF163">
            <v>50</v>
          </cell>
          <cell r="CG163">
            <v>40</v>
          </cell>
          <cell r="CH163">
            <v>15</v>
          </cell>
          <cell r="CI163">
            <v>10</v>
          </cell>
          <cell r="CJ163">
            <v>2.9850746268656716E-2</v>
          </cell>
          <cell r="CK163">
            <v>10</v>
          </cell>
          <cell r="CL163">
            <v>50</v>
          </cell>
          <cell r="CM163">
            <v>0.44204362801377722</v>
          </cell>
          <cell r="CN163">
            <v>0.44204362801377722</v>
          </cell>
          <cell r="CO163">
            <v>0</v>
          </cell>
          <cell r="CP163">
            <v>0</v>
          </cell>
          <cell r="CQ163">
            <v>6.7220436280137772</v>
          </cell>
          <cell r="CR163">
            <v>0</v>
          </cell>
          <cell r="CS163">
            <v>1</v>
          </cell>
          <cell r="CT163">
            <v>0</v>
          </cell>
          <cell r="CU163">
            <v>0</v>
          </cell>
          <cell r="CV163">
            <v>18</v>
          </cell>
          <cell r="CW163">
            <v>18</v>
          </cell>
          <cell r="CX163" t="str">
            <v/>
          </cell>
          <cell r="CY163">
            <v>2</v>
          </cell>
          <cell r="CZ163">
            <v>2</v>
          </cell>
          <cell r="DA163">
            <v>1.5</v>
          </cell>
          <cell r="DB163">
            <v>190</v>
          </cell>
          <cell r="DC163">
            <v>90</v>
          </cell>
          <cell r="DD163">
            <v>50</v>
          </cell>
          <cell r="DE163">
            <v>15</v>
          </cell>
          <cell r="DF163">
            <v>22</v>
          </cell>
          <cell r="DG163">
            <v>4</v>
          </cell>
          <cell r="DH163">
            <v>2</v>
          </cell>
          <cell r="DI163">
            <v>10</v>
          </cell>
        </row>
        <row r="164">
          <cell r="A164" t="str">
            <v>RS 407</v>
          </cell>
          <cell r="B164">
            <v>229</v>
          </cell>
          <cell r="C164" t="str">
            <v>S</v>
          </cell>
          <cell r="D164" t="str">
            <v>T</v>
          </cell>
          <cell r="E164" t="str">
            <v>Walala - Limbe (junction M3)</v>
          </cell>
          <cell r="F164" t="str">
            <v>S146</v>
          </cell>
          <cell r="G164">
            <v>4</v>
          </cell>
          <cell r="H164">
            <v>2.5</v>
          </cell>
          <cell r="I164" t="str">
            <v>R</v>
          </cell>
          <cell r="J164" t="str">
            <v>BLANTYRE</v>
          </cell>
          <cell r="K164">
            <v>9</v>
          </cell>
          <cell r="L164">
            <v>0</v>
          </cell>
          <cell r="W164">
            <v>80</v>
          </cell>
          <cell r="X164" t="str">
            <v>ST</v>
          </cell>
          <cell r="Y164">
            <v>150</v>
          </cell>
          <cell r="Z164" t="str">
            <v>GR</v>
          </cell>
          <cell r="AA164">
            <v>100</v>
          </cell>
          <cell r="AB164" t="str">
            <v>GR</v>
          </cell>
          <cell r="AC164">
            <v>5</v>
          </cell>
          <cell r="AD164" t="str">
            <v>PM</v>
          </cell>
          <cell r="AE164">
            <v>0</v>
          </cell>
          <cell r="AF164">
            <v>0</v>
          </cell>
          <cell r="AG164">
            <v>0</v>
          </cell>
          <cell r="AH164">
            <v>0</v>
          </cell>
          <cell r="AI164">
            <v>0</v>
          </cell>
          <cell r="AJ164">
            <v>0</v>
          </cell>
          <cell r="AK164">
            <v>0</v>
          </cell>
          <cell r="AL164">
            <v>0</v>
          </cell>
          <cell r="AM164">
            <v>1</v>
          </cell>
          <cell r="AN164" t="str">
            <v>never resealed</v>
          </cell>
          <cell r="BO164" t="str">
            <v>RS 407</v>
          </cell>
          <cell r="BP164">
            <v>2.5</v>
          </cell>
          <cell r="BQ164">
            <v>6.7</v>
          </cell>
          <cell r="BR164" t="str">
            <v>R</v>
          </cell>
          <cell r="BS164">
            <v>0</v>
          </cell>
          <cell r="BT164">
            <v>0</v>
          </cell>
          <cell r="BU164" t="str">
            <v>ST</v>
          </cell>
          <cell r="BV164" t="str">
            <v/>
          </cell>
          <cell r="BW164">
            <v>1</v>
          </cell>
          <cell r="BX164">
            <v>10</v>
          </cell>
          <cell r="BY164" t="str">
            <v/>
          </cell>
          <cell r="BZ164">
            <v>1</v>
          </cell>
          <cell r="CA164">
            <v>5</v>
          </cell>
          <cell r="CB164">
            <v>0.90800000000000003</v>
          </cell>
          <cell r="CC164">
            <v>6.28</v>
          </cell>
          <cell r="CD164">
            <v>85</v>
          </cell>
          <cell r="CE164">
            <v>70</v>
          </cell>
          <cell r="CF164">
            <v>55</v>
          </cell>
          <cell r="CG164">
            <v>30</v>
          </cell>
          <cell r="CH164">
            <v>15</v>
          </cell>
          <cell r="CI164">
            <v>15</v>
          </cell>
          <cell r="CJ164">
            <v>4.4776119402985072E-2</v>
          </cell>
          <cell r="CK164">
            <v>10</v>
          </cell>
          <cell r="CL164">
            <v>55</v>
          </cell>
          <cell r="CM164">
            <v>0.48075774971297353</v>
          </cell>
          <cell r="CN164">
            <v>0.48075774971297353</v>
          </cell>
          <cell r="CO164">
            <v>0</v>
          </cell>
          <cell r="CP164">
            <v>0</v>
          </cell>
          <cell r="CQ164">
            <v>6.7607577497129734</v>
          </cell>
          <cell r="CR164">
            <v>0</v>
          </cell>
          <cell r="CS164">
            <v>1</v>
          </cell>
          <cell r="CT164">
            <v>0</v>
          </cell>
          <cell r="CU164">
            <v>0</v>
          </cell>
          <cell r="CV164">
            <v>18</v>
          </cell>
          <cell r="CW164">
            <v>18</v>
          </cell>
          <cell r="CX164" t="str">
            <v/>
          </cell>
          <cell r="CY164">
            <v>2</v>
          </cell>
          <cell r="CZ164">
            <v>2</v>
          </cell>
          <cell r="DA164">
            <v>2</v>
          </cell>
          <cell r="DB164">
            <v>200</v>
          </cell>
          <cell r="DC164">
            <v>94</v>
          </cell>
          <cell r="DD164">
            <v>52</v>
          </cell>
          <cell r="DE164">
            <v>15</v>
          </cell>
          <cell r="DF164">
            <v>23</v>
          </cell>
          <cell r="DG164">
            <v>4</v>
          </cell>
          <cell r="DH164">
            <v>2</v>
          </cell>
          <cell r="DI164">
            <v>10</v>
          </cell>
        </row>
        <row r="165">
          <cell r="A165" t="str">
            <v>RS 462</v>
          </cell>
          <cell r="B165">
            <v>284</v>
          </cell>
          <cell r="C165" t="str">
            <v>N</v>
          </cell>
          <cell r="D165" t="str">
            <v>T</v>
          </cell>
          <cell r="E165" t="str">
            <v>Kalwe - Nkhata Bay</v>
          </cell>
          <cell r="F165" t="str">
            <v>T318</v>
          </cell>
          <cell r="G165">
            <v>1</v>
          </cell>
          <cell r="H165">
            <v>5.2</v>
          </cell>
          <cell r="I165" t="str">
            <v>F</v>
          </cell>
          <cell r="J165" t="str">
            <v>NKHATA BAY</v>
          </cell>
          <cell r="K165">
            <v>3</v>
          </cell>
          <cell r="L165" t="str">
            <v>Changed from feeder to trunk as bitumen road</v>
          </cell>
          <cell r="W165">
            <v>75</v>
          </cell>
          <cell r="X165" t="str">
            <v>ST</v>
          </cell>
          <cell r="Y165">
            <v>150</v>
          </cell>
          <cell r="Z165" t="str">
            <v>SG</v>
          </cell>
          <cell r="AA165">
            <v>100</v>
          </cell>
          <cell r="AB165" t="str">
            <v>GR</v>
          </cell>
          <cell r="AC165">
            <v>7</v>
          </cell>
          <cell r="AD165" t="str">
            <v>PM</v>
          </cell>
          <cell r="AE165">
            <v>0</v>
          </cell>
          <cell r="AF165">
            <v>0</v>
          </cell>
          <cell r="AG165">
            <v>0</v>
          </cell>
          <cell r="AH165">
            <v>0</v>
          </cell>
          <cell r="AI165">
            <v>0</v>
          </cell>
          <cell r="AJ165">
            <v>0</v>
          </cell>
          <cell r="AK165">
            <v>0</v>
          </cell>
          <cell r="AL165">
            <v>0</v>
          </cell>
          <cell r="AM165">
            <v>3</v>
          </cell>
          <cell r="AN165" t="str">
            <v>never resealed</v>
          </cell>
          <cell r="BO165" t="str">
            <v>RS 462</v>
          </cell>
          <cell r="BP165">
            <v>5.2</v>
          </cell>
          <cell r="BQ165">
            <v>5.5</v>
          </cell>
          <cell r="BR165" t="str">
            <v>F</v>
          </cell>
          <cell r="BS165" t="str">
            <v>C</v>
          </cell>
          <cell r="BT165">
            <v>0</v>
          </cell>
          <cell r="BU165" t="str">
            <v>ST</v>
          </cell>
          <cell r="BV165" t="str">
            <v/>
          </cell>
          <cell r="BW165">
            <v>3</v>
          </cell>
          <cell r="BX165">
            <v>10</v>
          </cell>
          <cell r="BY165" t="str">
            <v/>
          </cell>
          <cell r="BZ165">
            <v>2</v>
          </cell>
          <cell r="CA165">
            <v>7</v>
          </cell>
          <cell r="CB165">
            <v>1.36</v>
          </cell>
          <cell r="CC165">
            <v>6.560767608637696</v>
          </cell>
          <cell r="CD165">
            <v>0</v>
          </cell>
          <cell r="CE165">
            <v>0</v>
          </cell>
          <cell r="CF165">
            <v>0</v>
          </cell>
          <cell r="CG165">
            <v>0</v>
          </cell>
          <cell r="CH165">
            <v>0</v>
          </cell>
          <cell r="CI165">
            <v>27</v>
          </cell>
          <cell r="CJ165">
            <v>9.8181818181818176E-2</v>
          </cell>
          <cell r="CK165">
            <v>9.8181818181818176E-2</v>
          </cell>
          <cell r="CL165">
            <v>0</v>
          </cell>
          <cell r="CM165">
            <v>3.8064335664335661E-2</v>
          </cell>
          <cell r="CN165">
            <v>3.8064335664335661E-2</v>
          </cell>
          <cell r="CO165">
            <v>0</v>
          </cell>
          <cell r="CP165">
            <v>0</v>
          </cell>
          <cell r="CQ165">
            <v>6.5988319443020318</v>
          </cell>
          <cell r="CR165">
            <v>0</v>
          </cell>
          <cell r="CS165">
            <v>1</v>
          </cell>
          <cell r="CT165">
            <v>0</v>
          </cell>
          <cell r="CU165">
            <v>0</v>
          </cell>
          <cell r="CV165">
            <v>23</v>
          </cell>
          <cell r="CW165">
            <v>23</v>
          </cell>
          <cell r="CX165" t="str">
            <v/>
          </cell>
          <cell r="CY165">
            <v>2</v>
          </cell>
          <cell r="CZ165">
            <v>2</v>
          </cell>
          <cell r="DA165">
            <v>2</v>
          </cell>
          <cell r="DB165">
            <v>300</v>
          </cell>
          <cell r="DC165">
            <v>141</v>
          </cell>
          <cell r="DD165">
            <v>78</v>
          </cell>
          <cell r="DE165">
            <v>23</v>
          </cell>
          <cell r="DF165">
            <v>35</v>
          </cell>
          <cell r="DG165">
            <v>6</v>
          </cell>
          <cell r="DH165">
            <v>3</v>
          </cell>
          <cell r="DI165">
            <v>15</v>
          </cell>
        </row>
        <row r="166">
          <cell r="A166" t="str">
            <v>RS 235</v>
          </cell>
          <cell r="B166">
            <v>57</v>
          </cell>
          <cell r="C166" t="str">
            <v>C</v>
          </cell>
          <cell r="D166" t="str">
            <v>T</v>
          </cell>
          <cell r="E166" t="str">
            <v>Kamwendo - Matutu (junction S116)</v>
          </cell>
          <cell r="F166" t="str">
            <v>T334</v>
          </cell>
          <cell r="G166">
            <v>1</v>
          </cell>
          <cell r="H166">
            <v>16.899999999999999</v>
          </cell>
          <cell r="I166" t="str">
            <v>F</v>
          </cell>
          <cell r="J166" t="str">
            <v>MCHINJI</v>
          </cell>
          <cell r="K166">
            <v>6</v>
          </cell>
          <cell r="L166" t="str">
            <v>Changed designation from S116 to T334. Changed to trunk</v>
          </cell>
          <cell r="W166">
            <v>98</v>
          </cell>
          <cell r="X166" t="str">
            <v>DS</v>
          </cell>
          <cell r="Y166">
            <v>150</v>
          </cell>
          <cell r="Z166" t="str">
            <v>GR</v>
          </cell>
          <cell r="AA166">
            <v>150</v>
          </cell>
          <cell r="AB166" t="str">
            <v>GR</v>
          </cell>
          <cell r="AC166">
            <v>5</v>
          </cell>
          <cell r="AD166">
            <v>0</v>
          </cell>
          <cell r="AE166">
            <v>0</v>
          </cell>
          <cell r="AF166">
            <v>0</v>
          </cell>
          <cell r="AG166">
            <v>0</v>
          </cell>
          <cell r="AH166">
            <v>0</v>
          </cell>
          <cell r="AI166">
            <v>0</v>
          </cell>
          <cell r="AJ166">
            <v>0</v>
          </cell>
          <cell r="AK166">
            <v>0</v>
          </cell>
          <cell r="AL166">
            <v>0</v>
          </cell>
          <cell r="AM166">
            <v>1</v>
          </cell>
          <cell r="AN166" t="str">
            <v>never resealed</v>
          </cell>
          <cell r="BO166" t="str">
            <v>RS 235</v>
          </cell>
          <cell r="BP166">
            <v>16.899999999999999</v>
          </cell>
          <cell r="BQ166">
            <v>6.7</v>
          </cell>
          <cell r="BR166" t="str">
            <v>F</v>
          </cell>
          <cell r="BS166">
            <v>0</v>
          </cell>
          <cell r="BT166">
            <v>0</v>
          </cell>
          <cell r="BU166" t="str">
            <v>DS</v>
          </cell>
          <cell r="BV166" t="str">
            <v/>
          </cell>
          <cell r="BW166">
            <v>1</v>
          </cell>
          <cell r="BX166">
            <v>15</v>
          </cell>
          <cell r="BY166" t="str">
            <v/>
          </cell>
          <cell r="BZ166">
            <v>1</v>
          </cell>
          <cell r="CA166">
            <v>5</v>
          </cell>
          <cell r="CB166">
            <v>1.5270000000000001</v>
          </cell>
          <cell r="CC166">
            <v>3.3</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3.3</v>
          </cell>
          <cell r="CR166">
            <v>0</v>
          </cell>
          <cell r="CS166">
            <v>1</v>
          </cell>
          <cell r="CT166">
            <v>0</v>
          </cell>
          <cell r="CU166">
            <v>0</v>
          </cell>
          <cell r="CV166">
            <v>0</v>
          </cell>
          <cell r="CW166">
            <v>0</v>
          </cell>
          <cell r="CX166" t="str">
            <v/>
          </cell>
          <cell r="CY166">
            <v>1</v>
          </cell>
          <cell r="CZ166">
            <v>1</v>
          </cell>
          <cell r="DA166">
            <v>1</v>
          </cell>
          <cell r="DB166">
            <v>80</v>
          </cell>
          <cell r="DC166">
            <v>38</v>
          </cell>
          <cell r="DD166">
            <v>21</v>
          </cell>
          <cell r="DE166">
            <v>6</v>
          </cell>
          <cell r="DF166">
            <v>10</v>
          </cell>
          <cell r="DG166">
            <v>2</v>
          </cell>
          <cell r="DH166">
            <v>1</v>
          </cell>
          <cell r="DI166">
            <v>4</v>
          </cell>
        </row>
        <row r="167">
          <cell r="A167" t="str">
            <v>RS 153</v>
          </cell>
          <cell r="B167">
            <v>153</v>
          </cell>
          <cell r="C167" t="str">
            <v>C</v>
          </cell>
          <cell r="D167" t="str">
            <v>U</v>
          </cell>
          <cell r="E167" t="str">
            <v>Chidzanja Road</v>
          </cell>
          <cell r="F167" t="str">
            <v>Urban</v>
          </cell>
          <cell r="G167">
            <v>1</v>
          </cell>
          <cell r="H167">
            <v>6.5</v>
          </cell>
          <cell r="I167" t="str">
            <v>R</v>
          </cell>
          <cell r="J167" t="str">
            <v>LILONGWE CITY</v>
          </cell>
          <cell r="K167" t="str">
            <v>C</v>
          </cell>
          <cell r="L167">
            <v>0</v>
          </cell>
          <cell r="W167">
            <v>83</v>
          </cell>
          <cell r="X167" t="str">
            <v>SA</v>
          </cell>
          <cell r="Y167">
            <v>150</v>
          </cell>
          <cell r="Z167" t="str">
            <v>GR</v>
          </cell>
          <cell r="AA167">
            <v>100</v>
          </cell>
          <cell r="AB167" t="str">
            <v>GR</v>
          </cell>
          <cell r="AC167">
            <v>5</v>
          </cell>
          <cell r="AD167" t="str">
            <v>CC</v>
          </cell>
          <cell r="AE167">
            <v>97</v>
          </cell>
          <cell r="AF167" t="str">
            <v>SS</v>
          </cell>
          <cell r="AG167" t="str">
            <v>SS</v>
          </cell>
          <cell r="AH167">
            <v>5</v>
          </cell>
          <cell r="AI167">
            <v>0</v>
          </cell>
          <cell r="AJ167">
            <v>0</v>
          </cell>
          <cell r="AK167">
            <v>0</v>
          </cell>
          <cell r="AL167">
            <v>0</v>
          </cell>
          <cell r="AM167">
            <v>3</v>
          </cell>
          <cell r="AN167">
            <v>0</v>
          </cell>
          <cell r="BO167" t="str">
            <v>RS 153</v>
          </cell>
          <cell r="BP167">
            <v>6.5</v>
          </cell>
          <cell r="BQ167">
            <v>6</v>
          </cell>
          <cell r="BR167" t="str">
            <v>R</v>
          </cell>
          <cell r="BS167" t="str">
            <v>S</v>
          </cell>
          <cell r="BT167">
            <v>0</v>
          </cell>
          <cell r="BU167" t="str">
            <v>SS</v>
          </cell>
          <cell r="BV167" t="str">
            <v>SA</v>
          </cell>
          <cell r="BW167">
            <v>3</v>
          </cell>
          <cell r="BX167">
            <v>5</v>
          </cell>
          <cell r="BY167">
            <v>10</v>
          </cell>
          <cell r="BZ167">
            <v>1</v>
          </cell>
          <cell r="CA167">
            <v>5</v>
          </cell>
          <cell r="CB167">
            <v>0.90800000000000003</v>
          </cell>
          <cell r="CC167">
            <v>7.78</v>
          </cell>
          <cell r="CD167">
            <v>2.5</v>
          </cell>
          <cell r="CE167">
            <v>0</v>
          </cell>
          <cell r="CF167">
            <v>0</v>
          </cell>
          <cell r="CG167">
            <v>2.5</v>
          </cell>
          <cell r="CH167">
            <v>0</v>
          </cell>
          <cell r="CI167">
            <v>1.3</v>
          </cell>
          <cell r="CJ167">
            <v>4.3333333333333331E-3</v>
          </cell>
          <cell r="CK167">
            <v>4.3333333333333331E-3</v>
          </cell>
          <cell r="CL167">
            <v>0</v>
          </cell>
          <cell r="CM167">
            <v>1.6799999999999999E-3</v>
          </cell>
          <cell r="CN167">
            <v>1.6799999999999999E-3</v>
          </cell>
          <cell r="CO167">
            <v>0</v>
          </cell>
          <cell r="CP167">
            <v>0</v>
          </cell>
          <cell r="CQ167">
            <v>7.7816800000000006</v>
          </cell>
          <cell r="CR167">
            <v>0.5</v>
          </cell>
          <cell r="CS167">
            <v>1</v>
          </cell>
          <cell r="CT167">
            <v>0</v>
          </cell>
          <cell r="CU167">
            <v>0</v>
          </cell>
          <cell r="CV167">
            <v>1</v>
          </cell>
          <cell r="CW167">
            <v>15</v>
          </cell>
          <cell r="CX167">
            <v>30</v>
          </cell>
          <cell r="CY167">
            <v>2</v>
          </cell>
          <cell r="CZ167">
            <v>2</v>
          </cell>
          <cell r="DA167">
            <v>1.5</v>
          </cell>
          <cell r="DB167">
            <v>1894</v>
          </cell>
          <cell r="DC167">
            <v>947</v>
          </cell>
          <cell r="DD167">
            <v>512</v>
          </cell>
          <cell r="DE167">
            <v>95</v>
          </cell>
          <cell r="DF167">
            <v>275</v>
          </cell>
          <cell r="DG167">
            <v>29</v>
          </cell>
          <cell r="DH167">
            <v>19</v>
          </cell>
          <cell r="DI167">
            <v>19</v>
          </cell>
        </row>
        <row r="168">
          <cell r="A168" t="str">
            <v>RS 154</v>
          </cell>
          <cell r="B168">
            <v>154</v>
          </cell>
          <cell r="C168" t="str">
            <v>C</v>
          </cell>
          <cell r="D168" t="str">
            <v>U</v>
          </cell>
          <cell r="E168" t="str">
            <v>Chendawaka Road (M1 to junction D189)</v>
          </cell>
          <cell r="F168" t="str">
            <v>Urban</v>
          </cell>
          <cell r="G168">
            <v>2</v>
          </cell>
          <cell r="H168">
            <v>5</v>
          </cell>
          <cell r="I168" t="str">
            <v>R</v>
          </cell>
          <cell r="J168" t="str">
            <v>LILONGWE CITY</v>
          </cell>
          <cell r="K168" t="str">
            <v>C</v>
          </cell>
          <cell r="L168">
            <v>0</v>
          </cell>
          <cell r="W168">
            <v>75</v>
          </cell>
          <cell r="X168" t="str">
            <v>DS</v>
          </cell>
          <cell r="Y168">
            <v>150</v>
          </cell>
          <cell r="Z168" t="str">
            <v>GR</v>
          </cell>
          <cell r="AA168">
            <v>100</v>
          </cell>
          <cell r="AB168" t="str">
            <v>GR</v>
          </cell>
          <cell r="AC168">
            <v>5</v>
          </cell>
          <cell r="AD168">
            <v>0</v>
          </cell>
          <cell r="AE168">
            <v>97</v>
          </cell>
          <cell r="AF168" t="str">
            <v>SS</v>
          </cell>
          <cell r="AG168" t="str">
            <v>SS</v>
          </cell>
          <cell r="AH168">
            <v>5</v>
          </cell>
          <cell r="AI168">
            <v>0</v>
          </cell>
          <cell r="AJ168">
            <v>0</v>
          </cell>
          <cell r="AK168">
            <v>0</v>
          </cell>
          <cell r="AL168">
            <v>0</v>
          </cell>
          <cell r="AM168">
            <v>7</v>
          </cell>
          <cell r="AN168">
            <v>0</v>
          </cell>
          <cell r="BO168" t="str">
            <v>RS 154</v>
          </cell>
          <cell r="BP168">
            <v>5</v>
          </cell>
          <cell r="BQ168">
            <v>6</v>
          </cell>
          <cell r="BR168" t="str">
            <v>R</v>
          </cell>
          <cell r="BS168">
            <v>0</v>
          </cell>
          <cell r="BT168">
            <v>0</v>
          </cell>
          <cell r="BU168" t="str">
            <v>SS</v>
          </cell>
          <cell r="BV168" t="str">
            <v>DS</v>
          </cell>
          <cell r="BW168">
            <v>7</v>
          </cell>
          <cell r="BX168">
            <v>5</v>
          </cell>
          <cell r="BY168">
            <v>15</v>
          </cell>
          <cell r="BZ168">
            <v>1</v>
          </cell>
          <cell r="CA168">
            <v>5</v>
          </cell>
          <cell r="CB168">
            <v>1.077</v>
          </cell>
          <cell r="CC168">
            <v>5.52</v>
          </cell>
          <cell r="CD168">
            <v>8</v>
          </cell>
          <cell r="CE168">
            <v>7</v>
          </cell>
          <cell r="CF168">
            <v>0</v>
          </cell>
          <cell r="CG168">
            <v>8</v>
          </cell>
          <cell r="CH168">
            <v>7</v>
          </cell>
          <cell r="CI168">
            <v>0</v>
          </cell>
          <cell r="CJ168">
            <v>0</v>
          </cell>
          <cell r="CK168">
            <v>0</v>
          </cell>
          <cell r="CL168">
            <v>0</v>
          </cell>
          <cell r="CM168">
            <v>0</v>
          </cell>
          <cell r="CN168">
            <v>0</v>
          </cell>
          <cell r="CO168">
            <v>0</v>
          </cell>
          <cell r="CP168">
            <v>0</v>
          </cell>
          <cell r="CQ168">
            <v>5.52</v>
          </cell>
          <cell r="CR168">
            <v>0</v>
          </cell>
          <cell r="CS168">
            <v>1</v>
          </cell>
          <cell r="CT168">
            <v>0</v>
          </cell>
          <cell r="CU168">
            <v>0</v>
          </cell>
          <cell r="CV168">
            <v>1</v>
          </cell>
          <cell r="CW168">
            <v>23</v>
          </cell>
          <cell r="CX168">
            <v>46</v>
          </cell>
          <cell r="CY168">
            <v>1.5</v>
          </cell>
          <cell r="CZ168">
            <v>1</v>
          </cell>
          <cell r="DA168">
            <v>1</v>
          </cell>
          <cell r="DB168">
            <v>1842</v>
          </cell>
          <cell r="DC168">
            <v>921</v>
          </cell>
          <cell r="DD168">
            <v>498</v>
          </cell>
          <cell r="DE168">
            <v>93</v>
          </cell>
          <cell r="DF168">
            <v>268</v>
          </cell>
          <cell r="DG168">
            <v>28</v>
          </cell>
          <cell r="DH168">
            <v>19</v>
          </cell>
          <cell r="DI168">
            <v>19</v>
          </cell>
        </row>
        <row r="169">
          <cell r="A169" t="str">
            <v>RS 155</v>
          </cell>
          <cell r="B169">
            <v>155</v>
          </cell>
          <cell r="C169" t="str">
            <v>C</v>
          </cell>
          <cell r="D169" t="str">
            <v>U</v>
          </cell>
          <cell r="E169" t="str">
            <v>Chilambula Road</v>
          </cell>
          <cell r="F169" t="str">
            <v>Urban</v>
          </cell>
          <cell r="G169">
            <v>3</v>
          </cell>
          <cell r="H169">
            <v>4</v>
          </cell>
          <cell r="I169" t="str">
            <v>R</v>
          </cell>
          <cell r="J169" t="str">
            <v>LILONGWE CITY</v>
          </cell>
          <cell r="K169" t="str">
            <v>C</v>
          </cell>
          <cell r="L169">
            <v>0</v>
          </cell>
          <cell r="W169">
            <v>73</v>
          </cell>
          <cell r="X169" t="str">
            <v>AC</v>
          </cell>
          <cell r="Y169">
            <v>150</v>
          </cell>
          <cell r="Z169" t="str">
            <v>GR</v>
          </cell>
          <cell r="AA169">
            <v>100</v>
          </cell>
          <cell r="AB169" t="str">
            <v>GR</v>
          </cell>
          <cell r="AC169">
            <v>5</v>
          </cell>
          <cell r="AD169" t="str">
            <v>AM</v>
          </cell>
          <cell r="AE169">
            <v>98</v>
          </cell>
          <cell r="AF169" t="str">
            <v>SS</v>
          </cell>
          <cell r="AG169" t="str">
            <v>SS</v>
          </cell>
          <cell r="AH169">
            <v>5</v>
          </cell>
          <cell r="AI169">
            <v>0</v>
          </cell>
          <cell r="AJ169">
            <v>0</v>
          </cell>
          <cell r="AK169">
            <v>0</v>
          </cell>
          <cell r="AL169">
            <v>0</v>
          </cell>
          <cell r="AM169">
            <v>7</v>
          </cell>
          <cell r="AN169">
            <v>0</v>
          </cell>
          <cell r="BO169" t="str">
            <v>RS 155</v>
          </cell>
          <cell r="BP169">
            <v>4</v>
          </cell>
          <cell r="BQ169">
            <v>6.7</v>
          </cell>
          <cell r="BR169" t="str">
            <v>R</v>
          </cell>
          <cell r="BS169" t="str">
            <v>C</v>
          </cell>
          <cell r="BT169">
            <v>0</v>
          </cell>
          <cell r="BU169" t="str">
            <v>SS</v>
          </cell>
          <cell r="BV169" t="str">
            <v>AC</v>
          </cell>
          <cell r="BW169">
            <v>2</v>
          </cell>
          <cell r="BX169">
            <v>5</v>
          </cell>
          <cell r="BY169">
            <v>40</v>
          </cell>
          <cell r="BZ169">
            <v>1</v>
          </cell>
          <cell r="CA169">
            <v>5</v>
          </cell>
          <cell r="CB169">
            <v>1.9</v>
          </cell>
          <cell r="CC169">
            <v>6</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6</v>
          </cell>
          <cell r="CR169">
            <v>0.5</v>
          </cell>
          <cell r="CS169">
            <v>1</v>
          </cell>
          <cell r="CT169">
            <v>0</v>
          </cell>
          <cell r="CU169">
            <v>0</v>
          </cell>
          <cell r="CV169">
            <v>25</v>
          </cell>
          <cell r="CW169">
            <v>25</v>
          </cell>
          <cell r="CX169">
            <v>27</v>
          </cell>
          <cell r="CY169">
            <v>3</v>
          </cell>
          <cell r="CZ169">
            <v>3</v>
          </cell>
          <cell r="DA169">
            <v>2</v>
          </cell>
          <cell r="DB169">
            <v>8793</v>
          </cell>
          <cell r="DC169">
            <v>4397</v>
          </cell>
          <cell r="DD169">
            <v>2375</v>
          </cell>
          <cell r="DE169">
            <v>440</v>
          </cell>
          <cell r="DF169">
            <v>1275</v>
          </cell>
          <cell r="DG169">
            <v>132</v>
          </cell>
          <cell r="DH169">
            <v>88</v>
          </cell>
          <cell r="DI169">
            <v>88</v>
          </cell>
        </row>
        <row r="170">
          <cell r="A170" t="str">
            <v>RS 156</v>
          </cell>
          <cell r="B170">
            <v>156</v>
          </cell>
          <cell r="C170" t="str">
            <v>C</v>
          </cell>
          <cell r="D170" t="str">
            <v>U</v>
          </cell>
          <cell r="E170" t="str">
            <v>Mzimba Street</v>
          </cell>
          <cell r="F170" t="str">
            <v>Urban</v>
          </cell>
          <cell r="G170">
            <v>4</v>
          </cell>
          <cell r="H170">
            <v>2.5</v>
          </cell>
          <cell r="I170" t="str">
            <v>R</v>
          </cell>
          <cell r="J170" t="str">
            <v>LILONGWE CITY</v>
          </cell>
          <cell r="K170" t="str">
            <v>C</v>
          </cell>
          <cell r="L170">
            <v>0</v>
          </cell>
          <cell r="W170">
            <v>75</v>
          </cell>
          <cell r="X170" t="str">
            <v>SA</v>
          </cell>
          <cell r="Y170">
            <v>150</v>
          </cell>
          <cell r="Z170" t="str">
            <v>GR</v>
          </cell>
          <cell r="AA170">
            <v>100</v>
          </cell>
          <cell r="AB170" t="str">
            <v>GR</v>
          </cell>
          <cell r="AC170">
            <v>5</v>
          </cell>
          <cell r="AD170" t="str">
            <v>CC</v>
          </cell>
          <cell r="AE170">
            <v>98</v>
          </cell>
          <cell r="AF170" t="str">
            <v>SS</v>
          </cell>
          <cell r="AG170" t="str">
            <v>SS</v>
          </cell>
          <cell r="AH170">
            <v>5</v>
          </cell>
          <cell r="AI170">
            <v>0</v>
          </cell>
          <cell r="AJ170">
            <v>0</v>
          </cell>
          <cell r="AK170">
            <v>0</v>
          </cell>
          <cell r="AL170">
            <v>0</v>
          </cell>
          <cell r="AM170">
            <v>7</v>
          </cell>
          <cell r="AN170">
            <v>0</v>
          </cell>
          <cell r="BO170" t="str">
            <v>RS 156</v>
          </cell>
          <cell r="BP170">
            <v>2.5</v>
          </cell>
          <cell r="BQ170">
            <v>6.7</v>
          </cell>
          <cell r="BR170" t="str">
            <v>R</v>
          </cell>
          <cell r="BS170" t="str">
            <v>S</v>
          </cell>
          <cell r="BT170">
            <v>0</v>
          </cell>
          <cell r="BU170" t="str">
            <v>SS</v>
          </cell>
          <cell r="BV170" t="str">
            <v>SA</v>
          </cell>
          <cell r="BW170">
            <v>7</v>
          </cell>
          <cell r="BX170">
            <v>5</v>
          </cell>
          <cell r="BY170">
            <v>10</v>
          </cell>
          <cell r="BZ170">
            <v>1</v>
          </cell>
          <cell r="CA170">
            <v>5</v>
          </cell>
          <cell r="CB170">
            <v>0.90800000000000003</v>
          </cell>
          <cell r="CC170">
            <v>7.25</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7.25</v>
          </cell>
          <cell r="CR170">
            <v>0</v>
          </cell>
          <cell r="CS170">
            <v>1</v>
          </cell>
          <cell r="CT170">
            <v>0</v>
          </cell>
          <cell r="CU170">
            <v>0</v>
          </cell>
          <cell r="CV170">
            <v>0</v>
          </cell>
          <cell r="CW170">
            <v>23</v>
          </cell>
          <cell r="CX170">
            <v>46</v>
          </cell>
          <cell r="CY170">
            <v>2</v>
          </cell>
          <cell r="CZ170">
            <v>1.5</v>
          </cell>
          <cell r="DA170">
            <v>1.5</v>
          </cell>
          <cell r="DB170">
            <v>850</v>
          </cell>
          <cell r="DC170">
            <v>425</v>
          </cell>
          <cell r="DD170">
            <v>230</v>
          </cell>
          <cell r="DE170">
            <v>43</v>
          </cell>
          <cell r="DF170">
            <v>124</v>
          </cell>
          <cell r="DG170">
            <v>13</v>
          </cell>
          <cell r="DH170">
            <v>9</v>
          </cell>
          <cell r="DI170">
            <v>9</v>
          </cell>
        </row>
        <row r="171">
          <cell r="A171" t="str">
            <v>RS 157</v>
          </cell>
          <cell r="B171">
            <v>157</v>
          </cell>
          <cell r="C171" t="str">
            <v>C</v>
          </cell>
          <cell r="D171" t="str">
            <v>U</v>
          </cell>
          <cell r="E171" t="str">
            <v>Police - Area 23</v>
          </cell>
          <cell r="F171" t="str">
            <v>Urban</v>
          </cell>
          <cell r="G171">
            <v>5</v>
          </cell>
          <cell r="H171">
            <v>7.5</v>
          </cell>
          <cell r="I171" t="str">
            <v>R</v>
          </cell>
          <cell r="J171" t="str">
            <v>LILONGWE CITY</v>
          </cell>
          <cell r="K171" t="str">
            <v>C</v>
          </cell>
          <cell r="L171">
            <v>0</v>
          </cell>
          <cell r="W171">
            <v>83</v>
          </cell>
          <cell r="X171" t="str">
            <v>SA</v>
          </cell>
          <cell r="Y171">
            <v>150</v>
          </cell>
          <cell r="Z171" t="str">
            <v>GR</v>
          </cell>
          <cell r="AA171">
            <v>100</v>
          </cell>
          <cell r="AB171" t="str">
            <v>GR</v>
          </cell>
          <cell r="AC171">
            <v>5</v>
          </cell>
          <cell r="AD171" t="str">
            <v>CC</v>
          </cell>
          <cell r="AE171">
            <v>98</v>
          </cell>
          <cell r="AF171" t="str">
            <v>SS</v>
          </cell>
          <cell r="AG171" t="str">
            <v>SS</v>
          </cell>
          <cell r="AH171">
            <v>5</v>
          </cell>
          <cell r="AI171">
            <v>0</v>
          </cell>
          <cell r="AJ171">
            <v>0</v>
          </cell>
          <cell r="AK171">
            <v>0</v>
          </cell>
          <cell r="AL171">
            <v>0</v>
          </cell>
          <cell r="AM171">
            <v>7</v>
          </cell>
          <cell r="AN171">
            <v>0</v>
          </cell>
          <cell r="BO171" t="str">
            <v>RS 157</v>
          </cell>
          <cell r="BP171">
            <v>7.5</v>
          </cell>
          <cell r="BQ171">
            <v>5.5</v>
          </cell>
          <cell r="BR171" t="str">
            <v>R</v>
          </cell>
          <cell r="BS171" t="str">
            <v>C</v>
          </cell>
          <cell r="BT171">
            <v>16</v>
          </cell>
          <cell r="BU171" t="str">
            <v>SS</v>
          </cell>
          <cell r="BV171" t="str">
            <v>SA</v>
          </cell>
          <cell r="BW171">
            <v>7</v>
          </cell>
          <cell r="BX171">
            <v>5</v>
          </cell>
          <cell r="BY171">
            <v>10</v>
          </cell>
          <cell r="BZ171">
            <v>1</v>
          </cell>
          <cell r="CA171">
            <v>5</v>
          </cell>
          <cell r="CB171">
            <v>0.90800000000000003</v>
          </cell>
          <cell r="CC171">
            <v>5</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5</v>
          </cell>
          <cell r="CR171">
            <v>0</v>
          </cell>
          <cell r="CS171">
            <v>1</v>
          </cell>
          <cell r="CT171">
            <v>0</v>
          </cell>
          <cell r="CU171">
            <v>0</v>
          </cell>
          <cell r="CV171">
            <v>0</v>
          </cell>
          <cell r="CW171">
            <v>15</v>
          </cell>
          <cell r="CX171">
            <v>50</v>
          </cell>
          <cell r="CY171">
            <v>3</v>
          </cell>
          <cell r="CZ171">
            <v>2.5</v>
          </cell>
          <cell r="DA171">
            <v>2</v>
          </cell>
          <cell r="DB171">
            <v>14065</v>
          </cell>
          <cell r="DC171">
            <v>7033</v>
          </cell>
          <cell r="DD171">
            <v>3798</v>
          </cell>
          <cell r="DE171">
            <v>704</v>
          </cell>
          <cell r="DF171">
            <v>2040</v>
          </cell>
          <cell r="DG171">
            <v>211</v>
          </cell>
          <cell r="DH171">
            <v>141</v>
          </cell>
          <cell r="DI171">
            <v>141</v>
          </cell>
        </row>
        <row r="172">
          <cell r="A172" t="str">
            <v>RS 158</v>
          </cell>
          <cell r="B172">
            <v>158</v>
          </cell>
          <cell r="C172" t="str">
            <v>C</v>
          </cell>
          <cell r="D172" t="str">
            <v>U</v>
          </cell>
          <cell r="E172" t="str">
            <v>Youth Drive</v>
          </cell>
          <cell r="F172" t="str">
            <v>Urban</v>
          </cell>
          <cell r="G172">
            <v>6</v>
          </cell>
          <cell r="H172">
            <v>3.2</v>
          </cell>
          <cell r="I172" t="str">
            <v>R</v>
          </cell>
          <cell r="J172" t="str">
            <v>LILONGWE CITY</v>
          </cell>
          <cell r="K172" t="str">
            <v>C</v>
          </cell>
          <cell r="L172">
            <v>0</v>
          </cell>
          <cell r="W172">
            <v>75</v>
          </cell>
          <cell r="X172" t="str">
            <v>SA</v>
          </cell>
          <cell r="Y172">
            <v>150</v>
          </cell>
          <cell r="Z172" t="str">
            <v>GR</v>
          </cell>
          <cell r="AA172">
            <v>100</v>
          </cell>
          <cell r="AB172" t="str">
            <v>GR</v>
          </cell>
          <cell r="AC172">
            <v>5</v>
          </cell>
          <cell r="AD172" t="str">
            <v>CC</v>
          </cell>
          <cell r="AE172">
            <v>97</v>
          </cell>
          <cell r="AF172" t="str">
            <v>SS</v>
          </cell>
          <cell r="AG172" t="str">
            <v>SS</v>
          </cell>
          <cell r="AH172">
            <v>5</v>
          </cell>
          <cell r="AI172">
            <v>0</v>
          </cell>
          <cell r="AJ172">
            <v>0</v>
          </cell>
          <cell r="AK172">
            <v>0</v>
          </cell>
          <cell r="AL172">
            <v>0</v>
          </cell>
          <cell r="AM172">
            <v>7</v>
          </cell>
          <cell r="AN172">
            <v>0</v>
          </cell>
          <cell r="BO172" t="str">
            <v>RS 158</v>
          </cell>
          <cell r="BP172">
            <v>3.2</v>
          </cell>
          <cell r="BQ172">
            <v>5.5</v>
          </cell>
          <cell r="BR172" t="str">
            <v>R</v>
          </cell>
          <cell r="BS172" t="str">
            <v>S</v>
          </cell>
          <cell r="BT172">
            <v>0</v>
          </cell>
          <cell r="BU172" t="str">
            <v>SS</v>
          </cell>
          <cell r="BV172" t="str">
            <v>SA</v>
          </cell>
          <cell r="BW172">
            <v>7</v>
          </cell>
          <cell r="BX172">
            <v>5</v>
          </cell>
          <cell r="BY172">
            <v>10</v>
          </cell>
          <cell r="BZ172">
            <v>1</v>
          </cell>
          <cell r="CA172">
            <v>5</v>
          </cell>
          <cell r="CB172">
            <v>0.90800000000000003</v>
          </cell>
          <cell r="CC172">
            <v>7.51</v>
          </cell>
          <cell r="CD172">
            <v>5</v>
          </cell>
          <cell r="CE172">
            <v>0</v>
          </cell>
          <cell r="CF172">
            <v>0</v>
          </cell>
          <cell r="CG172">
            <v>5</v>
          </cell>
          <cell r="CH172">
            <v>0</v>
          </cell>
          <cell r="CI172">
            <v>2.6</v>
          </cell>
          <cell r="CJ172">
            <v>9.4545454545454551E-3</v>
          </cell>
          <cell r="CK172">
            <v>9.4545454545454551E-3</v>
          </cell>
          <cell r="CL172">
            <v>0</v>
          </cell>
          <cell r="CM172">
            <v>3.665454545454546E-3</v>
          </cell>
          <cell r="CN172">
            <v>3.665454545454546E-3</v>
          </cell>
          <cell r="CO172">
            <v>0</v>
          </cell>
          <cell r="CP172">
            <v>0</v>
          </cell>
          <cell r="CQ172">
            <v>7.5136654545454542</v>
          </cell>
          <cell r="CR172">
            <v>0</v>
          </cell>
          <cell r="CS172">
            <v>1</v>
          </cell>
          <cell r="CT172">
            <v>0</v>
          </cell>
          <cell r="CU172">
            <v>0</v>
          </cell>
          <cell r="CV172">
            <v>1</v>
          </cell>
          <cell r="CW172">
            <v>23</v>
          </cell>
          <cell r="CX172">
            <v>46</v>
          </cell>
          <cell r="CY172">
            <v>1.5</v>
          </cell>
          <cell r="CZ172">
            <v>1.5</v>
          </cell>
          <cell r="DA172">
            <v>1.5</v>
          </cell>
          <cell r="DB172">
            <v>3074</v>
          </cell>
          <cell r="DC172">
            <v>1537</v>
          </cell>
          <cell r="DD172">
            <v>830</v>
          </cell>
          <cell r="DE172">
            <v>154</v>
          </cell>
          <cell r="DF172">
            <v>446</v>
          </cell>
          <cell r="DG172">
            <v>47</v>
          </cell>
          <cell r="DH172">
            <v>31</v>
          </cell>
          <cell r="DI172">
            <v>31</v>
          </cell>
        </row>
        <row r="173">
          <cell r="A173" t="str">
            <v>RS 159</v>
          </cell>
          <cell r="B173">
            <v>159</v>
          </cell>
          <cell r="C173" t="str">
            <v>C</v>
          </cell>
          <cell r="D173" t="str">
            <v>U</v>
          </cell>
          <cell r="E173" t="str">
            <v>Area 13 Road</v>
          </cell>
          <cell r="F173" t="str">
            <v>Urban</v>
          </cell>
          <cell r="G173">
            <v>7</v>
          </cell>
          <cell r="H173">
            <v>1.4</v>
          </cell>
          <cell r="I173" t="str">
            <v>R</v>
          </cell>
          <cell r="J173" t="str">
            <v>LILONGWE CITY</v>
          </cell>
          <cell r="K173" t="str">
            <v>C</v>
          </cell>
          <cell r="L173">
            <v>0</v>
          </cell>
          <cell r="W173">
            <v>75</v>
          </cell>
          <cell r="X173" t="str">
            <v>SA</v>
          </cell>
          <cell r="Y173">
            <v>150</v>
          </cell>
          <cell r="Z173" t="str">
            <v>GR</v>
          </cell>
          <cell r="AA173">
            <v>100</v>
          </cell>
          <cell r="AB173" t="str">
            <v>GR</v>
          </cell>
          <cell r="AC173">
            <v>5</v>
          </cell>
          <cell r="AD173" t="str">
            <v>CC</v>
          </cell>
          <cell r="AE173">
            <v>97</v>
          </cell>
          <cell r="AF173" t="str">
            <v>SS</v>
          </cell>
          <cell r="AG173" t="str">
            <v>SS</v>
          </cell>
          <cell r="AH173">
            <v>5</v>
          </cell>
          <cell r="AI173">
            <v>0</v>
          </cell>
          <cell r="AJ173">
            <v>0</v>
          </cell>
          <cell r="AK173">
            <v>0</v>
          </cell>
          <cell r="AL173">
            <v>0</v>
          </cell>
          <cell r="AM173">
            <v>3</v>
          </cell>
          <cell r="AN173">
            <v>0</v>
          </cell>
          <cell r="BO173" t="str">
            <v>RS 159</v>
          </cell>
          <cell r="BP173">
            <v>1.4</v>
          </cell>
          <cell r="BQ173">
            <v>5.5</v>
          </cell>
          <cell r="BR173" t="str">
            <v>R</v>
          </cell>
          <cell r="BS173" t="str">
            <v>S</v>
          </cell>
          <cell r="BT173">
            <v>0</v>
          </cell>
          <cell r="BU173" t="str">
            <v>SS</v>
          </cell>
          <cell r="BV173" t="str">
            <v>SA</v>
          </cell>
          <cell r="BW173">
            <v>3</v>
          </cell>
          <cell r="BX173">
            <v>5</v>
          </cell>
          <cell r="BY173">
            <v>10</v>
          </cell>
          <cell r="BZ173">
            <v>1</v>
          </cell>
          <cell r="CA173">
            <v>5</v>
          </cell>
          <cell r="CB173">
            <v>0.90800000000000003</v>
          </cell>
          <cell r="CC173">
            <v>6</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6</v>
          </cell>
          <cell r="CR173">
            <v>0</v>
          </cell>
          <cell r="CS173">
            <v>1</v>
          </cell>
          <cell r="CT173">
            <v>0</v>
          </cell>
          <cell r="CU173">
            <v>0</v>
          </cell>
          <cell r="CV173">
            <v>1</v>
          </cell>
          <cell r="CW173">
            <v>23</v>
          </cell>
          <cell r="CX173">
            <v>46</v>
          </cell>
          <cell r="CY173">
            <v>2</v>
          </cell>
          <cell r="CZ173">
            <v>2</v>
          </cell>
          <cell r="DA173">
            <v>2</v>
          </cell>
          <cell r="DB173">
            <v>351</v>
          </cell>
          <cell r="DC173">
            <v>176</v>
          </cell>
          <cell r="DD173">
            <v>95</v>
          </cell>
          <cell r="DE173">
            <v>18</v>
          </cell>
          <cell r="DF173">
            <v>51</v>
          </cell>
          <cell r="DG173">
            <v>6</v>
          </cell>
          <cell r="DH173">
            <v>4</v>
          </cell>
          <cell r="DI173">
            <v>4</v>
          </cell>
        </row>
        <row r="174">
          <cell r="A174" t="str">
            <v>RS 162</v>
          </cell>
          <cell r="B174">
            <v>162</v>
          </cell>
          <cell r="C174" t="str">
            <v>C</v>
          </cell>
          <cell r="D174" t="str">
            <v>U</v>
          </cell>
          <cell r="E174" t="str">
            <v>Kaunda Road (M12 to junction D189)</v>
          </cell>
          <cell r="F174" t="str">
            <v>Urban</v>
          </cell>
          <cell r="G174">
            <v>8</v>
          </cell>
          <cell r="H174">
            <v>7</v>
          </cell>
          <cell r="I174" t="str">
            <v>R</v>
          </cell>
          <cell r="J174" t="str">
            <v>LILONGWE CITY</v>
          </cell>
          <cell r="K174" t="str">
            <v>C</v>
          </cell>
          <cell r="L174">
            <v>0</v>
          </cell>
          <cell r="W174">
            <v>75</v>
          </cell>
          <cell r="X174" t="str">
            <v>DS</v>
          </cell>
          <cell r="Y174">
            <v>150</v>
          </cell>
          <cell r="Z174" t="str">
            <v>GR</v>
          </cell>
          <cell r="AA174">
            <v>100</v>
          </cell>
          <cell r="AB174" t="str">
            <v>GR</v>
          </cell>
          <cell r="AC174">
            <v>5</v>
          </cell>
          <cell r="AD174">
            <v>0</v>
          </cell>
          <cell r="AE174">
            <v>0</v>
          </cell>
          <cell r="AF174">
            <v>0</v>
          </cell>
          <cell r="AG174">
            <v>0</v>
          </cell>
          <cell r="AH174">
            <v>0</v>
          </cell>
          <cell r="AI174">
            <v>0</v>
          </cell>
          <cell r="AJ174">
            <v>0</v>
          </cell>
          <cell r="AK174">
            <v>0</v>
          </cell>
          <cell r="AL174">
            <v>0</v>
          </cell>
          <cell r="AM174">
            <v>3</v>
          </cell>
          <cell r="AN174" t="str">
            <v>never resealed</v>
          </cell>
          <cell r="BO174" t="str">
            <v>RS 162</v>
          </cell>
          <cell r="BP174">
            <v>7</v>
          </cell>
          <cell r="BQ174">
            <v>6</v>
          </cell>
          <cell r="BR174" t="str">
            <v>R</v>
          </cell>
          <cell r="BS174" t="str">
            <v>S</v>
          </cell>
          <cell r="BT174">
            <v>0</v>
          </cell>
          <cell r="BU174" t="str">
            <v>DS</v>
          </cell>
          <cell r="BV174" t="str">
            <v/>
          </cell>
          <cell r="BW174">
            <v>3</v>
          </cell>
          <cell r="BX174">
            <v>15</v>
          </cell>
          <cell r="BY174" t="str">
            <v/>
          </cell>
          <cell r="BZ174">
            <v>1</v>
          </cell>
          <cell r="CA174">
            <v>5</v>
          </cell>
          <cell r="CB174">
            <v>1.077</v>
          </cell>
          <cell r="CC174">
            <v>3.92</v>
          </cell>
          <cell r="CD174">
            <v>4</v>
          </cell>
          <cell r="CE174">
            <v>3.5</v>
          </cell>
          <cell r="CF174">
            <v>0</v>
          </cell>
          <cell r="CG174">
            <v>4</v>
          </cell>
          <cell r="CH174">
            <v>3.5</v>
          </cell>
          <cell r="CI174">
            <v>17.899999999999999</v>
          </cell>
          <cell r="CJ174">
            <v>5.9666666666666666E-2</v>
          </cell>
          <cell r="CK174">
            <v>5.9666666666666666E-2</v>
          </cell>
          <cell r="CL174">
            <v>0</v>
          </cell>
          <cell r="CM174">
            <v>2.3132307692307695E-2</v>
          </cell>
          <cell r="CN174">
            <v>2.3132307692307695E-2</v>
          </cell>
          <cell r="CO174">
            <v>0</v>
          </cell>
          <cell r="CP174">
            <v>0</v>
          </cell>
          <cell r="CQ174">
            <v>3.9431323076923075</v>
          </cell>
          <cell r="CR174">
            <v>0</v>
          </cell>
          <cell r="CS174">
            <v>1</v>
          </cell>
          <cell r="CT174">
            <v>0</v>
          </cell>
          <cell r="CU174">
            <v>0</v>
          </cell>
          <cell r="CV174">
            <v>23</v>
          </cell>
          <cell r="CW174">
            <v>23</v>
          </cell>
          <cell r="CX174" t="str">
            <v/>
          </cell>
          <cell r="CY174">
            <v>2</v>
          </cell>
          <cell r="CZ174">
            <v>1.2</v>
          </cell>
          <cell r="DA174">
            <v>1.1000000000000001</v>
          </cell>
          <cell r="DB174">
            <v>850</v>
          </cell>
          <cell r="DC174">
            <v>425</v>
          </cell>
          <cell r="DD174">
            <v>230</v>
          </cell>
          <cell r="DE174">
            <v>43</v>
          </cell>
          <cell r="DF174">
            <v>124</v>
          </cell>
          <cell r="DG174">
            <v>13</v>
          </cell>
          <cell r="DH174">
            <v>9</v>
          </cell>
          <cell r="DI174">
            <v>9</v>
          </cell>
        </row>
        <row r="175">
          <cell r="A175" t="str">
            <v>RS 164</v>
          </cell>
          <cell r="B175">
            <v>164</v>
          </cell>
          <cell r="C175" t="str">
            <v>S</v>
          </cell>
          <cell r="D175" t="str">
            <v>U</v>
          </cell>
          <cell r="E175" t="str">
            <v>Kenyatta Drive</v>
          </cell>
          <cell r="F175" t="str">
            <v>Urban</v>
          </cell>
          <cell r="G175">
            <v>10</v>
          </cell>
          <cell r="H175">
            <v>4.0999999999999996</v>
          </cell>
          <cell r="I175" t="str">
            <v>R</v>
          </cell>
          <cell r="J175" t="str">
            <v>IN BLANTYRE CITY</v>
          </cell>
          <cell r="K175" t="str">
            <v>C</v>
          </cell>
          <cell r="L175">
            <v>0</v>
          </cell>
          <cell r="W175">
            <v>65</v>
          </cell>
          <cell r="X175" t="str">
            <v>AC</v>
          </cell>
          <cell r="Y175">
            <v>150</v>
          </cell>
          <cell r="Z175" t="str">
            <v>SB</v>
          </cell>
          <cell r="AA175">
            <v>100</v>
          </cell>
          <cell r="AB175" t="str">
            <v>GR</v>
          </cell>
          <cell r="AC175">
            <v>5</v>
          </cell>
          <cell r="AD175">
            <v>0</v>
          </cell>
          <cell r="AE175">
            <v>96</v>
          </cell>
          <cell r="AF175" t="str">
            <v>SR</v>
          </cell>
          <cell r="AG175" t="str">
            <v>ST</v>
          </cell>
          <cell r="AH175">
            <v>10</v>
          </cell>
          <cell r="AI175">
            <v>0</v>
          </cell>
          <cell r="AJ175">
            <v>0</v>
          </cell>
          <cell r="AK175">
            <v>0</v>
          </cell>
          <cell r="AL175">
            <v>0</v>
          </cell>
          <cell r="AM175">
            <v>5</v>
          </cell>
          <cell r="AN175">
            <v>0</v>
          </cell>
          <cell r="BO175" t="str">
            <v>RS 164</v>
          </cell>
          <cell r="BP175">
            <v>4.0999999999999996</v>
          </cell>
          <cell r="BQ175">
            <v>6</v>
          </cell>
          <cell r="BR175" t="str">
            <v>R</v>
          </cell>
          <cell r="BS175" t="str">
            <v>C</v>
          </cell>
          <cell r="BT175">
            <v>0</v>
          </cell>
          <cell r="BU175" t="str">
            <v>ST</v>
          </cell>
          <cell r="BV175" t="str">
            <v>AC</v>
          </cell>
          <cell r="BW175">
            <v>5</v>
          </cell>
          <cell r="BX175">
            <v>10</v>
          </cell>
          <cell r="BY175">
            <v>40</v>
          </cell>
          <cell r="BZ175">
            <v>1</v>
          </cell>
          <cell r="CA175">
            <v>5</v>
          </cell>
          <cell r="CB175">
            <v>1.7290000000000001</v>
          </cell>
          <cell r="CC175">
            <v>6.9663737327188944</v>
          </cell>
          <cell r="CD175">
            <v>90</v>
          </cell>
          <cell r="CE175">
            <v>55</v>
          </cell>
          <cell r="CF175">
            <v>40</v>
          </cell>
          <cell r="CG175">
            <v>50</v>
          </cell>
          <cell r="CH175">
            <v>15</v>
          </cell>
          <cell r="CI175">
            <v>6.5</v>
          </cell>
          <cell r="CJ175">
            <v>2.1666666666666667E-2</v>
          </cell>
          <cell r="CK175">
            <v>10</v>
          </cell>
          <cell r="CL175">
            <v>40</v>
          </cell>
          <cell r="CM175">
            <v>0.37279871794871788</v>
          </cell>
          <cell r="CN175">
            <v>0.37279871794871788</v>
          </cell>
          <cell r="CO175">
            <v>0</v>
          </cell>
          <cell r="CP175">
            <v>0</v>
          </cell>
          <cell r="CQ175">
            <v>7.3391724506676121</v>
          </cell>
          <cell r="CR175">
            <v>50</v>
          </cell>
          <cell r="CS175">
            <v>1</v>
          </cell>
          <cell r="CT175">
            <v>0</v>
          </cell>
          <cell r="CU175">
            <v>0</v>
          </cell>
          <cell r="CV175">
            <v>2</v>
          </cell>
          <cell r="CW175">
            <v>33</v>
          </cell>
          <cell r="CX175">
            <v>66</v>
          </cell>
          <cell r="CY175">
            <v>2</v>
          </cell>
          <cell r="CZ175">
            <v>3</v>
          </cell>
          <cell r="DA175">
            <v>1.5</v>
          </cell>
          <cell r="DB175">
            <v>1167</v>
          </cell>
          <cell r="DC175">
            <v>584</v>
          </cell>
          <cell r="DD175">
            <v>316</v>
          </cell>
          <cell r="DE175">
            <v>59</v>
          </cell>
          <cell r="DF175">
            <v>170</v>
          </cell>
          <cell r="DG175">
            <v>18</v>
          </cell>
          <cell r="DH175">
            <v>12</v>
          </cell>
          <cell r="DI175">
            <v>12</v>
          </cell>
        </row>
        <row r="176">
          <cell r="A176" t="str">
            <v>RS 165</v>
          </cell>
          <cell r="B176">
            <v>165</v>
          </cell>
          <cell r="C176" t="str">
            <v>S</v>
          </cell>
          <cell r="D176" t="str">
            <v>U</v>
          </cell>
          <cell r="E176" t="str">
            <v>Kwacha Road</v>
          </cell>
          <cell r="F176" t="str">
            <v>Urban</v>
          </cell>
          <cell r="G176">
            <v>11</v>
          </cell>
          <cell r="H176">
            <v>1.4</v>
          </cell>
          <cell r="I176" t="str">
            <v>R</v>
          </cell>
          <cell r="J176" t="str">
            <v>IN BLANTYRE CITY</v>
          </cell>
          <cell r="K176" t="str">
            <v>C</v>
          </cell>
          <cell r="L176" t="str">
            <v>Name changed from Kwacha Rd - Marhattma</v>
          </cell>
          <cell r="W176">
            <v>71</v>
          </cell>
          <cell r="X176" t="str">
            <v>AC</v>
          </cell>
          <cell r="Y176">
            <v>150</v>
          </cell>
          <cell r="Z176" t="str">
            <v>SB</v>
          </cell>
          <cell r="AA176">
            <v>100</v>
          </cell>
          <cell r="AB176" t="str">
            <v>GR</v>
          </cell>
          <cell r="AC176">
            <v>5</v>
          </cell>
          <cell r="AD176">
            <v>0</v>
          </cell>
          <cell r="AE176">
            <v>0</v>
          </cell>
          <cell r="AF176">
            <v>0</v>
          </cell>
          <cell r="AG176">
            <v>0</v>
          </cell>
          <cell r="AH176">
            <v>0</v>
          </cell>
          <cell r="AI176">
            <v>0</v>
          </cell>
          <cell r="AJ176">
            <v>0</v>
          </cell>
          <cell r="AK176">
            <v>0</v>
          </cell>
          <cell r="AL176">
            <v>0</v>
          </cell>
          <cell r="AM176">
            <v>2</v>
          </cell>
          <cell r="AN176" t="str">
            <v>never resealed</v>
          </cell>
          <cell r="BO176" t="str">
            <v>RS 165</v>
          </cell>
          <cell r="BP176">
            <v>1.4</v>
          </cell>
          <cell r="BQ176">
            <v>6</v>
          </cell>
          <cell r="BR176" t="str">
            <v>R</v>
          </cell>
          <cell r="BS176" t="str">
            <v>C</v>
          </cell>
          <cell r="BT176">
            <v>0</v>
          </cell>
          <cell r="BU176" t="str">
            <v>AC</v>
          </cell>
          <cell r="BV176" t="str">
            <v/>
          </cell>
          <cell r="BW176">
            <v>2</v>
          </cell>
          <cell r="BX176">
            <v>40</v>
          </cell>
          <cell r="BY176" t="str">
            <v/>
          </cell>
          <cell r="BZ176">
            <v>1</v>
          </cell>
          <cell r="CA176">
            <v>5</v>
          </cell>
          <cell r="CB176">
            <v>1.552</v>
          </cell>
          <cell r="CC176">
            <v>8.1996372434017601</v>
          </cell>
          <cell r="CD176">
            <v>90</v>
          </cell>
          <cell r="CE176">
            <v>72</v>
          </cell>
          <cell r="CF176">
            <v>57</v>
          </cell>
          <cell r="CG176">
            <v>33</v>
          </cell>
          <cell r="CH176">
            <v>15</v>
          </cell>
          <cell r="CI176">
            <v>184</v>
          </cell>
          <cell r="CJ176">
            <v>0.6133333333333334</v>
          </cell>
          <cell r="CK176">
            <v>10</v>
          </cell>
          <cell r="CL176">
            <v>57</v>
          </cell>
          <cell r="CM176">
            <v>0.708728205128205</v>
          </cell>
          <cell r="CN176">
            <v>0.708728205128205</v>
          </cell>
          <cell r="CO176">
            <v>0</v>
          </cell>
          <cell r="CP176">
            <v>0</v>
          </cell>
          <cell r="CQ176">
            <v>8.908365448529965</v>
          </cell>
          <cell r="CR176">
            <v>70</v>
          </cell>
          <cell r="CS176">
            <v>1</v>
          </cell>
          <cell r="CT176">
            <v>0</v>
          </cell>
          <cell r="CU176">
            <v>0</v>
          </cell>
          <cell r="CV176">
            <v>27</v>
          </cell>
          <cell r="CW176">
            <v>27</v>
          </cell>
          <cell r="CX176" t="str">
            <v/>
          </cell>
          <cell r="CY176">
            <v>3</v>
          </cell>
          <cell r="CZ176">
            <v>2</v>
          </cell>
          <cell r="DA176">
            <v>2</v>
          </cell>
          <cell r="DB176">
            <v>1331</v>
          </cell>
          <cell r="DC176">
            <v>666</v>
          </cell>
          <cell r="DD176">
            <v>360</v>
          </cell>
          <cell r="DE176">
            <v>67</v>
          </cell>
          <cell r="DF176">
            <v>193</v>
          </cell>
          <cell r="DG176">
            <v>20</v>
          </cell>
          <cell r="DH176">
            <v>14</v>
          </cell>
          <cell r="DI176">
            <v>14</v>
          </cell>
        </row>
        <row r="177">
          <cell r="A177" t="str">
            <v>RS 166</v>
          </cell>
          <cell r="B177">
            <v>166</v>
          </cell>
          <cell r="C177" t="str">
            <v>S</v>
          </cell>
          <cell r="D177" t="str">
            <v>U</v>
          </cell>
          <cell r="E177" t="str">
            <v>Zingwagwa Rd (Chikwawa Rd - Kapeni Rd)</v>
          </cell>
          <cell r="F177" t="str">
            <v>Urban</v>
          </cell>
          <cell r="G177">
            <v>12</v>
          </cell>
          <cell r="H177">
            <v>7.7</v>
          </cell>
          <cell r="I177" t="str">
            <v>R</v>
          </cell>
          <cell r="J177" t="str">
            <v>IN BLANTYRE CITY</v>
          </cell>
          <cell r="K177" t="str">
            <v>C</v>
          </cell>
          <cell r="L177" t="str">
            <v>Name modified by City Council</v>
          </cell>
          <cell r="W177">
            <v>78</v>
          </cell>
          <cell r="X177" t="str">
            <v>DS</v>
          </cell>
          <cell r="Y177">
            <v>150</v>
          </cell>
          <cell r="Z177" t="str">
            <v>GR</v>
          </cell>
          <cell r="AA177">
            <v>100</v>
          </cell>
          <cell r="AB177" t="str">
            <v>GR</v>
          </cell>
          <cell r="AC177">
            <v>5</v>
          </cell>
          <cell r="AD177" t="str">
            <v>JW</v>
          </cell>
          <cell r="AE177">
            <v>0</v>
          </cell>
          <cell r="AF177">
            <v>0</v>
          </cell>
          <cell r="AG177">
            <v>0</v>
          </cell>
          <cell r="AH177">
            <v>0</v>
          </cell>
          <cell r="AI177">
            <v>0</v>
          </cell>
          <cell r="AJ177">
            <v>0</v>
          </cell>
          <cell r="AK177">
            <v>0</v>
          </cell>
          <cell r="AL177">
            <v>0</v>
          </cell>
          <cell r="AM177">
            <v>2</v>
          </cell>
          <cell r="AN177" t="str">
            <v>never resealed</v>
          </cell>
          <cell r="BO177" t="str">
            <v>RS 166</v>
          </cell>
          <cell r="BP177">
            <v>1</v>
          </cell>
          <cell r="BQ177">
            <v>6</v>
          </cell>
          <cell r="BR177" t="str">
            <v>R</v>
          </cell>
          <cell r="BS177" t="str">
            <v>C</v>
          </cell>
          <cell r="BT177">
            <v>0</v>
          </cell>
          <cell r="BU177" t="str">
            <v>DS</v>
          </cell>
          <cell r="BV177" t="str">
            <v/>
          </cell>
          <cell r="BW177">
            <v>2</v>
          </cell>
          <cell r="BX177">
            <v>15</v>
          </cell>
          <cell r="BY177" t="str">
            <v/>
          </cell>
          <cell r="BZ177">
            <v>1</v>
          </cell>
          <cell r="CA177">
            <v>5</v>
          </cell>
          <cell r="CB177">
            <v>1.077</v>
          </cell>
          <cell r="CC177">
            <v>6.5</v>
          </cell>
          <cell r="CD177">
            <v>90</v>
          </cell>
          <cell r="CE177">
            <v>65</v>
          </cell>
          <cell r="CF177">
            <v>50</v>
          </cell>
          <cell r="CG177">
            <v>40</v>
          </cell>
          <cell r="CH177">
            <v>15</v>
          </cell>
          <cell r="CI177">
            <v>57</v>
          </cell>
          <cell r="CJ177">
            <v>0.19</v>
          </cell>
          <cell r="CK177">
            <v>10</v>
          </cell>
          <cell r="CL177">
            <v>50</v>
          </cell>
          <cell r="CM177">
            <v>0.50253076923076923</v>
          </cell>
          <cell r="CN177">
            <v>0.50253076923076923</v>
          </cell>
          <cell r="CO177">
            <v>0</v>
          </cell>
          <cell r="CP177">
            <v>0</v>
          </cell>
          <cell r="CQ177">
            <v>7.002530769230769</v>
          </cell>
          <cell r="CR177">
            <v>4</v>
          </cell>
          <cell r="CS177">
            <v>1</v>
          </cell>
          <cell r="CT177">
            <v>0</v>
          </cell>
          <cell r="CU177">
            <v>0</v>
          </cell>
          <cell r="CV177">
            <v>20</v>
          </cell>
          <cell r="CW177">
            <v>20</v>
          </cell>
          <cell r="CX177" t="str">
            <v/>
          </cell>
          <cell r="CY177">
            <v>1.5</v>
          </cell>
          <cell r="CZ177">
            <v>1.5</v>
          </cell>
          <cell r="DA177">
            <v>1.5</v>
          </cell>
          <cell r="DB177">
            <v>2500</v>
          </cell>
          <cell r="DC177">
            <v>1250</v>
          </cell>
          <cell r="DD177">
            <v>675</v>
          </cell>
          <cell r="DE177">
            <v>125</v>
          </cell>
          <cell r="DF177">
            <v>363</v>
          </cell>
          <cell r="DG177">
            <v>38</v>
          </cell>
          <cell r="DH177">
            <v>25</v>
          </cell>
          <cell r="DI177">
            <v>25</v>
          </cell>
        </row>
        <row r="178">
          <cell r="A178" t="str">
            <v>RS 167</v>
          </cell>
          <cell r="B178">
            <v>167</v>
          </cell>
          <cell r="C178" t="str">
            <v>S</v>
          </cell>
          <cell r="D178" t="str">
            <v>U</v>
          </cell>
          <cell r="E178" t="str">
            <v>Chilomoni Road (Ring Road)</v>
          </cell>
          <cell r="F178" t="str">
            <v>Urban</v>
          </cell>
          <cell r="G178">
            <v>13</v>
          </cell>
          <cell r="H178">
            <v>6.3</v>
          </cell>
          <cell r="I178" t="str">
            <v>R</v>
          </cell>
          <cell r="J178" t="str">
            <v>IN BLANTYRE CITY</v>
          </cell>
          <cell r="K178" t="str">
            <v>C</v>
          </cell>
          <cell r="L178" t="str">
            <v>Name modified</v>
          </cell>
          <cell r="W178">
            <v>65</v>
          </cell>
          <cell r="X178" t="str">
            <v>AC</v>
          </cell>
          <cell r="Y178">
            <v>150</v>
          </cell>
          <cell r="Z178" t="str">
            <v>SB</v>
          </cell>
          <cell r="AA178">
            <v>100</v>
          </cell>
          <cell r="AB178" t="str">
            <v>GR</v>
          </cell>
          <cell r="AC178">
            <v>5</v>
          </cell>
          <cell r="AD178">
            <v>0</v>
          </cell>
          <cell r="AE178">
            <v>0</v>
          </cell>
          <cell r="AF178">
            <v>0</v>
          </cell>
          <cell r="AG178">
            <v>0</v>
          </cell>
          <cell r="AH178">
            <v>0</v>
          </cell>
          <cell r="AI178">
            <v>0</v>
          </cell>
          <cell r="AJ178">
            <v>0</v>
          </cell>
          <cell r="AK178">
            <v>0</v>
          </cell>
          <cell r="AL178">
            <v>0</v>
          </cell>
          <cell r="AM178">
            <v>2</v>
          </cell>
          <cell r="AN178" t="str">
            <v>never resealed</v>
          </cell>
          <cell r="BO178" t="str">
            <v>RS 167</v>
          </cell>
          <cell r="BP178">
            <v>6.3</v>
          </cell>
          <cell r="BQ178">
            <v>4</v>
          </cell>
          <cell r="BR178" t="str">
            <v>R</v>
          </cell>
          <cell r="BS178" t="str">
            <v>C</v>
          </cell>
          <cell r="BT178">
            <v>0</v>
          </cell>
          <cell r="BU178" t="str">
            <v>AC</v>
          </cell>
          <cell r="BV178" t="str">
            <v/>
          </cell>
          <cell r="BW178">
            <v>2</v>
          </cell>
          <cell r="BX178">
            <v>40</v>
          </cell>
          <cell r="BY178" t="str">
            <v/>
          </cell>
          <cell r="BZ178">
            <v>1</v>
          </cell>
          <cell r="CA178">
            <v>5</v>
          </cell>
          <cell r="CB178">
            <v>1.552</v>
          </cell>
          <cell r="CC178">
            <v>8.0321199288700313</v>
          </cell>
          <cell r="CD178">
            <v>90</v>
          </cell>
          <cell r="CE178">
            <v>75</v>
          </cell>
          <cell r="CF178">
            <v>60</v>
          </cell>
          <cell r="CG178">
            <v>30</v>
          </cell>
          <cell r="CH178">
            <v>15</v>
          </cell>
          <cell r="CI178">
            <v>90</v>
          </cell>
          <cell r="CJ178">
            <v>0.44999999999999996</v>
          </cell>
          <cell r="CK178">
            <v>10</v>
          </cell>
          <cell r="CL178">
            <v>60</v>
          </cell>
          <cell r="CM178">
            <v>0.6668846153846153</v>
          </cell>
          <cell r="CN178">
            <v>0.6668846153846153</v>
          </cell>
          <cell r="CO178">
            <v>0</v>
          </cell>
          <cell r="CP178">
            <v>0</v>
          </cell>
          <cell r="CQ178">
            <v>8.6990045442546471</v>
          </cell>
          <cell r="CR178">
            <v>35</v>
          </cell>
          <cell r="CS178">
            <v>1</v>
          </cell>
          <cell r="CT178">
            <v>0</v>
          </cell>
          <cell r="CU178">
            <v>0</v>
          </cell>
          <cell r="CV178">
            <v>33</v>
          </cell>
          <cell r="CW178">
            <v>33</v>
          </cell>
          <cell r="CX178" t="str">
            <v/>
          </cell>
          <cell r="CY178">
            <v>3</v>
          </cell>
          <cell r="CZ178">
            <v>2.5</v>
          </cell>
          <cell r="DA178">
            <v>2.5</v>
          </cell>
          <cell r="DB178">
            <v>7463</v>
          </cell>
          <cell r="DC178">
            <v>3732</v>
          </cell>
          <cell r="DD178">
            <v>2016</v>
          </cell>
          <cell r="DE178">
            <v>374</v>
          </cell>
          <cell r="DF178">
            <v>1083</v>
          </cell>
          <cell r="DG178">
            <v>112</v>
          </cell>
          <cell r="DH178">
            <v>75</v>
          </cell>
          <cell r="DI178">
            <v>75</v>
          </cell>
        </row>
        <row r="179">
          <cell r="A179" t="str">
            <v>RS 168</v>
          </cell>
          <cell r="B179">
            <v>168</v>
          </cell>
          <cell r="C179" t="str">
            <v>S</v>
          </cell>
          <cell r="D179" t="str">
            <v>U</v>
          </cell>
          <cell r="E179" t="str">
            <v>Makata Road</v>
          </cell>
          <cell r="F179" t="str">
            <v>Urban</v>
          </cell>
          <cell r="G179">
            <v>14</v>
          </cell>
          <cell r="H179">
            <v>2.7</v>
          </cell>
          <cell r="I179" t="str">
            <v>R</v>
          </cell>
          <cell r="J179" t="str">
            <v>IN BLANTYRE CITY</v>
          </cell>
          <cell r="K179" t="str">
            <v>C</v>
          </cell>
          <cell r="L179">
            <v>0</v>
          </cell>
          <cell r="W179">
            <v>65</v>
          </cell>
          <cell r="X179" t="str">
            <v>AC</v>
          </cell>
          <cell r="Y179">
            <v>150</v>
          </cell>
          <cell r="Z179" t="str">
            <v>SB</v>
          </cell>
          <cell r="AA179">
            <v>100</v>
          </cell>
          <cell r="AB179" t="str">
            <v>GR</v>
          </cell>
          <cell r="AC179">
            <v>5</v>
          </cell>
          <cell r="AD179">
            <v>0</v>
          </cell>
          <cell r="AE179">
            <v>98</v>
          </cell>
          <cell r="AF179" t="str">
            <v>RC</v>
          </cell>
          <cell r="AG179" t="str">
            <v>AC</v>
          </cell>
          <cell r="AH179">
            <v>40</v>
          </cell>
          <cell r="AI179">
            <v>0</v>
          </cell>
          <cell r="AJ179">
            <v>0</v>
          </cell>
          <cell r="AK179">
            <v>0</v>
          </cell>
          <cell r="AL179">
            <v>0</v>
          </cell>
          <cell r="AM179">
            <v>2</v>
          </cell>
          <cell r="AN179" t="str">
            <v>reconstruction in progress</v>
          </cell>
          <cell r="BO179" t="str">
            <v>RS 168</v>
          </cell>
          <cell r="BP179">
            <v>2.7</v>
          </cell>
          <cell r="BQ179">
            <v>5.5</v>
          </cell>
          <cell r="BR179" t="str">
            <v>R</v>
          </cell>
          <cell r="BS179" t="str">
            <v>C</v>
          </cell>
          <cell r="BT179">
            <v>0</v>
          </cell>
          <cell r="BU179" t="str">
            <v>AC</v>
          </cell>
          <cell r="BV179" t="str">
            <v/>
          </cell>
          <cell r="BW179">
            <v>2</v>
          </cell>
          <cell r="BX179">
            <v>40</v>
          </cell>
          <cell r="BY179" t="str">
            <v/>
          </cell>
          <cell r="BZ179">
            <v>1</v>
          </cell>
          <cell r="CA179">
            <v>5</v>
          </cell>
          <cell r="CB179">
            <v>1.7290000000000001</v>
          </cell>
          <cell r="CC179">
            <v>2.5027728175050754</v>
          </cell>
          <cell r="CD179" t="str">
            <v>being overlaid 1998</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t="str">
            <v/>
          </cell>
          <cell r="CY179">
            <v>1</v>
          </cell>
          <cell r="CZ179">
            <v>1</v>
          </cell>
          <cell r="DA179">
            <v>1</v>
          </cell>
          <cell r="DB179">
            <v>10550</v>
          </cell>
          <cell r="DC179">
            <v>5275</v>
          </cell>
          <cell r="DD179">
            <v>2849</v>
          </cell>
          <cell r="DE179">
            <v>528</v>
          </cell>
          <cell r="DF179">
            <v>1530</v>
          </cell>
          <cell r="DG179">
            <v>159</v>
          </cell>
          <cell r="DH179">
            <v>106</v>
          </cell>
          <cell r="DI179">
            <v>106</v>
          </cell>
        </row>
        <row r="180">
          <cell r="A180" t="str">
            <v>RS 169</v>
          </cell>
          <cell r="B180">
            <v>169</v>
          </cell>
          <cell r="C180" t="str">
            <v>S</v>
          </cell>
          <cell r="D180" t="str">
            <v>U</v>
          </cell>
          <cell r="E180" t="str">
            <v>Ndirande Ring Road</v>
          </cell>
          <cell r="F180" t="str">
            <v>Urban</v>
          </cell>
          <cell r="G180">
            <v>15</v>
          </cell>
          <cell r="H180">
            <v>3.3</v>
          </cell>
          <cell r="I180" t="str">
            <v>R</v>
          </cell>
          <cell r="J180" t="str">
            <v>IN BLANTYRE CITY</v>
          </cell>
          <cell r="K180" t="str">
            <v>C</v>
          </cell>
          <cell r="L180" t="str">
            <v>name changed from HHI - David Whitehead Via Ndirande Market</v>
          </cell>
          <cell r="W180">
            <v>77</v>
          </cell>
          <cell r="X180" t="str">
            <v>AC</v>
          </cell>
          <cell r="Y180">
            <v>150</v>
          </cell>
          <cell r="Z180" t="str">
            <v>SB</v>
          </cell>
          <cell r="AA180">
            <v>100</v>
          </cell>
          <cell r="AB180" t="str">
            <v>GR</v>
          </cell>
          <cell r="AC180">
            <v>5</v>
          </cell>
          <cell r="AD180">
            <v>0</v>
          </cell>
          <cell r="AE180">
            <v>0</v>
          </cell>
          <cell r="AF180">
            <v>0</v>
          </cell>
          <cell r="AG180">
            <v>0</v>
          </cell>
          <cell r="AH180">
            <v>0</v>
          </cell>
          <cell r="AI180">
            <v>0</v>
          </cell>
          <cell r="AJ180">
            <v>0</v>
          </cell>
          <cell r="AK180">
            <v>0</v>
          </cell>
          <cell r="AL180">
            <v>0</v>
          </cell>
          <cell r="AM180">
            <v>2</v>
          </cell>
          <cell r="AN180" t="str">
            <v>never resealed</v>
          </cell>
          <cell r="BO180" t="str">
            <v>RS 169</v>
          </cell>
          <cell r="BP180">
            <v>3.3</v>
          </cell>
          <cell r="BQ180">
            <v>6</v>
          </cell>
          <cell r="BR180" t="str">
            <v>R</v>
          </cell>
          <cell r="BS180" t="str">
            <v>C</v>
          </cell>
          <cell r="BT180">
            <v>0</v>
          </cell>
          <cell r="BU180" t="str">
            <v>AC</v>
          </cell>
          <cell r="BV180" t="str">
            <v/>
          </cell>
          <cell r="BW180">
            <v>2</v>
          </cell>
          <cell r="BX180">
            <v>40</v>
          </cell>
          <cell r="BY180" t="str">
            <v/>
          </cell>
          <cell r="BZ180">
            <v>1</v>
          </cell>
          <cell r="CA180">
            <v>5</v>
          </cell>
          <cell r="CB180">
            <v>1.552</v>
          </cell>
          <cell r="CC180">
            <v>7.5591680351906154</v>
          </cell>
          <cell r="CD180">
            <v>90</v>
          </cell>
          <cell r="CE180">
            <v>70</v>
          </cell>
          <cell r="CF180">
            <v>55</v>
          </cell>
          <cell r="CG180">
            <v>35</v>
          </cell>
          <cell r="CH180">
            <v>15</v>
          </cell>
          <cell r="CI180">
            <v>84.3</v>
          </cell>
          <cell r="CJ180">
            <v>0.28100000000000003</v>
          </cell>
          <cell r="CK180">
            <v>10</v>
          </cell>
          <cell r="CL180">
            <v>55</v>
          </cell>
          <cell r="CM180">
            <v>0.56997769230769224</v>
          </cell>
          <cell r="CN180">
            <v>0.56997769230769224</v>
          </cell>
          <cell r="CO180">
            <v>0</v>
          </cell>
          <cell r="CP180">
            <v>0</v>
          </cell>
          <cell r="CQ180">
            <v>8.1291457274983081</v>
          </cell>
          <cell r="CR180">
            <v>64</v>
          </cell>
          <cell r="CS180">
            <v>1</v>
          </cell>
          <cell r="CT180">
            <v>0</v>
          </cell>
          <cell r="CU180">
            <v>0</v>
          </cell>
          <cell r="CV180">
            <v>21</v>
          </cell>
          <cell r="CW180">
            <v>21</v>
          </cell>
          <cell r="CX180" t="str">
            <v/>
          </cell>
          <cell r="CY180">
            <v>2</v>
          </cell>
          <cell r="CZ180">
            <v>1.3</v>
          </cell>
          <cell r="DA180">
            <v>1.5</v>
          </cell>
          <cell r="DB180">
            <v>2203</v>
          </cell>
          <cell r="DC180">
            <v>1102</v>
          </cell>
          <cell r="DD180">
            <v>595</v>
          </cell>
          <cell r="DE180">
            <v>111</v>
          </cell>
          <cell r="DF180">
            <v>320</v>
          </cell>
          <cell r="DG180">
            <v>34</v>
          </cell>
          <cell r="DH180">
            <v>23</v>
          </cell>
          <cell r="DI180">
            <v>23</v>
          </cell>
        </row>
        <row r="181">
          <cell r="A181" t="str">
            <v>RS 174</v>
          </cell>
          <cell r="B181">
            <v>174</v>
          </cell>
          <cell r="C181" t="str">
            <v>S</v>
          </cell>
          <cell r="D181" t="str">
            <v>U</v>
          </cell>
          <cell r="E181" t="str">
            <v>Chipembere Highway (M2, Blantyre - Limbe)</v>
          </cell>
          <cell r="F181" t="str">
            <v>Urban</v>
          </cell>
          <cell r="G181">
            <v>16</v>
          </cell>
          <cell r="H181">
            <v>9</v>
          </cell>
          <cell r="I181" t="str">
            <v>R</v>
          </cell>
          <cell r="J181" t="str">
            <v>IN BLANTYRE CITY</v>
          </cell>
          <cell r="K181" t="str">
            <v>C</v>
          </cell>
          <cell r="L181">
            <v>0</v>
          </cell>
          <cell r="W181">
            <v>56</v>
          </cell>
          <cell r="X181" t="str">
            <v>AC</v>
          </cell>
          <cell r="Y181">
            <v>150</v>
          </cell>
          <cell r="Z181" t="str">
            <v>SB</v>
          </cell>
          <cell r="AA181">
            <v>100</v>
          </cell>
          <cell r="AB181" t="str">
            <v>GR</v>
          </cell>
          <cell r="AC181">
            <v>5</v>
          </cell>
          <cell r="AD181">
            <v>0</v>
          </cell>
          <cell r="AE181">
            <v>98</v>
          </cell>
          <cell r="AF181" t="str">
            <v>AO</v>
          </cell>
          <cell r="AG181" t="str">
            <v>AC</v>
          </cell>
          <cell r="AH181">
            <v>25</v>
          </cell>
          <cell r="AI181">
            <v>0</v>
          </cell>
          <cell r="AJ181">
            <v>0</v>
          </cell>
          <cell r="AK181">
            <v>0</v>
          </cell>
          <cell r="AL181">
            <v>0</v>
          </cell>
          <cell r="AM181">
            <v>6</v>
          </cell>
          <cell r="AN181">
            <v>0</v>
          </cell>
          <cell r="BO181" t="str">
            <v>RS 174</v>
          </cell>
          <cell r="BP181">
            <v>9</v>
          </cell>
          <cell r="BQ181">
            <v>12</v>
          </cell>
          <cell r="BR181" t="str">
            <v>R</v>
          </cell>
          <cell r="BS181" t="str">
            <v>C</v>
          </cell>
          <cell r="BT181">
            <v>0</v>
          </cell>
          <cell r="BU181" t="str">
            <v>AC</v>
          </cell>
          <cell r="BV181" t="str">
            <v>AC</v>
          </cell>
          <cell r="BW181">
            <v>6</v>
          </cell>
          <cell r="BX181">
            <v>40</v>
          </cell>
          <cell r="BY181">
            <v>40</v>
          </cell>
          <cell r="BZ181">
            <v>1</v>
          </cell>
          <cell r="CA181">
            <v>5</v>
          </cell>
          <cell r="CB181">
            <v>2.1040000000000001</v>
          </cell>
          <cell r="CC181">
            <v>5.14</v>
          </cell>
          <cell r="CD181" t="str">
            <v>being overlaid 1998</v>
          </cell>
          <cell r="CE181">
            <v>0</v>
          </cell>
          <cell r="CF181">
            <v>0</v>
          </cell>
          <cell r="CG181">
            <v>0</v>
          </cell>
          <cell r="CH181">
            <v>0</v>
          </cell>
          <cell r="CI181">
            <v>0</v>
          </cell>
          <cell r="CJ181">
            <v>0</v>
          </cell>
          <cell r="CK181">
            <v>0</v>
          </cell>
          <cell r="CL181">
            <v>0</v>
          </cell>
          <cell r="CM181">
            <v>0</v>
          </cell>
          <cell r="CN181">
            <v>0</v>
          </cell>
          <cell r="CO181">
            <v>0</v>
          </cell>
          <cell r="CP181">
            <v>0</v>
          </cell>
          <cell r="CQ181">
            <v>0</v>
          </cell>
          <cell r="CR181">
            <v>0</v>
          </cell>
          <cell r="CS181">
            <v>0</v>
          </cell>
          <cell r="CT181">
            <v>0</v>
          </cell>
          <cell r="CU181">
            <v>0</v>
          </cell>
          <cell r="CV181">
            <v>0</v>
          </cell>
          <cell r="CW181">
            <v>42</v>
          </cell>
          <cell r="CX181">
            <v>84</v>
          </cell>
          <cell r="CY181">
            <v>1.1000000000000001</v>
          </cell>
          <cell r="CZ181">
            <v>1.1000000000000001</v>
          </cell>
          <cell r="DA181">
            <v>1.1000000000000001</v>
          </cell>
          <cell r="DB181">
            <v>14065</v>
          </cell>
          <cell r="DC181">
            <v>7033</v>
          </cell>
          <cell r="DD181">
            <v>3798</v>
          </cell>
          <cell r="DE181">
            <v>704</v>
          </cell>
          <cell r="DF181">
            <v>2040</v>
          </cell>
          <cell r="DG181">
            <v>211</v>
          </cell>
          <cell r="DH181">
            <v>141</v>
          </cell>
          <cell r="DI181">
            <v>141</v>
          </cell>
        </row>
        <row r="182">
          <cell r="A182" t="str">
            <v>RS 846</v>
          </cell>
          <cell r="B182" t="str">
            <v>n.a.</v>
          </cell>
          <cell r="C182" t="str">
            <v>S</v>
          </cell>
          <cell r="D182" t="str">
            <v>U</v>
          </cell>
          <cell r="E182" t="str">
            <v>Clock Tower - junction M1 (via road S137)</v>
          </cell>
          <cell r="F182" t="str">
            <v>Urban</v>
          </cell>
          <cell r="G182">
            <v>17</v>
          </cell>
          <cell r="H182">
            <v>10.4</v>
          </cell>
          <cell r="I182" t="str">
            <v>R</v>
          </cell>
          <cell r="J182" t="str">
            <v>BLANTYRE CITY</v>
          </cell>
          <cell r="K182">
            <v>9</v>
          </cell>
          <cell r="L182" t="str">
            <v>New section part original RS 175</v>
          </cell>
          <cell r="W182">
            <v>56</v>
          </cell>
          <cell r="X182" t="str">
            <v>AC</v>
          </cell>
          <cell r="Y182">
            <v>150</v>
          </cell>
          <cell r="Z182" t="str">
            <v>SB</v>
          </cell>
          <cell r="AA182">
            <v>100</v>
          </cell>
          <cell r="AB182" t="str">
            <v>GR</v>
          </cell>
          <cell r="AC182">
            <v>5</v>
          </cell>
          <cell r="AD182">
            <v>0</v>
          </cell>
          <cell r="AE182">
            <v>98</v>
          </cell>
          <cell r="AF182" t="str">
            <v>AO</v>
          </cell>
          <cell r="AG182" t="str">
            <v>AC</v>
          </cell>
          <cell r="AH182">
            <v>25</v>
          </cell>
          <cell r="AI182">
            <v>0</v>
          </cell>
          <cell r="AJ182">
            <v>0</v>
          </cell>
          <cell r="AK182">
            <v>0</v>
          </cell>
          <cell r="AL182">
            <v>0</v>
          </cell>
          <cell r="AM182">
            <v>6</v>
          </cell>
          <cell r="AN182">
            <v>0</v>
          </cell>
          <cell r="BO182" t="str">
            <v>RS 846</v>
          </cell>
          <cell r="BP182">
            <v>10.4</v>
          </cell>
          <cell r="BQ182">
            <v>12</v>
          </cell>
          <cell r="BR182" t="str">
            <v>R</v>
          </cell>
          <cell r="BS182" t="str">
            <v>C</v>
          </cell>
          <cell r="BT182">
            <v>0</v>
          </cell>
          <cell r="BU182" t="str">
            <v>AC</v>
          </cell>
          <cell r="BV182" t="str">
            <v>AC</v>
          </cell>
          <cell r="BW182">
            <v>6</v>
          </cell>
          <cell r="BX182">
            <v>40</v>
          </cell>
          <cell r="BY182">
            <v>40</v>
          </cell>
          <cell r="BZ182">
            <v>1</v>
          </cell>
          <cell r="CA182">
            <v>5</v>
          </cell>
          <cell r="CB182">
            <v>2.1040000000000001</v>
          </cell>
          <cell r="CC182">
            <v>11.5</v>
          </cell>
          <cell r="CD182" t="str">
            <v>being overlaid 1998</v>
          </cell>
          <cell r="CE182">
            <v>0</v>
          </cell>
          <cell r="CF182">
            <v>0</v>
          </cell>
          <cell r="CG182">
            <v>0</v>
          </cell>
          <cell r="CH182">
            <v>0</v>
          </cell>
          <cell r="CI182">
            <v>0</v>
          </cell>
          <cell r="CJ182">
            <v>0</v>
          </cell>
          <cell r="CK182">
            <v>0</v>
          </cell>
          <cell r="CL182">
            <v>0</v>
          </cell>
          <cell r="CM182">
            <v>0</v>
          </cell>
          <cell r="CN182">
            <v>0</v>
          </cell>
          <cell r="CO182">
            <v>0</v>
          </cell>
          <cell r="CP182">
            <v>0</v>
          </cell>
          <cell r="CQ182">
            <v>0</v>
          </cell>
          <cell r="CR182">
            <v>0</v>
          </cell>
          <cell r="CS182">
            <v>0</v>
          </cell>
          <cell r="CT182">
            <v>0</v>
          </cell>
          <cell r="CU182">
            <v>0</v>
          </cell>
          <cell r="CV182">
            <v>0</v>
          </cell>
          <cell r="CW182">
            <v>42</v>
          </cell>
          <cell r="CX182">
            <v>84</v>
          </cell>
          <cell r="CY182">
            <v>2.5</v>
          </cell>
          <cell r="CZ182">
            <v>3</v>
          </cell>
          <cell r="DA182">
            <v>2</v>
          </cell>
          <cell r="DB182">
            <v>14000</v>
          </cell>
          <cell r="DC182">
            <v>7000</v>
          </cell>
          <cell r="DD182">
            <v>3780</v>
          </cell>
          <cell r="DE182">
            <v>700</v>
          </cell>
          <cell r="DF182">
            <v>2030</v>
          </cell>
          <cell r="DG182">
            <v>210</v>
          </cell>
          <cell r="DH182">
            <v>140</v>
          </cell>
          <cell r="DI182">
            <v>140</v>
          </cell>
        </row>
        <row r="183">
          <cell r="A183" t="str">
            <v>RS 841</v>
          </cell>
          <cell r="B183">
            <v>170</v>
          </cell>
          <cell r="C183" t="str">
            <v>S</v>
          </cell>
          <cell r="D183" t="str">
            <v>U</v>
          </cell>
          <cell r="E183" t="str">
            <v>Zomba - Chikanda (M1 to end bitumen)</v>
          </cell>
          <cell r="F183" t="str">
            <v>Urban</v>
          </cell>
          <cell r="G183">
            <v>18</v>
          </cell>
          <cell r="H183">
            <v>0.9</v>
          </cell>
          <cell r="I183" t="str">
            <v>R</v>
          </cell>
          <cell r="J183" t="str">
            <v>ZOMBA CITY</v>
          </cell>
          <cell r="K183" t="str">
            <v>C</v>
          </cell>
          <cell r="L183">
            <v>0</v>
          </cell>
          <cell r="W183">
            <v>67</v>
          </cell>
          <cell r="X183" t="str">
            <v>SA</v>
          </cell>
          <cell r="Y183">
            <v>150</v>
          </cell>
          <cell r="Z183" t="str">
            <v>GR</v>
          </cell>
          <cell r="AA183">
            <v>100</v>
          </cell>
          <cell r="AB183" t="str">
            <v>GR</v>
          </cell>
          <cell r="AC183">
            <v>5</v>
          </cell>
          <cell r="AD183">
            <v>0</v>
          </cell>
          <cell r="AE183">
            <v>0</v>
          </cell>
          <cell r="AF183">
            <v>0</v>
          </cell>
          <cell r="AG183">
            <v>0</v>
          </cell>
          <cell r="AH183">
            <v>0</v>
          </cell>
          <cell r="AI183">
            <v>0</v>
          </cell>
          <cell r="AJ183">
            <v>0</v>
          </cell>
          <cell r="AK183">
            <v>0</v>
          </cell>
          <cell r="AL183">
            <v>0</v>
          </cell>
          <cell r="AM183">
            <v>2</v>
          </cell>
          <cell r="AN183" t="str">
            <v>never resealed</v>
          </cell>
          <cell r="BO183" t="str">
            <v>RS 841</v>
          </cell>
          <cell r="BP183">
            <v>0.9</v>
          </cell>
          <cell r="BQ183">
            <v>3</v>
          </cell>
          <cell r="BR183" t="str">
            <v>R</v>
          </cell>
          <cell r="BS183" t="str">
            <v>C</v>
          </cell>
          <cell r="BT183">
            <v>0</v>
          </cell>
          <cell r="BU183" t="str">
            <v>SA</v>
          </cell>
          <cell r="BV183" t="str">
            <v/>
          </cell>
          <cell r="BW183">
            <v>2</v>
          </cell>
          <cell r="BX183">
            <v>10</v>
          </cell>
          <cell r="BY183" t="str">
            <v/>
          </cell>
          <cell r="BZ183">
            <v>1</v>
          </cell>
          <cell r="CA183">
            <v>5</v>
          </cell>
          <cell r="CB183">
            <v>0.90800000000000003</v>
          </cell>
          <cell r="CC183">
            <v>8.3099011730205277</v>
          </cell>
          <cell r="CD183">
            <v>95</v>
          </cell>
          <cell r="CE183">
            <v>67</v>
          </cell>
          <cell r="CF183">
            <v>52</v>
          </cell>
          <cell r="CG183">
            <v>43</v>
          </cell>
          <cell r="CH183">
            <v>15</v>
          </cell>
          <cell r="CI183">
            <v>14.5</v>
          </cell>
          <cell r="CJ183">
            <v>9.6666666666666679E-2</v>
          </cell>
          <cell r="CK183">
            <v>10</v>
          </cell>
          <cell r="CL183">
            <v>52</v>
          </cell>
          <cell r="CM183">
            <v>0.48051025641025635</v>
          </cell>
          <cell r="CN183">
            <v>0.48051025641025635</v>
          </cell>
          <cell r="CO183">
            <v>0</v>
          </cell>
          <cell r="CP183">
            <v>0</v>
          </cell>
          <cell r="CQ183">
            <v>8.7904114294307831</v>
          </cell>
          <cell r="CR183">
            <v>25</v>
          </cell>
          <cell r="CS183">
            <v>1</v>
          </cell>
          <cell r="CT183">
            <v>0</v>
          </cell>
          <cell r="CU183">
            <v>0</v>
          </cell>
          <cell r="CV183">
            <v>31</v>
          </cell>
          <cell r="CW183">
            <v>31</v>
          </cell>
          <cell r="CX183" t="str">
            <v/>
          </cell>
          <cell r="CY183">
            <v>2</v>
          </cell>
          <cell r="CZ183">
            <v>0</v>
          </cell>
          <cell r="DA183">
            <v>0</v>
          </cell>
          <cell r="DB183">
            <v>118</v>
          </cell>
          <cell r="DC183">
            <v>59</v>
          </cell>
          <cell r="DD183">
            <v>32</v>
          </cell>
          <cell r="DE183">
            <v>6</v>
          </cell>
          <cell r="DF183">
            <v>18</v>
          </cell>
          <cell r="DG183">
            <v>2</v>
          </cell>
          <cell r="DH183">
            <v>2</v>
          </cell>
          <cell r="DI183">
            <v>2</v>
          </cell>
        </row>
        <row r="184">
          <cell r="A184" t="str">
            <v>RS 171</v>
          </cell>
          <cell r="B184">
            <v>171</v>
          </cell>
          <cell r="C184" t="str">
            <v>S</v>
          </cell>
          <cell r="D184" t="str">
            <v>U</v>
          </cell>
          <cell r="E184" t="str">
            <v>St Mary's Road (Cheonga Road)</v>
          </cell>
          <cell r="F184" t="str">
            <v>Urban</v>
          </cell>
          <cell r="G184">
            <v>19</v>
          </cell>
          <cell r="H184">
            <v>2</v>
          </cell>
          <cell r="I184" t="str">
            <v>R</v>
          </cell>
          <cell r="J184" t="str">
            <v>ZOMBA CITY</v>
          </cell>
          <cell r="K184" t="str">
            <v>C</v>
          </cell>
          <cell r="L184">
            <v>0</v>
          </cell>
          <cell r="W184">
            <v>65</v>
          </cell>
          <cell r="X184" t="str">
            <v>SA</v>
          </cell>
          <cell r="Y184">
            <v>150</v>
          </cell>
          <cell r="Z184" t="str">
            <v>GR</v>
          </cell>
          <cell r="AA184">
            <v>150</v>
          </cell>
          <cell r="AB184" t="str">
            <v>GR</v>
          </cell>
          <cell r="AC184">
            <v>7</v>
          </cell>
          <cell r="AD184" t="str">
            <v>MC</v>
          </cell>
          <cell r="AE184">
            <v>0</v>
          </cell>
          <cell r="AF184">
            <v>0</v>
          </cell>
          <cell r="AG184">
            <v>0</v>
          </cell>
          <cell r="AH184">
            <v>0</v>
          </cell>
          <cell r="AI184">
            <v>0</v>
          </cell>
          <cell r="AJ184">
            <v>0</v>
          </cell>
          <cell r="AK184">
            <v>0</v>
          </cell>
          <cell r="AL184">
            <v>0</v>
          </cell>
          <cell r="AM184">
            <v>2</v>
          </cell>
          <cell r="AN184" t="str">
            <v>never resealed</v>
          </cell>
          <cell r="BO184" t="str">
            <v>RS 171</v>
          </cell>
          <cell r="BP184">
            <v>2</v>
          </cell>
          <cell r="BQ184">
            <v>3</v>
          </cell>
          <cell r="BR184" t="str">
            <v>R</v>
          </cell>
          <cell r="BS184" t="str">
            <v>C</v>
          </cell>
          <cell r="BT184">
            <v>0</v>
          </cell>
          <cell r="BU184" t="str">
            <v>SA</v>
          </cell>
          <cell r="BV184" t="str">
            <v/>
          </cell>
          <cell r="BW184">
            <v>2</v>
          </cell>
          <cell r="BX184">
            <v>10</v>
          </cell>
          <cell r="BY184" t="str">
            <v/>
          </cell>
          <cell r="BZ184">
            <v>1</v>
          </cell>
          <cell r="CA184">
            <v>7</v>
          </cell>
          <cell r="CB184">
            <v>1.3580000000000001</v>
          </cell>
          <cell r="CC184">
            <v>7.6195440917716066</v>
          </cell>
          <cell r="CD184">
            <v>95</v>
          </cell>
          <cell r="CE184">
            <v>57</v>
          </cell>
          <cell r="CF184">
            <v>42</v>
          </cell>
          <cell r="CG184">
            <v>53</v>
          </cell>
          <cell r="CH184">
            <v>15</v>
          </cell>
          <cell r="CI184">
            <v>34.5</v>
          </cell>
          <cell r="CJ184">
            <v>0.22999999999999998</v>
          </cell>
          <cell r="CK184">
            <v>10</v>
          </cell>
          <cell r="CL184">
            <v>42</v>
          </cell>
          <cell r="CM184">
            <v>0.46471538461538459</v>
          </cell>
          <cell r="CN184">
            <v>0.46471538461538459</v>
          </cell>
          <cell r="CO184">
            <v>0</v>
          </cell>
          <cell r="CP184">
            <v>0</v>
          </cell>
          <cell r="CQ184">
            <v>8.0842594763869915</v>
          </cell>
          <cell r="CR184">
            <v>50</v>
          </cell>
          <cell r="CS184">
            <v>1</v>
          </cell>
          <cell r="CT184">
            <v>0</v>
          </cell>
          <cell r="CU184">
            <v>0</v>
          </cell>
          <cell r="CV184">
            <v>33</v>
          </cell>
          <cell r="CW184">
            <v>33</v>
          </cell>
          <cell r="CX184" t="str">
            <v/>
          </cell>
          <cell r="CY184">
            <v>3</v>
          </cell>
          <cell r="CZ184">
            <v>3</v>
          </cell>
          <cell r="DA184">
            <v>2</v>
          </cell>
          <cell r="DB184">
            <v>134</v>
          </cell>
          <cell r="DC184">
            <v>67</v>
          </cell>
          <cell r="DD184">
            <v>37</v>
          </cell>
          <cell r="DE184">
            <v>7</v>
          </cell>
          <cell r="DF184">
            <v>20</v>
          </cell>
          <cell r="DG184">
            <v>3</v>
          </cell>
          <cell r="DH184">
            <v>2</v>
          </cell>
          <cell r="DI184">
            <v>2</v>
          </cell>
        </row>
        <row r="185">
          <cell r="A185" t="str">
            <v>RS 843</v>
          </cell>
          <cell r="B185">
            <v>172</v>
          </cell>
          <cell r="C185" t="str">
            <v>S</v>
          </cell>
          <cell r="D185" t="str">
            <v>U</v>
          </cell>
          <cell r="E185" t="str">
            <v>Chancellor College Road (M1 to end bitumen)</v>
          </cell>
          <cell r="F185" t="str">
            <v>Urban</v>
          </cell>
          <cell r="G185">
            <v>20</v>
          </cell>
          <cell r="H185">
            <v>2.6</v>
          </cell>
          <cell r="I185" t="str">
            <v>R</v>
          </cell>
          <cell r="J185" t="str">
            <v>ZOMBA CITY</v>
          </cell>
          <cell r="K185" t="str">
            <v>C</v>
          </cell>
          <cell r="L185">
            <v>0</v>
          </cell>
          <cell r="W185">
            <v>60</v>
          </cell>
          <cell r="X185" t="str">
            <v>SA</v>
          </cell>
          <cell r="Y185">
            <v>150</v>
          </cell>
          <cell r="Z185" t="str">
            <v>GR</v>
          </cell>
          <cell r="AA185">
            <v>150</v>
          </cell>
          <cell r="AB185" t="str">
            <v>GR</v>
          </cell>
          <cell r="AC185">
            <v>7</v>
          </cell>
          <cell r="AD185" t="str">
            <v>MC</v>
          </cell>
          <cell r="AE185">
            <v>0</v>
          </cell>
          <cell r="AF185">
            <v>0</v>
          </cell>
          <cell r="AG185">
            <v>0</v>
          </cell>
          <cell r="AH185">
            <v>0</v>
          </cell>
          <cell r="AI185">
            <v>0</v>
          </cell>
          <cell r="AJ185">
            <v>0</v>
          </cell>
          <cell r="AK185">
            <v>0</v>
          </cell>
          <cell r="AL185">
            <v>0</v>
          </cell>
          <cell r="AM185">
            <v>2</v>
          </cell>
          <cell r="AN185" t="str">
            <v>never resealed</v>
          </cell>
          <cell r="BO185" t="str">
            <v>RS 843</v>
          </cell>
          <cell r="BP185">
            <v>2.6</v>
          </cell>
          <cell r="BQ185">
            <v>6</v>
          </cell>
          <cell r="BR185" t="str">
            <v>R</v>
          </cell>
          <cell r="BS185" t="str">
            <v>C</v>
          </cell>
          <cell r="BT185">
            <v>0</v>
          </cell>
          <cell r="BU185" t="str">
            <v>SA</v>
          </cell>
          <cell r="BV185" t="str">
            <v/>
          </cell>
          <cell r="BW185">
            <v>2</v>
          </cell>
          <cell r="BX185">
            <v>10</v>
          </cell>
          <cell r="BY185" t="str">
            <v/>
          </cell>
          <cell r="BZ185">
            <v>1</v>
          </cell>
          <cell r="CA185">
            <v>7</v>
          </cell>
          <cell r="CB185">
            <v>1.3580000000000001</v>
          </cell>
          <cell r="CC185">
            <v>6.8274964809384171</v>
          </cell>
          <cell r="CD185">
            <v>50</v>
          </cell>
          <cell r="CE185">
            <v>5</v>
          </cell>
          <cell r="CF185">
            <v>0</v>
          </cell>
          <cell r="CG185">
            <v>50</v>
          </cell>
          <cell r="CH185">
            <v>5</v>
          </cell>
          <cell r="CI185">
            <v>1.3</v>
          </cell>
          <cell r="CJ185">
            <v>4.3333333333333331E-3</v>
          </cell>
          <cell r="CK185">
            <v>4.3333333333333331E-3</v>
          </cell>
          <cell r="CL185">
            <v>0</v>
          </cell>
          <cell r="CM185">
            <v>1.6799999999999999E-3</v>
          </cell>
          <cell r="CN185">
            <v>1.6799999999999999E-3</v>
          </cell>
          <cell r="CO185">
            <v>0</v>
          </cell>
          <cell r="CP185">
            <v>0</v>
          </cell>
          <cell r="CQ185">
            <v>6.8291764809384174</v>
          </cell>
          <cell r="CR185">
            <v>0</v>
          </cell>
          <cell r="CS185">
            <v>1</v>
          </cell>
          <cell r="CT185">
            <v>0</v>
          </cell>
          <cell r="CU185">
            <v>0</v>
          </cell>
          <cell r="CV185">
            <v>38</v>
          </cell>
          <cell r="CW185">
            <v>38</v>
          </cell>
          <cell r="CX185" t="str">
            <v/>
          </cell>
          <cell r="CY185">
            <v>1.2</v>
          </cell>
          <cell r="CZ185">
            <v>1.3</v>
          </cell>
          <cell r="DA185">
            <v>1.2</v>
          </cell>
          <cell r="DB185">
            <v>141</v>
          </cell>
          <cell r="DC185">
            <v>71</v>
          </cell>
          <cell r="DD185">
            <v>39</v>
          </cell>
          <cell r="DE185">
            <v>8</v>
          </cell>
          <cell r="DF185">
            <v>21</v>
          </cell>
          <cell r="DG185">
            <v>3</v>
          </cell>
          <cell r="DH185">
            <v>2</v>
          </cell>
          <cell r="DI185">
            <v>2</v>
          </cell>
        </row>
        <row r="186">
          <cell r="A186" t="str">
            <v>RS 173</v>
          </cell>
          <cell r="B186">
            <v>173</v>
          </cell>
          <cell r="C186" t="str">
            <v>S</v>
          </cell>
          <cell r="D186" t="str">
            <v>U</v>
          </cell>
          <cell r="E186" t="str">
            <v>Parliament Road</v>
          </cell>
          <cell r="F186" t="str">
            <v>Urban</v>
          </cell>
          <cell r="G186">
            <v>21</v>
          </cell>
          <cell r="H186">
            <v>2</v>
          </cell>
          <cell r="I186" t="str">
            <v>R</v>
          </cell>
          <cell r="J186" t="str">
            <v>ZOMBA CITY</v>
          </cell>
          <cell r="K186" t="str">
            <v>C</v>
          </cell>
          <cell r="L186">
            <v>0</v>
          </cell>
          <cell r="W186">
            <v>58</v>
          </cell>
          <cell r="X186" t="str">
            <v>SA</v>
          </cell>
          <cell r="Y186">
            <v>150</v>
          </cell>
          <cell r="Z186" t="str">
            <v>GR</v>
          </cell>
          <cell r="AA186">
            <v>150</v>
          </cell>
          <cell r="AB186" t="str">
            <v>GR</v>
          </cell>
          <cell r="AC186">
            <v>7</v>
          </cell>
          <cell r="AD186" t="str">
            <v>MC</v>
          </cell>
          <cell r="AE186">
            <v>98</v>
          </cell>
          <cell r="AF186" t="str">
            <v>AO</v>
          </cell>
          <cell r="AG186" t="str">
            <v>AC</v>
          </cell>
          <cell r="AH186">
            <v>25</v>
          </cell>
          <cell r="AI186">
            <v>0</v>
          </cell>
          <cell r="AJ186">
            <v>0</v>
          </cell>
          <cell r="AK186">
            <v>0</v>
          </cell>
          <cell r="AL186">
            <v>0</v>
          </cell>
          <cell r="AM186">
            <v>6</v>
          </cell>
          <cell r="AN186" t="str">
            <v>AO 1998</v>
          </cell>
          <cell r="BO186" t="str">
            <v>RS 173</v>
          </cell>
          <cell r="BP186">
            <v>2</v>
          </cell>
          <cell r="BQ186">
            <v>6</v>
          </cell>
          <cell r="BR186" t="str">
            <v>R</v>
          </cell>
          <cell r="BS186" t="str">
            <v>A</v>
          </cell>
          <cell r="BT186">
            <v>0</v>
          </cell>
          <cell r="BU186" t="str">
            <v>AC</v>
          </cell>
          <cell r="BV186" t="str">
            <v>SA</v>
          </cell>
          <cell r="BW186">
            <v>6</v>
          </cell>
          <cell r="BX186">
            <v>40</v>
          </cell>
          <cell r="BY186">
            <v>10</v>
          </cell>
          <cell r="BZ186">
            <v>1</v>
          </cell>
          <cell r="CA186">
            <v>7</v>
          </cell>
          <cell r="CB186">
            <v>1.9100000000000001</v>
          </cell>
          <cell r="CC186">
            <v>7.3099011730205294</v>
          </cell>
          <cell r="CD186" t="str">
            <v>being overlaid 1998</v>
          </cell>
          <cell r="CE186">
            <v>0</v>
          </cell>
          <cell r="CF186">
            <v>0</v>
          </cell>
          <cell r="CG186">
            <v>0</v>
          </cell>
          <cell r="CH186">
            <v>0</v>
          </cell>
          <cell r="CI186">
            <v>0</v>
          </cell>
          <cell r="CJ186">
            <v>0</v>
          </cell>
          <cell r="CK186">
            <v>0</v>
          </cell>
          <cell r="CL186">
            <v>0</v>
          </cell>
          <cell r="CM186">
            <v>0</v>
          </cell>
          <cell r="CN186">
            <v>0</v>
          </cell>
          <cell r="CO186">
            <v>0</v>
          </cell>
          <cell r="CP186">
            <v>0</v>
          </cell>
          <cell r="CQ186">
            <v>0</v>
          </cell>
          <cell r="CR186">
            <v>0</v>
          </cell>
          <cell r="CS186">
            <v>0</v>
          </cell>
          <cell r="CT186">
            <v>0</v>
          </cell>
          <cell r="CU186">
            <v>0</v>
          </cell>
          <cell r="CV186">
            <v>0</v>
          </cell>
          <cell r="CW186">
            <v>40</v>
          </cell>
          <cell r="CX186">
            <v>80</v>
          </cell>
          <cell r="CY186">
            <v>1</v>
          </cell>
          <cell r="CZ186">
            <v>1</v>
          </cell>
          <cell r="DA186">
            <v>1</v>
          </cell>
          <cell r="DB186">
            <v>179</v>
          </cell>
          <cell r="DC186">
            <v>90</v>
          </cell>
          <cell r="DD186">
            <v>49</v>
          </cell>
          <cell r="DE186">
            <v>9</v>
          </cell>
          <cell r="DF186">
            <v>26</v>
          </cell>
          <cell r="DG186">
            <v>3</v>
          </cell>
          <cell r="DH186">
            <v>2</v>
          </cell>
          <cell r="DI186">
            <v>2</v>
          </cell>
        </row>
        <row r="187">
          <cell r="A187" t="str">
            <v>RS 176</v>
          </cell>
          <cell r="B187">
            <v>176</v>
          </cell>
          <cell r="C187" t="str">
            <v>S</v>
          </cell>
          <cell r="D187" t="str">
            <v>U</v>
          </cell>
          <cell r="E187" t="str">
            <v>Kuchawe Road (up road)</v>
          </cell>
          <cell r="F187" t="str">
            <v>Urban</v>
          </cell>
          <cell r="G187">
            <v>22</v>
          </cell>
          <cell r="H187">
            <v>15</v>
          </cell>
          <cell r="I187" t="str">
            <v>H</v>
          </cell>
          <cell r="J187" t="str">
            <v>ZOMBA CITY &amp; ZOMBA</v>
          </cell>
          <cell r="K187" t="str">
            <v>C</v>
          </cell>
          <cell r="L187">
            <v>0</v>
          </cell>
          <cell r="W187">
            <v>68</v>
          </cell>
          <cell r="X187" t="str">
            <v>SA</v>
          </cell>
          <cell r="Y187">
            <v>150</v>
          </cell>
          <cell r="Z187" t="str">
            <v>SB</v>
          </cell>
          <cell r="AA187">
            <v>150</v>
          </cell>
          <cell r="AB187" t="str">
            <v>GR</v>
          </cell>
          <cell r="AC187">
            <v>15</v>
          </cell>
          <cell r="AD187" t="str">
            <v>VR</v>
          </cell>
          <cell r="AE187">
            <v>0</v>
          </cell>
          <cell r="AF187">
            <v>0</v>
          </cell>
          <cell r="AG187">
            <v>0</v>
          </cell>
          <cell r="AH187">
            <v>0</v>
          </cell>
          <cell r="AI187">
            <v>0</v>
          </cell>
          <cell r="AJ187">
            <v>0</v>
          </cell>
          <cell r="AK187">
            <v>0</v>
          </cell>
          <cell r="AL187">
            <v>0</v>
          </cell>
          <cell r="AM187">
            <v>2</v>
          </cell>
          <cell r="AN187" t="str">
            <v>reseal 1998</v>
          </cell>
          <cell r="BO187" t="str">
            <v>RS 176</v>
          </cell>
          <cell r="BP187">
            <v>15</v>
          </cell>
          <cell r="BQ187">
            <v>5.5</v>
          </cell>
          <cell r="BR187" t="str">
            <v>H</v>
          </cell>
          <cell r="BS187" t="str">
            <v>C</v>
          </cell>
          <cell r="BT187">
            <v>0</v>
          </cell>
          <cell r="BU187" t="str">
            <v>SA</v>
          </cell>
          <cell r="BV187" t="str">
            <v/>
          </cell>
          <cell r="BW187">
            <v>2</v>
          </cell>
          <cell r="BX187">
            <v>10</v>
          </cell>
          <cell r="BY187" t="str">
            <v/>
          </cell>
          <cell r="BZ187">
            <v>1</v>
          </cell>
          <cell r="CA187">
            <v>15</v>
          </cell>
          <cell r="CB187">
            <v>1.508</v>
          </cell>
          <cell r="CC187">
            <v>9.5457000217226007</v>
          </cell>
          <cell r="CD187">
            <v>90</v>
          </cell>
          <cell r="CE187">
            <v>60</v>
          </cell>
          <cell r="CF187">
            <v>45</v>
          </cell>
          <cell r="CG187">
            <v>45</v>
          </cell>
          <cell r="CH187">
            <v>15</v>
          </cell>
          <cell r="CI187">
            <v>4.5</v>
          </cell>
          <cell r="CJ187">
            <v>1.6363636363636365E-2</v>
          </cell>
          <cell r="CK187">
            <v>10</v>
          </cell>
          <cell r="CL187">
            <v>45</v>
          </cell>
          <cell r="CM187">
            <v>0.40387272727272727</v>
          </cell>
          <cell r="CN187">
            <v>0.40387272727272727</v>
          </cell>
          <cell r="CO187">
            <v>0</v>
          </cell>
          <cell r="CP187">
            <v>0</v>
          </cell>
          <cell r="CQ187">
            <v>9.9495727489953278</v>
          </cell>
          <cell r="CR187">
            <v>25</v>
          </cell>
          <cell r="CS187">
            <v>1</v>
          </cell>
          <cell r="CT187">
            <v>0</v>
          </cell>
          <cell r="CU187">
            <v>0</v>
          </cell>
          <cell r="CV187">
            <v>30</v>
          </cell>
          <cell r="CW187">
            <v>30</v>
          </cell>
          <cell r="CX187" t="str">
            <v/>
          </cell>
          <cell r="CY187">
            <v>2</v>
          </cell>
          <cell r="CZ187">
            <v>2</v>
          </cell>
          <cell r="DA187">
            <v>1.5</v>
          </cell>
          <cell r="DB187">
            <v>200</v>
          </cell>
          <cell r="DC187">
            <v>103</v>
          </cell>
          <cell r="DD187">
            <v>8</v>
          </cell>
          <cell r="DE187">
            <v>5</v>
          </cell>
          <cell r="DF187">
            <v>9</v>
          </cell>
          <cell r="DG187">
            <v>5</v>
          </cell>
          <cell r="DH187">
            <v>3</v>
          </cell>
          <cell r="DI187">
            <v>11</v>
          </cell>
        </row>
        <row r="188">
          <cell r="A188" t="str">
            <v>RS 146</v>
          </cell>
          <cell r="B188">
            <v>146</v>
          </cell>
          <cell r="C188" t="str">
            <v>N</v>
          </cell>
          <cell r="D188" t="str">
            <v>U</v>
          </cell>
          <cell r="E188" t="str">
            <v>Chimaliro Road</v>
          </cell>
          <cell r="F188" t="str">
            <v>Urban</v>
          </cell>
          <cell r="G188">
            <v>25</v>
          </cell>
          <cell r="H188">
            <v>10</v>
          </cell>
          <cell r="I188" t="str">
            <v>R</v>
          </cell>
          <cell r="J188" t="str">
            <v>MZUZU CITY</v>
          </cell>
          <cell r="K188" t="str">
            <v>C</v>
          </cell>
          <cell r="L188">
            <v>0</v>
          </cell>
          <cell r="W188">
            <v>85</v>
          </cell>
          <cell r="X188" t="str">
            <v>DS</v>
          </cell>
          <cell r="Y188">
            <v>150</v>
          </cell>
          <cell r="Z188" t="str">
            <v>GR</v>
          </cell>
          <cell r="AA188">
            <v>100</v>
          </cell>
          <cell r="AB188" t="str">
            <v>GR</v>
          </cell>
          <cell r="AC188">
            <v>5</v>
          </cell>
          <cell r="AD188" t="str">
            <v>AM</v>
          </cell>
          <cell r="AE188">
            <v>0</v>
          </cell>
          <cell r="AF188">
            <v>0</v>
          </cell>
          <cell r="AG188">
            <v>0</v>
          </cell>
          <cell r="AH188">
            <v>0</v>
          </cell>
          <cell r="AI188">
            <v>0</v>
          </cell>
          <cell r="AJ188">
            <v>0</v>
          </cell>
          <cell r="AK188">
            <v>0</v>
          </cell>
          <cell r="AL188">
            <v>0</v>
          </cell>
          <cell r="AM188">
            <v>1</v>
          </cell>
          <cell r="AN188" t="str">
            <v>never resealed</v>
          </cell>
          <cell r="BO188" t="str">
            <v>RS 146</v>
          </cell>
          <cell r="BP188">
            <v>10</v>
          </cell>
          <cell r="BQ188">
            <v>6.7</v>
          </cell>
          <cell r="BR188" t="str">
            <v>R</v>
          </cell>
          <cell r="BS188" t="str">
            <v>C</v>
          </cell>
          <cell r="BT188">
            <v>0</v>
          </cell>
          <cell r="BU188" t="str">
            <v>DS</v>
          </cell>
          <cell r="BV188" t="str">
            <v/>
          </cell>
          <cell r="BW188">
            <v>1</v>
          </cell>
          <cell r="BX188">
            <v>15</v>
          </cell>
          <cell r="BY188" t="str">
            <v/>
          </cell>
          <cell r="BZ188">
            <v>1</v>
          </cell>
          <cell r="CA188">
            <v>5</v>
          </cell>
          <cell r="CB188">
            <v>1.077</v>
          </cell>
          <cell r="CC188">
            <v>3.5</v>
          </cell>
          <cell r="CD188">
            <v>0</v>
          </cell>
          <cell r="CE188">
            <v>0</v>
          </cell>
          <cell r="CF188">
            <v>0</v>
          </cell>
          <cell r="CG188">
            <v>0</v>
          </cell>
          <cell r="CH188">
            <v>0</v>
          </cell>
          <cell r="CI188">
            <v>30</v>
          </cell>
          <cell r="CJ188">
            <v>8.9552238805970144E-2</v>
          </cell>
          <cell r="CK188">
            <v>8.9552238805970144E-2</v>
          </cell>
          <cell r="CL188">
            <v>0</v>
          </cell>
          <cell r="CM188">
            <v>3.4718714121699197E-2</v>
          </cell>
          <cell r="CN188">
            <v>3.4718714121699197E-2</v>
          </cell>
          <cell r="CO188">
            <v>0</v>
          </cell>
          <cell r="CP188">
            <v>0</v>
          </cell>
          <cell r="CQ188">
            <v>3.5347187141216994</v>
          </cell>
          <cell r="CR188">
            <v>0</v>
          </cell>
          <cell r="CS188">
            <v>1</v>
          </cell>
          <cell r="CT188">
            <v>0</v>
          </cell>
          <cell r="CU188">
            <v>0</v>
          </cell>
          <cell r="CV188">
            <v>13</v>
          </cell>
          <cell r="CW188">
            <v>13</v>
          </cell>
          <cell r="CX188" t="str">
            <v/>
          </cell>
          <cell r="CY188">
            <v>2</v>
          </cell>
          <cell r="CZ188">
            <v>2</v>
          </cell>
          <cell r="DA188">
            <v>2</v>
          </cell>
          <cell r="DB188">
            <v>780</v>
          </cell>
          <cell r="DC188">
            <v>390</v>
          </cell>
          <cell r="DD188">
            <v>211</v>
          </cell>
          <cell r="DE188">
            <v>39</v>
          </cell>
          <cell r="DF188">
            <v>114</v>
          </cell>
          <cell r="DG188">
            <v>12</v>
          </cell>
          <cell r="DH188">
            <v>8</v>
          </cell>
          <cell r="DI188">
            <v>8</v>
          </cell>
        </row>
        <row r="189">
          <cell r="A189" t="str">
            <v>RS 147</v>
          </cell>
          <cell r="B189">
            <v>147</v>
          </cell>
          <cell r="C189" t="str">
            <v>N</v>
          </cell>
          <cell r="D189" t="str">
            <v>U</v>
          </cell>
          <cell r="E189" t="str">
            <v>Roundabout (Kamuzu Ave.) - Mzirawaingwe</v>
          </cell>
          <cell r="F189" t="str">
            <v>Urban</v>
          </cell>
          <cell r="G189">
            <v>26</v>
          </cell>
          <cell r="H189">
            <v>2.5</v>
          </cell>
          <cell r="I189" t="str">
            <v>R</v>
          </cell>
          <cell r="J189" t="str">
            <v>MZUZU CITY</v>
          </cell>
          <cell r="K189" t="str">
            <v>C</v>
          </cell>
          <cell r="L189" t="str">
            <v xml:space="preserve">Length changed </v>
          </cell>
          <cell r="W189">
            <v>73</v>
          </cell>
          <cell r="X189" t="str">
            <v>DS</v>
          </cell>
          <cell r="Y189">
            <v>150</v>
          </cell>
          <cell r="Z189" t="str">
            <v>GR</v>
          </cell>
          <cell r="AA189">
            <v>100</v>
          </cell>
          <cell r="AB189" t="str">
            <v>GR</v>
          </cell>
          <cell r="AC189">
            <v>5</v>
          </cell>
          <cell r="AD189" t="str">
            <v>AM</v>
          </cell>
          <cell r="AE189">
            <v>0</v>
          </cell>
          <cell r="AF189">
            <v>0</v>
          </cell>
          <cell r="AG189">
            <v>0</v>
          </cell>
          <cell r="AH189">
            <v>0</v>
          </cell>
          <cell r="AI189">
            <v>0</v>
          </cell>
          <cell r="AJ189">
            <v>0</v>
          </cell>
          <cell r="AK189">
            <v>0</v>
          </cell>
          <cell r="AL189">
            <v>0</v>
          </cell>
          <cell r="AM189">
            <v>1</v>
          </cell>
          <cell r="AN189" t="str">
            <v>never resealed</v>
          </cell>
          <cell r="BO189" t="str">
            <v>RS 147</v>
          </cell>
          <cell r="BP189">
            <v>2.5</v>
          </cell>
          <cell r="BQ189">
            <v>6.7</v>
          </cell>
          <cell r="BR189" t="str">
            <v>R</v>
          </cell>
          <cell r="BS189" t="str">
            <v>C</v>
          </cell>
          <cell r="BT189">
            <v>0</v>
          </cell>
          <cell r="BU189" t="str">
            <v>DS</v>
          </cell>
          <cell r="BV189" t="str">
            <v/>
          </cell>
          <cell r="BW189">
            <v>1</v>
          </cell>
          <cell r="BX189">
            <v>15</v>
          </cell>
          <cell r="BY189" t="str">
            <v/>
          </cell>
          <cell r="BZ189">
            <v>1</v>
          </cell>
          <cell r="CA189">
            <v>5</v>
          </cell>
          <cell r="CB189">
            <v>1.077</v>
          </cell>
          <cell r="CC189">
            <v>3.6</v>
          </cell>
          <cell r="CD189">
            <v>90</v>
          </cell>
          <cell r="CE189">
            <v>72</v>
          </cell>
          <cell r="CF189">
            <v>57</v>
          </cell>
          <cell r="CG189">
            <v>33</v>
          </cell>
          <cell r="CH189">
            <v>15</v>
          </cell>
          <cell r="CI189">
            <v>0.4</v>
          </cell>
          <cell r="CJ189">
            <v>1.1940298507462689E-3</v>
          </cell>
          <cell r="CK189">
            <v>10</v>
          </cell>
          <cell r="CL189">
            <v>57</v>
          </cell>
          <cell r="CM189">
            <v>0.47752789896670489</v>
          </cell>
          <cell r="CN189">
            <v>0.47752789896670489</v>
          </cell>
          <cell r="CO189">
            <v>0</v>
          </cell>
          <cell r="CP189">
            <v>0</v>
          </cell>
          <cell r="CQ189">
            <v>4.0775278989667054</v>
          </cell>
          <cell r="CR189">
            <v>0</v>
          </cell>
          <cell r="CS189">
            <v>1</v>
          </cell>
          <cell r="CT189">
            <v>0</v>
          </cell>
          <cell r="CU189">
            <v>0</v>
          </cell>
          <cell r="CV189">
            <v>25</v>
          </cell>
          <cell r="CW189">
            <v>25</v>
          </cell>
          <cell r="CX189" t="str">
            <v/>
          </cell>
          <cell r="CY189">
            <v>2.5</v>
          </cell>
          <cell r="CZ189">
            <v>2</v>
          </cell>
          <cell r="DA189">
            <v>2.5</v>
          </cell>
          <cell r="DB189">
            <v>1117</v>
          </cell>
          <cell r="DC189">
            <v>559</v>
          </cell>
          <cell r="DD189">
            <v>302</v>
          </cell>
          <cell r="DE189">
            <v>56</v>
          </cell>
          <cell r="DF189">
            <v>162</v>
          </cell>
          <cell r="DG189">
            <v>17</v>
          </cell>
          <cell r="DH189">
            <v>12</v>
          </cell>
          <cell r="DI189">
            <v>12</v>
          </cell>
        </row>
        <row r="190">
          <cell r="A190" t="str">
            <v>RS 849</v>
          </cell>
          <cell r="B190" t="str">
            <v>n.a.</v>
          </cell>
          <cell r="C190" t="str">
            <v>N</v>
          </cell>
          <cell r="D190" t="str">
            <v>U</v>
          </cell>
          <cell r="E190" t="str">
            <v>Viphya Drive (Kamuzu Ave. to Mazuzu Hotel)</v>
          </cell>
          <cell r="F190" t="str">
            <v>Urban</v>
          </cell>
          <cell r="G190">
            <v>27</v>
          </cell>
          <cell r="H190">
            <v>0.5</v>
          </cell>
          <cell r="I190">
            <v>0</v>
          </cell>
          <cell r="J190" t="str">
            <v>MZUZU CITY</v>
          </cell>
          <cell r="K190" t="str">
            <v>C</v>
          </cell>
          <cell r="L190" t="str">
            <v>New section part of origional RS 148</v>
          </cell>
          <cell r="W190">
            <v>73</v>
          </cell>
          <cell r="X190" t="str">
            <v>DS</v>
          </cell>
          <cell r="Y190">
            <v>150</v>
          </cell>
          <cell r="Z190" t="str">
            <v>GR</v>
          </cell>
          <cell r="AA190">
            <v>100</v>
          </cell>
          <cell r="AB190" t="str">
            <v>GR</v>
          </cell>
          <cell r="AC190">
            <v>5</v>
          </cell>
          <cell r="AD190" t="str">
            <v>AM</v>
          </cell>
          <cell r="AE190">
            <v>0</v>
          </cell>
          <cell r="AF190">
            <v>0</v>
          </cell>
          <cell r="AG190">
            <v>0</v>
          </cell>
          <cell r="AH190">
            <v>0</v>
          </cell>
          <cell r="AI190">
            <v>0</v>
          </cell>
          <cell r="AJ190">
            <v>0</v>
          </cell>
          <cell r="AK190">
            <v>0</v>
          </cell>
          <cell r="AL190">
            <v>0</v>
          </cell>
          <cell r="AM190">
            <v>1</v>
          </cell>
          <cell r="AN190" t="str">
            <v>never resealed</v>
          </cell>
          <cell r="BO190" t="str">
            <v>RS 849</v>
          </cell>
          <cell r="BP190">
            <v>0.5</v>
          </cell>
          <cell r="BQ190">
            <v>4</v>
          </cell>
          <cell r="BR190" t="str">
            <v>R</v>
          </cell>
          <cell r="BS190" t="str">
            <v>C</v>
          </cell>
          <cell r="BT190">
            <v>0</v>
          </cell>
          <cell r="BU190" t="str">
            <v>DS</v>
          </cell>
          <cell r="BV190" t="str">
            <v/>
          </cell>
          <cell r="BW190">
            <v>1</v>
          </cell>
          <cell r="BX190">
            <v>15</v>
          </cell>
          <cell r="BY190" t="str">
            <v/>
          </cell>
          <cell r="BZ190">
            <v>1</v>
          </cell>
          <cell r="CA190">
            <v>5</v>
          </cell>
          <cell r="CB190">
            <v>1.077</v>
          </cell>
          <cell r="CC190">
            <v>3.7</v>
          </cell>
          <cell r="CD190">
            <v>70</v>
          </cell>
          <cell r="CE190">
            <v>45</v>
          </cell>
          <cell r="CF190">
            <v>30</v>
          </cell>
          <cell r="CG190">
            <v>40</v>
          </cell>
          <cell r="CH190">
            <v>15</v>
          </cell>
          <cell r="CI190">
            <v>8</v>
          </cell>
          <cell r="CJ190">
            <v>0.04</v>
          </cell>
          <cell r="CK190">
            <v>10</v>
          </cell>
          <cell r="CL190">
            <v>30</v>
          </cell>
          <cell r="CM190">
            <v>0.31356923076923071</v>
          </cell>
          <cell r="CN190">
            <v>0.31356923076923071</v>
          </cell>
          <cell r="CO190">
            <v>0</v>
          </cell>
          <cell r="CP190">
            <v>0</v>
          </cell>
          <cell r="CQ190">
            <v>4.0135692307692308</v>
          </cell>
          <cell r="CR190">
            <v>0</v>
          </cell>
          <cell r="CS190">
            <v>1</v>
          </cell>
          <cell r="CT190">
            <v>0</v>
          </cell>
          <cell r="CU190">
            <v>0</v>
          </cell>
          <cell r="CV190">
            <v>25</v>
          </cell>
          <cell r="CW190">
            <v>25</v>
          </cell>
          <cell r="CX190" t="str">
            <v/>
          </cell>
          <cell r="CY190">
            <v>1</v>
          </cell>
          <cell r="CZ190">
            <v>1</v>
          </cell>
          <cell r="DA190">
            <v>3</v>
          </cell>
          <cell r="DB190">
            <v>184</v>
          </cell>
          <cell r="DC190">
            <v>92</v>
          </cell>
          <cell r="DD190">
            <v>50</v>
          </cell>
          <cell r="DE190">
            <v>10</v>
          </cell>
          <cell r="DF190">
            <v>27</v>
          </cell>
          <cell r="DG190">
            <v>3</v>
          </cell>
          <cell r="DH190">
            <v>2</v>
          </cell>
          <cell r="DI190">
            <v>2</v>
          </cell>
        </row>
        <row r="191">
          <cell r="A191" t="str">
            <v>RS 149</v>
          </cell>
          <cell r="B191">
            <v>149</v>
          </cell>
          <cell r="C191" t="str">
            <v>N</v>
          </cell>
          <cell r="D191" t="str">
            <v>U</v>
          </cell>
          <cell r="E191" t="str">
            <v>Airport Road (Mzuzu)</v>
          </cell>
          <cell r="F191" t="str">
            <v>Urban</v>
          </cell>
          <cell r="G191">
            <v>28</v>
          </cell>
          <cell r="H191">
            <v>3</v>
          </cell>
          <cell r="I191" t="str">
            <v>R</v>
          </cell>
          <cell r="J191" t="str">
            <v>MZUZU CITY</v>
          </cell>
          <cell r="K191" t="str">
            <v>C</v>
          </cell>
          <cell r="L191">
            <v>0</v>
          </cell>
          <cell r="W191">
            <v>73</v>
          </cell>
          <cell r="X191" t="str">
            <v>DS</v>
          </cell>
          <cell r="Y191">
            <v>150</v>
          </cell>
          <cell r="Z191" t="str">
            <v>GR</v>
          </cell>
          <cell r="AA191">
            <v>100</v>
          </cell>
          <cell r="AB191" t="str">
            <v>GR</v>
          </cell>
          <cell r="AC191">
            <v>5</v>
          </cell>
          <cell r="AD191" t="str">
            <v>AM</v>
          </cell>
          <cell r="AE191">
            <v>0</v>
          </cell>
          <cell r="AF191">
            <v>0</v>
          </cell>
          <cell r="AG191">
            <v>0</v>
          </cell>
          <cell r="AH191">
            <v>0</v>
          </cell>
          <cell r="AI191">
            <v>0</v>
          </cell>
          <cell r="AJ191">
            <v>0</v>
          </cell>
          <cell r="AK191">
            <v>0</v>
          </cell>
          <cell r="AL191">
            <v>0</v>
          </cell>
          <cell r="AM191">
            <v>1</v>
          </cell>
          <cell r="AN191" t="str">
            <v>never resealed</v>
          </cell>
          <cell r="BO191" t="str">
            <v>RS 149</v>
          </cell>
          <cell r="BP191">
            <v>3</v>
          </cell>
          <cell r="BQ191">
            <v>5.5</v>
          </cell>
          <cell r="BR191" t="str">
            <v>R</v>
          </cell>
          <cell r="BS191" t="str">
            <v>C</v>
          </cell>
          <cell r="BT191">
            <v>0</v>
          </cell>
          <cell r="BU191" t="str">
            <v>DS</v>
          </cell>
          <cell r="BV191" t="str">
            <v/>
          </cell>
          <cell r="BW191">
            <v>1</v>
          </cell>
          <cell r="BX191">
            <v>15</v>
          </cell>
          <cell r="BY191" t="str">
            <v/>
          </cell>
          <cell r="BZ191">
            <v>1</v>
          </cell>
          <cell r="CA191">
            <v>5</v>
          </cell>
          <cell r="CB191">
            <v>1.077</v>
          </cell>
          <cell r="CC191">
            <v>3.5</v>
          </cell>
          <cell r="CD191">
            <v>0</v>
          </cell>
          <cell r="CE191">
            <v>0</v>
          </cell>
          <cell r="CF191">
            <v>0</v>
          </cell>
          <cell r="CG191">
            <v>0</v>
          </cell>
          <cell r="CH191">
            <v>0</v>
          </cell>
          <cell r="CI191">
            <v>30</v>
          </cell>
          <cell r="CJ191">
            <v>0.1090909090909091</v>
          </cell>
          <cell r="CK191">
            <v>0.1090909090909091</v>
          </cell>
          <cell r="CL191">
            <v>0</v>
          </cell>
          <cell r="CM191">
            <v>4.2293706293706296E-2</v>
          </cell>
          <cell r="CN191">
            <v>4.2293706293706296E-2</v>
          </cell>
          <cell r="CO191">
            <v>0</v>
          </cell>
          <cell r="CP191">
            <v>0</v>
          </cell>
          <cell r="CQ191">
            <v>3.5422937062937061</v>
          </cell>
          <cell r="CR191">
            <v>0</v>
          </cell>
          <cell r="CS191">
            <v>2</v>
          </cell>
          <cell r="CT191">
            <v>5</v>
          </cell>
          <cell r="CU191">
            <v>2</v>
          </cell>
          <cell r="CV191">
            <v>25</v>
          </cell>
          <cell r="CW191">
            <v>25</v>
          </cell>
          <cell r="CX191" t="str">
            <v/>
          </cell>
          <cell r="CY191">
            <v>1</v>
          </cell>
          <cell r="CZ191">
            <v>2</v>
          </cell>
          <cell r="DA191">
            <v>2</v>
          </cell>
          <cell r="DB191">
            <v>300</v>
          </cell>
          <cell r="DC191">
            <v>150</v>
          </cell>
          <cell r="DD191">
            <v>81</v>
          </cell>
          <cell r="DE191">
            <v>15</v>
          </cell>
          <cell r="DF191">
            <v>44</v>
          </cell>
          <cell r="DG191">
            <v>5</v>
          </cell>
          <cell r="DH191">
            <v>3</v>
          </cell>
          <cell r="DI191">
            <v>3</v>
          </cell>
        </row>
        <row r="192">
          <cell r="A192" t="str">
            <v>RS 151</v>
          </cell>
          <cell r="B192">
            <v>151</v>
          </cell>
          <cell r="C192" t="str">
            <v>N</v>
          </cell>
          <cell r="D192" t="str">
            <v>U</v>
          </cell>
          <cell r="E192" t="str">
            <v>Marine-Works</v>
          </cell>
          <cell r="F192" t="str">
            <v>Urban</v>
          </cell>
          <cell r="G192">
            <v>29</v>
          </cell>
          <cell r="H192">
            <v>2</v>
          </cell>
          <cell r="I192" t="str">
            <v>F</v>
          </cell>
          <cell r="J192" t="str">
            <v>KARONGA TOWN</v>
          </cell>
          <cell r="K192" t="str">
            <v>C</v>
          </cell>
          <cell r="L192">
            <v>0</v>
          </cell>
          <cell r="W192">
            <v>73</v>
          </cell>
          <cell r="X192" t="str">
            <v>ST</v>
          </cell>
          <cell r="Y192">
            <v>150</v>
          </cell>
          <cell r="Z192" t="str">
            <v>GR</v>
          </cell>
          <cell r="AA192">
            <v>100</v>
          </cell>
          <cell r="AB192" t="str">
            <v>GR</v>
          </cell>
          <cell r="AC192">
            <v>5</v>
          </cell>
          <cell r="AD192" t="str">
            <v>JW</v>
          </cell>
          <cell r="AE192">
            <v>0</v>
          </cell>
          <cell r="AF192">
            <v>0</v>
          </cell>
          <cell r="AG192">
            <v>0</v>
          </cell>
          <cell r="AH192">
            <v>0</v>
          </cell>
          <cell r="AI192">
            <v>0</v>
          </cell>
          <cell r="AJ192">
            <v>0</v>
          </cell>
          <cell r="AK192">
            <v>0</v>
          </cell>
          <cell r="AL192">
            <v>0</v>
          </cell>
          <cell r="AM192">
            <v>1</v>
          </cell>
          <cell r="AN192" t="str">
            <v>never resealed</v>
          </cell>
          <cell r="BO192" t="str">
            <v>RS 151</v>
          </cell>
          <cell r="BP192">
            <v>2</v>
          </cell>
          <cell r="BQ192" t="str">
            <v>n.a.</v>
          </cell>
          <cell r="BR192" t="str">
            <v>F</v>
          </cell>
          <cell r="BS192" t="str">
            <v>X</v>
          </cell>
          <cell r="BT192">
            <v>90</v>
          </cell>
          <cell r="BU192" t="str">
            <v>ST</v>
          </cell>
          <cell r="BV192" t="str">
            <v/>
          </cell>
          <cell r="BW192">
            <v>1</v>
          </cell>
          <cell r="BX192">
            <v>10</v>
          </cell>
          <cell r="BY192" t="str">
            <v/>
          </cell>
          <cell r="BZ192">
            <v>1</v>
          </cell>
          <cell r="CA192">
            <v>5</v>
          </cell>
          <cell r="CB192">
            <v>0.90800000000000003</v>
          </cell>
          <cell r="CC192" t="str">
            <v>bitumen surface removed</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t="str">
            <v>n.a</v>
          </cell>
          <cell r="CW192" t="str">
            <v>n.a.</v>
          </cell>
          <cell r="CX192">
            <v>0</v>
          </cell>
          <cell r="CY192" t="str">
            <v>n.a.</v>
          </cell>
          <cell r="CZ192" t="str">
            <v>n.a.</v>
          </cell>
          <cell r="DA192">
            <v>1</v>
          </cell>
          <cell r="DB192">
            <v>171</v>
          </cell>
          <cell r="DC192">
            <v>86</v>
          </cell>
          <cell r="DD192">
            <v>47</v>
          </cell>
          <cell r="DE192">
            <v>9</v>
          </cell>
          <cell r="DF192">
            <v>25</v>
          </cell>
          <cell r="DG192">
            <v>3</v>
          </cell>
          <cell r="DH192">
            <v>2</v>
          </cell>
          <cell r="DI192">
            <v>2</v>
          </cell>
        </row>
        <row r="193">
          <cell r="A193" t="str">
            <v>RS 152</v>
          </cell>
          <cell r="B193">
            <v>152</v>
          </cell>
          <cell r="C193" t="str">
            <v>N</v>
          </cell>
          <cell r="D193" t="str">
            <v>U</v>
          </cell>
          <cell r="E193" t="str">
            <v>D.C. Office - Old Market - Hall - Mufwa</v>
          </cell>
          <cell r="F193" t="str">
            <v>Urban</v>
          </cell>
          <cell r="G193">
            <v>30</v>
          </cell>
          <cell r="H193">
            <v>3</v>
          </cell>
          <cell r="I193" t="str">
            <v>F</v>
          </cell>
          <cell r="J193" t="str">
            <v>KARONGA TOWN</v>
          </cell>
          <cell r="K193" t="str">
            <v>C</v>
          </cell>
          <cell r="L193">
            <v>0</v>
          </cell>
          <cell r="W193">
            <v>75</v>
          </cell>
          <cell r="X193" t="str">
            <v>DS</v>
          </cell>
          <cell r="Y193">
            <v>150</v>
          </cell>
          <cell r="Z193" t="str">
            <v>GR</v>
          </cell>
          <cell r="AA193">
            <v>100</v>
          </cell>
          <cell r="AB193" t="str">
            <v>GR</v>
          </cell>
          <cell r="AC193">
            <v>5</v>
          </cell>
          <cell r="AD193" t="str">
            <v>AM</v>
          </cell>
          <cell r="AE193">
            <v>98</v>
          </cell>
          <cell r="AF193" t="str">
            <v>RC</v>
          </cell>
          <cell r="AG193" t="str">
            <v>ST</v>
          </cell>
          <cell r="AH193">
            <v>10</v>
          </cell>
          <cell r="AI193">
            <v>0</v>
          </cell>
          <cell r="AJ193">
            <v>0</v>
          </cell>
          <cell r="AK193">
            <v>0</v>
          </cell>
          <cell r="AL193">
            <v>0</v>
          </cell>
          <cell r="AM193">
            <v>1</v>
          </cell>
          <cell r="AN193">
            <v>0</v>
          </cell>
          <cell r="BO193" t="str">
            <v>RS 152</v>
          </cell>
          <cell r="BP193">
            <v>3</v>
          </cell>
          <cell r="BQ193" t="str">
            <v>n.a.</v>
          </cell>
          <cell r="BR193" t="str">
            <v>F</v>
          </cell>
          <cell r="BS193" t="str">
            <v>C</v>
          </cell>
          <cell r="BT193">
            <v>0</v>
          </cell>
          <cell r="BU193" t="str">
            <v>ST</v>
          </cell>
          <cell r="BV193" t="str">
            <v/>
          </cell>
          <cell r="BW193">
            <v>1</v>
          </cell>
          <cell r="BX193">
            <v>10</v>
          </cell>
          <cell r="BY193" t="str">
            <v/>
          </cell>
          <cell r="BZ193">
            <v>1</v>
          </cell>
          <cell r="CA193">
            <v>5</v>
          </cell>
          <cell r="CB193">
            <v>1.254</v>
          </cell>
          <cell r="CC193" t="str">
            <v>being reconstructed 1998</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t="str">
            <v>n.a</v>
          </cell>
          <cell r="CW193" t="str">
            <v>n.a.</v>
          </cell>
          <cell r="CX193">
            <v>0</v>
          </cell>
          <cell r="CY193" t="str">
            <v>n.a.</v>
          </cell>
          <cell r="CZ193" t="str">
            <v>n.a.</v>
          </cell>
          <cell r="DA193">
            <v>1</v>
          </cell>
          <cell r="DB193">
            <v>294</v>
          </cell>
          <cell r="DC193">
            <v>147</v>
          </cell>
          <cell r="DD193">
            <v>80</v>
          </cell>
          <cell r="DE193">
            <v>15</v>
          </cell>
          <cell r="DF193">
            <v>43</v>
          </cell>
          <cell r="DG193">
            <v>5</v>
          </cell>
          <cell r="DH193">
            <v>3</v>
          </cell>
          <cell r="DI193">
            <v>3</v>
          </cell>
        </row>
        <row r="194">
          <cell r="A194" t="str">
            <v>RS 139</v>
          </cell>
          <cell r="B194">
            <v>139</v>
          </cell>
          <cell r="C194" t="str">
            <v>S</v>
          </cell>
          <cell r="D194" t="str">
            <v>T</v>
          </cell>
          <cell r="E194" t="str">
            <v xml:space="preserve">Balaka Loop </v>
          </cell>
          <cell r="F194" t="str">
            <v>Urban</v>
          </cell>
          <cell r="G194">
            <v>31</v>
          </cell>
          <cell r="H194">
            <v>1.5</v>
          </cell>
          <cell r="I194" t="str">
            <v>F</v>
          </cell>
          <cell r="J194" t="str">
            <v>BALAKA TOWN</v>
          </cell>
          <cell r="K194">
            <v>8</v>
          </cell>
          <cell r="L194">
            <v>0</v>
          </cell>
          <cell r="W194">
            <v>71</v>
          </cell>
          <cell r="X194" t="str">
            <v>SA</v>
          </cell>
          <cell r="Y194">
            <v>125</v>
          </cell>
          <cell r="Z194" t="str">
            <v>SB</v>
          </cell>
          <cell r="AA194">
            <v>150</v>
          </cell>
          <cell r="AB194" t="str">
            <v>GR</v>
          </cell>
          <cell r="AC194">
            <v>14</v>
          </cell>
          <cell r="AD194" t="str">
            <v>VR</v>
          </cell>
          <cell r="AE194">
            <v>98</v>
          </cell>
          <cell r="AF194" t="str">
            <v>RC</v>
          </cell>
          <cell r="AG194" t="str">
            <v>ST</v>
          </cell>
          <cell r="AH194">
            <v>10</v>
          </cell>
          <cell r="AI194">
            <v>0</v>
          </cell>
          <cell r="AJ194">
            <v>0</v>
          </cell>
          <cell r="AK194">
            <v>0</v>
          </cell>
          <cell r="AL194">
            <v>0</v>
          </cell>
          <cell r="AM194">
            <v>1</v>
          </cell>
          <cell r="AN194">
            <v>0</v>
          </cell>
          <cell r="BO194" t="str">
            <v>RS 139</v>
          </cell>
          <cell r="BP194">
            <v>1.5</v>
          </cell>
          <cell r="BQ194" t="str">
            <v>n.a.</v>
          </cell>
          <cell r="BR194" t="str">
            <v>F</v>
          </cell>
          <cell r="BS194" t="str">
            <v>C</v>
          </cell>
          <cell r="BT194">
            <v>0</v>
          </cell>
          <cell r="BU194" t="str">
            <v>ST</v>
          </cell>
          <cell r="BV194" t="str">
            <v/>
          </cell>
          <cell r="BW194">
            <v>1</v>
          </cell>
          <cell r="BX194">
            <v>10</v>
          </cell>
          <cell r="BY194" t="str">
            <v/>
          </cell>
          <cell r="BZ194">
            <v>1</v>
          </cell>
          <cell r="CA194">
            <v>14</v>
          </cell>
          <cell r="CB194">
            <v>1.6850000000000001</v>
          </cell>
          <cell r="CC194" t="str">
            <v>being reconstructed 1998</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t="str">
            <v>n.a</v>
          </cell>
          <cell r="CW194" t="str">
            <v>n.a.</v>
          </cell>
          <cell r="CX194">
            <v>0</v>
          </cell>
          <cell r="CY194" t="str">
            <v>n.a.</v>
          </cell>
          <cell r="CZ194" t="str">
            <v>n.a.</v>
          </cell>
          <cell r="DA194">
            <v>1</v>
          </cell>
          <cell r="DB194">
            <v>600</v>
          </cell>
          <cell r="DC194">
            <v>282</v>
          </cell>
          <cell r="DD194">
            <v>156</v>
          </cell>
          <cell r="DE194">
            <v>45</v>
          </cell>
          <cell r="DF194">
            <v>69</v>
          </cell>
          <cell r="DG194">
            <v>12</v>
          </cell>
          <cell r="DH194">
            <v>6</v>
          </cell>
          <cell r="DI194">
            <v>30</v>
          </cell>
        </row>
        <row r="195">
          <cell r="A195" t="str">
            <v>RS 160</v>
          </cell>
          <cell r="B195">
            <v>160</v>
          </cell>
          <cell r="C195" t="str">
            <v>C</v>
          </cell>
          <cell r="D195" t="str">
            <v>U</v>
          </cell>
          <cell r="E195" t="str">
            <v>Dedza Loop (M1 to Dedza)</v>
          </cell>
          <cell r="F195" t="str">
            <v>Urban</v>
          </cell>
          <cell r="G195">
            <v>32</v>
          </cell>
          <cell r="H195">
            <v>5.4</v>
          </cell>
          <cell r="I195" t="str">
            <v>R</v>
          </cell>
          <cell r="J195" t="str">
            <v>DEDZA TOWN</v>
          </cell>
          <cell r="K195">
            <v>7</v>
          </cell>
          <cell r="L195">
            <v>0</v>
          </cell>
          <cell r="W195">
            <v>78</v>
          </cell>
          <cell r="X195" t="str">
            <v>SA</v>
          </cell>
          <cell r="Y195">
            <v>125</v>
          </cell>
          <cell r="Z195" t="str">
            <v>SB</v>
          </cell>
          <cell r="AA195">
            <v>150</v>
          </cell>
          <cell r="AB195" t="str">
            <v>GR</v>
          </cell>
          <cell r="AC195">
            <v>4</v>
          </cell>
          <cell r="AD195" t="str">
            <v>VR</v>
          </cell>
          <cell r="AE195">
            <v>0</v>
          </cell>
          <cell r="AF195">
            <v>0</v>
          </cell>
          <cell r="AG195">
            <v>0</v>
          </cell>
          <cell r="AH195">
            <v>0</v>
          </cell>
          <cell r="AI195">
            <v>0</v>
          </cell>
          <cell r="AJ195">
            <v>0</v>
          </cell>
          <cell r="AK195">
            <v>0</v>
          </cell>
          <cell r="AL195">
            <v>0</v>
          </cell>
          <cell r="AM195">
            <v>2</v>
          </cell>
          <cell r="AN195" t="str">
            <v>never resealed</v>
          </cell>
          <cell r="BO195" t="str">
            <v>RS 160</v>
          </cell>
          <cell r="BP195">
            <v>5.4</v>
          </cell>
          <cell r="BQ195">
            <v>5.5</v>
          </cell>
          <cell r="BR195" t="str">
            <v>R</v>
          </cell>
          <cell r="BS195" t="str">
            <v>C</v>
          </cell>
          <cell r="BT195">
            <v>0</v>
          </cell>
          <cell r="BU195" t="str">
            <v>SA</v>
          </cell>
          <cell r="BV195" t="str">
            <v/>
          </cell>
          <cell r="BW195">
            <v>2</v>
          </cell>
          <cell r="BX195">
            <v>10</v>
          </cell>
          <cell r="BY195" t="str">
            <v/>
          </cell>
          <cell r="BZ195">
            <v>1</v>
          </cell>
          <cell r="CA195">
            <v>4</v>
          </cell>
          <cell r="CB195">
            <v>1.508</v>
          </cell>
          <cell r="CC195">
            <v>5</v>
          </cell>
          <cell r="CD195">
            <v>95</v>
          </cell>
          <cell r="CE195">
            <v>63</v>
          </cell>
          <cell r="CF195">
            <v>48</v>
          </cell>
          <cell r="CG195">
            <v>47</v>
          </cell>
          <cell r="CH195">
            <v>15</v>
          </cell>
          <cell r="CI195">
            <v>750</v>
          </cell>
          <cell r="CJ195">
            <v>2.7272727272727271</v>
          </cell>
          <cell r="CK195">
            <v>10</v>
          </cell>
          <cell r="CL195">
            <v>48</v>
          </cell>
          <cell r="CM195">
            <v>1.4476083916083917</v>
          </cell>
          <cell r="CN195">
            <v>1.4476083916083917</v>
          </cell>
          <cell r="CO195">
            <v>0</v>
          </cell>
          <cell r="CP195">
            <v>0</v>
          </cell>
          <cell r="CQ195">
            <v>6.4476083916083917</v>
          </cell>
          <cell r="CR195">
            <v>40</v>
          </cell>
          <cell r="CS195">
            <v>1</v>
          </cell>
          <cell r="CT195">
            <v>0</v>
          </cell>
          <cell r="CU195">
            <v>0</v>
          </cell>
          <cell r="CV195">
            <v>20</v>
          </cell>
          <cell r="CW195">
            <v>20</v>
          </cell>
          <cell r="CX195" t="str">
            <v/>
          </cell>
          <cell r="CY195">
            <v>3</v>
          </cell>
          <cell r="CZ195">
            <v>3</v>
          </cell>
          <cell r="DA195">
            <v>2.2999999999999998</v>
          </cell>
          <cell r="DB195">
            <v>134</v>
          </cell>
          <cell r="DC195">
            <v>67</v>
          </cell>
          <cell r="DD195">
            <v>37</v>
          </cell>
          <cell r="DE195">
            <v>7</v>
          </cell>
          <cell r="DF195">
            <v>20</v>
          </cell>
          <cell r="DG195">
            <v>3</v>
          </cell>
          <cell r="DH195">
            <v>2</v>
          </cell>
          <cell r="DI195">
            <v>2</v>
          </cell>
        </row>
        <row r="196">
          <cell r="A196" t="str">
            <v>RS 611</v>
          </cell>
          <cell r="B196">
            <v>433</v>
          </cell>
          <cell r="C196" t="str">
            <v>C</v>
          </cell>
          <cell r="D196" t="str">
            <v>T</v>
          </cell>
          <cell r="E196" t="str">
            <v>Dedza - Kapesi</v>
          </cell>
          <cell r="F196" t="str">
            <v>Urban</v>
          </cell>
          <cell r="G196">
            <v>33</v>
          </cell>
          <cell r="H196">
            <v>5.4</v>
          </cell>
          <cell r="I196" t="str">
            <v>H</v>
          </cell>
          <cell r="J196" t="str">
            <v>DEDZA TOWN</v>
          </cell>
          <cell r="K196">
            <v>6</v>
          </cell>
          <cell r="L196" t="str">
            <v>Changed from T372 to Urban, to Trunk &amp; to Kepiri</v>
          </cell>
          <cell r="W196">
            <v>78</v>
          </cell>
          <cell r="X196" t="str">
            <v>SA</v>
          </cell>
          <cell r="Y196">
            <v>125</v>
          </cell>
          <cell r="Z196" t="str">
            <v>SB</v>
          </cell>
          <cell r="AA196">
            <v>150</v>
          </cell>
          <cell r="AB196" t="str">
            <v>GR</v>
          </cell>
          <cell r="AC196">
            <v>4</v>
          </cell>
          <cell r="AD196" t="str">
            <v>VR</v>
          </cell>
          <cell r="AE196">
            <v>0</v>
          </cell>
          <cell r="AF196">
            <v>0</v>
          </cell>
          <cell r="AG196">
            <v>0</v>
          </cell>
          <cell r="AH196">
            <v>0</v>
          </cell>
          <cell r="AI196">
            <v>0</v>
          </cell>
          <cell r="AJ196">
            <v>0</v>
          </cell>
          <cell r="AK196">
            <v>0</v>
          </cell>
          <cell r="AL196">
            <v>0</v>
          </cell>
          <cell r="AM196">
            <v>2</v>
          </cell>
          <cell r="AN196" t="str">
            <v>never resealed</v>
          </cell>
          <cell r="BO196" t="str">
            <v>RS 611</v>
          </cell>
          <cell r="BP196">
            <v>5.4</v>
          </cell>
          <cell r="BQ196">
            <v>5.5</v>
          </cell>
          <cell r="BR196" t="str">
            <v>R</v>
          </cell>
          <cell r="BS196" t="str">
            <v>C</v>
          </cell>
          <cell r="BT196">
            <v>0</v>
          </cell>
          <cell r="BU196" t="str">
            <v>SA</v>
          </cell>
          <cell r="BV196" t="str">
            <v/>
          </cell>
          <cell r="BW196">
            <v>2</v>
          </cell>
          <cell r="BX196">
            <v>10</v>
          </cell>
          <cell r="BY196" t="str">
            <v/>
          </cell>
          <cell r="BZ196">
            <v>1</v>
          </cell>
          <cell r="CA196">
            <v>4</v>
          </cell>
          <cell r="CB196">
            <v>1.508</v>
          </cell>
          <cell r="CC196">
            <v>5</v>
          </cell>
          <cell r="CD196">
            <v>95</v>
          </cell>
          <cell r="CE196">
            <v>63</v>
          </cell>
          <cell r="CF196">
            <v>48</v>
          </cell>
          <cell r="CG196">
            <v>47</v>
          </cell>
          <cell r="CH196">
            <v>15</v>
          </cell>
          <cell r="CI196">
            <v>600</v>
          </cell>
          <cell r="CJ196">
            <v>2.1818181818181821</v>
          </cell>
          <cell r="CK196">
            <v>10</v>
          </cell>
          <cell r="CL196">
            <v>48</v>
          </cell>
          <cell r="CM196">
            <v>1.2415944055944057</v>
          </cell>
          <cell r="CN196">
            <v>1.2415944055944057</v>
          </cell>
          <cell r="CO196">
            <v>0</v>
          </cell>
          <cell r="CP196">
            <v>0</v>
          </cell>
          <cell r="CQ196">
            <v>6.2415944055944053</v>
          </cell>
          <cell r="CR196">
            <v>40</v>
          </cell>
          <cell r="CS196">
            <v>1</v>
          </cell>
          <cell r="CT196">
            <v>0</v>
          </cell>
          <cell r="CU196">
            <v>0</v>
          </cell>
          <cell r="CV196">
            <v>20</v>
          </cell>
          <cell r="CW196">
            <v>20</v>
          </cell>
          <cell r="CX196" t="str">
            <v/>
          </cell>
          <cell r="CY196">
            <v>3</v>
          </cell>
          <cell r="CZ196">
            <v>3</v>
          </cell>
          <cell r="DA196">
            <v>2.2999999999999998</v>
          </cell>
          <cell r="DB196">
            <v>500</v>
          </cell>
          <cell r="DC196">
            <v>235</v>
          </cell>
          <cell r="DD196">
            <v>130</v>
          </cell>
          <cell r="DE196">
            <v>38</v>
          </cell>
          <cell r="DF196">
            <v>58</v>
          </cell>
          <cell r="DG196">
            <v>10</v>
          </cell>
          <cell r="DH196">
            <v>5</v>
          </cell>
          <cell r="DI196">
            <v>25</v>
          </cell>
        </row>
        <row r="197">
          <cell r="A197" t="str">
            <v>RS 651</v>
          </cell>
          <cell r="B197">
            <v>473</v>
          </cell>
          <cell r="C197" t="str">
            <v>C</v>
          </cell>
          <cell r="D197" t="str">
            <v>F</v>
          </cell>
          <cell r="E197" t="str">
            <v>Bayani - Zingilizi</v>
          </cell>
          <cell r="F197" t="str">
            <v>T395</v>
          </cell>
          <cell r="G197">
            <v>4</v>
          </cell>
          <cell r="H197">
            <v>8.1</v>
          </cell>
          <cell r="I197" t="str">
            <v>R</v>
          </cell>
          <cell r="J197" t="str">
            <v>NTCHEU</v>
          </cell>
          <cell r="K197">
            <v>8</v>
          </cell>
          <cell r="L197" t="str">
            <v>Changed designation from T394 to T395</v>
          </cell>
        </row>
        <row r="198">
          <cell r="A198" t="str">
            <v>Count</v>
          </cell>
          <cell r="B198">
            <v>194</v>
          </cell>
          <cell r="C198">
            <v>0</v>
          </cell>
          <cell r="D198">
            <v>0</v>
          </cell>
          <cell r="E198" t="str">
            <v>Total length</v>
          </cell>
          <cell r="F198">
            <v>2520.1000000000004</v>
          </cell>
          <cell r="G198">
            <v>0</v>
          </cell>
          <cell r="H198">
            <v>0</v>
          </cell>
          <cell r="I198" t="str">
            <v>km</v>
          </cell>
          <cell r="J198" t="str">
            <v>km</v>
          </cell>
          <cell r="K198">
            <v>8</v>
          </cell>
          <cell r="L198" t="str">
            <v>Changed designation from T394 to T395</v>
          </cell>
        </row>
      </sheetData>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
          <cell r="A1" t="str">
            <v xml:space="preserve">Table A2 - Road Sections (as given in Terms of Reference) Not Used In The Study </v>
          </cell>
        </row>
      </sheetData>
      <sheetData sheetId="17">
        <row r="1">
          <cell r="A1" t="str">
            <v xml:space="preserve">Table A2 - Road Sections (as given in Terms of Reference) Not Used In The Study </v>
          </cell>
        </row>
      </sheetData>
      <sheetData sheetId="18">
        <row r="1">
          <cell r="A1" t="str">
            <v xml:space="preserve">Table A2 - Road Sections (as given in Terms of Reference) Not Used In The Study </v>
          </cell>
        </row>
      </sheetData>
      <sheetData sheetId="19">
        <row r="1">
          <cell r="A1">
            <v>0</v>
          </cell>
        </row>
      </sheetData>
      <sheetData sheetId="20">
        <row r="1">
          <cell r="A1">
            <v>0</v>
          </cell>
        </row>
      </sheetData>
      <sheetData sheetId="21">
        <row r="1">
          <cell r="A1">
            <v>0</v>
          </cell>
        </row>
      </sheetData>
      <sheetData sheetId="22">
        <row r="1">
          <cell r="A1">
            <v>0</v>
          </cell>
        </row>
      </sheetData>
      <sheetData sheetId="23">
        <row r="1">
          <cell r="A1" t="str">
            <v xml:space="preserve">Table A2 - Road Sections (as given in Terms of Reference) Not Used In The Study </v>
          </cell>
        </row>
      </sheetData>
      <sheetData sheetId="24">
        <row r="1">
          <cell r="A1">
            <v>0</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ow r="1">
          <cell r="A1" t="str">
            <v xml:space="preserve">Table A2 - Road Sections (as given in Terms of Reference) Not Used In The Study </v>
          </cell>
        </row>
      </sheetData>
      <sheetData sheetId="59">
        <row r="1">
          <cell r="A1" t="str">
            <v xml:space="preserve">Table A2 - Road Sections (as given in Terms of Reference) Not Used In The Study </v>
          </cell>
        </row>
      </sheetData>
      <sheetData sheetId="60">
        <row r="1">
          <cell r="A1" t="str">
            <v xml:space="preserve">Table A2 - Road Sections (as given in Terms of Reference) Not Used In The Study </v>
          </cell>
        </row>
      </sheetData>
      <sheetData sheetId="61">
        <row r="1">
          <cell r="A1" t="str">
            <v xml:space="preserve">Table A2 - Road Sections (as given in Terms of Reference) Not Used In The Study </v>
          </cell>
        </row>
      </sheetData>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refreshError="1"/>
      <sheetData sheetId="73" refreshError="1"/>
      <sheetData sheetId="74" refreshError="1"/>
      <sheetData sheetId="75"/>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m"/>
      <sheetName val="v"/>
      <sheetName val="Aug,02"/>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LEADS"/>
      <sheetName val="ssr-rates"/>
      <sheetName val="Plant &amp;  Machinery"/>
      <sheetName val="Material"/>
      <sheetName val="Labour"/>
      <sheetName val="Road data"/>
      <sheetName val="Lead statement"/>
      <sheetName val="pvc-pipe-rates"/>
      <sheetName val="m"/>
      <sheetName val="data existing_do not delete"/>
      <sheetName val="Specification"/>
      <sheetName val="MRATES"/>
      <sheetName val="Lead"/>
      <sheetName val="0000000000000"/>
      <sheetName val="segments-details"/>
      <sheetName val="int-Dia-hdpe"/>
      <sheetName val="habs-list"/>
      <sheetName val="int-Dia-pvc"/>
      <sheetName val="DATA"/>
      <sheetName val="Data_Base"/>
      <sheetName val="sand"/>
      <sheetName val="stone"/>
      <sheetName val="Data_Renuals"/>
      <sheetName val="ABS"/>
      <sheetName val="HDPE"/>
      <sheetName val="DI"/>
      <sheetName val="pvc"/>
      <sheetName val="Specification report"/>
      <sheetName val="RMR"/>
      <sheetName val="GROUND FLOOR"/>
      <sheetName val="maya"/>
      <sheetName val="Data-ELSR"/>
      <sheetName val="DATA-BASE"/>
      <sheetName val="DATA-ABSTRACT"/>
      <sheetName val="GA"/>
      <sheetName val="C-data"/>
      <sheetName val="Civil SSR"/>
      <sheetName val="WS Data"/>
      <sheetName val="ST"/>
      <sheetName val="Sump"/>
      <sheetName val="quarry"/>
      <sheetName val="Process"/>
      <sheetName val="other rates"/>
      <sheetName val="data1"/>
      <sheetName val="bldg"/>
      <sheetName val="Data.F8.BTR"/>
      <sheetName val="Road Detail Est."/>
      <sheetName val="rdamdata"/>
      <sheetName val="rates"/>
      <sheetName val="Sheet1"/>
      <sheetName val="SSR"/>
      <sheetName val="temp-SDData (2)"/>
      <sheetName val="id"/>
      <sheetName val="Road data "/>
      <sheetName val="SPECS"/>
      <sheetName val="Sheet9"/>
      <sheetName val="Bridge Data 2005-06"/>
      <sheetName val="MRoad data"/>
      <sheetName val="Main sheet"/>
      <sheetName val="DATA_PRG"/>
      <sheetName val="cert"/>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p&amp;m"/>
      <sheetName val="Proforma -II "/>
      <sheetName val="C.R G.F"/>
      <sheetName val="pvc_basic"/>
      <sheetName val="Convey"/>
      <sheetName val="Part-A"/>
      <sheetName val="mlead"/>
      <sheetName val="select items_PMW"/>
      <sheetName val="FINAL LEAD"/>
      <sheetName val="CFForecast detail"/>
      <sheetName val="DI Rate Analysis"/>
      <sheetName val="Economic RisingMain  Ph-I"/>
      <sheetName val="dlvoid"/>
      <sheetName val="slab"/>
      <sheetName val="DL CAL"/>
      <sheetName val="Sorted"/>
      <sheetName val="Cover"/>
      <sheetName val="1V800"/>
      <sheetName val="materials"/>
      <sheetName val="m lead"/>
      <sheetName val="Plant_&amp;__Machinery"/>
      <sheetName val="Road_data"/>
      <sheetName val="Lead_statement"/>
      <sheetName val="data_existing_do_not_delete"/>
      <sheetName val="Plant_&amp;__Machinery1"/>
      <sheetName val="Road_data1"/>
      <sheetName val="Lead_statement1"/>
      <sheetName val="data_existing_do_not_delete1"/>
      <sheetName val="road est"/>
      <sheetName val="Aug,02"/>
      <sheetName val="Basicrates"/>
      <sheetName val="C.D.Abs.Est."/>
      <sheetName val="Dn SLRB (R2)"/>
      <sheetName val="Data_"/>
      <sheetName val="Sheet1 (2)"/>
      <sheetName val="RM"/>
      <sheetName val="SLAB  DATA"/>
      <sheetName val="Sheet2"/>
      <sheetName val="Bill-12"/>
      <sheetName val="MTC-estimate"/>
      <sheetName val="Summary"/>
      <sheetName val="CD Data"/>
      <sheetName val="Data-2010-11"/>
      <sheetName val="sept-plan"/>
      <sheetName val="BOQ"/>
      <sheetName val="pt-cw"/>
      <sheetName val="PUMP_DATA"/>
      <sheetName val="FINAL DATA"/>
      <sheetName val="Road data.PS"/>
      <sheetName val="Road data  PH"/>
      <sheetName val="RA-markate"/>
      <sheetName val="GF SB Ok "/>
      <sheetName val="Design"/>
      <sheetName val="51"/>
      <sheetName val="t_prsr"/>
      <sheetName val="detls"/>
      <sheetName val="wh"/>
      <sheetName val="Sheet3"/>
      <sheetName val="d-safe DELUXE"/>
      <sheetName val="bASICDATA"/>
      <sheetName val="Data o"/>
      <sheetName val="sup dat"/>
      <sheetName val="Specification_report"/>
      <sheetName val="GROUND_FLOOR"/>
      <sheetName val="Civil_SSR"/>
      <sheetName val="WS_Data"/>
      <sheetName val="Data_F8_BTR"/>
      <sheetName val="Road_Detail_Est_"/>
      <sheetName val="other_rates"/>
      <sheetName val="temp-SDData_(2)"/>
      <sheetName val="Road_data_"/>
      <sheetName val="Bridge_Data_2005-06"/>
      <sheetName val="MRoad_data"/>
      <sheetName val="Main_sheet"/>
      <sheetName val="Levels"/>
      <sheetName val="Bitumen trunk"/>
      <sheetName val="Feeder"/>
      <sheetName val="R99 etc"/>
      <sheetName val="Trunk unpaved"/>
      <sheetName val="GN-ST-10"/>
      <sheetName val="Supplier"/>
      <sheetName val="sg-clay(d)"/>
      <sheetName val="Design of two-way slab"/>
      <sheetName val="Data Road"/>
      <sheetName val="Hydraulic Design (Pipe)"/>
      <sheetName val="Sub -  Analysis"/>
      <sheetName val="basic-data"/>
      <sheetName val="MA"/>
      <sheetName val="road safety datas"/>
      <sheetName val="abs road"/>
      <sheetName val="R_Det"/>
      <sheetName val="Note"/>
      <sheetName val="MRMECADAMoad data"/>
      <sheetName val="lead modified"/>
      <sheetName val="CC road"/>
      <sheetName val="Road Est."/>
      <sheetName val="WATER-HAMMER"/>
      <sheetName val="DET-ABS(toilet&amp;residence of ju)"/>
      <sheetName val="BTR"/>
      <sheetName val="Boppudi data sheet "/>
      <sheetName val="Common "/>
      <sheetName val="Usage"/>
      <sheetName val="Abs_CD_2"/>
      <sheetName val="coverpage"/>
      <sheetName val="ECV"/>
      <sheetName val="SS ENERGISE"/>
      <sheetName val="MPP_Gundlap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
      <sheetName val="ew-cal"/>
      <sheetName val="ann-b"/>
      <sheetName val="Abstrct "/>
      <sheetName val="est"/>
      <sheetName val="Lead"/>
      <sheetName val="Data"/>
      <sheetName val="she"/>
      <sheetName val="Part A"/>
      <sheetName val="Material"/>
      <sheetName val="Plant &amp;  Machinery"/>
      <sheetName val="Lead statement ss5"/>
      <sheetName val="DATA-BASE"/>
      <sheetName val="DATA-ABSTRACT"/>
      <sheetName val="v"/>
      <sheetName val="Abstrct_"/>
      <sheetName val="Part_A"/>
      <sheetName val="r"/>
      <sheetName val="Abstr#t "/>
      <sheetName val="m"/>
      <sheetName val="Sheet1"/>
      <sheetName val="LEADS"/>
      <sheetName val="pvc-pipe-rates"/>
      <sheetName val="Labour"/>
      <sheetName val="Bridge Data 2005-06"/>
      <sheetName val="ewst"/>
      <sheetName val="Lead statement"/>
      <sheetName val="DATA_PRG"/>
      <sheetName val="segments-details"/>
      <sheetName val="int-Dia-hdpe"/>
      <sheetName val="habs-list"/>
      <sheetName val="int-Dia-pvc"/>
      <sheetName val="MRATES"/>
      <sheetName val="MRoad data"/>
      <sheetName val="detls"/>
      <sheetName val="Bitumen trunk"/>
      <sheetName val="Feeder"/>
      <sheetName val="R99 etc"/>
      <sheetName val="Trunk unpaved"/>
      <sheetName val="GROUND FLOOR"/>
      <sheetName val="Levels"/>
      <sheetName val="maya"/>
      <sheetName val="RMR"/>
      <sheetName val="Data.F8.BTR"/>
      <sheetName val="Boq"/>
      <sheetName val="Input"/>
      <sheetName val="C.D.Abs.Est."/>
      <sheetName val="abs road"/>
      <sheetName val="coverpage"/>
      <sheetName val="Road data"/>
      <sheetName val="TS memo"/>
      <sheetName val="CD Data"/>
      <sheetName val="CD_Data"/>
      <sheetName val="nodes"/>
      <sheetName val="int-Dia"/>
      <sheetName val="banilad"/>
      <sheetName val="Mactan"/>
      <sheetName val="Mandaue"/>
      <sheetName val="p&amp;m"/>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SubAnalysis"/>
      <sheetName val="m1"/>
      <sheetName val="Common "/>
      <sheetName val="Convey"/>
      <sheetName val="rdamdata"/>
      <sheetName val="Bill-12"/>
      <sheetName val="Pop"/>
      <sheetName val="EDWise"/>
      <sheetName val="mlead"/>
      <sheetName val="R_Det"/>
      <sheetName val="Main sheet"/>
      <sheetName val="RAFT"/>
      <sheetName val="scour depth"/>
      <sheetName val="Abstrct_1"/>
      <sheetName val="Part_A1"/>
      <sheetName val="Plant_&amp;__Machinery"/>
      <sheetName val="Lead_statement_ss5"/>
      <sheetName val="Abstr#t_"/>
      <sheetName val="Abstrct_2"/>
      <sheetName val="Part_A2"/>
      <sheetName val="Plant_&amp;__Machinery1"/>
      <sheetName val="Lead_statement_ss51"/>
      <sheetName val="Abstr#t_1"/>
      <sheetName val="SALIENT"/>
      <sheetName val="CPIPE2"/>
      <sheetName val="GF Columns"/>
      <sheetName val="Quarry"/>
      <sheetName val="DATA-2005-06"/>
      <sheetName val="Rates"/>
      <sheetName val="PH data"/>
      <sheetName val="Sheet2"/>
      <sheetName val="Lead Distance"/>
      <sheetName val="C-data"/>
      <sheetName val="Road Detail Est."/>
      <sheetName val="data existing_do not delete"/>
      <sheetName val="pvc_basic"/>
      <sheetName val="HDPE"/>
      <sheetName val="Estimate "/>
      <sheetName val="Rate analysis-civil"/>
      <sheetName val="WATER-HAMMER"/>
      <sheetName val="lead-st"/>
      <sheetName val="Mix Design"/>
      <sheetName val="Process"/>
      <sheetName val="0000000000000"/>
      <sheetName val="PUMP_DATA"/>
      <sheetName val="Lead_statement"/>
      <sheetName val="Bridge_Data_2005-06"/>
      <sheetName val="MRoad_data"/>
      <sheetName val="Bitumen_trunk"/>
      <sheetName val="R99_etc"/>
      <sheetName val="Trunk_unpaved"/>
      <sheetName val="GROUND_FLOOR"/>
      <sheetName val="Data_F8_BTR"/>
      <sheetName val="abs_road"/>
      <sheetName val="Road_data"/>
      <sheetName val="TS_memo"/>
      <sheetName val="C_D_Abs_Est_"/>
      <sheetName val="CD_Data1"/>
      <sheetName val="Common_"/>
      <sheetName val="Work_sheet"/>
      <sheetName val="Habcodes"/>
      <sheetName val="Staff Acco."/>
      <sheetName val="Summary"/>
      <sheetName val="Iocount"/>
      <sheetName val="wh_data"/>
      <sheetName val="wh_data_R"/>
      <sheetName val="CPHEEO"/>
      <sheetName val="Data-2011-12"/>
      <sheetName val="ultmom"/>
      <sheetName val="foundation(V)"/>
      <sheetName val="Specification report"/>
      <sheetName val="Flanged Beams"/>
      <sheetName val="Rectangular Beam"/>
      <sheetName val="final abstract"/>
      <sheetName val="DL CAL"/>
      <sheetName val="Sheet3"/>
      <sheetName val="not req 3"/>
      <sheetName val="cert"/>
      <sheetName val="MTC-estimate"/>
      <sheetName val="bom"/>
      <sheetName val="DATA SHEET"/>
      <sheetName val="Summary- Flyovers"/>
      <sheetName val="SUMP1420KL@HW"/>
      <sheetName val="Mp-team 1"/>
      <sheetName val="Nspt-smp-final-ORIGINAL"/>
      <sheetName val="DI"/>
      <sheetName val="pvc"/>
      <sheetName val="DISCOUNT"/>
      <sheetName val="Factory_rates"/>
      <sheetName val="Specification"/>
      <sheetName val="Data_Base"/>
      <sheetName val="51"/>
      <sheetName val="Basicrates"/>
      <sheetName val="id"/>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tatement 2005-06 1st  Qtr"/>
      <sheetName val="Rates 2005-06 ...."/>
      <sheetName val="Cover page"/>
      <sheetName val="Lead Statement 2005-06 2nd Qtr."/>
      <sheetName val="Lead Statement 2005-06 3rd Qtr."/>
      <sheetName val="Lead Statement 2005-06 4th Qtr."/>
      <sheetName val="Rates 2005-06 "/>
      <sheetName val="Lead Statement 2006-07 1, 2, 3"/>
      <sheetName val="Rates 2006-07 1, 2, 3"/>
      <sheetName val="Rates 2006-07 4th"/>
      <sheetName val="Lead Statement 2006-07 4"/>
      <sheetName val="Lead Statement 2007-08 1st Qtr."/>
      <sheetName val="Rates 2007-08 1st"/>
      <sheetName val="Lead Statement 2007-08 2nd "/>
      <sheetName val="Rates 2007-08 2nd"/>
      <sheetName val="Lead Statement 2007-08 3rd"/>
      <sheetName val="Rates 2007-08 3rd "/>
      <sheetName val="Lead Statement 2007-08 4th "/>
      <sheetName val="Rates 2007-08 4th"/>
      <sheetName val="Bridge Data 2005-06"/>
      <sheetName val="Bridge Data 2006-07"/>
      <sheetName val="Bridge Data 2007-08"/>
      <sheetName val="Lead  07-08 3rd Q Appr. "/>
      <sheetName val="BTR  2007-08 3rd Qtr. "/>
      <sheetName val="Appr. Data 2007-08 3rd Qtr"/>
      <sheetName val="Approaches Origl Align 1 (4)"/>
      <sheetName val="Bridge over all Qtys. "/>
      <sheetName val="Bri. Abs.Est.Agt.Prd SSR 05-06"/>
      <sheetName val="Bri. Abs.Est.Agt.Prd SSR 06-07"/>
      <sheetName val="Bri. Abs.Est. SSR 2007-08"/>
      <sheetName val="Appr. Abs.Est. SSR 2007-08 "/>
      <sheetName val="Comparative Statement "/>
      <sheetName val="Comp. Abst. "/>
      <sheetName val="Qty. as per WE II &amp; Prev. SSR "/>
      <sheetName val="Sheet1"/>
      <sheetName val="abs road"/>
      <sheetName val="coverpage"/>
      <sheetName val="Road data"/>
      <sheetName val="TS memo"/>
      <sheetName val="Usage"/>
      <sheetName val="Common "/>
      <sheetName val="General"/>
      <sheetName val="Lead"/>
      <sheetName val="Data"/>
      <sheetName val="m"/>
      <sheetName val="DATA_PRG"/>
      <sheetName val="Class IV Qtr. Ele"/>
      <sheetName val="MRATES"/>
      <sheetName val="C-data"/>
      <sheetName val="Specification report"/>
      <sheetName val="Summary- Flyovers"/>
      <sheetName val="Works - Quote Sheet"/>
      <sheetName val="labour"/>
      <sheetName val="p&amp;m"/>
      <sheetName val="v"/>
      <sheetName val="Lead statement"/>
      <sheetName val="C.R G.F"/>
      <sheetName val="Estimate "/>
      <sheetName val="Material"/>
      <sheetName val="Plant &amp;  Machinery"/>
      <sheetName val="pvc_basic"/>
      <sheetName val="HDPE"/>
      <sheetName val="data existing_do not delete"/>
      <sheetName val="SUMP1420KL@HW"/>
      <sheetName val="Sheet2"/>
      <sheetName val="Valves"/>
      <sheetName val="MS Rates"/>
      <sheetName val="banilad"/>
      <sheetName val="R_Det"/>
      <sheetName val="Boq"/>
      <sheetName val="wh_data_R"/>
      <sheetName val="wh_data"/>
      <sheetName val="RMR"/>
      <sheetName val="leads"/>
      <sheetName val="pvc-pipe-rates"/>
      <sheetName val="Data.F8.BTR"/>
      <sheetName val="SPT vs PHI"/>
      <sheetName val="r"/>
      <sheetName val="int-Dia-hdpe"/>
      <sheetName val="habs-list"/>
      <sheetName val="int-Dia-pvc"/>
      <sheetName val="segments-details"/>
      <sheetName val="t_prsr"/>
      <sheetName val="id"/>
      <sheetName val="Main sheet"/>
      <sheetName val="Civil Works"/>
      <sheetName val="GF SB Ok "/>
      <sheetName val="rates"/>
      <sheetName val="MTC-estimate"/>
      <sheetName val="other rates"/>
      <sheetName val="DI"/>
      <sheetName val="pvc"/>
      <sheetName val="hdpe_bas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51">
          <cell r="B51">
            <v>6.75</v>
          </cell>
        </row>
      </sheetData>
      <sheetData sheetId="19" refreshError="1">
        <row r="51">
          <cell r="B51">
            <v>6.75</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nilad"/>
      <sheetName val="Mactan"/>
      <sheetName val="Mandaue"/>
      <sheetName val="Summary"/>
      <sheetName val="Summary (2)"/>
      <sheetName val="Bridge Data 2005-06"/>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Plant &amp;  Machinery"/>
      <sheetName val="Data"/>
      <sheetName val="MRATES"/>
      <sheetName val="data existing_do not delete"/>
      <sheetName val="Boq"/>
      <sheetName val="v"/>
      <sheetName val="Material"/>
      <sheetName val="Labour"/>
      <sheetName val="p&amp;m"/>
      <sheetName val="abs road"/>
      <sheetName val="R_Det"/>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p"/>
      <sheetName val="data_new"/>
      <sheetName val="lead-st"/>
      <sheetName val="v"/>
      <sheetName val="r"/>
      <sheetName val="l"/>
      <sheetName val="DATA"/>
      <sheetName val="Lead"/>
      <sheetName val="data existing_do not delete"/>
      <sheetName val="Material"/>
      <sheetName val="Works"/>
      <sheetName val="RMR"/>
      <sheetName val="General"/>
      <sheetName val="Data.F8.BTR"/>
      <sheetName val="leads"/>
      <sheetName val="rdamdata"/>
      <sheetName val="t_prsr"/>
      <sheetName val="id"/>
      <sheetName val="Bitumen trunk"/>
      <sheetName val="Feeder"/>
      <sheetName val="R99 etc"/>
      <sheetName val="Trunk unpaved"/>
      <sheetName val="m"/>
      <sheetName val="Levels"/>
      <sheetName val="MRATES"/>
      <sheetName val="mlead"/>
      <sheetName val="abs road"/>
      <sheetName val="coverpage"/>
      <sheetName val="Road data"/>
      <sheetName val="R_Det"/>
      <sheetName val="DATA-BASE"/>
      <sheetName val="DATA-ABSTRACT"/>
      <sheetName val="Class IV Qtr. Ele"/>
      <sheetName val="Bridge Data 2005-06"/>
      <sheetName val="bom"/>
      <sheetName val="Lead statement"/>
      <sheetName val="GROUND FLOOR"/>
      <sheetName val="Plant &amp;  Machinery"/>
      <sheetName val="Data_F8_BTR"/>
      <sheetName val="Plant_&amp;__Machinery"/>
      <sheetName val="Labour"/>
      <sheetName val="maya"/>
      <sheetName val="HDPE"/>
      <sheetName val="DI"/>
      <sheetName val="pvc"/>
      <sheetName val="Specification"/>
      <sheetName val="DATA_PRG"/>
      <sheetName val="Sheet1"/>
      <sheetName val="Estimate "/>
      <sheetName val="Specification report"/>
      <sheetName val="Data_F8_BTR2"/>
      <sheetName val="data_existing_do_not_delete2"/>
      <sheetName val="Bitumen_trunk2"/>
      <sheetName val="R99_etc2"/>
      <sheetName val="Trunk_unpaved2"/>
      <sheetName val="abs_road2"/>
      <sheetName val="Road_data2"/>
      <sheetName val="Class_IV_Qtr__Ele2"/>
      <sheetName val="Bridge_Data_2005-062"/>
      <sheetName val="Lead_statement2"/>
      <sheetName val="GROUND_FLOOR2"/>
      <sheetName val="data_existing_do_not_delete"/>
      <sheetName val="Bitumen_trunk"/>
      <sheetName val="R99_etc"/>
      <sheetName val="Trunk_unpaved"/>
      <sheetName val="abs_road"/>
      <sheetName val="Road_data"/>
      <sheetName val="Class_IV_Qtr__Ele"/>
      <sheetName val="Bridge_Data_2005-06"/>
      <sheetName val="Lead_statement"/>
      <sheetName val="GROUND_FLOOR"/>
      <sheetName val="Data_F8_BTR1"/>
      <sheetName val="data_existing_do_not_delete1"/>
      <sheetName val="Bitumen_trunk1"/>
      <sheetName val="R99_etc1"/>
      <sheetName val="Trunk_unpaved1"/>
      <sheetName val="abs_road1"/>
      <sheetName val="Road_data1"/>
      <sheetName val="Class_IV_Qtr__Ele1"/>
      <sheetName val="Bridge_Data_2005-061"/>
      <sheetName val="Lead_statement1"/>
      <sheetName val="GROUND_FLOOR1"/>
      <sheetName val="Analy"/>
      <sheetName val="1-Pop Proj"/>
      <sheetName val="Lɥad"/>
      <sheetName val="banilad"/>
      <sheetName val="SECPROP"/>
      <sheetName val="CABLENOS."/>
      <sheetName val="Main sheet"/>
      <sheetName val="Mactan"/>
      <sheetName val="Mandaue"/>
      <sheetName val="Lead statement ss5"/>
      <sheetName val="wh"/>
      <sheetName val="Cover"/>
      <sheetName val="Convey"/>
      <sheetName val="gen"/>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BWSCPlt"/>
      <sheetName val="CI"/>
      <sheetName val="G.R.P"/>
      <sheetName val="PSC REVISED"/>
      <sheetName val="TBAL9697 -group wise  sdpl"/>
      <sheetName val="p&amp;m"/>
      <sheetName val="Staff Acco."/>
      <sheetName val="Rates"/>
      <sheetName val="Bed Class"/>
      <sheetName val="CPIPE"/>
      <sheetName val="CPIPE2"/>
      <sheetName val="Cs"/>
      <sheetName val="DVALUE"/>
      <sheetName val="THK"/>
      <sheetName val="Usage"/>
      <sheetName val="Cd"/>
      <sheetName val="SewerCAD MH Data"/>
      <sheetName val="Design 2040 Design Flows-(1)"/>
      <sheetName val="SewerCAD Pipe Data-Actual 2040"/>
      <sheetName val="CONNECT"/>
      <sheetName val="analysis"/>
      <sheetName val="SALIENT"/>
      <sheetName val="foundation(V)"/>
      <sheetName val="Data-2011-12"/>
      <sheetName val="DL CAL"/>
      <sheetName val="slab"/>
      <sheetName val="Flanged Beams"/>
      <sheetName val="Rectangular Beam"/>
      <sheetName val="C.D.Abs.Est."/>
      <sheetName val="Interface_SC"/>
      <sheetName val="Calc_ISC"/>
      <sheetName val="Calc_SC"/>
      <sheetName val="Interface_ISC"/>
      <sheetName val="GD"/>
      <sheetName val="pvc_basic"/>
      <sheetName val="Boq"/>
      <sheetName val="hdpe_basic"/>
      <sheetName val="TOP SLAB-beams"/>
      <sheetName val="20kL-design-final"/>
      <sheetName val="wh_data"/>
      <sheetName val="wh_data_R"/>
      <sheetName val="CPHEEO"/>
      <sheetName val="input"/>
      <sheetName val="GF SB Ok "/>
      <sheetName val="C-data"/>
      <sheetName val="Lead_statement_ss5"/>
      <sheetName val="clvrt_data"/>
      <sheetName val="ssr-rates"/>
      <sheetName val="Plant 㫨  Machinery"/>
      <sheetName val="Plant_㫨__Machinery"/>
      <sheetName val="Rates-May-14"/>
      <sheetName val="int-Dia-pvc"/>
      <sheetName val="Data-ELSR"/>
      <sheetName val="Sheet2"/>
      <sheetName val="sup dat"/>
      <sheetName val="HDPE-pipe-rates"/>
      <sheetName val="pvc-pipe-rates"/>
      <sheetName val="Bill-12"/>
      <sheetName val="Sheet5"/>
      <sheetName val="ABS"/>
      <sheetName val="Data o"/>
      <sheetName val="VI Floor Beam "/>
      <sheetName val="Boq Block A"/>
      <sheetName val="final abstract"/>
      <sheetName val="detailed"/>
      <sheetName val="Valves"/>
      <sheetName val="data_existing_do_not_delete3"/>
      <sheetName val="Data_F8_BTR3"/>
      <sheetName val="Plant_&amp;__Machinery1"/>
      <sheetName val="Bitumen_trunk3"/>
      <sheetName val="R99_etc3"/>
      <sheetName val="Trunk_unpaved3"/>
      <sheetName val="abs_road3"/>
      <sheetName val="Road_data3"/>
      <sheetName val="Class_IV_Qtr__Ele3"/>
      <sheetName val="Bridge_Data_2005-063"/>
      <sheetName val="Lead_statement3"/>
      <sheetName val="GROUND_FLOOR3"/>
      <sheetName val="Estimate_"/>
      <sheetName val="Specification_report"/>
      <sheetName val="1-Pop_Proj"/>
      <sheetName val="CABLENOS_"/>
      <sheetName val="Main_sheet"/>
      <sheetName val="Bed Fall"/>
      <sheetName val="Title"/>
      <sheetName val="Ventway Calculations"/>
      <sheetName val="Road Detail Est."/>
      <sheetName val="BM-HOOP"/>
      <sheetName val="_5wgdhabfinal00_01"/>
      <sheetName val="bundqty"/>
      <sheetName val="QTY-CRUST-SR"/>
      <sheetName val="CROSS-SECTION"/>
      <sheetName val="QTY-CRUST-MCW"/>
      <sheetName val="hyperstatic-3"/>
      <sheetName val="TS memo"/>
      <sheetName val="Lookup"/>
      <sheetName val="Sheet3"/>
      <sheetName val="MRoad data"/>
      <sheetName val="Main"/>
      <sheetName val="CPIPE 1"/>
      <sheetName val="MS Rates"/>
      <sheetName val="TOS-F"/>
      <sheetName val="ewst"/>
      <sheetName val="Leads Entry"/>
      <sheetName val="Code"/>
      <sheetName val="Pop"/>
      <sheetName val="E.I. ESTIMATE"/>
      <sheetName val="EXTERNAL E.I."/>
      <sheetName val="E.I. DATAS"/>
      <sheetName val="Comparative Statement"/>
      <sheetName val="PANEL DATAS"/>
      <sheetName val="Inv"/>
      <sheetName val="Design"/>
      <sheetName val="Report (2)"/>
      <sheetName val="Sanitary Datas 2020-21"/>
      <sheetName val="san-abs"/>
      <sheetName val="gen-ab"/>
      <sheetName val="gfloor"/>
      <sheetName val="FF"/>
      <sheetName val="Terrace"/>
      <sheetName val="GF Det-Est"/>
      <sheetName val="FF DET"/>
      <sheetName val="tf dET"/>
      <sheetName val="DATA1"/>
      <sheetName val="saniraty-det"/>
      <sheetName val="NOPRINT"/>
      <sheetName val="doors"/>
      <sheetName val="Report"/>
      <sheetName val="SH"/>
      <sheetName val="MDRs"/>
      <sheetName val="Annexure III"/>
      <sheetName val="Annexure I"/>
      <sheetName val="Common "/>
      <sheetName val="detls"/>
      <sheetName val="Delivery mains"/>
      <sheetName val="CONST"/>
      <sheetName val="PROCTOR"/>
      <sheetName val="Plant_&amp;__Machinery3"/>
      <sheetName val="Lead_statement_ss53"/>
      <sheetName val="Lead_statement_ss51"/>
      <sheetName val="Plant_&amp;__Machinery2"/>
      <sheetName val="Lead_statement_ss52"/>
      <sheetName val="Nspt-smp-final-ORIGINAL"/>
      <sheetName val="water-hammar-strenght"/>
      <sheetName val="hdpe weights"/>
      <sheetName val="PVC weights"/>
      <sheetName val="0000000000000"/>
      <sheetName val="SSR"/>
      <sheetName val="VC 80"/>
      <sheetName val="VC 450"/>
      <sheetName val="PH data"/>
      <sheetName val="Ins &amp; Bonds"/>
      <sheetName val="A-3.1"/>
      <sheetName val="Client req"/>
      <sheetName val="Sheet1 (2)"/>
      <sheetName val="wt of CID joint"/>
      <sheetName val="AC DAta"/>
      <sheetName val="Pipe Pilne MAch"/>
      <sheetName val="Sheet4"/>
      <sheetName val="Indurhty"/>
      <sheetName val="Indurhty 2016-17"/>
      <sheetName val="2"/>
      <sheetName val="3"/>
      <sheetName val="Tees"/>
      <sheetName val="PUMP_DATA"/>
      <sheetName val="Quarry"/>
      <sheetName val="Line"/>
      <sheetName val="BTR"/>
      <sheetName val="CRUST"/>
      <sheetName val="QDTS"/>
      <sheetName val="Abs_CD_2"/>
      <sheetName val="road est"/>
      <sheetName val="ECV"/>
      <sheetName val="FORM-W3"/>
      <sheetName val="index"/>
      <sheetName val="Cash2"/>
      <sheetName val="other rates"/>
      <sheetName val="MTC-estimate"/>
      <sheetName val="Gen Abs"/>
      <sheetName val="Data_Base"/>
      <sheetName val="Work_sheet"/>
      <sheetName val="SUMP1420KL@HW"/>
      <sheetName val="Admin"/>
      <sheetName val="Rates SSR 2008-09"/>
      <sheetName val="RWS"/>
      <sheetName val="Entry"/>
      <sheetName val="BOQ (2)"/>
      <sheetName val="DATA SHEET"/>
      <sheetName val="ANAL-PIPE LINE"/>
      <sheetName val="MS Pipe Working"/>
      <sheetName val="civ data"/>
      <sheetName val="650kL-design-final"/>
      <sheetName val="SPT vs PHI"/>
      <sheetName val="PS1"/>
      <sheetName val="concrete"/>
      <sheetName val="Hire"/>
      <sheetName val="GF Columns"/>
      <sheetName val="DISCOUNT"/>
      <sheetName val="Global factors"/>
      <sheetName val="Weightage-Sub Sht"/>
      <sheetName val="OH"/>
      <sheetName val="Basic Rates"/>
      <sheetName val="beam-reinft"/>
      <sheetName val="rmr "/>
      <sheetName val="road data "/>
      <sheetName val="MASTER"/>
      <sheetName val="WT AVG LEAD"/>
      <sheetName val="COST"/>
    </sheetNames>
    <sheetDataSet>
      <sheetData sheetId="0" refreshError="1"/>
      <sheetData sheetId="1" refreshError="1"/>
      <sheetData sheetId="2" refreshError="1"/>
      <sheetData sheetId="3" refreshError="1"/>
      <sheetData sheetId="4" refreshError="1">
        <row r="2">
          <cell r="F2">
            <v>100</v>
          </cell>
        </row>
        <row r="3">
          <cell r="F3">
            <v>90</v>
          </cell>
        </row>
        <row r="4">
          <cell r="F4">
            <v>65</v>
          </cell>
        </row>
        <row r="29">
          <cell r="F29">
            <v>44</v>
          </cell>
        </row>
        <row r="30">
          <cell r="F30">
            <v>0.25</v>
          </cell>
        </row>
        <row r="48">
          <cell r="F48">
            <v>10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sheetData sheetId="45" refreshError="1"/>
      <sheetData sheetId="46"/>
      <sheetData sheetId="47" refreshError="1"/>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sheetData sheetId="84" refreshError="1"/>
      <sheetData sheetId="85"/>
      <sheetData sheetId="86"/>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CS"/>
      <sheetName val="maya"/>
      <sheetName val="ValveChamber"/>
      <sheetName val="V-CR"/>
      <sheetName val="DATA"/>
      <sheetName val="r"/>
      <sheetName val="MRATES"/>
      <sheetName val="Lead statement"/>
      <sheetName val="SSR 2010-11 Rates"/>
      <sheetName val="rdamdata"/>
      <sheetName val="bom"/>
      <sheetName val="HDPE"/>
      <sheetName val="DI"/>
      <sheetName val="pvc"/>
      <sheetName val="hdpe_basic"/>
      <sheetName val="pvc_basic"/>
      <sheetName val="C-data"/>
      <sheetName val="Sheet1"/>
      <sheetName val="lead-st"/>
      <sheetName val="v"/>
      <sheetName val="m"/>
      <sheetName val="leads"/>
      <sheetName val="Estimate "/>
      <sheetName val="DATA_PRG"/>
      <sheetName val="data existing_do not delete"/>
      <sheetName val="ssr-rates"/>
      <sheetName val="Labour"/>
      <sheetName val="t_prsr"/>
      <sheetName val="wh"/>
      <sheetName val="Cover"/>
      <sheetName val="id"/>
      <sheetName val="p&amp;m"/>
      <sheetName val="Buildings"/>
      <sheetName val="Hire"/>
      <sheetName val="Conveyance"/>
      <sheetName val="mlead"/>
      <sheetName val="RMR"/>
      <sheetName val="final abstract"/>
      <sheetName val="AV-HDPE"/>
      <sheetName val="Di_gate-HDPE"/>
      <sheetName val="BWSCPlt"/>
      <sheetName val="CI"/>
      <sheetName val="G.R.P"/>
      <sheetName val="PSC REVISED"/>
      <sheetName val="Summary"/>
      <sheetName val="sand"/>
      <sheetName val="stone"/>
      <sheetName val="Rates"/>
      <sheetName val="0000000000000"/>
      <sheetName val="Bitumen trunk"/>
      <sheetName val="Feeder"/>
      <sheetName val="R99 etc"/>
      <sheetName val="Trunk unpaved"/>
      <sheetName val="DATA-BASE"/>
      <sheetName val="DATA-ABSTRACT"/>
      <sheetName val="wh_data_R"/>
      <sheetName val="wh_data"/>
      <sheetName val="CPHEEO"/>
      <sheetName val="input"/>
      <sheetName val="Lead"/>
      <sheetName val="Met"/>
      <sheetName val="Material"/>
      <sheetName val="Basicrates"/>
      <sheetName val="sup dat"/>
      <sheetName val="Road data"/>
      <sheetName val="temp-SDData (2)"/>
      <sheetName val="Plant &amp;  Machinery"/>
      <sheetName val="civ data"/>
      <sheetName val="CR-Vchambers"/>
      <sheetName val="Works"/>
      <sheetName val="General"/>
      <sheetName val="Civil Data (2013-14)"/>
      <sheetName val="01"/>
    </sheetNames>
    <sheetDataSet>
      <sheetData sheetId="0">
        <row r="1">
          <cell r="A1" t="str">
            <v xml:space="preserve">Earth work excation and depositing on bank with initial lead and lift in loamy and clayee soils as per ss301 for foundations </v>
          </cell>
        </row>
      </sheetData>
      <sheetData sheetId="1" refreshError="1">
        <row r="1">
          <cell r="A1" t="str">
            <v xml:space="preserve">Earth work excation and depositing on bank with initial lead and lift in loamy and clayee soils as per ss301 for foundations </v>
          </cell>
        </row>
        <row r="30">
          <cell r="A30" t="e">
            <v>#REF!</v>
          </cell>
        </row>
        <row r="31">
          <cell r="A31" t="str">
            <v xml:space="preserve">Sanding filling in foundation and basement for ISOLATED works including cost &amp; conveyance of all materials and labour charges seig charges , wtering and tamping etc, complete  </v>
          </cell>
        </row>
        <row r="247">
          <cell r="A247" t="str">
            <v>VALVES</v>
          </cell>
        </row>
        <row r="248">
          <cell r="A248" t="str">
            <v>S &amp; D of CI D/F Double Air Valve 40MM dia suitable for working pressure upto 10Kg/cm2 conforming to G&amp;K Fig. H7 but excluding Transportation ,CED ,Sales Tax etc complete</v>
          </cell>
        </row>
        <row r="249">
          <cell r="A249" t="str">
            <v>S &amp; D of CI D/F Double Air Valve 50MM dia suitable for working pressure upto 10Kg/cm2 conforming to G&amp;K Fig. H7 but excluding Transportation ,CED ,Sales Tax etc complete</v>
          </cell>
        </row>
        <row r="250">
          <cell r="A250" t="str">
            <v>S &amp; D of CI D/F Double Air Valve 80MM dia suitable for working pressure upto 10Kg/cm2 conforming to G&amp;K Fig. H7 but excluding Transportation ,CED ,Sales Tax etc complete</v>
          </cell>
        </row>
        <row r="251">
          <cell r="A251" t="str">
            <v>S &amp; D of CI D/F Double Air Valve 100MM dia suitable for working pressure upto 10Kg/cm2 conforming to G&amp;K Fig. H7 but excluding Transportation ,CED ,Sales Tax etc complete</v>
          </cell>
        </row>
        <row r="252">
          <cell r="A252" t="str">
            <v>S &amp; D of CI D/F Double Air Valve 40MM dia Heavy duty suitable for working pressure upto 16Kg/cm2 without isolating vale, conforming to IS 14845 but excluding Transportation ,CED ,Sales Tax etc complete</v>
          </cell>
        </row>
        <row r="253">
          <cell r="A253" t="str">
            <v>S &amp; D of CI D/F Double Air Valve 50MM dia Heavy duty suitable for working pressure upto 16Kg/cm2 without isolating vale, conforming to IS 14845 but excluding Transportation ,CED ,Sales Tax etc complete</v>
          </cell>
        </row>
        <row r="254">
          <cell r="A254" t="str">
            <v>S &amp; D of CI D/F Double Air Valve 80MM dia Heavy duty suitable for working pressure upto 16Kg/cm2 without isolating vale, conforming to IS 14845 but excluding Transportation ,CED ,Sales Tax etc complete</v>
          </cell>
        </row>
        <row r="255">
          <cell r="A255" t="str">
            <v>S &amp; D of CI D/F Double Air Valve 100MM dia Heavy duty suitable for working pressure upto 16Kg/cm2 without isolating vale, conforming to IS 14845 but excluding Transportation ,CED ,Sales Tax etc complete</v>
          </cell>
        </row>
        <row r="256">
          <cell r="A256" t="str">
            <v>S &amp; D of CI D/F Kinetc Air Valve 40MM dia as per IS14845 Heavy duty with isolating valve bevel gear operated as per IS 14846 ,PIN-1.0  but excluding Transportation ,CED ,Sales Tax etc complete</v>
          </cell>
        </row>
        <row r="257">
          <cell r="A257" t="str">
            <v>S &amp; D of CI D/F Kinetc Air Valve 50MM dia as per IS14845 Heavy duty with isolating valve bevel gear operated as per IS 14846 ,PIN-1.0  but excluding Transportation ,CED ,Sales Tax etc complete</v>
          </cell>
        </row>
        <row r="258">
          <cell r="A258" t="str">
            <v>S &amp; D of CI D/F Kinetc Air Valve 80MM dia as per IS14845 Heavy duty with isolating valve bevel gear operated as per IS 14846 ,PIN-1.0  but excluding Transportation ,CED ,Sales Tax etc complete</v>
          </cell>
        </row>
        <row r="259">
          <cell r="A259" t="str">
            <v>S &amp; D of CI D/F Kinetc Air Valve 100MM dia as per IS14845 Heavy duty with isolating valve bevel gear operated as per IS 14846 ,PIN-1.0  but excluding Transportation ,CED ,Sales Tax etc complete</v>
          </cell>
        </row>
        <row r="260">
          <cell r="A260" t="str">
            <v>S &amp; D of CI D/F Kinetc Air Valve 40MM dia as per G&amp;K  H42K with isolating valve bevel gear operated as per IS 14845 PIN - 1.0  but excluding Transportation ,CED ,Sales Tax etc complete</v>
          </cell>
        </row>
        <row r="261">
          <cell r="A261" t="str">
            <v>S &amp; D of CI D/F Kinetc Air Valve 50MM dia as per G&amp;K  H42K with isolating valve bevel gear operated as per IS 14845 PIN - 1.0  but excluding Transportation ,CED ,Sales Tax etc complete</v>
          </cell>
        </row>
        <row r="262">
          <cell r="A262" t="str">
            <v>S &amp; D of CI D/F Kinetc Air Valve 80MM dia as per G&amp;K  H42K with isolating valve bevel gear operated as per IS 14845 PIN - 1.0  but excluding Transportation ,CED ,Sales Tax etc complete</v>
          </cell>
        </row>
        <row r="263">
          <cell r="A263" t="str">
            <v>S &amp; D of CI D/F Kinetc Air Valve 100MM dia as per G&amp;K  H42K with isolating valve bevel gear operated as per IS 14845 PIN - 1.0  but excluding Transportation ,CED ,Sales Tax etc complete</v>
          </cell>
        </row>
        <row r="264">
          <cell r="A264" t="str">
            <v>SLUICE VALVES</v>
          </cell>
        </row>
        <row r="265">
          <cell r="A265" t="str">
            <v xml:space="preserve">S &amp; D of CI D/F Sluice Valve 50MM dia conforming to IS 14846 / 2000 with amdt No:1 &amp; 2 components / parts  but excluding Transportation ,CED ,Sales Tax etc complete PN-1.0   with hand wheel </v>
          </cell>
        </row>
        <row r="266">
          <cell r="A266" t="str">
            <v xml:space="preserve">S &amp; D of CI D/F Sluice Valve 65MM dia conforming to IS 14846 / 2000 with amdt No:1 &amp; 2 components / parts  but excluding Transportation ,CED ,Sales Tax etc complete PN-1.0   with hand wheel </v>
          </cell>
        </row>
        <row r="267">
          <cell r="A267" t="str">
            <v xml:space="preserve">S &amp; D of CI D/F Sluice Valve 80MM dia conforming to IS 14846 / 2000 with amdt No:1 &amp; 2 components / parts  but excluding Transportation ,CED ,Sales Tax etc complete PN-1.0   with hand wheel </v>
          </cell>
        </row>
        <row r="268">
          <cell r="A268" t="str">
            <v xml:space="preserve">S &amp; D of CI D/F Sluice Valve 100MM dia conforming to IS 14846 / 2000 with amdt No:1 &amp; 2 components / parts  but excluding Transportation ,CED ,Sales Tax etc complete PN-1.0   with hand wheel </v>
          </cell>
        </row>
        <row r="269">
          <cell r="A269" t="str">
            <v>NON RETURN VALVES</v>
          </cell>
        </row>
        <row r="270">
          <cell r="A270" t="str">
            <v>S &amp; D of CI D/F Non -Return Valve Heavy duty 50MM dia round body conforming to IS 5312/part1/1984     PN-1.0 but excluding Transportation ,CED ,Sales Tax etc complete</v>
          </cell>
        </row>
        <row r="271">
          <cell r="A271" t="str">
            <v>S &amp; D of CI D/F Non -Return Valve Heavy duty 65MM dia round body conforming to IS 5312/part1/1984     PN-1.0 but excluding Transportation ,CED ,Sales Tax etc complete</v>
          </cell>
        </row>
        <row r="272">
          <cell r="A272" t="str">
            <v>S &amp; D of CI D/F Non -Return Valve Heavy duty 80MM dia round body conforming to IS 5312/part1/1984     PN-1.0 but excluding Transportation ,CED ,Sales Tax etc complete</v>
          </cell>
        </row>
        <row r="273">
          <cell r="A273" t="str">
            <v>S &amp; D of CI D/F Non -Return Valve Heavy duty 100MM dia round body conforming to IS 5312/part1/1984     PN-1.0 but excluding Transportation ,CED ,Sales Tax etc complete</v>
          </cell>
        </row>
        <row r="343">
          <cell r="B343" t="str">
            <v>Flanged spigot-Tail Piece</v>
          </cell>
        </row>
        <row r="344">
          <cell r="B344" t="str">
            <v>80MM Dia Flanged spigot-Tail Piece</v>
          </cell>
        </row>
        <row r="345">
          <cell r="B345" t="str">
            <v>100MM Dia Flanged spigot-Tail Piece</v>
          </cell>
        </row>
        <row r="346">
          <cell r="B346" t="str">
            <v>125MM Dia Flanged spigot-Tail Piece</v>
          </cell>
        </row>
        <row r="347">
          <cell r="B347" t="str">
            <v>150MM Dia Flanged spigot-Tail Piece</v>
          </cell>
        </row>
        <row r="348">
          <cell r="B348" t="str">
            <v>200MM Dia Flanged spigot-Tail Piece</v>
          </cell>
        </row>
        <row r="370">
          <cell r="B370" t="str">
            <v>CID Joints</v>
          </cell>
        </row>
        <row r="371">
          <cell r="B371" t="str">
            <v>80MM Dia CID joints including bolts &amp; nuts and rubber rings</v>
          </cell>
        </row>
        <row r="372">
          <cell r="B372" t="str">
            <v>100MM Dia CID joints including bolts &amp; nuts and rubber rings</v>
          </cell>
        </row>
        <row r="373">
          <cell r="B373" t="str">
            <v>125MM Dia CID joints including bolts &amp; nuts and rubber rings</v>
          </cell>
        </row>
        <row r="374">
          <cell r="B374" t="str">
            <v>150MM Dia CID joints including bolts &amp; nuts and rubber rings</v>
          </cell>
        </row>
        <row r="375">
          <cell r="B375" t="str">
            <v>200MM Dia CID joints including bolts &amp; nuts and rubber rings</v>
          </cell>
        </row>
        <row r="376">
          <cell r="B376" t="str">
            <v>Bolts &amp; Nuts to CID joints</v>
          </cell>
        </row>
        <row r="377">
          <cell r="B377" t="str">
            <v>Bolts &amp; Nuts to 80MM Dia CID joints</v>
          </cell>
        </row>
        <row r="378">
          <cell r="B378" t="str">
            <v>Bolts &amp; Nuts to 100MM Dia CID joints</v>
          </cell>
        </row>
        <row r="379">
          <cell r="B379" t="str">
            <v>Bolts &amp; Nuts to 125MM Dia CID joints</v>
          </cell>
        </row>
        <row r="380">
          <cell r="B380" t="str">
            <v>Bolts &amp; Nuts to 150MM Dia CID joints</v>
          </cell>
        </row>
        <row r="381">
          <cell r="B381" t="str">
            <v>Bolts &amp; Nuts to 200MM Dia CID joints</v>
          </cell>
        </row>
        <row r="382">
          <cell r="B382" t="str">
            <v>Rubber Rings to CID joints</v>
          </cell>
        </row>
        <row r="383">
          <cell r="B383" t="str">
            <v>Rubber rings to 80MM Dia CID joints</v>
          </cell>
        </row>
        <row r="384">
          <cell r="B384" t="str">
            <v>Rubber rings to 100MM Dia CID joints</v>
          </cell>
        </row>
        <row r="385">
          <cell r="B385" t="str">
            <v>Rubber rings to 125MM Dia CID joints</v>
          </cell>
        </row>
        <row r="386">
          <cell r="B386" t="str">
            <v>Rubber rings to 150MM Dia CID joints</v>
          </cell>
        </row>
      </sheetData>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1"/>
      <sheetName val="BIOPUR-C"/>
      <sheetName val="BIOPUR-N"/>
      <sheetName val="BILDBAL-D"/>
      <sheetName val="BILDBAL-E"/>
      <sheetName val="BILDBAL-F"/>
      <sheetName val="N-Konz-Diagr"/>
      <sheetName val="BSB+P+GUST-Konz-Diagr"/>
      <sheetName val="KONZ.XLS"/>
      <sheetName val="r"/>
      <sheetName val="maya"/>
      <sheetName val="t_prsr"/>
      <sheetName val="id"/>
      <sheetName val="DATA"/>
      <sheetName val="BWSCPlt"/>
      <sheetName val="CI"/>
      <sheetName val="DI"/>
      <sheetName val="G.R.P"/>
      <sheetName val="HDPE"/>
      <sheetName val="PSC REVISED"/>
      <sheetName val="pvc"/>
      <sheetName val="Boq Block A"/>
      <sheetName val="Sheet1"/>
      <sheetName val="1-Pop Proj"/>
      <sheetName val="data existing_do not delete"/>
      <sheetName val="Sheet2"/>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re charge &amp; Others"/>
      <sheetName val="bldg-conveyance"/>
      <sheetName val="cip-spl-04-05"/>
      <sheetName val="SURKYFLYASH "/>
      <sheetName val="LIMESTONE"/>
      <sheetName val="STEEL LUBRICANTOIL"/>
      <sheetName val="Others"/>
      <sheetName val="23-PVC"/>
      <sheetName val="22-Gaskets"/>
      <sheetName val="21-W-hammer"/>
      <sheetName val="20-Valves"/>
      <sheetName val="19-SFRC"/>
      <sheetName val="18-HDPE"/>
      <sheetName val="17-GRP"/>
      <sheetName val="16-C.I."/>
      <sheetName val="15-D.I. Bends "/>
      <sheetName val="14-D.I. Specials"/>
      <sheetName val="13-D.I."/>
      <sheetName val="12-BWS"/>
      <sheetName val="11-PSC"/>
      <sheetName val="9-AC-R"/>
      <sheetName val="8-AC-C"/>
      <sheetName val="7-AC-P"/>
      <sheetName val="6-RCC-C-S"/>
      <sheetName val="5-RCC-C-PEP"/>
      <sheetName val="4-RCC-R-RINGS"/>
      <sheetName val="3-RCC-S"/>
      <sheetName val="2-RCC-COLLARS"/>
      <sheetName val="1-RCC-PLAIN"/>
      <sheetName val="cmm-Materials"/>
      <sheetName val="IS5531 (2)"/>
      <sheetName val="CID"/>
      <sheetName val="Manhole"/>
      <sheetName val="IS5531"/>
      <sheetName val="Sheet1 (2)"/>
      <sheetName val="Sheet1"/>
      <sheetName val="buildings items"/>
      <sheetName val="Labour_rates"/>
      <sheetName val="est"/>
      <sheetName val="conveyance"/>
      <sheetName val="lead"/>
      <sheetName val="Items"/>
      <sheetName val="data"/>
      <sheetName val="CI Specials"/>
      <sheetName val="PIPE_DATA"/>
      <sheetName val="public health"/>
      <sheetName val="pvc"/>
      <sheetName val="HDPE"/>
      <sheetName val="AC"/>
      <sheetName val="AC_DD"/>
      <sheetName val="CI"/>
      <sheetName val="DI"/>
      <sheetName val="PSC REVISED"/>
      <sheetName val="G.R.P"/>
      <sheetName val="BWSCPlt"/>
      <sheetName val="Hire_charge_&amp;_Others"/>
      <sheetName val="SURKYFLYASH_"/>
      <sheetName val="STEEL_LUBRICANTOIL"/>
      <sheetName val="16-C_I_"/>
      <sheetName val="15-D_I__Bends_"/>
      <sheetName val="14-D_I__Specials"/>
      <sheetName val="13-D_I_"/>
      <sheetName val="IS5531_(2)"/>
      <sheetName val="Sheet1_(2)"/>
      <sheetName val="buildings_items"/>
      <sheetName val="CI_Specials"/>
      <sheetName val="public_health"/>
      <sheetName val="PSC_REVISED"/>
      <sheetName val="G_R_P"/>
      <sheetName val="Cover"/>
      <sheetName val="ESTIMATE"/>
      <sheetName val="TBAL9697 -group wise  sdpl"/>
      <sheetName val="DATA_PRG"/>
      <sheetName val="_5wgdhabfinal00_01"/>
      <sheetName val="Sheet2"/>
      <sheetName val="maya"/>
      <sheetName val="r"/>
      <sheetName val="Abs"/>
      <sheetName val="MTC-estimate"/>
      <sheetName val="other rates"/>
      <sheetName val="BALAN1"/>
      <sheetName val="Boq Block A"/>
      <sheetName val="MRATES"/>
      <sheetName val="leads"/>
      <sheetName val="t_prsr"/>
      <sheetName val="id"/>
      <sheetName val="v"/>
      <sheetName val="wh"/>
      <sheetName val="SP Set"/>
      <sheetName val="0000000000000"/>
      <sheetName val="GM&amp;PM WE1 EST"/>
      <sheetName val="BWSCP"/>
      <sheetName val="AV_GRP ms bwsc"/>
      <sheetName val="wh_data"/>
      <sheetName val="CPHEEO"/>
      <sheetName val="wh_data_R"/>
      <sheetName val="input"/>
      <sheetName val="m"/>
      <sheetName val="Hire_charge_&amp;_Others1"/>
      <sheetName val="SURKYFLYASH_1"/>
      <sheetName val="STEEL_LUBRICANTOIL1"/>
      <sheetName val="16-C_I_1"/>
      <sheetName val="15-D_I__Bends_1"/>
      <sheetName val="14-D_I__Specials1"/>
      <sheetName val="13-D_I_1"/>
      <sheetName val="IS5531_(2)1"/>
      <sheetName val="Sheet1_(2)1"/>
      <sheetName val="buildings_items1"/>
      <sheetName val="CI_Specials1"/>
      <sheetName val="public_health1"/>
      <sheetName val="PSC_REVISED1"/>
      <sheetName val="G_R_P1"/>
      <sheetName val="Hire_charge_&amp;_Others5"/>
      <sheetName val="SURKYFLYASH_5"/>
      <sheetName val="STEEL_LUBRICANTOIL5"/>
      <sheetName val="16-C_I_5"/>
      <sheetName val="15-D_I__Bends_5"/>
      <sheetName val="14-D_I__Specials5"/>
      <sheetName val="13-D_I_5"/>
      <sheetName val="IS5531_(2)5"/>
      <sheetName val="Sheet1_(2)5"/>
      <sheetName val="buildings_items5"/>
      <sheetName val="CI_Specials5"/>
      <sheetName val="public_health5"/>
      <sheetName val="PSC_REVISED5"/>
      <sheetName val="G_R_P5"/>
      <sheetName val="Hire_charge_&amp;_Others3"/>
      <sheetName val="SURKYFLYASH_3"/>
      <sheetName val="STEEL_LUBRICANTOIL3"/>
      <sheetName val="16-C_I_3"/>
      <sheetName val="15-D_I__Bends_3"/>
      <sheetName val="14-D_I__Specials3"/>
      <sheetName val="13-D_I_3"/>
      <sheetName val="IS5531_(2)3"/>
      <sheetName val="Sheet1_(2)3"/>
      <sheetName val="buildings_items3"/>
      <sheetName val="CI_Specials3"/>
      <sheetName val="public_health3"/>
      <sheetName val="PSC_REVISED3"/>
      <sheetName val="G_R_P3"/>
      <sheetName val="Hire_charge_&amp;_Others2"/>
      <sheetName val="SURKYFLYASH_2"/>
      <sheetName val="STEEL_LUBRICANTOIL2"/>
      <sheetName val="16-C_I_2"/>
      <sheetName val="15-D_I__Bends_2"/>
      <sheetName val="14-D_I__Specials2"/>
      <sheetName val="13-D_I_2"/>
      <sheetName val="IS5531_(2)2"/>
      <sheetName val="Sheet1_(2)2"/>
      <sheetName val="buildings_items2"/>
      <sheetName val="CI_Specials2"/>
      <sheetName val="public_health2"/>
      <sheetName val="PSC_REVISED2"/>
      <sheetName val="G_R_P2"/>
      <sheetName val="Hire_charge_&amp;_Others4"/>
      <sheetName val="SURKYFLYASH_4"/>
      <sheetName val="STEEL_LUBRICANTOIL4"/>
      <sheetName val="16-C_I_4"/>
      <sheetName val="15-D_I__Bends_4"/>
      <sheetName val="14-D_I__Specials4"/>
      <sheetName val="13-D_I_4"/>
      <sheetName val="IS5531_(2)4"/>
      <sheetName val="Sheet1_(2)4"/>
      <sheetName val="buildings_items4"/>
      <sheetName val="CI_Specials4"/>
      <sheetName val="public_health4"/>
      <sheetName val="PSC_REVISED4"/>
      <sheetName val="G_R_P4"/>
      <sheetName val="pvc-pipe-rates"/>
      <sheetName val="census91"/>
      <sheetName val="AV-HDPE"/>
      <sheetName val="Di_gate-HDPE"/>
      <sheetName val="BM-HOOP"/>
      <sheetName val="index"/>
      <sheetName val="procurement"/>
      <sheetName val="MRoad data"/>
      <sheetName val="Data.F8.BTR"/>
      <sheetName val="DATA-BASE"/>
      <sheetName val="DATA-ABSTRACT"/>
      <sheetName val="PM&amp;GM"/>
      <sheetName val="AV-PVC"/>
      <sheetName val="DI gate-DI"/>
      <sheetName val="DIgate_PVC "/>
      <sheetName val="PUMP_DATA"/>
      <sheetName val="WATER-HAMMER"/>
      <sheetName val="nodes"/>
      <sheetName val="habs-list"/>
      <sheetName val="int-Dia"/>
      <sheetName val="TOP SLAB-beams"/>
      <sheetName val="segments-details"/>
      <sheetName val="int-Dia-hdpe"/>
      <sheetName val="C-data"/>
      <sheetName val="p&amp;m"/>
      <sheetName val="COST"/>
      <sheetName val="int-Dia-pvc"/>
      <sheetName val="BTR"/>
      <sheetName val="Plant &amp;  Machinery"/>
      <sheetName val="AV-BWSC&amp;MS"/>
      <sheetName val="AV_AC"/>
      <sheetName val="AV-DI"/>
      <sheetName val="di_Gate_AC"/>
      <sheetName val="Digate-BWSCP-MS"/>
      <sheetName val="DI_gate_di"/>
      <sheetName val="scour-DI-CI"/>
      <sheetName val="scour-pvc-hdpe-psc-bwsc"/>
      <sheetName val="Wipro"/>
      <sheetName val="BOQ"/>
      <sheetName val="C&amp;S monthwise"/>
      <sheetName val="C&amp;S"/>
      <sheetName val="General"/>
      <sheetName val="Materials"/>
      <sheetName val="CC"/>
      <sheetName val="Detailed RD  estimate"/>
      <sheetName val="HP cd 3 Rof 1000"/>
      <sheetName val="Road data"/>
      <sheetName val="1V of 2m slab"/>
      <sheetName val="2V of 3.0Mslab"/>
      <sheetName val="HP cD3rows of 1000mm"/>
      <sheetName val="Process"/>
      <sheetName val="DETAILED  BOQ"/>
      <sheetName val="Bidform"/>
      <sheetName val="1-Pop Proj"/>
      <sheetName val=" "/>
      <sheetName val="Class IV Qtr. Ele"/>
      <sheetName val="Lead statement"/>
      <sheetName val="SSR 2010-11 Rates"/>
      <sheetName val="data existing_do not delete"/>
      <sheetName val="Bridge Data 2005-06"/>
      <sheetName val="economic PM"/>
      <sheetName val="Material"/>
      <sheetName val="Labour"/>
      <sheetName val="hdpe_basic"/>
      <sheetName val="pvc_basic"/>
      <sheetName val="labour rates"/>
      <sheetName val="Mp-team 1"/>
      <sheetName val="11.Habitations"/>
      <sheetName val="pumping main"/>
      <sheetName val="EDWise"/>
      <sheetName val="01"/>
      <sheetName val="banilad"/>
      <sheetName val="Mactan"/>
      <sheetName val="Mandaue"/>
      <sheetName val="Works"/>
      <sheetName val="RMR"/>
      <sheetName val="Sheet9"/>
      <sheetName val="m1"/>
      <sheetName val="DetEst"/>
      <sheetName val="Global factors"/>
      <sheetName val="Detailed"/>
      <sheetName val="basic-data"/>
      <sheetName val="mem-property"/>
      <sheetName val="Lead Distance"/>
      <sheetName val="airvalve-AC PN 1.60"/>
      <sheetName val="Soft-sluice-AC,GRP PN 1.6"/>
      <sheetName val="soft-sluice-BWSC-MS"/>
      <sheetName val="DI sluice valve"/>
      <sheetName val="pop"/>
      <sheetName val="Work_sheet"/>
      <sheetName val="Lead statement ss5"/>
      <sheetName val="Hyd_Stmt"/>
      <sheetName val="Rate"/>
      <sheetName val="Elect."/>
      <sheetName val="Bitumen trunk"/>
      <sheetName val="Feeder"/>
      <sheetName val="R99 etc"/>
      <sheetName val="Trunk unpaved"/>
      <sheetName val="HS 30.04.2015.Final"/>
      <sheetName val="RATES"/>
      <sheetName val="Quarry"/>
      <sheetName val="Line"/>
      <sheetName val="CRUST"/>
      <sheetName val="QDTS"/>
      <sheetName val="Summary"/>
      <sheetName val="ww-march-02"/>
      <sheetName val="Staff Acco."/>
      <sheetName val="ssr-rates"/>
      <sheetName val="SCHEDULE"/>
      <sheetName val="Database"/>
      <sheetName val="schedule nos"/>
      <sheetName val="hdpe weights"/>
      <sheetName val="PVC weights"/>
      <sheetName val="detls"/>
      <sheetName val="hdpe-rates"/>
      <sheetName val="pvc-rates"/>
      <sheetName val="water-hammar-strenght"/>
      <sheetName val="Watersoft (2)"/>
      <sheetName val="FORM7"/>
      <sheetName val="D2_CO"/>
      <sheetName val="LABOUR RATE"/>
      <sheetName val="Material Rate"/>
      <sheetName val="Bed Class"/>
      <sheetName val="Cd"/>
      <sheetName val="Hire_charge_&amp;_Others6"/>
      <sheetName val="SURKYFLYASH_6"/>
      <sheetName val="STEEL_LUBRICANTOIL6"/>
      <sheetName val="16-C_I_6"/>
      <sheetName val="15-D_I__Bends_6"/>
      <sheetName val="14-D_I__Specials6"/>
      <sheetName val="13-D_I_6"/>
      <sheetName val="IS5531_(2)6"/>
      <sheetName val="Sheet1_(2)6"/>
      <sheetName val="buildings_items6"/>
      <sheetName val="CI_Specials6"/>
      <sheetName val="public_health6"/>
      <sheetName val="PSC_REVISED6"/>
      <sheetName val="G_R_P6"/>
      <sheetName val="maingirder"/>
      <sheetName val="basdat"/>
      <sheetName val="PROG_DATA"/>
      <sheetName val="TBAL9697_-group_wise__sdpl"/>
      <sheetName val="other_rates"/>
      <sheetName val="Boq_Block_A"/>
      <sheetName val="SP_Set"/>
      <sheetName val="GM&amp;PM_WE1_EST"/>
      <sheetName val="AV_GRP_ms_bwsc"/>
      <sheetName val="MRoad_data"/>
      <sheetName val="Data_F8_BTR"/>
      <sheetName val="DI_gate-DI"/>
      <sheetName val="DIgate_PVC_"/>
      <sheetName val="TOP_SLAB-beams"/>
      <sheetName val="mas_hab"/>
      <sheetName val="l"/>
      <sheetName val="zone-8"/>
      <sheetName val="MHNO_LEV"/>
      <sheetName val="Build-up"/>
      <sheetName val="rdamdata"/>
      <sheetName val="lead-st"/>
      <sheetName val="Common "/>
      <sheetName val="bom"/>
      <sheetName val="R2"/>
      <sheetName val="Usage"/>
      <sheetName val="coverpage"/>
      <sheetName val="Nspt-smp-final-ORIGINAL"/>
      <sheetName val="20kL-design-final"/>
      <sheetName val="BOXCELL"/>
      <sheetName val="BOXCULVERT"/>
      <sheetName val="Cut Fill"/>
      <sheetName val="FORM5"/>
      <sheetName val="Habitation"/>
      <sheetName val="Maintenance"/>
      <sheetName val="Proforma B"/>
      <sheetName val="RET "/>
      <sheetName val="TOE"/>
      <sheetName val="DISCOUNT"/>
      <sheetName val="Gen_Abs"/>
      <sheetName val="abs road"/>
      <sheetName val="HS final- 23.07.19 Se Aprd"/>
      <sheetName val="Attributes"/>
      <sheetName val="C.D.Abs.Est."/>
      <sheetName val="mlead"/>
      <sheetName val="sand"/>
      <sheetName val="stone"/>
      <sheetName val="Road Detail Est."/>
    </sheetNames>
    <sheetDataSet>
      <sheetData sheetId="0">
        <row r="23">
          <cell r="C23">
            <v>63</v>
          </cell>
        </row>
      </sheetData>
      <sheetData sheetId="1">
        <row r="9">
          <cell r="C9">
            <v>63</v>
          </cell>
        </row>
      </sheetData>
      <sheetData sheetId="2">
        <row r="9">
          <cell r="C9">
            <v>80</v>
          </cell>
        </row>
      </sheetData>
      <sheetData sheetId="3">
        <row r="19">
          <cell r="C19">
            <v>947.75</v>
          </cell>
        </row>
      </sheetData>
      <sheetData sheetId="4">
        <row r="9">
          <cell r="C9">
            <v>350</v>
          </cell>
        </row>
      </sheetData>
      <sheetData sheetId="5">
        <row r="24">
          <cell r="C24">
            <v>350</v>
          </cell>
        </row>
      </sheetData>
      <sheetData sheetId="6">
        <row r="19">
          <cell r="C19">
            <v>1349.1000000000001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ow r="23">
          <cell r="C23">
            <v>63</v>
          </cell>
          <cell r="D23">
            <v>75</v>
          </cell>
          <cell r="E23">
            <v>90</v>
          </cell>
          <cell r="F23">
            <v>110</v>
          </cell>
          <cell r="G23">
            <v>125</v>
          </cell>
          <cell r="H23">
            <v>140</v>
          </cell>
          <cell r="I23">
            <v>160</v>
          </cell>
          <cell r="J23">
            <v>180</v>
          </cell>
          <cell r="K23">
            <v>200</v>
          </cell>
          <cell r="L23">
            <v>225</v>
          </cell>
          <cell r="M23">
            <v>250</v>
          </cell>
          <cell r="N23">
            <v>280</v>
          </cell>
          <cell r="O23">
            <v>315</v>
          </cell>
        </row>
        <row r="31">
          <cell r="C31">
            <v>100.60000000000001</v>
          </cell>
          <cell r="D31">
            <v>115.5</v>
          </cell>
          <cell r="E31">
            <v>134.9</v>
          </cell>
          <cell r="F31">
            <v>165.5</v>
          </cell>
          <cell r="G31">
            <v>195.5</v>
          </cell>
          <cell r="H31">
            <v>226.9</v>
          </cell>
          <cell r="I31">
            <v>291.7</v>
          </cell>
          <cell r="J31">
            <v>349.55</v>
          </cell>
          <cell r="K31">
            <v>407.85</v>
          </cell>
          <cell r="L31">
            <v>526.05000000000007</v>
          </cell>
          <cell r="M31">
            <v>561.6</v>
          </cell>
          <cell r="N31">
            <v>751.55000000000007</v>
          </cell>
          <cell r="O31">
            <v>927.80000000000007</v>
          </cell>
        </row>
        <row r="45">
          <cell r="C45">
            <v>114.75</v>
          </cell>
          <cell r="D45">
            <v>134</v>
          </cell>
          <cell r="E45">
            <v>162.55000000000001</v>
          </cell>
          <cell r="F45">
            <v>206</v>
          </cell>
          <cell r="G45">
            <v>241.75</v>
          </cell>
          <cell r="H45">
            <v>294.55</v>
          </cell>
          <cell r="I45">
            <v>376.45000000000005</v>
          </cell>
          <cell r="J45">
            <v>463.3</v>
          </cell>
          <cell r="K45">
            <v>543.4</v>
          </cell>
          <cell r="L45">
            <v>715.65000000000009</v>
          </cell>
          <cell r="M45">
            <v>861.40000000000009</v>
          </cell>
          <cell r="N45">
            <v>1060.6000000000001</v>
          </cell>
          <cell r="O45">
            <v>1304.8500000000001</v>
          </cell>
        </row>
        <row r="60">
          <cell r="C60">
            <v>140.6</v>
          </cell>
          <cell r="D60">
            <v>172.5</v>
          </cell>
          <cell r="E60">
            <v>216.15</v>
          </cell>
          <cell r="F60">
            <v>291.2</v>
          </cell>
          <cell r="G60">
            <v>360.8</v>
          </cell>
          <cell r="H60">
            <v>428.15000000000003</v>
          </cell>
          <cell r="I60">
            <v>557.5</v>
          </cell>
          <cell r="J60">
            <v>692.65000000000009</v>
          </cell>
          <cell r="K60">
            <v>821.85</v>
          </cell>
          <cell r="L60">
            <v>1080.9000000000001</v>
          </cell>
          <cell r="M60">
            <v>1297.45</v>
          </cell>
          <cell r="N60">
            <v>1619.2</v>
          </cell>
          <cell r="O60">
            <v>2015.95</v>
          </cell>
        </row>
      </sheetData>
      <sheetData sheetId="47">
        <row r="9">
          <cell r="C9">
            <v>63</v>
          </cell>
          <cell r="D9">
            <v>75</v>
          </cell>
          <cell r="E9">
            <v>90</v>
          </cell>
          <cell r="F9">
            <v>110</v>
          </cell>
          <cell r="G9">
            <v>125</v>
          </cell>
          <cell r="H9">
            <v>140</v>
          </cell>
          <cell r="I9">
            <v>160</v>
          </cell>
          <cell r="J9">
            <v>180</v>
          </cell>
          <cell r="K9">
            <v>200</v>
          </cell>
          <cell r="L9">
            <v>225</v>
          </cell>
          <cell r="M9">
            <v>250</v>
          </cell>
          <cell r="N9">
            <v>280</v>
          </cell>
          <cell r="O9">
            <v>315</v>
          </cell>
        </row>
        <row r="28">
          <cell r="C28">
            <v>87.95</v>
          </cell>
          <cell r="D28">
            <v>102.30000000000001</v>
          </cell>
          <cell r="E28">
            <v>127.60000000000001</v>
          </cell>
          <cell r="F28">
            <v>165.10000000000002</v>
          </cell>
          <cell r="G28">
            <v>196.95000000000002</v>
          </cell>
          <cell r="H28">
            <v>231.15</v>
          </cell>
          <cell r="I28">
            <v>297.45</v>
          </cell>
          <cell r="J28">
            <v>357.3</v>
          </cell>
          <cell r="K28">
            <v>421.8</v>
          </cell>
          <cell r="L28">
            <v>547.80000000000007</v>
          </cell>
          <cell r="M28">
            <v>657.40000000000009</v>
          </cell>
          <cell r="N28">
            <v>797.55000000000007</v>
          </cell>
          <cell r="O28">
            <v>990.15000000000009</v>
          </cell>
        </row>
        <row r="40">
          <cell r="C40">
            <v>101.9</v>
          </cell>
          <cell r="D40">
            <v>124.05000000000001</v>
          </cell>
          <cell r="E40">
            <v>157.20000000000002</v>
          </cell>
          <cell r="F40">
            <v>209.8</v>
          </cell>
          <cell r="G40">
            <v>253.85000000000002</v>
          </cell>
          <cell r="H40">
            <v>304.40000000000003</v>
          </cell>
          <cell r="I40">
            <v>392.05</v>
          </cell>
          <cell r="J40">
            <v>476</v>
          </cell>
          <cell r="K40">
            <v>573.1</v>
          </cell>
          <cell r="L40">
            <v>743.30000000000007</v>
          </cell>
          <cell r="M40">
            <v>894.90000000000009</v>
          </cell>
          <cell r="N40">
            <v>1100.45</v>
          </cell>
          <cell r="O40">
            <v>1372.15</v>
          </cell>
        </row>
        <row r="52">
          <cell r="C52">
            <v>163.15</v>
          </cell>
          <cell r="D52">
            <v>210.45000000000002</v>
          </cell>
          <cell r="E52">
            <v>281.55</v>
          </cell>
          <cell r="F52">
            <v>395.35</v>
          </cell>
          <cell r="G52">
            <v>493.40000000000003</v>
          </cell>
          <cell r="H52">
            <v>603.5</v>
          </cell>
          <cell r="I52">
            <v>781.65000000000009</v>
          </cell>
          <cell r="J52">
            <v>972.65000000000009</v>
          </cell>
          <cell r="K52">
            <v>1182.8</v>
          </cell>
          <cell r="L52">
            <v>1530.7</v>
          </cell>
          <cell r="M52">
            <v>1872.8500000000001</v>
          </cell>
          <cell r="N52">
            <v>2321.9500000000003</v>
          </cell>
          <cell r="O52">
            <v>2915.65</v>
          </cell>
        </row>
        <row r="64">
          <cell r="C64">
            <v>128.20000000000002</v>
          </cell>
          <cell r="D64">
            <v>160.75</v>
          </cell>
          <cell r="E64">
            <v>210.35000000000002</v>
          </cell>
          <cell r="F64">
            <v>286.85000000000002</v>
          </cell>
          <cell r="G64">
            <v>356.15000000000003</v>
          </cell>
          <cell r="H64">
            <v>433</v>
          </cell>
          <cell r="I64">
            <v>559.4</v>
          </cell>
          <cell r="J64">
            <v>689</v>
          </cell>
          <cell r="K64">
            <v>833.40000000000009</v>
          </cell>
          <cell r="L64">
            <v>1089.6000000000001</v>
          </cell>
          <cell r="M64">
            <v>1324.8500000000001</v>
          </cell>
          <cell r="N64">
            <v>1637.95</v>
          </cell>
          <cell r="O64">
            <v>2048.6</v>
          </cell>
        </row>
      </sheetData>
      <sheetData sheetId="48"/>
      <sheetData sheetId="49"/>
      <sheetData sheetId="50">
        <row r="9">
          <cell r="C9">
            <v>80</v>
          </cell>
          <cell r="D9">
            <v>100</v>
          </cell>
          <cell r="E9">
            <v>125</v>
          </cell>
          <cell r="F9">
            <v>150</v>
          </cell>
          <cell r="G9">
            <v>200</v>
          </cell>
          <cell r="H9">
            <v>250</v>
          </cell>
          <cell r="I9">
            <v>300</v>
          </cell>
          <cell r="J9">
            <v>350</v>
          </cell>
          <cell r="K9">
            <v>400</v>
          </cell>
          <cell r="L9">
            <v>450</v>
          </cell>
          <cell r="M9">
            <v>500</v>
          </cell>
          <cell r="N9">
            <v>600</v>
          </cell>
          <cell r="O9">
            <v>700</v>
          </cell>
          <cell r="P9">
            <v>750</v>
          </cell>
          <cell r="Q9">
            <v>800</v>
          </cell>
          <cell r="R9">
            <v>900</v>
          </cell>
          <cell r="S9">
            <v>1000</v>
          </cell>
        </row>
        <row r="19">
          <cell r="C19">
            <v>731.1</v>
          </cell>
          <cell r="D19">
            <v>568.05000000000007</v>
          </cell>
          <cell r="E19">
            <v>676.35</v>
          </cell>
          <cell r="F19">
            <v>783</v>
          </cell>
          <cell r="G19">
            <v>1102.6000000000001</v>
          </cell>
          <cell r="H19">
            <v>1443.8000000000002</v>
          </cell>
          <cell r="I19">
            <v>1837.8000000000002</v>
          </cell>
          <cell r="J19">
            <v>2318.6</v>
          </cell>
          <cell r="K19">
            <v>2790.4500000000003</v>
          </cell>
          <cell r="L19">
            <v>3335</v>
          </cell>
          <cell r="M19">
            <v>3988.6000000000004</v>
          </cell>
          <cell r="N19">
            <v>5281.1</v>
          </cell>
          <cell r="O19">
            <v>7032.25</v>
          </cell>
          <cell r="P19">
            <v>7853.7000000000007</v>
          </cell>
          <cell r="Q19">
            <v>8805.75</v>
          </cell>
          <cell r="R19">
            <v>10710.150000000001</v>
          </cell>
          <cell r="S19">
            <v>12822.050000000001</v>
          </cell>
        </row>
        <row r="34">
          <cell r="C34">
            <v>521.80000000000007</v>
          </cell>
          <cell r="D34">
            <v>613.75</v>
          </cell>
          <cell r="E34">
            <v>727.40000000000009</v>
          </cell>
          <cell r="F34">
            <v>846.30000000000007</v>
          </cell>
          <cell r="G34">
            <v>1184.25</v>
          </cell>
          <cell r="H34">
            <v>1558.9</v>
          </cell>
          <cell r="I34">
            <v>1993.5500000000002</v>
          </cell>
          <cell r="J34">
            <v>2496.9</v>
          </cell>
          <cell r="K34">
            <v>3028.3500000000004</v>
          </cell>
          <cell r="L34">
            <v>3640.25</v>
          </cell>
          <cell r="M34">
            <v>4318.75</v>
          </cell>
          <cell r="N34">
            <v>5732.5</v>
          </cell>
          <cell r="O34">
            <v>7642.75</v>
          </cell>
          <cell r="P34">
            <v>8543</v>
          </cell>
          <cell r="Q34">
            <v>9546.2000000000007</v>
          </cell>
          <cell r="R34">
            <v>11628.800000000001</v>
          </cell>
          <cell r="S34">
            <v>13941.7</v>
          </cell>
        </row>
        <row r="49">
          <cell r="C49">
            <v>551.55000000000007</v>
          </cell>
          <cell r="D49">
            <v>646.95000000000005</v>
          </cell>
          <cell r="E49">
            <v>774.55000000000007</v>
          </cell>
          <cell r="F49">
            <v>902.25</v>
          </cell>
          <cell r="G49">
            <v>1269.6000000000001</v>
          </cell>
          <cell r="H49">
            <v>1674.0500000000002</v>
          </cell>
          <cell r="I49">
            <v>2145.85</v>
          </cell>
          <cell r="J49">
            <v>2689.9500000000003</v>
          </cell>
          <cell r="K49">
            <v>3251.3</v>
          </cell>
          <cell r="L49">
            <v>3908.2000000000003</v>
          </cell>
          <cell r="M49">
            <v>4648.9000000000005</v>
          </cell>
          <cell r="N49">
            <v>6180.35</v>
          </cell>
          <cell r="O49">
            <v>8221.5500000000011</v>
          </cell>
          <cell r="P49">
            <v>9228.4500000000007</v>
          </cell>
          <cell r="Q49">
            <v>10282.75</v>
          </cell>
          <cell r="R49">
            <v>12547.650000000001</v>
          </cell>
          <cell r="S49">
            <v>15010.45</v>
          </cell>
        </row>
      </sheetData>
      <sheetData sheetId="51">
        <row r="19">
          <cell r="C19">
            <v>947.75</v>
          </cell>
          <cell r="D19">
            <v>1402.8500000000001</v>
          </cell>
          <cell r="E19">
            <v>1843.95</v>
          </cell>
          <cell r="F19">
            <v>2380.2000000000003</v>
          </cell>
          <cell r="G19">
            <v>2993.55</v>
          </cell>
          <cell r="H19">
            <v>3742</v>
          </cell>
          <cell r="I19">
            <v>4487.3500000000004</v>
          </cell>
          <cell r="J19">
            <v>5339.8</v>
          </cell>
          <cell r="K19">
            <v>6226.4500000000007</v>
          </cell>
          <cell r="L19">
            <v>8175.9500000000007</v>
          </cell>
          <cell r="M19">
            <v>10586</v>
          </cell>
          <cell r="N19" t="e">
            <v>#VALUE!</v>
          </cell>
          <cell r="O19" t="e">
            <v>#VALUE!</v>
          </cell>
          <cell r="P19" t="e">
            <v>#VALUE!</v>
          </cell>
          <cell r="Q19" t="e">
            <v>#VALUE!</v>
          </cell>
        </row>
        <row r="25">
          <cell r="C25">
            <v>100</v>
          </cell>
          <cell r="D25">
            <v>150</v>
          </cell>
          <cell r="E25">
            <v>200</v>
          </cell>
          <cell r="F25">
            <v>250</v>
          </cell>
          <cell r="G25">
            <v>300</v>
          </cell>
          <cell r="H25">
            <v>350</v>
          </cell>
          <cell r="I25">
            <v>400</v>
          </cell>
          <cell r="J25">
            <v>450</v>
          </cell>
          <cell r="K25">
            <v>500</v>
          </cell>
          <cell r="L25">
            <v>600</v>
          </cell>
          <cell r="M25">
            <v>700</v>
          </cell>
          <cell r="N25">
            <v>750</v>
          </cell>
          <cell r="O25">
            <v>800</v>
          </cell>
          <cell r="P25">
            <v>900</v>
          </cell>
          <cell r="Q25">
            <v>1000</v>
          </cell>
        </row>
        <row r="35">
          <cell r="C35">
            <v>817.85</v>
          </cell>
          <cell r="D35">
            <v>780.30000000000007</v>
          </cell>
          <cell r="E35">
            <v>1095.7</v>
          </cell>
          <cell r="F35">
            <v>1433.5500000000002</v>
          </cell>
          <cell r="G35">
            <v>1823.7</v>
          </cell>
          <cell r="H35">
            <v>2300</v>
          </cell>
          <cell r="I35">
            <v>2766.4500000000003</v>
          </cell>
          <cell r="J35">
            <v>3304.9500000000003</v>
          </cell>
          <cell r="K35">
            <v>3953.25</v>
          </cell>
          <cell r="L35">
            <v>5232.6000000000004</v>
          </cell>
          <cell r="M35">
            <v>6920.25</v>
          </cell>
          <cell r="N35">
            <v>7727.3</v>
          </cell>
          <cell r="O35">
            <v>8660.1</v>
          </cell>
          <cell r="P35">
            <v>10528.95</v>
          </cell>
          <cell r="Q35">
            <v>12598.900000000001</v>
          </cell>
        </row>
      </sheetData>
      <sheetData sheetId="52">
        <row r="9">
          <cell r="C9">
            <v>350</v>
          </cell>
          <cell r="D9">
            <v>400</v>
          </cell>
          <cell r="E9">
            <v>450</v>
          </cell>
          <cell r="F9">
            <v>500</v>
          </cell>
          <cell r="G9">
            <v>600</v>
          </cell>
          <cell r="H9">
            <v>700</v>
          </cell>
          <cell r="I9">
            <v>800</v>
          </cell>
          <cell r="J9">
            <v>900</v>
          </cell>
          <cell r="K9">
            <v>1000</v>
          </cell>
        </row>
        <row r="18">
          <cell r="C18">
            <v>1284.5500000000002</v>
          </cell>
          <cell r="D18">
            <v>1378.7</v>
          </cell>
          <cell r="E18">
            <v>1462.7</v>
          </cell>
          <cell r="F18">
            <v>1596.5500000000002</v>
          </cell>
          <cell r="G18">
            <v>1850.8000000000002</v>
          </cell>
          <cell r="H18">
            <v>2250.5</v>
          </cell>
          <cell r="I18">
            <v>2648</v>
          </cell>
          <cell r="J18">
            <v>3057.15</v>
          </cell>
          <cell r="K18">
            <v>3571.3500000000004</v>
          </cell>
        </row>
        <row r="32">
          <cell r="C32">
            <v>1284.5500000000002</v>
          </cell>
          <cell r="D32">
            <v>1389.2</v>
          </cell>
          <cell r="E32">
            <v>1473.2</v>
          </cell>
          <cell r="F32">
            <v>1607.0500000000002</v>
          </cell>
          <cell r="G32">
            <v>1861.3000000000002</v>
          </cell>
          <cell r="H32">
            <v>2261</v>
          </cell>
          <cell r="I32">
            <v>2669</v>
          </cell>
          <cell r="J32">
            <v>3078.15</v>
          </cell>
          <cell r="K32">
            <v>3602.8500000000004</v>
          </cell>
        </row>
        <row r="46">
          <cell r="C46">
            <v>1295.0500000000002</v>
          </cell>
          <cell r="D46">
            <v>1399.7</v>
          </cell>
          <cell r="E46">
            <v>1483.7</v>
          </cell>
          <cell r="F46">
            <v>1617.6000000000001</v>
          </cell>
          <cell r="G46">
            <v>1882.3000000000002</v>
          </cell>
          <cell r="H46">
            <v>2292.5</v>
          </cell>
          <cell r="I46">
            <v>2732</v>
          </cell>
          <cell r="J46">
            <v>3141.2000000000003</v>
          </cell>
          <cell r="K46">
            <v>3697.4</v>
          </cell>
        </row>
        <row r="62">
          <cell r="C62">
            <v>1305.6000000000001</v>
          </cell>
          <cell r="D62">
            <v>1420.7</v>
          </cell>
          <cell r="E62">
            <v>1515.2</v>
          </cell>
          <cell r="F62">
            <v>1649.1000000000001</v>
          </cell>
          <cell r="G62">
            <v>1934.8000000000002</v>
          </cell>
          <cell r="H62">
            <v>2345</v>
          </cell>
          <cell r="I62">
            <v>2795.05</v>
          </cell>
          <cell r="J62">
            <v>3256.7000000000003</v>
          </cell>
          <cell r="K62">
            <v>3823.4500000000003</v>
          </cell>
        </row>
        <row r="77">
          <cell r="C77">
            <v>1326.6000000000001</v>
          </cell>
          <cell r="D77">
            <v>1441.7</v>
          </cell>
          <cell r="E77">
            <v>1546.7</v>
          </cell>
          <cell r="F77">
            <v>1680.6000000000001</v>
          </cell>
          <cell r="G77">
            <v>1987.3500000000001</v>
          </cell>
          <cell r="H77">
            <v>21462.300000000003</v>
          </cell>
          <cell r="I77">
            <v>2889.6000000000004</v>
          </cell>
          <cell r="J77">
            <v>3372.25</v>
          </cell>
          <cell r="K77">
            <v>4023</v>
          </cell>
        </row>
        <row r="92">
          <cell r="C92">
            <v>1368.6000000000001</v>
          </cell>
          <cell r="D92">
            <v>1462.7</v>
          </cell>
          <cell r="E92">
            <v>1578.25</v>
          </cell>
          <cell r="F92">
            <v>1722.6000000000001</v>
          </cell>
          <cell r="G92">
            <v>2039.8500000000001</v>
          </cell>
          <cell r="H92">
            <v>2481.5500000000002</v>
          </cell>
          <cell r="I92">
            <v>2984.1000000000004</v>
          </cell>
          <cell r="J92">
            <v>3540.3500000000004</v>
          </cell>
          <cell r="K92">
            <v>4180.55</v>
          </cell>
        </row>
      </sheetData>
      <sheetData sheetId="53">
        <row r="24">
          <cell r="C24">
            <v>350</v>
          </cell>
          <cell r="D24">
            <v>400</v>
          </cell>
          <cell r="E24">
            <v>450</v>
          </cell>
          <cell r="F24">
            <v>500</v>
          </cell>
          <cell r="G24">
            <v>600</v>
          </cell>
          <cell r="H24">
            <v>700</v>
          </cell>
          <cell r="I24">
            <v>800</v>
          </cell>
          <cell r="J24">
            <v>900</v>
          </cell>
          <cell r="K24">
            <v>1000</v>
          </cell>
        </row>
        <row r="32">
          <cell r="C32">
            <v>1945.4</v>
          </cell>
          <cell r="D32">
            <v>2251.0500000000002</v>
          </cell>
          <cell r="E32">
            <v>2606.8000000000002</v>
          </cell>
          <cell r="F32">
            <v>3033.25</v>
          </cell>
          <cell r="G32">
            <v>3765.9500000000003</v>
          </cell>
          <cell r="H32">
            <v>4701.9000000000005</v>
          </cell>
          <cell r="I32">
            <v>5710.8</v>
          </cell>
          <cell r="J32">
            <v>6995.8</v>
          </cell>
          <cell r="K32">
            <v>8351.5500000000011</v>
          </cell>
        </row>
        <row r="46">
          <cell r="C46">
            <v>1995.8000000000002</v>
          </cell>
          <cell r="D46">
            <v>2319.35</v>
          </cell>
          <cell r="E46">
            <v>2725.5</v>
          </cell>
          <cell r="F46">
            <v>3175.05</v>
          </cell>
          <cell r="G46">
            <v>3958.2000000000003</v>
          </cell>
          <cell r="H46">
            <v>4951.9000000000005</v>
          </cell>
          <cell r="I46">
            <v>6101.55</v>
          </cell>
          <cell r="J46">
            <v>7524.1500000000005</v>
          </cell>
          <cell r="K46">
            <v>8907.25</v>
          </cell>
        </row>
        <row r="60">
          <cell r="C60">
            <v>2042</v>
          </cell>
          <cell r="D60">
            <v>2409.7000000000003</v>
          </cell>
          <cell r="E60">
            <v>2838.9</v>
          </cell>
          <cell r="F60">
            <v>3338.9500000000003</v>
          </cell>
          <cell r="G60">
            <v>4298.5</v>
          </cell>
          <cell r="H60">
            <v>5337.4000000000005</v>
          </cell>
          <cell r="I60">
            <v>6566.85</v>
          </cell>
          <cell r="J60">
            <v>8085.05</v>
          </cell>
          <cell r="K60">
            <v>9622.5500000000011</v>
          </cell>
        </row>
        <row r="74">
          <cell r="C74">
            <v>2121.85</v>
          </cell>
          <cell r="D74">
            <v>2489.5</v>
          </cell>
          <cell r="E74">
            <v>2975.5</v>
          </cell>
          <cell r="F74">
            <v>3497.55</v>
          </cell>
          <cell r="G74">
            <v>4469.75</v>
          </cell>
          <cell r="H74">
            <v>5689.25</v>
          </cell>
          <cell r="I74">
            <v>7026.9500000000007</v>
          </cell>
          <cell r="J74">
            <v>8681.65</v>
          </cell>
          <cell r="K74">
            <v>10296.900000000001</v>
          </cell>
        </row>
      </sheetData>
      <sheetData sheetId="54">
        <row r="19">
          <cell r="C19">
            <v>1349.1000000000001</v>
          </cell>
          <cell r="D19">
            <v>1515.3000000000002</v>
          </cell>
          <cell r="E19">
            <v>1828.9</v>
          </cell>
          <cell r="F19">
            <v>2009.3500000000001</v>
          </cell>
          <cell r="G19">
            <v>2200.5500000000002</v>
          </cell>
          <cell r="H19">
            <v>2460.5</v>
          </cell>
          <cell r="I19">
            <v>3187.3</v>
          </cell>
          <cell r="J19">
            <v>3625.4500000000003</v>
          </cell>
          <cell r="K19">
            <v>4122.8</v>
          </cell>
          <cell r="L19">
            <v>5049.3500000000004</v>
          </cell>
          <cell r="M19">
            <v>5679.6</v>
          </cell>
        </row>
        <row r="34">
          <cell r="C34">
            <v>1349.1000000000001</v>
          </cell>
          <cell r="D34">
            <v>1515.3000000000002</v>
          </cell>
          <cell r="E34">
            <v>1828.9</v>
          </cell>
          <cell r="F34">
            <v>2009.3500000000001</v>
          </cell>
          <cell r="G34">
            <v>2200.5500000000002</v>
          </cell>
          <cell r="H34">
            <v>2460.5</v>
          </cell>
          <cell r="I34">
            <v>3187.3</v>
          </cell>
          <cell r="J34">
            <v>3706.6000000000004</v>
          </cell>
          <cell r="K34">
            <v>4399.45</v>
          </cell>
          <cell r="L34">
            <v>5210.55</v>
          </cell>
          <cell r="M34">
            <v>6096.6500000000005</v>
          </cell>
        </row>
        <row r="49">
          <cell r="C49">
            <v>1349.1000000000001</v>
          </cell>
          <cell r="D49">
            <v>1515.3000000000002</v>
          </cell>
          <cell r="E49">
            <v>1828.9</v>
          </cell>
          <cell r="F49">
            <v>2009.3500000000001</v>
          </cell>
          <cell r="G49">
            <v>2200.5500000000002</v>
          </cell>
          <cell r="H49">
            <v>2481.3000000000002</v>
          </cell>
          <cell r="I49">
            <v>3234.1000000000004</v>
          </cell>
          <cell r="J49">
            <v>3914.6000000000004</v>
          </cell>
          <cell r="K49">
            <v>4666.75</v>
          </cell>
          <cell r="L49">
            <v>5553.75</v>
          </cell>
          <cell r="M49">
            <v>6507.4500000000007</v>
          </cell>
        </row>
        <row r="64">
          <cell r="C64">
            <v>1349.1000000000001</v>
          </cell>
          <cell r="D64">
            <v>1515.3000000000002</v>
          </cell>
          <cell r="E64">
            <v>1828.9</v>
          </cell>
          <cell r="F64">
            <v>2009.3500000000001</v>
          </cell>
          <cell r="G64">
            <v>2219.3000000000002</v>
          </cell>
          <cell r="H64">
            <v>2584.25</v>
          </cell>
          <cell r="I64">
            <v>3381.75</v>
          </cell>
          <cell r="J64">
            <v>4122.6000000000004</v>
          </cell>
          <cell r="K64">
            <v>4925.7000000000007</v>
          </cell>
          <cell r="L64">
            <v>5887.6</v>
          </cell>
          <cell r="M64">
            <v>6908.9000000000005</v>
          </cell>
        </row>
        <row r="79">
          <cell r="C79">
            <v>1349.1000000000001</v>
          </cell>
          <cell r="D79">
            <v>1515.3000000000002</v>
          </cell>
          <cell r="E79">
            <v>1828.9</v>
          </cell>
          <cell r="F79">
            <v>2009.3500000000001</v>
          </cell>
          <cell r="G79">
            <v>2302.5</v>
          </cell>
          <cell r="H79">
            <v>2687.2000000000003</v>
          </cell>
          <cell r="I79">
            <v>3538.8</v>
          </cell>
          <cell r="J79">
            <v>4331.6000000000004</v>
          </cell>
          <cell r="K79">
            <v>5198.1500000000005</v>
          </cell>
          <cell r="L79">
            <v>6212.1</v>
          </cell>
          <cell r="M79">
            <v>7321.8</v>
          </cell>
        </row>
        <row r="94">
          <cell r="C94">
            <v>1349.1000000000001</v>
          </cell>
          <cell r="D94">
            <v>1515.3000000000002</v>
          </cell>
          <cell r="E94">
            <v>1828.9</v>
          </cell>
          <cell r="F94">
            <v>2094.65</v>
          </cell>
          <cell r="G94">
            <v>2395.0500000000002</v>
          </cell>
          <cell r="H94">
            <v>2801.6000000000004</v>
          </cell>
          <cell r="I94">
            <v>3683.3500000000004</v>
          </cell>
          <cell r="J94">
            <v>4539.6000000000004</v>
          </cell>
          <cell r="K94">
            <v>5563.2000000000007</v>
          </cell>
          <cell r="L94">
            <v>6574</v>
          </cell>
          <cell r="M94">
            <v>7939.55</v>
          </cell>
        </row>
        <row r="109">
          <cell r="C109">
            <v>1349.1000000000001</v>
          </cell>
          <cell r="D109">
            <v>1544.4</v>
          </cell>
          <cell r="E109">
            <v>1865.3000000000002</v>
          </cell>
          <cell r="F109">
            <v>2160.15</v>
          </cell>
          <cell r="G109">
            <v>2478.25</v>
          </cell>
          <cell r="H109">
            <v>2924.3500000000004</v>
          </cell>
          <cell r="I109">
            <v>3847.7000000000003</v>
          </cell>
          <cell r="J109">
            <v>4814.2</v>
          </cell>
          <cell r="K109">
            <v>5832.55</v>
          </cell>
          <cell r="L109">
            <v>7103.35</v>
          </cell>
          <cell r="M109">
            <v>8445</v>
          </cell>
        </row>
        <row r="124">
          <cell r="C124">
            <v>1349.1000000000001</v>
          </cell>
          <cell r="D124">
            <v>1601.6000000000001</v>
          </cell>
          <cell r="E124">
            <v>1926.65</v>
          </cell>
          <cell r="F124">
            <v>2237.1</v>
          </cell>
          <cell r="G124">
            <v>2571.8500000000004</v>
          </cell>
          <cell r="H124">
            <v>3014.8</v>
          </cell>
          <cell r="I124">
            <v>4007.8500000000004</v>
          </cell>
          <cell r="J124">
            <v>4998.25</v>
          </cell>
          <cell r="K124">
            <v>6255.85</v>
          </cell>
          <cell r="L124">
            <v>7502.75</v>
          </cell>
          <cell r="M124">
            <v>9176.1</v>
          </cell>
        </row>
        <row r="139">
          <cell r="C139">
            <v>1359.5</v>
          </cell>
          <cell r="D139">
            <v>1624.5</v>
          </cell>
          <cell r="E139">
            <v>1970.3500000000001</v>
          </cell>
          <cell r="F139">
            <v>2303.65</v>
          </cell>
          <cell r="G139">
            <v>2656.1000000000004</v>
          </cell>
          <cell r="H139">
            <v>3217.6000000000004</v>
          </cell>
          <cell r="I139">
            <v>3186.25</v>
          </cell>
          <cell r="J139">
            <v>2096.65</v>
          </cell>
          <cell r="K139">
            <v>6525.2000000000007</v>
          </cell>
          <cell r="L139">
            <v>7862.55</v>
          </cell>
          <cell r="M139">
            <v>9571.3000000000011</v>
          </cell>
        </row>
        <row r="154">
          <cell r="C154">
            <v>1399.0500000000002</v>
          </cell>
          <cell r="D154">
            <v>1671.3000000000002</v>
          </cell>
          <cell r="E154">
            <v>2015.0500000000002</v>
          </cell>
          <cell r="F154">
            <v>2542.8500000000004</v>
          </cell>
          <cell r="G154">
            <v>2829.75</v>
          </cell>
          <cell r="H154">
            <v>3329.9500000000003</v>
          </cell>
          <cell r="I154">
            <v>4354.1500000000005</v>
          </cell>
          <cell r="J154">
            <v>5452.75</v>
          </cell>
          <cell r="K154">
            <v>6822.6500000000005</v>
          </cell>
          <cell r="L154">
            <v>8259.85</v>
          </cell>
          <cell r="M154">
            <v>10094.400000000001</v>
          </cell>
        </row>
      </sheetData>
      <sheetData sheetId="55">
        <row r="9">
          <cell r="C9">
            <v>350</v>
          </cell>
        </row>
      </sheetData>
      <sheetData sheetId="56">
        <row r="9">
          <cell r="C9">
            <v>350</v>
          </cell>
        </row>
      </sheetData>
      <sheetData sheetId="57">
        <row r="9">
          <cell r="C9">
            <v>350</v>
          </cell>
        </row>
      </sheetData>
      <sheetData sheetId="58">
        <row r="9">
          <cell r="C9">
            <v>350</v>
          </cell>
        </row>
      </sheetData>
      <sheetData sheetId="59">
        <row r="9">
          <cell r="C9">
            <v>350</v>
          </cell>
        </row>
      </sheetData>
      <sheetData sheetId="60">
        <row r="9">
          <cell r="C9">
            <v>350</v>
          </cell>
        </row>
      </sheetData>
      <sheetData sheetId="61">
        <row r="9">
          <cell r="C9">
            <v>350</v>
          </cell>
        </row>
      </sheetData>
      <sheetData sheetId="62">
        <row r="9">
          <cell r="C9">
            <v>350</v>
          </cell>
        </row>
      </sheetData>
      <sheetData sheetId="63">
        <row r="9">
          <cell r="C9">
            <v>350</v>
          </cell>
        </row>
      </sheetData>
      <sheetData sheetId="64">
        <row r="9">
          <cell r="C9">
            <v>350</v>
          </cell>
        </row>
      </sheetData>
      <sheetData sheetId="65">
        <row r="9">
          <cell r="C9">
            <v>350</v>
          </cell>
        </row>
      </sheetData>
      <sheetData sheetId="66">
        <row r="9">
          <cell r="C9">
            <v>350</v>
          </cell>
        </row>
      </sheetData>
      <sheetData sheetId="67">
        <row r="9">
          <cell r="C9">
            <v>350</v>
          </cell>
        </row>
      </sheetData>
      <sheetData sheetId="68">
        <row r="9">
          <cell r="C9">
            <v>350</v>
          </cell>
        </row>
      </sheetData>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ow r="9">
          <cell r="C9">
            <v>350</v>
          </cell>
        </row>
      </sheetData>
      <sheetData sheetId="110">
        <row r="9">
          <cell r="C9">
            <v>350</v>
          </cell>
        </row>
      </sheetData>
      <sheetData sheetId="111">
        <row r="9">
          <cell r="C9">
            <v>350</v>
          </cell>
        </row>
      </sheetData>
      <sheetData sheetId="112">
        <row r="9">
          <cell r="C9">
            <v>350</v>
          </cell>
        </row>
      </sheetData>
      <sheetData sheetId="113">
        <row r="9">
          <cell r="C9">
            <v>350</v>
          </cell>
        </row>
      </sheetData>
      <sheetData sheetId="114">
        <row r="9">
          <cell r="C9">
            <v>350</v>
          </cell>
        </row>
      </sheetData>
      <sheetData sheetId="115">
        <row r="9">
          <cell r="C9">
            <v>350</v>
          </cell>
        </row>
      </sheetData>
      <sheetData sheetId="116">
        <row r="9">
          <cell r="C9">
            <v>350</v>
          </cell>
        </row>
      </sheetData>
      <sheetData sheetId="117">
        <row r="9">
          <cell r="C9">
            <v>350</v>
          </cell>
        </row>
      </sheetData>
      <sheetData sheetId="118">
        <row r="9">
          <cell r="C9">
            <v>350</v>
          </cell>
        </row>
      </sheetData>
      <sheetData sheetId="119">
        <row r="9">
          <cell r="C9">
            <v>350</v>
          </cell>
        </row>
      </sheetData>
      <sheetData sheetId="120">
        <row r="9">
          <cell r="C9">
            <v>350</v>
          </cell>
        </row>
      </sheetData>
      <sheetData sheetId="121">
        <row r="9">
          <cell r="C9">
            <v>350</v>
          </cell>
        </row>
      </sheetData>
      <sheetData sheetId="122">
        <row r="9">
          <cell r="C9">
            <v>350</v>
          </cell>
        </row>
      </sheetData>
      <sheetData sheetId="123">
        <row r="9">
          <cell r="C9">
            <v>350</v>
          </cell>
        </row>
      </sheetData>
      <sheetData sheetId="124">
        <row r="9">
          <cell r="C9">
            <v>350</v>
          </cell>
        </row>
      </sheetData>
      <sheetData sheetId="125">
        <row r="9">
          <cell r="C9">
            <v>350</v>
          </cell>
        </row>
      </sheetData>
      <sheetData sheetId="126">
        <row r="9">
          <cell r="C9">
            <v>350</v>
          </cell>
        </row>
      </sheetData>
      <sheetData sheetId="127">
        <row r="9">
          <cell r="C9">
            <v>350</v>
          </cell>
        </row>
      </sheetData>
      <sheetData sheetId="128">
        <row r="9">
          <cell r="C9">
            <v>350</v>
          </cell>
        </row>
      </sheetData>
      <sheetData sheetId="129">
        <row r="9">
          <cell r="C9">
            <v>350</v>
          </cell>
        </row>
      </sheetData>
      <sheetData sheetId="130">
        <row r="9">
          <cell r="C9">
            <v>350</v>
          </cell>
        </row>
      </sheetData>
      <sheetData sheetId="131">
        <row r="9">
          <cell r="C9">
            <v>350</v>
          </cell>
        </row>
      </sheetData>
      <sheetData sheetId="132">
        <row r="9">
          <cell r="C9">
            <v>350</v>
          </cell>
        </row>
      </sheetData>
      <sheetData sheetId="133">
        <row r="9">
          <cell r="C9">
            <v>350</v>
          </cell>
        </row>
      </sheetData>
      <sheetData sheetId="134">
        <row r="9">
          <cell r="C9">
            <v>350</v>
          </cell>
        </row>
      </sheetData>
      <sheetData sheetId="135">
        <row r="9">
          <cell r="C9">
            <v>350</v>
          </cell>
        </row>
      </sheetData>
      <sheetData sheetId="136">
        <row r="9">
          <cell r="C9">
            <v>350</v>
          </cell>
        </row>
      </sheetData>
      <sheetData sheetId="137">
        <row r="9">
          <cell r="C9">
            <v>350</v>
          </cell>
        </row>
      </sheetData>
      <sheetData sheetId="138">
        <row r="9">
          <cell r="C9">
            <v>350</v>
          </cell>
        </row>
      </sheetData>
      <sheetData sheetId="139">
        <row r="9">
          <cell r="C9">
            <v>350</v>
          </cell>
        </row>
      </sheetData>
      <sheetData sheetId="140">
        <row r="9">
          <cell r="C9">
            <v>350</v>
          </cell>
        </row>
      </sheetData>
      <sheetData sheetId="141">
        <row r="9">
          <cell r="C9">
            <v>350</v>
          </cell>
        </row>
      </sheetData>
      <sheetData sheetId="142">
        <row r="9">
          <cell r="C9">
            <v>350</v>
          </cell>
        </row>
      </sheetData>
      <sheetData sheetId="143">
        <row r="9">
          <cell r="C9">
            <v>350</v>
          </cell>
        </row>
      </sheetData>
      <sheetData sheetId="144">
        <row r="9">
          <cell r="C9">
            <v>350</v>
          </cell>
        </row>
      </sheetData>
      <sheetData sheetId="145">
        <row r="9">
          <cell r="C9">
            <v>350</v>
          </cell>
        </row>
      </sheetData>
      <sheetData sheetId="146">
        <row r="9">
          <cell r="C9">
            <v>350</v>
          </cell>
        </row>
      </sheetData>
      <sheetData sheetId="147">
        <row r="9">
          <cell r="C9">
            <v>350</v>
          </cell>
        </row>
      </sheetData>
      <sheetData sheetId="148">
        <row r="9">
          <cell r="C9">
            <v>350</v>
          </cell>
        </row>
      </sheetData>
      <sheetData sheetId="149">
        <row r="9">
          <cell r="C9">
            <v>350</v>
          </cell>
        </row>
      </sheetData>
      <sheetData sheetId="150">
        <row r="9">
          <cell r="C9">
            <v>350</v>
          </cell>
        </row>
      </sheetData>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S"/>
      <sheetName val="Taps"/>
      <sheetName val="CR"/>
      <sheetName val="Sheet1"/>
      <sheetName val="Data"/>
      <sheetName val="r"/>
      <sheetName val="MRATES"/>
      <sheetName val="BOXCELL"/>
      <sheetName val="BOXCULVERT"/>
      <sheetName val="Cut Fill"/>
      <sheetName val="FORM5"/>
      <sheetName val="Habitation"/>
      <sheetName val="Rate"/>
      <sheetName val="Maintenance"/>
      <sheetName val="Population"/>
      <sheetName val="Proforma B"/>
      <sheetName val="RET "/>
      <sheetName val="TOE"/>
      <sheetName val="Traffic"/>
      <sheetName val="Tree_Enu"/>
      <sheetName val="BWSCPlt"/>
      <sheetName val="CI"/>
      <sheetName val="DI"/>
      <sheetName val="G.R.P"/>
      <sheetName val="HDPE"/>
      <sheetName val="PSC REVISED"/>
      <sheetName val="pvc"/>
      <sheetName val="maya"/>
      <sheetName val="Abs"/>
      <sheetName val="Lead"/>
      <sheetName val="Labour"/>
      <sheetName val="Material"/>
      <sheetName val="Plant &amp;  Machinery"/>
      <sheetName val="t_prsr"/>
      <sheetName val="id"/>
      <sheetName val="data existing_do not delete"/>
      <sheetName val="C-data"/>
      <sheetName val="pvc_basic"/>
      <sheetName val="Lead statement"/>
      <sheetName val="GROUND FLOOR"/>
      <sheetName val="Legal Risk Analysis"/>
      <sheetName val="MTC-estimate"/>
      <sheetName val="Bitumen trunk"/>
      <sheetName val="Feeder"/>
      <sheetName val="R99 etc"/>
      <sheetName val="Trunk unpaved"/>
      <sheetName val="Bridge Data 2005-06"/>
      <sheetName val="BALAN1"/>
      <sheetName val="lead-st"/>
      <sheetName val="rdamdata"/>
      <sheetName val="DATA_PRG"/>
      <sheetName val="v"/>
      <sheetName val="inWords"/>
      <sheetName val="segments-details"/>
      <sheetName val="int-Dia-hdpe"/>
      <sheetName val="int-Dia-pvc"/>
      <sheetName val="Usage"/>
      <sheetName val="General"/>
      <sheetName val="Common "/>
      <sheetName val="wh_data_R"/>
      <sheetName val="wh_data"/>
      <sheetName val="CPHEEO"/>
      <sheetName val="input"/>
      <sheetName val="TBAL9697 -group wise  sdpl"/>
      <sheetName val="p&amp;m"/>
      <sheetName val="Staff Acco."/>
      <sheetName val="Work_sheet"/>
      <sheetName val="gen"/>
      <sheetName val="Road data"/>
      <sheetName val="Road Detail Est."/>
      <sheetName val="BTR"/>
      <sheetName val="GenAbst"/>
      <sheetName val="Rates"/>
      <sheetName val="abs road"/>
      <sheetName val="RMR"/>
      <sheetName val="R_Det"/>
      <sheetName val="0000000000000"/>
      <sheetName val="mlead"/>
      <sheetName val="other rates"/>
      <sheetName val="Line"/>
      <sheetName val="Gen Info"/>
      <sheetName val="basdat"/>
      <sheetName val="hdpe_basic"/>
      <sheetName val="Boq Block A"/>
      <sheetName val="sand"/>
      <sheetName val="Specification"/>
      <sheetName val="leads"/>
      <sheetName val="Cut_Fill"/>
      <sheetName val="Proforma_B"/>
      <sheetName val="RET_"/>
      <sheetName val="G_R_P"/>
      <sheetName val="PSC_REVISED"/>
      <sheetName val="Plant_&amp;__Machinery"/>
      <sheetName val="data_existing_do_not_delete"/>
      <sheetName val="Lead_statement"/>
      <sheetName val="GROUND_FLOOR"/>
      <sheetName val="Legal_Risk_Analysis"/>
      <sheetName val="Bitumen_trunk"/>
      <sheetName val="R99_etc"/>
      <sheetName val="Trunk_unpaved"/>
      <sheetName val="Bridge_Data_2005-06"/>
      <sheetName val="BTR (2)"/>
      <sheetName val="Specification report"/>
      <sheetName val="Data.F8.BTR"/>
      <sheetName val="pvc-pipe-rates"/>
      <sheetName val="Gen_Abs"/>
      <sheetName val="Intput"/>
      <sheetName val="Well"/>
      <sheetName val="Load"/>
      <sheetName val="DATA-BASE"/>
      <sheetName val="DATA-ABSTRACT"/>
      <sheetName val="habs-list"/>
      <sheetName val="Marteru"/>
      <sheetName val="Levels"/>
      <sheetName val="BOQ"/>
      <sheetName val="G.O MS 35"/>
      <sheetName val="CC"/>
      <sheetName val="Materials"/>
      <sheetName val="TS memo"/>
      <sheetName val="coverpage"/>
      <sheetName val="PUMP_DATA"/>
    </sheetNames>
    <sheetDataSet>
      <sheetData sheetId="0">
        <row r="19">
          <cell r="A19" t="str">
            <v>C.C (1:3:6) Mix  using 40mm  H.B.G metal including cost &amp; conveyance of all materials and labour charges seigniorage charges etc complete.</v>
          </cell>
        </row>
      </sheetData>
      <sheetData sheetId="1"/>
      <sheetData sheetId="2"/>
      <sheetData sheetId="3" refreshError="1">
        <row r="19">
          <cell r="A19" t="str">
            <v>C.C (1:3:6) Mix  using 40mm  H.B.G metal including cost &amp; conveyance of all materials and labour charges seigniorage charges etc complete.</v>
          </cell>
        </row>
        <row r="20">
          <cell r="A20">
            <v>0</v>
          </cell>
        </row>
        <row r="21">
          <cell r="A21" t="str">
            <v xml:space="preserve">C.C (1:3:6) Mix using 20mm  H.B.G metal including cost &amp; conveyance of all materials and labour charges seigniorage charges etc complete.  </v>
          </cell>
        </row>
        <row r="22">
          <cell r="A22">
            <v>0</v>
          </cell>
        </row>
        <row r="98">
          <cell r="B98" t="str">
            <v>63MM dia PVC Saddle</v>
          </cell>
        </row>
        <row r="99">
          <cell r="B99" t="str">
            <v>75MM dia PVC Saddle</v>
          </cell>
        </row>
        <row r="100">
          <cell r="B100" t="str">
            <v>90MM dia PVC Saddle</v>
          </cell>
        </row>
        <row r="101">
          <cell r="B101" t="str">
            <v>110MM  dia PVC Saddle</v>
          </cell>
        </row>
        <row r="102">
          <cell r="B102" t="str">
            <v>180MM  dia PVC Saddle</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r"/>
      <sheetName val="RMR"/>
      <sheetName val="coverpage"/>
      <sheetName val="R_Det"/>
      <sheetName val="Road data"/>
      <sheetName val="Staff Acco_"/>
      <sheetName val="Staff Acco."/>
      <sheetName val="m"/>
      <sheetName val="Sheet1"/>
      <sheetName val="Bridge Data 2005-06"/>
      <sheetName val="GROUND FLOOR"/>
      <sheetName val="MRATES"/>
      <sheetName val="Data.F8.BTR"/>
      <sheetName val="C-data"/>
      <sheetName val="Usage"/>
      <sheetName val="Common "/>
      <sheetName val="General"/>
      <sheetName val="mlead"/>
      <sheetName val="abs road"/>
      <sheetName val="t_prsr"/>
      <sheetName val="id"/>
      <sheetName val="sch"/>
      <sheetName val="Material"/>
      <sheetName val="BWSCPlt"/>
      <sheetName val="CI"/>
      <sheetName val="DI"/>
      <sheetName val="G.R.P"/>
      <sheetName val="HDPE"/>
      <sheetName val="PSC REVISED"/>
      <sheetName val="pvc"/>
      <sheetName val="Main sheet"/>
      <sheetName val="Legal Risk Analysis"/>
      <sheetName val="CC Road"/>
      <sheetName val="Lead statement"/>
      <sheetName val="PH High Lift Sump@SS.Tank-D"/>
      <sheetName val="Road Detail Est."/>
      <sheetName val="INPUT-DATA"/>
      <sheetName val="factors"/>
      <sheetName val="Boq Block A"/>
      <sheetName val="Work_sheet"/>
      <sheetName val="SSR 2014-15 Rates"/>
      <sheetName val="estimate "/>
      <sheetName val="segments-details"/>
      <sheetName val="int-Dia-hdpe"/>
      <sheetName val="int-Dia-pvc"/>
      <sheetName val="TBAL9697 -group wise  sdpl"/>
      <sheetName val="dBase"/>
      <sheetName val="DATA_PRG"/>
      <sheetName val="Sheet2"/>
      <sheetName val="Lead "/>
      <sheetName val="Data EW"/>
      <sheetName val="Labour"/>
      <sheetName val="Plant &amp;  Machinery"/>
      <sheetName val="data existing_do not delete"/>
      <sheetName val="pvc_basic"/>
      <sheetName val="Levels"/>
      <sheetName val="Lead"/>
      <sheetName val="Leads"/>
      <sheetName val="v"/>
      <sheetName val="p&amp;m"/>
      <sheetName val="doq"/>
      <sheetName val="Process"/>
      <sheetName val="Road_data"/>
      <sheetName val="Staff_Acco_"/>
      <sheetName val="Bridge_Data_2005-06"/>
      <sheetName val="Staff_Acco_1"/>
      <sheetName val="GROUND_FLOOR"/>
      <sheetName val="Data_F8_BTR"/>
      <sheetName val="Common_"/>
      <sheetName val="abs_road"/>
      <sheetName val="G_R_P"/>
      <sheetName val="PSC_REVISED"/>
      <sheetName val="Legal_Risk_Analysis"/>
      <sheetName val="Main_sheet"/>
      <sheetName val="CC_Road"/>
      <sheetName val="Lead_statement"/>
      <sheetName val="SSR_2014-15_Rates"/>
      <sheetName val="estimate_"/>
      <sheetName val="PH_High_Lift_Sump@SS_Tank-D"/>
      <sheetName val="Road_Detail_Est_"/>
      <sheetName val="MTC-estimate"/>
      <sheetName val="other rates"/>
      <sheetName val="Bitumen trunk"/>
      <sheetName val="Feeder"/>
      <sheetName val="R99 etc"/>
      <sheetName val="Trunk unpaved"/>
      <sheetName val="C&amp;S monthwise"/>
      <sheetName val="WT AVG LEAD"/>
      <sheetName val="EDWise"/>
      <sheetName val="maya"/>
      <sheetName val="sup dat"/>
      <sheetName val="Sheet3"/>
      <sheetName val="CCTV_EST1"/>
      <sheetName val="Abs"/>
      <sheetName val="habs-list"/>
      <sheetName val="C&amp;S"/>
      <sheetName val="Materials"/>
    </sheetNames>
    <sheetDataSet>
      <sheetData sheetId="0" refreshError="1">
        <row r="2">
          <cell r="D2" t="str">
            <v>CONST.OF 2V RCC SLAB CULVERT AT 6/1 to 6/2 KM</v>
          </cell>
        </row>
        <row r="59">
          <cell r="H59">
            <v>1301.2611040000002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sheetData sheetId="73"/>
      <sheetData sheetId="74"/>
      <sheetData sheetId="75"/>
      <sheetData sheetId="76"/>
      <sheetData sheetId="77"/>
      <sheetData sheetId="78" refreshError="1"/>
      <sheetData sheetId="79"/>
      <sheetData sheetId="80"/>
      <sheetData sheetId="81"/>
      <sheetData sheetId="82"/>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ssr common"/>
      <sheetName val="Sheet4"/>
      <sheetName val="leads"/>
      <sheetName val="Sheet11"/>
      <sheetName val="PL"/>
      <sheetName val="Sheet10"/>
      <sheetName val="master lead"/>
      <sheetName val="Sheet5"/>
      <sheetName val="conveyance common"/>
      <sheetName val="Sheet6"/>
      <sheetName val="handling common"/>
      <sheetName val="labour charges 2005-06"/>
      <sheetName val="Sheet2"/>
      <sheetName val="Sheet7"/>
      <sheetName val="data existing_do not delete"/>
      <sheetName val="Sheet8"/>
      <sheetName val="background data"/>
      <sheetName val="Rotary bore well source"/>
      <sheetName val="Sheet9"/>
      <sheetName val="ohsr verticals 20 9.55 "/>
      <sheetName val="verticals jointing 20kl 9.55"/>
      <sheetName val="lead 20kl ohsr"/>
      <sheetName val="data 20kl ohsr"/>
      <sheetName val="vc 150mm 20kl ohsr"/>
      <sheetName val="20kl ohsr item wise"/>
      <sheetName val="master data"/>
      <sheetName val="lpm inlet relation"/>
      <sheetName val="ohsr litre rate estimate"/>
      <sheetName val="ohsr vertical specials data"/>
      <sheetName val="ohsr verticals jointing"/>
      <sheetName val="ohsr litre rate data"/>
      <sheetName val="lead vc ohsr"/>
      <sheetName val="data vc ohsr"/>
      <sheetName val="vc ohsr"/>
      <sheetName val="lead vc pipe line"/>
      <sheetName val="data vc pipe line"/>
      <sheetName val="vc 150 pipe line estimate"/>
      <sheetName val="pipe line sub estimate"/>
      <sheetName val="pvc pipe line data"/>
      <sheetName val="std flange dimensions"/>
      <sheetName val="lead_pipe lines"/>
      <sheetName val="pvc pipes rates dgs d formula"/>
      <sheetName val="general abstract"/>
      <sheetName val="cover page"/>
      <sheetName val="pvc pipe details"/>
      <sheetName val="hydraulic designs"/>
      <sheetName val="Filter point"/>
      <sheetName val="pedestal "/>
      <sheetName val="pumpset submersible"/>
      <sheetName val="Sheet1"/>
      <sheetName val="c"/>
      <sheetName val="co"/>
      <sheetName val="con"/>
      <sheetName val="common conveyance"/>
      <sheetName val="ssr "/>
      <sheetName val="Hleads"/>
      <sheetName val="Haleads"/>
      <sheetName val="Hableads"/>
      <sheetName val="Hab leads"/>
      <sheetName val="lead"/>
      <sheetName val="data existing_do not delet"/>
      <sheetName val="data existing_do not dele"/>
      <sheetName val="data existing_do not del"/>
      <sheetName val="data existing_do not de"/>
      <sheetName val="data existing_do not d"/>
      <sheetName val="data existing_do not "/>
      <sheetName val="data existing_do not"/>
      <sheetName val="data existing_do no"/>
      <sheetName val="data existing_do n"/>
      <sheetName val="data existing_do "/>
      <sheetName val="data existing_do"/>
      <sheetName val="data existing_d"/>
      <sheetName val="data existing_"/>
      <sheetName val="data existing"/>
      <sheetName val="data existin"/>
      <sheetName val="data existi"/>
      <sheetName val="data exist"/>
      <sheetName val="data exis"/>
      <sheetName val="data exi"/>
      <sheetName val="data ex"/>
      <sheetName val="data e"/>
      <sheetName val="data "/>
      <sheetName val="data"/>
      <sheetName val="data1"/>
      <sheetName val="ata1"/>
      <sheetName val="dat"/>
      <sheetName val="da"/>
      <sheetName val="d"/>
      <sheetName val=""/>
      <sheetName val="master lead1"/>
      <sheetName val="master ead1"/>
      <sheetName val="maste Lead1"/>
      <sheetName val="mast Lead1"/>
      <sheetName val="mas Lead1"/>
      <sheetName val="ma Lead1"/>
      <sheetName val="m Lead1"/>
      <sheetName val=" Lead1"/>
      <sheetName val="maste lead"/>
      <sheetName val="mast lead"/>
      <sheetName val="mas lead"/>
      <sheetName val="ma lead"/>
      <sheetName val="m lead"/>
      <sheetName val=" lead"/>
      <sheetName val="cover pag"/>
      <sheetName val="cover pa"/>
      <sheetName val="cover p"/>
      <sheetName val="cover "/>
      <sheetName val="cover"/>
      <sheetName val="cove"/>
      <sheetName val="cov"/>
      <sheetName val="master leadO"/>
      <sheetName val="master lead-O"/>
      <sheetName val="maste Lead-O"/>
      <sheetName val="mast Lead-O"/>
      <sheetName val="mas Lead-O"/>
      <sheetName val="ma Lead-O"/>
      <sheetName val="m Lead-O"/>
      <sheetName val=" Lead-O"/>
      <sheetName val="r"/>
      <sheetName val="Bridge Data 2005-06"/>
      <sheetName val="banilad"/>
      <sheetName val="Mactan"/>
      <sheetName val="Mandaue"/>
      <sheetName val="Plant &amp;  Machinery"/>
      <sheetName val="Specification report"/>
      <sheetName val="Material"/>
      <sheetName val="MTC-estimate"/>
      <sheetName val="Gen Abs"/>
      <sheetName val="other rates"/>
      <sheetName val="m"/>
      <sheetName val="Rates SSR 2008-09"/>
      <sheetName val="Data.F8.BTR"/>
      <sheetName val="Labour"/>
      <sheetName val="Bitumen trunk"/>
      <sheetName val="Feeder"/>
      <sheetName val="R99 etc"/>
      <sheetName val="Trunk unpaved"/>
      <sheetName val="Work_sheet"/>
      <sheetName val="RMR"/>
      <sheetName val="coverpage"/>
      <sheetName val="R_Det"/>
      <sheetName val="Road data"/>
      <sheetName val="2006-07 estimate"/>
      <sheetName val="Lead statement"/>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rdamdata"/>
      <sheetName val="lead-st"/>
      <sheetName val="abs road"/>
      <sheetName val="Works - Quote Sheet"/>
      <sheetName val="TOP SLAB-beams"/>
      <sheetName val="v"/>
      <sheetName val="DATA_PRG"/>
      <sheetName val="Class IV Qtr. Ele"/>
      <sheetName val="t_prsr"/>
      <sheetName val="id"/>
      <sheetName val="HDPE"/>
      <sheetName val="DI"/>
      <sheetName val="pvc"/>
      <sheetName val="pvc_basic"/>
      <sheetName val="hdpe_basic"/>
      <sheetName val="C-data"/>
      <sheetName val="GN-ST-10"/>
      <sheetName val="Levels"/>
      <sheetName val="GF SB Ok "/>
      <sheetName val="Estimate "/>
      <sheetName val="p&amp;m"/>
      <sheetName val="Boq Block A"/>
      <sheetName val="Staff Acco."/>
      <sheetName val="Legal Risk Analysis"/>
      <sheetName val="C.R G.F"/>
      <sheetName val="#REF"/>
      <sheetName val="Nspt-smp-final-ORIGINAL"/>
      <sheetName val="Data_Base"/>
      <sheetName val="SUMP1420KL@HW"/>
      <sheetName val="wh"/>
      <sheetName val="MASTER"/>
      <sheetName val="QTY-CRUST-SR"/>
      <sheetName val="CROSS-SECTION"/>
      <sheetName val="QTY-CRUST-MCW"/>
      <sheetName val="AV-HDPE"/>
      <sheetName val="Di_gate-HDPE"/>
      <sheetName val="analysis"/>
      <sheetName val="Bed Class"/>
      <sheetName val="Cd"/>
      <sheetName val="Staff Acco_"/>
      <sheetName val="DATA-2005-06"/>
      <sheetName val="_5wgdhabfinal00_01"/>
      <sheetName val="CI"/>
      <sheetName val="G.R.P"/>
      <sheetName val="PSC REVISED"/>
      <sheetName val="MRATES"/>
      <sheetName val="Suppl-data"/>
      <sheetName val="SSR"/>
      <sheetName val="Labels"/>
      <sheetName val="DATA SHEET FOR 2016-17"/>
      <sheetName val="maya"/>
      <sheetName val="BM-HOOP"/>
      <sheetName val="Basicrates"/>
      <sheetName val="mlead"/>
      <sheetName val="sup dat"/>
      <sheetName val="Global factors"/>
      <sheetName val="hdpe weights"/>
      <sheetName val="PVC weights"/>
      <sheetName val="index"/>
      <sheetName val="COST"/>
      <sheetName val="basdat"/>
      <sheetName val="CONNECT"/>
      <sheetName val="mlead "/>
      <sheetName val="C.D.Abs.Est."/>
      <sheetName val="GR.slab-reinft"/>
      <sheetName val="Bill-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2">
          <cell r="D2" t="str">
            <v>cc(1:2:4)</v>
          </cell>
        </row>
        <row r="3">
          <cell r="D3" t="str">
            <v>cc(1:3:6)</v>
          </cell>
        </row>
        <row r="4">
          <cell r="D4" t="str">
            <v>cc(1:4:8)</v>
          </cell>
        </row>
        <row r="5">
          <cell r="D5" t="str">
            <v>cc(1:5:10)</v>
          </cell>
        </row>
        <row r="6">
          <cell r="D6" t="str">
            <v>cc(1:5:8)</v>
          </cell>
        </row>
        <row r="7">
          <cell r="D7" t="str">
            <v>cc(1:6:10)</v>
          </cell>
        </row>
        <row r="14">
          <cell r="D14" t="str">
            <v>8mm</v>
          </cell>
          <cell r="F14" t="str">
            <v>RCC(1:2:4)</v>
          </cell>
          <cell r="G14" t="str">
            <v>RCC(1:2:4)</v>
          </cell>
        </row>
        <row r="15">
          <cell r="D15" t="str">
            <v>12mm</v>
          </cell>
          <cell r="F15" t="str">
            <v>RCC(1:1.5:3)</v>
          </cell>
          <cell r="G15" t="str">
            <v>RCC(1:1.5:3)</v>
          </cell>
        </row>
        <row r="16">
          <cell r="D16" t="str">
            <v>20mm</v>
          </cell>
          <cell r="G16" t="str">
            <v>VRCC(1:2:4)</v>
          </cell>
        </row>
        <row r="17">
          <cell r="G17" t="str">
            <v>VRCC(1:1.5:3)</v>
          </cell>
        </row>
        <row r="27">
          <cell r="A27" t="str">
            <v>0.00-4.00m</v>
          </cell>
        </row>
        <row r="28">
          <cell r="A28" t="str">
            <v>4.00-6.00m</v>
          </cell>
        </row>
        <row r="29">
          <cell r="A29" t="str">
            <v>6.00-8.00m</v>
          </cell>
        </row>
        <row r="30">
          <cell r="A30" t="str">
            <v>8.00-10.00m</v>
          </cell>
        </row>
        <row r="31">
          <cell r="A31" t="str">
            <v>10.00-12.00m</v>
          </cell>
        </row>
        <row r="32">
          <cell r="A32" t="str">
            <v>12.00-14.00m</v>
          </cell>
        </row>
        <row r="33">
          <cell r="A33" t="str">
            <v>14.00-16.00m</v>
          </cell>
        </row>
        <row r="34">
          <cell r="A34" t="str">
            <v>16.00-18.00m</v>
          </cell>
        </row>
        <row r="35">
          <cell r="A35" t="str">
            <v>18.00-20.00m</v>
          </cell>
        </row>
        <row r="36">
          <cell r="A36" t="str">
            <v>20.00-22.00m</v>
          </cell>
        </row>
        <row r="37">
          <cell r="A37" t="str">
            <v>22.00-24.00m</v>
          </cell>
        </row>
        <row r="38">
          <cell r="A38" t="str">
            <v>24.00-26.00m</v>
          </cell>
        </row>
        <row r="39">
          <cell r="A39" t="str">
            <v>26.00-28.00m</v>
          </cell>
        </row>
        <row r="40">
          <cell r="A40" t="str">
            <v>28.00-30.00m</v>
          </cell>
        </row>
        <row r="43">
          <cell r="A43" t="str">
            <v>0.00-5.00m</v>
          </cell>
        </row>
        <row r="44">
          <cell r="A44" t="str">
            <v>5.00-8.00m</v>
          </cell>
        </row>
        <row r="45">
          <cell r="A45" t="str">
            <v>8.00-11.00m</v>
          </cell>
        </row>
        <row r="46">
          <cell r="A46" t="str">
            <v>11.00-14.00m</v>
          </cell>
        </row>
        <row r="47">
          <cell r="A47" t="str">
            <v>14.00-17.00m</v>
          </cell>
        </row>
        <row r="48">
          <cell r="A48" t="str">
            <v>17.00-20.00m</v>
          </cell>
        </row>
        <row r="49">
          <cell r="A49" t="str">
            <v>20.00-23.00m</v>
          </cell>
        </row>
        <row r="50">
          <cell r="A50" t="str">
            <v>23.00-26.00m</v>
          </cell>
        </row>
        <row r="51">
          <cell r="A51" t="str">
            <v>26.00-29.00m</v>
          </cell>
        </row>
        <row r="52">
          <cell r="A52" t="str">
            <v>29.00-32.00m</v>
          </cell>
        </row>
        <row r="53">
          <cell r="A53" t="str">
            <v>32.00-35.00m</v>
          </cell>
        </row>
        <row r="54">
          <cell r="A54" t="str">
            <v>35.00-38.00m</v>
          </cell>
        </row>
        <row r="98">
          <cell r="A98">
            <v>0.6</v>
          </cell>
        </row>
        <row r="99">
          <cell r="A99">
            <v>0.8</v>
          </cell>
        </row>
        <row r="100">
          <cell r="A100">
            <v>1</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
      <sheetName val="1"/>
      <sheetName val="2A"/>
      <sheetName val="2B"/>
      <sheetName val="2C"/>
      <sheetName val="2D"/>
      <sheetName val="2E"/>
      <sheetName val="2F"/>
      <sheetName val="2G"/>
      <sheetName val="2H"/>
      <sheetName val="3A"/>
      <sheetName val="3B"/>
      <sheetName val="4"/>
      <sheetName val="5"/>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10"/>
      <sheetName val="11"/>
      <sheetName val="12"/>
      <sheetName val="13"/>
      <sheetName val="14"/>
      <sheetName val="DATA"/>
      <sheetName val="Sheet1"/>
      <sheetName val="data existing_do not delete"/>
      <sheetName val="Bridge Data 2005-06"/>
      <sheetName val="p&amp;m"/>
      <sheetName val="Boq (Main Building)"/>
      <sheetName val="Staff Acco_"/>
      <sheetName val="Mactan"/>
      <sheetName val="Mandaue"/>
      <sheetName val="C&amp;S monthwise"/>
      <sheetName val="General"/>
      <sheetName val="Staff Acco."/>
      <sheetName val="Boq"/>
      <sheetName val="Data-Road "/>
      <sheetName val="Side Drains"/>
      <sheetName val="DATA-CD "/>
      <sheetName val="Retaining walls "/>
      <sheetName val="banilad"/>
      <sheetName val="BWSCPlt"/>
      <sheetName val="CI"/>
      <sheetName val="DI"/>
      <sheetName val="G.R.P"/>
      <sheetName val="HDPE"/>
      <sheetName val="PSC REVISED"/>
      <sheetName val="pv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ead statement"/>
      <sheetName val="SSR 2010-11 Rates"/>
      <sheetName val="Hire charges"/>
      <sheetName val="centering"/>
      <sheetName val="40KL-250KL Estimate &amp; data"/>
      <sheetName val="CI specials for OHSR"/>
      <sheetName val="DATA"/>
      <sheetName val="TBAL9697 -group wise  sdpl"/>
      <sheetName val="p&amp;m"/>
      <sheetName val="segments-details"/>
      <sheetName val="int-Dia-hdpe"/>
      <sheetName val="habs-list"/>
      <sheetName val="int-Dia-pvc"/>
      <sheetName val="gen"/>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comp-st(GEN)"/>
      <sheetName val="CD_Data"/>
    </sheetNames>
    <sheetDataSet>
      <sheetData sheetId="0"/>
      <sheetData sheetId="1" refreshError="1">
        <row r="6">
          <cell r="P6">
            <v>291.45999999999998</v>
          </cell>
        </row>
        <row r="19">
          <cell r="P19">
            <v>4400</v>
          </cell>
        </row>
      </sheetData>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int-Dia-hdpe"/>
      <sheetName val="int-Dia-pvc"/>
      <sheetName val="segments-details"/>
      <sheetName val="habs-list"/>
      <sheetName val="hyd-DESIGN"/>
      <sheetName val="LWL"/>
      <sheetName val="duty"/>
      <sheetName val="MWL"/>
      <sheetName val="water-pros-ultimate-rate"/>
      <sheetName val="water"/>
      <sheetName val="water-ultimater"/>
      <sheetName val="RAMAPPA-Out Flow"/>
      <sheetName val="chart-RAMAPPA-OUT-flow"/>
      <sheetName val="Chart1-habs"/>
      <sheetName val="Chart1-habs-MAIN"/>
      <sheetName val="PIVOT"/>
      <sheetName val="ce-revised"/>
      <sheetName val="Sheet1"/>
      <sheetName val="RMR"/>
      <sheetName val="RAMAPPA-Out_Flow"/>
      <sheetName val="detls"/>
      <sheetName val="t_prsr"/>
      <sheetName val="Nspt-smp-final-ORIGINAL"/>
      <sheetName val="MRATES"/>
      <sheetName val="Specification report"/>
      <sheetName val="int_Dia_hdpe"/>
      <sheetName val="int_Dia_pvc"/>
      <sheetName val="segments_details"/>
      <sheetName val="habs_list"/>
      <sheetName val="Sheet1 (2)"/>
      <sheetName val="DATA"/>
      <sheetName val="id"/>
      <sheetName val="Common "/>
      <sheetName val="Data.F8.BTR"/>
      <sheetName val="Lead statement"/>
      <sheetName val="GF SB Ok "/>
      <sheetName val="Bitumen trunk"/>
      <sheetName val="Feeder"/>
      <sheetName val="R99 etc"/>
      <sheetName val="Trunk unpaved"/>
      <sheetName val="BWSCPlt"/>
      <sheetName val="CI"/>
      <sheetName val="DI"/>
      <sheetName val="G.R.P"/>
      <sheetName val="HDPE"/>
      <sheetName val="PSC REVISED"/>
      <sheetName val="pvc"/>
      <sheetName val="LEAD"/>
      <sheetName val="Class IV Qtr. Ele"/>
      <sheetName val="Road data"/>
      <sheetName val="abs road"/>
      <sheetName val="coverpage"/>
      <sheetName val="Abs"/>
      <sheetName val="Sheet2"/>
      <sheetName val="PUMP_DATA"/>
      <sheetName val="gen"/>
      <sheetName val="leads"/>
      <sheetName val="DATA_PRG"/>
      <sheetName val="wh_data_R"/>
      <sheetName val="WATER-HAMMER"/>
      <sheetName val="DATA-BASE"/>
      <sheetName val="DATA-ABSTRACT"/>
      <sheetName val="3405-2014"/>
      <sheetName val="Qty"/>
      <sheetName val="Lead Distance"/>
      <sheetName val="hdpe weights"/>
      <sheetName val="C-data"/>
      <sheetName val="pvc_basic"/>
      <sheetName val="hdpe_basic"/>
      <sheetName val="Staff Acco."/>
      <sheetName val="data existing_do not delete"/>
      <sheetName val="Material"/>
      <sheetName val="TBAL9697 -group wise  sdpl"/>
      <sheetName val="Main sheet"/>
      <sheetName val="p&amp;m"/>
      <sheetName val="data-WS &amp; Sanitary-18-19."/>
      <sheetName val="PVC_dia"/>
      <sheetName val="PH data"/>
      <sheetName val="Work_sheet"/>
      <sheetName val="wh"/>
      <sheetName val="pumping main"/>
      <sheetName val="AV-HDPE"/>
      <sheetName val="Di_gate-HDPE"/>
      <sheetName val="zone-8"/>
      <sheetName val="MHNO_LEV"/>
      <sheetName val="nodes"/>
      <sheetName val="int-Dia"/>
      <sheetName val="co_5"/>
      <sheetName val="Buildings"/>
      <sheetName val="Labour"/>
      <sheetName val="inWords"/>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DATA-2005-06"/>
      <sheetName val="RAMAPPA-Out_Flow1"/>
      <sheetName val="Specification_report"/>
      <sheetName val="Sheet1_(2)"/>
      <sheetName val="Common_"/>
      <sheetName val="Data_F8_BTR"/>
      <sheetName val="Lead_statement"/>
      <sheetName val="GF_SB_Ok_"/>
      <sheetName val="Bitumen_trunk"/>
      <sheetName val="R99_etc"/>
      <sheetName val="Trunk_unpaved"/>
      <sheetName val="G_R_P"/>
      <sheetName val="PSC_REVISED"/>
      <sheetName val="Class_IV_Qtr__Ele"/>
      <sheetName val="Road_data"/>
      <sheetName val="abs_road"/>
      <sheetName val=" "/>
      <sheetName val="Usage"/>
      <sheetName val="General"/>
      <sheetName val="Summary"/>
      <sheetName val="v"/>
      <sheetName val="GROUND"/>
      <sheetName val="habs-details"/>
      <sheetName val="hab-details"/>
      <sheetName val="ENTRY"/>
      <sheetName val="INPUT"/>
      <sheetName val="Cover Page"/>
      <sheetName val="Design"/>
      <sheetName val="Abs working"/>
      <sheetName val="OHSR"/>
      <sheetName val="OHSR-COMP"/>
      <sheetName val="DISTRIBUTION"/>
      <sheetName val="Dist working"/>
      <sheetName val="OFC working"/>
      <sheetName val="House Hold working"/>
      <sheetName val="HHC COMP"/>
      <sheetName val="Levels"/>
      <sheetName val="ssr-rates"/>
      <sheetName val="DATA SHEET"/>
      <sheetName val="PVC weights"/>
      <sheetName val="m1"/>
      <sheetName val="Plant &amp;  Machinery"/>
      <sheetName val="BM-HOOP"/>
      <sheetName val="Habcodes"/>
      <sheetName val="index"/>
      <sheetName val="r"/>
      <sheetName val="l"/>
      <sheetName val="GM&amp;PM EST"/>
      <sheetName val="water-hammar-strenght"/>
      <sheetName val="Civil Works"/>
      <sheetName val="SUMP1420KL@HW"/>
      <sheetName val="SEGMENTS "/>
      <sheetName val="SubAnlysis"/>
      <sheetName val="Lead_Distance"/>
      <sheetName val="hdpe_weights"/>
      <sheetName val="TBAL9697_-group_wise__sdpl"/>
      <sheetName val="Staff_Acco_"/>
      <sheetName val="data_existing_do_not_delete"/>
      <sheetName val="Main_sheet"/>
      <sheetName val="data-WS_&amp;_Sanitary-18-19_"/>
      <sheetName val="PH_data"/>
      <sheetName val="pumping_main"/>
      <sheetName val="HPC Bill (1) 1st"/>
      <sheetName val="m"/>
      <sheetName val="Estimate"/>
      <sheetName val="1V800"/>
      <sheetName val="HEAD"/>
      <sheetName val="maya"/>
      <sheetName val="DISCOUNT"/>
      <sheetName val="VC rate"/>
      <sheetName val="labour rates"/>
      <sheetName val="I-CO"/>
      <sheetName val="Bridge Data 2005-06"/>
      <sheetName val="Sheet3"/>
      <sheetName val="comp-st(GEN)"/>
      <sheetName val="pop"/>
      <sheetName val="JAWAHAR-hyd-original"/>
      <sheetName val="CD_Data"/>
      <sheetName val="Z1_DATA"/>
      <sheetName val="zone-2"/>
      <sheetName val="hdpe-rates"/>
      <sheetName val="HDPE-pipe-rates"/>
      <sheetName val="pvc-rates"/>
      <sheetName val="pvc-pipe-rates"/>
      <sheetName val="Lookup"/>
      <sheetName val="C.D.Abs.Est."/>
      <sheetName val="D1_CO"/>
      <sheetName val="D2_CO"/>
      <sheetName val="Lead statement ss5"/>
      <sheetName val="Central Lightening Estimate Arg"/>
      <sheetName val="_5wgdhabfinal00_01"/>
      <sheetName val="rdamdata"/>
      <sheetName val="lead-st"/>
      <sheetName val="economic PM"/>
      <sheetName val="Mp-team 1"/>
      <sheetName val="PM&amp;GM"/>
      <sheetName val="AV-DI"/>
      <sheetName val="DIgate_PVC "/>
      <sheetName val="scour-DI-CI"/>
      <sheetName val="scour-pvc-hdpe-psc-bwsc"/>
      <sheetName val="mlead"/>
      <sheetName val="CC Road"/>
      <sheetName val="CPHEEO"/>
      <sheetName val="wh_data"/>
      <sheetName val="bom"/>
      <sheetName val="Road Detail Est."/>
      <sheetName val="mlead "/>
      <sheetName val="R_Det"/>
      <sheetName val="Global factors"/>
      <sheetName val="Cover"/>
      <sheetName val="AOR"/>
      <sheetName val="GA"/>
      <sheetName val="TOP SLAB-beams"/>
      <sheetName val="Works"/>
    </sheetNames>
    <sheetDataSet>
      <sheetData sheetId="0">
        <row r="3">
          <cell r="C3">
            <v>25</v>
          </cell>
        </row>
      </sheetData>
      <sheetData sheetId="1" refreshError="1">
        <row r="3">
          <cell r="C3">
            <v>25</v>
          </cell>
          <cell r="E3">
            <v>19</v>
          </cell>
          <cell r="F3">
            <v>19</v>
          </cell>
          <cell r="G3">
            <v>19</v>
          </cell>
          <cell r="H3">
            <v>19</v>
          </cell>
        </row>
        <row r="4">
          <cell r="C4">
            <v>32</v>
          </cell>
          <cell r="E4">
            <v>27.8</v>
          </cell>
          <cell r="F4">
            <v>27.8</v>
          </cell>
          <cell r="G4">
            <v>26.7</v>
          </cell>
          <cell r="H4">
            <v>25.6</v>
          </cell>
        </row>
        <row r="5">
          <cell r="C5">
            <v>40</v>
          </cell>
          <cell r="E5">
            <v>34.9</v>
          </cell>
          <cell r="F5">
            <v>34.9</v>
          </cell>
          <cell r="G5">
            <v>33.5</v>
          </cell>
          <cell r="H5">
            <v>32</v>
          </cell>
        </row>
        <row r="6">
          <cell r="C6">
            <v>50</v>
          </cell>
          <cell r="E6">
            <v>45</v>
          </cell>
          <cell r="F6">
            <v>43.8</v>
          </cell>
          <cell r="G6">
            <v>41.8</v>
          </cell>
          <cell r="H6">
            <v>40</v>
          </cell>
        </row>
        <row r="7">
          <cell r="C7">
            <v>63</v>
          </cell>
          <cell r="E7">
            <v>56</v>
          </cell>
          <cell r="F7">
            <v>54.6</v>
          </cell>
          <cell r="G7">
            <v>52.9</v>
          </cell>
          <cell r="H7">
            <v>49.8</v>
          </cell>
        </row>
        <row r="8">
          <cell r="C8">
            <v>75</v>
          </cell>
          <cell r="E8">
            <v>66.599999999999994</v>
          </cell>
          <cell r="F8">
            <v>65.2</v>
          </cell>
          <cell r="G8">
            <v>63</v>
          </cell>
          <cell r="H8">
            <v>59.4</v>
          </cell>
        </row>
        <row r="9">
          <cell r="C9">
            <v>90</v>
          </cell>
          <cell r="E9">
            <v>80</v>
          </cell>
          <cell r="F9">
            <v>78.400000000000006</v>
          </cell>
          <cell r="G9">
            <v>75.7</v>
          </cell>
          <cell r="H9">
            <v>71.400000000000006</v>
          </cell>
        </row>
        <row r="10">
          <cell r="C10">
            <v>110</v>
          </cell>
          <cell r="E10">
            <v>98</v>
          </cell>
          <cell r="F10">
            <v>95.8</v>
          </cell>
          <cell r="G10">
            <v>92.5</v>
          </cell>
          <cell r="H10">
            <v>87.6</v>
          </cell>
        </row>
        <row r="11">
          <cell r="C11">
            <v>125</v>
          </cell>
          <cell r="E11">
            <v>111.4</v>
          </cell>
          <cell r="F11">
            <v>109</v>
          </cell>
          <cell r="G11">
            <v>105.2</v>
          </cell>
          <cell r="H11">
            <v>99.4</v>
          </cell>
        </row>
        <row r="12">
          <cell r="C12">
            <v>140</v>
          </cell>
          <cell r="E12">
            <v>124.8</v>
          </cell>
          <cell r="F12">
            <v>122</v>
          </cell>
          <cell r="G12">
            <v>117.9</v>
          </cell>
          <cell r="H12">
            <v>111.4</v>
          </cell>
        </row>
        <row r="13">
          <cell r="C13">
            <v>160</v>
          </cell>
          <cell r="E13">
            <v>142.80000000000001</v>
          </cell>
          <cell r="F13">
            <v>139.6</v>
          </cell>
          <cell r="G13">
            <v>134.80000000000001</v>
          </cell>
          <cell r="H13">
            <v>127.4</v>
          </cell>
        </row>
        <row r="14">
          <cell r="C14">
            <v>180</v>
          </cell>
          <cell r="E14">
            <v>160.6</v>
          </cell>
          <cell r="F14">
            <v>157</v>
          </cell>
          <cell r="G14">
            <v>151.6</v>
          </cell>
          <cell r="H14">
            <v>143.4</v>
          </cell>
        </row>
        <row r="15">
          <cell r="C15">
            <v>200</v>
          </cell>
          <cell r="E15">
            <v>178.6</v>
          </cell>
          <cell r="F15">
            <v>174.6</v>
          </cell>
          <cell r="G15">
            <v>168.5</v>
          </cell>
          <cell r="H15">
            <v>159.4</v>
          </cell>
        </row>
        <row r="16">
          <cell r="C16">
            <v>225</v>
          </cell>
          <cell r="E16">
            <v>201</v>
          </cell>
          <cell r="F16">
            <v>196.4</v>
          </cell>
          <cell r="G16">
            <v>187.9</v>
          </cell>
          <cell r="H16">
            <v>179.4</v>
          </cell>
        </row>
        <row r="17">
          <cell r="C17">
            <v>250</v>
          </cell>
          <cell r="E17">
            <v>223.4</v>
          </cell>
          <cell r="F17">
            <v>218.4</v>
          </cell>
          <cell r="G17">
            <v>208.9</v>
          </cell>
          <cell r="H17">
            <v>199.4</v>
          </cell>
        </row>
        <row r="18">
          <cell r="C18">
            <v>280</v>
          </cell>
          <cell r="E18">
            <v>250.2</v>
          </cell>
          <cell r="F18">
            <v>244.6</v>
          </cell>
          <cell r="G18">
            <v>234</v>
          </cell>
          <cell r="H18">
            <v>223.4</v>
          </cell>
        </row>
        <row r="19">
          <cell r="C19">
            <v>315</v>
          </cell>
          <cell r="E19">
            <v>281.60000000000002</v>
          </cell>
          <cell r="F19">
            <v>275</v>
          </cell>
          <cell r="G19">
            <v>263.2</v>
          </cell>
          <cell r="H19">
            <v>251.4</v>
          </cell>
        </row>
        <row r="20">
          <cell r="C20">
            <v>355</v>
          </cell>
          <cell r="E20">
            <v>317.39999999999998</v>
          </cell>
          <cell r="F20">
            <v>310.39999999999998</v>
          </cell>
          <cell r="G20">
            <v>296.89999999999998</v>
          </cell>
          <cell r="H20">
            <v>283.39999999999998</v>
          </cell>
        </row>
        <row r="21">
          <cell r="C21">
            <v>400</v>
          </cell>
          <cell r="E21">
            <v>355.8</v>
          </cell>
          <cell r="F21">
            <v>347.4</v>
          </cell>
          <cell r="G21">
            <v>331.6</v>
          </cell>
          <cell r="H21">
            <v>315.8</v>
          </cell>
        </row>
        <row r="22">
          <cell r="C22">
            <v>500</v>
          </cell>
          <cell r="E22">
            <v>500</v>
          </cell>
          <cell r="F22">
            <v>500</v>
          </cell>
          <cell r="G22">
            <v>500</v>
          </cell>
          <cell r="H22">
            <v>500</v>
          </cell>
        </row>
        <row r="23">
          <cell r="C23">
            <v>600</v>
          </cell>
          <cell r="E23">
            <v>600</v>
          </cell>
          <cell r="F23">
            <v>600</v>
          </cell>
          <cell r="G23">
            <v>600</v>
          </cell>
          <cell r="H23">
            <v>600</v>
          </cell>
        </row>
        <row r="24">
          <cell r="C24">
            <v>700</v>
          </cell>
          <cell r="E24">
            <v>700</v>
          </cell>
          <cell r="F24">
            <v>700</v>
          </cell>
          <cell r="G24">
            <v>700</v>
          </cell>
          <cell r="H24">
            <v>700</v>
          </cell>
        </row>
        <row r="25">
          <cell r="C25">
            <v>800</v>
          </cell>
          <cell r="E25">
            <v>800</v>
          </cell>
          <cell r="F25">
            <v>800</v>
          </cell>
          <cell r="G25">
            <v>800</v>
          </cell>
          <cell r="H25">
            <v>800</v>
          </cell>
        </row>
        <row r="26">
          <cell r="C26">
            <v>900</v>
          </cell>
          <cell r="E26">
            <v>900</v>
          </cell>
          <cell r="F26">
            <v>900</v>
          </cell>
          <cell r="G26">
            <v>900</v>
          </cell>
          <cell r="H26">
            <v>900</v>
          </cell>
        </row>
        <row r="27">
          <cell r="C27">
            <v>1000</v>
          </cell>
          <cell r="E27">
            <v>1000</v>
          </cell>
          <cell r="F27">
            <v>1000</v>
          </cell>
          <cell r="G27">
            <v>1000</v>
          </cell>
          <cell r="H27">
            <v>1000</v>
          </cell>
        </row>
      </sheetData>
      <sheetData sheetId="2" refreshError="1">
        <row r="3">
          <cell r="C3">
            <v>25</v>
          </cell>
          <cell r="E3">
            <v>19</v>
          </cell>
          <cell r="F3">
            <v>19</v>
          </cell>
          <cell r="G3">
            <v>19</v>
          </cell>
          <cell r="H3">
            <v>19</v>
          </cell>
        </row>
        <row r="4">
          <cell r="C4">
            <v>32</v>
          </cell>
          <cell r="E4">
            <v>27.8</v>
          </cell>
          <cell r="F4">
            <v>27.8</v>
          </cell>
          <cell r="G4">
            <v>25.6</v>
          </cell>
          <cell r="H4">
            <v>25.6</v>
          </cell>
        </row>
        <row r="5">
          <cell r="C5">
            <v>40</v>
          </cell>
          <cell r="E5">
            <v>34.9</v>
          </cell>
          <cell r="F5">
            <v>34.9</v>
          </cell>
          <cell r="G5">
            <v>32</v>
          </cell>
          <cell r="H5">
            <v>32</v>
          </cell>
        </row>
        <row r="6">
          <cell r="C6">
            <v>50</v>
          </cell>
          <cell r="E6">
            <v>45</v>
          </cell>
          <cell r="F6">
            <v>43.8</v>
          </cell>
          <cell r="G6">
            <v>40</v>
          </cell>
          <cell r="H6">
            <v>40</v>
          </cell>
        </row>
        <row r="7">
          <cell r="C7">
            <v>63</v>
          </cell>
          <cell r="E7">
            <v>59.2</v>
          </cell>
          <cell r="F7">
            <v>57.6</v>
          </cell>
          <cell r="G7">
            <v>54.8</v>
          </cell>
          <cell r="H7">
            <v>54.8</v>
          </cell>
        </row>
        <row r="8">
          <cell r="C8">
            <v>75</v>
          </cell>
          <cell r="E8">
            <v>70.599999999999994</v>
          </cell>
          <cell r="F8">
            <v>68.8</v>
          </cell>
          <cell r="G8">
            <v>65.2</v>
          </cell>
          <cell r="H8">
            <v>65.2</v>
          </cell>
        </row>
        <row r="9">
          <cell r="C9">
            <v>90</v>
          </cell>
          <cell r="E9">
            <v>84.8</v>
          </cell>
          <cell r="F9">
            <v>82.6</v>
          </cell>
          <cell r="G9">
            <v>78.599999999999994</v>
          </cell>
          <cell r="H9">
            <v>78.599999999999994</v>
          </cell>
        </row>
        <row r="10">
          <cell r="C10">
            <v>110</v>
          </cell>
          <cell r="E10">
            <v>104</v>
          </cell>
          <cell r="F10">
            <v>101.4</v>
          </cell>
          <cell r="G10">
            <v>95.8</v>
          </cell>
          <cell r="H10">
            <v>95.8</v>
          </cell>
        </row>
        <row r="11">
          <cell r="C11">
            <v>125</v>
          </cell>
          <cell r="E11">
            <v>118.2</v>
          </cell>
          <cell r="F11">
            <v>115</v>
          </cell>
          <cell r="G11">
            <v>109</v>
          </cell>
          <cell r="H11">
            <v>109</v>
          </cell>
        </row>
        <row r="12">
          <cell r="C12">
            <v>140</v>
          </cell>
          <cell r="E12">
            <v>132.80000000000001</v>
          </cell>
          <cell r="F12">
            <v>129</v>
          </cell>
          <cell r="G12">
            <v>122.2</v>
          </cell>
          <cell r="H12">
            <v>122.2</v>
          </cell>
        </row>
        <row r="13">
          <cell r="C13">
            <v>160</v>
          </cell>
          <cell r="E13">
            <v>151.4</v>
          </cell>
          <cell r="F13">
            <v>147.6</v>
          </cell>
          <cell r="G13">
            <v>139.6</v>
          </cell>
          <cell r="H13">
            <v>139.6</v>
          </cell>
        </row>
        <row r="14">
          <cell r="C14">
            <v>180</v>
          </cell>
          <cell r="E14">
            <v>170.2</v>
          </cell>
          <cell r="F14">
            <v>165.8</v>
          </cell>
          <cell r="G14">
            <v>157.19999999999999</v>
          </cell>
          <cell r="H14">
            <v>157.19999999999999</v>
          </cell>
        </row>
        <row r="15">
          <cell r="C15">
            <v>200</v>
          </cell>
          <cell r="E15">
            <v>189.4</v>
          </cell>
          <cell r="F15">
            <v>184.2</v>
          </cell>
          <cell r="G15">
            <v>174.6</v>
          </cell>
          <cell r="H15">
            <v>174.6</v>
          </cell>
        </row>
        <row r="16">
          <cell r="C16">
            <v>225</v>
          </cell>
          <cell r="E16">
            <v>213</v>
          </cell>
          <cell r="F16">
            <v>207.8</v>
          </cell>
          <cell r="G16">
            <v>196.4</v>
          </cell>
          <cell r="H16">
            <v>196.4</v>
          </cell>
        </row>
        <row r="17">
          <cell r="C17">
            <v>250</v>
          </cell>
          <cell r="E17">
            <v>237</v>
          </cell>
          <cell r="F17">
            <v>230.4</v>
          </cell>
          <cell r="G17">
            <v>218.2</v>
          </cell>
          <cell r="H17">
            <v>218.2</v>
          </cell>
        </row>
        <row r="18">
          <cell r="C18">
            <v>280</v>
          </cell>
          <cell r="E18">
            <v>265.2</v>
          </cell>
          <cell r="F18">
            <v>258</v>
          </cell>
          <cell r="G18">
            <v>244.4</v>
          </cell>
          <cell r="H18">
            <v>244.4</v>
          </cell>
        </row>
        <row r="19">
          <cell r="C19">
            <v>315</v>
          </cell>
          <cell r="E19">
            <v>298.39999999999998</v>
          </cell>
          <cell r="F19">
            <v>290.2</v>
          </cell>
          <cell r="G19">
            <v>275.2</v>
          </cell>
          <cell r="H19">
            <v>275.2</v>
          </cell>
        </row>
        <row r="20">
          <cell r="C20">
            <v>400</v>
          </cell>
          <cell r="E20">
            <v>400</v>
          </cell>
          <cell r="F20">
            <v>400</v>
          </cell>
          <cell r="G20">
            <v>400</v>
          </cell>
          <cell r="H20">
            <v>400</v>
          </cell>
        </row>
        <row r="21">
          <cell r="C21">
            <v>450</v>
          </cell>
          <cell r="E21">
            <v>450</v>
          </cell>
          <cell r="F21">
            <v>450</v>
          </cell>
          <cell r="G21">
            <v>450</v>
          </cell>
          <cell r="H21">
            <v>450</v>
          </cell>
        </row>
        <row r="22">
          <cell r="C22">
            <v>500</v>
          </cell>
          <cell r="E22">
            <v>500</v>
          </cell>
          <cell r="F22">
            <v>500</v>
          </cell>
          <cell r="G22">
            <v>500</v>
          </cell>
          <cell r="H22">
            <v>500</v>
          </cell>
        </row>
        <row r="23">
          <cell r="C23">
            <v>600</v>
          </cell>
          <cell r="E23">
            <v>600</v>
          </cell>
          <cell r="F23">
            <v>600</v>
          </cell>
          <cell r="G23">
            <v>600</v>
          </cell>
          <cell r="H23">
            <v>600</v>
          </cell>
        </row>
        <row r="24">
          <cell r="C24">
            <v>700</v>
          </cell>
          <cell r="E24">
            <v>700</v>
          </cell>
          <cell r="F24">
            <v>700</v>
          </cell>
          <cell r="G24">
            <v>700</v>
          </cell>
          <cell r="H24">
            <v>700</v>
          </cell>
        </row>
        <row r="25">
          <cell r="C25">
            <v>800</v>
          </cell>
          <cell r="E25">
            <v>800</v>
          </cell>
          <cell r="F25">
            <v>800</v>
          </cell>
          <cell r="G25">
            <v>800</v>
          </cell>
          <cell r="H25">
            <v>800</v>
          </cell>
        </row>
        <row r="26">
          <cell r="C26">
            <v>900</v>
          </cell>
          <cell r="E26">
            <v>900</v>
          </cell>
          <cell r="F26">
            <v>900</v>
          </cell>
          <cell r="G26">
            <v>900</v>
          </cell>
          <cell r="H26">
            <v>900</v>
          </cell>
        </row>
        <row r="27">
          <cell r="C27">
            <v>1000</v>
          </cell>
          <cell r="E27">
            <v>1000</v>
          </cell>
          <cell r="F27">
            <v>1000</v>
          </cell>
          <cell r="G27">
            <v>1000</v>
          </cell>
          <cell r="H27">
            <v>1000</v>
          </cell>
        </row>
      </sheetData>
      <sheetData sheetId="3" refreshError="1">
        <row r="5">
          <cell r="A5">
            <v>1</v>
          </cell>
          <cell r="B5" t="str">
            <v>A</v>
          </cell>
          <cell r="C5" t="str">
            <v>GLBR top</v>
          </cell>
          <cell r="D5">
            <v>140</v>
          </cell>
        </row>
        <row r="6">
          <cell r="A6">
            <v>2</v>
          </cell>
          <cell r="B6" t="str">
            <v>B</v>
          </cell>
          <cell r="C6" t="str">
            <v>GLBR bottom</v>
          </cell>
          <cell r="D6">
            <v>115</v>
          </cell>
        </row>
        <row r="7">
          <cell r="A7">
            <v>3</v>
          </cell>
          <cell r="B7" t="str">
            <v>C</v>
          </cell>
          <cell r="C7" t="str">
            <v>Goilapalem jn</v>
          </cell>
          <cell r="D7">
            <v>111.84</v>
          </cell>
        </row>
        <row r="8">
          <cell r="A8">
            <v>4</v>
          </cell>
          <cell r="B8" t="str">
            <v>CT1</v>
          </cell>
          <cell r="C8" t="str">
            <v>Goilapalem GLSR X</v>
          </cell>
          <cell r="D8">
            <v>111.84</v>
          </cell>
        </row>
        <row r="9">
          <cell r="A9">
            <v>5</v>
          </cell>
          <cell r="B9">
            <v>1</v>
          </cell>
          <cell r="C9" t="str">
            <v xml:space="preserve">Goilapalem GLSR </v>
          </cell>
          <cell r="D9">
            <v>111.84</v>
          </cell>
        </row>
        <row r="10">
          <cell r="A10">
            <v>6</v>
          </cell>
          <cell r="B10" t="str">
            <v>D</v>
          </cell>
          <cell r="C10" t="str">
            <v>Devipalli JN</v>
          </cell>
          <cell r="D10">
            <v>105.73</v>
          </cell>
        </row>
        <row r="11">
          <cell r="A11">
            <v>7</v>
          </cell>
          <cell r="B11" t="str">
            <v>DA</v>
          </cell>
          <cell r="C11" t="str">
            <v>Devipalli V jn</v>
          </cell>
          <cell r="D11">
            <v>105.73</v>
          </cell>
        </row>
        <row r="12">
          <cell r="A12">
            <v>8</v>
          </cell>
          <cell r="B12" t="str">
            <v>DAT2</v>
          </cell>
          <cell r="C12" t="str">
            <v>Devipalli OHSRX</v>
          </cell>
          <cell r="D12">
            <v>105.73</v>
          </cell>
        </row>
        <row r="13">
          <cell r="A13">
            <v>9</v>
          </cell>
          <cell r="B13">
            <v>2</v>
          </cell>
          <cell r="C13" t="str">
            <v>Devipalli OHSR</v>
          </cell>
          <cell r="D13">
            <v>105.75</v>
          </cell>
        </row>
        <row r="14">
          <cell r="A14">
            <v>10</v>
          </cell>
          <cell r="B14" t="str">
            <v>DB</v>
          </cell>
          <cell r="C14" t="str">
            <v>Raindrum v jn</v>
          </cell>
          <cell r="D14">
            <v>104.65</v>
          </cell>
        </row>
        <row r="15">
          <cell r="A15">
            <v>11</v>
          </cell>
          <cell r="B15" t="str">
            <v>DBT3</v>
          </cell>
          <cell r="C15" t="str">
            <v>Raindrum OHSRX</v>
          </cell>
          <cell r="D15">
            <v>104.77</v>
          </cell>
        </row>
        <row r="16">
          <cell r="A16">
            <v>12</v>
          </cell>
          <cell r="B16">
            <v>3</v>
          </cell>
          <cell r="C16" t="str">
            <v>Raindrum OHSR</v>
          </cell>
          <cell r="D16">
            <v>106.45</v>
          </cell>
        </row>
        <row r="17">
          <cell r="A17">
            <v>13</v>
          </cell>
          <cell r="B17" t="str">
            <v>DBT4</v>
          </cell>
          <cell r="C17" t="str">
            <v>Kanimeruka OHSRX</v>
          </cell>
          <cell r="D17">
            <v>104.33</v>
          </cell>
        </row>
        <row r="18">
          <cell r="A18">
            <v>14</v>
          </cell>
          <cell r="B18">
            <v>4</v>
          </cell>
          <cell r="C18" t="str">
            <v>Kanimeruka OHSR</v>
          </cell>
          <cell r="D18">
            <v>105.35</v>
          </cell>
        </row>
        <row r="19">
          <cell r="A19">
            <v>15</v>
          </cell>
          <cell r="B19" t="str">
            <v>E</v>
          </cell>
          <cell r="C19" t="str">
            <v>Kondavanipalem jn</v>
          </cell>
          <cell r="D19">
            <v>100.78</v>
          </cell>
        </row>
        <row r="20">
          <cell r="A20">
            <v>16</v>
          </cell>
          <cell r="B20" t="str">
            <v>ET5</v>
          </cell>
          <cell r="C20" t="str">
            <v>Kondavanipalem GLSRX</v>
          </cell>
          <cell r="D20">
            <v>105.78</v>
          </cell>
        </row>
        <row r="21">
          <cell r="A21">
            <v>17</v>
          </cell>
          <cell r="B21">
            <v>5</v>
          </cell>
          <cell r="C21" t="str">
            <v>Kondavanipalem GLSR</v>
          </cell>
          <cell r="D21">
            <v>105.78</v>
          </cell>
        </row>
        <row r="22">
          <cell r="A22">
            <v>18</v>
          </cell>
          <cell r="B22" t="str">
            <v>F</v>
          </cell>
          <cell r="C22" t="str">
            <v>Budalanapalli jn</v>
          </cell>
          <cell r="D22">
            <v>98.79</v>
          </cell>
        </row>
        <row r="23">
          <cell r="A23">
            <v>20</v>
          </cell>
          <cell r="B23" t="str">
            <v>FA</v>
          </cell>
          <cell r="C23" t="str">
            <v>Rudrapalem X</v>
          </cell>
          <cell r="D23">
            <v>97.92</v>
          </cell>
        </row>
        <row r="24">
          <cell r="A24">
            <v>21</v>
          </cell>
          <cell r="B24" t="str">
            <v>FAB</v>
          </cell>
          <cell r="C24" t="str">
            <v>Rudrapalem V jn</v>
          </cell>
          <cell r="D24">
            <v>97.62</v>
          </cell>
        </row>
        <row r="25">
          <cell r="A25">
            <v>22</v>
          </cell>
          <cell r="B25" t="str">
            <v>FABT6</v>
          </cell>
          <cell r="C25" t="str">
            <v>Rudrapalem OHSRX</v>
          </cell>
          <cell r="D25">
            <v>97.62</v>
          </cell>
        </row>
        <row r="26">
          <cell r="A26">
            <v>23</v>
          </cell>
          <cell r="B26">
            <v>6</v>
          </cell>
          <cell r="C26" t="str">
            <v>Rudrapalem OHSR</v>
          </cell>
          <cell r="D26">
            <v>97.92</v>
          </cell>
        </row>
        <row r="27">
          <cell r="A27">
            <v>25</v>
          </cell>
          <cell r="B27" t="str">
            <v>FABT7</v>
          </cell>
          <cell r="C27" t="str">
            <v>Barikipala OHSRX</v>
          </cell>
          <cell r="D27">
            <v>97.62</v>
          </cell>
        </row>
        <row r="28">
          <cell r="A28">
            <v>26</v>
          </cell>
          <cell r="B28">
            <v>7</v>
          </cell>
          <cell r="C28" t="str">
            <v>Barikipala OHSR</v>
          </cell>
          <cell r="D28">
            <v>97.55</v>
          </cell>
        </row>
        <row r="29">
          <cell r="A29">
            <v>27</v>
          </cell>
          <cell r="B29" t="str">
            <v>FAC</v>
          </cell>
          <cell r="C29" t="str">
            <v>Kothuru jn</v>
          </cell>
          <cell r="D29">
            <v>95.05</v>
          </cell>
        </row>
        <row r="30">
          <cell r="A30">
            <v>28</v>
          </cell>
          <cell r="B30" t="str">
            <v>FACT8</v>
          </cell>
          <cell r="C30" t="str">
            <v>Kothuru OHSRX</v>
          </cell>
          <cell r="D30">
            <v>95.05</v>
          </cell>
        </row>
        <row r="31">
          <cell r="A31">
            <v>29</v>
          </cell>
          <cell r="B31">
            <v>8</v>
          </cell>
          <cell r="C31" t="str">
            <v>Kothuru OHSR</v>
          </cell>
          <cell r="D31">
            <v>95.45</v>
          </cell>
        </row>
        <row r="32">
          <cell r="A32">
            <v>30</v>
          </cell>
          <cell r="B32" t="str">
            <v>FACT9</v>
          </cell>
          <cell r="C32" t="str">
            <v xml:space="preserve"> B rajeru OHSRX</v>
          </cell>
          <cell r="D32">
            <v>95.05</v>
          </cell>
        </row>
        <row r="33">
          <cell r="A33">
            <v>31</v>
          </cell>
          <cell r="B33">
            <v>9</v>
          </cell>
          <cell r="C33" t="str">
            <v xml:space="preserve"> B rajeru OHSR</v>
          </cell>
          <cell r="D33">
            <v>92.38</v>
          </cell>
        </row>
        <row r="34">
          <cell r="A34">
            <v>32</v>
          </cell>
          <cell r="B34" t="str">
            <v>G</v>
          </cell>
          <cell r="C34" t="str">
            <v>GP Agraharam JN</v>
          </cell>
          <cell r="D34">
            <v>98.63</v>
          </cell>
        </row>
        <row r="35">
          <cell r="A35">
            <v>33</v>
          </cell>
          <cell r="B35" t="str">
            <v>GT10</v>
          </cell>
          <cell r="C35" t="str">
            <v>GP Agraharam OHSRX</v>
          </cell>
          <cell r="D35">
            <v>98.79</v>
          </cell>
        </row>
        <row r="36">
          <cell r="A36">
            <v>34</v>
          </cell>
          <cell r="B36">
            <v>10</v>
          </cell>
          <cell r="C36" t="str">
            <v>GP Agraharam OHSR</v>
          </cell>
          <cell r="D36">
            <v>98.65</v>
          </cell>
        </row>
        <row r="37">
          <cell r="A37">
            <v>35</v>
          </cell>
          <cell r="B37" t="str">
            <v>GT101</v>
          </cell>
          <cell r="C37" t="str">
            <v>Maruwada mid BPTX</v>
          </cell>
          <cell r="D37">
            <v>90</v>
          </cell>
        </row>
        <row r="38">
          <cell r="A38">
            <v>36</v>
          </cell>
          <cell r="B38">
            <v>101</v>
          </cell>
          <cell r="C38" t="str">
            <v>Maruwada mid BPT</v>
          </cell>
          <cell r="D38">
            <v>90</v>
          </cell>
        </row>
        <row r="39">
          <cell r="A39">
            <v>37</v>
          </cell>
          <cell r="B39" t="str">
            <v>XX</v>
          </cell>
          <cell r="C39" t="str">
            <v>Budalanapalli jn BPT</v>
          </cell>
          <cell r="D39">
            <v>90</v>
          </cell>
        </row>
        <row r="40">
          <cell r="A40">
            <v>37</v>
          </cell>
          <cell r="B40" t="str">
            <v>BPT JN</v>
          </cell>
          <cell r="C40" t="str">
            <v>BPT JN</v>
          </cell>
          <cell r="D40">
            <v>90</v>
          </cell>
        </row>
        <row r="41">
          <cell r="A41">
            <v>35</v>
          </cell>
          <cell r="B41" t="str">
            <v>H</v>
          </cell>
          <cell r="C41" t="str">
            <v>Maruwada jn</v>
          </cell>
          <cell r="D41">
            <v>83.98</v>
          </cell>
        </row>
        <row r="42">
          <cell r="A42">
            <v>36</v>
          </cell>
          <cell r="B42" t="str">
            <v>HT11</v>
          </cell>
          <cell r="C42" t="str">
            <v>Maruwada OHSRX</v>
          </cell>
          <cell r="D42">
            <v>84.25</v>
          </cell>
        </row>
        <row r="43">
          <cell r="A43">
            <v>37</v>
          </cell>
          <cell r="B43">
            <v>11</v>
          </cell>
          <cell r="C43" t="str">
            <v>Maruwada OHSR</v>
          </cell>
          <cell r="D43">
            <v>84.25</v>
          </cell>
        </row>
        <row r="44">
          <cell r="A44">
            <v>38</v>
          </cell>
          <cell r="B44" t="str">
            <v>I</v>
          </cell>
          <cell r="C44" t="str">
            <v>M Kothavalasa</v>
          </cell>
          <cell r="D44">
            <v>81</v>
          </cell>
        </row>
        <row r="45">
          <cell r="A45">
            <v>39</v>
          </cell>
          <cell r="B45" t="str">
            <v>IT12</v>
          </cell>
          <cell r="C45" t="str">
            <v>M Kothavalasa</v>
          </cell>
          <cell r="D45">
            <v>81</v>
          </cell>
        </row>
        <row r="46">
          <cell r="A46">
            <v>40</v>
          </cell>
          <cell r="B46">
            <v>12</v>
          </cell>
          <cell r="C46" t="str">
            <v>M Kothavalasa</v>
          </cell>
          <cell r="D46">
            <v>81</v>
          </cell>
        </row>
        <row r="47">
          <cell r="A47">
            <v>41</v>
          </cell>
          <cell r="B47" t="str">
            <v>J</v>
          </cell>
          <cell r="C47" t="str">
            <v>Yedipalem v jn</v>
          </cell>
          <cell r="D47">
            <v>83.16</v>
          </cell>
        </row>
        <row r="48">
          <cell r="A48">
            <v>42</v>
          </cell>
          <cell r="B48" t="str">
            <v>K</v>
          </cell>
          <cell r="C48" t="str">
            <v>Yedipalem jn</v>
          </cell>
          <cell r="D48">
            <v>83.16</v>
          </cell>
        </row>
        <row r="49">
          <cell r="A49">
            <v>43</v>
          </cell>
          <cell r="B49" t="str">
            <v>KT13</v>
          </cell>
          <cell r="C49" t="str">
            <v>Yedipalem OHSRX</v>
          </cell>
          <cell r="D49">
            <v>83.45</v>
          </cell>
        </row>
        <row r="50">
          <cell r="A50">
            <v>44</v>
          </cell>
          <cell r="B50">
            <v>13</v>
          </cell>
          <cell r="C50" t="str">
            <v>Yedipalem OHSR</v>
          </cell>
          <cell r="D50">
            <v>83.45</v>
          </cell>
        </row>
        <row r="51">
          <cell r="A51">
            <v>45</v>
          </cell>
          <cell r="B51" t="str">
            <v>L</v>
          </cell>
          <cell r="C51" t="str">
            <v>Kothapalem jn</v>
          </cell>
          <cell r="D51">
            <v>83.35</v>
          </cell>
        </row>
        <row r="52">
          <cell r="A52">
            <v>46</v>
          </cell>
          <cell r="B52" t="str">
            <v>LT14</v>
          </cell>
          <cell r="C52" t="str">
            <v>Kothapalem OHSRX</v>
          </cell>
          <cell r="D52">
            <v>96.85</v>
          </cell>
        </row>
        <row r="53">
          <cell r="A53">
            <v>47</v>
          </cell>
          <cell r="B53">
            <v>14</v>
          </cell>
          <cell r="C53" t="str">
            <v>Kothapalem OHSR</v>
          </cell>
          <cell r="D53">
            <v>96.85</v>
          </cell>
        </row>
        <row r="54">
          <cell r="A54">
            <v>48</v>
          </cell>
          <cell r="B54" t="str">
            <v>M</v>
          </cell>
          <cell r="C54" t="str">
            <v>Gumada jn</v>
          </cell>
          <cell r="D54">
            <v>86.57</v>
          </cell>
        </row>
        <row r="55">
          <cell r="A55">
            <v>49</v>
          </cell>
          <cell r="B55" t="str">
            <v>MT15</v>
          </cell>
          <cell r="C55" t="str">
            <v>Gumada OHSRX</v>
          </cell>
          <cell r="D55">
            <v>88.75</v>
          </cell>
        </row>
        <row r="56">
          <cell r="A56">
            <v>50</v>
          </cell>
          <cell r="B56">
            <v>15</v>
          </cell>
          <cell r="C56" t="str">
            <v>Gumada OHSR</v>
          </cell>
          <cell r="D56">
            <v>88.75</v>
          </cell>
        </row>
        <row r="57">
          <cell r="A57">
            <v>51</v>
          </cell>
          <cell r="B57" t="str">
            <v>N</v>
          </cell>
          <cell r="C57" t="str">
            <v>Cheedipalem jn</v>
          </cell>
          <cell r="D57">
            <v>86.57</v>
          </cell>
        </row>
        <row r="58">
          <cell r="A58">
            <v>52</v>
          </cell>
          <cell r="B58" t="str">
            <v>NT16</v>
          </cell>
          <cell r="C58" t="str">
            <v>Cheedipalem JNOHSRX</v>
          </cell>
          <cell r="D58">
            <v>86.57</v>
          </cell>
        </row>
        <row r="59">
          <cell r="B59">
            <v>16</v>
          </cell>
          <cell r="C59" t="str">
            <v>Cheedipalem JNOHSR</v>
          </cell>
          <cell r="D59">
            <v>86.57</v>
          </cell>
        </row>
        <row r="60">
          <cell r="A60">
            <v>53</v>
          </cell>
          <cell r="B60" t="str">
            <v>NT17</v>
          </cell>
          <cell r="C60" t="str">
            <v>Gadapapeta OHSRX</v>
          </cell>
          <cell r="D60">
            <v>95.14</v>
          </cell>
        </row>
        <row r="61">
          <cell r="A61">
            <v>54</v>
          </cell>
          <cell r="B61">
            <v>17</v>
          </cell>
          <cell r="C61" t="str">
            <v>Gadapapeta OHSR</v>
          </cell>
          <cell r="D61">
            <v>95.14</v>
          </cell>
        </row>
        <row r="62">
          <cell r="A62">
            <v>55</v>
          </cell>
          <cell r="B62" t="str">
            <v>JA</v>
          </cell>
          <cell r="C62" t="str">
            <v>Kovvadapeta jn</v>
          </cell>
          <cell r="D62">
            <v>89.15</v>
          </cell>
        </row>
        <row r="63">
          <cell r="A63">
            <v>56</v>
          </cell>
          <cell r="B63" t="str">
            <v>JA18</v>
          </cell>
          <cell r="C63" t="str">
            <v>Kovvadapeta OHSRX</v>
          </cell>
          <cell r="D63">
            <v>86.77</v>
          </cell>
        </row>
        <row r="64">
          <cell r="A64">
            <v>57</v>
          </cell>
          <cell r="B64">
            <v>18</v>
          </cell>
          <cell r="C64" t="str">
            <v>Kovvadapeta OHSR</v>
          </cell>
          <cell r="D64">
            <v>86.77</v>
          </cell>
        </row>
        <row r="65">
          <cell r="A65">
            <v>58</v>
          </cell>
          <cell r="B65" t="str">
            <v>JB</v>
          </cell>
          <cell r="C65" t="str">
            <v>Veduruwada jn</v>
          </cell>
          <cell r="D65">
            <v>90.85</v>
          </cell>
        </row>
        <row r="66">
          <cell r="A66">
            <v>59</v>
          </cell>
          <cell r="B66" t="str">
            <v>JBT19</v>
          </cell>
          <cell r="C66" t="str">
            <v>Veduruwada OHSRX</v>
          </cell>
          <cell r="D66">
            <v>91.06</v>
          </cell>
        </row>
        <row r="67">
          <cell r="A67">
            <v>60</v>
          </cell>
          <cell r="B67">
            <v>19</v>
          </cell>
          <cell r="C67" t="str">
            <v>Veduruwada OHSR</v>
          </cell>
          <cell r="D67">
            <v>91.06</v>
          </cell>
        </row>
        <row r="68">
          <cell r="A68">
            <v>61</v>
          </cell>
          <cell r="B68" t="str">
            <v>JC</v>
          </cell>
          <cell r="C68" t="str">
            <v>Paidipeta jn</v>
          </cell>
          <cell r="D68">
            <v>97.3</v>
          </cell>
        </row>
        <row r="69">
          <cell r="A69">
            <v>62</v>
          </cell>
          <cell r="B69" t="str">
            <v>JCT20</v>
          </cell>
          <cell r="C69" t="str">
            <v>Paidipeta OHSRX</v>
          </cell>
          <cell r="D69">
            <v>97.63</v>
          </cell>
        </row>
        <row r="70">
          <cell r="A70">
            <v>63</v>
          </cell>
          <cell r="B70">
            <v>20</v>
          </cell>
          <cell r="C70" t="str">
            <v>Paidipeta OHSR</v>
          </cell>
          <cell r="D70">
            <v>97.63</v>
          </cell>
        </row>
        <row r="71">
          <cell r="A71">
            <v>64</v>
          </cell>
          <cell r="B71" t="str">
            <v>JD</v>
          </cell>
          <cell r="C71" t="str">
            <v>NK palem jn</v>
          </cell>
          <cell r="D71">
            <v>115.65</v>
          </cell>
        </row>
        <row r="72">
          <cell r="A72">
            <v>65</v>
          </cell>
          <cell r="B72" t="str">
            <v>JDT21</v>
          </cell>
          <cell r="C72" t="str">
            <v>NK palem OHSRX</v>
          </cell>
          <cell r="D72">
            <v>115.65</v>
          </cell>
        </row>
        <row r="73">
          <cell r="A73">
            <v>66</v>
          </cell>
          <cell r="B73">
            <v>21</v>
          </cell>
          <cell r="C73" t="str">
            <v>NK palem OHSR</v>
          </cell>
          <cell r="D73">
            <v>115.65</v>
          </cell>
        </row>
        <row r="74">
          <cell r="A74">
            <v>67</v>
          </cell>
          <cell r="B74" t="str">
            <v>JDT22</v>
          </cell>
          <cell r="C74" t="str">
            <v>KP padu OHSRX</v>
          </cell>
          <cell r="D74">
            <v>108.64</v>
          </cell>
        </row>
        <row r="75">
          <cell r="A75">
            <v>68</v>
          </cell>
          <cell r="B75">
            <v>22</v>
          </cell>
          <cell r="C75" t="str">
            <v>KP padu OHSR</v>
          </cell>
          <cell r="D75">
            <v>108.64</v>
          </cell>
        </row>
        <row r="76">
          <cell r="A76">
            <v>62</v>
          </cell>
          <cell r="B76" t="str">
            <v>JCT201</v>
          </cell>
          <cell r="C76" t="str">
            <v>Paidipeta sumpX</v>
          </cell>
          <cell r="D76">
            <v>97.63</v>
          </cell>
        </row>
        <row r="77">
          <cell r="A77">
            <v>63</v>
          </cell>
          <cell r="B77">
            <v>201</v>
          </cell>
          <cell r="C77" t="str">
            <v>Paidipeta sump</v>
          </cell>
          <cell r="D77">
            <v>97.63</v>
          </cell>
        </row>
      </sheetData>
      <sheetData sheetId="4" refreshError="1">
        <row r="5">
          <cell r="B5">
            <v>1</v>
          </cell>
        </row>
        <row r="6">
          <cell r="B6">
            <v>2</v>
          </cell>
        </row>
        <row r="7">
          <cell r="B7">
            <v>3</v>
          </cell>
        </row>
        <row r="8">
          <cell r="B8">
            <v>4</v>
          </cell>
        </row>
        <row r="9">
          <cell r="B9">
            <v>5</v>
          </cell>
        </row>
        <row r="10">
          <cell r="B10">
            <v>6</v>
          </cell>
        </row>
        <row r="11">
          <cell r="B11">
            <v>7</v>
          </cell>
        </row>
        <row r="12">
          <cell r="B12">
            <v>8</v>
          </cell>
        </row>
        <row r="13">
          <cell r="B13">
            <v>9</v>
          </cell>
        </row>
        <row r="14">
          <cell r="B14">
            <v>10</v>
          </cell>
        </row>
        <row r="15">
          <cell r="B15">
            <v>101</v>
          </cell>
        </row>
        <row r="16">
          <cell r="B16">
            <v>11</v>
          </cell>
        </row>
        <row r="17">
          <cell r="B17">
            <v>12</v>
          </cell>
        </row>
        <row r="18">
          <cell r="B18">
            <v>13</v>
          </cell>
        </row>
        <row r="19">
          <cell r="B19">
            <v>14</v>
          </cell>
        </row>
        <row r="20">
          <cell r="B20">
            <v>15</v>
          </cell>
        </row>
        <row r="21">
          <cell r="B21">
            <v>16</v>
          </cell>
        </row>
        <row r="22">
          <cell r="B22">
            <v>17</v>
          </cell>
        </row>
        <row r="23">
          <cell r="B23">
            <v>18</v>
          </cell>
        </row>
        <row r="24">
          <cell r="B24">
            <v>19</v>
          </cell>
        </row>
        <row r="25">
          <cell r="B25">
            <v>201</v>
          </cell>
        </row>
        <row r="26">
          <cell r="B26">
            <v>20</v>
          </cell>
        </row>
        <row r="27">
          <cell r="B27">
            <v>21</v>
          </cell>
        </row>
        <row r="28">
          <cell r="B28">
            <v>22</v>
          </cell>
        </row>
      </sheetData>
      <sheetData sheetId="5"/>
      <sheetData sheetId="6"/>
      <sheetData sheetId="7"/>
      <sheetData sheetId="8"/>
      <sheetData sheetId="9" refreshError="1"/>
      <sheetData sheetId="10"/>
      <sheetData sheetId="11" refreshError="1"/>
      <sheetData sheetId="12"/>
      <sheetData sheetId="13" refreshError="1"/>
      <sheetData sheetId="14" refreshError="1"/>
      <sheetData sheetId="15" refreshError="1"/>
      <sheetData sheetId="16"/>
      <sheetData sheetId="17"/>
      <sheetData sheetId="18"/>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FICATION"/>
      <sheetName val="SHADIKHANA_ESTT"/>
      <sheetName val="DATA_PRG"/>
      <sheetName val="DATA_COPY"/>
      <sheetName val="DATA_PRG _NO_SEIG"/>
      <sheetName val="SA"/>
      <sheetName val="SHEDULE-A"/>
      <sheetName val="segments-details"/>
      <sheetName val="int-Dia-hdpe"/>
      <sheetName val="habs-list"/>
      <sheetName val="int-Dia-pvc"/>
      <sheetName val="C.C. Road"/>
      <sheetName val="SHE-A(CC Road)"/>
      <sheetName val="Cladding"/>
      <sheetName val="SHE-A(Cladding)"/>
      <sheetName val="Dism-Dormi"/>
      <sheetName val="SHE-A(Dis-Dor)"/>
      <sheetName val="Dis-Office, Library"/>
      <sheetName val="SHE-A(Dis-Lib)"/>
      <sheetName val="Drilling-RJC"/>
      <sheetName val="SHE-A(Dril-Kmm)"/>
      <sheetName val="Drilling-NKP"/>
      <sheetName val="SHE-A(Dril-NKP)"/>
      <sheetName val="LEAD"/>
      <sheetName val="C-data"/>
      <sheetName val="E- DATA "/>
      <sheetName val="WS-DATA"/>
      <sheetName val="Civil"/>
      <sheetName val="Ele"/>
      <sheetName val="GEN-ABS"/>
      <sheetName val="SHE-A"/>
      <sheetName val="Conv"/>
      <sheetName val="Basic Data"/>
      <sheetName val="Joinary"/>
      <sheetName val="MRATES"/>
      <sheetName val="C page"/>
      <sheetName val="El Data1"/>
      <sheetName val="C. Wall"/>
      <sheetName val="G-ABS"/>
      <sheetName val="BOQ"/>
      <sheetName val="load1"/>
      <sheetName val="details1"/>
      <sheetName val="data1"/>
      <sheetName val="load"/>
      <sheetName val="details"/>
      <sheetName val="BidRequirement"/>
      <sheetName val="Note"/>
      <sheetName val="obd data"/>
      <sheetName val="Bridge Data 2005-06"/>
      <sheetName val="nodes"/>
      <sheetName val="int-Dia"/>
      <sheetName val="Cover"/>
      <sheetName val="r"/>
      <sheetName val="Specification report"/>
      <sheetName val="DATA-BASE"/>
      <sheetName val="DATA-ABSTRACT"/>
      <sheetName val="GROUND FLOOR"/>
      <sheetName val="Lead statement"/>
      <sheetName val="GF SB Ok "/>
      <sheetName val="Sheet1"/>
      <sheetName val="BWSCPlt"/>
      <sheetName val="CI"/>
      <sheetName val="DI"/>
      <sheetName val="G.R.P"/>
      <sheetName val="HDPE"/>
      <sheetName val="PSC REVISED"/>
      <sheetName val="pvc"/>
      <sheetName val="pvc_basic"/>
      <sheetName val="conveyance"/>
      <sheetName val="Input"/>
      <sheetName val="Civil SSR"/>
      <sheetName val="WS SSR"/>
      <sheetName val="Joinery"/>
      <sheetName val="WS Data"/>
      <sheetName val="GA"/>
      <sheetName val="CVL-ABCD"/>
      <sheetName val="WS-ABCD"/>
      <sheetName val="SUM"/>
      <sheetName val="ABS-CVL-MC"/>
      <sheetName val="MC -WS-Abs"/>
      <sheetName val="MC-Stilt"/>
      <sheetName val="MC-GF"/>
      <sheetName val="MC-FF"/>
      <sheetName val="MC-SF"/>
      <sheetName val="MC-TF"/>
      <sheetName val="MC-Terrace"/>
      <sheetName val="MC-WS-Det "/>
      <sheetName val="SUM-BH"/>
      <sheetName val="ABS-CVL-BH"/>
      <sheetName val="ABS-WS-BH"/>
      <sheetName val="Boys Hos-Stilt"/>
      <sheetName val="Boys Hos-GF"/>
      <sheetName val="Boys-Typ (1 -4)"/>
      <sheetName val="Boys-fifth floor"/>
      <sheetName val="Boys Terrace "/>
      <sheetName val="BH-WS"/>
      <sheetName val="SUM-GH"/>
      <sheetName val="ABS-CVL-GH "/>
      <sheetName val="ABS-WS-GH"/>
      <sheetName val="GH-Stilt "/>
      <sheetName val="GH-GF"/>
      <sheetName val="GH-1st &amp; 2nd"/>
      <sheetName val="GH-3rd"/>
      <sheetName val="GHl-4th "/>
      <sheetName val="GH-5th"/>
      <sheetName val="GH-Terrace"/>
      <sheetName val="GH-WS"/>
      <sheetName val="SUM-TS"/>
      <sheetName val="ABS-CVL-TS"/>
      <sheetName val="Abs-WS-TS"/>
      <sheetName val="TS-Stilt"/>
      <sheetName val="TS-Typical"/>
      <sheetName val="TS-8th"/>
      <sheetName val="TS-Terrace  "/>
      <sheetName val="TS-WS "/>
      <sheetName val="SUM-NTS"/>
      <sheetName val="ABS-CVL-NTS"/>
      <sheetName val="ABS-WS-NTS"/>
      <sheetName val="NTS-Stilt"/>
      <sheetName val="NTS-TYP"/>
      <sheetName val="NTS-Terrace"/>
      <sheetName val="NTS-WS"/>
      <sheetName val="SUM-NQ"/>
      <sheetName val="ABS-CVL-NQ"/>
      <sheetName val="ABS-WS-NQ"/>
      <sheetName val="NQ-Stilt"/>
      <sheetName val="NQ-GF"/>
      <sheetName val="NQ-Typical "/>
      <sheetName val="NQ-Terrace "/>
      <sheetName val="NQ-WS"/>
      <sheetName val="CIVL-ABS(Canteen) "/>
      <sheetName val="Canteen-ABS-WS "/>
      <sheetName val="Canteen GF"/>
      <sheetName val="Canteen-WS-Det  "/>
      <sheetName val="ABS-CVL-Kitchen &amp; Dining"/>
      <sheetName val="KIT-ABS-WS"/>
      <sheetName val="Kitchen"/>
      <sheetName val="Kitchen-WS-Det"/>
      <sheetName val="ABS-Security"/>
      <sheetName val="SEC-ABS-WS"/>
      <sheetName val="Security"/>
      <sheetName val="SEC-WS-Det"/>
      <sheetName val="ABS-(site)"/>
      <sheetName val="Retaining wall"/>
      <sheetName val="M.C ROAD"/>
      <sheetName val="M.C SITE "/>
      <sheetName val="Abs-sump 5.0 lit &amp; Pump)"/>
      <sheetName val="Sump(5.0 Lack Litr &amp; Pump"/>
      <sheetName val="Work_sheet"/>
      <sheetName val="Road data"/>
      <sheetName val="data"/>
      <sheetName val="t_prsr"/>
      <sheetName val="id"/>
      <sheetName val=" "/>
      <sheetName val="RMR"/>
      <sheetName val="EST 17-18 Final (2)"/>
      <sheetName val="BOQ Est-WS "/>
      <sheetName val="BOQ Est-Civil"/>
      <sheetName val="Est-Civil"/>
      <sheetName val="Est-WS"/>
      <sheetName val="EST 17-18 Final"/>
      <sheetName val="Qualification"/>
      <sheetName val="data existing_do not delete"/>
      <sheetName val="Road Detail Est."/>
      <sheetName val="Main sheet"/>
      <sheetName val="0000000000000"/>
      <sheetName val="Civil Works"/>
      <sheetName val="m"/>
      <sheetName val="Abs Estimate CIVIL (2)"/>
      <sheetName val="gen"/>
      <sheetName val="coverpage"/>
      <sheetName val="Labour"/>
      <sheetName val="Civil (2)"/>
      <sheetName val="PH data"/>
      <sheetName val="DataInput"/>
      <sheetName val="DataInput-1"/>
      <sheetName val="Leads"/>
      <sheetName val="DI Rate Analysis"/>
      <sheetName val="Economic RisingMain  Ph-I"/>
      <sheetName val="Data rough"/>
      <sheetName val="Common "/>
      <sheetName val="v"/>
      <sheetName val="Nspt-smp-final-ORIGINAL"/>
      <sheetName val="PS1"/>
      <sheetName val="Sheet9"/>
      <sheetName val="Sheet1 (2)"/>
      <sheetName val="Data.F8.BTR"/>
      <sheetName val="labour coeff"/>
      <sheetName val="p&amp;m"/>
      <sheetName val="TBAL9697 -group wise  sdpl"/>
      <sheetName val="Staff Acco."/>
      <sheetName val="dBase"/>
      <sheetName val="GF Columns"/>
      <sheetName val="labour rates"/>
      <sheetName val="ELE-data"/>
      <sheetName val="D&amp;W DATA 1"/>
      <sheetName val="ABS WITH PS CHAGES"/>
      <sheetName val="GRILL DATA"/>
      <sheetName val="Grill data 2"/>
      <sheetName val="ABSTRACT"/>
      <sheetName val="Girls New Toilet Block"/>
      <sheetName val="DRINKING WATER"/>
      <sheetName val="Major Repairs"/>
      <sheetName val="Boys toilets rep"/>
      <sheetName val="boys toilets rep "/>
      <sheetName val="SUMP"/>
      <sheetName val="PATHWAY"/>
      <sheetName val="Head room"/>
      <sheetName val="Electrification"/>
      <sheetName val="students furniture"/>
      <sheetName val="staff furniture"/>
      <sheetName val="Library furniture"/>
      <sheetName val="computer lab furniture"/>
      <sheetName val="Dining Dismantling"/>
      <sheetName val="Dining hall furniture "/>
      <sheetName val="Green Chalk boards"/>
      <sheetName val="Paintings"/>
      <sheetName val="C wall ARH"/>
      <sheetName val="C wall raising"/>
      <sheetName val="Fencing"/>
      <sheetName val="MD"/>
      <sheetName val="kitchen conversion"/>
      <sheetName val="ACR's 4 nos- SF"/>
      <sheetName val="RCC TANK DATA"/>
      <sheetName val="CC road data"/>
      <sheetName val="W&amp;S"/>
      <sheetName val="ABS-CVL-SEC"/>
      <sheetName val="ABS-WS-SEC"/>
      <sheetName val="ABS-ELE-SEC"/>
      <sheetName val="Security-GF "/>
      <sheetName val="Ws-Det-Security"/>
      <sheetName val="girls 2 units"/>
      <sheetName val="boys 2 units"/>
      <sheetName val="new girls toilet"/>
      <sheetName val="G.TOILET W.S"/>
      <sheetName val="G.toil elec"/>
      <sheetName val="new boys toilet"/>
      <sheetName val="B.Toilet w.s"/>
      <sheetName val="B.toilet elec"/>
      <sheetName val="toilet repairs"/>
      <sheetName val="kitchen shed"/>
      <sheetName val="Dining hall"/>
      <sheetName val="Dining electrical"/>
      <sheetName val="Dining hall (2)"/>
      <sheetName val="Lookup"/>
      <sheetName val="Estimate "/>
      <sheetName val="Material"/>
      <sheetName val="Plant &amp;  Machinery"/>
      <sheetName val="abs road"/>
      <sheetName val="R_Det"/>
      <sheetName val="mlead"/>
      <sheetName val="HDPE-pipe-rates"/>
      <sheetName val="pvc-pipe-rates"/>
      <sheetName val="mas_hab"/>
      <sheetName val="Sheet2"/>
      <sheetName val="electrical data 4"/>
      <sheetName val="Building Data gst (2)"/>
      <sheetName val="Houseing"/>
      <sheetName val="Housing Embaded Taxes"/>
      <sheetName val="Infra (2)"/>
      <sheetName val="Infra"/>
      <sheetName val="Infra Embaded Taxes"/>
      <sheetName val="Sump &amp; ST (2)"/>
      <sheetName val="B Datas"/>
      <sheetName val="Building Data gst"/>
      <sheetName val="Sewer"/>
      <sheetName val="Sewer Lines"/>
      <sheetName val="data-HDPE &amp; PVC pipes (2)"/>
      <sheetName val="Electrical (2)"/>
      <sheetName val="Tax statement"/>
      <sheetName val="Valves"/>
      <sheetName val="data-Chamber-1"/>
      <sheetName val="data-RWHS"/>
      <sheetName val="MH-est (2)"/>
      <sheetName val="A"/>
      <sheetName val="Water Supply"/>
      <sheetName val="AA"/>
      <sheetName val="Electrical"/>
      <sheetName val="Sanitary"/>
      <sheetName val="Building Data"/>
      <sheetName val="Sump &amp; ST"/>
      <sheetName val="data-HDPE &amp; PVC pipes"/>
      <sheetName val="RC-Bore wells-1"/>
      <sheetName val="RC-Bore wells-3"/>
      <sheetName val="RC-Bore wells-2"/>
      <sheetName val="drains Data"/>
      <sheetName val="CC Roads Data"/>
      <sheetName val="drains-data-GHMC-16-17"/>
      <sheetName val="Ele. DATA"/>
      <sheetName val="Lead- 16-17"/>
      <sheetName val="PH data-16-17"/>
      <sheetName val="data-Lowering"/>
      <sheetName val="data-MH"/>
      <sheetName val="MH-est"/>
      <sheetName val="CI Spe."/>
      <sheetName val="Taxes"/>
      <sheetName val="BOQ+ final"/>
      <sheetName val="ws-09-ahmedguda"/>
      <sheetName val="D.pochampally"/>
      <sheetName val="fire fighting"/>
      <sheetName val="Sheet3"/>
      <sheetName val="upto"/>
      <sheetName val="final abstract"/>
      <sheetName val="SubAnlysis"/>
      <sheetName val="DATA_PRG__NO_SEIG"/>
      <sheetName val="C_C__Road"/>
      <sheetName val="SHE-A(CC_Road)"/>
      <sheetName val="Dis-Office,_Library"/>
      <sheetName val="E-_DATA_"/>
      <sheetName val="Basic_Data"/>
      <sheetName val="C_page"/>
      <sheetName val="El_Data1"/>
      <sheetName val="C__Wall"/>
      <sheetName val="obd_data"/>
      <sheetName val="Bridge_Data_2005-06"/>
      <sheetName val="Specification_report"/>
      <sheetName val="GROUND_FLOOR"/>
      <sheetName val="Lead_statement"/>
      <sheetName val="GF_SB_Ok_"/>
      <sheetName val="G_R_P"/>
      <sheetName val="PSC_REVISED"/>
      <sheetName val="data_existing_do_not_delete"/>
      <sheetName val="Road_data"/>
      <sheetName val="Civil_SSR"/>
      <sheetName val="WS_SSR"/>
      <sheetName val="WS_Data"/>
      <sheetName val="MC_-WS-Abs"/>
      <sheetName val="MC-WS-Det_"/>
      <sheetName val="Boys_Hos-Stilt"/>
      <sheetName val="Boys_Hos-GF"/>
      <sheetName val="Boys-Typ_(1_-4)"/>
      <sheetName val="Boys-fifth_floor"/>
      <sheetName val="Boys_Terrace_"/>
      <sheetName val="ABS-CVL-GH_"/>
      <sheetName val="GH-Stilt_"/>
      <sheetName val="GH-1st_&amp;_2nd"/>
      <sheetName val="GHl-4th_"/>
      <sheetName val="TS-Terrace__"/>
      <sheetName val="TS-WS_"/>
      <sheetName val="NQ-Typical_"/>
      <sheetName val="NQ-Terrace_"/>
      <sheetName val="CIVL-ABS(Canteen)_"/>
      <sheetName val="Canteen-ABS-WS_"/>
      <sheetName val="Canteen_GF"/>
      <sheetName val="Canteen-WS-Det__"/>
      <sheetName val="ABS-CVL-Kitchen_&amp;_Dining"/>
      <sheetName val="Retaining_wall"/>
      <sheetName val="M_C_ROAD"/>
      <sheetName val="M_C_SITE_"/>
      <sheetName val="Abs-sump_5_0_lit_&amp;_Pump)"/>
      <sheetName val="Sump(5_0_Lack_Litr_&amp;_Pump"/>
      <sheetName val="_"/>
      <sheetName val="EST_17-18_Final_(2)"/>
      <sheetName val="BOQ_Est-WS_"/>
      <sheetName val="BOQ_Est-Civil"/>
      <sheetName val="EST_17-18_Final"/>
      <sheetName val="Road_Detail_Est_"/>
      <sheetName val="Main_sheet"/>
      <sheetName val="Abs_Estimate_CIVIL_(2)"/>
      <sheetName val="Civil_Works"/>
      <sheetName val="Civil_(2)"/>
      <sheetName val="PH_data"/>
      <sheetName val="DI_Rate_Analysis"/>
      <sheetName val="Economic_RisingMain__Ph-I"/>
      <sheetName val="Data_rough"/>
      <sheetName val="Common_"/>
      <sheetName val="DP"/>
      <sheetName val="hdpe-rates"/>
      <sheetName val="hdpe weights"/>
      <sheetName val="ssr-rates"/>
      <sheetName val="pvc-rates"/>
      <sheetName val="PVC weights"/>
      <sheetName val="detls"/>
      <sheetName val="m1"/>
      <sheetName val="Detailed"/>
      <sheetName val="ewst"/>
      <sheetName val="AV-HDPE"/>
      <sheetName val="Di_gate-HDPE"/>
      <sheetName val="water-hammar-strenght"/>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RATES"/>
      <sheetName val="Data o"/>
      <sheetName val="PVC_dia"/>
      <sheetName val="Data_Bit_I"/>
      <sheetName val="maya"/>
      <sheetName val="Data well"/>
      <sheetName val="CPHEEO"/>
      <sheetName val="wh_data_R"/>
      <sheetName val="HPC Bill (1) 1st"/>
      <sheetName val="20kL-design-final"/>
      <sheetName val="HS final-2"/>
      <sheetName val="Summary"/>
      <sheetName val="Iocount"/>
      <sheetName val="Mp-team 1"/>
    </sheetNames>
    <sheetDataSet>
      <sheetData sheetId="0" refreshError="1"/>
      <sheetData sheetId="1" refreshError="1"/>
      <sheetData sheetId="2" refreshError="1">
        <row r="4">
          <cell r="B4" t="str">
            <v>KOLLAPUR</v>
          </cell>
        </row>
        <row r="5">
          <cell r="H5">
            <v>7.5</v>
          </cell>
        </row>
        <row r="86">
          <cell r="H86">
            <v>769.6</v>
          </cell>
        </row>
        <row r="109">
          <cell r="H109">
            <v>780.7</v>
          </cell>
        </row>
        <row r="159">
          <cell r="H159">
            <v>2155.15</v>
          </cell>
        </row>
        <row r="166">
          <cell r="H166">
            <v>2355.15</v>
          </cell>
        </row>
        <row r="173">
          <cell r="H173">
            <v>2255.15</v>
          </cell>
        </row>
        <row r="180">
          <cell r="H180">
            <v>90</v>
          </cell>
        </row>
        <row r="211">
          <cell r="H211">
            <v>1085.3500000000001</v>
          </cell>
        </row>
        <row r="296">
          <cell r="H296">
            <v>486.45000000000005</v>
          </cell>
        </row>
        <row r="317">
          <cell r="H317">
            <v>1362.5</v>
          </cell>
        </row>
        <row r="328">
          <cell r="H328">
            <v>132.15</v>
          </cell>
        </row>
        <row r="345">
          <cell r="H345">
            <v>376.8</v>
          </cell>
        </row>
        <row r="351">
          <cell r="H351">
            <v>70</v>
          </cell>
        </row>
        <row r="366">
          <cell r="F366">
            <v>3455</v>
          </cell>
        </row>
        <row r="371">
          <cell r="F371">
            <v>2170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sheetData sheetId="356"/>
      <sheetData sheetId="357"/>
      <sheetData sheetId="358"/>
      <sheetData sheetId="359"/>
      <sheetData sheetId="360"/>
      <sheetData sheetId="361"/>
      <sheetData sheetId="362"/>
      <sheetData sheetId="363"/>
      <sheetData sheetId="364"/>
      <sheetData sheetId="365"/>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DATA_PRG"/>
      <sheetName val="segments-details"/>
      <sheetName val="int-Dia-hdpe"/>
      <sheetName val="habs-list"/>
      <sheetName val="int-Dia-pvc"/>
      <sheetName val="Relig-place"/>
      <sheetName val="Material"/>
      <sheetName val="Suppl-data"/>
      <sheetName val="Work_sheet"/>
      <sheetName val="SPECS"/>
      <sheetName val="MRATES"/>
      <sheetName val="Rates 2008-09"/>
      <sheetName val="Lead"/>
      <sheetName val="data existing_do not delete"/>
      <sheetName val="leads"/>
      <sheetName val="gen"/>
      <sheetName val="Lead statement"/>
      <sheetName val="r"/>
      <sheetName val="CC Road"/>
      <sheetName val="wordsdata"/>
      <sheetName val="Plant &amp;  Machinery"/>
      <sheetName val="C-data"/>
      <sheetName val="nodes"/>
      <sheetName val="int-Dia"/>
      <sheetName val="joinery data"/>
      <sheetName val="Road Detail Est."/>
      <sheetName val="MRoad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GEN. ABS."/>
      <sheetName val="MRoad data"/>
      <sheetName val="MRATES"/>
      <sheetName val="MBTLead"/>
      <sheetName val="MRMR"/>
      <sheetName val="MRoadMap"/>
      <sheetName val="Lead Chart"/>
      <sheetName val="Quarry Chart"/>
      <sheetName val="Road Est."/>
      <sheetName val="Median"/>
      <sheetName val="Slab Culvert 51.10"/>
      <sheetName val="Slab Wid.52.4"/>
      <sheetName val="Wid.Pipe cul 52.10"/>
      <sheetName val="P.C.Drawing"/>
      <sheetName val="C.S.OF DIVIDER"/>
      <sheetName val="DATA_PRG"/>
      <sheetName val="segments-details"/>
      <sheetName val="int-Dia-hdpe"/>
      <sheetName val="habs-list"/>
      <sheetName val="int-Dia-pvc"/>
      <sheetName val="Lead statement"/>
      <sheetName val="maya"/>
      <sheetName val="Common "/>
      <sheetName val="Data"/>
      <sheetName val="lead"/>
      <sheetName val="abst"/>
      <sheetName val="design"/>
      <sheetName val="Lead statement ss5"/>
      <sheetName val="inWords"/>
    </sheetNames>
    <sheetDataSet>
      <sheetData sheetId="0" refreshError="1"/>
      <sheetData sheetId="1" refreshError="1"/>
      <sheetData sheetId="2" refreshError="1"/>
      <sheetData sheetId="3" refreshError="1"/>
      <sheetData sheetId="4"/>
      <sheetData sheetId="5" refreshError="1">
        <row r="36">
          <cell r="F36">
            <v>160</v>
          </cell>
        </row>
        <row r="52">
          <cell r="H52">
            <v>6</v>
          </cell>
        </row>
        <row r="54">
          <cell r="H54">
            <v>10</v>
          </cell>
        </row>
      </sheetData>
      <sheetData sheetId="6"/>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
      <sheetName val="Conveyance"/>
      <sheetName val="Labour"/>
      <sheetName val="Common "/>
      <sheetName val="building"/>
      <sheetName val="RMR"/>
      <sheetName val="Data"/>
      <sheetName val="DAE"/>
      <sheetName val="GA "/>
      <sheetName val="MRATES"/>
      <sheetName val="mlead"/>
      <sheetName val="abs road"/>
      <sheetName val="coverpage"/>
      <sheetName val="Road data"/>
      <sheetName val="R_Det"/>
      <sheetName val="Lead"/>
      <sheetName val="Bridge Data 2005-06"/>
      <sheetName val="v"/>
      <sheetName val="LEADS"/>
      <sheetName val="Plant &amp;  Machinery"/>
      <sheetName val="Material"/>
      <sheetName val="DATA-BASE"/>
      <sheetName val="DATA-ABSTRACT"/>
      <sheetName val="Bitumen trunk"/>
      <sheetName val="Feeder"/>
      <sheetName val="R99 etc"/>
      <sheetName val="Trunk unpaved"/>
      <sheetName val="SSR 2014-15 Rates"/>
      <sheetName val="Lead statement"/>
      <sheetName val="C-data"/>
      <sheetName val="Lead statement ss5"/>
      <sheetName val="Data-ELSR"/>
      <sheetName val="Mortars"/>
      <sheetName val=" Data -Valves"/>
      <sheetName val="dBase"/>
      <sheetName val="Staff Acco."/>
      <sheetName val="DATA_PRG"/>
      <sheetName val="Work_sheet"/>
      <sheetName val="inWords"/>
      <sheetName val="CPI"/>
      <sheetName val="WPI C"/>
      <sheetName val="WPI all"/>
      <sheetName val="WPI HM"/>
      <sheetName val="WPI S"/>
      <sheetName val="Datas"/>
      <sheetName val="Data.F8.BTR"/>
      <sheetName val="maya"/>
      <sheetName val="General"/>
      <sheetName val="PUMP_DATA"/>
      <sheetName val="Relig-place"/>
      <sheetName val="factors"/>
      <sheetName val="Main sheet"/>
      <sheetName val="HDPE-pipe-rates"/>
      <sheetName val="pvc-pipe-rates"/>
      <sheetName val="sg-clay(d)"/>
      <sheetName val="Intro."/>
      <sheetName val="ABS.C.D."/>
      <sheetName val="labour coeff"/>
      <sheetName val="gen"/>
      <sheetName val="Sheet3"/>
      <sheetName val="Sheet1"/>
      <sheetName val="Sheet9"/>
      <sheetName val="pvc_basic"/>
      <sheetName val="HDPE"/>
      <sheetName val="DI"/>
      <sheetName val="pvc"/>
      <sheetName val="segments-details"/>
      <sheetName val="int-Dia-hdpe"/>
      <sheetName val="habs-list"/>
      <sheetName val="int-Dia-pvc"/>
      <sheetName val="wh_data"/>
      <sheetName val="wh_data_R"/>
      <sheetName val="CPHEEO"/>
      <sheetName val="input"/>
      <sheetName val="p&amp;m"/>
      <sheetName val="rates"/>
      <sheetName val="WPI CM"/>
      <sheetName val="Elc.Stnd.Data-18-19-final  (2)"/>
      <sheetName val="DISCOUNT"/>
      <sheetName val="SUMP1420KL@HW"/>
      <sheetName val="Sheet2"/>
      <sheetName val="General_"/>
      <sheetName val="Common_"/>
      <sheetName val="GA_"/>
      <sheetName val="abs_road"/>
      <sheetName val="Road_data"/>
      <sheetName val="Plant_&amp;__Machinery"/>
      <sheetName val="Bridge_Data_2005-06"/>
      <sheetName val="Bitumen_trunk"/>
      <sheetName val="R99_etc"/>
      <sheetName val="Trunk_unpaved"/>
      <sheetName val="SSR_2014-15_Rates"/>
      <sheetName val="Lead_statement"/>
      <sheetName val="Lead_statement_ss5"/>
      <sheetName val="_Data_-Valves"/>
      <sheetName val="Staff_Acco_"/>
      <sheetName val="WPI_C"/>
      <sheetName val="WPI_all"/>
      <sheetName val="WPI_HM"/>
      <sheetName val="WPI_S"/>
      <sheetName val="Data_F8_BTR"/>
      <sheetName val="Intro_"/>
      <sheetName val="Main_sheet"/>
      <sheetName val="m"/>
      <sheetName val="Convey"/>
      <sheetName val="m1"/>
      <sheetName val="0000000000000"/>
      <sheetName val="r"/>
      <sheetName val="Cover"/>
      <sheetName val="Sheet1 (2)"/>
      <sheetName val="abst"/>
      <sheetName val="design"/>
      <sheetName val="BWSCPlt"/>
      <sheetName val="CI"/>
      <sheetName val="G.R.P"/>
      <sheetName val="PSC REVISED"/>
      <sheetName val="1V800"/>
      <sheetName val="data-WS &amp; Sanitary-17-18."/>
      <sheetName val="PH data"/>
      <sheetName val="MRMECADAMoad data"/>
      <sheetName val="Masonry"/>
      <sheetName val="l"/>
      <sheetName val="BTR"/>
      <sheetName val="GROUND FLOOR"/>
      <sheetName val="Levels"/>
      <sheetName val="MASTER_RATE ANALYSIS"/>
      <sheetName val="GenAbst"/>
      <sheetName val="Basicrates"/>
    </sheetNames>
    <sheetDataSet>
      <sheetData sheetId="0">
        <row r="21">
          <cell r="D21">
            <v>148</v>
          </cell>
        </row>
      </sheetData>
      <sheetData sheetId="1"/>
      <sheetData sheetId="2"/>
      <sheetData sheetId="3" refreshError="1">
        <row r="21">
          <cell r="D21">
            <v>148</v>
          </cell>
        </row>
        <row r="22">
          <cell r="D22">
            <v>102</v>
          </cell>
        </row>
      </sheetData>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sheetData sheetId="86"/>
      <sheetData sheetId="87"/>
      <sheetData sheetId="88"/>
      <sheetData sheetId="89" refreshError="1"/>
      <sheetData sheetId="90" refreshError="1"/>
      <sheetData sheetId="91" refreshError="1"/>
      <sheetData sheetId="92" refreshError="1"/>
      <sheetData sheetId="93" refreshError="1"/>
      <sheetData sheetId="94"/>
      <sheetData sheetId="95"/>
      <sheetData sheetId="96"/>
      <sheetData sheetId="97"/>
      <sheetData sheetId="98" refreshError="1"/>
      <sheetData sheetId="99"/>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ORMAS"/>
      <sheetName val="CHECK-SLIP"/>
      <sheetName val="DESIGN NORMS"/>
      <sheetName val="DESIGN CALUCULATIONS"/>
      <sheetName val="ABSTRACT-DESIGN CALUCULATIONS"/>
      <sheetName val="GRAVITY MAIN"/>
      <sheetName val="PUMPING MAIN"/>
      <sheetName val="PUMP SETS DESIGN"/>
      <sheetName val="GENERAL-ABSTRACT"/>
      <sheetName val="COMPONENTS"/>
      <sheetName val="DATA-ABSTRACT"/>
      <sheetName val="SSR(Buildings)"/>
      <sheetName val="SSR(PH)"/>
      <sheetName val="SSR(I&amp;CAD)"/>
      <sheetName val="PVC-Rates"/>
      <sheetName val="Labour charges"/>
      <sheetName val="Labour charges(detl)"/>
      <sheetName val="LEAD STATEMENT"/>
      <sheetName val="OHSR(Detail)"/>
      <sheetName val="DUMMY_EST"/>
      <sheetName val="DATA-LIST"/>
      <sheetName val="DATA SHEET"/>
      <sheetName val="DATA OHSR"/>
      <sheetName val="DATA AC PIPES"/>
      <sheetName val="DATA PVC PIPES"/>
      <sheetName val="BORE WELL"/>
      <sheetName val="SS TANK(HOMO)"/>
      <sheetName val="SS FILTERS"/>
      <sheetName val="SS TANK(HET)"/>
      <sheetName val="SS FILTERS(SQM)"/>
      <sheetName val="OHSR"/>
      <sheetName val="TRANSMISSION MAINS"/>
      <sheetName val="PUMP SETS"/>
      <sheetName val="WEIR CHAMBER"/>
      <sheetName val="PUMP HOUSE"/>
      <sheetName val="PUMP HOUSE(SQM)"/>
      <sheetName val="CW SUMP"/>
      <sheetName val="RWW_PH"/>
      <sheetName val="RAW WATER WELL"/>
      <sheetName val="VALVE PIT"/>
      <sheetName val="FLOW-DIAGRAM"/>
      <sheetName val="DATA-BASE"/>
      <sheetName val="TRANS.MAINS.LEVELS"/>
      <sheetName val="SSF(INT.CONS)"/>
      <sheetName val="DATA_ABSTRACT"/>
      <sheetName val="DATA_BASE"/>
      <sheetName val="m"/>
    </sheetNames>
    <sheetDataSet>
      <sheetData sheetId="0"/>
      <sheetData sheetId="1"/>
      <sheetData sheetId="2"/>
      <sheetData sheetId="3"/>
      <sheetData sheetId="4"/>
      <sheetData sheetId="5"/>
      <sheetData sheetId="6"/>
      <sheetData sheetId="7"/>
      <sheetData sheetId="8"/>
      <sheetData sheetId="9"/>
      <sheetData sheetId="10" refreshError="1">
        <row r="11">
          <cell r="A11" t="str">
            <v>Thickness</v>
          </cell>
          <cell r="B11" t="str">
            <v>Rate</v>
          </cell>
        </row>
        <row r="12">
          <cell r="A12">
            <v>7.4999999999999997E-2</v>
          </cell>
          <cell r="B12">
            <v>4024.05</v>
          </cell>
        </row>
        <row r="13">
          <cell r="A13">
            <v>0.1</v>
          </cell>
          <cell r="B13">
            <v>3711.75</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row r="6">
          <cell r="I6" t="str">
            <v>DIA</v>
          </cell>
          <cell r="J6" t="str">
            <v xml:space="preserve">THICKNESS </v>
          </cell>
          <cell r="K6" t="str">
            <v>OFF SET</v>
          </cell>
          <cell r="L6" t="str">
            <v>LEAN CONCRETE OFF SET</v>
          </cell>
          <cell r="M6" t="str">
            <v>THICKNESS</v>
          </cell>
          <cell r="N6" t="str">
            <v>RISE</v>
          </cell>
          <cell r="O6" t="str">
            <v>RADIUS OF CURVATURE</v>
          </cell>
          <cell r="P6" t="str">
            <v>OUTSIDE PROJECTION FOR FLAT SLABS</v>
          </cell>
          <cell r="Q6" t="str">
            <v>WIDTH</v>
          </cell>
          <cell r="R6" t="str">
            <v>HEIGHT</v>
          </cell>
          <cell r="S6" t="str">
            <v>Qty of Steel</v>
          </cell>
          <cell r="T6" t="str">
            <v>Side Wall Thickness</v>
          </cell>
        </row>
        <row r="7">
          <cell r="I7" t="str">
            <v>3A</v>
          </cell>
          <cell r="J7">
            <v>0.2</v>
          </cell>
          <cell r="K7">
            <v>0.15</v>
          </cell>
          <cell r="L7">
            <v>0.2</v>
          </cell>
          <cell r="M7">
            <v>0.1</v>
          </cell>
          <cell r="N7">
            <v>0</v>
          </cell>
          <cell r="O7">
            <v>8</v>
          </cell>
          <cell r="P7">
            <v>0.15</v>
          </cell>
          <cell r="Q7" t="str">
            <v>N.A.</v>
          </cell>
          <cell r="R7" t="str">
            <v>N.A.</v>
          </cell>
          <cell r="T7">
            <v>0.15</v>
          </cell>
        </row>
        <row r="8">
          <cell r="I8" t="str">
            <v>3B</v>
          </cell>
          <cell r="J8">
            <v>0.15</v>
          </cell>
          <cell r="K8">
            <v>0.15</v>
          </cell>
          <cell r="L8">
            <v>0.2</v>
          </cell>
          <cell r="M8">
            <v>0.1</v>
          </cell>
          <cell r="N8">
            <v>0</v>
          </cell>
          <cell r="O8">
            <v>8</v>
          </cell>
          <cell r="P8">
            <v>0.15</v>
          </cell>
          <cell r="Q8" t="str">
            <v>N.A.</v>
          </cell>
          <cell r="R8" t="str">
            <v>N.A.</v>
          </cell>
          <cell r="T8">
            <v>0.15</v>
          </cell>
        </row>
        <row r="9">
          <cell r="I9" t="str">
            <v>4A</v>
          </cell>
          <cell r="J9">
            <v>0.25</v>
          </cell>
          <cell r="K9">
            <v>0.3</v>
          </cell>
          <cell r="L9">
            <v>0.2</v>
          </cell>
          <cell r="M9">
            <v>0.1</v>
          </cell>
          <cell r="N9">
            <v>0</v>
          </cell>
          <cell r="O9">
            <v>8</v>
          </cell>
          <cell r="P9">
            <v>0.15</v>
          </cell>
          <cell r="Q9" t="str">
            <v>N.A.</v>
          </cell>
          <cell r="R9" t="str">
            <v>N.A.</v>
          </cell>
          <cell r="T9">
            <v>0.15</v>
          </cell>
        </row>
        <row r="10">
          <cell r="I10" t="str">
            <v>4B</v>
          </cell>
          <cell r="J10">
            <v>0.15</v>
          </cell>
          <cell r="K10">
            <v>0.15</v>
          </cell>
          <cell r="L10">
            <v>0.2</v>
          </cell>
          <cell r="M10">
            <v>0.1</v>
          </cell>
          <cell r="N10">
            <v>0</v>
          </cell>
          <cell r="O10">
            <v>8</v>
          </cell>
          <cell r="P10">
            <v>0.15</v>
          </cell>
          <cell r="Q10" t="str">
            <v>N.A.</v>
          </cell>
          <cell r="R10" t="str">
            <v>N.A.</v>
          </cell>
          <cell r="T10">
            <v>0.15</v>
          </cell>
        </row>
        <row r="11">
          <cell r="I11" t="str">
            <v>5A</v>
          </cell>
          <cell r="J11">
            <v>0.25</v>
          </cell>
          <cell r="K11">
            <v>0.45</v>
          </cell>
          <cell r="L11">
            <v>0.2</v>
          </cell>
          <cell r="M11">
            <v>7.4999999999999997E-2</v>
          </cell>
          <cell r="N11">
            <v>1</v>
          </cell>
          <cell r="O11">
            <v>3.62</v>
          </cell>
          <cell r="P11" t="str">
            <v>N.A.</v>
          </cell>
          <cell r="Q11">
            <v>0.2</v>
          </cell>
          <cell r="R11">
            <v>0.15</v>
          </cell>
          <cell r="S11">
            <v>1350</v>
          </cell>
          <cell r="T11">
            <v>0.15</v>
          </cell>
        </row>
        <row r="12">
          <cell r="I12" t="str">
            <v>5B</v>
          </cell>
          <cell r="J12">
            <v>0.15</v>
          </cell>
          <cell r="K12">
            <v>0.15</v>
          </cell>
          <cell r="L12">
            <v>0.2</v>
          </cell>
          <cell r="M12">
            <v>7.4999999999999997E-2</v>
          </cell>
          <cell r="N12">
            <v>1</v>
          </cell>
          <cell r="O12">
            <v>3.62</v>
          </cell>
          <cell r="P12" t="str">
            <v>N.A.</v>
          </cell>
          <cell r="Q12">
            <v>0.2</v>
          </cell>
          <cell r="R12">
            <v>0.15</v>
          </cell>
          <cell r="S12">
            <v>1200</v>
          </cell>
          <cell r="T12">
            <v>0.15</v>
          </cell>
        </row>
        <row r="13">
          <cell r="I13" t="str">
            <v>6A</v>
          </cell>
          <cell r="J13">
            <v>0.3</v>
          </cell>
          <cell r="K13">
            <v>0.3</v>
          </cell>
          <cell r="L13">
            <v>0.2</v>
          </cell>
          <cell r="M13">
            <v>7.4999999999999997E-2</v>
          </cell>
          <cell r="N13">
            <v>1.1299999999999999</v>
          </cell>
          <cell r="O13">
            <v>4.54</v>
          </cell>
          <cell r="P13" t="str">
            <v>N.A.</v>
          </cell>
          <cell r="Q13">
            <v>0.2</v>
          </cell>
          <cell r="R13">
            <v>0.15</v>
          </cell>
          <cell r="S13">
            <v>1400</v>
          </cell>
          <cell r="T13">
            <v>0.15</v>
          </cell>
        </row>
        <row r="14">
          <cell r="I14" t="str">
            <v>6B</v>
          </cell>
          <cell r="J14">
            <v>0.15</v>
          </cell>
          <cell r="K14">
            <v>0.15</v>
          </cell>
          <cell r="L14">
            <v>0.2</v>
          </cell>
          <cell r="M14">
            <v>7.4999999999999997E-2</v>
          </cell>
          <cell r="N14">
            <v>1.1299999999999999</v>
          </cell>
          <cell r="O14">
            <v>4.54</v>
          </cell>
          <cell r="P14" t="str">
            <v>N.A.</v>
          </cell>
          <cell r="Q14">
            <v>0.2</v>
          </cell>
          <cell r="R14">
            <v>0.15</v>
          </cell>
          <cell r="S14">
            <v>1225</v>
          </cell>
          <cell r="T14">
            <v>0.15</v>
          </cell>
        </row>
        <row r="15">
          <cell r="I15" t="str">
            <v>7A</v>
          </cell>
          <cell r="J15">
            <v>0.3</v>
          </cell>
          <cell r="K15">
            <v>0.45</v>
          </cell>
          <cell r="L15">
            <v>0.2</v>
          </cell>
          <cell r="M15">
            <v>7.4999999999999997E-2</v>
          </cell>
          <cell r="N15">
            <v>1.1299999999999999</v>
          </cell>
          <cell r="O15">
            <v>6</v>
          </cell>
          <cell r="P15" t="str">
            <v>N.A.</v>
          </cell>
          <cell r="Q15">
            <v>0.2</v>
          </cell>
          <cell r="R15">
            <v>0.15</v>
          </cell>
          <cell r="S15">
            <v>1500</v>
          </cell>
          <cell r="T15">
            <v>0.15</v>
          </cell>
        </row>
        <row r="16">
          <cell r="I16" t="str">
            <v>7B</v>
          </cell>
          <cell r="J16">
            <v>0.15</v>
          </cell>
          <cell r="K16">
            <v>0.15</v>
          </cell>
          <cell r="L16">
            <v>0.2</v>
          </cell>
          <cell r="M16">
            <v>7.4999999999999997E-2</v>
          </cell>
          <cell r="N16">
            <v>1.1299999999999999</v>
          </cell>
          <cell r="O16">
            <v>6</v>
          </cell>
          <cell r="P16" t="str">
            <v>N.A.</v>
          </cell>
          <cell r="Q16">
            <v>0.2</v>
          </cell>
          <cell r="R16">
            <v>0.15</v>
          </cell>
          <cell r="S16">
            <v>1250</v>
          </cell>
          <cell r="T16">
            <v>0.15</v>
          </cell>
        </row>
        <row r="17">
          <cell r="I17" t="str">
            <v>8A</v>
          </cell>
          <cell r="J17">
            <v>0.3</v>
          </cell>
          <cell r="K17">
            <v>0.6</v>
          </cell>
          <cell r="L17">
            <v>0.2</v>
          </cell>
          <cell r="M17">
            <v>7.4999999999999997E-2</v>
          </cell>
          <cell r="N17">
            <v>1.6</v>
          </cell>
          <cell r="O17">
            <v>5.8</v>
          </cell>
          <cell r="P17" t="str">
            <v>N.A.</v>
          </cell>
          <cell r="Q17">
            <v>0.2</v>
          </cell>
          <cell r="R17">
            <v>0.15</v>
          </cell>
          <cell r="S17">
            <v>1800</v>
          </cell>
          <cell r="T17">
            <v>0.15</v>
          </cell>
        </row>
        <row r="18">
          <cell r="I18" t="str">
            <v>8B</v>
          </cell>
          <cell r="J18">
            <v>0.15</v>
          </cell>
          <cell r="K18">
            <v>0.15</v>
          </cell>
          <cell r="L18">
            <v>0.2</v>
          </cell>
          <cell r="M18">
            <v>7.4999999999999997E-2</v>
          </cell>
          <cell r="N18">
            <v>1.6</v>
          </cell>
          <cell r="O18">
            <v>5.8</v>
          </cell>
          <cell r="P18" t="str">
            <v>N.A.</v>
          </cell>
          <cell r="Q18">
            <v>0.2</v>
          </cell>
          <cell r="R18">
            <v>0.15</v>
          </cell>
          <cell r="S18">
            <v>1650</v>
          </cell>
          <cell r="T18">
            <v>0.15</v>
          </cell>
        </row>
        <row r="19">
          <cell r="I19" t="str">
            <v>10A</v>
          </cell>
          <cell r="J19">
            <v>0.3</v>
          </cell>
          <cell r="K19">
            <v>0.6</v>
          </cell>
          <cell r="L19">
            <v>0.2</v>
          </cell>
          <cell r="M19">
            <v>0.1</v>
          </cell>
          <cell r="N19">
            <v>1.8</v>
          </cell>
          <cell r="O19">
            <v>8.0500000000000007</v>
          </cell>
          <cell r="P19" t="str">
            <v>N.A.</v>
          </cell>
          <cell r="Q19">
            <v>0.2</v>
          </cell>
          <cell r="R19">
            <v>0.15</v>
          </cell>
          <cell r="S19">
            <v>2200</v>
          </cell>
          <cell r="T19">
            <v>0.15</v>
          </cell>
        </row>
        <row r="20">
          <cell r="I20" t="str">
            <v>10B</v>
          </cell>
          <cell r="J20">
            <v>0.15</v>
          </cell>
          <cell r="K20">
            <v>0.15</v>
          </cell>
          <cell r="L20">
            <v>0.2</v>
          </cell>
          <cell r="M20">
            <v>0.1</v>
          </cell>
          <cell r="N20">
            <v>1.8</v>
          </cell>
          <cell r="O20">
            <v>8.0500000000000007</v>
          </cell>
          <cell r="P20" t="str">
            <v>N.A.</v>
          </cell>
          <cell r="Q20">
            <v>0.2</v>
          </cell>
          <cell r="R20">
            <v>0.15</v>
          </cell>
          <cell r="S20">
            <v>2000</v>
          </cell>
          <cell r="T20">
            <v>0.15</v>
          </cell>
        </row>
        <row r="21">
          <cell r="I21" t="str">
            <v>12A</v>
          </cell>
          <cell r="S21">
            <v>4500</v>
          </cell>
        </row>
        <row r="22">
          <cell r="I22" t="str">
            <v>12B</v>
          </cell>
          <cell r="J22">
            <v>0.3</v>
          </cell>
          <cell r="K22">
            <v>0.1</v>
          </cell>
          <cell r="L22">
            <v>0.15</v>
          </cell>
          <cell r="M22">
            <v>0.1</v>
          </cell>
          <cell r="N22">
            <v>2</v>
          </cell>
          <cell r="O22">
            <v>10</v>
          </cell>
          <cell r="Q22">
            <v>0.45</v>
          </cell>
          <cell r="R22">
            <v>0.35</v>
          </cell>
          <cell r="S22">
            <v>4100</v>
          </cell>
          <cell r="T22">
            <v>0.2</v>
          </cell>
        </row>
      </sheetData>
      <sheetData sheetId="42"/>
      <sheetData sheetId="43"/>
      <sheetData sheetId="44"/>
      <sheetData sheetId="45"/>
      <sheetData sheetId="46"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GF I-BEAM.F"/>
      <sheetName val="labour coeff"/>
      <sheetName val="DATA-BASE"/>
      <sheetName val="DATA-ABSTRACT"/>
      <sheetName val="Data"/>
    </sheetNames>
    <sheetDataSet>
      <sheetData sheetId="0"/>
      <sheetData sheetId="1" refreshError="1"/>
      <sheetData sheetId="2" refreshError="1"/>
      <sheetData sheetId="3" refreshError="1"/>
      <sheetData sheetId="4"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A "/>
      <sheetName val="GA Comp.. "/>
      <sheetName val="GF SB Ok "/>
      <sheetName val="FF SB Ok"/>
      <sheetName val="SF SB Ok"/>
      <sheetName val="WS (Sch) Ok "/>
      <sheetName val="ele. Est. SB Ok"/>
      <sheetName val="GF DB Ok"/>
      <sheetName val="FF DB Ok"/>
      <sheetName val="SF DB  Ok"/>
      <sheetName val="WS DB  Ok "/>
      <sheetName val="Ele-Dor Ok "/>
      <sheetName val="GF KD  Ok"/>
      <sheetName val="WS - KD  Ok "/>
      <sheetName val="Ele K&amp; D Ok"/>
      <sheetName val="GF PQ Ok "/>
      <sheetName val="WS - PQ Ok "/>
      <sheetName val="Ele Prl Q Ok"/>
      <sheetName val="GF SQ Ok "/>
      <sheetName val="FF SQ Ok "/>
      <sheetName val="SF SQ Ok"/>
      <sheetName val="TF SQ Ok"/>
      <sheetName val="WS - SQ Ok "/>
      <sheetName val="Ele. SQ.  Ok"/>
      <sheetName val="Septic Tank 200U RR Ok"/>
      <sheetName val="Septic tank RCC 200 Users Ok"/>
      <sheetName val="Septic Tank 100 U Ok"/>
      <sheetName val="SUMP Ok "/>
      <sheetName val="CW  Ok"/>
      <sheetName val="OHSR Ok"/>
      <sheetName val="External Ele.  Ok"/>
      <sheetName val="Ext-Drainage"/>
      <sheetName val="B-WELL"/>
      <sheetName val="Site development"/>
      <sheetName val="Gas system"/>
      <sheetName val="CS SB Civil  Ok"/>
      <sheetName val="SB WS CS Ok"/>
      <sheetName val="SB Ele CS  Ok"/>
      <sheetName val="CS Civil DB Ok"/>
      <sheetName val="CS WS DB   Ok"/>
      <sheetName val="CS  Ele  DB  Ok"/>
      <sheetName val="CS Civil KD Ok"/>
      <sheetName val="CS KD WS  Ok"/>
      <sheetName val="CS Ele. KD "/>
      <sheetName val="CS Civil PQ Ok"/>
      <sheetName val="CS WS PQ  Ok"/>
      <sheetName val="CS Ele. PQ  Ok "/>
      <sheetName val="CS Civil SQ Ok"/>
      <sheetName val="CS WS SQ Ok "/>
      <sheetName val="CS Ele SQ Ok"/>
      <sheetName val="CS 200 users RR Ok "/>
      <sheetName val="CS Septic tank RCC 200 users"/>
      <sheetName val="CS 100 users "/>
      <sheetName val="CS SUMP"/>
      <sheetName val="CS CW oK"/>
      <sheetName val="CS OHSR  Ok"/>
      <sheetName val="CS External Ele. "/>
      <sheetName val="CS Ext. drainage "/>
      <sheetName val="CS Borewell "/>
      <sheetName val="CS SD "/>
      <sheetName val="LEAD"/>
      <sheetName val="Suppl. C-data"/>
      <sheetName val="leads"/>
      <sheetName val="labour coeff"/>
      <sheetName val="Data"/>
      <sheetName val="MRATES"/>
      <sheetName val="DATA-2005-06"/>
      <sheetName val="DataInput"/>
      <sheetName val="DataInput-1"/>
      <sheetName val="DI Rate Analysis"/>
      <sheetName val="Economic RisingMain  Ph-I"/>
      <sheetName val="maya"/>
      <sheetName val="Labour"/>
      <sheetName val="Material"/>
      <sheetName val="Fill this out first..."/>
    </sheetNames>
    <sheetDataSet>
      <sheetData sheetId="0" refreshError="1"/>
      <sheetData sheetId="1" refreshError="1"/>
      <sheetData sheetId="2" refreshError="1">
        <row r="1611">
          <cell r="F1611" t="str">
            <v xml:space="preserve">APEWIDC,  Proddatur </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S"/>
      <sheetName val="PumpHouse1.50X1.20"/>
      <sheetName val="PumpHouse1.20X0.90"/>
      <sheetName val="Sheet1"/>
      <sheetName val="maya"/>
      <sheetName val="PumpHouse 0.90X0.90"/>
      <sheetName val="CR"/>
      <sheetName val="Specification report"/>
      <sheetName val="Data"/>
      <sheetName val="Lead"/>
      <sheetName val="GF SB Ok "/>
      <sheetName val="Leads"/>
      <sheetName val="MTC-estimate"/>
      <sheetName val="r"/>
      <sheetName val="labour coeff"/>
      <sheetName val="FF WRK"/>
      <sheetName val="Labour"/>
      <sheetName val="Material"/>
      <sheetName val="Plant &amp;  Machinery"/>
      <sheetName val="DATA_PRG"/>
      <sheetName val="Abs"/>
      <sheetName val="m1"/>
      <sheetName val="RMR"/>
      <sheetName val="Road data"/>
      <sheetName val="Sheet9"/>
      <sheetName val="segments-details"/>
      <sheetName val="int-Dia-hdpe"/>
      <sheetName val="habs-list"/>
      <sheetName val="int-Dia-pvc"/>
      <sheetName val="final abstract"/>
      <sheetName val="Cover"/>
      <sheetName val="Common "/>
      <sheetName val="DATA-BASE"/>
      <sheetName val="DATA-ABSTRACT"/>
      <sheetName val="Lead statement"/>
      <sheetName val="Sheet2"/>
      <sheetName val="Ind_plumb_det"/>
      <sheetName val="detls"/>
      <sheetName val="hdpe weights"/>
      <sheetName val="PVC weights"/>
      <sheetName val="Sheet5"/>
      <sheetName val="Lead statement ss5"/>
      <sheetName val="Bridge Data 2005-06"/>
      <sheetName val="Usage"/>
      <sheetName val="General"/>
      <sheetName val="data existing_do not delete"/>
      <sheetName val="MRATES"/>
      <sheetName val="m"/>
      <sheetName val="C-data"/>
      <sheetName val="Data rough"/>
      <sheetName val="pvc_basic"/>
      <sheetName val="v"/>
      <sheetName val="Data.F8.BTR"/>
      <sheetName val="Bitumen trunk"/>
      <sheetName val="Feeder"/>
      <sheetName val="R99 etc"/>
      <sheetName val="Trunk unpaved"/>
      <sheetName val="HDPE"/>
      <sheetName val="DI"/>
      <sheetName val="pvc"/>
      <sheetName val="ssr-rates"/>
      <sheetName val="HP"/>
      <sheetName val="ewst"/>
      <sheetName val="Data-2010-11"/>
      <sheetName val="Annex- 6 - Delinator"/>
      <sheetName val="Global factors"/>
      <sheetName val="stone"/>
      <sheetName val="index"/>
      <sheetName val="0000000000000"/>
      <sheetName val="C.D.Data (Morth)"/>
      <sheetName val="Rd.Det.Est"/>
      <sheetName val="Rd.Data"/>
      <sheetName val="rdamdata"/>
      <sheetName val="Levels"/>
    </sheetNames>
    <sheetDataSet>
      <sheetData sheetId="0">
        <row r="69">
          <cell r="A69" t="str">
            <v xml:space="preserve">Earth work excation and depositing on bank with initial lead and lift in loamy and clayee soils as per ss301 for foundations </v>
          </cell>
        </row>
      </sheetData>
      <sheetData sheetId="1"/>
      <sheetData sheetId="2"/>
      <sheetData sheetId="3"/>
      <sheetData sheetId="4" refreshError="1">
        <row r="69">
          <cell r="A69" t="str">
            <v xml:space="preserve">Earth work excation and depositing on bank with initial lead and lift in loamy and clayee soils as per ss301 for foundations </v>
          </cell>
        </row>
        <row r="71">
          <cell r="A71" t="str">
            <v>Labour Charges</v>
          </cell>
        </row>
        <row r="72">
          <cell r="A72" t="str">
            <v>C.C (1:6:10 ) Mix for Foundation Concrete to ISOLATED works using 40mm H.B.Q metal including cost &amp; conveyance of materials and labour charges seigniorage charges etc complete .</v>
          </cell>
        </row>
        <row r="73">
          <cell r="A73">
            <v>0</v>
          </cell>
        </row>
        <row r="74">
          <cell r="A74" t="str">
            <v>C.C (1:4:8 ) Mix for Foundation Concrete to ISOLATED works using 40mm H.B.G metal including cost &amp; conveyance of materials and labour charges seigniorage charges etc complete .</v>
          </cell>
        </row>
        <row r="75">
          <cell r="A75" t="str">
            <v>Country brick Masonary in CM(1:6)Mix for Superstructure including  cost &amp; conveyance of all materials labour charges,seigniorage chargec,curing etc complete .</v>
          </cell>
        </row>
        <row r="76">
          <cell r="A76" t="str">
            <v xml:space="preserve">Country brick Masonary in CM(1:6)Mix for foundation &amp; basement to VALVE CHAMBERS including  cost &amp; conveyance of all materials labour charges,seigniorage chargec,curing etc complete. </v>
          </cell>
        </row>
        <row r="77">
          <cell r="A77" t="str">
            <v xml:space="preserve">C.C (1:2:4) Mix using 20mm  H.B.G metal including cost &amp; conveyance of all materials and labour charges seigniorage charges etc complete for R.C.C items </v>
          </cell>
        </row>
        <row r="78">
          <cell r="A78" t="str">
            <v>Country brick Masonary in CM(1:6)Mix for Superstructure to VALVE CHABERS including  cost &amp; conveyance of all materials labour charges,seigniorage chargec,curing etc complete .</v>
          </cell>
        </row>
        <row r="79">
          <cell r="A79">
            <v>0</v>
          </cell>
        </row>
        <row r="80">
          <cell r="A80" t="str">
            <v>C.C.(1:2:4)mix</v>
          </cell>
        </row>
        <row r="81">
          <cell r="A81">
            <v>0</v>
          </cell>
        </row>
        <row r="82">
          <cell r="A82" t="str">
            <v>R.C.C.(1:2:4) mix for Side walls to VALVE CHAMBERS using 20mm HBG chips with necessary Qty of steel per 1 cum of concrete including C &amp; C of all materials and labour charges seig charges, centering , curing etc complete but excluding cost of steel and fab</v>
          </cell>
        </row>
        <row r="83">
          <cell r="A83" t="str">
            <v>Sand for mortor</v>
          </cell>
        </row>
        <row r="84">
          <cell r="A84" t="str">
            <v>R.C.C.(1:2:4) mix for Cover slab to VALVE CHAMBERS using 20mm HBG chips with necessary Qty of steel per 1 cum of concrete including C &amp; C of all materials and labour charges seig charges, centering , curing etc complete but excluding cost of steel and fab</v>
          </cell>
        </row>
        <row r="85">
          <cell r="A85" t="str">
            <v>Sand for mortor</v>
          </cell>
        </row>
        <row r="86">
          <cell r="A86" t="str">
            <v>R.C.C.(1:2:4) mix for Bottom slab to VALVE CHAMBERS using 20mm HBG chips with necessary Qty of steel per 1 cum of concrete including C &amp; C of all materials and labour charges seig charges, centering , curing etc complete but excluding cost of steel and fa</v>
          </cell>
        </row>
        <row r="87">
          <cell r="A87" t="str">
            <v>C.C (1:3:6) Mix  using 40mm  H.B.G metal including cost &amp; conveyance of all materials and labour charges seigniorage charges etc complete.</v>
          </cell>
        </row>
        <row r="88">
          <cell r="A88">
            <v>0</v>
          </cell>
        </row>
        <row r="89">
          <cell r="A89" t="str">
            <v xml:space="preserve">C.C (1:3:6) Mix using 20mm  H.B.G metal including cost &amp; conveyance of all materials and labour charges seigniorage charges etc complete.  </v>
          </cell>
        </row>
        <row r="90">
          <cell r="A90">
            <v>0</v>
          </cell>
        </row>
        <row r="91">
          <cell r="A91">
            <v>0</v>
          </cell>
        </row>
        <row r="92">
          <cell r="A92" t="str">
            <v>Labour Charges</v>
          </cell>
        </row>
        <row r="93">
          <cell r="A93">
            <v>0</v>
          </cell>
        </row>
        <row r="94">
          <cell r="A94">
            <v>0</v>
          </cell>
        </row>
        <row r="95">
          <cell r="A95">
            <v>0</v>
          </cell>
        </row>
        <row r="96">
          <cell r="A96" t="str">
            <v xml:space="preserve">Sanding filling in foundation and basement for ISOLATED works including cost &amp; conveyance of all materials and labour charges seig charges , wtering and tamping etc, complete  </v>
          </cell>
        </row>
        <row r="97">
          <cell r="A97">
            <v>0</v>
          </cell>
        </row>
        <row r="98">
          <cell r="A98">
            <v>0</v>
          </cell>
        </row>
      </sheetData>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maya"/>
      <sheetName val="pvc_basic"/>
      <sheetName val="leads"/>
      <sheetName val="p&amp;m"/>
      <sheetName val="labour coeff"/>
      <sheetName val="GF SB Ok "/>
      <sheetName val="Sheet3"/>
    </sheetNames>
    <sheetDataSet>
      <sheetData sheetId="0" refreshError="1"/>
      <sheetData sheetId="1" refreshError="1"/>
      <sheetData sheetId="2" refreshError="1">
        <row r="4">
          <cell r="G4" t="str">
            <v>Input Rate</v>
          </cell>
        </row>
        <row r="13">
          <cell r="G13" t="str">
            <v>Input Rate</v>
          </cell>
        </row>
      </sheetData>
      <sheetData sheetId="3" refreshError="1">
        <row r="5">
          <cell r="D5">
            <v>137</v>
          </cell>
        </row>
      </sheetData>
      <sheetData sheetId="4" refreshError="1">
        <row r="130">
          <cell r="D130">
            <v>26000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DATA-BASE"/>
      <sheetName val="DATA-ABSTRACT"/>
      <sheetName val="Plant &amp;  Machinery"/>
      <sheetName val="Sheet2"/>
      <sheetName val="Material"/>
      <sheetName val="pvc_basic"/>
      <sheetName val="GF SB Ok "/>
      <sheetName val="p&amp;m"/>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Hystmnt (2)"/>
      <sheetName val="Sheet2"/>
      <sheetName val="title"/>
      <sheetName val="spec"/>
      <sheetName val="need"/>
      <sheetName val="design"/>
      <sheetName val="estimate"/>
      <sheetName val="estPM"/>
      <sheetName val="distrib"/>
      <sheetName val="VC99"/>
      <sheetName val="VC96"/>
      <sheetName val="SP"/>
      <sheetName val="Pumproom"/>
      <sheetName val="ltrt"/>
      <sheetName val="pipe_data"/>
      <sheetName val="SPData"/>
      <sheetName val="hs"/>
      <sheetName val="pps"/>
      <sheetName val="map"/>
      <sheetName val="m_est"/>
      <sheetName val="feature"/>
      <sheetName val="glance"/>
      <sheetName val="master"/>
      <sheetName val="exec"/>
      <sheetName val="LBD"/>
      <sheetName val="CR"/>
      <sheetName val="MRATES"/>
      <sheetName val="Hystmnt_(2)"/>
      <sheetName val="Global factors"/>
      <sheetName val="00000"/>
      <sheetName val="AAAAAAAAAAAAA"/>
      <sheetName val="Revised rates(SSR 2014-15)"/>
      <sheetName val="ew OG"/>
      <sheetName val="ew-DiMs"/>
      <sheetName val="PVC"/>
      <sheetName val="HDPE"/>
      <sheetName val="AC"/>
      <sheetName val="DI"/>
      <sheetName val="CI"/>
      <sheetName val="GRP"/>
      <sheetName val="BWSCP"/>
      <sheetName val="MS data"/>
      <sheetName val="MS "/>
      <sheetName val="PSC"/>
      <sheetName val="MS"/>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PSC -pv"/>
      <sheetName val="GRP-pv"/>
      <sheetName val="index"/>
      <sheetName val="GAJWEL SEC EST"/>
      <sheetName val="Sheet6"/>
      <sheetName val="maya"/>
      <sheetName val="Specification report"/>
      <sheetName val="Data rough"/>
      <sheetName val="rdamdata"/>
      <sheetName val="lead-st"/>
      <sheetName val="t_prsr"/>
      <sheetName val="id"/>
      <sheetName val="wh"/>
      <sheetName val="DataInput"/>
      <sheetName val="DataInput-1"/>
      <sheetName val="DI Rate Analysis"/>
      <sheetName val="Economic RisingMain  Ph-I"/>
      <sheetName val="Data.F8.BTR"/>
      <sheetName val="Plant &amp;  Machinery"/>
      <sheetName val="Labour"/>
      <sheetName val="Material"/>
      <sheetName val="pvc_basic"/>
      <sheetName val="SUMP1420KL@HW"/>
      <sheetName val="GF SB Ok "/>
      <sheetName val="C-data"/>
      <sheetName val="DATA_PRG"/>
      <sheetName val="Common "/>
      <sheetName val="DATA-BASE"/>
      <sheetName val="DATA-ABSTRACT"/>
      <sheetName val="Lead"/>
      <sheetName val="p&amp;m"/>
      <sheetName val="detls"/>
      <sheetName val="Di_gate-HDPE"/>
      <sheetName val="PUMP_DATA"/>
      <sheetName val="segments-details"/>
      <sheetName val="int-Dia-hdpe"/>
      <sheetName val="habs-list"/>
      <sheetName val="BWSCPlt"/>
      <sheetName val="G.R.P"/>
      <sheetName val="PSC REVISED"/>
      <sheetName val="sand"/>
      <sheetName val="stone"/>
      <sheetName val="Sheet9"/>
      <sheetName val="WATER-HAMMER"/>
      <sheetName val="m"/>
      <sheetName val="int-Dia"/>
      <sheetName val="nodes"/>
      <sheetName val="BM-HOOP"/>
      <sheetName val="boredetails"/>
      <sheetName val="3405-2014"/>
      <sheetName val="Watersoft (2)"/>
      <sheetName val="hdpe_basic"/>
      <sheetName val="water-hammar-strenght"/>
      <sheetName val="AV-HDPE"/>
      <sheetName val="census91"/>
      <sheetName val="Lead statement ss5"/>
      <sheetName val="Habcodes"/>
      <sheetName val="SSR 2014-15 Rates"/>
      <sheetName val="Lead statement"/>
      <sheetName val="FF WRK"/>
      <sheetName val="Works"/>
      <sheetName val="RMR"/>
      <sheetName val="General"/>
      <sheetName val="Estimate "/>
      <sheetName val="RAFT"/>
      <sheetName val="Basicdata-f"/>
      <sheetName val="Scour-f"/>
      <sheetName val="ABS"/>
      <sheetName val="Main sheet"/>
      <sheetName val="Revised rates(SSR 2015-16)"/>
      <sheetName val="Sump_cal"/>
      <sheetName val="11.Habitations"/>
      <sheetName val="Cover"/>
      <sheetName val="wh_data_R"/>
      <sheetName val="CPHEEO"/>
      <sheetName val="final abstract"/>
      <sheetName val="SEGMENTS-nodes"/>
      <sheetName val="wh_data"/>
      <sheetName val="input"/>
      <sheetName val="v"/>
      <sheetName val="ww-march-02"/>
      <sheetName val="Staff Acco."/>
      <sheetName val="Data-2010-11"/>
      <sheetName val="table"/>
      <sheetName val="sg-clay(d)"/>
      <sheetName val="Analy_7-10"/>
      <sheetName val="CABLE"/>
      <sheetName val="number"/>
      <sheetName val="zone-8"/>
      <sheetName val="MHNO_LEV"/>
      <sheetName val="Sheet3"/>
      <sheetName val="Sheet1 (2)"/>
      <sheetName val="wt of CID joint"/>
      <sheetName val="AC DAta"/>
      <sheetName val="Pipe Pilne MAch"/>
      <sheetName val="Sheet4"/>
      <sheetName val="Indurhty"/>
      <sheetName val="Indurhty 2016-17"/>
      <sheetName val="RAtes"/>
      <sheetName val="Sheet5"/>
      <sheetName val="Rate"/>
      <sheetName val="GA"/>
      <sheetName val="data existing_do not delete"/>
      <sheetName val="Wall W3"/>
      <sheetName val="Work_sheet"/>
      <sheetName val="JAWAHAR-hyd-original"/>
      <sheetName val="PRECAST lightconc-II"/>
      <sheetName val="1V800"/>
      <sheetName val="Levels"/>
      <sheetName val="POP"/>
      <sheetName val="Part-A"/>
      <sheetName val="Hystmnt_(2)1"/>
      <sheetName val="Global_factors"/>
      <sheetName val="Revised_rates(SSR_2014-15)"/>
      <sheetName val="ew_OG"/>
      <sheetName val="MS_data"/>
      <sheetName val="MS_"/>
      <sheetName val="DI_Weights"/>
      <sheetName val="Wt_of_HDPE"/>
      <sheetName val="hdpe_weights"/>
      <sheetName val="PVC_weights"/>
      <sheetName val="PSC_-pv"/>
      <sheetName val="GAJWEL_SEC_EST"/>
      <sheetName val="Specification_report"/>
      <sheetName val="Data_rough"/>
      <sheetName val="DI_Rate_Analysis"/>
      <sheetName val="Economic_RisingMain__Ph-I"/>
      <sheetName val="Data_F8_BTR"/>
      <sheetName val="Plant_&amp;__Machinery"/>
      <sheetName val="GF_SB_Ok_"/>
      <sheetName val="Hystmnt_(2)2"/>
      <sheetName val="Revised_rates(SSR_2014-15)1"/>
      <sheetName val="ew_OG1"/>
      <sheetName val="MS_data1"/>
      <sheetName val="MS_1"/>
      <sheetName val="DI_Weights1"/>
      <sheetName val="Wt_of_HDPE1"/>
      <sheetName val="hdpe_weights1"/>
      <sheetName val="PVC_weights1"/>
      <sheetName val="PSC_-pv1"/>
      <sheetName val="GAJWEL_SEC_EST1"/>
      <sheetName val="Global_factors1"/>
      <sheetName val="Specification_report1"/>
      <sheetName val="DI_Rate_Analysis1"/>
      <sheetName val="Economic_RisingMain__Ph-I1"/>
      <sheetName val="Design of two-way slab"/>
      <sheetName val="Data Road"/>
      <sheetName val="Road data"/>
      <sheetName val="DISCOUNT"/>
      <sheetName val="r"/>
      <sheetName val="Comp OHSR EST-1"/>
      <sheetName val="Abstract"/>
      <sheetName val="Comp HDPE"/>
      <sheetName val="Comp OFC"/>
      <sheetName val="Comp HH"/>
      <sheetName val="Rate Calc-1"/>
      <sheetName val="OHSR-1 RC EST"/>
      <sheetName val="SSR 17-18"/>
      <sheetName val="GM&amp;PM EST- final "/>
      <sheetName val="HS final-2"/>
      <sheetName val="int-dia-pvc"/>
      <sheetName val="_5wgdhabfinal00_01"/>
      <sheetName val="Nspt-smp-final-ORIGINAL"/>
      <sheetName val="SPC"/>
      <sheetName val="Pipe line"/>
      <sheetName val="DATA SHEET (6)"/>
      <sheetName val="Lead ST (3)"/>
      <sheetName val="DATA SHEET (7)"/>
      <sheetName val="Intro"/>
      <sheetName val="dlvoid"/>
      <sheetName val="직매22kv"/>
      <sheetName val="Data-2011-12"/>
      <sheetName val="clvrt_data"/>
      <sheetName val="Data_Base"/>
      <sheetName val="REL"/>
      <sheetName val="Iocount"/>
      <sheetName val="m1"/>
      <sheetName val="labour rates"/>
      <sheetName val="ewst"/>
      <sheetName val="FORM7"/>
      <sheetName val="I-CO"/>
      <sheetName val="leads-c"/>
      <sheetName val=" data sheet "/>
      <sheetName val="pvc-pipe-rates"/>
      <sheetName val="coverpage"/>
      <sheetName val="Bridge Data 2005-06"/>
      <sheetName val="Common_"/>
      <sheetName val="G_R_P"/>
      <sheetName val="PSC_REVISED"/>
      <sheetName val="Watersoft_(2)"/>
      <sheetName val="Lead_statement_ss5"/>
      <sheetName val="SSR_2014-15_Rates"/>
      <sheetName val="Lead_statement"/>
      <sheetName val="FF_WRK"/>
      <sheetName val="Estimate_"/>
      <sheetName val="Main_sheet"/>
      <sheetName val="Revised_rates(SSR_2015-16)"/>
      <sheetName val="11_Habitations"/>
      <sheetName val="final_abstract"/>
      <sheetName val="Staff_Acco_"/>
      <sheetName val="Sheet1_(2)"/>
      <sheetName val="wt_of_CID_joint"/>
      <sheetName val="AC_DAta"/>
      <sheetName val="Pipe_Pilne_MAch"/>
      <sheetName val="Indurhty_2016-17"/>
      <sheetName val="data_existing_do_not_delete"/>
      <sheetName val="Wall_W3"/>
      <sheetName val="sup dat"/>
      <sheetName val="HDPE-pipe-rates"/>
      <sheetName val="Process"/>
      <sheetName val="ssr-rates"/>
      <sheetName val="epm-tsb"/>
      <sheetName val="id_whmr"/>
      <sheetName val="0000000000000"/>
      <sheetName val="l"/>
      <sheetName val="PVC_dia"/>
      <sheetName val="Data_"/>
      <sheetName val="Cul_detail"/>
      <sheetName val="CD Data"/>
      <sheetName val="mas_hab"/>
      <sheetName val="LEAD (2)"/>
      <sheetName val="economic PM"/>
      <sheetName val="PM&amp;GM"/>
      <sheetName val="DI gate-DI"/>
      <sheetName val="DIgate_PVC "/>
      <sheetName val="DetEst"/>
      <sheetName val="Bitumen trunk"/>
      <sheetName val="Feeder"/>
      <sheetName val="R99 etc"/>
      <sheetName val="Trunk unpaved"/>
      <sheetName val="INPUT SHEET"/>
      <sheetName val="RES-PLANNING"/>
      <sheetName val="Macro1"/>
      <sheetName val="AV-BWSC&amp;MS"/>
      <sheetName val="AV_AC"/>
      <sheetName val="pumping main"/>
      <sheetName val="LABOUR RATE"/>
      <sheetName val="Material Rate"/>
      <sheetName val="di_Gate_AC"/>
      <sheetName val="Digate-BWSCP-MS"/>
      <sheetName val="DI_gate_di"/>
      <sheetName val="mlead"/>
      <sheetName val="lable I"/>
      <sheetName val="General Abs"/>
      <sheetName val="VCH-SLC"/>
      <sheetName val="Supplier"/>
      <sheetName val="R_Det"/>
      <sheetName val="DI_sluice_PVC"/>
      <sheetName val="SLAB  DATA"/>
      <sheetName val="Output"/>
      <sheetName val="Sector Estimate _ Mylapur"/>
      <sheetName val="sheeet7"/>
      <sheetName val="CT"/>
      <sheetName val="PT"/>
      <sheetName val="SILICATE"/>
      <sheetName val="other rates"/>
      <sheetName val="Qty"/>
      <sheetName val="MRoad data"/>
      <sheetName val="quarry"/>
      <sheetName val="Road Detail Est."/>
      <sheetName val="bundqty"/>
      <sheetName val="ITB COST"/>
      <sheetName val="PANEL ANNEXURE"/>
      <sheetName val="Detailed"/>
      <sheetName val="hdpe_rates"/>
      <sheetName val="hdpe_wt-r"/>
      <sheetName val="DIgate_PVC"/>
      <sheetName val="K.AV-HDPE"/>
      <sheetName val="scour-DI"/>
      <sheetName val="CI-scour-pvc-hdpe-psc-bwsc"/>
      <sheetName val="soft-HDPE"/>
      <sheetName val="soft-PVC"/>
      <sheetName val="DI-AV-DI-final"/>
      <sheetName val="DI-AV-HDPE- Final "/>
      <sheetName val="DI- Final"/>
      <sheetName val="DI_scour-DI-final"/>
      <sheetName val="DI_scour-pvc-hdpe-psc-bwsc"/>
      <sheetName val="DI SV on DI-final "/>
      <sheetName val="DI Sluice_HDPE"/>
      <sheetName val="HDPE-Final "/>
      <sheetName val="Rohsr"/>
      <sheetName val="Rppl"/>
      <sheetName val="Rofc"/>
      <sheetName val="Rhhc"/>
    </sheetNames>
    <sheetDataSet>
      <sheetData sheetId="0" refreshError="1"/>
      <sheetData sheetId="1" refreshError="1"/>
      <sheetData sheetId="2" refreshError="1">
        <row r="1">
          <cell r="A1" t="str">
            <v>Dia of Pipe(PVC)</v>
          </cell>
          <cell r="B1" t="str">
            <v>Interal Dia</v>
          </cell>
        </row>
        <row r="2">
          <cell r="A2">
            <v>63</v>
          </cell>
          <cell r="B2">
            <v>59.2</v>
          </cell>
        </row>
        <row r="3">
          <cell r="A3">
            <v>75</v>
          </cell>
          <cell r="B3">
            <v>70.599999999999994</v>
          </cell>
        </row>
        <row r="4">
          <cell r="A4">
            <v>90</v>
          </cell>
          <cell r="B4">
            <v>84.8</v>
          </cell>
        </row>
        <row r="5">
          <cell r="A5">
            <v>110</v>
          </cell>
          <cell r="B5">
            <v>104</v>
          </cell>
        </row>
        <row r="6">
          <cell r="A6">
            <v>125</v>
          </cell>
          <cell r="B6">
            <v>118.2</v>
          </cell>
        </row>
        <row r="7">
          <cell r="A7">
            <v>140</v>
          </cell>
          <cell r="B7">
            <v>132.4</v>
          </cell>
        </row>
        <row r="8">
          <cell r="A8">
            <v>160</v>
          </cell>
          <cell r="B8">
            <v>151.4</v>
          </cell>
        </row>
        <row r="9">
          <cell r="A9">
            <v>180</v>
          </cell>
          <cell r="B9">
            <v>170.2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 sheetId="64" refreshError="1"/>
      <sheetData sheetId="65" refreshError="1"/>
      <sheetData sheetId="66" refreshError="1"/>
      <sheetData sheetId="67"/>
      <sheetData sheetId="68" refreshError="1"/>
      <sheetData sheetId="69"/>
      <sheetData sheetId="70"/>
      <sheetData sheetId="7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amp;m"/>
      <sheetName val="pvc_basic"/>
      <sheetName val="sup dat"/>
      <sheetName val="ABS"/>
      <sheetName val="Leads"/>
      <sheetName val="Lead"/>
      <sheetName val="Data.F8.BTR"/>
      <sheetName val="MRATES"/>
    </sheetNames>
    <sheetDataSet>
      <sheetData sheetId="0" refreshError="1"/>
      <sheetData sheetId="1" refreshError="1"/>
      <sheetData sheetId="2" refreshError="1">
        <row r="4">
          <cell r="G4" t="str">
            <v>Input Rate</v>
          </cell>
        </row>
        <row r="13">
          <cell r="G13" t="str">
            <v>Input Rate</v>
          </cell>
        </row>
      </sheetData>
      <sheetData sheetId="3" refreshError="1">
        <row r="5">
          <cell r="D5">
            <v>137</v>
          </cell>
        </row>
        <row r="19">
          <cell r="D19">
            <v>156</v>
          </cell>
        </row>
      </sheetData>
      <sheetData sheetId="4" refreshError="1">
        <row r="47">
          <cell r="D47" t="str">
            <v>Input Rate</v>
          </cell>
        </row>
        <row r="51">
          <cell r="D51">
            <v>2400</v>
          </cell>
        </row>
        <row r="70">
          <cell r="D70" t="str">
            <v>Input Rate</v>
          </cell>
        </row>
        <row r="79">
          <cell r="D79" t="str">
            <v>Input Rate</v>
          </cell>
        </row>
        <row r="126">
          <cell r="D126" t="str">
            <v>Input Rate</v>
          </cell>
        </row>
        <row r="129">
          <cell r="D129">
            <v>27000</v>
          </cell>
        </row>
        <row r="130">
          <cell r="D130">
            <v>26000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ANNEX"/>
      <sheetName val="P_REPORT"/>
      <sheetName val="SPECIFICATION"/>
      <sheetName val="ABS"/>
      <sheetName val="ESTT_MOST"/>
      <sheetName val="m"/>
      <sheetName val="M2"/>
      <sheetName val="M3"/>
      <sheetName val="m1"/>
      <sheetName val="DATA"/>
      <sheetName val="LE"/>
      <sheetName val="Sheet1"/>
      <sheetName val="Lead"/>
      <sheetName val="0000000000000"/>
      <sheetName val="XXXXXXXXXXXXX"/>
      <sheetName val="XXXXXXXXXXXX0"/>
      <sheetName val="Leadstatement "/>
      <sheetName val="exe"/>
      <sheetName val="insp"/>
      <sheetName val="sp"/>
      <sheetName val="Sheet3"/>
      <sheetName val="sub-est"/>
      <sheetName val="ann-b"/>
      <sheetName val="EWCal"/>
      <sheetName val="Sheet4"/>
      <sheetName val="COR.EST"/>
      <sheetName val="Abstrct-Part A"/>
      <sheetName val="leads"/>
      <sheetName val="r"/>
      <sheetName val="Data_Base"/>
      <sheetName val="maya"/>
      <sheetName val="Factory_rates"/>
      <sheetName val="lead-st"/>
      <sheetName val="rdamdata"/>
      <sheetName val="DATA-BASE"/>
      <sheetName val="Labour"/>
      <sheetName val="Material"/>
      <sheetName val="Levels"/>
      <sheetName val="Plant_&amp;__Machinery"/>
      <sheetName val="quarry"/>
      <sheetName val="v"/>
      <sheetName val="DATA-ABSTRACT"/>
      <sheetName val="Bridge Data 2005-06"/>
      <sheetName val="Plant &amp;  Machinery"/>
      <sheetName val="sup dat"/>
      <sheetName val="Abstrct "/>
      <sheetName val="Abstrct  CD works"/>
      <sheetName val="est"/>
      <sheetName val="Slab cul-2m span 1"/>
      <sheetName val="Slab cul-3m span 2"/>
      <sheetName val="Slab cul-2m span 3"/>
      <sheetName val="Slab cul-2m span 4"/>
      <sheetName val="CC over pitching"/>
      <sheetName val="Data CD"/>
      <sheetName val="Lead Statement"/>
      <sheetName val="package summary"/>
      <sheetName val="Nindugerla"/>
      <sheetName val="cc pavement(b)"/>
      <sheetName val="foundations (b)"/>
      <sheetName val="est  (mord)"/>
      <sheetName val="Check Slip"/>
      <sheetName val="Sub Estiamte (2)"/>
      <sheetName val="Field Data"/>
      <sheetName val="Field Data (2)"/>
      <sheetName val="Field Data (3)"/>
      <sheetName val="3day Count"/>
      <sheetName val="Gen. Abstract"/>
      <sheetName val="Common "/>
      <sheetName val="Sheet2"/>
      <sheetName val="Specification report"/>
      <sheetName val="Nspt-smp-final-ORIGINAL"/>
      <sheetName val="Work_sheet"/>
      <sheetName val="Sheet1 (2)"/>
      <sheetName val="GN-ST-10"/>
      <sheetName val="Class IV Qtr. Ele"/>
      <sheetName val="data existing_do not delete"/>
      <sheetName val="habs-list"/>
      <sheetName val="nodes"/>
      <sheetName val="other rates"/>
      <sheetName val="in Put sheet"/>
      <sheetName val="Usage"/>
      <sheetName val="General"/>
      <sheetName val="Part-A"/>
      <sheetName val="ssr-rates"/>
      <sheetName val="Bitumen trunk"/>
      <sheetName val="R99 etc"/>
      <sheetName val="Trunk unpaved"/>
      <sheetName val="mas_hab"/>
      <sheetName val="RMR"/>
      <sheetName val="final abstract"/>
      <sheetName val="Data.F8.BTR"/>
      <sheetName val="Rates2"/>
      <sheetName val="clvrt_data"/>
      <sheetName val="Sheet9"/>
      <sheetName val="Plant_㫨__Machinery"/>
      <sheetName val="Plant 㫨  Machinery"/>
      <sheetName val="Rates"/>
      <sheetName val="Estimate "/>
      <sheetName val="PRECAST lightconc-II"/>
      <sheetName val="CD_Data"/>
      <sheetName val="sch"/>
      <sheetName val="Conv. 13-14"/>
      <sheetName val="GEN-ABS Del"/>
      <sheetName val="BTR"/>
      <sheetName val="Line"/>
      <sheetName val="Road data"/>
      <sheetName val="l"/>
      <sheetName val="HDPE"/>
      <sheetName val="DI"/>
      <sheetName val="pvc"/>
      <sheetName val="hdpe_basic"/>
      <sheetName val="pvc_basic"/>
      <sheetName val="Fie,d Data"/>
      <sheetName val="hdpe-rates"/>
      <sheetName val="hdpe weights"/>
      <sheetName val="pvc-rates"/>
      <sheetName val="PVC weights"/>
      <sheetName val="MRATES"/>
      <sheetName val="DATA_ENTRY"/>
      <sheetName val="BTLeads"/>
      <sheetName val="GF SB Ok "/>
      <sheetName val="GN_ST_10"/>
      <sheetName val="pvc-pipe-rates"/>
      <sheetName val="LEAD S 10-11"/>
      <sheetName val="Gen Abs"/>
      <sheetName val="1V800"/>
      <sheetName val="Rates SSR 2008-09"/>
      <sheetName val="Road Detail Est."/>
      <sheetName val="entitlements"/>
      <sheetName val="fnote"/>
      <sheetName val="QDTS"/>
      <sheetName val="water-hammar-strenght"/>
      <sheetName val="AV-HDPE"/>
      <sheetName val="Di_gate-HDPE"/>
      <sheetName val="index"/>
      <sheetName val="Masonry"/>
      <sheetName val="COVER"/>
      <sheetName val="Convey"/>
      <sheetName val="sand"/>
      <sheetName val="stone"/>
      <sheetName val="int-Dia"/>
      <sheetName val="Usage "/>
      <sheetName val="GBW"/>
      <sheetName val="Boq"/>
      <sheetName val="ESTIMATE"/>
      <sheetName val="Suppl-data"/>
      <sheetName val="abs road"/>
      <sheetName val="dlvoid"/>
      <sheetName val="hdpe_rates"/>
      <sheetName val="hdpe_wt-r"/>
      <sheetName val="DATA_PRG"/>
      <sheetName val="Rate"/>
      <sheetName val="Data rough"/>
      <sheetName val="Habcodes"/>
      <sheetName val="segments-details"/>
      <sheetName val="Main"/>
      <sheetName val="detls"/>
      <sheetName val="Material "/>
      <sheetName val="C.D.Abs.Est."/>
      <sheetName val="Cover page  for Lead "/>
      <sheetName val="V.N.Pur 0.60MPGF"/>
      <sheetName val="B.W. BC COMMUNITY HALL"/>
      <sheetName val="AWB YALAL"/>
      <sheetName val="DOULAPUR "/>
      <sheetName val="Modal Estimate 2"/>
      <sheetName val="Modal Estimate "/>
      <sheetName val=" Ramp"/>
      <sheetName val="PS KOKAT"/>
      <sheetName val="Elec Estimate"/>
      <sheetName val="Sanitory Estimate"/>
      <sheetName val="Septic tank"/>
      <sheetName val="Bore &amp; Pumpset"/>
      <sheetName val="Furniture "/>
      <sheetName val="20 TNs Detailed Est "/>
      <sheetName val="Bar Bending Schedule"/>
      <sheetName val="Flush Door  Shutter Country"/>
      <sheetName val=" Compound wall  "/>
      <sheetName val="Datas"/>
      <sheetName val="Datas  Side wall "/>
      <sheetName val="Veternory  Desponsory  BLDG"/>
      <sheetName val="Rural Live stock"/>
      <sheetName val="Ele data "/>
      <sheetName val="Sanitary&amp;water supply DATA "/>
      <sheetName val=" Doors window- Country 2.0- 1.2"/>
      <sheetName val=" Doors window- Sal Wood "/>
      <sheetName val=" Doors window- Teak 17-18"/>
      <sheetName val=" Doors window- Country "/>
      <sheetName val=" Doors window- Country  -2.0 m"/>
      <sheetName val=" Doors and windows "/>
      <sheetName val="Conveyance"/>
      <sheetName val="MRoad data"/>
      <sheetName val="Sheet5"/>
      <sheetName val="QTY"/>
      <sheetName val="BM-HOOP"/>
      <sheetName val="id"/>
      <sheetName val="Door&amp;Window data"/>
      <sheetName val="Main sheet"/>
      <sheetName val="LOCAL RATES"/>
      <sheetName val="Rates-May-14"/>
      <sheetName val="GM&amp;PM EST- final "/>
      <sheetName val="Detailed"/>
      <sheetName val="COVERPAGE"/>
      <sheetName val="CRUST"/>
      <sheetName val="mlead"/>
      <sheetName val="road est"/>
      <sheetName val="int-dia-hdpe"/>
      <sheetName val="SCHEDULE"/>
      <sheetName val="Database"/>
      <sheetName val="schedule nos"/>
      <sheetName val="Summary"/>
      <sheetName val="JAWAHAR-hyd-original"/>
      <sheetName val="Pop"/>
      <sheetName val="DATA SHEET"/>
      <sheetName val="PUMP_DATA"/>
      <sheetName val="Lead statement ss5"/>
      <sheetName val="SSR"/>
      <sheetName val="RAM"/>
      <sheetName val="Data-all"/>
      <sheetName val="ewst"/>
      <sheetName val="datas slabs, beams"/>
      <sheetName val="VKB-Sump-20-Kotalguda-wd"/>
      <sheetName val="VKB-60-12.95-Burgply-wd"/>
      <sheetName val="VKB60-12.95-Brgply-Specials"/>
      <sheetName val="steel price variation"/>
      <sheetName val="DI Wt"/>
      <sheetName val="VKB-60-30-Enkepally-we4"/>
      <sheetName val="ESSR"/>
      <sheetName val="tax sheet"/>
      <sheetName val="Steel &amp; PV"/>
      <sheetName val="CEMENT - PV"/>
      <sheetName val="Watersoft (2)"/>
      <sheetName val="HDPE-pipe-rates"/>
      <sheetName val="sectorwise"/>
      <sheetName val="R_Det"/>
      <sheetName val="Input Sheet"/>
      <sheetName val="cover page"/>
      <sheetName val="Specification Repoer"/>
      <sheetName val="DETAILED ESTIMATE (2)"/>
      <sheetName val="Data (2)"/>
      <sheetName val="DETAILED ESTIMATE"/>
      <sheetName val="detailed dt22.10.2014"/>
      <sheetName val="PSet(1Ph)"/>
      <sheetName val="comparative"/>
      <sheetName val="seigniorage"/>
      <sheetName val="electrification"/>
      <sheetName val="ELEC datas"/>
      <sheetName val="san data"/>
      <sheetName val="SEIGNORAGE"/>
      <sheetName val="SCHEDULE."/>
      <sheetName val="Est (2)"/>
      <sheetName val="report"/>
      <sheetName val="C-data"/>
      <sheetName val="Lead  RATES"/>
      <sheetName val="CI"/>
      <sheetName val="DATA HM KM NB"/>
      <sheetName val="M5 900"/>
      <sheetName val="M7"/>
      <sheetName val="A.O.R."/>
      <sheetName val="Leadstatement_"/>
      <sheetName val="COR_EST"/>
      <sheetName val="Abstrct-Part_A"/>
      <sheetName val="Bridge_Data_2005-06"/>
      <sheetName val="Plant_&amp;__Machinery1"/>
      <sheetName val="Abstrct_"/>
      <sheetName val="Abstrct__CD_works"/>
      <sheetName val="Slab_cul-2m_span_1"/>
      <sheetName val="Slab_cul-3m_span_2"/>
      <sheetName val="Slab_cul-2m_span_3"/>
      <sheetName val="Slab_cul-2m_span_4"/>
      <sheetName val="CC_over_pitching"/>
      <sheetName val="Data_CD"/>
      <sheetName val="Lead_Statement"/>
      <sheetName val="package_summary"/>
      <sheetName val="cc_pavement(b)"/>
      <sheetName val="foundations_(b)"/>
      <sheetName val="est__(mord)"/>
      <sheetName val="Check_Slip"/>
      <sheetName val="Sub_Estiamte_(2)"/>
      <sheetName val="Field_Data"/>
      <sheetName val="Field_Data_(2)"/>
      <sheetName val="Field_Data_(3)"/>
      <sheetName val="3day_Count"/>
      <sheetName val="Gen__Abstract"/>
      <sheetName val="sup_dat"/>
      <sheetName val="Common_"/>
      <sheetName val="Specification_report"/>
      <sheetName val="Sheet1_(2)"/>
      <sheetName val="Class_IV_Qtr__Ele"/>
      <sheetName val="data_existing_do_not_delete"/>
      <sheetName val="other_rates"/>
      <sheetName val="in_Put_sheet"/>
      <sheetName val="Bitumen_trunk"/>
      <sheetName val="R99_etc"/>
      <sheetName val="Trunk_unpaved"/>
      <sheetName val="final_abstract"/>
      <sheetName val="Data_F8_BTR"/>
      <sheetName val="PRECAST_lightconc-II"/>
      <sheetName val="Plant_㫨__Machinery1"/>
      <sheetName val="Estimate_"/>
      <sheetName val="Conv__13-14"/>
      <sheetName val="GEN-ABS_Del"/>
      <sheetName val="Road_data"/>
      <sheetName val="Fie,d_Data"/>
      <sheetName val="hdpe_weights"/>
      <sheetName val="PVC_weights"/>
      <sheetName val="GF_SB_Ok_"/>
      <sheetName val="LEAD_S_10-11"/>
      <sheetName val="Gen_Abs"/>
      <sheetName val="Road_Detail_Est_"/>
      <sheetName val="Rates_SSR_2008-09"/>
      <sheetName val="InputData"/>
      <sheetName val="Spec"/>
      <sheetName val="evaluate"/>
      <sheetName val="_5wgdhabfinal00_01"/>
      <sheetName val="basic-data"/>
      <sheetName val="Data o"/>
      <sheetName val="hyperstatic-3"/>
      <sheetName val="Stability"/>
      <sheetName val="Data_Bit_I"/>
      <sheetName val="leads-11-12"/>
      <sheetName val="PVC_dia"/>
      <sheetName val="Conveayance charges"/>
      <sheetName val="Hire"/>
      <sheetName val="SSR 2010-11 Rates"/>
      <sheetName val="TBAL9697 -group wise  sdpl"/>
      <sheetName val="Variables"/>
      <sheetName val="calcul"/>
      <sheetName val="zone-8"/>
      <sheetName val="MHNO_LEV"/>
      <sheetName val="Sump_cal"/>
      <sheetName val="pumping main"/>
      <sheetName val="co_5"/>
      <sheetName val="p&amp;m"/>
      <sheetName val="Feeder"/>
      <sheetName val="slab"/>
      <sheetName val="Staff Acco."/>
      <sheetName val="t_prsr"/>
      <sheetName val="wh"/>
      <sheetName val="ultmom"/>
      <sheetName val="INPUT-DATA"/>
      <sheetName val="Flanged Beams"/>
      <sheetName val="SALIENT"/>
      <sheetName val="Rectangular Beam"/>
      <sheetName val="Input"/>
      <sheetName val="section"/>
      <sheetName val="P "/>
      <sheetName val="iocount"/>
      <sheetName val="FORM7"/>
      <sheetName val="wh_data_R"/>
      <sheetName val="#REF"/>
      <sheetName val="Global factors"/>
      <sheetName val="Design"/>
      <sheetName val="BWSCPlt"/>
      <sheetName val="G.R.P"/>
      <sheetName val="PSC REVISED"/>
      <sheetName val="boredetails"/>
      <sheetName val="Sorted"/>
      <sheetName val="int-Dia-pvc"/>
      <sheetName val="DET R"/>
      <sheetName val="BOQ Distribution"/>
      <sheetName val="Lead- Input sheet "/>
      <sheetName val="GA"/>
      <sheetName val="Dn LF Sluice"/>
      <sheetName val="c.d.data (morth)"/>
      <sheetName val="rd.det.est"/>
      <sheetName val="rd.data"/>
      <sheetName val="mlead "/>
      <sheetName val="cert"/>
      <sheetName val="data-WC"/>
      <sheetName val="cover (2)"/>
      <sheetName val="Ghanapur to Suraram jn. det"/>
      <sheetName val="civ data"/>
      <sheetName val="Mp-team 1"/>
      <sheetName val="TOP SLAB-beams"/>
      <sheetName val="GM&amp;PM WE1 EST"/>
      <sheetName val="airvalve-AC PN 1.60"/>
      <sheetName val="Soft-sluice-AC,GRP PN 1.6"/>
      <sheetName val="soft-sluice-BWSC-MS"/>
      <sheetName val="DI sluice valve"/>
      <sheetName val="20KL-12m"/>
      <sheetName val="PS1"/>
      <sheetName val="Basicrates"/>
      <sheetName val="Rd.Est"/>
      <sheetName val="Leads Entry"/>
      <sheetName val="Data-ELSR"/>
      <sheetName val="Mortars"/>
      <sheetName val=" Data -Valves"/>
      <sheetName val="Results"/>
      <sheetName val="leads-c"/>
      <sheetName val="LEAD LOOKUP"/>
    </sheetNames>
    <sheetDataSet>
      <sheetData sheetId="0" refreshError="1"/>
      <sheetData sheetId="1" refreshError="1"/>
      <sheetData sheetId="2" refreshError="1"/>
      <sheetData sheetId="3" refreshError="1"/>
      <sheetData sheetId="4" refreshError="1"/>
      <sheetData sheetId="5" refreshError="1"/>
      <sheetData sheetId="6" refreshError="1">
        <row r="3">
          <cell r="M3">
            <v>117</v>
          </cell>
        </row>
        <row r="149">
          <cell r="B149" t="str">
            <v>Bijnepally</v>
          </cell>
          <cell r="D149" t="str">
            <v>Bijnepally</v>
          </cell>
        </row>
      </sheetData>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sheetData sheetId="56"/>
      <sheetData sheetId="57"/>
      <sheetData sheetId="58"/>
      <sheetData sheetId="59"/>
      <sheetData sheetId="60"/>
      <sheetData sheetId="61"/>
      <sheetData sheetId="62"/>
      <sheetData sheetId="63"/>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ne vent Pipe"/>
      <sheetName val="Four vents"/>
      <sheetName val="two vents"/>
      <sheetName val="data"/>
      <sheetName val="Lead"/>
      <sheetName val="Designs"/>
      <sheetName val="3Vents"/>
      <sheetName val="Abut"/>
      <sheetName val="Pier"/>
      <sheetName val="Speci"/>
      <sheetName val="One vent "/>
      <sheetName val="Material"/>
      <sheetName val="Sheet1"/>
      <sheetName val="Contents"/>
      <sheetName val="Plant &amp;  Machinery"/>
      <sheetName val="Labour"/>
      <sheetName val="Lead statement (2)"/>
      <sheetName val="Lead statement"/>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Sheet3"/>
      <sheetName val="Lead (2)"/>
      <sheetName val="Data (2)"/>
      <sheetName val="Estimate"/>
      <sheetName val="XXXXXXXXXXXXX"/>
      <sheetName val="0000000000000"/>
      <sheetName val="6.5% (2)"/>
      <sheetName val="est (2)"/>
      <sheetName val="XXXXXXXXXXXX0"/>
      <sheetName val="Abstract (2)"/>
      <sheetName val="Detailed"/>
      <sheetName val="key (2)"/>
      <sheetName val="pro-B (2)"/>
      <sheetName val="est  (mord)"/>
      <sheetName val="est(old) "/>
      <sheetName val="6.5%"/>
      <sheetName val="10%"/>
      <sheetName val="1000000000000"/>
      <sheetName val="Day1"/>
      <sheetName val="Day2"/>
      <sheetName val="Day3"/>
      <sheetName val="Sheet1 (2)"/>
      <sheetName val="pav-des"/>
      <sheetName val="ccdes"/>
      <sheetName val="key"/>
      <sheetName val="Sheet11"/>
      <sheetName val="Spe"/>
      <sheetName val="cert"/>
      <sheetName val="curve"/>
      <sheetName val="Sheet10"/>
      <sheetName val="Sheet16"/>
      <sheetName val="Sheet15"/>
      <sheetName val="Sheet6"/>
      <sheetName val="rdamdata"/>
      <sheetName val="m"/>
      <sheetName val="sup dat"/>
      <sheetName val="leads"/>
      <sheetName val="Boq"/>
      <sheetName val="Levels"/>
      <sheetName val="Iocount"/>
      <sheetName val="mas_hab"/>
      <sheetName val="Class IV Qtr. Ele"/>
      <sheetName val="t_prsr"/>
      <sheetName val="id"/>
      <sheetName val="Bridge Data 2005-06"/>
      <sheetName val="m1"/>
      <sheetName val="RMR"/>
      <sheetName val="maya"/>
      <sheetName val="Works"/>
      <sheetName val="General"/>
      <sheetName val="MRATES"/>
      <sheetName val="Road data"/>
      <sheetName val="habs-list"/>
      <sheetName val="nodes"/>
      <sheetName val="hdpe-rates"/>
      <sheetName val="hdpe weights"/>
      <sheetName val="ssr-rates"/>
      <sheetName val="pvc-rates"/>
      <sheetName val="PVC weights"/>
      <sheetName val="rates"/>
      <sheetName val="DISCOUNT"/>
      <sheetName val="Sheet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13">
          <cell r="D113">
            <v>4304.08</v>
          </cell>
        </row>
        <row r="117">
          <cell r="D117">
            <v>918.77</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ew_OG"/>
      <sheetName val="DI_Weights"/>
      <sheetName val="Wt_of_HDPE"/>
      <sheetName val="hdpe_weights"/>
      <sheetName val="PVC_weights"/>
      <sheetName val="Plant &amp;  Machinery"/>
      <sheetName val="Material"/>
      <sheetName val="Labour"/>
      <sheetName val="Bridge Data 2005-06"/>
      <sheetName val="Sheet2"/>
      <sheetName val="detls"/>
      <sheetName val="DATA-BASE"/>
      <sheetName val="DATA-ABSTRACT"/>
      <sheetName val="MRATES"/>
      <sheetName val="MRoad data"/>
      <sheetName val="m"/>
      <sheetName val="Summary"/>
      <sheetName val="Road data"/>
      <sheetName val="Boq"/>
      <sheetName val="Sheet9"/>
      <sheetName val="GF SB Ok "/>
      <sheetName val="Iocount"/>
      <sheetName val="Sheet5"/>
      <sheetName val="Sheet3"/>
      <sheetName val="Class IV Qtr. Ele"/>
      <sheetName val="r"/>
      <sheetName val="pvc_basic"/>
      <sheetName val="final abstract"/>
      <sheetName val="DATA_PRG"/>
      <sheetName val="sup dat"/>
      <sheetName val="labour coeff"/>
      <sheetName val="lead-st"/>
      <sheetName val="rdamdata"/>
      <sheetName val="v"/>
      <sheetName val="RMR"/>
      <sheetName val="Lead statement"/>
      <sheetName val="Weightage-Sub Sht"/>
      <sheetName val="GBW"/>
      <sheetName val="R_Det"/>
      <sheetName val="C-data"/>
      <sheetName val="PRECAST lightconc-II"/>
      <sheetName val="ewst"/>
      <sheetName val="Data_Bit_I"/>
      <sheetName val="Road Detail Est."/>
      <sheetName val="Cover"/>
      <sheetName val="m1"/>
      <sheetName val="1"/>
      <sheetName val="Data.F8.BTR"/>
      <sheetName val="Cost summary"/>
      <sheetName val="Rates"/>
      <sheetName val="BTR"/>
      <sheetName val="Common "/>
      <sheetName val="HDPE-pipe-rates"/>
      <sheetName val="pvc-pipe-rates"/>
      <sheetName val="Mp-team 1"/>
      <sheetName val="Main sheet"/>
      <sheetName val="Specification"/>
      <sheetName val="Specification report"/>
      <sheetName val="quarry"/>
      <sheetName val="Data 07-08 "/>
      <sheetName val="calcul"/>
      <sheetName val="Sheet1 (2)"/>
      <sheetName val="Nspt-smp-final-ORIGINAL"/>
      <sheetName val="ESTIMATE"/>
      <sheetName val="bom"/>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SPECIFICATION"/>
      <sheetName val="m"/>
      <sheetName val="M2"/>
      <sheetName val="m1"/>
      <sheetName val="ESTT_FINAL"/>
      <sheetName val="LEAD_CHART"/>
      <sheetName val="SCHEDULE_A"/>
      <sheetName val="Sheet9"/>
      <sheetName val="Bridge Data 2005-06"/>
      <sheetName val="leads"/>
      <sheetName val="RMR"/>
      <sheetName val="Road data"/>
      <sheetName val="bundqty"/>
      <sheetName val="r"/>
      <sheetName val="GF SB Ok "/>
      <sheetName val="HDPE-pipe-rates"/>
      <sheetName val="pvc-pipe-rates"/>
      <sheetName val="MRATES"/>
      <sheetName val="Labour"/>
      <sheetName val="Material"/>
      <sheetName val="Data"/>
      <sheetName val="BWSCPlt"/>
      <sheetName val="CI"/>
      <sheetName val="DI"/>
      <sheetName val="G.R.P"/>
      <sheetName val="HDPE"/>
      <sheetName val="PSC REVISED"/>
      <sheetName val="pvc"/>
      <sheetName val="data existing_do not delete"/>
      <sheetName val="Nspt-smp-final-ORIGINAL"/>
      <sheetName val="Plant &amp;  Machinery"/>
      <sheetName val="DATA-BASE"/>
      <sheetName val="DATA-ABSTRACT"/>
      <sheetName val="ewst"/>
      <sheetName val="Common "/>
      <sheetName val="Mp-team 1"/>
      <sheetName val="0000000000000"/>
      <sheetName val="Lead"/>
      <sheetName val="Main sheet"/>
      <sheetName val="wh_data"/>
      <sheetName val="wh_data_R"/>
      <sheetName val="CPHEEO"/>
      <sheetName val="input"/>
      <sheetName val="GBW"/>
      <sheetName val="MRoad data"/>
      <sheetName val="Road Detail Est."/>
      <sheetName val="table"/>
      <sheetName val="Lead statement"/>
      <sheetName val="water-hammar-strenght"/>
      <sheetName val="Rate Analysis"/>
      <sheetName val="concrete"/>
      <sheetName val="Drawing status-1"/>
      <sheetName val="Notes"/>
      <sheetName val="data_prg"/>
      <sheetName val="Sheet1"/>
      <sheetName val="Boq"/>
      <sheetName val="Levels"/>
      <sheetName val="Rates"/>
      <sheetName val="Bitumen trunk"/>
      <sheetName val="Feeder"/>
      <sheetName val="R99 etc"/>
      <sheetName val="Trunk unpaved"/>
      <sheetName val="C-data"/>
      <sheetName val="Cover"/>
      <sheetName val="C &amp; G RHS"/>
      <sheetName val="labour coeff"/>
      <sheetName val="Sheet2"/>
      <sheetName val="Bridge_Data_2005-06"/>
      <sheetName val="Road_data"/>
      <sheetName val="GF_SB_Ok_"/>
      <sheetName val="G_R_P"/>
      <sheetName val="PSC_REVISED"/>
      <sheetName val="data_existing_do_not_delete"/>
      <sheetName val="Plant_&amp;__Machinery"/>
      <sheetName val="Common_"/>
      <sheetName val="Mp-team_1"/>
      <sheetName val="Main_sheet"/>
      <sheetName val="MRoad_data"/>
      <sheetName val="Road_Detail_Est_"/>
      <sheetName val="Lead_statement"/>
      <sheetName val="Rate_Analysis"/>
      <sheetName val="mlead"/>
      <sheetName val="abs road"/>
      <sheetName val="R_Det"/>
      <sheetName val="Iocount"/>
      <sheetName val="Variables"/>
      <sheetName val="pvc_basic"/>
      <sheetName val="PVC_dia"/>
      <sheetName val="detls"/>
      <sheetName val="NGKL_SPLRRM_ ROAD_MODEL"/>
      <sheetName val="sup dat"/>
      <sheetName val="Sheet1 (2)"/>
      <sheetName val="Sheet3"/>
      <sheetName val="l"/>
      <sheetName val="Data_Bit_I"/>
      <sheetName val="Data.F8.BTR"/>
      <sheetName val="C.D.Abs.Est."/>
      <sheetName val="Data o"/>
    </sheetNames>
    <sheetDataSet>
      <sheetData sheetId="0" refreshError="1"/>
      <sheetData sheetId="1" refreshError="1"/>
      <sheetData sheetId="2"/>
      <sheetData sheetId="3"/>
      <sheetData sheetId="4">
        <row r="9">
          <cell r="D9">
            <v>249.47</v>
          </cell>
        </row>
        <row r="30">
          <cell r="D30">
            <v>101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sheetData sheetId="74"/>
      <sheetData sheetId="75"/>
      <sheetData sheetId="76"/>
      <sheetData sheetId="77"/>
      <sheetData sheetId="78"/>
      <sheetData sheetId="79"/>
      <sheetData sheetId="80"/>
      <sheetData sheetId="8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ed BOQ week"/>
      <sheetName val="Revised BOQ week Samp"/>
      <sheetName val="BOQ week"/>
      <sheetName val="BOQ week Samp"/>
      <sheetName val="Labour week"/>
      <sheetName val="Labour week Samp"/>
      <sheetName val="labour coeff"/>
      <sheetName val="Material week"/>
      <sheetName val="Job Cost - month"/>
      <sheetName val="JCR Revised Format - month"/>
      <sheetName val="Bulk Samp"/>
      <sheetName val="Bulk Top"/>
      <sheetName val="Claim Vs Cert"/>
      <sheetName val="Sc Recon"/>
      <sheetName val="RMC"/>
      <sheetName val="Steel"/>
      <sheetName val="S7A-Fort Empty"/>
      <sheetName val="S7A-Fort Samp"/>
      <sheetName val="Staffmonthly"/>
      <sheetName val="Scaff - Fort"/>
      <sheetName val="Scaff - Req"/>
      <sheetName val="F3"/>
      <sheetName val="F3-Samp1"/>
      <sheetName val="F3-Samp2"/>
      <sheetName val="F3-Samp3"/>
      <sheetName val="F3-Samp4"/>
      <sheetName val="F3-Samp5"/>
      <sheetName val="Sheet1"/>
      <sheetName val="Sheet2"/>
      <sheetName val="Sheet3"/>
      <sheetName val="TBAL9697 -group wise  sdpl"/>
      <sheetName val="p&amp;m"/>
      <sheetName val="data existing_do not delete"/>
      <sheetName val="comp-st(GEN)"/>
      <sheetName val="m1"/>
      <sheetName val="DATA"/>
      <sheetName val="Labour"/>
      <sheetName val="Road Detail Est."/>
      <sheetName val="Detailed"/>
      <sheetName val="FIRE ESTIMATE"/>
      <sheetName val="Fill this out first..."/>
      <sheetName val="Build-up"/>
      <sheetName val="FORM7"/>
      <sheetName val="PRECAST lightconc-II"/>
      <sheetName val="VCH-SLC"/>
      <sheetName val="Supplier"/>
      <sheetName val="Boq"/>
      <sheetName val="dBase"/>
      <sheetName val="Pile cap"/>
      <sheetName val="Costing"/>
      <sheetName val="Meas.-Hotel Part"/>
      <sheetName val="RA-markate"/>
      <sheetName val="Tender Summary"/>
      <sheetName val="factors"/>
      <sheetName val="storm water1"/>
      <sheetName val="Download DATA"/>
      <sheetName val="Driveway Beams"/>
      <sheetName val="Inputs"/>
      <sheetName val="Quantities"/>
      <sheetName val="Mat_Cost"/>
      <sheetName val="TEXT"/>
      <sheetName val="Headings"/>
      <sheetName val="Flooring"/>
      <sheetName val="ELEC_BOQ"/>
      <sheetName val="Staff Acco."/>
      <sheetName val="2nd "/>
      <sheetName val="INPUT SHEET"/>
      <sheetName val="RES-PLANNING"/>
      <sheetName val="Macro1"/>
      <sheetName val="Civil Boq"/>
      <sheetName val="환율"/>
      <sheetName val="재1"/>
      <sheetName val="HEAD"/>
      <sheetName val="Contract Night Staff"/>
      <sheetName val="Contract Day Staff"/>
      <sheetName val="Day Shift"/>
      <sheetName val="Night Shift"/>
      <sheetName val="월선수금"/>
      <sheetName val="Basic Rates"/>
      <sheetName val="COST"/>
      <sheetName val="M.S."/>
      <sheetName val="SILICATE"/>
      <sheetName val="HVAC"/>
      <sheetName val="RA"/>
      <sheetName val="Boq- Civil"/>
      <sheetName val="Name List"/>
      <sheetName val="Cost Basis"/>
      <sheetName val="Civil-Mat."/>
      <sheetName val="BOQ Distribution"/>
      <sheetName val="SITE OVERHEADS"/>
      <sheetName val="Pacakges split"/>
      <sheetName val="Brand"/>
      <sheetName val="Location"/>
      <sheetName val="PackSize"/>
      <sheetName val="PackagingType"/>
      <sheetName val="Plant"/>
      <sheetName val="ProductHierarchy"/>
      <sheetName val="PurchGroup"/>
      <sheetName val="Sub-brand"/>
      <sheetName val="UOM"/>
      <sheetName val="Variant"/>
      <sheetName val="Excavation (2)"/>
      <sheetName val="Plum Concrete"/>
      <sheetName val="RMC  DO Till (CEDAR)"/>
      <sheetName val="STEEL DO TILL BANYAN"/>
      <sheetName val="RMC  DO Till BANYAN"/>
      <sheetName val="Cost summary"/>
      <sheetName val="RCC,Ret. Wall"/>
      <sheetName val="GN-ST-10"/>
      <sheetName val="ITB COST"/>
      <sheetName val="concrete"/>
      <sheetName val="beam-reinft-IIInd floor"/>
      <sheetName val="L+M"/>
      <sheetName val="gen"/>
      <sheetName val="Parameter"/>
      <sheetName val="FITZ MORT 94"/>
      <sheetName val="Lead"/>
      <sheetName val="Income Statement"/>
      <sheetName val="Intro."/>
      <sheetName val="St.co.91.5lvl"/>
      <sheetName val="WORK TABLE"/>
      <sheetName val="inWords"/>
      <sheetName val="Fill this out first___"/>
      <sheetName val="PMS"/>
      <sheetName val="DISTRIBUTION"/>
      <sheetName val="BOQ LT"/>
      <sheetName val="A.O.R r1Str"/>
      <sheetName val="A.O.R r1"/>
      <sheetName val="A.O.R (2)"/>
      <sheetName val="DOOR-WIND"/>
      <sheetName val="zone-8"/>
      <sheetName val="MHNO_LEV"/>
      <sheetName val="co_5"/>
      <sheetName val="zone-2"/>
      <sheetName val="Z1_DATA"/>
      <sheetName val="D2_CO"/>
      <sheetName val="D1_CO"/>
      <sheetName val="Structure Bills Qty"/>
      <sheetName val="Revised_BOQ_week"/>
      <sheetName val="Revised_BOQ_week_Samp"/>
      <sheetName val="BOQ_week"/>
      <sheetName val="BOQ_week_Samp"/>
      <sheetName val="Labour_week"/>
      <sheetName val="Labour_week_Samp"/>
      <sheetName val="labour_coeff"/>
      <sheetName val="Material_week"/>
      <sheetName val="Job_Cost_-_month"/>
      <sheetName val="JCR_Revised_Format_-_month"/>
      <sheetName val="Bulk_Samp"/>
      <sheetName val="Bulk_Top"/>
      <sheetName val="Claim_Vs_Cert"/>
      <sheetName val="Sc_Recon"/>
      <sheetName val="S7A-Fort_Empty"/>
      <sheetName val="S7A-Fort_Samp"/>
      <sheetName val="Scaff_-_Fort"/>
      <sheetName val="Scaff_-_Req"/>
      <sheetName val="Tender_Summary"/>
      <sheetName val="Civil-Mat_"/>
      <sheetName val="PRECAST_lightconc-II"/>
      <sheetName val="BOQ_Distribution"/>
      <sheetName val="TBAL9697_-group_wise__sdpl"/>
      <sheetName val="Fill_this_out_first___"/>
      <sheetName val="2nd_"/>
      <sheetName val="Pile_cap"/>
      <sheetName val="Name_List"/>
      <sheetName val="Driveway_Beams"/>
      <sheetName val="INPUT_SHEET"/>
      <sheetName val="Civil_Boq"/>
      <sheetName val="Contract_Night_Staff"/>
      <sheetName val="Contract_Day_Staff"/>
      <sheetName val="Day_Shift"/>
      <sheetName val="Night_Shift"/>
      <sheetName val="Basic_Rates"/>
      <sheetName val="M_S_"/>
      <sheetName val="Staff_Acco_"/>
      <sheetName val="Meas_-Hotel_Part"/>
      <sheetName val="Revised_BOQ_week1"/>
      <sheetName val="Revised_BOQ_week_Samp1"/>
      <sheetName val="BOQ_week1"/>
      <sheetName val="BOQ_week_Samp1"/>
      <sheetName val="Labour_week1"/>
      <sheetName val="Labour_week_Samp1"/>
      <sheetName val="labour_coeff1"/>
      <sheetName val="Material_week1"/>
      <sheetName val="Job_Cost_-_month1"/>
      <sheetName val="JCR_Revised_Format_-_month1"/>
      <sheetName val="Bulk_Samp1"/>
      <sheetName val="Bulk_Top1"/>
      <sheetName val="Claim_Vs_Cert1"/>
      <sheetName val="Sc_Recon1"/>
      <sheetName val="S7A-Fort_Empty1"/>
      <sheetName val="S7A-Fort_Samp1"/>
      <sheetName val="Scaff_-_Fort1"/>
      <sheetName val="Scaff_-_Req1"/>
      <sheetName val="Tender_Summary1"/>
      <sheetName val="Civil-Mat_1"/>
      <sheetName val="PRECAST_lightconc-II1"/>
      <sheetName val="BOQ_Distribution1"/>
      <sheetName val="TBAL9697_-group_wise__sdpl1"/>
      <sheetName val="Fill_this_out_first___1"/>
      <sheetName val="2nd_1"/>
      <sheetName val="Pile_cap1"/>
      <sheetName val="Name_List1"/>
      <sheetName val="Driveway_Beams1"/>
      <sheetName val="INPUT_SHEET1"/>
      <sheetName val="Civil_Boq1"/>
      <sheetName val="Contract_Night_Staff1"/>
      <sheetName val="Contract_Day_Staff1"/>
      <sheetName val="Day_Shift1"/>
      <sheetName val="Night_Shift1"/>
      <sheetName val="Basic_Rates1"/>
      <sheetName val="M_S_1"/>
      <sheetName val="Staff_Acco_1"/>
      <sheetName val="Meas_-Hotel_Part1"/>
      <sheetName val="Revised_BOQ_week2"/>
      <sheetName val="Revised_BOQ_week_Samp2"/>
      <sheetName val="BOQ_week2"/>
      <sheetName val="BOQ_week_Samp2"/>
      <sheetName val="Labour_week2"/>
      <sheetName val="Labour_week_Samp2"/>
      <sheetName val="labour_coeff2"/>
      <sheetName val="Material_week2"/>
      <sheetName val="Job_Cost_-_month2"/>
      <sheetName val="JCR_Revised_Format_-_month2"/>
      <sheetName val="Bulk_Samp2"/>
      <sheetName val="Bulk_Top2"/>
      <sheetName val="Claim_Vs_Cert2"/>
      <sheetName val="Sc_Recon2"/>
      <sheetName val="S7A-Fort_Empty2"/>
      <sheetName val="S7A-Fort_Samp2"/>
      <sheetName val="Scaff_-_Fort2"/>
      <sheetName val="Scaff_-_Req2"/>
      <sheetName val="Tender_Summary2"/>
      <sheetName val="Civil-Mat_2"/>
      <sheetName val="PRECAST_lightconc-II2"/>
      <sheetName val="BOQ_Distribution2"/>
      <sheetName val="TBAL9697_-group_wise__sdpl2"/>
      <sheetName val="Fill_this_out_first___2"/>
      <sheetName val="2nd_2"/>
      <sheetName val="Pile_cap2"/>
      <sheetName val="Name_List2"/>
      <sheetName val="Driveway_Beams2"/>
      <sheetName val="INPUT_SHEET2"/>
      <sheetName val="Civil_Boq2"/>
      <sheetName val="Contract_Night_Staff2"/>
      <sheetName val="Contract_Day_Staff2"/>
      <sheetName val="Day_Shift2"/>
      <sheetName val="Night_Shift2"/>
      <sheetName val="Basic_Rates2"/>
      <sheetName val="M_S_2"/>
      <sheetName val="Staff_Acco_2"/>
      <sheetName val="Meas_-Hotel_Part2"/>
      <sheetName val="Revised_BOQ_week3"/>
      <sheetName val="Revised_BOQ_week_Samp3"/>
      <sheetName val="BOQ_week3"/>
      <sheetName val="BOQ_week_Samp3"/>
      <sheetName val="Labour_week3"/>
      <sheetName val="Labour_week_Samp3"/>
      <sheetName val="labour_coeff3"/>
      <sheetName val="Material_week3"/>
      <sheetName val="Job_Cost_-_month3"/>
      <sheetName val="JCR_Revised_Format_-_month3"/>
      <sheetName val="Bulk_Samp3"/>
      <sheetName val="Bulk_Top3"/>
      <sheetName val="Claim_Vs_Cert3"/>
      <sheetName val="Sc_Recon3"/>
      <sheetName val="S7A-Fort_Empty3"/>
      <sheetName val="S7A-Fort_Samp3"/>
      <sheetName val="Scaff_-_Fort3"/>
      <sheetName val="Scaff_-_Req3"/>
      <sheetName val="Tender_Summary3"/>
      <sheetName val="Civil-Mat_3"/>
      <sheetName val="PRECAST_lightconc-II3"/>
      <sheetName val="BOQ_Distribution3"/>
      <sheetName val="TBAL9697_-group_wise__sdpl3"/>
      <sheetName val="Fill_this_out_first___3"/>
      <sheetName val="2nd_3"/>
      <sheetName val="Pile_cap3"/>
      <sheetName val="Name_List3"/>
      <sheetName val="Driveway_Beams3"/>
      <sheetName val="INPUT_SHEET3"/>
      <sheetName val="Civil_Boq3"/>
      <sheetName val="Contract_Night_Staff3"/>
      <sheetName val="Contract_Day_Staff3"/>
      <sheetName val="Day_Shift3"/>
      <sheetName val="Night_Shift3"/>
      <sheetName val="Basic_Rates3"/>
      <sheetName val="M_S_3"/>
      <sheetName val="Staff_Acco_3"/>
      <sheetName val="Meas_-Hotel_Part3"/>
      <sheetName val="Revised_BOQ_week4"/>
      <sheetName val="Revised_BOQ_week_Samp4"/>
      <sheetName val="BOQ_week4"/>
      <sheetName val="BOQ_week_Samp4"/>
      <sheetName val="Labour_week4"/>
      <sheetName val="Labour_week_Samp4"/>
      <sheetName val="labour_coeff4"/>
      <sheetName val="Material_week4"/>
      <sheetName val="Job_Cost_-_month4"/>
      <sheetName val="JCR_Revised_Format_-_month4"/>
      <sheetName val="Bulk_Samp4"/>
      <sheetName val="Bulk_Top4"/>
      <sheetName val="Claim_Vs_Cert4"/>
      <sheetName val="Sc_Recon4"/>
      <sheetName val="S7A-Fort_Empty4"/>
      <sheetName val="S7A-Fort_Samp4"/>
      <sheetName val="Scaff_-_Fort4"/>
      <sheetName val="Scaff_-_Req4"/>
      <sheetName val="Tender_Summary4"/>
      <sheetName val="Civil-Mat_4"/>
      <sheetName val="PRECAST_lightconc-II4"/>
      <sheetName val="BOQ_Distribution4"/>
      <sheetName val="TBAL9697_-group_wise__sdpl4"/>
      <sheetName val="Fill_this_out_first___4"/>
      <sheetName val="2nd_4"/>
      <sheetName val="Pile_cap4"/>
      <sheetName val="Name_List4"/>
      <sheetName val="Driveway_Beams4"/>
      <sheetName val="INPUT_SHEET4"/>
      <sheetName val="Civil_Boq4"/>
      <sheetName val="Contract_Night_Staff4"/>
      <sheetName val="Contract_Day_Staff4"/>
      <sheetName val="Day_Shift4"/>
      <sheetName val="Night_Shift4"/>
      <sheetName val="Basic_Rates4"/>
      <sheetName val="M_S_4"/>
      <sheetName val="Staff_Acco_4"/>
      <sheetName val="Meas_-Hotel_Part4"/>
      <sheetName val="Revised_BOQ_week5"/>
      <sheetName val="Revised_BOQ_week_Samp5"/>
      <sheetName val="BOQ_week5"/>
      <sheetName val="BOQ_week_Samp5"/>
      <sheetName val="Labour_week5"/>
      <sheetName val="Labour_week_Samp5"/>
      <sheetName val="labour_coeff5"/>
      <sheetName val="Material_week5"/>
      <sheetName val="Job_Cost_-_month5"/>
      <sheetName val="JCR_Revised_Format_-_month5"/>
      <sheetName val="Bulk_Samp5"/>
      <sheetName val="Bulk_Top5"/>
      <sheetName val="Claim_Vs_Cert5"/>
      <sheetName val="Sc_Recon5"/>
      <sheetName val="S7A-Fort_Empty5"/>
      <sheetName val="S7A-Fort_Samp5"/>
      <sheetName val="Scaff_-_Fort5"/>
      <sheetName val="Scaff_-_Req5"/>
      <sheetName val="Tender_Summary5"/>
      <sheetName val="Civil-Mat_5"/>
      <sheetName val="PRECAST_lightconc-II5"/>
      <sheetName val="BOQ_Distribution5"/>
      <sheetName val="TBAL9697_-group_wise__sdpl5"/>
      <sheetName val="Fill_this_out_first___5"/>
      <sheetName val="2nd_5"/>
      <sheetName val="Pile_cap5"/>
      <sheetName val="Name_List5"/>
      <sheetName val="Driveway_Beams5"/>
      <sheetName val="INPUT_SHEET5"/>
      <sheetName val="Civil_Boq5"/>
      <sheetName val="Contract_Night_Staff5"/>
      <sheetName val="Contract_Day_Staff5"/>
      <sheetName val="Day_Shift5"/>
      <sheetName val="Night_Shift5"/>
      <sheetName val="Basic_Rates5"/>
      <sheetName val="M_S_5"/>
      <sheetName val="Staff_Acco_5"/>
      <sheetName val="Meas_-Hotel_Part5"/>
      <sheetName val="Revised_BOQ_week6"/>
      <sheetName val="Revised_BOQ_week_Samp6"/>
      <sheetName val="BOQ_week6"/>
      <sheetName val="BOQ_week_Samp6"/>
      <sheetName val="Labour_week6"/>
      <sheetName val="Labour_week_Samp6"/>
      <sheetName val="labour_coeff6"/>
      <sheetName val="Material_week6"/>
      <sheetName val="Job_Cost_-_month6"/>
      <sheetName val="JCR_Revised_Format_-_month6"/>
      <sheetName val="Bulk_Samp6"/>
      <sheetName val="Bulk_Top6"/>
      <sheetName val="Claim_Vs_Cert6"/>
      <sheetName val="Sc_Recon6"/>
      <sheetName val="S7A-Fort_Empty6"/>
      <sheetName val="S7A-Fort_Samp6"/>
      <sheetName val="Scaff_-_Fort6"/>
      <sheetName val="Scaff_-_Req6"/>
      <sheetName val="Tender_Summary6"/>
      <sheetName val="Civil-Mat_6"/>
      <sheetName val="PRECAST_lightconc-II6"/>
      <sheetName val="BOQ_Distribution6"/>
      <sheetName val="TBAL9697_-group_wise__sdpl6"/>
      <sheetName val="Fill_this_out_first___6"/>
      <sheetName val="2nd_6"/>
      <sheetName val="Pile_cap6"/>
      <sheetName val="Name_List6"/>
      <sheetName val="Driveway_Beams6"/>
      <sheetName val="INPUT_SHEET6"/>
      <sheetName val="Civil_Boq6"/>
      <sheetName val="Contract_Night_Staff6"/>
      <sheetName val="Contract_Day_Staff6"/>
      <sheetName val="Day_Shift6"/>
      <sheetName val="Night_Shift6"/>
      <sheetName val="Basic_Rates6"/>
      <sheetName val="M_S_6"/>
      <sheetName val="Staff_Acco_6"/>
      <sheetName val="Meas_-Hotel_Part6"/>
      <sheetName val="Boq-_Civil"/>
      <sheetName val="SITE_OVERHEADS"/>
      <sheetName val="Pacakges_split"/>
      <sheetName val="Excavation_(2)"/>
      <sheetName val="Plum_Concrete"/>
      <sheetName val="RMC__DO_Till_(CEDAR)"/>
      <sheetName val="STEEL_DO_TILL_BANYAN"/>
      <sheetName val="RMC__DO_Till_BANYAN"/>
      <sheetName val="storm_water1"/>
      <sheetName val="beam-reinft-IIInd_floor"/>
      <sheetName val="ITB_COST"/>
      <sheetName val="Boq (Main Building)"/>
      <sheetName val="Config"/>
      <sheetName val="Break Dw"/>
      <sheetName val="Fin Sum"/>
      <sheetName val="COOLTREAT"/>
      <sheetName val="Buying Schedule"/>
      <sheetName val="CRF Register"/>
      <sheetName val="Labor abs-NMR"/>
      <sheetName val="Back filling"/>
      <sheetName val="NT items summary"/>
      <sheetName val="Footings"/>
      <sheetName val="sheeet7"/>
      <sheetName val="Item- Compact"/>
      <sheetName val="SEMINAR"/>
      <sheetName val="INTSHEET"/>
      <sheetName val="INTSHEET3"/>
      <sheetName val="FORM-0"/>
      <sheetName val="Actuals"/>
      <sheetName val="Cement"/>
      <sheetName val="Norms"/>
      <sheetName val="BOQ-Part1"/>
      <sheetName val="Input"/>
      <sheetName val="DATA SHEET"/>
      <sheetName val="Basic Resources"/>
      <sheetName val="A-CompanyInfo"/>
      <sheetName val="TrialBalance"/>
      <sheetName val="Basic"/>
      <sheetName val="BWSCPlt"/>
      <sheetName val="CI"/>
      <sheetName val="DI"/>
      <sheetName val="G.R.P"/>
      <sheetName val="HDPE"/>
      <sheetName val="PSC REVISED"/>
      <sheetName val="pvc"/>
      <sheetName val="DATA_PRG"/>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data_existing_do_not_delete"/>
      <sheetName val="Road_Detail_Est_"/>
      <sheetName val="FIRE_ESTIMATE"/>
      <sheetName val="m"/>
      <sheetName val="Mactan"/>
      <sheetName val="Mandaue"/>
      <sheetName val="Data-Road "/>
      <sheetName val="Side Drains"/>
      <sheetName val="DATA-CD "/>
      <sheetName val="Retaining walls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sheetData sheetId="275"/>
      <sheetData sheetId="276"/>
      <sheetData sheetId="277"/>
      <sheetData sheetId="278"/>
      <sheetData sheetId="279"/>
      <sheetData sheetId="280"/>
      <sheetData sheetId="281"/>
      <sheetData sheetId="282"/>
      <sheetData sheetId="283"/>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sheetData sheetId="399"/>
      <sheetData sheetId="400"/>
      <sheetData sheetId="401"/>
      <sheetData sheetId="402"/>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sheetData sheetId="427"/>
      <sheetData sheetId="428"/>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pipe-water"/>
      <sheetName val="habs-details"/>
      <sheetName val="hab-details"/>
      <sheetName val="int-Dia"/>
      <sheetName val="water-pros-pros-rate-empty"/>
      <sheetName val="water-pros-Ultim-rate-empty"/>
      <sheetName val="water-Ultimate-empty"/>
      <sheetName val="Nspt-smp-final-apprd"/>
      <sheetName val="water-pros-pros-rate"/>
      <sheetName val="water-pros-Ultimate-rate"/>
      <sheetName val="water-ultimate"/>
      <sheetName val="water-JPTsump-in&amp;out"/>
      <sheetName val="water-JPTsump-Balance"/>
      <sheetName val="jpt-ohbr-out-flow(U)"/>
      <sheetName val="jpt-ohbr-out-flow(P)"/>
      <sheetName val="jpt-ohbr-out-flow(P)-Ult"/>
      <sheetName val="water"/>
      <sheetName val="Nspt-smp-final-ORIGINAL"/>
      <sheetName val="piv-smp-n1"/>
      <sheetName val="Nspt-smp-final-ORIGINAL-(2)"/>
      <sheetName val="Nspt-final-Ultimate(mwl)"/>
      <sheetName val="Nspt-final-Ultimate"/>
      <sheetName val="Nspt-final-pros"/>
      <sheetName val="Nspt-final-Ultimate-21m"/>
      <sheetName val="Nspt-final-at-18.5mstg"/>
      <sheetName val="Nspt-final-pros-14m"/>
      <sheetName val="Nspt-final-pros-12m"/>
      <sheetName val="Nspt-final-pros-10m"/>
      <sheetName val="Nspt-final-pros-7m"/>
      <sheetName val="Nspt-final-pros-4m"/>
      <sheetName val="Nspt-final-empy-258m"/>
      <sheetName val="Nspt-final-empy-254m"/>
      <sheetName val="Nspt-final-empy-249.5m"/>
      <sheetName val="Nspt-final-empy-252m"/>
      <sheetName val="Nspt-final-empy-248m"/>
      <sheetName val="Nspt-final-empy-244m"/>
      <sheetName val="final-smp-pipes"/>
      <sheetName val="Chart1-U and P"/>
      <sheetName val="Chart1-Actual-Flow"/>
      <sheetName val="chart-Jpt-Girnibai-OUT-flow"/>
      <sheetName val="Chart1"/>
      <sheetName val="jpt to Girnibai-Out Flow"/>
      <sheetName val="chart-Jpt-Girnibai-OUT-flow (2)"/>
      <sheetName val="chart-Jpt-Girnibai-OUT-flow (3)"/>
      <sheetName val="leads"/>
      <sheetName val="Nspt-final-at-18_5mstg"/>
      <sheetName val="Nspt-final-empy-249_5m"/>
      <sheetName val="Chart1-U_and_P"/>
      <sheetName val="jpt_to_Girnibai-Out_Flow"/>
      <sheetName val="chart-Jpt-Girnibai-OUT-flow_(2)"/>
      <sheetName val="chart-Jpt-Girnibai-OUT-flow_(3)"/>
      <sheetName val="pvc-pipe-rates"/>
      <sheetName val="Material"/>
      <sheetName val="Labour"/>
      <sheetName val="BWSCPlt"/>
      <sheetName val="CI"/>
      <sheetName val="DI"/>
      <sheetName val="G.R.P"/>
      <sheetName val="HDPE"/>
      <sheetName val="PSC REVISED"/>
      <sheetName val="pvc"/>
      <sheetName val="ssr-rates"/>
      <sheetName val="Sheet9"/>
      <sheetName val="data"/>
      <sheetName val="Data.F8.BTR"/>
      <sheetName val="sectorwise"/>
      <sheetName val="Plant &amp;  Machinery"/>
      <sheetName val="r"/>
      <sheetName val="MRATES"/>
      <sheetName val="data existing_do not delete"/>
      <sheetName val="Det. Secty bld"/>
      <sheetName val="v"/>
      <sheetName val="TBAL9697 -group wise  sdpl"/>
      <sheetName val="Rates SSR 2008-09"/>
      <sheetName val="m1"/>
      <sheetName val="Marteru"/>
      <sheetName val="beam-reinft"/>
      <sheetName val="wh_data_R"/>
      <sheetName val="Sheet1 (2)"/>
      <sheetName val="Lead"/>
      <sheetName val="Dormitory"/>
      <sheetName val="maya"/>
      <sheetName val="Lookup"/>
      <sheetName val="Specification report"/>
      <sheetName val="GROUND FLOOR"/>
      <sheetName val="coverpage"/>
      <sheetName val="Road data"/>
      <sheetName val="Road Detail Est."/>
      <sheetName val="PANEL ANNEXURE"/>
      <sheetName val="Newabstract"/>
      <sheetName val="p&amp;m"/>
      <sheetName val="m"/>
      <sheetName val="l"/>
      <sheetName val="RMR"/>
      <sheetName val="Sheet1"/>
      <sheetName val="Rates"/>
      <sheetName val="Rubber Gaskets"/>
      <sheetName val="Lead statement"/>
      <sheetName val="Data o"/>
      <sheetName val="Usage "/>
      <sheetName val="detls"/>
      <sheetName val="OverviewBarmer"/>
      <sheetName val="GL"/>
      <sheetName val="Co-eff"/>
      <sheetName val="Nspt-final-at-18_5mstg1"/>
      <sheetName val="Nspt-final-empy-249_5m1"/>
      <sheetName val="Chart1-U_and_P1"/>
      <sheetName val="jpt_to_Girnibai-Out_Flow1"/>
      <sheetName val="chart-Jpt-Girnibai-OUT-flow_(21"/>
      <sheetName val="chart-Jpt-Girnibai-OUT-flow_(31"/>
      <sheetName val="G_R_P"/>
      <sheetName val="PSC_REVISED"/>
      <sheetName val="data_existing_do_not_delete"/>
      <sheetName val="Plant_&amp;__Machinery"/>
      <sheetName val="Det__Secty_bld"/>
      <sheetName val="DISCHARGE"/>
      <sheetName val="elec-data"/>
      <sheetName val="Detailed"/>
      <sheetName val="DATA_PRG"/>
      <sheetName val="Specification"/>
      <sheetName val="GEN-ABS Del"/>
      <sheetName val="Rates_SSR_2008-09"/>
      <sheetName val="Data_F8_BTR"/>
      <sheetName val="TBAL9697_-group_wise__sdpl"/>
      <sheetName val="Sheet1_(2)"/>
      <sheetName val="Specification_report"/>
      <sheetName val="GROUND_FLOOR"/>
      <sheetName val="Road_data"/>
      <sheetName val="Road_Detail_Est_"/>
      <sheetName val="PANEL_ANNEXURE"/>
      <sheetName val="Lead_statement"/>
      <sheetName val="Rubber_Gaskets"/>
      <sheetName val="Data_o"/>
      <sheetName val="General"/>
      <sheetName val="road est"/>
      <sheetName val="Data_Bit_I"/>
      <sheetName val="ewst"/>
      <sheetName val="Input"/>
      <sheetName val="HDPE-pipe-rates"/>
      <sheetName val="bom"/>
      <sheetName val="C-data"/>
      <sheetName val="Cover"/>
      <sheetName val="hdpe_basic"/>
      <sheetName val="pvc_basic"/>
      <sheetName val="Global factors"/>
      <sheetName val="hdpe-rates"/>
      <sheetName val="hdpe weights"/>
      <sheetName val="pvc-rates"/>
      <sheetName val="PVC weights"/>
      <sheetName val="concrete"/>
      <sheetName val="mlead"/>
      <sheetName val="comp-st(GEN)"/>
      <sheetName val="Iocount"/>
      <sheetName val="INDIGINEOUS ITEMS "/>
      <sheetName val="CPHEEO"/>
      <sheetName val="Data rough"/>
      <sheetName val="Main sheet"/>
      <sheetName val="Sheet5"/>
      <sheetName val="habs-list"/>
      <sheetName val="nodes"/>
    </sheetNames>
    <sheetDataSet>
      <sheetData sheetId="0">
        <row r="8">
          <cell r="C8" t="str">
            <v>A</v>
          </cell>
        </row>
      </sheetData>
      <sheetData sheetId="1"/>
      <sheetData sheetId="2"/>
      <sheetData sheetId="3"/>
      <sheetData sheetId="4"/>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ow r="8">
          <cell r="C8" t="str">
            <v>A</v>
          </cell>
          <cell r="U8">
            <v>99.27</v>
          </cell>
        </row>
        <row r="9">
          <cell r="U9">
            <v>102.81</v>
          </cell>
        </row>
        <row r="10">
          <cell r="U10">
            <v>102.81</v>
          </cell>
        </row>
        <row r="11">
          <cell r="U11">
            <v>102.81</v>
          </cell>
          <cell r="X11">
            <v>17.600000000000001</v>
          </cell>
        </row>
        <row r="12">
          <cell r="U12">
            <v>105.67</v>
          </cell>
        </row>
        <row r="13">
          <cell r="U13">
            <v>105.67</v>
          </cell>
          <cell r="X13">
            <v>14.450000000000001</v>
          </cell>
        </row>
        <row r="14">
          <cell r="U14">
            <v>101.18</v>
          </cell>
        </row>
        <row r="15">
          <cell r="U15">
            <v>101.18</v>
          </cell>
          <cell r="X15">
            <v>17.600000000000001</v>
          </cell>
        </row>
        <row r="16">
          <cell r="U16">
            <v>104.62</v>
          </cell>
        </row>
        <row r="17">
          <cell r="U17">
            <v>109.06</v>
          </cell>
          <cell r="X17">
            <v>14.450000000000001</v>
          </cell>
        </row>
        <row r="18">
          <cell r="U18">
            <v>108.06</v>
          </cell>
        </row>
        <row r="19">
          <cell r="U19">
            <v>114</v>
          </cell>
        </row>
        <row r="20">
          <cell r="U20">
            <v>116.86</v>
          </cell>
          <cell r="X20">
            <v>8.15</v>
          </cell>
        </row>
        <row r="21">
          <cell r="U21">
            <v>116</v>
          </cell>
        </row>
        <row r="22">
          <cell r="U22">
            <v>120</v>
          </cell>
          <cell r="X22">
            <v>4.2</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sheetData sheetId="43" refreshError="1"/>
      <sheetData sheetId="44" refreshError="1"/>
      <sheetData sheetId="45" refreshError="1"/>
      <sheetData sheetId="46"/>
      <sheetData sheetId="47"/>
      <sheetData sheetId="48" refreshError="1"/>
      <sheetData sheetId="49"/>
      <sheetData sheetId="50" refreshError="1"/>
      <sheetData sheetId="51" refreshError="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sheetData sheetId="126"/>
      <sheetData sheetId="127"/>
      <sheetData sheetId="128"/>
      <sheetData sheetId="129"/>
      <sheetData sheetId="130"/>
      <sheetData sheetId="131"/>
      <sheetData sheetId="132"/>
      <sheetData sheetId="133"/>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factors"/>
      <sheetName val="Global_factors"/>
      <sheetName val="Nspt-smp-final-ORIGINAL"/>
      <sheetName val="leads"/>
      <sheetName val="Dormitory"/>
      <sheetName val="Staff Acco."/>
      <sheetName val="MRATES"/>
      <sheetName val="r"/>
      <sheetName val="data existing_do not delete"/>
      <sheetName val="Usage"/>
      <sheetName val="Plant &amp;  Machinery"/>
      <sheetName val="Material"/>
      <sheetName val="Labour"/>
      <sheetName val="pvc_basic"/>
      <sheetName val="Sheet1 (2)"/>
      <sheetName val="data"/>
      <sheetName val="Lookup"/>
      <sheetName val="maya"/>
      <sheetName val="Road data"/>
      <sheetName val="Data.F8.BTR"/>
      <sheetName val="Specification report"/>
      <sheetName val="segments-details"/>
      <sheetName val="int-Dia-hdpe"/>
      <sheetName val="int-Dia-pvc"/>
      <sheetName val="BWSCPlt"/>
      <sheetName val="CI"/>
      <sheetName val="DI"/>
      <sheetName val="G.R.P"/>
      <sheetName val="HDPE"/>
      <sheetName val="PSC REVISED"/>
      <sheetName val="pvc"/>
      <sheetName val="HDPE-pipe-rates"/>
      <sheetName val="pvc-pipe-rates"/>
      <sheetName val="RMR"/>
      <sheetName val="Sheet1"/>
      <sheetName val="mlead"/>
      <sheetName val="Sheet5"/>
      <sheetName val="nodes"/>
      <sheetName val="wh_data_R"/>
      <sheetName val="beam-reinft"/>
      <sheetName val="m1"/>
      <sheetName val="rates"/>
      <sheetName val="m"/>
      <sheetName val="Rates SSR 2008-09"/>
      <sheetName val="DATA_PRG"/>
      <sheetName val="Marteru"/>
      <sheetName val="Sheet3"/>
      <sheetName val="hdpe-rates"/>
      <sheetName val="hdpe weights"/>
      <sheetName val="ssr-rates"/>
      <sheetName val="pvc-rates"/>
      <sheetName val="PVC weights"/>
      <sheetName val="concrete"/>
      <sheetName val="STAFFSCHED "/>
      <sheetName val="detls"/>
      <sheetName val="abs road"/>
      <sheetName val="coverpage"/>
      <sheetName val="R_Det"/>
      <sheetName val="v"/>
      <sheetName val="Usage "/>
      <sheetName val="comp-st(GEN)"/>
      <sheetName val="ww-march-02"/>
      <sheetName val="BOQ"/>
      <sheetName val="hdpe_basic"/>
      <sheetName val="ewst"/>
      <sheetName val="GF Columns"/>
      <sheetName val="New33KVSS_E3"/>
      <sheetName val="Prop aug of Ex 33KVSS_E3a"/>
      <sheetName val="Global_factors1"/>
      <sheetName val="Staff_Acco_"/>
      <sheetName val="data_existing_do_not_delete"/>
      <sheetName val="Plant_&amp;__Machinery"/>
      <sheetName val="Sheet1_(2)"/>
      <sheetName val="Road_data"/>
      <sheetName val="Data_F8_BTR"/>
      <sheetName val="Specification_report"/>
      <sheetName val="G_R_P"/>
      <sheetName val="PSC_REVISED"/>
      <sheetName val="Rates_SSR_2008-09"/>
      <sheetName val="p&amp;m"/>
      <sheetName val="Pop"/>
      <sheetName val="mp-team 1"/>
      <sheetName val="habs-list"/>
      <sheetName val="Data_Bit_I"/>
      <sheetName val="Sheet9"/>
      <sheetName val="Estimate"/>
      <sheetName val="TBAL9697 -group wise  sdpl"/>
      <sheetName val="Lead"/>
      <sheetName val="WATER-HAMMER"/>
      <sheetName val="Sheet2"/>
      <sheetName val="bom"/>
      <sheetName val="pumping main"/>
      <sheetName val="HS 30.04.2015.Final"/>
      <sheetName val="ID"/>
      <sheetName val="Sorted"/>
      <sheetName val="Detailed"/>
      <sheetName val="nandipet intra"/>
      <sheetName val="HS final-2"/>
      <sheetName val="Z1_DATA"/>
      <sheetName val="MHNO_LEV"/>
      <sheetName val="t_prsr"/>
      <sheetName val="Road Detail Est."/>
      <sheetName val="Detailed Estimate"/>
      <sheetName val="C-data"/>
      <sheetName val="comparative"/>
      <sheetName val="road est"/>
      <sheetName val="General"/>
    </sheetNames>
    <sheetDataSet>
      <sheetData sheetId="0">
        <row r="2">
          <cell r="B2">
            <v>0.4</v>
          </cell>
        </row>
        <row r="3">
          <cell r="B3">
            <v>0.5</v>
          </cell>
        </row>
        <row r="5">
          <cell r="B5">
            <v>0.5</v>
          </cell>
        </row>
        <row r="7">
          <cell r="B7">
            <v>0.26666666666666666</v>
          </cell>
        </row>
        <row r="8">
          <cell r="B8">
            <v>0.5</v>
          </cell>
        </row>
        <row r="10">
          <cell r="B10">
            <v>0.5</v>
          </cell>
        </row>
      </sheetData>
      <sheetData sheetId="1">
        <row r="2">
          <cell r="B2">
            <v>0.4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OHSRCAP"/>
      <sheetName val="PIPES-FINAL"/>
      <sheetName val="covered-habs"/>
      <sheetName val="covered-habs-nss"/>
      <sheetName val="NEW-ohsr list"/>
      <sheetName val="habs-list"/>
      <sheetName val="nodes"/>
      <sheetName val="abstract ohsr&amp;bpt"/>
      <sheetName val="list"/>
      <sheetName val="int-Dia"/>
      <sheetName val="JAWAHAR-hyd-original"/>
      <sheetName val="3200"/>
      <sheetName val="2750"/>
      <sheetName val="2500"/>
      <sheetName val="2200"/>
      <sheetName val="1800"/>
      <sheetName val="1500"/>
      <sheetName val="GL1"/>
      <sheetName val="GL2"/>
      <sheetName val="200"/>
      <sheetName val="100"/>
      <sheetName val="50"/>
      <sheetName val="water-pros-ultimate-rate"/>
      <sheetName val="water-ultimater"/>
      <sheetName val="A'rangapur-Out Flow"/>
      <sheetName val="chart-A'rangapur-OUT-flow"/>
      <sheetName val="water"/>
      <sheetName val="Chart2-habs"/>
      <sheetName val="Chart2-total"/>
      <sheetName val="Global factors"/>
      <sheetName val="Data.F8.BTR"/>
      <sheetName val="beam-reinft"/>
      <sheetName val="Sheet1"/>
      <sheetName val="sup dat"/>
      <sheetName val="Plant &amp;  Machinery"/>
      <sheetName val="Labour"/>
      <sheetName val="DATA"/>
    </sheetNames>
    <sheetDataSet>
      <sheetData sheetId="0"/>
      <sheetData sheetId="1"/>
      <sheetData sheetId="2"/>
      <sheetData sheetId="3"/>
      <sheetData sheetId="4"/>
      <sheetData sheetId="5"/>
      <sheetData sheetId="6" refreshError="1">
        <row r="5">
          <cell r="C5">
            <v>140</v>
          </cell>
          <cell r="D5">
            <v>182</v>
          </cell>
          <cell r="E5" t="str">
            <v xml:space="preserve">Lingapur ohsr </v>
          </cell>
          <cell r="F5" t="str">
            <v>new</v>
          </cell>
          <cell r="G5">
            <v>9</v>
          </cell>
          <cell r="H5">
            <v>20</v>
          </cell>
          <cell r="I5">
            <v>0</v>
          </cell>
          <cell r="J5">
            <v>340</v>
          </cell>
        </row>
        <row r="6">
          <cell r="C6">
            <v>141</v>
          </cell>
          <cell r="D6">
            <v>184</v>
          </cell>
          <cell r="E6" t="str">
            <v xml:space="preserve">Machapur ohsr </v>
          </cell>
          <cell r="F6" t="str">
            <v>new</v>
          </cell>
          <cell r="G6">
            <v>16</v>
          </cell>
          <cell r="H6">
            <v>60</v>
          </cell>
          <cell r="I6">
            <v>0</v>
          </cell>
          <cell r="J6">
            <v>800</v>
          </cell>
        </row>
        <row r="7">
          <cell r="C7">
            <v>142</v>
          </cell>
          <cell r="D7">
            <v>170</v>
          </cell>
          <cell r="E7" t="str">
            <v xml:space="preserve">Bussapur ohsr </v>
          </cell>
          <cell r="F7" t="str">
            <v>new</v>
          </cell>
          <cell r="G7">
            <v>12</v>
          </cell>
          <cell r="H7">
            <v>40</v>
          </cell>
          <cell r="I7">
            <v>0</v>
          </cell>
          <cell r="J7">
            <v>823</v>
          </cell>
        </row>
        <row r="8">
          <cell r="C8">
            <v>143</v>
          </cell>
          <cell r="D8">
            <v>165.5</v>
          </cell>
          <cell r="E8" t="str">
            <v>Chelvai ohsr</v>
          </cell>
          <cell r="F8">
            <v>0</v>
          </cell>
          <cell r="G8">
            <v>15</v>
          </cell>
          <cell r="H8">
            <v>150</v>
          </cell>
          <cell r="I8">
            <v>0</v>
          </cell>
          <cell r="J8">
            <v>3846</v>
          </cell>
        </row>
        <row r="9">
          <cell r="C9">
            <v>144</v>
          </cell>
          <cell r="D9">
            <v>166</v>
          </cell>
          <cell r="E9" t="str">
            <v>Chelvai new ohsr</v>
          </cell>
          <cell r="F9" t="str">
            <v>new</v>
          </cell>
          <cell r="G9">
            <v>13</v>
          </cell>
          <cell r="H9">
            <v>90</v>
          </cell>
          <cell r="I9">
            <v>0</v>
          </cell>
          <cell r="J9">
            <v>2184</v>
          </cell>
        </row>
        <row r="10">
          <cell r="C10">
            <v>145</v>
          </cell>
          <cell r="D10">
            <v>184</v>
          </cell>
          <cell r="E10" t="str">
            <v>Machapur BPT</v>
          </cell>
          <cell r="F10" t="str">
            <v>new</v>
          </cell>
          <cell r="G10">
            <v>27</v>
          </cell>
          <cell r="H10">
            <v>90</v>
          </cell>
          <cell r="I10">
            <v>0</v>
          </cell>
          <cell r="J10">
            <v>32860</v>
          </cell>
        </row>
        <row r="11">
          <cell r="C11">
            <v>146</v>
          </cell>
          <cell r="D11">
            <v>165</v>
          </cell>
          <cell r="E11" t="str">
            <v xml:space="preserve">Dubbagudem  ohsr </v>
          </cell>
          <cell r="F11" t="str">
            <v>new</v>
          </cell>
          <cell r="G11">
            <v>9</v>
          </cell>
          <cell r="H11">
            <v>20</v>
          </cell>
          <cell r="I11">
            <v>0</v>
          </cell>
          <cell r="J11">
            <v>362</v>
          </cell>
        </row>
        <row r="12">
          <cell r="C12">
            <v>147</v>
          </cell>
          <cell r="D12">
            <v>151</v>
          </cell>
          <cell r="E12" t="str">
            <v xml:space="preserve">Somlagadda ohsr </v>
          </cell>
          <cell r="F12" t="str">
            <v>new</v>
          </cell>
          <cell r="G12">
            <v>12</v>
          </cell>
          <cell r="H12">
            <v>40</v>
          </cell>
          <cell r="I12">
            <v>0</v>
          </cell>
          <cell r="J12">
            <v>679</v>
          </cell>
        </row>
        <row r="13">
          <cell r="C13">
            <v>148</v>
          </cell>
          <cell r="D13">
            <v>154</v>
          </cell>
          <cell r="E13" t="str">
            <v>Govinderaopet BPT</v>
          </cell>
          <cell r="F13" t="str">
            <v>new</v>
          </cell>
          <cell r="G13">
            <v>30</v>
          </cell>
          <cell r="H13">
            <v>90</v>
          </cell>
          <cell r="I13">
            <v>0</v>
          </cell>
          <cell r="J13">
            <v>16971</v>
          </cell>
        </row>
        <row r="14">
          <cell r="C14">
            <v>149</v>
          </cell>
          <cell r="D14">
            <v>148</v>
          </cell>
          <cell r="E14" t="str">
            <v xml:space="preserve">Rangapur  ohsr </v>
          </cell>
          <cell r="F14" t="str">
            <v>new</v>
          </cell>
          <cell r="G14">
            <v>13</v>
          </cell>
          <cell r="H14">
            <v>90</v>
          </cell>
          <cell r="I14">
            <v>0</v>
          </cell>
          <cell r="J14">
            <v>2318</v>
          </cell>
        </row>
        <row r="15">
          <cell r="C15">
            <v>150</v>
          </cell>
          <cell r="D15">
            <v>154.16999999999999</v>
          </cell>
          <cell r="E15" t="str">
            <v>Govindarao pet ohsr</v>
          </cell>
          <cell r="F15">
            <v>0</v>
          </cell>
          <cell r="G15">
            <v>15</v>
          </cell>
          <cell r="H15">
            <v>150</v>
          </cell>
          <cell r="I15">
            <v>0</v>
          </cell>
          <cell r="J15">
            <v>3539</v>
          </cell>
        </row>
        <row r="16">
          <cell r="C16">
            <v>151</v>
          </cell>
          <cell r="D16">
            <v>155</v>
          </cell>
          <cell r="E16" t="str">
            <v>Govindarao pet new ohsr</v>
          </cell>
          <cell r="F16" t="str">
            <v>new</v>
          </cell>
          <cell r="G16">
            <v>13</v>
          </cell>
          <cell r="H16">
            <v>60</v>
          </cell>
          <cell r="I16">
            <v>0</v>
          </cell>
          <cell r="J16">
            <v>1262</v>
          </cell>
        </row>
        <row r="17">
          <cell r="C17">
            <v>152</v>
          </cell>
          <cell r="D17">
            <v>165.07</v>
          </cell>
          <cell r="E17" t="str">
            <v>Dumpelli gudem ohsr</v>
          </cell>
          <cell r="F17">
            <v>0</v>
          </cell>
          <cell r="G17">
            <v>12.3</v>
          </cell>
          <cell r="H17">
            <v>60</v>
          </cell>
          <cell r="I17">
            <v>0</v>
          </cell>
          <cell r="J17">
            <v>1570</v>
          </cell>
        </row>
        <row r="18">
          <cell r="C18">
            <v>153</v>
          </cell>
          <cell r="D18">
            <v>166</v>
          </cell>
          <cell r="E18" t="str">
            <v xml:space="preserve">LB nager Ohsr </v>
          </cell>
          <cell r="F18" t="str">
            <v>new</v>
          </cell>
          <cell r="G18">
            <v>9</v>
          </cell>
          <cell r="H18">
            <v>20</v>
          </cell>
          <cell r="I18">
            <v>0</v>
          </cell>
          <cell r="J18">
            <v>641</v>
          </cell>
        </row>
        <row r="19">
          <cell r="C19">
            <v>154</v>
          </cell>
          <cell r="D19">
            <v>164</v>
          </cell>
          <cell r="E19" t="str">
            <v>Papaiahpally ohsr</v>
          </cell>
          <cell r="F19" t="str">
            <v>new</v>
          </cell>
          <cell r="G19">
            <v>9</v>
          </cell>
          <cell r="H19">
            <v>20</v>
          </cell>
          <cell r="I19">
            <v>0</v>
          </cell>
          <cell r="J19">
            <v>319</v>
          </cell>
        </row>
        <row r="20">
          <cell r="C20">
            <v>155</v>
          </cell>
          <cell r="D20">
            <v>167.57499999999999</v>
          </cell>
          <cell r="E20" t="str">
            <v xml:space="preserve">Sandragudem ohsr </v>
          </cell>
          <cell r="F20" t="str">
            <v>new</v>
          </cell>
          <cell r="G20">
            <v>12</v>
          </cell>
          <cell r="H20">
            <v>40</v>
          </cell>
          <cell r="I20">
            <v>0</v>
          </cell>
          <cell r="J20">
            <v>691</v>
          </cell>
        </row>
        <row r="21">
          <cell r="C21">
            <v>156</v>
          </cell>
          <cell r="D21">
            <v>0</v>
          </cell>
          <cell r="E21" t="str">
            <v xml:space="preserve">Balazi nager </v>
          </cell>
        </row>
        <row r="22">
          <cell r="C22">
            <v>157</v>
          </cell>
          <cell r="D22">
            <v>142.375</v>
          </cell>
          <cell r="E22" t="str">
            <v xml:space="preserve">Ragavapatnam  ohsr </v>
          </cell>
          <cell r="F22" t="str">
            <v>new</v>
          </cell>
          <cell r="G22">
            <v>12</v>
          </cell>
          <cell r="H22">
            <v>40</v>
          </cell>
          <cell r="I22">
            <v>0</v>
          </cell>
          <cell r="J22">
            <v>600</v>
          </cell>
        </row>
        <row r="23">
          <cell r="C23">
            <v>158</v>
          </cell>
          <cell r="D23">
            <v>155.38499999999999</v>
          </cell>
          <cell r="E23" t="str">
            <v xml:space="preserve">Lakanavaram  ohsr </v>
          </cell>
          <cell r="F23">
            <v>0</v>
          </cell>
          <cell r="G23">
            <v>12.5</v>
          </cell>
          <cell r="H23">
            <v>40</v>
          </cell>
          <cell r="I23">
            <v>0</v>
          </cell>
          <cell r="J23">
            <v>607</v>
          </cell>
        </row>
        <row r="24">
          <cell r="C24">
            <v>159</v>
          </cell>
          <cell r="D24">
            <v>148.22999999999999</v>
          </cell>
          <cell r="E24" t="str">
            <v xml:space="preserve">Pasra  ohsr </v>
          </cell>
          <cell r="F24">
            <v>0</v>
          </cell>
          <cell r="G24">
            <v>15</v>
          </cell>
          <cell r="H24">
            <v>150</v>
          </cell>
          <cell r="I24">
            <v>0</v>
          </cell>
          <cell r="J24">
            <v>4018</v>
          </cell>
        </row>
        <row r="25">
          <cell r="C25">
            <v>160</v>
          </cell>
          <cell r="D25">
            <v>148</v>
          </cell>
          <cell r="E25" t="str">
            <v xml:space="preserve">Pasra new ohsr </v>
          </cell>
          <cell r="F25" t="str">
            <v>new</v>
          </cell>
          <cell r="G25">
            <v>13</v>
          </cell>
          <cell r="H25">
            <v>90</v>
          </cell>
          <cell r="I25">
            <v>0</v>
          </cell>
          <cell r="J25">
            <v>2300</v>
          </cell>
        </row>
        <row r="26">
          <cell r="C26">
            <v>161</v>
          </cell>
          <cell r="D26">
            <v>142.53</v>
          </cell>
          <cell r="E26" t="str">
            <v xml:space="preserve">Pathanagaram ohsr </v>
          </cell>
          <cell r="F26" t="str">
            <v>new</v>
          </cell>
          <cell r="G26">
            <v>12</v>
          </cell>
          <cell r="H26">
            <v>40</v>
          </cell>
          <cell r="I26">
            <v>0</v>
          </cell>
          <cell r="J26">
            <v>706</v>
          </cell>
        </row>
        <row r="27">
          <cell r="C27">
            <v>162</v>
          </cell>
          <cell r="D27">
            <v>147.08500000000001</v>
          </cell>
          <cell r="E27" t="str">
            <v xml:space="preserve">Pathippalagadda  ohsr </v>
          </cell>
          <cell r="F27" t="str">
            <v>new</v>
          </cell>
          <cell r="G27">
            <v>9</v>
          </cell>
          <cell r="H27">
            <v>20</v>
          </cell>
          <cell r="I27">
            <v>0</v>
          </cell>
          <cell r="J27">
            <v>171</v>
          </cell>
        </row>
        <row r="28">
          <cell r="C28">
            <v>163</v>
          </cell>
          <cell r="D28">
            <v>138</v>
          </cell>
          <cell r="E28" t="str">
            <v xml:space="preserve">Projectnager ohsr </v>
          </cell>
          <cell r="F28" t="str">
            <v>new</v>
          </cell>
          <cell r="G28">
            <v>9</v>
          </cell>
          <cell r="H28">
            <v>20</v>
          </cell>
          <cell r="I28">
            <v>0</v>
          </cell>
          <cell r="J28">
            <v>182</v>
          </cell>
        </row>
        <row r="29">
          <cell r="C29">
            <v>164</v>
          </cell>
          <cell r="D29">
            <v>141.91499999999999</v>
          </cell>
          <cell r="E29" t="str">
            <v xml:space="preserve">Muthapur  ohsr </v>
          </cell>
          <cell r="F29" t="str">
            <v>new</v>
          </cell>
          <cell r="G29">
            <v>9</v>
          </cell>
          <cell r="H29">
            <v>20</v>
          </cell>
          <cell r="I29">
            <v>0</v>
          </cell>
          <cell r="J29">
            <v>408</v>
          </cell>
        </row>
        <row r="30">
          <cell r="C30">
            <v>165</v>
          </cell>
          <cell r="D30">
            <v>0</v>
          </cell>
          <cell r="E30" t="str">
            <v xml:space="preserve">Motlagudem </v>
          </cell>
        </row>
        <row r="31">
          <cell r="C31">
            <v>166</v>
          </cell>
          <cell r="D31">
            <v>140.565</v>
          </cell>
          <cell r="E31" t="str">
            <v>Tappamancha ohsr</v>
          </cell>
          <cell r="F31" t="str">
            <v>new</v>
          </cell>
          <cell r="G31">
            <v>9</v>
          </cell>
          <cell r="H31">
            <v>20</v>
          </cell>
          <cell r="I31">
            <v>0</v>
          </cell>
          <cell r="J31">
            <v>181</v>
          </cell>
        </row>
        <row r="32">
          <cell r="C32">
            <v>167</v>
          </cell>
          <cell r="D32">
            <v>161</v>
          </cell>
          <cell r="E32" t="str">
            <v xml:space="preserve">Gandinagaram  ohsr </v>
          </cell>
          <cell r="F32" t="str">
            <v>new</v>
          </cell>
          <cell r="G32">
            <v>16.5</v>
          </cell>
          <cell r="H32">
            <v>120</v>
          </cell>
          <cell r="I32">
            <v>0</v>
          </cell>
          <cell r="J32">
            <v>3118</v>
          </cell>
        </row>
        <row r="33">
          <cell r="C33">
            <v>168</v>
          </cell>
          <cell r="D33">
            <v>0</v>
          </cell>
          <cell r="E33" t="str">
            <v>Moddulagudem</v>
          </cell>
        </row>
        <row r="34">
          <cell r="C34">
            <v>169</v>
          </cell>
          <cell r="D34">
            <v>165</v>
          </cell>
          <cell r="E34" t="str">
            <v>Rampur ohsr</v>
          </cell>
          <cell r="F34" t="str">
            <v>new</v>
          </cell>
          <cell r="G34">
            <v>13</v>
          </cell>
          <cell r="H34">
            <v>90</v>
          </cell>
          <cell r="I34">
            <v>0</v>
          </cell>
          <cell r="J34">
            <v>1626</v>
          </cell>
        </row>
        <row r="35">
          <cell r="C35">
            <v>170</v>
          </cell>
          <cell r="D35">
            <v>0</v>
          </cell>
          <cell r="E35" t="str">
            <v>Amruthathanda</v>
          </cell>
        </row>
        <row r="36">
          <cell r="C36">
            <v>171</v>
          </cell>
          <cell r="D36">
            <v>0</v>
          </cell>
          <cell r="E36" t="str">
            <v>Laxmipur</v>
          </cell>
        </row>
        <row r="37">
          <cell r="C37">
            <v>172</v>
          </cell>
          <cell r="D37">
            <v>0</v>
          </cell>
          <cell r="E37" t="str">
            <v xml:space="preserve">Nethaganigudem </v>
          </cell>
        </row>
        <row r="38">
          <cell r="C38">
            <v>173</v>
          </cell>
          <cell r="D38">
            <v>0</v>
          </cell>
          <cell r="E38" t="str">
            <v>Purya thanda</v>
          </cell>
        </row>
        <row r="39">
          <cell r="C39">
            <v>174</v>
          </cell>
          <cell r="D39">
            <v>0</v>
          </cell>
          <cell r="E39" t="str">
            <v>Chandruthanda</v>
          </cell>
        </row>
        <row r="40">
          <cell r="C40">
            <v>175</v>
          </cell>
          <cell r="D40">
            <v>169</v>
          </cell>
          <cell r="E40" t="str">
            <v>Karlapally ohsr</v>
          </cell>
          <cell r="F40" t="str">
            <v>new</v>
          </cell>
          <cell r="G40">
            <v>12</v>
          </cell>
          <cell r="H40">
            <v>40</v>
          </cell>
          <cell r="I40">
            <v>0</v>
          </cell>
          <cell r="J40">
            <v>709</v>
          </cell>
        </row>
        <row r="42">
          <cell r="J42">
            <v>83831</v>
          </cell>
        </row>
        <row r="47">
          <cell r="E47">
            <v>823</v>
          </cell>
        </row>
        <row r="48">
          <cell r="E48">
            <v>4846</v>
          </cell>
        </row>
        <row r="49">
          <cell r="E49">
            <v>87</v>
          </cell>
        </row>
        <row r="50">
          <cell r="E50">
            <v>679</v>
          </cell>
        </row>
        <row r="51">
          <cell r="E51">
            <v>97</v>
          </cell>
        </row>
        <row r="52">
          <cell r="E52">
            <v>362</v>
          </cell>
        </row>
        <row r="53">
          <cell r="E53">
            <v>515</v>
          </cell>
        </row>
        <row r="54">
          <cell r="E54">
            <v>388</v>
          </cell>
        </row>
        <row r="55">
          <cell r="E55">
            <v>407</v>
          </cell>
        </row>
        <row r="56">
          <cell r="E56">
            <v>279</v>
          </cell>
        </row>
        <row r="57">
          <cell r="E57">
            <v>412</v>
          </cell>
        </row>
        <row r="58">
          <cell r="E58">
            <v>125</v>
          </cell>
        </row>
        <row r="59">
          <cell r="E59">
            <v>49</v>
          </cell>
        </row>
        <row r="60">
          <cell r="E60">
            <v>145</v>
          </cell>
        </row>
        <row r="61">
          <cell r="E61">
            <v>1850</v>
          </cell>
        </row>
        <row r="62">
          <cell r="E62">
            <v>30</v>
          </cell>
        </row>
        <row r="63">
          <cell r="E63">
            <v>641</v>
          </cell>
        </row>
        <row r="64">
          <cell r="E64">
            <v>1570</v>
          </cell>
        </row>
        <row r="65">
          <cell r="E65">
            <v>377</v>
          </cell>
        </row>
        <row r="66">
          <cell r="E66">
            <v>96</v>
          </cell>
        </row>
        <row r="67">
          <cell r="E67">
            <v>96</v>
          </cell>
        </row>
        <row r="68">
          <cell r="E68">
            <v>40</v>
          </cell>
        </row>
        <row r="69">
          <cell r="E69">
            <v>797</v>
          </cell>
        </row>
        <row r="70">
          <cell r="E70">
            <v>81</v>
          </cell>
        </row>
        <row r="71">
          <cell r="E71">
            <v>182</v>
          </cell>
        </row>
        <row r="72">
          <cell r="E72">
            <v>181</v>
          </cell>
        </row>
        <row r="73">
          <cell r="E73">
            <v>327</v>
          </cell>
        </row>
        <row r="74">
          <cell r="E74">
            <v>2235</v>
          </cell>
        </row>
        <row r="75">
          <cell r="E75">
            <v>2633</v>
          </cell>
        </row>
        <row r="76">
          <cell r="E76">
            <v>706</v>
          </cell>
        </row>
        <row r="77">
          <cell r="E77">
            <v>423</v>
          </cell>
        </row>
        <row r="78">
          <cell r="E78">
            <v>2695</v>
          </cell>
        </row>
        <row r="79">
          <cell r="E79">
            <v>319</v>
          </cell>
        </row>
        <row r="80">
          <cell r="E80">
            <v>2318</v>
          </cell>
        </row>
        <row r="81">
          <cell r="E81">
            <v>171</v>
          </cell>
        </row>
        <row r="82">
          <cell r="E82">
            <v>600</v>
          </cell>
        </row>
        <row r="83">
          <cell r="E83">
            <v>1689</v>
          </cell>
        </row>
        <row r="84">
          <cell r="D84">
            <v>29265</v>
          </cell>
          <cell r="E84">
            <v>29271</v>
          </cell>
          <cell r="F84">
            <v>0</v>
          </cell>
          <cell r="G84">
            <v>0</v>
          </cell>
        </row>
        <row r="85">
          <cell r="D85">
            <v>6</v>
          </cell>
        </row>
      </sheetData>
      <sheetData sheetId="7" refreshError="1">
        <row r="5">
          <cell r="C5" t="str">
            <v>Jawaharnagar BPT</v>
          </cell>
          <cell r="D5">
            <v>224</v>
          </cell>
        </row>
        <row r="6">
          <cell r="C6" t="str">
            <v>Jawaharnagar BPT foot</v>
          </cell>
          <cell r="D6">
            <v>200</v>
          </cell>
        </row>
        <row r="7">
          <cell r="C7" t="str">
            <v>LingapurX</v>
          </cell>
          <cell r="D7">
            <v>182</v>
          </cell>
        </row>
        <row r="8">
          <cell r="C8" t="str">
            <v>Lingapur ohsrx</v>
          </cell>
          <cell r="D8">
            <v>182</v>
          </cell>
        </row>
        <row r="9">
          <cell r="C9" t="str">
            <v>Lingapur ohsr</v>
          </cell>
          <cell r="D9">
            <v>182</v>
          </cell>
        </row>
        <row r="10">
          <cell r="C10" t="str">
            <v>MachapurX</v>
          </cell>
          <cell r="D10">
            <v>180</v>
          </cell>
        </row>
        <row r="11">
          <cell r="C11" t="str">
            <v>Machapur ohsrx</v>
          </cell>
          <cell r="D11">
            <v>184</v>
          </cell>
        </row>
        <row r="12">
          <cell r="C12" t="str">
            <v>Machapur ohsr</v>
          </cell>
          <cell r="D12">
            <v>184</v>
          </cell>
        </row>
        <row r="13">
          <cell r="C13" t="str">
            <v>Machapur BPTX</v>
          </cell>
          <cell r="D13">
            <v>184</v>
          </cell>
        </row>
        <row r="14">
          <cell r="C14" t="str">
            <v>Machapur BPT</v>
          </cell>
          <cell r="D14">
            <v>184</v>
          </cell>
        </row>
        <row r="15">
          <cell r="C15" t="str">
            <v>Machapur BPT LWL</v>
          </cell>
          <cell r="D15">
            <v>184</v>
          </cell>
        </row>
        <row r="16">
          <cell r="C16" t="str">
            <v>BussapurV MID</v>
          </cell>
          <cell r="D16">
            <v>165</v>
          </cell>
        </row>
        <row r="17">
          <cell r="C17" t="str">
            <v>BussapurX</v>
          </cell>
          <cell r="D17">
            <v>165</v>
          </cell>
        </row>
        <row r="18">
          <cell r="C18" t="str">
            <v>Bussapur ohsrx</v>
          </cell>
          <cell r="D18">
            <v>165</v>
          </cell>
        </row>
        <row r="19">
          <cell r="C19" t="str">
            <v>Bussapur ohsr</v>
          </cell>
          <cell r="D19">
            <v>165</v>
          </cell>
        </row>
        <row r="20">
          <cell r="C20" t="str">
            <v>Chelvai ENT</v>
          </cell>
          <cell r="D20">
            <v>165</v>
          </cell>
        </row>
        <row r="21">
          <cell r="C21" t="str">
            <v>Chelvai ohsrJN</v>
          </cell>
          <cell r="D21">
            <v>165</v>
          </cell>
        </row>
        <row r="22">
          <cell r="C22" t="str">
            <v>Chelvai ohsrx</v>
          </cell>
          <cell r="D22">
            <v>165</v>
          </cell>
        </row>
        <row r="23">
          <cell r="C23" t="str">
            <v>Chelvai ohsr</v>
          </cell>
          <cell r="D23">
            <v>165.5</v>
          </cell>
        </row>
        <row r="24">
          <cell r="C24" t="str">
            <v>Chelvai new ohsrx</v>
          </cell>
          <cell r="D24">
            <v>165</v>
          </cell>
        </row>
        <row r="25">
          <cell r="C25" t="str">
            <v>Chelvai new ohsr</v>
          </cell>
          <cell r="D25">
            <v>166</v>
          </cell>
        </row>
        <row r="26">
          <cell r="C26" t="str">
            <v>DubbagudemX</v>
          </cell>
          <cell r="D26">
            <v>160</v>
          </cell>
        </row>
        <row r="27">
          <cell r="C27" t="str">
            <v>Dubbagudem  ohsrx</v>
          </cell>
          <cell r="D27">
            <v>170</v>
          </cell>
        </row>
        <row r="28">
          <cell r="C28" t="str">
            <v xml:space="preserve">Dubbagudem  ohsr </v>
          </cell>
          <cell r="D28">
            <v>170</v>
          </cell>
        </row>
        <row r="29">
          <cell r="C29" t="str">
            <v>Govinderaopet BPTX</v>
          </cell>
          <cell r="D29">
            <v>154</v>
          </cell>
        </row>
        <row r="30">
          <cell r="C30" t="str">
            <v>Govinderaopet BPT</v>
          </cell>
          <cell r="D30">
            <v>154</v>
          </cell>
        </row>
        <row r="31">
          <cell r="C31" t="str">
            <v>Govinderaopet BPT LWL</v>
          </cell>
          <cell r="D31">
            <v>154</v>
          </cell>
        </row>
        <row r="32">
          <cell r="C32" t="str">
            <v>Govinderaopet BPT FOOT</v>
          </cell>
          <cell r="D32">
            <v>152</v>
          </cell>
        </row>
        <row r="33">
          <cell r="C33" t="str">
            <v>RangapurX</v>
          </cell>
          <cell r="D33">
            <v>154</v>
          </cell>
        </row>
        <row r="34">
          <cell r="C34" t="str">
            <v>Rangapur  ohsr x</v>
          </cell>
          <cell r="D34">
            <v>148</v>
          </cell>
        </row>
        <row r="35">
          <cell r="C35" t="str">
            <v xml:space="preserve">Rangapur  ohsr </v>
          </cell>
          <cell r="D35">
            <v>148</v>
          </cell>
        </row>
        <row r="36">
          <cell r="C36" t="str">
            <v>SomlagaddaX</v>
          </cell>
          <cell r="D36">
            <v>150</v>
          </cell>
        </row>
        <row r="37">
          <cell r="C37" t="str">
            <v>Somlagadda ohsr x</v>
          </cell>
          <cell r="D37">
            <v>150</v>
          </cell>
        </row>
        <row r="38">
          <cell r="C38" t="str">
            <v xml:space="preserve">Somlagadda ohsr </v>
          </cell>
          <cell r="D38">
            <v>151</v>
          </cell>
        </row>
        <row r="39">
          <cell r="C39" t="str">
            <v>GovindaraopetX</v>
          </cell>
          <cell r="D39">
            <v>152</v>
          </cell>
        </row>
        <row r="40">
          <cell r="C40" t="str">
            <v>Govindaraopet OHSRX</v>
          </cell>
          <cell r="D40">
            <v>152</v>
          </cell>
        </row>
        <row r="41">
          <cell r="C41" t="str">
            <v>Govindarao pet ohsrx</v>
          </cell>
          <cell r="D41">
            <v>154</v>
          </cell>
        </row>
        <row r="42">
          <cell r="C42" t="str">
            <v>Govindarao pet ohsr</v>
          </cell>
          <cell r="D42">
            <v>154.16999999999999</v>
          </cell>
        </row>
        <row r="43">
          <cell r="C43" t="str">
            <v>Govindarao pet new ohsrx</v>
          </cell>
          <cell r="D43">
            <v>155</v>
          </cell>
        </row>
        <row r="44">
          <cell r="C44" t="str">
            <v>Govindarao pet new ohsr</v>
          </cell>
          <cell r="D44">
            <v>155</v>
          </cell>
        </row>
        <row r="45">
          <cell r="C45" t="str">
            <v>Tataiah pallyXR&amp;B</v>
          </cell>
          <cell r="D45">
            <v>155.47999999999999</v>
          </cell>
        </row>
        <row r="46">
          <cell r="C46" t="str">
            <v>Tataiah pallyJN</v>
          </cell>
          <cell r="D46">
            <v>168.48</v>
          </cell>
        </row>
        <row r="47">
          <cell r="C47" t="str">
            <v>Dumpelli gudemX</v>
          </cell>
          <cell r="D47">
            <v>166</v>
          </cell>
        </row>
        <row r="48">
          <cell r="C48" t="str">
            <v>Dumpelli gudem ohsrx</v>
          </cell>
          <cell r="D48">
            <v>166</v>
          </cell>
        </row>
        <row r="49">
          <cell r="C49" t="str">
            <v>Dumpelli gudem ohsr</v>
          </cell>
          <cell r="D49">
            <v>165.07</v>
          </cell>
        </row>
        <row r="50">
          <cell r="C50" t="str">
            <v xml:space="preserve">LB nager Ohsrx </v>
          </cell>
          <cell r="D50">
            <v>166</v>
          </cell>
        </row>
        <row r="51">
          <cell r="C51" t="str">
            <v xml:space="preserve">LB nager Ohsr </v>
          </cell>
          <cell r="D51">
            <v>166</v>
          </cell>
        </row>
        <row r="52">
          <cell r="C52" t="str">
            <v>PapaiahpallyJN</v>
          </cell>
          <cell r="D52">
            <v>162.11000000000001</v>
          </cell>
        </row>
        <row r="53">
          <cell r="C53" t="str">
            <v>Papaiahpally ohsrx</v>
          </cell>
          <cell r="D53">
            <v>164</v>
          </cell>
        </row>
        <row r="54">
          <cell r="C54" t="str">
            <v>Papaiahpally ohsr</v>
          </cell>
          <cell r="D54">
            <v>164</v>
          </cell>
        </row>
        <row r="55">
          <cell r="C55" t="str">
            <v>Sandragudem ohsrx</v>
          </cell>
          <cell r="D55">
            <v>167</v>
          </cell>
        </row>
        <row r="56">
          <cell r="C56" t="str">
            <v xml:space="preserve">Sandragudem ohsr </v>
          </cell>
          <cell r="D56">
            <v>167.57499999999999</v>
          </cell>
        </row>
        <row r="57">
          <cell r="C57" t="str">
            <v>RagavapatnamX</v>
          </cell>
          <cell r="D57">
            <v>147</v>
          </cell>
        </row>
        <row r="58">
          <cell r="C58" t="str">
            <v xml:space="preserve">Ragavapatnam  ohsrx </v>
          </cell>
          <cell r="D58">
            <v>142</v>
          </cell>
        </row>
        <row r="59">
          <cell r="C59" t="str">
            <v xml:space="preserve">Ragavapatnam  ohsr </v>
          </cell>
          <cell r="D59">
            <v>142.375</v>
          </cell>
        </row>
        <row r="60">
          <cell r="C60" t="str">
            <v xml:space="preserve">LakanavaramX  </v>
          </cell>
          <cell r="D60">
            <v>150</v>
          </cell>
        </row>
        <row r="61">
          <cell r="C61" t="str">
            <v xml:space="preserve">Lakanavaram ohsrx </v>
          </cell>
          <cell r="D61">
            <v>155.5</v>
          </cell>
        </row>
        <row r="62">
          <cell r="C62" t="str">
            <v>Lakanavaram ohsr</v>
          </cell>
          <cell r="D62">
            <v>155.38499999999999</v>
          </cell>
        </row>
        <row r="63">
          <cell r="C63" t="str">
            <v>Pasra  JN</v>
          </cell>
          <cell r="D63">
            <v>148.41999999999999</v>
          </cell>
        </row>
        <row r="64">
          <cell r="C64" t="str">
            <v>PasraV</v>
          </cell>
          <cell r="D64">
            <v>148</v>
          </cell>
        </row>
        <row r="65">
          <cell r="C65" t="str">
            <v>Pasra  ohsr x</v>
          </cell>
          <cell r="D65">
            <v>148</v>
          </cell>
        </row>
        <row r="66">
          <cell r="C66" t="str">
            <v xml:space="preserve">Pasra  ohsr </v>
          </cell>
          <cell r="D66">
            <v>148.22999999999999</v>
          </cell>
        </row>
        <row r="67">
          <cell r="C67" t="str">
            <v xml:space="preserve">Pasra new ohsrx </v>
          </cell>
          <cell r="D67">
            <v>148</v>
          </cell>
        </row>
        <row r="68">
          <cell r="C68" t="str">
            <v xml:space="preserve">Pasra new ohsr </v>
          </cell>
          <cell r="D68">
            <v>148</v>
          </cell>
        </row>
        <row r="69">
          <cell r="C69" t="str">
            <v>PathanagaramJN</v>
          </cell>
          <cell r="D69">
            <v>142.53</v>
          </cell>
        </row>
        <row r="70">
          <cell r="C70" t="str">
            <v xml:space="preserve">Pathanagaram ohsrX </v>
          </cell>
          <cell r="D70">
            <v>142</v>
          </cell>
        </row>
        <row r="71">
          <cell r="C71" t="str">
            <v xml:space="preserve">Pathanagaram ohsr </v>
          </cell>
          <cell r="D71">
            <v>142.53</v>
          </cell>
        </row>
        <row r="72">
          <cell r="C72" t="str">
            <v>Pathippalagadda JN</v>
          </cell>
          <cell r="D72">
            <v>147.08500000000001</v>
          </cell>
        </row>
        <row r="73">
          <cell r="C73" t="str">
            <v>Pathippalagadda  ohsr X</v>
          </cell>
          <cell r="D73">
            <v>147</v>
          </cell>
        </row>
        <row r="74">
          <cell r="C74" t="str">
            <v xml:space="preserve">Pathippalagadda  ohsr </v>
          </cell>
          <cell r="D74">
            <v>147</v>
          </cell>
        </row>
        <row r="75">
          <cell r="C75" t="str">
            <v>Muthapur  JN</v>
          </cell>
          <cell r="D75">
            <v>141.91499999999999</v>
          </cell>
        </row>
        <row r="76">
          <cell r="C76" t="str">
            <v>Tappamancha ohsrX</v>
          </cell>
          <cell r="D76">
            <v>140.565</v>
          </cell>
        </row>
        <row r="77">
          <cell r="C77" t="str">
            <v>Tappamancha ohsr</v>
          </cell>
          <cell r="D77">
            <v>140.565</v>
          </cell>
        </row>
        <row r="78">
          <cell r="C78" t="str">
            <v>Muthapur  ohsrX</v>
          </cell>
          <cell r="D78">
            <v>141.91499999999999</v>
          </cell>
        </row>
        <row r="79">
          <cell r="C79" t="str">
            <v xml:space="preserve">Muthapur  ohsr </v>
          </cell>
          <cell r="D79">
            <v>141.91499999999999</v>
          </cell>
        </row>
        <row r="80">
          <cell r="C80" t="str">
            <v xml:space="preserve">Projectnager ohsrX </v>
          </cell>
          <cell r="D80">
            <v>137.80000000000001</v>
          </cell>
        </row>
        <row r="81">
          <cell r="C81" t="str">
            <v xml:space="preserve">Projectnager ohsr </v>
          </cell>
          <cell r="D81">
            <v>138</v>
          </cell>
        </row>
        <row r="82">
          <cell r="C82" t="str">
            <v>GandinagaramJN</v>
          </cell>
          <cell r="D82">
            <v>154.125</v>
          </cell>
        </row>
        <row r="83">
          <cell r="C83" t="str">
            <v>Gandinagaram  ohsr X</v>
          </cell>
          <cell r="D83">
            <v>160</v>
          </cell>
        </row>
        <row r="84">
          <cell r="C84" t="str">
            <v xml:space="preserve">Gandinagaram  ohsr </v>
          </cell>
          <cell r="D84">
            <v>161</v>
          </cell>
        </row>
        <row r="85">
          <cell r="C85" t="str">
            <v>SandragudemV</v>
          </cell>
          <cell r="D85">
            <v>162</v>
          </cell>
        </row>
        <row r="86">
          <cell r="C86" t="str">
            <v>RampurX</v>
          </cell>
          <cell r="D86">
            <v>162</v>
          </cell>
        </row>
        <row r="87">
          <cell r="C87" t="str">
            <v>Rampur ohsrX</v>
          </cell>
          <cell r="D87">
            <v>165</v>
          </cell>
        </row>
        <row r="88">
          <cell r="C88" t="str">
            <v>Rampur ohsr</v>
          </cell>
          <cell r="D88">
            <v>165</v>
          </cell>
        </row>
        <row r="89">
          <cell r="C89" t="str">
            <v>Karlapally ohsrx</v>
          </cell>
          <cell r="D89">
            <v>169</v>
          </cell>
        </row>
        <row r="90">
          <cell r="C90" t="str">
            <v>Karlapally ohsr</v>
          </cell>
          <cell r="D90">
            <v>169</v>
          </cell>
        </row>
      </sheetData>
      <sheetData sheetId="8"/>
      <sheetData sheetId="9"/>
      <sheetData sheetId="10" refreshError="1"/>
      <sheetData sheetId="11" refreshError="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
      <sheetName val="GM"/>
      <sheetName val="SRs"/>
      <sheetName val="SRs-Rev"/>
      <sheetName val="detls"/>
      <sheetName val="Sheet1"/>
      <sheetName val="Data"/>
      <sheetName val="Summary"/>
      <sheetName val="ww-march-02"/>
      <sheetName val="Nspt-smp-final-ORIGINAL"/>
      <sheetName val="HDPE"/>
      <sheetName val="DI"/>
      <sheetName val="pvc"/>
      <sheetName val="hdpe_basic"/>
      <sheetName val="pvc_basic"/>
      <sheetName val="Dormitory"/>
      <sheetName val="RMR"/>
      <sheetName val="Sheet9"/>
      <sheetName val="habs-list"/>
      <sheetName val="nodes"/>
      <sheetName val="Data.F8.BTR"/>
      <sheetName val="Plant &amp;  Machinery"/>
      <sheetName val="Labour"/>
      <sheetName val="Material"/>
      <sheetName val="Data_Bit_I"/>
      <sheetName val="m"/>
      <sheetName val="m1"/>
      <sheetName val="Global factors"/>
      <sheetName val="Levels"/>
      <sheetName val="r"/>
      <sheetName val="Sheet3"/>
      <sheetName val="hdpe-rates"/>
      <sheetName val="hdpe weights"/>
      <sheetName val="ssr-rates"/>
      <sheetName val="pvc-rates"/>
      <sheetName val="PVC weights"/>
      <sheetName val="ewst"/>
      <sheetName val="sup dat"/>
      <sheetName val="Lead"/>
      <sheetName val="Lookup"/>
      <sheetName val="Sheet2"/>
      <sheetName val="Specification report"/>
      <sheetName val="Work_sheet"/>
      <sheetName val="Staff Acco."/>
      <sheetName val="Class IV Qtr. Ele"/>
      <sheetName val="Rates-May-14"/>
      <sheetName val="General"/>
      <sheetName val="Lead statement"/>
      <sheetName val="EDWise"/>
      <sheetName val="economic PM"/>
      <sheetName val="HDPE-pipe-rates"/>
      <sheetName val="int-Dia"/>
      <sheetName val="pvc-pipe-rates"/>
      <sheetName val="DATA_PRG"/>
      <sheetName val="water-hammar-strenght"/>
      <sheetName val="Data_"/>
      <sheetName val="Rate"/>
      <sheetName val="hab-details"/>
      <sheetName val="Rates"/>
      <sheetName val="Rates SSR 2008-09"/>
      <sheetName val="Iocount"/>
      <sheetName val="Mp-team 1"/>
      <sheetName val="GF Columns"/>
      <sheetName val="Global_factors"/>
      <sheetName val="Data_F8_BTR"/>
      <sheetName val="Bridge Data 2005-06"/>
      <sheetName val="Usage"/>
      <sheetName val="Common "/>
      <sheetName val="BWSCPlt"/>
      <sheetName val="CI"/>
      <sheetName val="G.R.P"/>
      <sheetName val="PSC REVISED"/>
      <sheetName val="leads"/>
      <sheetName val="G F  (2)"/>
      <sheetName val="Mortars"/>
      <sheetName val="wh_data_R"/>
      <sheetName val="sectorwise"/>
      <sheetName val="Usage "/>
      <sheetName val="Marteru"/>
      <sheetName val="0000000000000"/>
      <sheetName val="Plant_&amp;__Machinery"/>
      <sheetName val="hdpe_weights"/>
      <sheetName val="PVC_weights"/>
      <sheetName val="sup_dat"/>
      <sheetName val="Specification_report"/>
      <sheetName val="Staff_Acco_"/>
      <sheetName val="Class_IV_Qtr__Ele"/>
      <sheetName val="Lead_statement"/>
      <sheetName val="Rates_SSR_2008-09"/>
      <sheetName val="economic_PM"/>
      <sheetName val="Sheet5"/>
      <sheetName val="l"/>
      <sheetName val="3405-2014"/>
      <sheetName val="Qty"/>
      <sheetName val="GA"/>
      <sheetName val="WATER-HAMMER"/>
      <sheetName val="t_prsr"/>
      <sheetName val="wh"/>
      <sheetName val="MRATES"/>
      <sheetName val="R_Det"/>
      <sheetName val="Road data"/>
      <sheetName val="Specification"/>
      <sheetName val="Gnl_Abstrct"/>
      <sheetName val="index"/>
      <sheetName val="other rates"/>
      <sheetName val="b asic rates"/>
      <sheetName val="v"/>
      <sheetName val="JAWAHAR-hyd-original"/>
      <sheetName val="beam-reinft"/>
      <sheetName val="cover1"/>
      <sheetName val="RevenueInput"/>
      <sheetName val="inpro"/>
      <sheetName val="mdl"/>
      <sheetName val="comp"/>
      <sheetName val="comp-st(GEN)"/>
      <sheetName val="FORM7"/>
      <sheetName val="Labour &amp; Plant"/>
      <sheetName val="BM-HOOP"/>
      <sheetName val=" data sheet "/>
      <sheetName val="mas_hab"/>
      <sheetName val="SPT vs PHI"/>
      <sheetName val="Sorted"/>
      <sheetName val="PLAN_FEB97"/>
      <sheetName val="Abs"/>
      <sheetName val="labour &amp; Centering"/>
      <sheetName val="data-WC"/>
      <sheetName val="20kL-design-final"/>
      <sheetName val="zone-2"/>
      <sheetName val="co_5"/>
      <sheetName val="bundqty"/>
      <sheetName val="abs road"/>
      <sheetName val="coverpage"/>
      <sheetName val="estimate "/>
      <sheetName val="Detailed Estimate"/>
      <sheetName val="Road Detail Est."/>
      <sheetName val="mlead"/>
      <sheetName val="Quarry"/>
      <sheetName val="Detailed"/>
      <sheetName val="Bitumen trunk"/>
      <sheetName val="Feeder"/>
      <sheetName val="R99 etc"/>
      <sheetName val="Trunk unpaved"/>
      <sheetName val="DISCOUNT"/>
      <sheetName val="lead-st"/>
      <sheetName val="rdamdata"/>
      <sheetName val="LEAD (2)"/>
    </sheetNames>
    <sheetDataSet>
      <sheetData sheetId="0">
        <row r="3">
          <cell r="B3">
            <v>2.5</v>
          </cell>
        </row>
      </sheetData>
      <sheetData sheetId="1"/>
      <sheetData sheetId="2"/>
      <sheetData sheetId="3"/>
      <sheetData sheetId="4"/>
      <sheetData sheetId="5" refreshError="1">
        <row r="3">
          <cell r="B3">
            <v>2.5</v>
          </cell>
          <cell r="C3">
            <v>4</v>
          </cell>
          <cell r="D3">
            <v>6</v>
          </cell>
          <cell r="E3">
            <v>10</v>
          </cell>
          <cell r="F3">
            <v>0</v>
          </cell>
          <cell r="G3">
            <v>2.5</v>
          </cell>
          <cell r="H3">
            <v>4</v>
          </cell>
          <cell r="I3">
            <v>6</v>
          </cell>
          <cell r="J3">
            <v>0</v>
          </cell>
          <cell r="K3">
            <v>10</v>
          </cell>
          <cell r="L3">
            <v>2.5</v>
          </cell>
          <cell r="M3">
            <v>4</v>
          </cell>
          <cell r="N3">
            <v>6</v>
          </cell>
          <cell r="O3">
            <v>10</v>
          </cell>
        </row>
        <row r="4">
          <cell r="A4">
            <v>63</v>
          </cell>
          <cell r="B4">
            <v>2.4</v>
          </cell>
          <cell r="C4">
            <v>3.5</v>
          </cell>
          <cell r="D4">
            <v>4.2</v>
          </cell>
          <cell r="E4">
            <v>6.6</v>
          </cell>
          <cell r="F4">
            <v>0</v>
          </cell>
          <cell r="G4">
            <v>58.2</v>
          </cell>
          <cell r="H4">
            <v>56</v>
          </cell>
          <cell r="I4">
            <v>54.6</v>
          </cell>
          <cell r="J4">
            <v>0</v>
          </cell>
          <cell r="K4">
            <v>49.8</v>
          </cell>
          <cell r="L4">
            <v>0.12077586999999999</v>
          </cell>
          <cell r="M4">
            <v>0.15987581000000001</v>
          </cell>
          <cell r="N4">
            <v>0.18601166999999999</v>
          </cell>
          <cell r="O4">
            <v>0.29011769999999998</v>
          </cell>
        </row>
        <row r="5">
          <cell r="A5">
            <v>75</v>
          </cell>
          <cell r="B5">
            <v>2.7</v>
          </cell>
          <cell r="C5">
            <v>4.2</v>
          </cell>
          <cell r="D5">
            <v>4.9000000000000004</v>
          </cell>
          <cell r="E5">
            <v>7.8</v>
          </cell>
          <cell r="F5">
            <v>0</v>
          </cell>
          <cell r="G5">
            <v>69.599999999999994</v>
          </cell>
          <cell r="H5">
            <v>66.599999999999994</v>
          </cell>
          <cell r="I5">
            <v>65.2</v>
          </cell>
          <cell r="J5">
            <v>0</v>
          </cell>
          <cell r="K5">
            <v>59.4</v>
          </cell>
          <cell r="L5">
            <v>8.1953520000000002E-2</v>
          </cell>
          <cell r="M5">
            <v>0.11352882</v>
          </cell>
          <cell r="N5">
            <v>0.12898462999999999</v>
          </cell>
          <cell r="O5">
            <v>0.20303246</v>
          </cell>
        </row>
        <row r="6">
          <cell r="A6">
            <v>90</v>
          </cell>
          <cell r="B6">
            <v>3.2</v>
          </cell>
          <cell r="C6">
            <v>5</v>
          </cell>
          <cell r="D6">
            <v>5.8</v>
          </cell>
          <cell r="E6">
            <v>9.3000000000000007</v>
          </cell>
          <cell r="F6">
            <v>0</v>
          </cell>
          <cell r="G6">
            <v>83.6</v>
          </cell>
          <cell r="H6">
            <v>80</v>
          </cell>
          <cell r="I6">
            <v>78.400000000000006</v>
          </cell>
          <cell r="J6">
            <v>0</v>
          </cell>
          <cell r="K6">
            <v>71.400000000000006</v>
          </cell>
          <cell r="L6">
            <v>5.6430769999999998E-2</v>
          </cell>
          <cell r="M6">
            <v>7.8339149999999996E-2</v>
          </cell>
          <cell r="N6">
            <v>8.8529919999999998E-2</v>
          </cell>
          <cell r="O6">
            <v>0.13998290999999999</v>
          </cell>
        </row>
        <row r="7">
          <cell r="A7">
            <v>110</v>
          </cell>
          <cell r="B7">
            <v>3.9</v>
          </cell>
          <cell r="C7">
            <v>6</v>
          </cell>
          <cell r="D7">
            <v>7.1</v>
          </cell>
          <cell r="E7">
            <v>11.2</v>
          </cell>
          <cell r="F7">
            <v>0</v>
          </cell>
          <cell r="G7">
            <v>102.2</v>
          </cell>
          <cell r="H7">
            <v>98</v>
          </cell>
          <cell r="I7">
            <v>95.8</v>
          </cell>
          <cell r="J7">
            <v>0</v>
          </cell>
          <cell r="K7">
            <v>87.6</v>
          </cell>
          <cell r="L7">
            <v>3.7702720000000002E-2</v>
          </cell>
          <cell r="M7">
            <v>5.1682600000000002E-2</v>
          </cell>
          <cell r="N7">
            <v>5.9342989999999998E-2</v>
          </cell>
          <cell r="O7">
            <v>9.2181170000000007E-2</v>
          </cell>
        </row>
        <row r="8">
          <cell r="A8">
            <v>125</v>
          </cell>
          <cell r="B8">
            <v>4.4000000000000004</v>
          </cell>
          <cell r="C8">
            <v>6.8</v>
          </cell>
          <cell r="D8">
            <v>8</v>
          </cell>
          <cell r="E8">
            <v>12.8</v>
          </cell>
          <cell r="F8">
            <v>0</v>
          </cell>
          <cell r="G8">
            <v>116.2</v>
          </cell>
          <cell r="H8">
            <v>111.4</v>
          </cell>
          <cell r="I8">
            <v>109</v>
          </cell>
          <cell r="J8">
            <v>0</v>
          </cell>
          <cell r="K8">
            <v>99.4</v>
          </cell>
          <cell r="L8">
            <v>2.9054E-2</v>
          </cell>
          <cell r="M8">
            <v>3.993874E-2</v>
          </cell>
          <cell r="N8">
            <v>4.5624539999999998E-2</v>
          </cell>
          <cell r="O8">
            <v>7.1837349999999994E-2</v>
          </cell>
        </row>
        <row r="9">
          <cell r="A9">
            <v>140</v>
          </cell>
          <cell r="B9">
            <v>4.9000000000000004</v>
          </cell>
          <cell r="C9">
            <v>7.6</v>
          </cell>
          <cell r="D9">
            <v>9</v>
          </cell>
          <cell r="E9">
            <v>14.3</v>
          </cell>
          <cell r="F9">
            <v>0</v>
          </cell>
          <cell r="G9">
            <v>130.19999999999999</v>
          </cell>
          <cell r="H9">
            <v>124.8</v>
          </cell>
          <cell r="I9">
            <v>122</v>
          </cell>
          <cell r="J9">
            <v>0</v>
          </cell>
          <cell r="K9">
            <v>111.4</v>
          </cell>
          <cell r="L9">
            <v>2.307209E-2</v>
          </cell>
          <cell r="M9">
            <v>3.1786050000000003E-2</v>
          </cell>
          <cell r="N9">
            <v>3.6509600000000003E-2</v>
          </cell>
          <cell r="O9">
            <v>5.710875E-2</v>
          </cell>
        </row>
        <row r="10">
          <cell r="A10">
            <v>160</v>
          </cell>
          <cell r="B10">
            <v>5.6</v>
          </cell>
          <cell r="C10">
            <v>8.6</v>
          </cell>
          <cell r="D10">
            <v>10.199999999999999</v>
          </cell>
          <cell r="E10">
            <v>16.3</v>
          </cell>
          <cell r="F10">
            <v>0</v>
          </cell>
          <cell r="G10">
            <v>148.80000000000001</v>
          </cell>
          <cell r="H10">
            <v>142.80000000000001</v>
          </cell>
          <cell r="I10">
            <v>139.6</v>
          </cell>
          <cell r="J10">
            <v>0</v>
          </cell>
          <cell r="K10">
            <v>127.4</v>
          </cell>
          <cell r="L10">
            <v>1.7664570000000001E-2</v>
          </cell>
          <cell r="M10">
            <v>2.4146649999999999E-2</v>
          </cell>
          <cell r="N10">
            <v>2.7754689999999999E-2</v>
          </cell>
          <cell r="O10">
            <v>4.3596910000000003E-2</v>
          </cell>
        </row>
        <row r="11">
          <cell r="A11">
            <v>180</v>
          </cell>
          <cell r="B11">
            <v>6.2</v>
          </cell>
          <cell r="C11">
            <v>9.6999999999999993</v>
          </cell>
          <cell r="D11">
            <v>11.5</v>
          </cell>
          <cell r="E11">
            <v>18.3</v>
          </cell>
          <cell r="F11">
            <v>0</v>
          </cell>
          <cell r="G11">
            <v>167.6</v>
          </cell>
          <cell r="H11">
            <v>160.6</v>
          </cell>
          <cell r="I11">
            <v>157</v>
          </cell>
          <cell r="J11">
            <v>0</v>
          </cell>
          <cell r="K11">
            <v>143.4</v>
          </cell>
          <cell r="L11">
            <v>1.38066E-2</v>
          </cell>
          <cell r="M11">
            <v>1.911763E-2</v>
          </cell>
          <cell r="N11">
            <v>2.1970139999999999E-2</v>
          </cell>
          <cell r="O11">
            <v>3.4369049999999998E-2</v>
          </cell>
        </row>
        <row r="12">
          <cell r="A12">
            <v>200</v>
          </cell>
          <cell r="B12">
            <v>6.9</v>
          </cell>
          <cell r="C12">
            <v>10.7</v>
          </cell>
          <cell r="D12">
            <v>12.7</v>
          </cell>
          <cell r="E12">
            <v>20.3</v>
          </cell>
          <cell r="F12">
            <v>0</v>
          </cell>
          <cell r="G12">
            <v>186.2</v>
          </cell>
          <cell r="H12">
            <v>178.6</v>
          </cell>
          <cell r="I12">
            <v>174.6</v>
          </cell>
          <cell r="J12">
            <v>0</v>
          </cell>
          <cell r="K12">
            <v>159.4</v>
          </cell>
          <cell r="L12">
            <v>1.119555E-2</v>
          </cell>
          <cell r="M12">
            <v>1.5397320000000001E-2</v>
          </cell>
          <cell r="N12">
            <v>1.7703989999999999E-2</v>
          </cell>
          <cell r="O12">
            <v>2.7788529999999999E-2</v>
          </cell>
        </row>
        <row r="13">
          <cell r="A13">
            <v>225</v>
          </cell>
          <cell r="B13">
            <v>7.7</v>
          </cell>
          <cell r="C13">
            <v>12</v>
          </cell>
          <cell r="D13">
            <v>14.3</v>
          </cell>
          <cell r="E13">
            <v>22.8</v>
          </cell>
          <cell r="F13">
            <v>0</v>
          </cell>
          <cell r="G13">
            <v>209.6</v>
          </cell>
          <cell r="H13">
            <v>201</v>
          </cell>
          <cell r="I13">
            <v>196.4</v>
          </cell>
          <cell r="J13">
            <v>0</v>
          </cell>
          <cell r="K13">
            <v>179.4</v>
          </cell>
          <cell r="L13">
            <v>8.7976600000000005E-3</v>
          </cell>
          <cell r="M13">
            <v>1.2136030000000001E-2</v>
          </cell>
          <cell r="N13">
            <v>1.3998689999999999E-2</v>
          </cell>
          <cell r="O13">
            <v>2.1916600000000001E-2</v>
          </cell>
        </row>
        <row r="14">
          <cell r="A14">
            <v>250</v>
          </cell>
          <cell r="B14">
            <v>8.6</v>
          </cell>
          <cell r="C14">
            <v>13.3</v>
          </cell>
          <cell r="D14">
            <v>15.8</v>
          </cell>
          <cell r="E14">
            <v>25.3</v>
          </cell>
          <cell r="F14">
            <v>0</v>
          </cell>
          <cell r="G14">
            <v>232.8</v>
          </cell>
          <cell r="H14">
            <v>223.4</v>
          </cell>
          <cell r="I14">
            <v>218.4</v>
          </cell>
          <cell r="J14">
            <v>0</v>
          </cell>
          <cell r="K14">
            <v>199.4</v>
          </cell>
          <cell r="L14">
            <v>7.1510999999999996E-3</v>
          </cell>
          <cell r="M14">
            <v>9.8109100000000008E-3</v>
          </cell>
          <cell r="N14">
            <v>1.128529E-2</v>
          </cell>
          <cell r="O14">
            <v>1.7726700000000001E-2</v>
          </cell>
        </row>
        <row r="15">
          <cell r="A15">
            <v>280</v>
          </cell>
          <cell r="B15">
            <v>9.6</v>
          </cell>
          <cell r="C15">
            <v>14.9</v>
          </cell>
          <cell r="D15">
            <v>17.7</v>
          </cell>
          <cell r="E15">
            <v>28.3</v>
          </cell>
          <cell r="F15">
            <v>0</v>
          </cell>
          <cell r="G15">
            <v>260.8</v>
          </cell>
          <cell r="H15">
            <v>250.2</v>
          </cell>
          <cell r="I15">
            <v>244.6</v>
          </cell>
          <cell r="J15">
            <v>0</v>
          </cell>
          <cell r="K15">
            <v>223.4</v>
          </cell>
          <cell r="L15">
            <v>5.6880000000000003E-3</v>
          </cell>
          <cell r="M15">
            <v>7.8228499999999992E-3</v>
          </cell>
          <cell r="N15">
            <v>8.9982800000000009E-3</v>
          </cell>
          <cell r="O15">
            <v>1.411185E-2</v>
          </cell>
        </row>
        <row r="16">
          <cell r="A16">
            <v>315</v>
          </cell>
          <cell r="B16">
            <v>10.7</v>
          </cell>
          <cell r="C16">
            <v>16.7</v>
          </cell>
          <cell r="D16">
            <v>20</v>
          </cell>
          <cell r="E16">
            <v>31.8</v>
          </cell>
          <cell r="F16">
            <v>0</v>
          </cell>
          <cell r="G16">
            <v>293.60000000000002</v>
          </cell>
          <cell r="H16">
            <v>281.60000000000002</v>
          </cell>
          <cell r="I16">
            <v>275</v>
          </cell>
          <cell r="J16">
            <v>0</v>
          </cell>
          <cell r="K16">
            <v>251.4</v>
          </cell>
          <cell r="L16">
            <v>4.4609999999999997E-3</v>
          </cell>
          <cell r="M16">
            <v>6.1629600000000003E-3</v>
          </cell>
          <cell r="N16">
            <v>7.13615E-3</v>
          </cell>
          <cell r="O16">
            <v>1.113565E-2</v>
          </cell>
        </row>
        <row r="17">
          <cell r="A17">
            <v>355</v>
          </cell>
          <cell r="B17">
            <v>12.1</v>
          </cell>
          <cell r="C17">
            <v>18.8</v>
          </cell>
          <cell r="D17">
            <v>22.3</v>
          </cell>
          <cell r="E17">
            <v>35.799999999999997</v>
          </cell>
          <cell r="F17">
            <v>0</v>
          </cell>
          <cell r="G17">
            <v>330.8</v>
          </cell>
          <cell r="H17">
            <v>317.39999999999998</v>
          </cell>
          <cell r="I17">
            <v>310.39999999999998</v>
          </cell>
          <cell r="J17">
            <v>0</v>
          </cell>
          <cell r="K17">
            <v>283.39999999999998</v>
          </cell>
          <cell r="L17">
            <v>3.52447E-3</v>
          </cell>
          <cell r="M17">
            <v>4.8482100000000004E-3</v>
          </cell>
          <cell r="N17">
            <v>5.5681400000000001E-3</v>
          </cell>
          <cell r="O17">
            <v>8.7573400000000006E-3</v>
          </cell>
        </row>
        <row r="18">
          <cell r="A18">
            <v>400</v>
          </cell>
          <cell r="B18">
            <v>14.2</v>
          </cell>
          <cell r="C18">
            <v>22.1</v>
          </cell>
          <cell r="D18">
            <v>26.3</v>
          </cell>
          <cell r="E18">
            <v>42.1</v>
          </cell>
          <cell r="F18">
            <v>0</v>
          </cell>
          <cell r="G18">
            <v>371.6</v>
          </cell>
          <cell r="H18">
            <v>355.8</v>
          </cell>
          <cell r="I18">
            <v>347.4</v>
          </cell>
          <cell r="J18">
            <v>0</v>
          </cell>
          <cell r="K18">
            <v>315.8</v>
          </cell>
          <cell r="L18">
            <v>2.8537599999999999E-3</v>
          </cell>
          <cell r="M18">
            <v>3.9485299999999996E-3</v>
          </cell>
          <cell r="N18">
            <v>4.5594399999999997E-3</v>
          </cell>
          <cell r="O18">
            <v>7.2346299999999997E-3</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sheetData sheetId="81"/>
      <sheetData sheetId="82"/>
      <sheetData sheetId="83"/>
      <sheetData sheetId="84" refreshError="1"/>
      <sheetData sheetId="85"/>
      <sheetData sheetId="86"/>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AAAAAAAAAAAAA"/>
      <sheetName val="ew ganga"/>
      <sheetName val="ew OG 20.02.2011"/>
      <sheetName val="ew-DiMs"/>
      <sheetName val="ssr-rates"/>
      <sheetName val="Sheet7"/>
      <sheetName val="PVC"/>
      <sheetName val="HDPE"/>
      <sheetName val="BWSCP"/>
      <sheetName val="GRP"/>
      <sheetName val="DI"/>
      <sheetName val="PSC"/>
      <sheetName val="AC"/>
      <sheetName val="CI"/>
      <sheetName val="Sheet5"/>
      <sheetName val="Sheet4"/>
      <sheetName val="OTHER PART B"/>
      <sheetName val="Sheet3"/>
      <sheetName val="OTH EST PART A"/>
      <sheetName val=" OTHERS EST part A D"/>
      <sheetName val="Sheet6"/>
      <sheetName val="Sheet2"/>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data"/>
      <sheetName val="leads"/>
      <sheetName val="PSC -pv"/>
      <sheetName val="GRP-pv"/>
      <sheetName val="index"/>
      <sheetName val="ew_ganga"/>
      <sheetName val="ew_OG_20_02_2011"/>
      <sheetName val="OTHER_PART_B"/>
      <sheetName val="OTH_EST_PART_A"/>
      <sheetName val="_OTHERS_EST_part_A_D"/>
      <sheetName val="DI_Weights"/>
      <sheetName val="Wt_of_HDPE"/>
      <sheetName val="hdpe_weights"/>
      <sheetName val="PVC_weights"/>
      <sheetName val="PSC_-pv"/>
      <sheetName val="habs-list"/>
      <sheetName val="nodes"/>
      <sheetName val="detls"/>
      <sheetName val="m"/>
      <sheetName val="Material"/>
      <sheetName val="Labour"/>
      <sheetName val="Global factors"/>
      <sheetName val="HDPE-pipe-rates"/>
      <sheetName val="pvc-pipe-rates"/>
      <sheetName val="hdpe_rates"/>
      <sheetName val="hdpe_wt-r"/>
      <sheetName val="Wordsdata"/>
      <sheetName val="labour coeff"/>
      <sheetName val="Bridge Data 2005-06"/>
      <sheetName val="beam-reinft"/>
      <sheetName val="Mp-team 1"/>
      <sheetName val="Nspt-smp-final-ORIGINAL"/>
      <sheetName val="m1"/>
      <sheetName val="Lead"/>
      <sheetName val="sup dat"/>
      <sheetName val="SSR 2014-15 Rates"/>
      <sheetName val="Lead statement"/>
      <sheetName val="Work_sheet"/>
      <sheetName val="MRATES"/>
      <sheetName val="RMR"/>
      <sheetName val="Road data"/>
      <sheetName val="Class IV Qtr. Ele"/>
      <sheetName val="ew_ganga1"/>
      <sheetName val="ew_OG_20_02_20111"/>
      <sheetName val="OTHER_PART_B1"/>
      <sheetName val="OTH_EST_PART_A1"/>
      <sheetName val="_OTHERS_EST_part_A_D1"/>
      <sheetName val="DI_Weights1"/>
      <sheetName val="Wt_of_HDPE1"/>
      <sheetName val="hdpe_weights1"/>
      <sheetName val="PVC_weights1"/>
      <sheetName val="PSC_-pv1"/>
      <sheetName val="Global_factors"/>
      <sheetName val="Marteru"/>
      <sheetName val="Data_Bit_I"/>
      <sheetName val="ESTIMATE"/>
      <sheetName val="r"/>
      <sheetName val="Plant &amp;  Machinery"/>
      <sheetName val="stone"/>
      <sheetName val="DISCOUNT"/>
      <sheetName val="pvc_basic"/>
      <sheetName val="bundqty"/>
    </sheetNames>
    <sheetDataSet>
      <sheetData sheetId="0" refreshError="1"/>
      <sheetData sheetId="1" refreshError="1"/>
      <sheetData sheetId="2" refreshError="1"/>
      <sheetData sheetId="3" refreshError="1"/>
      <sheetData sheetId="4" refreshError="1"/>
      <sheetData sheetId="5">
        <row r="2">
          <cell r="B2" t="str">
            <v>DI100K9</v>
          </cell>
          <cell r="C2" t="str">
            <v>DI</v>
          </cell>
          <cell r="D2">
            <v>100</v>
          </cell>
          <cell r="E2" t="str">
            <v>K9</v>
          </cell>
          <cell r="F2" t="str">
            <v>Rmt</v>
          </cell>
          <cell r="G2">
            <v>656.84</v>
          </cell>
          <cell r="H2">
            <v>921</v>
          </cell>
        </row>
        <row r="3">
          <cell r="B3" t="str">
            <v>DI150K9</v>
          </cell>
          <cell r="C3" t="str">
            <v>DI</v>
          </cell>
          <cell r="D3">
            <v>150</v>
          </cell>
          <cell r="E3" t="str">
            <v>K9</v>
          </cell>
          <cell r="F3" t="str">
            <v>Rmt</v>
          </cell>
          <cell r="G3">
            <v>964.79</v>
          </cell>
          <cell r="H3">
            <v>1362</v>
          </cell>
        </row>
        <row r="4">
          <cell r="B4" t="str">
            <v>DI200K9</v>
          </cell>
          <cell r="C4" t="str">
            <v>DI</v>
          </cell>
          <cell r="D4">
            <v>200</v>
          </cell>
          <cell r="E4" t="str">
            <v>K9</v>
          </cell>
          <cell r="F4" t="str">
            <v>Rmt</v>
          </cell>
          <cell r="G4">
            <v>1284.1600000000001</v>
          </cell>
          <cell r="H4">
            <v>1818</v>
          </cell>
        </row>
        <row r="5">
          <cell r="B5" t="str">
            <v>DI250K9</v>
          </cell>
          <cell r="C5" t="str">
            <v>DI</v>
          </cell>
          <cell r="D5">
            <v>250</v>
          </cell>
          <cell r="E5" t="str">
            <v>K9</v>
          </cell>
          <cell r="F5" t="str">
            <v>Rmt</v>
          </cell>
          <cell r="G5">
            <v>1683.38</v>
          </cell>
          <cell r="H5">
            <v>2386</v>
          </cell>
        </row>
        <row r="6">
          <cell r="B6" t="str">
            <v>DI300K9</v>
          </cell>
          <cell r="C6" t="str">
            <v>DI</v>
          </cell>
          <cell r="D6">
            <v>300</v>
          </cell>
          <cell r="E6" t="str">
            <v>K9</v>
          </cell>
          <cell r="F6" t="str">
            <v>Rmt</v>
          </cell>
          <cell r="G6">
            <v>2131.84</v>
          </cell>
          <cell r="H6">
            <v>3022</v>
          </cell>
        </row>
        <row r="7">
          <cell r="B7" t="str">
            <v>DI350K9</v>
          </cell>
          <cell r="C7" t="str">
            <v>DI</v>
          </cell>
          <cell r="D7">
            <v>350</v>
          </cell>
          <cell r="E7" t="str">
            <v>K9</v>
          </cell>
          <cell r="F7" t="str">
            <v>Rmt</v>
          </cell>
          <cell r="G7">
            <v>2658.81</v>
          </cell>
          <cell r="H7">
            <v>3768</v>
          </cell>
        </row>
        <row r="8">
          <cell r="B8" t="str">
            <v>DI400K9</v>
          </cell>
          <cell r="C8" t="str">
            <v>DI</v>
          </cell>
          <cell r="D8">
            <v>400</v>
          </cell>
          <cell r="E8" t="str">
            <v>K9</v>
          </cell>
          <cell r="F8" t="str">
            <v>Rmt</v>
          </cell>
          <cell r="G8">
            <v>3211.06</v>
          </cell>
          <cell r="H8">
            <v>4542</v>
          </cell>
        </row>
        <row r="9">
          <cell r="B9" t="str">
            <v>DI450K9</v>
          </cell>
          <cell r="C9" t="str">
            <v>DI</v>
          </cell>
          <cell r="D9">
            <v>450</v>
          </cell>
          <cell r="E9" t="str">
            <v>K9</v>
          </cell>
          <cell r="F9" t="str">
            <v>Rmt</v>
          </cell>
          <cell r="G9">
            <v>3845.83</v>
          </cell>
          <cell r="H9">
            <v>5434</v>
          </cell>
        </row>
        <row r="10">
          <cell r="B10" t="str">
            <v>DI500K9</v>
          </cell>
          <cell r="C10" t="str">
            <v>DI</v>
          </cell>
          <cell r="D10">
            <v>500</v>
          </cell>
          <cell r="E10" t="str">
            <v>K9</v>
          </cell>
          <cell r="F10" t="str">
            <v>Rmt</v>
          </cell>
          <cell r="G10">
            <v>4473.9399999999996</v>
          </cell>
          <cell r="H10">
            <v>6322</v>
          </cell>
        </row>
        <row r="11">
          <cell r="B11" t="str">
            <v>DI600K9</v>
          </cell>
          <cell r="C11" t="str">
            <v>DI</v>
          </cell>
          <cell r="D11">
            <v>600</v>
          </cell>
          <cell r="E11" t="str">
            <v>K9</v>
          </cell>
          <cell r="F11" t="str">
            <v>Rmt</v>
          </cell>
          <cell r="G11">
            <v>5897.82</v>
          </cell>
          <cell r="H11">
            <v>8338</v>
          </cell>
        </row>
        <row r="12">
          <cell r="B12" t="str">
            <v>DI700K9</v>
          </cell>
          <cell r="C12" t="str">
            <v>DI</v>
          </cell>
          <cell r="D12">
            <v>700</v>
          </cell>
          <cell r="E12" t="str">
            <v>K9</v>
          </cell>
          <cell r="F12" t="str">
            <v>Rmt</v>
          </cell>
          <cell r="G12">
            <v>7657.06</v>
          </cell>
          <cell r="H12">
            <v>10777</v>
          </cell>
        </row>
        <row r="13">
          <cell r="B13" t="str">
            <v>DI750K9</v>
          </cell>
          <cell r="C13" t="str">
            <v>DI</v>
          </cell>
          <cell r="D13">
            <v>750</v>
          </cell>
          <cell r="E13" t="str">
            <v>K9</v>
          </cell>
          <cell r="F13" t="str">
            <v>Rmt</v>
          </cell>
          <cell r="G13">
            <v>8589.91</v>
          </cell>
          <cell r="H13">
            <v>12093</v>
          </cell>
        </row>
        <row r="14">
          <cell r="B14" t="str">
            <v>DI800K9</v>
          </cell>
          <cell r="C14" t="str">
            <v>DI</v>
          </cell>
          <cell r="D14">
            <v>800</v>
          </cell>
          <cell r="E14" t="str">
            <v>K9</v>
          </cell>
          <cell r="F14" t="str">
            <v>Rmt</v>
          </cell>
          <cell r="G14">
            <v>9472.19</v>
          </cell>
          <cell r="H14">
            <v>13344</v>
          </cell>
        </row>
        <row r="15">
          <cell r="B15" t="str">
            <v>DI900K9</v>
          </cell>
          <cell r="C15" t="str">
            <v>DI</v>
          </cell>
          <cell r="D15">
            <v>900</v>
          </cell>
          <cell r="E15" t="str">
            <v>K9</v>
          </cell>
          <cell r="F15" t="str">
            <v>Rmt</v>
          </cell>
          <cell r="G15">
            <v>11566.77</v>
          </cell>
          <cell r="H15">
            <v>16274</v>
          </cell>
        </row>
        <row r="16">
          <cell r="B16" t="str">
            <v>DI1000K9</v>
          </cell>
          <cell r="C16" t="str">
            <v>DI</v>
          </cell>
          <cell r="D16">
            <v>1000</v>
          </cell>
          <cell r="E16" t="str">
            <v>K9</v>
          </cell>
          <cell r="F16" t="str">
            <v>Rmt</v>
          </cell>
          <cell r="G16">
            <v>13687.96</v>
          </cell>
          <cell r="H16">
            <v>19295</v>
          </cell>
        </row>
        <row r="17">
          <cell r="B17" t="str">
            <v>DI100K7</v>
          </cell>
          <cell r="C17" t="str">
            <v>DI</v>
          </cell>
          <cell r="D17">
            <v>100</v>
          </cell>
          <cell r="E17" t="str">
            <v>K7</v>
          </cell>
          <cell r="F17" t="str">
            <v>Rmt</v>
          </cell>
          <cell r="G17">
            <v>591.58000000000004</v>
          </cell>
          <cell r="H17">
            <v>817</v>
          </cell>
        </row>
        <row r="18">
          <cell r="B18" t="str">
            <v>DI150K7</v>
          </cell>
          <cell r="C18" t="str">
            <v>DI</v>
          </cell>
          <cell r="D18">
            <v>150</v>
          </cell>
          <cell r="E18" t="str">
            <v>K7</v>
          </cell>
          <cell r="F18" t="str">
            <v>Rmt</v>
          </cell>
          <cell r="G18">
            <v>780.87</v>
          </cell>
          <cell r="H18">
            <v>1104</v>
          </cell>
        </row>
        <row r="19">
          <cell r="B19" t="str">
            <v>DI200K7</v>
          </cell>
          <cell r="C19" t="str">
            <v>DI</v>
          </cell>
          <cell r="D19">
            <v>200</v>
          </cell>
          <cell r="E19" t="str">
            <v>K7</v>
          </cell>
          <cell r="F19" t="str">
            <v>Rmt</v>
          </cell>
          <cell r="G19">
            <v>1138.6600000000001</v>
          </cell>
          <cell r="H19">
            <v>1576</v>
          </cell>
        </row>
        <row r="20">
          <cell r="B20" t="str">
            <v>DI250K7</v>
          </cell>
          <cell r="C20" t="str">
            <v>DI</v>
          </cell>
          <cell r="D20">
            <v>250</v>
          </cell>
          <cell r="E20" t="str">
            <v>K7</v>
          </cell>
          <cell r="F20" t="str">
            <v>Rmt</v>
          </cell>
          <cell r="G20">
            <v>1534.24</v>
          </cell>
          <cell r="H20">
            <v>2114</v>
          </cell>
        </row>
        <row r="21">
          <cell r="B21" t="str">
            <v>DI300K7</v>
          </cell>
          <cell r="C21" t="str">
            <v>DI</v>
          </cell>
          <cell r="D21">
            <v>300</v>
          </cell>
          <cell r="E21" t="str">
            <v>K7</v>
          </cell>
          <cell r="F21" t="str">
            <v>Rmt</v>
          </cell>
          <cell r="G21">
            <v>1978.43</v>
          </cell>
          <cell r="H21">
            <v>2715</v>
          </cell>
        </row>
        <row r="22">
          <cell r="B22" t="str">
            <v>DI350K7</v>
          </cell>
          <cell r="C22" t="str">
            <v>DI</v>
          </cell>
          <cell r="D22">
            <v>350</v>
          </cell>
          <cell r="E22" t="str">
            <v>K7</v>
          </cell>
          <cell r="F22" t="str">
            <v>Rmt</v>
          </cell>
          <cell r="G22">
            <v>2494.19</v>
          </cell>
          <cell r="H22">
            <v>3415</v>
          </cell>
        </row>
        <row r="23">
          <cell r="B23" t="str">
            <v>DI400K7</v>
          </cell>
          <cell r="C23" t="str">
            <v>DI</v>
          </cell>
          <cell r="D23">
            <v>400</v>
          </cell>
          <cell r="E23" t="str">
            <v>K7</v>
          </cell>
          <cell r="F23" t="str">
            <v>Rmt</v>
          </cell>
          <cell r="G23">
            <v>3036.87</v>
          </cell>
          <cell r="H23">
            <v>4145</v>
          </cell>
        </row>
        <row r="24">
          <cell r="B24" t="str">
            <v>DI450K7</v>
          </cell>
          <cell r="C24" t="str">
            <v>DI</v>
          </cell>
          <cell r="D24">
            <v>450</v>
          </cell>
          <cell r="E24" t="str">
            <v>K7</v>
          </cell>
          <cell r="F24" t="str">
            <v>Rmt</v>
          </cell>
          <cell r="G24">
            <v>3668.22</v>
          </cell>
          <cell r="H24">
            <v>4983</v>
          </cell>
        </row>
        <row r="25">
          <cell r="B25" t="str">
            <v>DI500K7</v>
          </cell>
          <cell r="C25" t="str">
            <v>DI</v>
          </cell>
          <cell r="D25">
            <v>500</v>
          </cell>
          <cell r="E25" t="str">
            <v>K7</v>
          </cell>
          <cell r="F25" t="str">
            <v>Rmt</v>
          </cell>
          <cell r="G25">
            <v>4382.41</v>
          </cell>
          <cell r="H25">
            <v>5937</v>
          </cell>
        </row>
        <row r="26">
          <cell r="B26" t="str">
            <v>DI600K7</v>
          </cell>
          <cell r="C26" t="str">
            <v>DI</v>
          </cell>
          <cell r="D26">
            <v>600</v>
          </cell>
          <cell r="E26" t="str">
            <v>K7</v>
          </cell>
          <cell r="F26" t="str">
            <v>Rmt</v>
          </cell>
          <cell r="G26">
            <v>5840.27</v>
          </cell>
          <cell r="H26">
            <v>7899</v>
          </cell>
        </row>
        <row r="27">
          <cell r="B27" t="str">
            <v>DI700K7</v>
          </cell>
          <cell r="C27" t="str">
            <v>DI</v>
          </cell>
          <cell r="D27">
            <v>700</v>
          </cell>
          <cell r="E27" t="str">
            <v>K7</v>
          </cell>
          <cell r="F27" t="str">
            <v>Rmt</v>
          </cell>
          <cell r="G27">
            <v>7580.48</v>
          </cell>
          <cell r="H27">
            <v>10219</v>
          </cell>
        </row>
        <row r="28">
          <cell r="B28" t="str">
            <v>DI750K7</v>
          </cell>
          <cell r="C28" t="str">
            <v>DI</v>
          </cell>
          <cell r="D28">
            <v>750</v>
          </cell>
          <cell r="E28" t="str">
            <v>K7</v>
          </cell>
          <cell r="F28" t="str">
            <v>Rmt</v>
          </cell>
          <cell r="G28">
            <v>8504</v>
          </cell>
          <cell r="H28">
            <v>11447</v>
          </cell>
        </row>
        <row r="29">
          <cell r="B29" t="str">
            <v>DI800K7</v>
          </cell>
          <cell r="C29" t="str">
            <v>DI</v>
          </cell>
          <cell r="D29">
            <v>800</v>
          </cell>
          <cell r="E29" t="str">
            <v>K7</v>
          </cell>
          <cell r="F29" t="str">
            <v>Rmt</v>
          </cell>
          <cell r="G29">
            <v>9377.4599999999991</v>
          </cell>
          <cell r="H29">
            <v>12653</v>
          </cell>
        </row>
        <row r="30">
          <cell r="B30" t="str">
            <v>DI900K7</v>
          </cell>
          <cell r="C30" t="str">
            <v>DI</v>
          </cell>
          <cell r="D30">
            <v>900</v>
          </cell>
          <cell r="E30" t="str">
            <v>K7</v>
          </cell>
          <cell r="F30" t="str">
            <v>Rmt</v>
          </cell>
          <cell r="G30">
            <v>11451.11</v>
          </cell>
          <cell r="H30">
            <v>15437</v>
          </cell>
        </row>
        <row r="31">
          <cell r="B31" t="str">
            <v>DI1000K7</v>
          </cell>
          <cell r="C31" t="str">
            <v>DI</v>
          </cell>
          <cell r="D31">
            <v>1000</v>
          </cell>
          <cell r="E31" t="str">
            <v>K7</v>
          </cell>
          <cell r="F31" t="str">
            <v>Rmt</v>
          </cell>
          <cell r="G31">
            <v>13551.07</v>
          </cell>
          <cell r="H31">
            <v>18301</v>
          </cell>
        </row>
        <row r="32">
          <cell r="B32" t="str">
            <v>CI80LA</v>
          </cell>
          <cell r="C32" t="str">
            <v>CI</v>
          </cell>
          <cell r="D32">
            <v>80</v>
          </cell>
          <cell r="E32" t="str">
            <v>LA</v>
          </cell>
          <cell r="F32" t="str">
            <v>Rmt</v>
          </cell>
          <cell r="G32">
            <v>0</v>
          </cell>
          <cell r="H32">
            <v>696</v>
          </cell>
        </row>
        <row r="33">
          <cell r="B33" t="str">
            <v>CI100LA</v>
          </cell>
          <cell r="C33" t="str">
            <v>CI</v>
          </cell>
          <cell r="D33">
            <v>100</v>
          </cell>
          <cell r="E33" t="str">
            <v>LA</v>
          </cell>
          <cell r="F33" t="str">
            <v>Rmt</v>
          </cell>
          <cell r="G33">
            <v>0</v>
          </cell>
          <cell r="H33">
            <v>847</v>
          </cell>
        </row>
        <row r="34">
          <cell r="B34" t="str">
            <v>CI125LA</v>
          </cell>
          <cell r="C34" t="str">
            <v>CI</v>
          </cell>
          <cell r="D34">
            <v>125</v>
          </cell>
          <cell r="E34" t="str">
            <v>LA</v>
          </cell>
          <cell r="F34" t="str">
            <v>Rmt</v>
          </cell>
          <cell r="G34">
            <v>0</v>
          </cell>
          <cell r="H34">
            <v>1070</v>
          </cell>
        </row>
        <row r="35">
          <cell r="B35" t="str">
            <v>CI150LA</v>
          </cell>
          <cell r="C35" t="str">
            <v>CI</v>
          </cell>
          <cell r="D35">
            <v>150</v>
          </cell>
          <cell r="E35" t="str">
            <v>LA</v>
          </cell>
          <cell r="F35" t="str">
            <v>Rmt</v>
          </cell>
          <cell r="G35">
            <v>0</v>
          </cell>
          <cell r="H35">
            <v>1296</v>
          </cell>
        </row>
        <row r="36">
          <cell r="B36" t="str">
            <v>CI200LA</v>
          </cell>
          <cell r="C36" t="str">
            <v>CI</v>
          </cell>
          <cell r="D36">
            <v>200</v>
          </cell>
          <cell r="E36" t="str">
            <v>LA</v>
          </cell>
          <cell r="F36" t="str">
            <v>Rmt</v>
          </cell>
          <cell r="G36">
            <v>0</v>
          </cell>
          <cell r="H36">
            <v>1893</v>
          </cell>
        </row>
        <row r="37">
          <cell r="B37" t="str">
            <v>CI250LA</v>
          </cell>
          <cell r="C37" t="str">
            <v>CI</v>
          </cell>
          <cell r="D37">
            <v>250</v>
          </cell>
          <cell r="E37" t="str">
            <v>LA</v>
          </cell>
          <cell r="F37" t="str">
            <v>Rmt</v>
          </cell>
          <cell r="G37">
            <v>0</v>
          </cell>
          <cell r="H37">
            <v>2551</v>
          </cell>
        </row>
        <row r="38">
          <cell r="B38" t="str">
            <v>CI300LA</v>
          </cell>
          <cell r="C38" t="str">
            <v>CI</v>
          </cell>
          <cell r="D38">
            <v>300</v>
          </cell>
          <cell r="E38" t="str">
            <v>LA</v>
          </cell>
          <cell r="F38" t="str">
            <v>Rmt</v>
          </cell>
          <cell r="G38">
            <v>0</v>
          </cell>
          <cell r="H38">
            <v>3290</v>
          </cell>
        </row>
        <row r="39">
          <cell r="B39" t="str">
            <v>CI350LA</v>
          </cell>
          <cell r="C39" t="str">
            <v>CI</v>
          </cell>
          <cell r="D39">
            <v>350</v>
          </cell>
          <cell r="E39" t="str">
            <v>LA</v>
          </cell>
          <cell r="F39" t="str">
            <v>Rmt</v>
          </cell>
          <cell r="G39">
            <v>0</v>
          </cell>
          <cell r="H39">
            <v>4205</v>
          </cell>
        </row>
        <row r="40">
          <cell r="B40" t="str">
            <v>CI400LA</v>
          </cell>
          <cell r="C40" t="str">
            <v>CI</v>
          </cell>
          <cell r="D40">
            <v>400</v>
          </cell>
          <cell r="E40" t="str">
            <v>LA</v>
          </cell>
          <cell r="F40" t="str">
            <v>Rmt</v>
          </cell>
          <cell r="G40">
            <v>0</v>
          </cell>
          <cell r="H40">
            <v>5119</v>
          </cell>
        </row>
        <row r="41">
          <cell r="B41" t="str">
            <v>CI450LA</v>
          </cell>
          <cell r="C41" t="str">
            <v>CI</v>
          </cell>
          <cell r="D41">
            <v>450</v>
          </cell>
          <cell r="E41" t="str">
            <v>LA</v>
          </cell>
          <cell r="F41" t="str">
            <v>Rmt</v>
          </cell>
          <cell r="G41">
            <v>0</v>
          </cell>
          <cell r="H41">
            <v>6194</v>
          </cell>
        </row>
        <row r="42">
          <cell r="B42" t="str">
            <v>CI500LA</v>
          </cell>
          <cell r="C42" t="str">
            <v>CI</v>
          </cell>
          <cell r="D42">
            <v>500</v>
          </cell>
          <cell r="E42" t="str">
            <v>LA</v>
          </cell>
          <cell r="F42" t="str">
            <v>Rmt</v>
          </cell>
          <cell r="G42">
            <v>0</v>
          </cell>
          <cell r="H42">
            <v>7324</v>
          </cell>
        </row>
        <row r="43">
          <cell r="B43" t="str">
            <v>CI600LA</v>
          </cell>
          <cell r="C43" t="str">
            <v>CI</v>
          </cell>
          <cell r="D43">
            <v>600</v>
          </cell>
          <cell r="E43" t="str">
            <v>LA</v>
          </cell>
          <cell r="F43" t="str">
            <v>Rmt</v>
          </cell>
          <cell r="G43">
            <v>0</v>
          </cell>
          <cell r="H43">
            <v>9687</v>
          </cell>
        </row>
        <row r="44">
          <cell r="B44" t="str">
            <v>CI700LA</v>
          </cell>
          <cell r="C44" t="str">
            <v>CI</v>
          </cell>
          <cell r="D44">
            <v>700</v>
          </cell>
          <cell r="E44" t="str">
            <v>LA</v>
          </cell>
          <cell r="F44" t="str">
            <v>Rmt</v>
          </cell>
          <cell r="G44">
            <v>0</v>
          </cell>
          <cell r="H44">
            <v>12745</v>
          </cell>
        </row>
        <row r="45">
          <cell r="B45" t="str">
            <v>CI750LA</v>
          </cell>
          <cell r="C45" t="str">
            <v>CI</v>
          </cell>
          <cell r="D45">
            <v>750</v>
          </cell>
          <cell r="E45" t="str">
            <v>LA</v>
          </cell>
          <cell r="F45" t="str">
            <v>Rmt</v>
          </cell>
          <cell r="G45">
            <v>0</v>
          </cell>
          <cell r="H45">
            <v>14274</v>
          </cell>
        </row>
        <row r="46">
          <cell r="B46" t="str">
            <v>CI800LA</v>
          </cell>
          <cell r="C46" t="str">
            <v>CI</v>
          </cell>
          <cell r="D46">
            <v>800</v>
          </cell>
          <cell r="E46" t="str">
            <v>LA</v>
          </cell>
          <cell r="F46" t="str">
            <v>Rmt</v>
          </cell>
          <cell r="G46">
            <v>0</v>
          </cell>
          <cell r="H46">
            <v>15979</v>
          </cell>
        </row>
        <row r="47">
          <cell r="B47" t="str">
            <v>CI900LA</v>
          </cell>
          <cell r="C47" t="str">
            <v>CI</v>
          </cell>
          <cell r="D47">
            <v>900</v>
          </cell>
          <cell r="E47" t="str">
            <v>LA</v>
          </cell>
          <cell r="F47" t="str">
            <v>Rmt</v>
          </cell>
          <cell r="G47">
            <v>0</v>
          </cell>
          <cell r="H47">
            <v>19471</v>
          </cell>
        </row>
        <row r="48">
          <cell r="B48" t="str">
            <v>CI1000LA</v>
          </cell>
          <cell r="C48" t="str">
            <v>CI</v>
          </cell>
          <cell r="D48">
            <v>1000</v>
          </cell>
          <cell r="E48" t="str">
            <v>LA</v>
          </cell>
          <cell r="F48" t="str">
            <v>Rmt</v>
          </cell>
          <cell r="G48">
            <v>0</v>
          </cell>
          <cell r="H48">
            <v>23392</v>
          </cell>
        </row>
        <row r="49">
          <cell r="B49" t="str">
            <v>CI80A</v>
          </cell>
          <cell r="C49" t="str">
            <v>CI</v>
          </cell>
          <cell r="D49">
            <v>80</v>
          </cell>
          <cell r="E49" t="str">
            <v>A</v>
          </cell>
          <cell r="F49" t="str">
            <v>Rmt</v>
          </cell>
          <cell r="G49">
            <v>0</v>
          </cell>
          <cell r="H49">
            <v>756</v>
          </cell>
        </row>
        <row r="50">
          <cell r="B50" t="str">
            <v>CI100A</v>
          </cell>
          <cell r="C50" t="str">
            <v>CI</v>
          </cell>
          <cell r="D50">
            <v>100</v>
          </cell>
          <cell r="E50" t="str">
            <v>A</v>
          </cell>
          <cell r="F50" t="str">
            <v>Rmt</v>
          </cell>
          <cell r="G50">
            <v>0</v>
          </cell>
          <cell r="H50">
            <v>932</v>
          </cell>
        </row>
        <row r="51">
          <cell r="B51" t="str">
            <v>CI125A</v>
          </cell>
          <cell r="C51" t="str">
            <v>CI</v>
          </cell>
          <cell r="D51">
            <v>125</v>
          </cell>
          <cell r="E51" t="str">
            <v>A</v>
          </cell>
          <cell r="F51" t="str">
            <v>Rmt</v>
          </cell>
          <cell r="G51">
            <v>0</v>
          </cell>
          <cell r="H51">
            <v>1168</v>
          </cell>
        </row>
        <row r="52">
          <cell r="B52" t="str">
            <v>CI150A</v>
          </cell>
          <cell r="C52" t="str">
            <v>CI</v>
          </cell>
          <cell r="D52">
            <v>150</v>
          </cell>
          <cell r="E52" t="str">
            <v>A</v>
          </cell>
          <cell r="F52" t="str">
            <v>Rmt</v>
          </cell>
          <cell r="G52">
            <v>0</v>
          </cell>
          <cell r="H52">
            <v>1420</v>
          </cell>
        </row>
        <row r="53">
          <cell r="B53" t="str">
            <v>CI200A</v>
          </cell>
          <cell r="C53" t="str">
            <v>CI</v>
          </cell>
          <cell r="D53">
            <v>200</v>
          </cell>
          <cell r="E53" t="str">
            <v>A</v>
          </cell>
          <cell r="F53" t="str">
            <v>Rmt</v>
          </cell>
          <cell r="G53">
            <v>0</v>
          </cell>
          <cell r="H53">
            <v>2055</v>
          </cell>
        </row>
        <row r="54">
          <cell r="B54" t="str">
            <v>CI250A</v>
          </cell>
          <cell r="C54" t="str">
            <v>CI</v>
          </cell>
          <cell r="D54">
            <v>250</v>
          </cell>
          <cell r="E54" t="str">
            <v>A</v>
          </cell>
          <cell r="F54" t="str">
            <v>Rmt</v>
          </cell>
          <cell r="G54">
            <v>0</v>
          </cell>
          <cell r="H54">
            <v>2778</v>
          </cell>
        </row>
        <row r="55">
          <cell r="B55" t="str">
            <v>CI300A</v>
          </cell>
          <cell r="C55" t="str">
            <v>CI</v>
          </cell>
          <cell r="D55">
            <v>300</v>
          </cell>
          <cell r="E55" t="str">
            <v>A</v>
          </cell>
          <cell r="F55" t="str">
            <v>Rmt</v>
          </cell>
          <cell r="G55">
            <v>0</v>
          </cell>
          <cell r="H55">
            <v>3597</v>
          </cell>
        </row>
        <row r="56">
          <cell r="B56" t="str">
            <v>CI350A</v>
          </cell>
          <cell r="C56" t="str">
            <v>CI</v>
          </cell>
          <cell r="D56">
            <v>350</v>
          </cell>
          <cell r="E56" t="str">
            <v>A</v>
          </cell>
          <cell r="F56" t="str">
            <v>Rmt</v>
          </cell>
          <cell r="G56">
            <v>0</v>
          </cell>
          <cell r="H56">
            <v>4562</v>
          </cell>
        </row>
        <row r="57">
          <cell r="B57" t="str">
            <v>CI400A</v>
          </cell>
          <cell r="C57" t="str">
            <v>CI</v>
          </cell>
          <cell r="D57">
            <v>400</v>
          </cell>
          <cell r="E57" t="str">
            <v>A</v>
          </cell>
          <cell r="F57" t="str">
            <v>Rmt</v>
          </cell>
          <cell r="G57">
            <v>0</v>
          </cell>
          <cell r="H57">
            <v>5595</v>
          </cell>
        </row>
        <row r="58">
          <cell r="B58" t="str">
            <v>CI450A</v>
          </cell>
          <cell r="C58" t="str">
            <v>CI</v>
          </cell>
          <cell r="D58">
            <v>450</v>
          </cell>
          <cell r="E58" t="str">
            <v>A</v>
          </cell>
          <cell r="F58" t="str">
            <v>Rmt</v>
          </cell>
          <cell r="G58">
            <v>0</v>
          </cell>
          <cell r="H58">
            <v>6805</v>
          </cell>
        </row>
        <row r="59">
          <cell r="B59" t="str">
            <v>CI500A</v>
          </cell>
          <cell r="C59" t="str">
            <v>CI</v>
          </cell>
          <cell r="D59">
            <v>500</v>
          </cell>
          <cell r="E59" t="str">
            <v>A</v>
          </cell>
          <cell r="F59" t="str">
            <v>Rmt</v>
          </cell>
          <cell r="G59">
            <v>0</v>
          </cell>
          <cell r="H59">
            <v>7977</v>
          </cell>
        </row>
        <row r="60">
          <cell r="B60" t="str">
            <v>CI600A</v>
          </cell>
          <cell r="C60" t="str">
            <v>CI</v>
          </cell>
          <cell r="D60">
            <v>600</v>
          </cell>
          <cell r="E60" t="str">
            <v>A</v>
          </cell>
          <cell r="F60" t="str">
            <v>Rmt</v>
          </cell>
          <cell r="G60">
            <v>0</v>
          </cell>
          <cell r="H60">
            <v>10575</v>
          </cell>
        </row>
        <row r="61">
          <cell r="B61" t="str">
            <v>CI700A</v>
          </cell>
          <cell r="C61" t="str">
            <v>CI</v>
          </cell>
          <cell r="D61">
            <v>700</v>
          </cell>
          <cell r="E61" t="str">
            <v>A</v>
          </cell>
          <cell r="F61" t="str">
            <v>Rmt</v>
          </cell>
          <cell r="G61">
            <v>0</v>
          </cell>
          <cell r="H61">
            <v>13924</v>
          </cell>
        </row>
        <row r="62">
          <cell r="B62" t="str">
            <v>CI750A</v>
          </cell>
          <cell r="C62" t="str">
            <v>CI</v>
          </cell>
          <cell r="D62">
            <v>750</v>
          </cell>
          <cell r="E62" t="str">
            <v>A</v>
          </cell>
          <cell r="F62" t="str">
            <v>Rmt</v>
          </cell>
          <cell r="G62">
            <v>0</v>
          </cell>
          <cell r="H62">
            <v>15606</v>
          </cell>
        </row>
        <row r="63">
          <cell r="B63" t="str">
            <v>CI800A</v>
          </cell>
          <cell r="C63" t="str">
            <v>CI</v>
          </cell>
          <cell r="D63">
            <v>800</v>
          </cell>
          <cell r="E63" t="str">
            <v>A</v>
          </cell>
          <cell r="F63" t="str">
            <v>Rmt</v>
          </cell>
          <cell r="G63">
            <v>0</v>
          </cell>
          <cell r="H63">
            <v>17409</v>
          </cell>
        </row>
        <row r="64">
          <cell r="B64" t="str">
            <v>CI900A</v>
          </cell>
          <cell r="C64" t="str">
            <v>CI</v>
          </cell>
          <cell r="D64">
            <v>900</v>
          </cell>
          <cell r="E64" t="str">
            <v>A</v>
          </cell>
          <cell r="F64" t="str">
            <v>Rmt</v>
          </cell>
          <cell r="G64">
            <v>0</v>
          </cell>
          <cell r="H64">
            <v>24223</v>
          </cell>
        </row>
        <row r="65">
          <cell r="B65" t="str">
            <v>CI1000A</v>
          </cell>
          <cell r="C65" t="str">
            <v>CI</v>
          </cell>
          <cell r="D65">
            <v>1000</v>
          </cell>
          <cell r="E65" t="str">
            <v>A</v>
          </cell>
          <cell r="F65" t="str">
            <v>Rmt</v>
          </cell>
          <cell r="G65">
            <v>0</v>
          </cell>
          <cell r="H65">
            <v>25553</v>
          </cell>
        </row>
        <row r="66">
          <cell r="B66" t="str">
            <v>CI80B</v>
          </cell>
          <cell r="C66" t="str">
            <v>CI</v>
          </cell>
          <cell r="D66">
            <v>80</v>
          </cell>
          <cell r="E66" t="str">
            <v>B</v>
          </cell>
          <cell r="F66" t="str">
            <v>Rmt</v>
          </cell>
          <cell r="G66">
            <v>0</v>
          </cell>
          <cell r="H66">
            <v>811</v>
          </cell>
        </row>
        <row r="67">
          <cell r="B67" t="str">
            <v>CI100B</v>
          </cell>
          <cell r="C67" t="str">
            <v>CI</v>
          </cell>
          <cell r="D67">
            <v>100</v>
          </cell>
          <cell r="E67" t="str">
            <v>B</v>
          </cell>
          <cell r="F67" t="str">
            <v>Rmt</v>
          </cell>
          <cell r="G67">
            <v>0</v>
          </cell>
          <cell r="H67">
            <v>994</v>
          </cell>
        </row>
        <row r="68">
          <cell r="B68" t="str">
            <v>CI125B</v>
          </cell>
          <cell r="C68" t="str">
            <v>CI</v>
          </cell>
          <cell r="D68">
            <v>125</v>
          </cell>
          <cell r="E68" t="str">
            <v>B</v>
          </cell>
          <cell r="F68" t="str">
            <v>Rmt</v>
          </cell>
          <cell r="G68">
            <v>0</v>
          </cell>
          <cell r="H68">
            <v>1258</v>
          </cell>
        </row>
        <row r="69">
          <cell r="B69" t="str">
            <v>CI150B</v>
          </cell>
          <cell r="C69" t="str">
            <v>CI</v>
          </cell>
          <cell r="D69">
            <v>150</v>
          </cell>
          <cell r="E69" t="str">
            <v>B</v>
          </cell>
          <cell r="F69" t="str">
            <v>Rmt</v>
          </cell>
          <cell r="G69">
            <v>0</v>
          </cell>
          <cell r="H69">
            <v>1530</v>
          </cell>
        </row>
        <row r="70">
          <cell r="B70" t="str">
            <v>CI200B</v>
          </cell>
          <cell r="C70" t="str">
            <v>CI</v>
          </cell>
          <cell r="D70">
            <v>200</v>
          </cell>
          <cell r="E70" t="str">
            <v>B</v>
          </cell>
          <cell r="F70" t="str">
            <v>Rmt</v>
          </cell>
          <cell r="G70">
            <v>0</v>
          </cell>
          <cell r="H70">
            <v>2222</v>
          </cell>
        </row>
        <row r="71">
          <cell r="B71" t="str">
            <v>CI250B</v>
          </cell>
          <cell r="C71" t="str">
            <v>CI</v>
          </cell>
          <cell r="D71">
            <v>250</v>
          </cell>
          <cell r="E71" t="str">
            <v>B</v>
          </cell>
          <cell r="F71" t="str">
            <v>Rmt</v>
          </cell>
          <cell r="G71">
            <v>0</v>
          </cell>
          <cell r="H71">
            <v>3005</v>
          </cell>
        </row>
        <row r="72">
          <cell r="B72" t="str">
            <v>CI300B</v>
          </cell>
          <cell r="C72" t="str">
            <v>CI</v>
          </cell>
          <cell r="D72">
            <v>300</v>
          </cell>
          <cell r="E72" t="str">
            <v>B</v>
          </cell>
          <cell r="F72" t="str">
            <v>Rmt</v>
          </cell>
          <cell r="G72">
            <v>0</v>
          </cell>
          <cell r="H72">
            <v>3896</v>
          </cell>
        </row>
        <row r="73">
          <cell r="B73" t="str">
            <v>CI350B</v>
          </cell>
          <cell r="C73" t="str">
            <v>CI</v>
          </cell>
          <cell r="D73">
            <v>350</v>
          </cell>
          <cell r="E73" t="str">
            <v>B</v>
          </cell>
          <cell r="F73" t="str">
            <v>Rmt</v>
          </cell>
          <cell r="G73">
            <v>0</v>
          </cell>
          <cell r="H73">
            <v>4948</v>
          </cell>
        </row>
        <row r="74">
          <cell r="B74" t="str">
            <v>CI400B</v>
          </cell>
          <cell r="C74" t="str">
            <v>CI</v>
          </cell>
          <cell r="D74">
            <v>400</v>
          </cell>
          <cell r="E74" t="str">
            <v>B</v>
          </cell>
          <cell r="F74" t="str">
            <v>Rmt</v>
          </cell>
          <cell r="G74">
            <v>0</v>
          </cell>
          <cell r="H74">
            <v>6039</v>
          </cell>
        </row>
        <row r="75">
          <cell r="B75" t="str">
            <v>CI450B</v>
          </cell>
          <cell r="C75" t="str">
            <v>CI</v>
          </cell>
          <cell r="D75">
            <v>450</v>
          </cell>
          <cell r="E75" t="str">
            <v>B</v>
          </cell>
          <cell r="F75" t="str">
            <v>Rmt</v>
          </cell>
          <cell r="G75">
            <v>0</v>
          </cell>
          <cell r="H75">
            <v>7340</v>
          </cell>
        </row>
        <row r="76">
          <cell r="B76" t="str">
            <v>CI500B</v>
          </cell>
          <cell r="C76" t="str">
            <v>CI</v>
          </cell>
          <cell r="D76">
            <v>500</v>
          </cell>
          <cell r="E76" t="str">
            <v>B</v>
          </cell>
          <cell r="F76" t="str">
            <v>Rmt</v>
          </cell>
          <cell r="G76">
            <v>0</v>
          </cell>
          <cell r="H76">
            <v>8632</v>
          </cell>
        </row>
        <row r="77">
          <cell r="B77" t="str">
            <v>CI600B</v>
          </cell>
          <cell r="C77" t="str">
            <v>CI</v>
          </cell>
          <cell r="D77">
            <v>600</v>
          </cell>
          <cell r="E77" t="str">
            <v>B</v>
          </cell>
          <cell r="F77" t="str">
            <v>Rmt</v>
          </cell>
          <cell r="G77">
            <v>0</v>
          </cell>
          <cell r="H77">
            <v>11455</v>
          </cell>
        </row>
        <row r="78">
          <cell r="B78" t="str">
            <v>CI700B</v>
          </cell>
          <cell r="C78" t="str">
            <v>CI</v>
          </cell>
          <cell r="D78">
            <v>700</v>
          </cell>
          <cell r="E78" t="str">
            <v>B</v>
          </cell>
          <cell r="F78" t="str">
            <v>Rmt</v>
          </cell>
          <cell r="G78">
            <v>0</v>
          </cell>
          <cell r="H78">
            <v>15043</v>
          </cell>
        </row>
        <row r="79">
          <cell r="B79" t="str">
            <v>CI750B</v>
          </cell>
          <cell r="C79" t="str">
            <v>CI</v>
          </cell>
          <cell r="D79">
            <v>750</v>
          </cell>
          <cell r="E79" t="str">
            <v>B</v>
          </cell>
          <cell r="F79" t="str">
            <v>Rmt</v>
          </cell>
          <cell r="G79">
            <v>0</v>
          </cell>
          <cell r="H79">
            <v>16930</v>
          </cell>
        </row>
        <row r="80">
          <cell r="B80" t="str">
            <v>CI800B</v>
          </cell>
          <cell r="C80" t="str">
            <v>CI</v>
          </cell>
          <cell r="D80">
            <v>800</v>
          </cell>
          <cell r="E80" t="str">
            <v>B</v>
          </cell>
          <cell r="F80" t="str">
            <v>Rmt</v>
          </cell>
          <cell r="G80">
            <v>0</v>
          </cell>
          <cell r="H80">
            <v>18832</v>
          </cell>
        </row>
        <row r="81">
          <cell r="B81" t="str">
            <v>CI900B</v>
          </cell>
          <cell r="C81" t="str">
            <v>CI</v>
          </cell>
          <cell r="D81">
            <v>900</v>
          </cell>
          <cell r="E81" t="str">
            <v>B</v>
          </cell>
          <cell r="F81" t="str">
            <v>Rmt</v>
          </cell>
          <cell r="G81">
            <v>0</v>
          </cell>
          <cell r="H81">
            <v>23019</v>
          </cell>
        </row>
        <row r="82">
          <cell r="B82" t="str">
            <v>CI1000B</v>
          </cell>
          <cell r="C82" t="str">
            <v>CI</v>
          </cell>
          <cell r="D82">
            <v>1000</v>
          </cell>
          <cell r="E82" t="str">
            <v>B</v>
          </cell>
          <cell r="F82" t="str">
            <v>Rmt</v>
          </cell>
          <cell r="G82">
            <v>0</v>
          </cell>
          <cell r="H82">
            <v>27617</v>
          </cell>
        </row>
        <row r="83">
          <cell r="B83" t="str">
            <v>GRP3503 bar</v>
          </cell>
          <cell r="C83" t="str">
            <v>GRP</v>
          </cell>
          <cell r="D83">
            <v>350</v>
          </cell>
          <cell r="E83" t="str">
            <v>3 bar</v>
          </cell>
          <cell r="F83" t="str">
            <v>Rmt</v>
          </cell>
          <cell r="G83">
            <v>2251</v>
          </cell>
          <cell r="H83">
            <v>2664</v>
          </cell>
        </row>
        <row r="84">
          <cell r="B84" t="str">
            <v>GRP4003 bar</v>
          </cell>
          <cell r="C84" t="str">
            <v>GRP</v>
          </cell>
          <cell r="D84">
            <v>400</v>
          </cell>
          <cell r="E84" t="str">
            <v>3 bar</v>
          </cell>
          <cell r="F84" t="str">
            <v>Rmt</v>
          </cell>
          <cell r="G84">
            <v>2507</v>
          </cell>
          <cell r="H84">
            <v>2967</v>
          </cell>
        </row>
        <row r="85">
          <cell r="B85" t="str">
            <v>GRP4503 bar</v>
          </cell>
          <cell r="C85" t="str">
            <v>GRP</v>
          </cell>
          <cell r="D85">
            <v>450</v>
          </cell>
          <cell r="E85" t="str">
            <v>3 bar</v>
          </cell>
          <cell r="F85" t="str">
            <v>Rmt</v>
          </cell>
          <cell r="G85">
            <v>2941</v>
          </cell>
          <cell r="H85">
            <v>3481</v>
          </cell>
        </row>
        <row r="86">
          <cell r="B86" t="str">
            <v>GRP5003 bar</v>
          </cell>
          <cell r="C86" t="str">
            <v>GRP</v>
          </cell>
          <cell r="D86">
            <v>500</v>
          </cell>
          <cell r="E86" t="str">
            <v>3 bar</v>
          </cell>
          <cell r="F86" t="str">
            <v>Rmt</v>
          </cell>
          <cell r="G86">
            <v>3349</v>
          </cell>
          <cell r="H86">
            <v>3964</v>
          </cell>
        </row>
        <row r="87">
          <cell r="B87" t="str">
            <v>GRP6003 bar</v>
          </cell>
          <cell r="C87" t="str">
            <v>GRP</v>
          </cell>
          <cell r="D87">
            <v>600</v>
          </cell>
          <cell r="E87" t="str">
            <v>3 bar</v>
          </cell>
          <cell r="F87" t="str">
            <v>Rmt</v>
          </cell>
          <cell r="G87">
            <v>4257</v>
          </cell>
          <cell r="H87">
            <v>5038</v>
          </cell>
        </row>
        <row r="88">
          <cell r="B88" t="str">
            <v>GRP7003 bar</v>
          </cell>
          <cell r="C88" t="str">
            <v>GRP</v>
          </cell>
          <cell r="D88">
            <v>700</v>
          </cell>
          <cell r="E88" t="str">
            <v>3 bar</v>
          </cell>
          <cell r="F88" t="str">
            <v>Rmt</v>
          </cell>
          <cell r="G88">
            <v>5388</v>
          </cell>
          <cell r="H88">
            <v>6377</v>
          </cell>
        </row>
        <row r="89">
          <cell r="B89" t="str">
            <v>GRP8003 bar</v>
          </cell>
          <cell r="C89" t="str">
            <v>GRP</v>
          </cell>
          <cell r="D89">
            <v>800</v>
          </cell>
          <cell r="E89" t="str">
            <v>3 bar</v>
          </cell>
          <cell r="F89" t="str">
            <v>Rmt</v>
          </cell>
          <cell r="G89">
            <v>6595</v>
          </cell>
          <cell r="H89">
            <v>7806</v>
          </cell>
        </row>
        <row r="90">
          <cell r="B90" t="str">
            <v>GRP9003 bar</v>
          </cell>
          <cell r="C90" t="str">
            <v>GRP</v>
          </cell>
          <cell r="D90">
            <v>900</v>
          </cell>
          <cell r="E90" t="str">
            <v>3 bar</v>
          </cell>
          <cell r="F90" t="str">
            <v>Rmt</v>
          </cell>
          <cell r="G90">
            <v>8245</v>
          </cell>
          <cell r="H90">
            <v>9758</v>
          </cell>
        </row>
        <row r="91">
          <cell r="B91" t="str">
            <v>GRP10003 bar</v>
          </cell>
          <cell r="C91" t="str">
            <v>GRP</v>
          </cell>
          <cell r="D91">
            <v>1000</v>
          </cell>
          <cell r="E91" t="str">
            <v>3 bar</v>
          </cell>
          <cell r="F91" t="str">
            <v>Rmt</v>
          </cell>
          <cell r="G91">
            <v>9881</v>
          </cell>
          <cell r="H91">
            <v>11695</v>
          </cell>
        </row>
        <row r="92">
          <cell r="B92" t="str">
            <v>GRP3506 bar</v>
          </cell>
          <cell r="C92" t="str">
            <v>GRP</v>
          </cell>
          <cell r="D92">
            <v>350</v>
          </cell>
          <cell r="E92" t="str">
            <v>6 bar</v>
          </cell>
          <cell r="F92" t="str">
            <v>Rmt</v>
          </cell>
          <cell r="G92">
            <v>2282</v>
          </cell>
          <cell r="H92">
            <v>2701</v>
          </cell>
        </row>
        <row r="93">
          <cell r="B93" t="str">
            <v>GRP4006 bar</v>
          </cell>
          <cell r="C93" t="str">
            <v>GRP</v>
          </cell>
          <cell r="D93">
            <v>400</v>
          </cell>
          <cell r="E93" t="str">
            <v>6 bar</v>
          </cell>
          <cell r="F93" t="str">
            <v>Rmt</v>
          </cell>
          <cell r="G93">
            <v>2618</v>
          </cell>
          <cell r="H93">
            <v>3099</v>
          </cell>
        </row>
        <row r="94">
          <cell r="B94" t="str">
            <v>GRP4506 bar</v>
          </cell>
          <cell r="C94" t="str">
            <v>GRP</v>
          </cell>
          <cell r="D94">
            <v>450</v>
          </cell>
          <cell r="E94" t="str">
            <v>6 bar</v>
          </cell>
          <cell r="F94" t="str">
            <v>Rmt</v>
          </cell>
          <cell r="G94">
            <v>3054</v>
          </cell>
          <cell r="H94">
            <v>3615</v>
          </cell>
        </row>
        <row r="95">
          <cell r="B95" t="str">
            <v>GRP5006 bar</v>
          </cell>
          <cell r="C95" t="str">
            <v>GRP</v>
          </cell>
          <cell r="D95">
            <v>500</v>
          </cell>
          <cell r="E95" t="str">
            <v>6 bar</v>
          </cell>
          <cell r="F95" t="str">
            <v>Rmt</v>
          </cell>
          <cell r="G95">
            <v>3485</v>
          </cell>
          <cell r="H95">
            <v>4125</v>
          </cell>
        </row>
        <row r="96">
          <cell r="B96" t="str">
            <v>GRP6006 bar</v>
          </cell>
          <cell r="C96" t="str">
            <v>GRP</v>
          </cell>
          <cell r="D96">
            <v>600</v>
          </cell>
          <cell r="E96" t="str">
            <v>6 bar</v>
          </cell>
          <cell r="F96" t="str">
            <v>Rmt</v>
          </cell>
          <cell r="G96">
            <v>4433</v>
          </cell>
          <cell r="H96">
            <v>5247</v>
          </cell>
        </row>
        <row r="97">
          <cell r="B97" t="str">
            <v>GRP7006 bar</v>
          </cell>
          <cell r="C97" t="str">
            <v>GRP</v>
          </cell>
          <cell r="D97">
            <v>700</v>
          </cell>
          <cell r="E97" t="str">
            <v>6 bar</v>
          </cell>
          <cell r="F97" t="str">
            <v>Rmt</v>
          </cell>
          <cell r="G97">
            <v>5634</v>
          </cell>
          <cell r="H97">
            <v>6668</v>
          </cell>
        </row>
        <row r="98">
          <cell r="B98" t="str">
            <v>GRP8006 bar</v>
          </cell>
          <cell r="C98" t="str">
            <v>GRP</v>
          </cell>
          <cell r="D98">
            <v>800</v>
          </cell>
          <cell r="E98" t="str">
            <v>6 bar</v>
          </cell>
          <cell r="F98" t="str">
            <v>Rmt</v>
          </cell>
          <cell r="G98">
            <v>6907</v>
          </cell>
          <cell r="H98">
            <v>8175</v>
          </cell>
        </row>
        <row r="99">
          <cell r="B99" t="str">
            <v>GRP9006 bar</v>
          </cell>
          <cell r="C99" t="str">
            <v>GRP</v>
          </cell>
          <cell r="D99">
            <v>900</v>
          </cell>
          <cell r="E99" t="str">
            <v>6 bar</v>
          </cell>
          <cell r="F99" t="str">
            <v>Rmt</v>
          </cell>
          <cell r="G99">
            <v>8595</v>
          </cell>
          <cell r="H99">
            <v>10173</v>
          </cell>
        </row>
        <row r="100">
          <cell r="B100" t="str">
            <v>GRP10006 bar</v>
          </cell>
          <cell r="C100" t="str">
            <v>GRP</v>
          </cell>
          <cell r="D100">
            <v>1000</v>
          </cell>
          <cell r="E100" t="str">
            <v>6 bar</v>
          </cell>
          <cell r="F100" t="str">
            <v>Rmt</v>
          </cell>
          <cell r="G100">
            <v>10336</v>
          </cell>
          <cell r="H100">
            <v>12233</v>
          </cell>
        </row>
        <row r="101">
          <cell r="B101" t="str">
            <v>GRP3509 bar</v>
          </cell>
          <cell r="C101" t="str">
            <v>GRP</v>
          </cell>
          <cell r="D101">
            <v>350</v>
          </cell>
          <cell r="E101" t="str">
            <v>9 bar</v>
          </cell>
          <cell r="F101" t="str">
            <v>Rmt</v>
          </cell>
          <cell r="G101">
            <v>2353</v>
          </cell>
          <cell r="H101">
            <v>2785</v>
          </cell>
        </row>
        <row r="102">
          <cell r="B102" t="str">
            <v>GRP4009 bar</v>
          </cell>
          <cell r="C102" t="str">
            <v>GRP</v>
          </cell>
          <cell r="D102">
            <v>400</v>
          </cell>
          <cell r="E102" t="str">
            <v>9 bar</v>
          </cell>
          <cell r="F102" t="str">
            <v>Rmt</v>
          </cell>
          <cell r="G102">
            <v>2714</v>
          </cell>
          <cell r="H102">
            <v>3212</v>
          </cell>
        </row>
        <row r="103">
          <cell r="B103" t="str">
            <v>GRP4509 bar</v>
          </cell>
          <cell r="C103" t="str">
            <v>GRP</v>
          </cell>
          <cell r="D103">
            <v>450</v>
          </cell>
          <cell r="E103" t="str">
            <v>9 bar</v>
          </cell>
          <cell r="F103" t="str">
            <v>Rmt</v>
          </cell>
          <cell r="G103">
            <v>3221</v>
          </cell>
          <cell r="H103">
            <v>3812</v>
          </cell>
        </row>
        <row r="104">
          <cell r="B104" t="str">
            <v>GRP5009 bar</v>
          </cell>
          <cell r="C104" t="str">
            <v>GRP</v>
          </cell>
          <cell r="D104">
            <v>500</v>
          </cell>
          <cell r="E104" t="str">
            <v>9 bar</v>
          </cell>
          <cell r="F104" t="str">
            <v>Rmt</v>
          </cell>
          <cell r="G104">
            <v>3685</v>
          </cell>
          <cell r="H104">
            <v>4361</v>
          </cell>
        </row>
        <row r="105">
          <cell r="B105" t="str">
            <v>GRP6009 bar</v>
          </cell>
          <cell r="C105" t="str">
            <v>GRP</v>
          </cell>
          <cell r="D105">
            <v>600</v>
          </cell>
          <cell r="E105" t="str">
            <v>9 bar</v>
          </cell>
          <cell r="F105" t="str">
            <v>Rmt</v>
          </cell>
          <cell r="G105">
            <v>4703</v>
          </cell>
          <cell r="H105">
            <v>5566</v>
          </cell>
        </row>
        <row r="106">
          <cell r="B106" t="str">
            <v>GRP7009 bar</v>
          </cell>
          <cell r="C106" t="str">
            <v>GRP</v>
          </cell>
          <cell r="D106">
            <v>700</v>
          </cell>
          <cell r="E106" t="str">
            <v>9 bar</v>
          </cell>
          <cell r="F106" t="str">
            <v>Rmt</v>
          </cell>
          <cell r="G106">
            <v>5986</v>
          </cell>
          <cell r="H106">
            <v>7085</v>
          </cell>
        </row>
        <row r="107">
          <cell r="B107" t="str">
            <v>GRP8009 bar</v>
          </cell>
          <cell r="C107" t="str">
            <v>GRP</v>
          </cell>
          <cell r="D107">
            <v>800</v>
          </cell>
          <cell r="E107" t="str">
            <v>9 bar</v>
          </cell>
          <cell r="F107" t="str">
            <v>Rmt</v>
          </cell>
          <cell r="G107">
            <v>7457</v>
          </cell>
          <cell r="H107">
            <v>8826</v>
          </cell>
        </row>
        <row r="108">
          <cell r="B108" t="str">
            <v>GRP9009 bar</v>
          </cell>
          <cell r="C108" t="str">
            <v>GRP</v>
          </cell>
          <cell r="D108">
            <v>900</v>
          </cell>
          <cell r="E108" t="str">
            <v>9 bar</v>
          </cell>
          <cell r="F108" t="str">
            <v>Rmt</v>
          </cell>
          <cell r="G108">
            <v>9338</v>
          </cell>
          <cell r="H108">
            <v>11052</v>
          </cell>
        </row>
        <row r="109">
          <cell r="B109" t="str">
            <v>GRP10009 bar</v>
          </cell>
          <cell r="C109" t="str">
            <v>GRP</v>
          </cell>
          <cell r="D109">
            <v>1000</v>
          </cell>
          <cell r="E109" t="str">
            <v>9 bar</v>
          </cell>
          <cell r="F109" t="str">
            <v>Rmt</v>
          </cell>
          <cell r="G109">
            <v>11118</v>
          </cell>
          <cell r="H109">
            <v>13159</v>
          </cell>
        </row>
        <row r="110">
          <cell r="B110" t="str">
            <v>GRP35012 bar</v>
          </cell>
          <cell r="C110" t="str">
            <v>GRP</v>
          </cell>
          <cell r="D110">
            <v>350</v>
          </cell>
          <cell r="E110" t="str">
            <v>12 bar</v>
          </cell>
          <cell r="F110" t="str">
            <v>Rmt</v>
          </cell>
          <cell r="G110">
            <v>2418</v>
          </cell>
          <cell r="H110">
            <v>2862</v>
          </cell>
        </row>
        <row r="111">
          <cell r="B111" t="str">
            <v>GRP40012 bar</v>
          </cell>
          <cell r="C111" t="str">
            <v>GRP</v>
          </cell>
          <cell r="D111">
            <v>400</v>
          </cell>
          <cell r="E111" t="str">
            <v>12 bar</v>
          </cell>
          <cell r="F111" t="str">
            <v>Rmt</v>
          </cell>
          <cell r="G111">
            <v>2841</v>
          </cell>
          <cell r="H111">
            <v>3362</v>
          </cell>
        </row>
        <row r="112">
          <cell r="B112" t="str">
            <v>GRP45012 bar</v>
          </cell>
          <cell r="C112" t="str">
            <v>GRP</v>
          </cell>
          <cell r="D112">
            <v>450</v>
          </cell>
          <cell r="E112" t="str">
            <v>12 bar</v>
          </cell>
          <cell r="F112" t="str">
            <v>Rmt</v>
          </cell>
          <cell r="G112">
            <v>3380</v>
          </cell>
          <cell r="H112">
            <v>4000</v>
          </cell>
        </row>
        <row r="113">
          <cell r="B113" t="str">
            <v>GRP50012 bar</v>
          </cell>
          <cell r="C113" t="str">
            <v>GRP</v>
          </cell>
          <cell r="D113">
            <v>500</v>
          </cell>
          <cell r="E113" t="str">
            <v>12 bar</v>
          </cell>
          <cell r="F113" t="str">
            <v>Rmt</v>
          </cell>
          <cell r="G113">
            <v>3915</v>
          </cell>
          <cell r="H113">
            <v>4634</v>
          </cell>
        </row>
        <row r="114">
          <cell r="B114" t="str">
            <v>GRP60012 bar</v>
          </cell>
          <cell r="C114" t="str">
            <v>GRP</v>
          </cell>
          <cell r="D114">
            <v>600</v>
          </cell>
          <cell r="E114" t="str">
            <v>12 bar</v>
          </cell>
          <cell r="F114" t="str">
            <v>Rmt</v>
          </cell>
          <cell r="G114">
            <v>5182</v>
          </cell>
          <cell r="H114">
            <v>6133</v>
          </cell>
        </row>
        <row r="115">
          <cell r="B115" t="str">
            <v>GRP70012 bar</v>
          </cell>
          <cell r="C115" t="str">
            <v>GRP</v>
          </cell>
          <cell r="D115">
            <v>700</v>
          </cell>
          <cell r="E115" t="str">
            <v>12 bar</v>
          </cell>
          <cell r="F115" t="str">
            <v>Rmt</v>
          </cell>
          <cell r="G115">
            <v>6529</v>
          </cell>
          <cell r="H115">
            <v>7727</v>
          </cell>
        </row>
        <row r="116">
          <cell r="B116" t="str">
            <v>GRP80012 bar</v>
          </cell>
          <cell r="C116" t="str">
            <v>GRP</v>
          </cell>
          <cell r="D116">
            <v>800</v>
          </cell>
          <cell r="E116" t="str">
            <v>12 bar</v>
          </cell>
          <cell r="F116" t="str">
            <v>Rmt</v>
          </cell>
          <cell r="G116">
            <v>8112</v>
          </cell>
          <cell r="H116">
            <v>9601</v>
          </cell>
        </row>
        <row r="117">
          <cell r="B117" t="str">
            <v>GRP90012 bar</v>
          </cell>
          <cell r="C117" t="str">
            <v>GRP</v>
          </cell>
          <cell r="D117">
            <v>900</v>
          </cell>
          <cell r="E117" t="str">
            <v>12 bar</v>
          </cell>
          <cell r="F117" t="str">
            <v>Rmt</v>
          </cell>
          <cell r="G117">
            <v>10128</v>
          </cell>
          <cell r="H117">
            <v>11987</v>
          </cell>
        </row>
        <row r="118">
          <cell r="B118" t="str">
            <v>GRP100012 bar</v>
          </cell>
          <cell r="C118" t="str">
            <v>GRP</v>
          </cell>
          <cell r="D118">
            <v>1000</v>
          </cell>
          <cell r="E118" t="str">
            <v>12 bar</v>
          </cell>
          <cell r="F118" t="str">
            <v>Rmt</v>
          </cell>
          <cell r="G118">
            <v>12125</v>
          </cell>
          <cell r="H118">
            <v>14351</v>
          </cell>
        </row>
        <row r="119">
          <cell r="B119" t="str">
            <v>GRP35015 bar</v>
          </cell>
          <cell r="C119" t="str">
            <v>GRP</v>
          </cell>
          <cell r="D119">
            <v>350</v>
          </cell>
          <cell r="E119" t="str">
            <v>15 bar</v>
          </cell>
          <cell r="F119" t="str">
            <v>Rmt</v>
          </cell>
          <cell r="G119">
            <v>2530</v>
          </cell>
          <cell r="H119">
            <v>2994</v>
          </cell>
        </row>
        <row r="120">
          <cell r="B120" t="str">
            <v>GRP40015 bar</v>
          </cell>
          <cell r="C120" t="str">
            <v>GRP</v>
          </cell>
          <cell r="D120">
            <v>400</v>
          </cell>
          <cell r="E120" t="str">
            <v>15 bar</v>
          </cell>
          <cell r="F120" t="str">
            <v>Rmt</v>
          </cell>
          <cell r="G120">
            <v>2953</v>
          </cell>
          <cell r="H120">
            <v>3495</v>
          </cell>
        </row>
        <row r="121">
          <cell r="B121" t="str">
            <v>GRP45015 bar</v>
          </cell>
          <cell r="C121" t="str">
            <v>GRP</v>
          </cell>
          <cell r="D121">
            <v>450</v>
          </cell>
          <cell r="E121" t="str">
            <v>15 bar</v>
          </cell>
          <cell r="F121" t="str">
            <v>Rmt</v>
          </cell>
          <cell r="G121">
            <v>3572</v>
          </cell>
          <cell r="H121">
            <v>4228</v>
          </cell>
        </row>
        <row r="122">
          <cell r="B122" t="str">
            <v>GRP50015 bar</v>
          </cell>
          <cell r="C122" t="str">
            <v>GRP</v>
          </cell>
          <cell r="D122">
            <v>500</v>
          </cell>
          <cell r="E122" t="str">
            <v>15 bar</v>
          </cell>
          <cell r="F122" t="str">
            <v>Rmt</v>
          </cell>
          <cell r="G122">
            <v>4139</v>
          </cell>
          <cell r="H122">
            <v>4899</v>
          </cell>
        </row>
        <row r="123">
          <cell r="B123" t="str">
            <v>GRP60015 bar</v>
          </cell>
          <cell r="C123" t="str">
            <v>GRP</v>
          </cell>
          <cell r="D123">
            <v>600</v>
          </cell>
          <cell r="E123" t="str">
            <v>15 bar</v>
          </cell>
          <cell r="F123" t="str">
            <v>Rmt</v>
          </cell>
          <cell r="G123">
            <v>5423</v>
          </cell>
          <cell r="H123">
            <v>6418</v>
          </cell>
        </row>
        <row r="124">
          <cell r="B124" t="str">
            <v>GRP70015 bar</v>
          </cell>
          <cell r="C124" t="str">
            <v>GRP</v>
          </cell>
          <cell r="D124">
            <v>700</v>
          </cell>
          <cell r="E124" t="str">
            <v>15 bar</v>
          </cell>
          <cell r="F124" t="str">
            <v>Rmt</v>
          </cell>
          <cell r="G124">
            <v>7024</v>
          </cell>
          <cell r="H124">
            <v>8313</v>
          </cell>
        </row>
        <row r="125">
          <cell r="B125" t="str">
            <v>GRP80015 bar</v>
          </cell>
          <cell r="C125" t="str">
            <v>GRP</v>
          </cell>
          <cell r="D125">
            <v>800</v>
          </cell>
          <cell r="E125" t="str">
            <v>15 bar</v>
          </cell>
          <cell r="F125" t="str">
            <v>Rmt</v>
          </cell>
          <cell r="G125">
            <v>8759</v>
          </cell>
          <cell r="H125">
            <v>10367</v>
          </cell>
        </row>
        <row r="126">
          <cell r="B126" t="str">
            <v>GRP90015 bar</v>
          </cell>
          <cell r="C126" t="str">
            <v>GRP</v>
          </cell>
          <cell r="D126">
            <v>900</v>
          </cell>
          <cell r="E126" t="str">
            <v>15 bar</v>
          </cell>
          <cell r="F126" t="str">
            <v>Rmt</v>
          </cell>
          <cell r="G126">
            <v>10967</v>
          </cell>
          <cell r="H126">
            <v>12980</v>
          </cell>
        </row>
        <row r="127">
          <cell r="B127" t="str">
            <v>GRP100015 bar</v>
          </cell>
          <cell r="C127" t="str">
            <v>GRP</v>
          </cell>
          <cell r="D127">
            <v>1000</v>
          </cell>
          <cell r="E127" t="str">
            <v>15 bar</v>
          </cell>
          <cell r="F127" t="str">
            <v>Rmt</v>
          </cell>
          <cell r="G127">
            <v>13071</v>
          </cell>
          <cell r="H127">
            <v>15470</v>
          </cell>
        </row>
        <row r="128">
          <cell r="B128" t="str">
            <v>GRPHoop glass</v>
          </cell>
          <cell r="C128" t="str">
            <v>GRP</v>
          </cell>
          <cell r="D128" t="str">
            <v>Hoop glass</v>
          </cell>
          <cell r="E128">
            <v>0</v>
          </cell>
          <cell r="F128">
            <v>0</v>
          </cell>
          <cell r="G128">
            <v>90</v>
          </cell>
          <cell r="H128">
            <v>73.5</v>
          </cell>
        </row>
        <row r="129">
          <cell r="B129" t="str">
            <v>GRPChop glass</v>
          </cell>
          <cell r="C129" t="str">
            <v>GRP</v>
          </cell>
          <cell r="D129" t="str">
            <v>Chop glass</v>
          </cell>
          <cell r="E129">
            <v>0</v>
          </cell>
          <cell r="F129">
            <v>0</v>
          </cell>
          <cell r="G129">
            <v>76</v>
          </cell>
          <cell r="H129">
            <v>102</v>
          </cell>
        </row>
        <row r="130">
          <cell r="B130" t="str">
            <v>GRPResin</v>
          </cell>
          <cell r="C130" t="str">
            <v>GRP</v>
          </cell>
          <cell r="D130" t="str">
            <v>Resin</v>
          </cell>
          <cell r="E130">
            <v>0</v>
          </cell>
          <cell r="F130">
            <v>0</v>
          </cell>
          <cell r="G130">
            <v>78</v>
          </cell>
          <cell r="H130">
            <v>95</v>
          </cell>
        </row>
        <row r="131">
          <cell r="B131" t="str">
            <v>PSC3506 kg/cm2</v>
          </cell>
          <cell r="C131" t="str">
            <v>PSC</v>
          </cell>
          <cell r="D131">
            <v>350</v>
          </cell>
          <cell r="E131" t="str">
            <v>6 kg/cm2</v>
          </cell>
          <cell r="F131" t="str">
            <v>Rmt</v>
          </cell>
          <cell r="G131">
            <v>1667</v>
          </cell>
          <cell r="H131">
            <v>2656</v>
          </cell>
        </row>
        <row r="132">
          <cell r="B132" t="str">
            <v>PSC4006 kg/cm2</v>
          </cell>
          <cell r="C132" t="str">
            <v>PSC</v>
          </cell>
          <cell r="D132">
            <v>400</v>
          </cell>
          <cell r="E132" t="str">
            <v>6 kg/cm2</v>
          </cell>
          <cell r="F132" t="str">
            <v>Rmt</v>
          </cell>
          <cell r="G132">
            <v>1793</v>
          </cell>
          <cell r="H132">
            <v>2857</v>
          </cell>
        </row>
        <row r="133">
          <cell r="B133" t="str">
            <v>PSC4506 kg/cm2</v>
          </cell>
          <cell r="C133" t="str">
            <v>PSC</v>
          </cell>
          <cell r="D133">
            <v>450</v>
          </cell>
          <cell r="E133" t="str">
            <v>6 kg/cm2</v>
          </cell>
          <cell r="F133" t="str">
            <v>Rmt</v>
          </cell>
          <cell r="G133">
            <v>1903</v>
          </cell>
          <cell r="H133">
            <v>3032</v>
          </cell>
        </row>
        <row r="134">
          <cell r="B134" t="str">
            <v>PSC5006 kg/cm2</v>
          </cell>
          <cell r="C134" t="str">
            <v>PSC</v>
          </cell>
          <cell r="D134">
            <v>500</v>
          </cell>
          <cell r="E134" t="str">
            <v>6 kg/cm2</v>
          </cell>
          <cell r="F134" t="str">
            <v>Rmt</v>
          </cell>
          <cell r="G134">
            <v>2061</v>
          </cell>
          <cell r="H134">
            <v>3284</v>
          </cell>
        </row>
        <row r="135">
          <cell r="B135" t="str">
            <v>PSC6006 kg/cm2</v>
          </cell>
          <cell r="C135" t="str">
            <v>PSC</v>
          </cell>
          <cell r="D135">
            <v>600</v>
          </cell>
          <cell r="E135" t="str">
            <v>6 kg/cm2</v>
          </cell>
          <cell r="F135" t="str">
            <v>Rmt</v>
          </cell>
          <cell r="G135">
            <v>2375</v>
          </cell>
          <cell r="H135">
            <v>3784</v>
          </cell>
        </row>
        <row r="136">
          <cell r="B136" t="str">
            <v>PSC7006 kg/cm2</v>
          </cell>
          <cell r="C136" t="str">
            <v>PSC</v>
          </cell>
          <cell r="D136">
            <v>700</v>
          </cell>
          <cell r="E136" t="str">
            <v>6 kg/cm2</v>
          </cell>
          <cell r="F136" t="str">
            <v>Rmt</v>
          </cell>
          <cell r="G136">
            <v>2910</v>
          </cell>
          <cell r="H136">
            <v>4637</v>
          </cell>
        </row>
        <row r="137">
          <cell r="B137" t="str">
            <v>PSC8006 kg/cm2</v>
          </cell>
          <cell r="C137" t="str">
            <v>PSC</v>
          </cell>
          <cell r="D137">
            <v>800</v>
          </cell>
          <cell r="E137" t="str">
            <v>6 kg/cm2</v>
          </cell>
          <cell r="F137" t="str">
            <v>Rmt</v>
          </cell>
          <cell r="G137">
            <v>3445</v>
          </cell>
          <cell r="H137">
            <v>5489</v>
          </cell>
        </row>
        <row r="138">
          <cell r="B138" t="str">
            <v>PSC9006 kg/cm2</v>
          </cell>
          <cell r="C138" t="str">
            <v>PSC</v>
          </cell>
          <cell r="D138">
            <v>900</v>
          </cell>
          <cell r="E138" t="str">
            <v>6 kg/cm2</v>
          </cell>
          <cell r="F138" t="str">
            <v>Rmt</v>
          </cell>
          <cell r="G138">
            <v>3995</v>
          </cell>
          <cell r="H138">
            <v>6365</v>
          </cell>
        </row>
        <row r="139">
          <cell r="B139" t="str">
            <v>PSC10006 kg/cm2</v>
          </cell>
          <cell r="C139" t="str">
            <v>PSC</v>
          </cell>
          <cell r="D139">
            <v>1000</v>
          </cell>
          <cell r="E139" t="str">
            <v>6 kg/cm2</v>
          </cell>
          <cell r="F139" t="str">
            <v>Rmt</v>
          </cell>
          <cell r="G139">
            <v>4688</v>
          </cell>
          <cell r="H139">
            <v>7469</v>
          </cell>
        </row>
        <row r="140">
          <cell r="B140" t="str">
            <v>PSC11006 kg/cm2</v>
          </cell>
          <cell r="C140" t="str">
            <v>PSC</v>
          </cell>
          <cell r="D140">
            <v>1100</v>
          </cell>
          <cell r="E140" t="str">
            <v>6 kg/cm2</v>
          </cell>
          <cell r="F140" t="str">
            <v>Rmt</v>
          </cell>
          <cell r="G140">
            <v>5332</v>
          </cell>
          <cell r="H140">
            <v>8495</v>
          </cell>
        </row>
        <row r="141">
          <cell r="B141" t="str">
            <v>PSC12006 kg/cm2</v>
          </cell>
          <cell r="C141" t="str">
            <v>PSC</v>
          </cell>
          <cell r="D141">
            <v>1200</v>
          </cell>
          <cell r="E141" t="str">
            <v>6 kg/cm2</v>
          </cell>
          <cell r="F141" t="str">
            <v>Rmt</v>
          </cell>
          <cell r="G141">
            <v>5914</v>
          </cell>
          <cell r="H141">
            <v>9423</v>
          </cell>
        </row>
        <row r="142">
          <cell r="B142" t="str">
            <v>PSC13006 kg/cm2</v>
          </cell>
          <cell r="C142" t="str">
            <v>PSC</v>
          </cell>
          <cell r="D142">
            <v>1300</v>
          </cell>
          <cell r="E142" t="str">
            <v>6 kg/cm2</v>
          </cell>
          <cell r="F142" t="str">
            <v>Rmt</v>
          </cell>
          <cell r="G142">
            <v>8030</v>
          </cell>
          <cell r="H142">
            <v>12724</v>
          </cell>
        </row>
        <row r="143">
          <cell r="B143" t="str">
            <v>PSC14006 kg/cm2</v>
          </cell>
          <cell r="C143" t="str">
            <v>PSC</v>
          </cell>
          <cell r="D143">
            <v>1400</v>
          </cell>
          <cell r="E143" t="str">
            <v>6 kg/cm2</v>
          </cell>
          <cell r="F143" t="str">
            <v>Rmt</v>
          </cell>
          <cell r="G143">
            <v>9160</v>
          </cell>
          <cell r="H143">
            <v>14595</v>
          </cell>
        </row>
        <row r="144">
          <cell r="B144" t="str">
            <v>PSC15006 kg/cm2</v>
          </cell>
          <cell r="C144" t="str">
            <v>PSC</v>
          </cell>
          <cell r="D144">
            <v>1500</v>
          </cell>
          <cell r="E144" t="str">
            <v>6 kg/cm2</v>
          </cell>
          <cell r="F144" t="str">
            <v>Rmt</v>
          </cell>
          <cell r="G144">
            <v>10410</v>
          </cell>
          <cell r="H144">
            <v>16586</v>
          </cell>
        </row>
        <row r="145">
          <cell r="B145" t="str">
            <v>PSC16006 kg/cm2</v>
          </cell>
          <cell r="C145" t="str">
            <v>PSC</v>
          </cell>
          <cell r="D145">
            <v>1600</v>
          </cell>
          <cell r="E145" t="str">
            <v>6 kg/cm2</v>
          </cell>
          <cell r="F145" t="str">
            <v>Rmt</v>
          </cell>
          <cell r="G145">
            <v>11660</v>
          </cell>
          <cell r="H145">
            <v>18578</v>
          </cell>
        </row>
        <row r="146">
          <cell r="B146" t="str">
            <v>PSC3508 kg/cm2</v>
          </cell>
          <cell r="C146" t="str">
            <v>PSC</v>
          </cell>
          <cell r="D146">
            <v>350</v>
          </cell>
          <cell r="E146" t="str">
            <v>8 kg/cm2</v>
          </cell>
          <cell r="F146" t="str">
            <v>Rmt</v>
          </cell>
          <cell r="G146">
            <v>1667</v>
          </cell>
          <cell r="H146">
            <v>2656</v>
          </cell>
        </row>
        <row r="147">
          <cell r="B147" t="str">
            <v>PSC4008 kg/cm2</v>
          </cell>
          <cell r="C147" t="str">
            <v>PSC</v>
          </cell>
          <cell r="D147">
            <v>400</v>
          </cell>
          <cell r="E147" t="str">
            <v>8 kg/cm2</v>
          </cell>
          <cell r="F147" t="str">
            <v>Rmt</v>
          </cell>
          <cell r="G147">
            <v>1809</v>
          </cell>
          <cell r="H147">
            <v>2882</v>
          </cell>
        </row>
        <row r="148">
          <cell r="B148" t="str">
            <v>PSC4508 kg/cm2</v>
          </cell>
          <cell r="C148" t="str">
            <v>PSC</v>
          </cell>
          <cell r="D148">
            <v>450</v>
          </cell>
          <cell r="E148" t="str">
            <v>8 kg/cm2</v>
          </cell>
          <cell r="F148" t="str">
            <v>Rmt</v>
          </cell>
          <cell r="G148">
            <v>1919</v>
          </cell>
          <cell r="H148">
            <v>3058</v>
          </cell>
        </row>
        <row r="149">
          <cell r="B149" t="str">
            <v>PSC5008 kg/cm2</v>
          </cell>
          <cell r="C149" t="str">
            <v>PSC</v>
          </cell>
          <cell r="D149">
            <v>500</v>
          </cell>
          <cell r="E149" t="str">
            <v>8 kg/cm2</v>
          </cell>
          <cell r="F149" t="str">
            <v>Rmt</v>
          </cell>
          <cell r="G149">
            <v>2076</v>
          </cell>
          <cell r="H149">
            <v>3308</v>
          </cell>
        </row>
        <row r="150">
          <cell r="B150" t="str">
            <v>PSC6008 kg/cm2</v>
          </cell>
          <cell r="C150" t="str">
            <v>PSC</v>
          </cell>
          <cell r="D150">
            <v>600</v>
          </cell>
          <cell r="E150" t="str">
            <v>8 kg/cm2</v>
          </cell>
          <cell r="F150" t="str">
            <v>Rmt</v>
          </cell>
          <cell r="G150">
            <v>2391</v>
          </cell>
          <cell r="H150">
            <v>3810</v>
          </cell>
        </row>
        <row r="151">
          <cell r="B151" t="str">
            <v>PSC7008 kg/cm2</v>
          </cell>
          <cell r="C151" t="str">
            <v>PSC</v>
          </cell>
          <cell r="D151">
            <v>700</v>
          </cell>
          <cell r="E151" t="str">
            <v>8 kg/cm2</v>
          </cell>
          <cell r="F151" t="str">
            <v>Rmt</v>
          </cell>
          <cell r="G151">
            <v>2926</v>
          </cell>
          <cell r="H151">
            <v>4662</v>
          </cell>
        </row>
        <row r="152">
          <cell r="B152" t="str">
            <v>PSC8008 kg/cm2</v>
          </cell>
          <cell r="C152" t="str">
            <v>PSC</v>
          </cell>
          <cell r="D152">
            <v>800</v>
          </cell>
          <cell r="E152" t="str">
            <v>8 kg/cm2</v>
          </cell>
          <cell r="F152" t="str">
            <v>Rmt</v>
          </cell>
          <cell r="G152">
            <v>3476</v>
          </cell>
          <cell r="H152">
            <v>5538</v>
          </cell>
        </row>
        <row r="153">
          <cell r="B153" t="str">
            <v>PSC9008 kg/cm2</v>
          </cell>
          <cell r="C153" t="str">
            <v>PSC</v>
          </cell>
          <cell r="D153">
            <v>900</v>
          </cell>
          <cell r="E153" t="str">
            <v>8 kg/cm2</v>
          </cell>
          <cell r="F153" t="str">
            <v>Rmt</v>
          </cell>
          <cell r="G153">
            <v>4027</v>
          </cell>
          <cell r="H153">
            <v>6416</v>
          </cell>
        </row>
        <row r="154">
          <cell r="B154" t="str">
            <v>PSC10008 kg/cm2</v>
          </cell>
          <cell r="C154" t="str">
            <v>PSC</v>
          </cell>
          <cell r="D154">
            <v>1000</v>
          </cell>
          <cell r="E154" t="str">
            <v>8 kg/cm2</v>
          </cell>
          <cell r="F154" t="str">
            <v>Rmt</v>
          </cell>
          <cell r="G154">
            <v>4735</v>
          </cell>
          <cell r="H154">
            <v>7544</v>
          </cell>
        </row>
        <row r="155">
          <cell r="B155" t="str">
            <v>PSC11008 kg/cm2</v>
          </cell>
          <cell r="C155" t="str">
            <v>PSC</v>
          </cell>
          <cell r="D155">
            <v>1100</v>
          </cell>
          <cell r="E155" t="str">
            <v>8 kg/cm2</v>
          </cell>
          <cell r="F155" t="str">
            <v>Rmt</v>
          </cell>
          <cell r="G155">
            <v>5411</v>
          </cell>
          <cell r="H155">
            <v>8621</v>
          </cell>
        </row>
        <row r="156">
          <cell r="B156" t="str">
            <v>PSC12008 kg/cm2</v>
          </cell>
          <cell r="C156" t="str">
            <v>PSC</v>
          </cell>
          <cell r="D156">
            <v>1200</v>
          </cell>
          <cell r="E156" t="str">
            <v>8 kg/cm2</v>
          </cell>
          <cell r="F156" t="str">
            <v>Rmt</v>
          </cell>
          <cell r="G156">
            <v>6025</v>
          </cell>
          <cell r="H156">
            <v>9600</v>
          </cell>
        </row>
        <row r="157">
          <cell r="B157" t="str">
            <v>PSC13008 kg/cm2</v>
          </cell>
          <cell r="C157" t="str">
            <v>PSC</v>
          </cell>
          <cell r="D157">
            <v>1300</v>
          </cell>
          <cell r="E157" t="str">
            <v>8 kg/cm2</v>
          </cell>
          <cell r="F157" t="str">
            <v>Rmt</v>
          </cell>
          <cell r="G157">
            <v>8390</v>
          </cell>
          <cell r="H157">
            <v>13368</v>
          </cell>
        </row>
        <row r="158">
          <cell r="B158" t="str">
            <v>PSC14008 kg/cm2</v>
          </cell>
          <cell r="C158" t="str">
            <v>PSC</v>
          </cell>
          <cell r="D158">
            <v>1400</v>
          </cell>
          <cell r="E158" t="str">
            <v>8 kg/cm2</v>
          </cell>
          <cell r="F158" t="str">
            <v>Rmt</v>
          </cell>
          <cell r="G158">
            <v>9590</v>
          </cell>
          <cell r="H158">
            <v>15280</v>
          </cell>
        </row>
        <row r="159">
          <cell r="B159" t="str">
            <v>PSC15008 kg/cm2</v>
          </cell>
          <cell r="C159" t="str">
            <v>PSC</v>
          </cell>
          <cell r="D159">
            <v>1500</v>
          </cell>
          <cell r="E159" t="str">
            <v>8 kg/cm2</v>
          </cell>
          <cell r="F159" t="str">
            <v>Rmt</v>
          </cell>
          <cell r="G159">
            <v>10910</v>
          </cell>
          <cell r="H159">
            <v>17383</v>
          </cell>
        </row>
        <row r="160">
          <cell r="B160" t="str">
            <v>PSC16008 kg/cm2</v>
          </cell>
          <cell r="C160" t="str">
            <v>PSC</v>
          </cell>
          <cell r="D160">
            <v>1600</v>
          </cell>
          <cell r="E160" t="str">
            <v>8 kg/cm2</v>
          </cell>
          <cell r="F160" t="str">
            <v>Rmt</v>
          </cell>
          <cell r="G160">
            <v>12230</v>
          </cell>
          <cell r="H160">
            <v>19486</v>
          </cell>
        </row>
        <row r="161">
          <cell r="B161" t="str">
            <v>PSC35010 kg/cm2</v>
          </cell>
          <cell r="C161" t="str">
            <v>PSC</v>
          </cell>
          <cell r="D161">
            <v>350</v>
          </cell>
          <cell r="E161" t="str">
            <v>10 kg/cm2</v>
          </cell>
          <cell r="F161" t="str">
            <v>Rmt</v>
          </cell>
          <cell r="G161">
            <v>1683</v>
          </cell>
          <cell r="H161">
            <v>2682</v>
          </cell>
        </row>
        <row r="162">
          <cell r="B162" t="str">
            <v>PSC40010 kg/cm2</v>
          </cell>
          <cell r="C162" t="str">
            <v>PSC</v>
          </cell>
          <cell r="D162">
            <v>400</v>
          </cell>
          <cell r="E162" t="str">
            <v>10 kg/cm2</v>
          </cell>
          <cell r="F162" t="str">
            <v>Rmt</v>
          </cell>
          <cell r="G162">
            <v>1825</v>
          </cell>
          <cell r="H162">
            <v>2908</v>
          </cell>
        </row>
        <row r="163">
          <cell r="B163" t="str">
            <v>PSC45010 kg/cm2</v>
          </cell>
          <cell r="C163" t="str">
            <v>PSC</v>
          </cell>
          <cell r="D163">
            <v>450</v>
          </cell>
          <cell r="E163" t="str">
            <v>10 kg/cm2</v>
          </cell>
          <cell r="F163" t="str">
            <v>Rmt</v>
          </cell>
          <cell r="G163">
            <v>1935</v>
          </cell>
          <cell r="H163">
            <v>3083</v>
          </cell>
        </row>
        <row r="164">
          <cell r="B164" t="str">
            <v>PSC50010 kg/cm2</v>
          </cell>
          <cell r="C164" t="str">
            <v>PSC</v>
          </cell>
          <cell r="D164">
            <v>500</v>
          </cell>
          <cell r="E164" t="str">
            <v>10 kg/cm2</v>
          </cell>
          <cell r="F164" t="str">
            <v>Rmt</v>
          </cell>
          <cell r="G164">
            <v>2092</v>
          </cell>
          <cell r="H164">
            <v>3333</v>
          </cell>
        </row>
        <row r="165">
          <cell r="B165" t="str">
            <v>PSC60010 kg/cm2</v>
          </cell>
          <cell r="C165" t="str">
            <v>PSC</v>
          </cell>
          <cell r="D165">
            <v>600</v>
          </cell>
          <cell r="E165" t="str">
            <v>10 kg/cm2</v>
          </cell>
          <cell r="F165" t="str">
            <v>Rmt</v>
          </cell>
          <cell r="G165">
            <v>2422</v>
          </cell>
          <cell r="H165">
            <v>3859</v>
          </cell>
        </row>
        <row r="166">
          <cell r="B166" t="str">
            <v>PSC70010 kg/cm2</v>
          </cell>
          <cell r="C166" t="str">
            <v>PSC</v>
          </cell>
          <cell r="D166">
            <v>700</v>
          </cell>
          <cell r="E166" t="str">
            <v>10 kg/cm2</v>
          </cell>
          <cell r="F166" t="str">
            <v>Rmt</v>
          </cell>
          <cell r="G166">
            <v>2973</v>
          </cell>
          <cell r="H166">
            <v>4737</v>
          </cell>
        </row>
        <row r="167">
          <cell r="B167" t="str">
            <v>PSC80010 kg/cm2</v>
          </cell>
          <cell r="C167" t="str">
            <v>PSC</v>
          </cell>
          <cell r="D167">
            <v>800</v>
          </cell>
          <cell r="E167" t="str">
            <v>10 kg/cm2</v>
          </cell>
          <cell r="F167" t="str">
            <v>Rmt</v>
          </cell>
          <cell r="G167">
            <v>3571</v>
          </cell>
          <cell r="H167">
            <v>5690</v>
          </cell>
        </row>
        <row r="168">
          <cell r="B168" t="str">
            <v>PSC90010 kg/cm2</v>
          </cell>
          <cell r="C168" t="str">
            <v>PSC</v>
          </cell>
          <cell r="D168">
            <v>900</v>
          </cell>
          <cell r="E168" t="str">
            <v>10 kg/cm2</v>
          </cell>
          <cell r="F168" t="str">
            <v>Rmt</v>
          </cell>
          <cell r="G168">
            <v>4121</v>
          </cell>
          <cell r="H168">
            <v>6566</v>
          </cell>
        </row>
        <row r="169">
          <cell r="B169" t="str">
            <v>PSC100010 kg/cm2</v>
          </cell>
          <cell r="C169" t="str">
            <v>PSC</v>
          </cell>
          <cell r="D169">
            <v>1000</v>
          </cell>
          <cell r="E169" t="str">
            <v>10 kg/cm2</v>
          </cell>
          <cell r="F169" t="str">
            <v>Rmt</v>
          </cell>
          <cell r="G169">
            <v>4876</v>
          </cell>
          <cell r="H169">
            <v>7769</v>
          </cell>
        </row>
        <row r="170">
          <cell r="B170" t="str">
            <v>PSC110010 kg/cm2</v>
          </cell>
          <cell r="C170" t="str">
            <v>PSC</v>
          </cell>
          <cell r="D170">
            <v>1100</v>
          </cell>
          <cell r="E170" t="str">
            <v>10 kg/cm2</v>
          </cell>
          <cell r="F170" t="str">
            <v>Rmt</v>
          </cell>
          <cell r="G170">
            <v>5568</v>
          </cell>
          <cell r="H170">
            <v>8871</v>
          </cell>
        </row>
        <row r="171">
          <cell r="B171" t="str">
            <v>PSC120010 kg/cm2</v>
          </cell>
          <cell r="C171" t="str">
            <v>PSC</v>
          </cell>
          <cell r="D171">
            <v>1200</v>
          </cell>
          <cell r="E171" t="str">
            <v>10 kg/cm2</v>
          </cell>
          <cell r="F171" t="str">
            <v>Rmt</v>
          </cell>
          <cell r="G171">
            <v>6229</v>
          </cell>
          <cell r="H171">
            <v>9925</v>
          </cell>
        </row>
        <row r="172">
          <cell r="B172" t="str">
            <v>PSC130010 kg/cm2</v>
          </cell>
          <cell r="C172" t="str">
            <v>PSC</v>
          </cell>
          <cell r="D172">
            <v>1300</v>
          </cell>
          <cell r="E172" t="str">
            <v>10 kg/cm2</v>
          </cell>
          <cell r="F172" t="str">
            <v>Rmt</v>
          </cell>
          <cell r="G172">
            <v>8770</v>
          </cell>
          <cell r="H172">
            <v>13973</v>
          </cell>
        </row>
        <row r="173">
          <cell r="B173" t="str">
            <v>PSC140010 kg/cm2</v>
          </cell>
          <cell r="C173" t="str">
            <v>PSC</v>
          </cell>
          <cell r="D173">
            <v>1400</v>
          </cell>
          <cell r="E173" t="str">
            <v>10 kg/cm2</v>
          </cell>
          <cell r="F173" t="str">
            <v>Rmt</v>
          </cell>
          <cell r="G173">
            <v>10140</v>
          </cell>
          <cell r="H173">
            <v>16156</v>
          </cell>
        </row>
        <row r="174">
          <cell r="B174" t="str">
            <v>PSC150010 kg/cm2</v>
          </cell>
          <cell r="C174" t="str">
            <v>PSC</v>
          </cell>
          <cell r="D174">
            <v>1500</v>
          </cell>
          <cell r="E174" t="str">
            <v>10 kg/cm2</v>
          </cell>
          <cell r="F174" t="str">
            <v>Rmt</v>
          </cell>
          <cell r="G174">
            <v>11420</v>
          </cell>
          <cell r="H174">
            <v>18195</v>
          </cell>
        </row>
        <row r="175">
          <cell r="B175" t="str">
            <v>PSC160010 kg/cm2</v>
          </cell>
          <cell r="C175" t="str">
            <v>PSC</v>
          </cell>
          <cell r="D175">
            <v>1600</v>
          </cell>
          <cell r="E175" t="str">
            <v>10 kg/cm2</v>
          </cell>
          <cell r="F175" t="str">
            <v>Rmt</v>
          </cell>
          <cell r="G175">
            <v>12810</v>
          </cell>
          <cell r="H175">
            <v>20410</v>
          </cell>
        </row>
        <row r="176">
          <cell r="B176" t="str">
            <v>PSC35012 kg/cm2</v>
          </cell>
          <cell r="C176" t="str">
            <v>PSC</v>
          </cell>
          <cell r="D176">
            <v>350</v>
          </cell>
          <cell r="E176" t="str">
            <v>12 kg/cm2</v>
          </cell>
          <cell r="F176" t="str">
            <v>Rmt</v>
          </cell>
          <cell r="G176">
            <v>1699</v>
          </cell>
          <cell r="H176">
            <v>2707</v>
          </cell>
        </row>
        <row r="177">
          <cell r="B177" t="str">
            <v>PSC40012 kg/cm2</v>
          </cell>
          <cell r="C177" t="str">
            <v>PSC</v>
          </cell>
          <cell r="D177">
            <v>400</v>
          </cell>
          <cell r="E177" t="str">
            <v>12 kg/cm2</v>
          </cell>
          <cell r="F177" t="str">
            <v>Rmt</v>
          </cell>
          <cell r="G177">
            <v>1856</v>
          </cell>
          <cell r="H177">
            <v>2957</v>
          </cell>
        </row>
        <row r="178">
          <cell r="B178" t="str">
            <v>PSC45012 kg/cm2</v>
          </cell>
          <cell r="C178" t="str">
            <v>PSC</v>
          </cell>
          <cell r="D178">
            <v>450</v>
          </cell>
          <cell r="E178" t="str">
            <v>12 kg/cm2</v>
          </cell>
          <cell r="F178" t="str">
            <v>Rmt</v>
          </cell>
          <cell r="G178">
            <v>1982</v>
          </cell>
          <cell r="H178">
            <v>3158</v>
          </cell>
        </row>
        <row r="179">
          <cell r="B179" t="str">
            <v>PSC50012 kg/cm2</v>
          </cell>
          <cell r="C179" t="str">
            <v>PSC</v>
          </cell>
          <cell r="D179">
            <v>500</v>
          </cell>
          <cell r="E179" t="str">
            <v>12 kg/cm2</v>
          </cell>
          <cell r="F179" t="str">
            <v>Rmt</v>
          </cell>
          <cell r="G179">
            <v>2139</v>
          </cell>
          <cell r="H179">
            <v>3408</v>
          </cell>
        </row>
        <row r="180">
          <cell r="B180" t="str">
            <v>PSC60012 kg/cm2</v>
          </cell>
          <cell r="C180" t="str">
            <v>PSC</v>
          </cell>
          <cell r="D180">
            <v>600</v>
          </cell>
          <cell r="E180" t="str">
            <v>12 kg/cm2</v>
          </cell>
          <cell r="F180" t="str">
            <v>Rmt</v>
          </cell>
          <cell r="G180">
            <v>2501</v>
          </cell>
          <cell r="H180">
            <v>3985</v>
          </cell>
        </row>
        <row r="181">
          <cell r="B181" t="str">
            <v>PSC70012 kg/cm2</v>
          </cell>
          <cell r="C181" t="str">
            <v>PSC</v>
          </cell>
          <cell r="D181">
            <v>700</v>
          </cell>
          <cell r="E181" t="str">
            <v>12 kg/cm2</v>
          </cell>
          <cell r="F181" t="str">
            <v>Rmt</v>
          </cell>
          <cell r="G181">
            <v>3052</v>
          </cell>
          <cell r="H181">
            <v>4863</v>
          </cell>
        </row>
        <row r="182">
          <cell r="B182" t="str">
            <v>PSC80012 kg/cm2</v>
          </cell>
          <cell r="C182" t="str">
            <v>PSC</v>
          </cell>
          <cell r="D182">
            <v>800</v>
          </cell>
          <cell r="E182" t="str">
            <v>12 kg/cm2</v>
          </cell>
          <cell r="F182" t="str">
            <v>Rmt</v>
          </cell>
          <cell r="G182">
            <v>3665</v>
          </cell>
          <cell r="H182">
            <v>5839</v>
          </cell>
        </row>
        <row r="183">
          <cell r="B183" t="str">
            <v>PSC90012 kg/cm2</v>
          </cell>
          <cell r="C183" t="str">
            <v>PSC</v>
          </cell>
          <cell r="D183">
            <v>900</v>
          </cell>
          <cell r="E183" t="str">
            <v>12 kg/cm2</v>
          </cell>
          <cell r="F183" t="str">
            <v>Rmt</v>
          </cell>
          <cell r="G183">
            <v>4294</v>
          </cell>
          <cell r="H183">
            <v>6842</v>
          </cell>
        </row>
        <row r="184">
          <cell r="B184" t="str">
            <v>PSC100012 kg/cm2</v>
          </cell>
          <cell r="C184" t="str">
            <v>PSC</v>
          </cell>
          <cell r="D184">
            <v>1000</v>
          </cell>
          <cell r="E184" t="str">
            <v>12 kg/cm2</v>
          </cell>
          <cell r="F184" t="str">
            <v>Rmt</v>
          </cell>
          <cell r="G184">
            <v>5065</v>
          </cell>
          <cell r="H184">
            <v>8070</v>
          </cell>
        </row>
        <row r="185">
          <cell r="B185" t="str">
            <v>PSC110012 kg/cm2</v>
          </cell>
          <cell r="C185" t="str">
            <v>PSC</v>
          </cell>
          <cell r="D185">
            <v>1100</v>
          </cell>
          <cell r="E185" t="str">
            <v>12 kg/cm2</v>
          </cell>
          <cell r="F185" t="str">
            <v>Rmt</v>
          </cell>
          <cell r="G185">
            <v>5867</v>
          </cell>
          <cell r="H185">
            <v>9348</v>
          </cell>
        </row>
        <row r="186">
          <cell r="B186" t="str">
            <v>PSC120012 kg/cm2</v>
          </cell>
          <cell r="C186" t="str">
            <v>PSC</v>
          </cell>
          <cell r="D186">
            <v>1200</v>
          </cell>
          <cell r="E186" t="str">
            <v>12 kg/cm2</v>
          </cell>
          <cell r="F186" t="str">
            <v>Rmt</v>
          </cell>
          <cell r="G186">
            <v>6559</v>
          </cell>
          <cell r="H186">
            <v>10450</v>
          </cell>
        </row>
        <row r="187">
          <cell r="B187" t="str">
            <v>PSC130012 kg/cm2</v>
          </cell>
          <cell r="C187" t="str">
            <v>PSC</v>
          </cell>
          <cell r="D187">
            <v>1300</v>
          </cell>
          <cell r="E187" t="str">
            <v>12 kg/cm2</v>
          </cell>
          <cell r="F187" t="str">
            <v>Rmt</v>
          </cell>
          <cell r="G187">
            <v>9150</v>
          </cell>
          <cell r="H187">
            <v>14579</v>
          </cell>
        </row>
        <row r="188">
          <cell r="B188" t="str">
            <v>PSC140012 kg/cm2</v>
          </cell>
          <cell r="C188" t="str">
            <v>PSC</v>
          </cell>
          <cell r="D188">
            <v>1400</v>
          </cell>
          <cell r="E188" t="str">
            <v>12 kg/cm2</v>
          </cell>
          <cell r="F188" t="str">
            <v>Rmt</v>
          </cell>
          <cell r="G188">
            <v>10750</v>
          </cell>
          <cell r="H188">
            <v>17128</v>
          </cell>
        </row>
        <row r="189">
          <cell r="B189" t="str">
            <v>PSC150012 kg/cm2</v>
          </cell>
          <cell r="C189" t="str">
            <v>PSC</v>
          </cell>
          <cell r="D189">
            <v>1500</v>
          </cell>
          <cell r="E189" t="str">
            <v>12 kg/cm2</v>
          </cell>
          <cell r="F189" t="str">
            <v>Rmt</v>
          </cell>
          <cell r="G189">
            <v>12240</v>
          </cell>
          <cell r="H189">
            <v>19502</v>
          </cell>
        </row>
        <row r="190">
          <cell r="B190" t="str">
            <v>PSC160012 kg/cm2</v>
          </cell>
          <cell r="C190" t="str">
            <v>PSC</v>
          </cell>
          <cell r="D190">
            <v>1600</v>
          </cell>
          <cell r="E190" t="str">
            <v>12 kg/cm2</v>
          </cell>
          <cell r="F190" t="str">
            <v>Rmt</v>
          </cell>
          <cell r="G190">
            <v>14250</v>
          </cell>
          <cell r="H190">
            <v>22705</v>
          </cell>
        </row>
        <row r="191">
          <cell r="B191" t="str">
            <v>PSC35014 kg/cm2</v>
          </cell>
          <cell r="C191" t="str">
            <v>PSC</v>
          </cell>
          <cell r="D191">
            <v>350</v>
          </cell>
          <cell r="E191" t="str">
            <v>14 kg/cm2</v>
          </cell>
          <cell r="F191" t="str">
            <v>Rmt</v>
          </cell>
          <cell r="G191">
            <v>1730</v>
          </cell>
          <cell r="H191">
            <v>2756</v>
          </cell>
        </row>
        <row r="192">
          <cell r="B192" t="str">
            <v>PSC40014 kg/cm2</v>
          </cell>
          <cell r="C192" t="str">
            <v>PSC</v>
          </cell>
          <cell r="D192">
            <v>400</v>
          </cell>
          <cell r="E192" t="str">
            <v>14 kg/cm2</v>
          </cell>
          <cell r="F192" t="str">
            <v>Rmt</v>
          </cell>
          <cell r="G192">
            <v>1888</v>
          </cell>
          <cell r="H192">
            <v>3008</v>
          </cell>
        </row>
        <row r="193">
          <cell r="B193" t="str">
            <v>PSC45014 kg/cm2</v>
          </cell>
          <cell r="C193" t="str">
            <v>PSC</v>
          </cell>
          <cell r="D193">
            <v>450</v>
          </cell>
          <cell r="E193" t="str">
            <v>14 kg/cm2</v>
          </cell>
          <cell r="F193" t="str">
            <v>Rmt</v>
          </cell>
          <cell r="G193">
            <v>2029</v>
          </cell>
          <cell r="H193">
            <v>3233</v>
          </cell>
        </row>
        <row r="194">
          <cell r="B194" t="str">
            <v>PSC50014 kg/cm2</v>
          </cell>
          <cell r="C194" t="str">
            <v>PSC</v>
          </cell>
          <cell r="D194">
            <v>500</v>
          </cell>
          <cell r="E194" t="str">
            <v>14 kg/cm2</v>
          </cell>
          <cell r="F194" t="str">
            <v>Rmt</v>
          </cell>
          <cell r="G194">
            <v>2186</v>
          </cell>
          <cell r="H194">
            <v>3483</v>
          </cell>
        </row>
        <row r="195">
          <cell r="B195" t="str">
            <v>PSC60014 kg/cm2</v>
          </cell>
          <cell r="C195" t="str">
            <v>PSC</v>
          </cell>
          <cell r="D195">
            <v>600</v>
          </cell>
          <cell r="E195" t="str">
            <v>14 kg/cm2</v>
          </cell>
          <cell r="F195" t="str">
            <v>Rmt</v>
          </cell>
          <cell r="G195">
            <v>2580</v>
          </cell>
          <cell r="H195">
            <v>4111</v>
          </cell>
        </row>
        <row r="196">
          <cell r="B196" t="str">
            <v>PSC70014 kg/cm2</v>
          </cell>
          <cell r="C196" t="str">
            <v>PSC</v>
          </cell>
          <cell r="D196">
            <v>700</v>
          </cell>
          <cell r="E196" t="str">
            <v>14 kg/cm2</v>
          </cell>
          <cell r="F196" t="str">
            <v>Rmt</v>
          </cell>
          <cell r="G196">
            <v>3162</v>
          </cell>
          <cell r="H196">
            <v>5038</v>
          </cell>
        </row>
        <row r="197">
          <cell r="B197" t="str">
            <v>PSC80014 kg/cm2</v>
          </cell>
          <cell r="C197" t="str">
            <v>PSC</v>
          </cell>
          <cell r="D197">
            <v>800</v>
          </cell>
          <cell r="E197" t="str">
            <v>14 kg/cm2</v>
          </cell>
          <cell r="F197" t="str">
            <v>Rmt</v>
          </cell>
          <cell r="G197">
            <v>3807</v>
          </cell>
          <cell r="H197">
            <v>6066</v>
          </cell>
        </row>
        <row r="198">
          <cell r="B198" t="str">
            <v>PSC90014 kg/cm2</v>
          </cell>
          <cell r="C198" t="str">
            <v>PSC</v>
          </cell>
          <cell r="D198">
            <v>900</v>
          </cell>
          <cell r="E198" t="str">
            <v>14 kg/cm2</v>
          </cell>
          <cell r="F198" t="str">
            <v>Rmt</v>
          </cell>
          <cell r="G198">
            <v>4467</v>
          </cell>
          <cell r="H198">
            <v>7117</v>
          </cell>
        </row>
        <row r="199">
          <cell r="B199" t="str">
            <v>PSC100014 kg/cm2</v>
          </cell>
          <cell r="C199" t="str">
            <v>PSC</v>
          </cell>
          <cell r="D199">
            <v>1000</v>
          </cell>
          <cell r="E199" t="str">
            <v>14 kg/cm2</v>
          </cell>
          <cell r="F199" t="str">
            <v>Rmt</v>
          </cell>
          <cell r="G199">
            <v>5364</v>
          </cell>
          <cell r="H199">
            <v>8546</v>
          </cell>
        </row>
        <row r="200">
          <cell r="B200" t="str">
            <v>PSC110014 kg/cm2</v>
          </cell>
          <cell r="C200" t="str">
            <v>PSC</v>
          </cell>
          <cell r="D200">
            <v>1100</v>
          </cell>
          <cell r="E200" t="str">
            <v>14 kg/cm2</v>
          </cell>
          <cell r="F200" t="str">
            <v>Rmt</v>
          </cell>
          <cell r="G200">
            <v>6135</v>
          </cell>
          <cell r="H200">
            <v>9775</v>
          </cell>
        </row>
        <row r="201">
          <cell r="B201" t="str">
            <v>PSC120014 kg/cm2</v>
          </cell>
          <cell r="C201" t="str">
            <v>PSC</v>
          </cell>
          <cell r="D201">
            <v>1200</v>
          </cell>
          <cell r="E201" t="str">
            <v>14 kg/cm2</v>
          </cell>
          <cell r="F201" t="str">
            <v>Rmt</v>
          </cell>
          <cell r="G201">
            <v>6890</v>
          </cell>
          <cell r="H201">
            <v>40978</v>
          </cell>
        </row>
        <row r="202">
          <cell r="B202" t="str">
            <v>PSC130014 kg/cm2</v>
          </cell>
          <cell r="C202" t="str">
            <v>PSC</v>
          </cell>
          <cell r="D202">
            <v>1300</v>
          </cell>
          <cell r="E202" t="str">
            <v>14 kg/cm2</v>
          </cell>
          <cell r="F202" t="str">
            <v>Rmt</v>
          </cell>
          <cell r="G202">
            <v>9810</v>
          </cell>
          <cell r="H202">
            <v>15630</v>
          </cell>
        </row>
        <row r="203">
          <cell r="B203" t="str">
            <v>PSC140014 kg/cm2</v>
          </cell>
          <cell r="C203" t="str">
            <v>PSC</v>
          </cell>
          <cell r="D203">
            <v>1400</v>
          </cell>
          <cell r="E203" t="str">
            <v>14 kg/cm2</v>
          </cell>
          <cell r="F203" t="str">
            <v>Rmt</v>
          </cell>
          <cell r="G203">
            <v>11460</v>
          </cell>
          <cell r="H203">
            <v>18259</v>
          </cell>
        </row>
        <row r="204">
          <cell r="B204" t="str">
            <v>PSC150014 kg/cm2</v>
          </cell>
          <cell r="C204" t="str">
            <v>PSC</v>
          </cell>
          <cell r="D204">
            <v>1500</v>
          </cell>
          <cell r="E204" t="str">
            <v>14 kg/cm2</v>
          </cell>
          <cell r="F204" t="str">
            <v>Rmt</v>
          </cell>
          <cell r="G204">
            <v>13020</v>
          </cell>
          <cell r="H204">
            <v>20745</v>
          </cell>
        </row>
        <row r="205">
          <cell r="B205" t="str">
            <v>PSC160014 kg/cm2</v>
          </cell>
          <cell r="C205" t="str">
            <v>PSC</v>
          </cell>
          <cell r="D205">
            <v>1600</v>
          </cell>
          <cell r="E205" t="str">
            <v>14 kg/cm2</v>
          </cell>
          <cell r="F205" t="str">
            <v>Rmt</v>
          </cell>
          <cell r="G205">
            <v>14650</v>
          </cell>
          <cell r="H205">
            <v>23342</v>
          </cell>
        </row>
        <row r="206">
          <cell r="B206" t="str">
            <v>PSC35016 kg/cm2</v>
          </cell>
          <cell r="C206" t="str">
            <v>PSC</v>
          </cell>
          <cell r="D206">
            <v>350</v>
          </cell>
          <cell r="E206" t="str">
            <v>16 kg/cm2</v>
          </cell>
          <cell r="F206" t="str">
            <v>Rmt</v>
          </cell>
          <cell r="G206">
            <v>1793</v>
          </cell>
          <cell r="H206">
            <v>2857</v>
          </cell>
        </row>
        <row r="207">
          <cell r="B207" t="str">
            <v>PSC40016 kg/cm2</v>
          </cell>
          <cell r="C207" t="str">
            <v>PSC</v>
          </cell>
          <cell r="D207">
            <v>400</v>
          </cell>
          <cell r="E207" t="str">
            <v>16 kg/cm2</v>
          </cell>
          <cell r="F207" t="str">
            <v>Rmt</v>
          </cell>
          <cell r="G207">
            <v>1919</v>
          </cell>
          <cell r="H207">
            <v>3058</v>
          </cell>
        </row>
        <row r="208">
          <cell r="B208" t="str">
            <v>PSC45016 kg/cm2</v>
          </cell>
          <cell r="C208" t="str">
            <v>PSC</v>
          </cell>
          <cell r="D208">
            <v>450</v>
          </cell>
          <cell r="E208" t="str">
            <v>16 kg/cm2</v>
          </cell>
          <cell r="F208" t="str">
            <v>Rmt</v>
          </cell>
          <cell r="G208">
            <v>2076</v>
          </cell>
          <cell r="H208">
            <v>3308</v>
          </cell>
        </row>
        <row r="209">
          <cell r="B209" t="str">
            <v>PSC50016 kg/cm2</v>
          </cell>
          <cell r="C209" t="str">
            <v>PSC</v>
          </cell>
          <cell r="D209">
            <v>500</v>
          </cell>
          <cell r="E209" t="str">
            <v>16 kg/cm2</v>
          </cell>
          <cell r="F209" t="str">
            <v>Rmt</v>
          </cell>
          <cell r="G209">
            <v>2249</v>
          </cell>
          <cell r="H209">
            <v>3583</v>
          </cell>
        </row>
        <row r="210">
          <cell r="B210" t="str">
            <v>PSC60016 kg/cm2</v>
          </cell>
          <cell r="C210" t="str">
            <v>PSC</v>
          </cell>
          <cell r="D210">
            <v>600</v>
          </cell>
          <cell r="E210" t="str">
            <v>16 kg/cm2</v>
          </cell>
          <cell r="F210" t="str">
            <v>Rmt</v>
          </cell>
          <cell r="G210">
            <v>2658</v>
          </cell>
          <cell r="H210">
            <v>4235</v>
          </cell>
        </row>
        <row r="211">
          <cell r="B211" t="str">
            <v>PSC70016 kg/cm2</v>
          </cell>
          <cell r="C211" t="str">
            <v>PSC</v>
          </cell>
          <cell r="D211">
            <v>700</v>
          </cell>
          <cell r="E211" t="str">
            <v>16 kg/cm2</v>
          </cell>
          <cell r="F211" t="str">
            <v>Rmt</v>
          </cell>
          <cell r="G211">
            <v>3256</v>
          </cell>
          <cell r="H211">
            <v>5188</v>
          </cell>
        </row>
        <row r="212">
          <cell r="B212" t="str">
            <v>PSC80016 kg/cm2</v>
          </cell>
          <cell r="C212" t="str">
            <v>PSC</v>
          </cell>
          <cell r="D212">
            <v>800</v>
          </cell>
          <cell r="E212" t="str">
            <v>16 kg/cm2</v>
          </cell>
          <cell r="F212" t="str">
            <v>Rmt</v>
          </cell>
          <cell r="G212">
            <v>3948</v>
          </cell>
          <cell r="H212">
            <v>6290</v>
          </cell>
        </row>
        <row r="213">
          <cell r="B213" t="str">
            <v>PSC90016 kg/cm2</v>
          </cell>
          <cell r="C213" t="str">
            <v>PSC</v>
          </cell>
          <cell r="D213">
            <v>900</v>
          </cell>
          <cell r="E213" t="str">
            <v>16 kg/cm2</v>
          </cell>
          <cell r="F213" t="str">
            <v>Rmt</v>
          </cell>
          <cell r="G213">
            <v>4719</v>
          </cell>
          <cell r="H213">
            <v>7519</v>
          </cell>
        </row>
        <row r="214">
          <cell r="B214" t="str">
            <v>PSC100016 kg/cm2</v>
          </cell>
          <cell r="C214" t="str">
            <v>PSC</v>
          </cell>
          <cell r="D214">
            <v>1000</v>
          </cell>
          <cell r="E214" t="str">
            <v>16 kg/cm2</v>
          </cell>
          <cell r="F214" t="str">
            <v>Rmt</v>
          </cell>
          <cell r="G214">
            <v>5600</v>
          </cell>
          <cell r="H214">
            <v>8922</v>
          </cell>
        </row>
        <row r="215">
          <cell r="B215" t="str">
            <v>PSC110016 kg/cm2</v>
          </cell>
          <cell r="C215" t="str">
            <v>PSC</v>
          </cell>
          <cell r="D215">
            <v>1100</v>
          </cell>
          <cell r="E215" t="str">
            <v>16 kg/cm2</v>
          </cell>
          <cell r="F215" t="str">
            <v>Rmt</v>
          </cell>
          <cell r="G215">
            <v>6402</v>
          </cell>
          <cell r="H215">
            <v>10200</v>
          </cell>
        </row>
        <row r="216">
          <cell r="B216" t="str">
            <v>PSC120016 kg/cm2</v>
          </cell>
          <cell r="C216" t="str">
            <v>PSC</v>
          </cell>
          <cell r="D216">
            <v>1200</v>
          </cell>
          <cell r="E216" t="str">
            <v>16 kg/cm2</v>
          </cell>
          <cell r="F216" t="str">
            <v>Rmt</v>
          </cell>
          <cell r="G216">
            <v>7204</v>
          </cell>
          <cell r="H216">
            <v>11478</v>
          </cell>
        </row>
        <row r="217">
          <cell r="B217" t="str">
            <v>PSC130016 kg/cm2</v>
          </cell>
          <cell r="C217" t="str">
            <v>PSC</v>
          </cell>
          <cell r="D217">
            <v>1300</v>
          </cell>
          <cell r="E217" t="str">
            <v>16 kg/cm2</v>
          </cell>
          <cell r="F217" t="str">
            <v>Rmt</v>
          </cell>
          <cell r="G217">
            <v>10560</v>
          </cell>
          <cell r="H217">
            <v>16825</v>
          </cell>
        </row>
        <row r="218">
          <cell r="B218" t="str">
            <v>PSC140016 kg/cm2</v>
          </cell>
          <cell r="C218" t="str">
            <v>PSC</v>
          </cell>
          <cell r="D218">
            <v>1400</v>
          </cell>
          <cell r="E218" t="str">
            <v>16 kg/cm2</v>
          </cell>
          <cell r="F218" t="str">
            <v>Rmt</v>
          </cell>
          <cell r="G218">
            <v>11980</v>
          </cell>
          <cell r="H218">
            <v>19088</v>
          </cell>
        </row>
        <row r="219">
          <cell r="B219" t="str">
            <v>PSC150016 kg/cm2</v>
          </cell>
          <cell r="C219" t="str">
            <v>PSC</v>
          </cell>
          <cell r="D219">
            <v>1500</v>
          </cell>
          <cell r="E219" t="str">
            <v>16 kg/cm2</v>
          </cell>
          <cell r="F219" t="str">
            <v>Rmt</v>
          </cell>
          <cell r="G219">
            <v>13610</v>
          </cell>
          <cell r="H219">
            <v>21685</v>
          </cell>
        </row>
        <row r="220">
          <cell r="B220" t="str">
            <v>PSC160016 kg/cm2</v>
          </cell>
          <cell r="C220" t="str">
            <v>PSC</v>
          </cell>
          <cell r="D220">
            <v>1600</v>
          </cell>
          <cell r="E220" t="str">
            <v>16 kg/cm2</v>
          </cell>
          <cell r="F220" t="str">
            <v>Rmt</v>
          </cell>
          <cell r="G220">
            <v>15320</v>
          </cell>
          <cell r="H220">
            <v>24409</v>
          </cell>
        </row>
        <row r="221">
          <cell r="B221" t="str">
            <v>PSCHT wire</v>
          </cell>
          <cell r="C221" t="str">
            <v>PSC</v>
          </cell>
          <cell r="D221" t="str">
            <v>HT wire</v>
          </cell>
          <cell r="E221">
            <v>0</v>
          </cell>
          <cell r="F221">
            <v>0</v>
          </cell>
          <cell r="G221">
            <v>40500</v>
          </cell>
          <cell r="H221">
            <v>61800</v>
          </cell>
        </row>
        <row r="222">
          <cell r="B222" t="str">
            <v>PSCcement</v>
          </cell>
          <cell r="C222" t="str">
            <v>PSC</v>
          </cell>
          <cell r="D222" t="str">
            <v>cement</v>
          </cell>
          <cell r="E222">
            <v>0</v>
          </cell>
          <cell r="F222" t="str">
            <v>MT</v>
          </cell>
          <cell r="G222">
            <v>4140</v>
          </cell>
          <cell r="H222">
            <v>4400</v>
          </cell>
        </row>
        <row r="223">
          <cell r="B223" t="str">
            <v>BWSC25012 kg/cm2</v>
          </cell>
          <cell r="C223" t="str">
            <v>BWSC</v>
          </cell>
          <cell r="D223">
            <v>250</v>
          </cell>
          <cell r="E223" t="str">
            <v>12 kg/cm2</v>
          </cell>
          <cell r="F223" t="str">
            <v>Rmt</v>
          </cell>
          <cell r="G223">
            <v>1782</v>
          </cell>
          <cell r="H223">
            <v>3039</v>
          </cell>
        </row>
        <row r="224">
          <cell r="B224" t="str">
            <v>BWSC30012 kg/cm2</v>
          </cell>
          <cell r="C224" t="str">
            <v>BWSC</v>
          </cell>
          <cell r="D224">
            <v>300</v>
          </cell>
          <cell r="E224" t="str">
            <v>12 kg/cm2</v>
          </cell>
          <cell r="F224" t="str">
            <v>Rmt</v>
          </cell>
          <cell r="G224">
            <v>2008</v>
          </cell>
          <cell r="H224">
            <v>3425</v>
          </cell>
        </row>
        <row r="225">
          <cell r="B225" t="str">
            <v>BWSC35012 kg/cm2</v>
          </cell>
          <cell r="C225" t="str">
            <v>BWSC</v>
          </cell>
          <cell r="D225">
            <v>350</v>
          </cell>
          <cell r="E225" t="str">
            <v>12 kg/cm2</v>
          </cell>
          <cell r="F225" t="str">
            <v>Rmt</v>
          </cell>
          <cell r="G225">
            <v>2460</v>
          </cell>
          <cell r="H225">
            <v>4196</v>
          </cell>
        </row>
        <row r="226">
          <cell r="B226" t="str">
            <v>BWSC40012 kg/cm2</v>
          </cell>
          <cell r="C226" t="str">
            <v>BWSC</v>
          </cell>
          <cell r="D226">
            <v>400</v>
          </cell>
          <cell r="E226" t="str">
            <v>12 kg/cm2</v>
          </cell>
          <cell r="F226" t="str">
            <v>Rmt</v>
          </cell>
          <cell r="G226">
            <v>2709</v>
          </cell>
          <cell r="H226">
            <v>4620</v>
          </cell>
        </row>
        <row r="227">
          <cell r="B227" t="str">
            <v>BWSC45012 kg/cm2</v>
          </cell>
          <cell r="C227" t="str">
            <v>BWSC</v>
          </cell>
          <cell r="D227">
            <v>450</v>
          </cell>
          <cell r="E227" t="str">
            <v>12 kg/cm2</v>
          </cell>
          <cell r="F227" t="str">
            <v>Rmt</v>
          </cell>
          <cell r="G227">
            <v>2957</v>
          </cell>
          <cell r="H227">
            <v>5043</v>
          </cell>
        </row>
        <row r="228">
          <cell r="B228" t="str">
            <v>BWSC50012 kg/cm2</v>
          </cell>
          <cell r="C228" t="str">
            <v>BWSC</v>
          </cell>
          <cell r="D228">
            <v>500</v>
          </cell>
          <cell r="E228" t="str">
            <v>12 kg/cm2</v>
          </cell>
          <cell r="F228" t="str">
            <v>Rmt</v>
          </cell>
          <cell r="G228">
            <v>3298</v>
          </cell>
          <cell r="H228">
            <v>5625</v>
          </cell>
        </row>
        <row r="229">
          <cell r="B229" t="str">
            <v>BWSC60012 kg/cm2</v>
          </cell>
          <cell r="C229" t="str">
            <v>BWSC</v>
          </cell>
          <cell r="D229">
            <v>600</v>
          </cell>
          <cell r="E229" t="str">
            <v>12 kg/cm2</v>
          </cell>
          <cell r="F229" t="str">
            <v>Rmt</v>
          </cell>
          <cell r="G229">
            <v>4341</v>
          </cell>
          <cell r="H229">
            <v>7404</v>
          </cell>
        </row>
        <row r="230">
          <cell r="B230" t="str">
            <v>BWSC70012 kg/cm2</v>
          </cell>
          <cell r="C230" t="str">
            <v>BWSC</v>
          </cell>
          <cell r="D230">
            <v>700</v>
          </cell>
          <cell r="E230" t="str">
            <v>12 kg/cm2</v>
          </cell>
          <cell r="F230" t="str">
            <v>Rmt</v>
          </cell>
          <cell r="G230">
            <v>4917</v>
          </cell>
          <cell r="H230">
            <v>8805</v>
          </cell>
        </row>
        <row r="231">
          <cell r="B231" t="str">
            <v>BWSC80012 kg/cm2</v>
          </cell>
          <cell r="C231" t="str">
            <v>BWSC</v>
          </cell>
          <cell r="D231">
            <v>800</v>
          </cell>
          <cell r="E231" t="str">
            <v>12 kg/cm2</v>
          </cell>
          <cell r="F231" t="str">
            <v>Rmt</v>
          </cell>
          <cell r="G231">
            <v>5589</v>
          </cell>
          <cell r="H231">
            <v>10009</v>
          </cell>
        </row>
        <row r="232">
          <cell r="B232" t="str">
            <v>BWSC90012 kg/cm2</v>
          </cell>
          <cell r="C232" t="str">
            <v>BWSC</v>
          </cell>
          <cell r="D232">
            <v>900</v>
          </cell>
          <cell r="E232" t="str">
            <v>12 kg/cm2</v>
          </cell>
          <cell r="F232" t="str">
            <v>Rmt</v>
          </cell>
          <cell r="G232">
            <v>6927</v>
          </cell>
          <cell r="H232">
            <v>12405</v>
          </cell>
        </row>
        <row r="233">
          <cell r="B233" t="str">
            <v>BWSC100012 kg/cm2</v>
          </cell>
          <cell r="C233" t="str">
            <v>BWSC</v>
          </cell>
          <cell r="D233">
            <v>1000</v>
          </cell>
          <cell r="E233" t="str">
            <v>12 kg/cm2</v>
          </cell>
          <cell r="F233" t="str">
            <v>Rmt</v>
          </cell>
          <cell r="G233">
            <v>7813</v>
          </cell>
          <cell r="H233">
            <v>13991</v>
          </cell>
        </row>
        <row r="234">
          <cell r="B234" t="str">
            <v>BWSC110012 kg/cm2</v>
          </cell>
          <cell r="C234" t="str">
            <v>BWSC</v>
          </cell>
          <cell r="D234">
            <v>1100</v>
          </cell>
          <cell r="E234" t="str">
            <v>12 kg/cm2</v>
          </cell>
          <cell r="F234" t="str">
            <v>Rmt</v>
          </cell>
          <cell r="G234">
            <v>11250</v>
          </cell>
          <cell r="H234">
            <v>20146</v>
          </cell>
        </row>
        <row r="235">
          <cell r="B235" t="str">
            <v>BWSC120012 kg/cm2</v>
          </cell>
          <cell r="C235" t="str">
            <v>BWSC</v>
          </cell>
          <cell r="D235">
            <v>1200</v>
          </cell>
          <cell r="E235" t="str">
            <v>12 kg/cm2</v>
          </cell>
          <cell r="F235" t="str">
            <v>Rmt</v>
          </cell>
          <cell r="G235">
            <v>12430</v>
          </cell>
          <cell r="H235">
            <v>22259</v>
          </cell>
        </row>
        <row r="236">
          <cell r="B236" t="str">
            <v>BWSC25014 kg/cm2</v>
          </cell>
          <cell r="C236" t="str">
            <v>BWSC</v>
          </cell>
          <cell r="D236">
            <v>250</v>
          </cell>
          <cell r="E236" t="str">
            <v>14 kg/cm2</v>
          </cell>
          <cell r="F236" t="str">
            <v>Rmt</v>
          </cell>
          <cell r="G236">
            <v>1782</v>
          </cell>
          <cell r="H236">
            <v>3039</v>
          </cell>
        </row>
        <row r="237">
          <cell r="B237" t="str">
            <v>BWSC30014 kg/cm2</v>
          </cell>
          <cell r="C237" t="str">
            <v>BWSC</v>
          </cell>
          <cell r="D237">
            <v>300</v>
          </cell>
          <cell r="E237" t="str">
            <v>14 kg/cm2</v>
          </cell>
          <cell r="F237" t="str">
            <v>Rmt</v>
          </cell>
          <cell r="G237">
            <v>2008</v>
          </cell>
          <cell r="H237">
            <v>3425</v>
          </cell>
        </row>
        <row r="238">
          <cell r="B238" t="str">
            <v>BWSC35014 kg/cm2</v>
          </cell>
          <cell r="C238" t="str">
            <v>BWSC</v>
          </cell>
          <cell r="D238">
            <v>350</v>
          </cell>
          <cell r="E238" t="str">
            <v>14 kg/cm2</v>
          </cell>
          <cell r="F238" t="str">
            <v>Rmt</v>
          </cell>
          <cell r="G238">
            <v>2460</v>
          </cell>
          <cell r="H238">
            <v>4196</v>
          </cell>
        </row>
        <row r="239">
          <cell r="B239" t="str">
            <v>BWSC40014 kg/cm2</v>
          </cell>
          <cell r="C239" t="str">
            <v>BWSC</v>
          </cell>
          <cell r="D239">
            <v>400</v>
          </cell>
          <cell r="E239" t="str">
            <v>14 kg/cm2</v>
          </cell>
          <cell r="F239" t="str">
            <v>Rmt</v>
          </cell>
          <cell r="G239">
            <v>2709</v>
          </cell>
          <cell r="H239">
            <v>4620</v>
          </cell>
        </row>
        <row r="240">
          <cell r="B240" t="str">
            <v>BWSC45014 kg/cm2</v>
          </cell>
          <cell r="C240" t="str">
            <v>BWSC</v>
          </cell>
          <cell r="D240">
            <v>450</v>
          </cell>
          <cell r="E240" t="str">
            <v>14 kg/cm2</v>
          </cell>
          <cell r="F240" t="str">
            <v>Rmt</v>
          </cell>
          <cell r="G240">
            <v>2957</v>
          </cell>
          <cell r="H240">
            <v>5043</v>
          </cell>
        </row>
        <row r="241">
          <cell r="B241" t="str">
            <v>BWSC50014 kg/cm2</v>
          </cell>
          <cell r="C241" t="str">
            <v>BWSC</v>
          </cell>
          <cell r="D241">
            <v>500</v>
          </cell>
          <cell r="E241" t="str">
            <v>14 kg/cm2</v>
          </cell>
          <cell r="F241" t="str">
            <v>Rmt</v>
          </cell>
          <cell r="G241">
            <v>3298</v>
          </cell>
          <cell r="H241">
            <v>5625</v>
          </cell>
        </row>
        <row r="242">
          <cell r="B242" t="str">
            <v>BWSC60014 kg/cm2</v>
          </cell>
          <cell r="C242" t="str">
            <v>BWSC</v>
          </cell>
          <cell r="D242">
            <v>600</v>
          </cell>
          <cell r="E242" t="str">
            <v>14 kg/cm2</v>
          </cell>
          <cell r="F242" t="str">
            <v>Rmt</v>
          </cell>
          <cell r="G242">
            <v>4341</v>
          </cell>
          <cell r="H242">
            <v>7404</v>
          </cell>
        </row>
        <row r="243">
          <cell r="B243" t="str">
            <v>BWSC70014 kg/cm2</v>
          </cell>
          <cell r="C243" t="str">
            <v>BWSC</v>
          </cell>
          <cell r="D243">
            <v>700</v>
          </cell>
          <cell r="E243" t="str">
            <v>14 kg/cm2</v>
          </cell>
          <cell r="F243" t="str">
            <v>Rmt</v>
          </cell>
          <cell r="G243">
            <v>5035</v>
          </cell>
          <cell r="H243">
            <v>9017</v>
          </cell>
        </row>
        <row r="244">
          <cell r="B244" t="str">
            <v>BWSC80014 kg/cm2</v>
          </cell>
          <cell r="C244" t="str">
            <v>BWSC</v>
          </cell>
          <cell r="D244">
            <v>800</v>
          </cell>
          <cell r="E244" t="str">
            <v>14 kg/cm2</v>
          </cell>
          <cell r="F244" t="str">
            <v>Rmt</v>
          </cell>
          <cell r="G244">
            <v>6016</v>
          </cell>
          <cell r="H244">
            <v>10773</v>
          </cell>
        </row>
        <row r="245">
          <cell r="B245" t="str">
            <v>BWSC90014 kg/cm2</v>
          </cell>
          <cell r="C245" t="str">
            <v>BWSC</v>
          </cell>
          <cell r="D245">
            <v>900</v>
          </cell>
          <cell r="E245" t="str">
            <v>14 kg/cm2</v>
          </cell>
          <cell r="F245" t="str">
            <v>Rmt</v>
          </cell>
          <cell r="G245">
            <v>7196</v>
          </cell>
          <cell r="H245">
            <v>12886</v>
          </cell>
        </row>
        <row r="246">
          <cell r="B246" t="str">
            <v>BWSC100014 kg/cm2</v>
          </cell>
          <cell r="C246" t="str">
            <v>BWSC</v>
          </cell>
          <cell r="D246">
            <v>1000</v>
          </cell>
          <cell r="E246" t="str">
            <v>14 kg/cm2</v>
          </cell>
          <cell r="F246" t="str">
            <v>Rmt</v>
          </cell>
          <cell r="G246">
            <v>8474</v>
          </cell>
          <cell r="H246">
            <v>15175</v>
          </cell>
        </row>
        <row r="247">
          <cell r="B247" t="str">
            <v>BWSC110014 kg/cm2</v>
          </cell>
          <cell r="C247" t="str">
            <v>BWSC</v>
          </cell>
          <cell r="D247">
            <v>1100</v>
          </cell>
          <cell r="E247" t="str">
            <v>14 kg/cm2</v>
          </cell>
          <cell r="F247" t="str">
            <v>Rmt</v>
          </cell>
          <cell r="G247">
            <v>11450</v>
          </cell>
          <cell r="H247">
            <v>20504</v>
          </cell>
        </row>
        <row r="248">
          <cell r="B248" t="str">
            <v>BWSC120014 kg/cm2</v>
          </cell>
          <cell r="C248" t="str">
            <v>BWSC</v>
          </cell>
          <cell r="D248">
            <v>1200</v>
          </cell>
          <cell r="E248" t="str">
            <v>14 kg/cm2</v>
          </cell>
          <cell r="F248" t="str">
            <v>Rmt</v>
          </cell>
          <cell r="G248">
            <v>12790</v>
          </cell>
          <cell r="H248">
            <v>22904</v>
          </cell>
        </row>
        <row r="249">
          <cell r="B249" t="str">
            <v>BWSC25016 kg/cm2</v>
          </cell>
          <cell r="C249" t="str">
            <v>BWSC</v>
          </cell>
          <cell r="D249">
            <v>250</v>
          </cell>
          <cell r="E249" t="str">
            <v>16 kg/cm2</v>
          </cell>
          <cell r="F249" t="str">
            <v>Rmt</v>
          </cell>
          <cell r="G249">
            <v>1782</v>
          </cell>
          <cell r="H249">
            <v>3039</v>
          </cell>
        </row>
        <row r="250">
          <cell r="B250" t="str">
            <v>BWSC30016 kg/cm2</v>
          </cell>
          <cell r="C250" t="str">
            <v>BWSC</v>
          </cell>
          <cell r="D250">
            <v>300</v>
          </cell>
          <cell r="E250" t="str">
            <v>16 kg/cm2</v>
          </cell>
          <cell r="F250" t="str">
            <v>Rmt</v>
          </cell>
          <cell r="G250">
            <v>2008</v>
          </cell>
          <cell r="H250">
            <v>3425</v>
          </cell>
        </row>
        <row r="251">
          <cell r="B251" t="str">
            <v>BWSC35016 kg/cm2</v>
          </cell>
          <cell r="C251" t="str">
            <v>BWSC</v>
          </cell>
          <cell r="D251">
            <v>350</v>
          </cell>
          <cell r="E251" t="str">
            <v>16 kg/cm2</v>
          </cell>
          <cell r="F251" t="str">
            <v>Rmt</v>
          </cell>
          <cell r="G251">
            <v>2460</v>
          </cell>
          <cell r="H251">
            <v>4196</v>
          </cell>
        </row>
        <row r="252">
          <cell r="B252" t="str">
            <v>BWSC40016 kg/cm2</v>
          </cell>
          <cell r="C252" t="str">
            <v>BWSC</v>
          </cell>
          <cell r="D252">
            <v>400</v>
          </cell>
          <cell r="E252" t="str">
            <v>16 kg/cm2</v>
          </cell>
          <cell r="F252" t="str">
            <v>Rmt</v>
          </cell>
          <cell r="G252">
            <v>2709</v>
          </cell>
          <cell r="H252">
            <v>4620</v>
          </cell>
        </row>
        <row r="253">
          <cell r="B253" t="str">
            <v>BWSC45016 kg/cm2</v>
          </cell>
          <cell r="C253" t="str">
            <v>BWSC</v>
          </cell>
          <cell r="D253">
            <v>450</v>
          </cell>
          <cell r="E253" t="str">
            <v>16 kg/cm2</v>
          </cell>
          <cell r="F253" t="str">
            <v>Rmt</v>
          </cell>
          <cell r="G253">
            <v>2957</v>
          </cell>
          <cell r="H253">
            <v>5043</v>
          </cell>
        </row>
        <row r="254">
          <cell r="B254" t="str">
            <v>BWSC50016 kg/cm2</v>
          </cell>
          <cell r="C254" t="str">
            <v>BWSC</v>
          </cell>
          <cell r="D254">
            <v>500</v>
          </cell>
          <cell r="E254" t="str">
            <v>16 kg/cm2</v>
          </cell>
          <cell r="F254" t="str">
            <v>Rmt</v>
          </cell>
          <cell r="G254">
            <v>3333</v>
          </cell>
          <cell r="H254">
            <v>5684</v>
          </cell>
        </row>
        <row r="255">
          <cell r="B255" t="str">
            <v>BWSC60016 kg/cm2</v>
          </cell>
          <cell r="C255" t="str">
            <v>BWSC</v>
          </cell>
          <cell r="D255">
            <v>600</v>
          </cell>
          <cell r="E255" t="str">
            <v>16 kg/cm2</v>
          </cell>
          <cell r="F255" t="str">
            <v>Rmt</v>
          </cell>
          <cell r="G255">
            <v>4402</v>
          </cell>
          <cell r="H255">
            <v>7508</v>
          </cell>
        </row>
        <row r="256">
          <cell r="B256" t="str">
            <v>BWSC70016 kg/cm2</v>
          </cell>
          <cell r="C256" t="str">
            <v>BWSC</v>
          </cell>
          <cell r="D256">
            <v>700</v>
          </cell>
          <cell r="E256" t="str">
            <v>16 kg/cm2</v>
          </cell>
          <cell r="F256" t="str">
            <v>Rmt</v>
          </cell>
          <cell r="G256">
            <v>5365</v>
          </cell>
          <cell r="H256">
            <v>9608</v>
          </cell>
        </row>
        <row r="257">
          <cell r="B257" t="str">
            <v>BWSC80016 kg/cm2</v>
          </cell>
          <cell r="C257" t="str">
            <v>BWSC</v>
          </cell>
          <cell r="D257">
            <v>800</v>
          </cell>
          <cell r="E257" t="str">
            <v>16 kg/cm2</v>
          </cell>
          <cell r="F257" t="str">
            <v>Rmt</v>
          </cell>
          <cell r="G257">
            <v>6444</v>
          </cell>
          <cell r="H257">
            <v>11540</v>
          </cell>
        </row>
        <row r="258">
          <cell r="B258" t="str">
            <v>BWSC90016 kg/cm2</v>
          </cell>
          <cell r="C258" t="str">
            <v>BWSC</v>
          </cell>
          <cell r="D258">
            <v>900</v>
          </cell>
          <cell r="E258" t="str">
            <v>16 kg/cm2</v>
          </cell>
          <cell r="F258" t="str">
            <v>Rmt</v>
          </cell>
          <cell r="G258">
            <v>7733</v>
          </cell>
          <cell r="H258">
            <v>13848</v>
          </cell>
        </row>
        <row r="259">
          <cell r="B259" t="str">
            <v>BWSC100016 kg/cm2</v>
          </cell>
          <cell r="C259" t="str">
            <v>BWSC</v>
          </cell>
          <cell r="D259">
            <v>1000</v>
          </cell>
          <cell r="E259" t="str">
            <v>16 kg/cm2</v>
          </cell>
          <cell r="F259" t="str">
            <v>Rmt</v>
          </cell>
          <cell r="G259">
            <v>9125</v>
          </cell>
          <cell r="H259">
            <v>16341</v>
          </cell>
        </row>
        <row r="260">
          <cell r="B260" t="str">
            <v>BWSC110016 kg/cm2</v>
          </cell>
          <cell r="C260" t="str">
            <v>BWSC</v>
          </cell>
          <cell r="D260">
            <v>1100</v>
          </cell>
          <cell r="E260" t="str">
            <v>16 kg/cm2</v>
          </cell>
          <cell r="F260" t="str">
            <v>Rmt</v>
          </cell>
          <cell r="G260">
            <v>11550</v>
          </cell>
          <cell r="H260">
            <v>20683</v>
          </cell>
        </row>
        <row r="261">
          <cell r="B261" t="str">
            <v>BWSC120016 kg/cm2</v>
          </cell>
          <cell r="C261" t="str">
            <v>BWSC</v>
          </cell>
          <cell r="D261">
            <v>1200</v>
          </cell>
          <cell r="E261" t="str">
            <v>16 kg/cm2</v>
          </cell>
          <cell r="F261" t="str">
            <v>Rmt</v>
          </cell>
          <cell r="G261">
            <v>13230</v>
          </cell>
          <cell r="H261">
            <v>23692</v>
          </cell>
        </row>
        <row r="262">
          <cell r="B262" t="str">
            <v>BWSC25018 kg/cm2</v>
          </cell>
          <cell r="C262" t="str">
            <v>BWSC</v>
          </cell>
          <cell r="D262">
            <v>250</v>
          </cell>
          <cell r="E262" t="str">
            <v>18 kg/cm2</v>
          </cell>
          <cell r="F262" t="str">
            <v>Rmt</v>
          </cell>
          <cell r="G262">
            <v>1782</v>
          </cell>
          <cell r="H262">
            <v>3039</v>
          </cell>
        </row>
        <row r="263">
          <cell r="B263" t="str">
            <v>BWSC30018 kg/cm2</v>
          </cell>
          <cell r="C263" t="str">
            <v>BWSC</v>
          </cell>
          <cell r="D263">
            <v>300</v>
          </cell>
          <cell r="E263" t="str">
            <v>18 kg/cm2</v>
          </cell>
          <cell r="F263" t="str">
            <v>Rmt</v>
          </cell>
          <cell r="G263">
            <v>2008</v>
          </cell>
          <cell r="H263">
            <v>3425</v>
          </cell>
        </row>
        <row r="264">
          <cell r="B264" t="str">
            <v>BWSC35018 kg/cm2</v>
          </cell>
          <cell r="C264" t="str">
            <v>BWSC</v>
          </cell>
          <cell r="D264">
            <v>350</v>
          </cell>
          <cell r="E264" t="str">
            <v>18 kg/cm2</v>
          </cell>
          <cell r="F264" t="str">
            <v>Rmt</v>
          </cell>
          <cell r="G264">
            <v>2460</v>
          </cell>
          <cell r="H264">
            <v>4196</v>
          </cell>
        </row>
        <row r="265">
          <cell r="B265" t="str">
            <v>BWSC40018 kg/cm2</v>
          </cell>
          <cell r="C265" t="str">
            <v>BWSC</v>
          </cell>
          <cell r="D265">
            <v>400</v>
          </cell>
          <cell r="E265" t="str">
            <v>18 kg/cm2</v>
          </cell>
          <cell r="F265" t="str">
            <v>Rmt</v>
          </cell>
          <cell r="G265">
            <v>2709</v>
          </cell>
          <cell r="H265">
            <v>4620</v>
          </cell>
        </row>
        <row r="266">
          <cell r="B266" t="str">
            <v>BWSC45018 kg/cm2</v>
          </cell>
          <cell r="C266" t="str">
            <v>BWSC</v>
          </cell>
          <cell r="D266">
            <v>450</v>
          </cell>
          <cell r="E266" t="str">
            <v>18 kg/cm2</v>
          </cell>
          <cell r="F266" t="str">
            <v>Rmt</v>
          </cell>
          <cell r="G266">
            <v>2988</v>
          </cell>
          <cell r="H266">
            <v>5096</v>
          </cell>
        </row>
        <row r="267">
          <cell r="B267" t="str">
            <v>BWSC50018 kg/cm2</v>
          </cell>
          <cell r="C267" t="str">
            <v>BWSC</v>
          </cell>
          <cell r="D267">
            <v>500</v>
          </cell>
          <cell r="E267" t="str">
            <v>18 kg/cm2</v>
          </cell>
          <cell r="F267" t="str">
            <v>Rmt</v>
          </cell>
          <cell r="G267">
            <v>3488</v>
          </cell>
          <cell r="H267">
            <v>5949</v>
          </cell>
        </row>
        <row r="268">
          <cell r="B268" t="str">
            <v>BWSC60018 kg/cm2</v>
          </cell>
          <cell r="C268" t="str">
            <v>BWSC</v>
          </cell>
          <cell r="D268">
            <v>600</v>
          </cell>
          <cell r="E268" t="str">
            <v>18 kg/cm2</v>
          </cell>
          <cell r="F268" t="str">
            <v>Rmt</v>
          </cell>
          <cell r="G268">
            <v>4648</v>
          </cell>
          <cell r="H268">
            <v>7927</v>
          </cell>
        </row>
        <row r="269">
          <cell r="B269" t="str">
            <v>BWSC70018 kg/cm2</v>
          </cell>
          <cell r="C269" t="str">
            <v>BWSC</v>
          </cell>
          <cell r="D269">
            <v>700</v>
          </cell>
          <cell r="E269" t="str">
            <v>18 kg/cm2</v>
          </cell>
          <cell r="F269" t="str">
            <v>Rmt</v>
          </cell>
          <cell r="G269">
            <v>5695</v>
          </cell>
          <cell r="H269">
            <v>10198</v>
          </cell>
        </row>
        <row r="270">
          <cell r="B270" t="str">
            <v>BWSC80018 kg/cm2</v>
          </cell>
          <cell r="C270" t="str">
            <v>BWSC</v>
          </cell>
          <cell r="D270">
            <v>800</v>
          </cell>
          <cell r="E270" t="str">
            <v>18 kg/cm2</v>
          </cell>
          <cell r="F270" t="str">
            <v>Rmt</v>
          </cell>
          <cell r="G270">
            <v>6859</v>
          </cell>
          <cell r="H270">
            <v>12283</v>
          </cell>
        </row>
        <row r="271">
          <cell r="B271" t="str">
            <v>BWSC90018 kg/cm2</v>
          </cell>
          <cell r="C271" t="str">
            <v>BWSC</v>
          </cell>
          <cell r="D271">
            <v>900</v>
          </cell>
          <cell r="E271" t="str">
            <v>18 kg/cm2</v>
          </cell>
          <cell r="F271" t="str">
            <v>Rmt</v>
          </cell>
          <cell r="G271">
            <v>8256</v>
          </cell>
          <cell r="H271">
            <v>14785</v>
          </cell>
        </row>
        <row r="272">
          <cell r="B272" t="str">
            <v>BWSC100018 kg/cm2</v>
          </cell>
          <cell r="C272" t="str">
            <v>BWSC</v>
          </cell>
          <cell r="D272">
            <v>1000</v>
          </cell>
          <cell r="E272" t="str">
            <v>18 kg/cm2</v>
          </cell>
          <cell r="F272" t="str">
            <v>Rmt</v>
          </cell>
          <cell r="G272">
            <v>9760</v>
          </cell>
          <cell r="H272">
            <v>17478</v>
          </cell>
        </row>
        <row r="273">
          <cell r="B273" t="str">
            <v>BWSC110018 kg/cm2</v>
          </cell>
          <cell r="C273" t="str">
            <v>BWSC</v>
          </cell>
          <cell r="D273">
            <v>1100</v>
          </cell>
          <cell r="E273" t="str">
            <v>18 kg/cm2</v>
          </cell>
          <cell r="F273" t="str">
            <v>Rmt</v>
          </cell>
          <cell r="G273">
            <v>12650</v>
          </cell>
          <cell r="H273">
            <v>22653</v>
          </cell>
        </row>
        <row r="274">
          <cell r="B274" t="str">
            <v>BWSC120018 kg/cm2</v>
          </cell>
          <cell r="C274" t="str">
            <v>BWSC</v>
          </cell>
          <cell r="D274">
            <v>1200</v>
          </cell>
          <cell r="E274" t="str">
            <v>18 kg/cm2</v>
          </cell>
          <cell r="F274" t="str">
            <v>Rmt</v>
          </cell>
          <cell r="G274">
            <v>14570</v>
          </cell>
          <cell r="H274">
            <v>26092</v>
          </cell>
        </row>
        <row r="275">
          <cell r="B275" t="str">
            <v>BWSC25020 kg/cm2</v>
          </cell>
          <cell r="C275" t="str">
            <v>BWSC</v>
          </cell>
          <cell r="D275">
            <v>250</v>
          </cell>
          <cell r="E275" t="str">
            <v>20 kg/cm2</v>
          </cell>
          <cell r="F275" t="str">
            <v>Rmt</v>
          </cell>
          <cell r="G275">
            <v>1782</v>
          </cell>
          <cell r="H275">
            <v>3039</v>
          </cell>
        </row>
        <row r="276">
          <cell r="B276" t="str">
            <v>BWSC30020 kg/cm2</v>
          </cell>
          <cell r="C276" t="str">
            <v>BWSC</v>
          </cell>
          <cell r="D276">
            <v>300</v>
          </cell>
          <cell r="E276" t="str">
            <v>20 kg/cm2</v>
          </cell>
          <cell r="F276" t="str">
            <v>Rmt</v>
          </cell>
          <cell r="G276">
            <v>2008</v>
          </cell>
          <cell r="H276">
            <v>3425</v>
          </cell>
        </row>
        <row r="277">
          <cell r="B277" t="str">
            <v>BWSC35020 kg/cm2</v>
          </cell>
          <cell r="C277" t="str">
            <v>BWSC</v>
          </cell>
          <cell r="D277">
            <v>350</v>
          </cell>
          <cell r="E277" t="str">
            <v>20 kg/cm2</v>
          </cell>
          <cell r="F277" t="str">
            <v>Rmt</v>
          </cell>
          <cell r="G277">
            <v>2460</v>
          </cell>
          <cell r="H277">
            <v>4196</v>
          </cell>
        </row>
        <row r="278">
          <cell r="B278" t="str">
            <v>BWSC40020 kg/cm2</v>
          </cell>
          <cell r="C278" t="str">
            <v>BWSC</v>
          </cell>
          <cell r="D278">
            <v>400</v>
          </cell>
          <cell r="E278" t="str">
            <v>20 kg/cm2</v>
          </cell>
          <cell r="F278" t="str">
            <v>Rmt</v>
          </cell>
          <cell r="G278">
            <v>2709</v>
          </cell>
          <cell r="H278">
            <v>4620</v>
          </cell>
        </row>
        <row r="279">
          <cell r="B279" t="str">
            <v>BWSC45020 kg/cm2</v>
          </cell>
          <cell r="C279" t="str">
            <v>BWSC</v>
          </cell>
          <cell r="D279">
            <v>450</v>
          </cell>
          <cell r="E279" t="str">
            <v>20 kg/cm2</v>
          </cell>
          <cell r="F279" t="str">
            <v>Rmt</v>
          </cell>
          <cell r="G279">
            <v>3127</v>
          </cell>
          <cell r="H279">
            <v>5333</v>
          </cell>
        </row>
        <row r="280">
          <cell r="B280" t="str">
            <v>BWSC50020 kg/cm2</v>
          </cell>
          <cell r="C280" t="str">
            <v>BWSC</v>
          </cell>
          <cell r="D280">
            <v>500</v>
          </cell>
          <cell r="E280" t="str">
            <v>20 kg/cm2</v>
          </cell>
          <cell r="F280" t="str">
            <v>Rmt</v>
          </cell>
          <cell r="G280">
            <v>3659</v>
          </cell>
          <cell r="H280">
            <v>6240</v>
          </cell>
        </row>
        <row r="281">
          <cell r="B281" t="str">
            <v>BWSC60020 kg/cm2</v>
          </cell>
          <cell r="C281" t="str">
            <v>BWSC</v>
          </cell>
          <cell r="D281">
            <v>600</v>
          </cell>
          <cell r="E281" t="str">
            <v>20 kg/cm2</v>
          </cell>
          <cell r="F281" t="str">
            <v>Rmt</v>
          </cell>
          <cell r="G281">
            <v>4893</v>
          </cell>
          <cell r="H281">
            <v>8345</v>
          </cell>
        </row>
        <row r="282">
          <cell r="B282" t="str">
            <v>BWSC70020 kg/cm2</v>
          </cell>
          <cell r="C282" t="str">
            <v>BWSC</v>
          </cell>
          <cell r="D282">
            <v>700</v>
          </cell>
          <cell r="E282" t="str">
            <v>20 kg/cm2</v>
          </cell>
          <cell r="F282" t="str">
            <v>Rmt</v>
          </cell>
          <cell r="G282">
            <v>6026</v>
          </cell>
          <cell r="H282">
            <v>10791</v>
          </cell>
        </row>
        <row r="283">
          <cell r="B283" t="str">
            <v>BWSC80020 kg/cm2</v>
          </cell>
          <cell r="C283" t="str">
            <v>BWSC</v>
          </cell>
          <cell r="D283">
            <v>800</v>
          </cell>
          <cell r="E283" t="str">
            <v>20 kg/cm2</v>
          </cell>
          <cell r="F283" t="str">
            <v>Rmt</v>
          </cell>
          <cell r="G283">
            <v>7279</v>
          </cell>
          <cell r="H283">
            <v>13035</v>
          </cell>
        </row>
        <row r="284">
          <cell r="B284" t="str">
            <v>BWSC90020 kg/cm2</v>
          </cell>
          <cell r="C284" t="str">
            <v>BWSC</v>
          </cell>
          <cell r="D284">
            <v>900</v>
          </cell>
          <cell r="E284" t="str">
            <v>20 kg/cm2</v>
          </cell>
          <cell r="F284" t="str">
            <v>Rmt</v>
          </cell>
          <cell r="G284">
            <v>8780</v>
          </cell>
          <cell r="H284">
            <v>15723</v>
          </cell>
        </row>
        <row r="285">
          <cell r="B285" t="str">
            <v>BWSC100020 kg/cm2</v>
          </cell>
          <cell r="C285" t="str">
            <v>BWSC</v>
          </cell>
          <cell r="D285">
            <v>1000</v>
          </cell>
          <cell r="E285" t="str">
            <v>20 kg/cm2</v>
          </cell>
          <cell r="F285" t="str">
            <v>Rmt</v>
          </cell>
          <cell r="G285">
            <v>10397</v>
          </cell>
          <cell r="H285">
            <v>18619</v>
          </cell>
        </row>
        <row r="286">
          <cell r="B286" t="str">
            <v>BWSC110020 kg/cm2</v>
          </cell>
          <cell r="C286" t="str">
            <v>BWSC</v>
          </cell>
          <cell r="D286">
            <v>1100</v>
          </cell>
          <cell r="E286" t="str">
            <v>20 kg/cm2</v>
          </cell>
          <cell r="F286" t="str">
            <v>Rmt</v>
          </cell>
          <cell r="G286">
            <v>13890</v>
          </cell>
          <cell r="H286">
            <v>24874</v>
          </cell>
        </row>
        <row r="287">
          <cell r="B287" t="str">
            <v>BWSC120020 kg/cm2</v>
          </cell>
          <cell r="C287" t="str">
            <v>BWSC</v>
          </cell>
          <cell r="D287">
            <v>1200</v>
          </cell>
          <cell r="E287" t="str">
            <v>20 kg/cm2</v>
          </cell>
          <cell r="F287" t="str">
            <v>Rmt</v>
          </cell>
          <cell r="G287">
            <v>15980</v>
          </cell>
          <cell r="H287">
            <v>28617</v>
          </cell>
        </row>
        <row r="288">
          <cell r="B288" t="str">
            <v>BWSC25022 kg/cm2</v>
          </cell>
          <cell r="C288" t="str">
            <v>BWSC</v>
          </cell>
          <cell r="D288">
            <v>250</v>
          </cell>
          <cell r="E288" t="str">
            <v>22 kg/cm2</v>
          </cell>
          <cell r="F288" t="str">
            <v>Rmt</v>
          </cell>
          <cell r="G288">
            <v>1782</v>
          </cell>
          <cell r="H288">
            <v>3039</v>
          </cell>
        </row>
        <row r="289">
          <cell r="B289" t="str">
            <v>BWSC30022 kg/cm2</v>
          </cell>
          <cell r="C289" t="str">
            <v>BWSC</v>
          </cell>
          <cell r="D289">
            <v>300</v>
          </cell>
          <cell r="E289" t="str">
            <v>22 kg/cm2</v>
          </cell>
          <cell r="F289" t="str">
            <v>Rmt</v>
          </cell>
          <cell r="G289">
            <v>2008</v>
          </cell>
          <cell r="H289">
            <v>3425</v>
          </cell>
        </row>
        <row r="290">
          <cell r="B290" t="str">
            <v>BWSC35022 kg/cm2</v>
          </cell>
          <cell r="C290" t="str">
            <v>BWSC</v>
          </cell>
          <cell r="D290">
            <v>350</v>
          </cell>
          <cell r="E290" t="str">
            <v>22 kg/cm2</v>
          </cell>
          <cell r="F290" t="str">
            <v>Rmt</v>
          </cell>
          <cell r="G290">
            <v>2460</v>
          </cell>
          <cell r="H290">
            <v>4196</v>
          </cell>
        </row>
        <row r="291">
          <cell r="B291" t="str">
            <v>BWSC40022 kg/cm2</v>
          </cell>
          <cell r="C291" t="str">
            <v>BWSC</v>
          </cell>
          <cell r="D291">
            <v>400</v>
          </cell>
          <cell r="E291" t="str">
            <v>22 kg/cm2</v>
          </cell>
          <cell r="F291" t="str">
            <v>Rmt</v>
          </cell>
          <cell r="G291">
            <v>2833</v>
          </cell>
          <cell r="H291">
            <v>4832</v>
          </cell>
        </row>
        <row r="292">
          <cell r="B292" t="str">
            <v>BWSC45022 kg/cm2</v>
          </cell>
          <cell r="C292" t="str">
            <v>BWSC</v>
          </cell>
          <cell r="D292">
            <v>450</v>
          </cell>
          <cell r="E292" t="str">
            <v>22 kg/cm2</v>
          </cell>
          <cell r="F292" t="str">
            <v>Rmt</v>
          </cell>
          <cell r="G292">
            <v>3264</v>
          </cell>
          <cell r="H292">
            <v>5567</v>
          </cell>
        </row>
        <row r="293">
          <cell r="B293" t="str">
            <v>BWSC50022 kg/cm2</v>
          </cell>
          <cell r="C293" t="str">
            <v>BWSC</v>
          </cell>
          <cell r="D293">
            <v>500</v>
          </cell>
          <cell r="E293" t="str">
            <v>22 kg/cm2</v>
          </cell>
          <cell r="F293" t="str">
            <v>Rmt</v>
          </cell>
          <cell r="G293">
            <v>3833</v>
          </cell>
          <cell r="H293">
            <v>6537</v>
          </cell>
        </row>
        <row r="294">
          <cell r="B294" t="str">
            <v>BWSC60022 kg/cm2</v>
          </cell>
          <cell r="C294" t="str">
            <v>BWSC</v>
          </cell>
          <cell r="D294">
            <v>600</v>
          </cell>
          <cell r="E294" t="str">
            <v>22 kg/cm2</v>
          </cell>
          <cell r="F294" t="str">
            <v>Rmt</v>
          </cell>
          <cell r="G294">
            <v>5117</v>
          </cell>
          <cell r="H294">
            <v>8727</v>
          </cell>
        </row>
        <row r="295">
          <cell r="B295" t="str">
            <v>BWSC70022 kg/cm2</v>
          </cell>
          <cell r="C295" t="str">
            <v>BWSC</v>
          </cell>
          <cell r="D295">
            <v>700</v>
          </cell>
          <cell r="E295" t="str">
            <v>22 kg/cm2</v>
          </cell>
          <cell r="F295" t="str">
            <v>Rmt</v>
          </cell>
          <cell r="G295">
            <v>6356</v>
          </cell>
          <cell r="H295">
            <v>11382</v>
          </cell>
        </row>
        <row r="296">
          <cell r="B296" t="str">
            <v>BWSC80022 kg/cm2</v>
          </cell>
          <cell r="C296" t="str">
            <v>BWSC</v>
          </cell>
          <cell r="D296">
            <v>800</v>
          </cell>
          <cell r="E296" t="str">
            <v>22 kg/cm2</v>
          </cell>
          <cell r="F296" t="str">
            <v>Rmt</v>
          </cell>
          <cell r="G296">
            <v>7853</v>
          </cell>
          <cell r="H296">
            <v>14063</v>
          </cell>
        </row>
        <row r="297">
          <cell r="B297" t="str">
            <v>BWSC90022 kg/cm2</v>
          </cell>
          <cell r="C297" t="str">
            <v>BWSC</v>
          </cell>
          <cell r="D297">
            <v>900</v>
          </cell>
          <cell r="E297" t="str">
            <v>22 kg/cm2</v>
          </cell>
          <cell r="F297" t="str">
            <v>Rmt</v>
          </cell>
          <cell r="G297">
            <v>9349</v>
          </cell>
          <cell r="H297">
            <v>16472</v>
          </cell>
        </row>
        <row r="298">
          <cell r="B298" t="str">
            <v>BWSC100022 kg/cm2</v>
          </cell>
          <cell r="C298" t="str">
            <v>BWSC</v>
          </cell>
          <cell r="D298">
            <v>1000</v>
          </cell>
          <cell r="E298" t="str">
            <v>22 kg/cm2</v>
          </cell>
          <cell r="F298" t="str">
            <v>Rmt</v>
          </cell>
          <cell r="G298">
            <v>11375</v>
          </cell>
          <cell r="H298">
            <v>20370</v>
          </cell>
        </row>
        <row r="299">
          <cell r="B299" t="str">
            <v>BWSC110022 kg/cm2</v>
          </cell>
          <cell r="C299" t="str">
            <v>BWSC</v>
          </cell>
          <cell r="D299">
            <v>1100</v>
          </cell>
          <cell r="E299" t="str">
            <v>22 kg/cm2</v>
          </cell>
          <cell r="F299" t="str">
            <v>Rmt</v>
          </cell>
          <cell r="G299">
            <v>14840</v>
          </cell>
          <cell r="H299">
            <v>26575</v>
          </cell>
        </row>
        <row r="300">
          <cell r="B300" t="str">
            <v>BWSC120022 kg/cm2</v>
          </cell>
          <cell r="C300" t="str">
            <v>BWSC</v>
          </cell>
          <cell r="D300">
            <v>1200</v>
          </cell>
          <cell r="E300" t="str">
            <v>22 kg/cm2</v>
          </cell>
          <cell r="F300" t="str">
            <v>Rmt</v>
          </cell>
          <cell r="G300">
            <v>17400</v>
          </cell>
          <cell r="H300">
            <v>31159</v>
          </cell>
        </row>
        <row r="301">
          <cell r="B301" t="str">
            <v>BWSC25024 kg/cm2</v>
          </cell>
          <cell r="C301" t="str">
            <v>BWSC</v>
          </cell>
          <cell r="D301">
            <v>250</v>
          </cell>
          <cell r="E301" t="str">
            <v>24 kg/cm2</v>
          </cell>
          <cell r="F301" t="str">
            <v>Rmt</v>
          </cell>
          <cell r="G301">
            <v>1782</v>
          </cell>
          <cell r="H301">
            <v>3039</v>
          </cell>
        </row>
        <row r="302">
          <cell r="B302" t="str">
            <v>BWSC30024 kg/cm2</v>
          </cell>
          <cell r="C302" t="str">
            <v>BWSC</v>
          </cell>
          <cell r="D302">
            <v>300</v>
          </cell>
          <cell r="E302" t="str">
            <v>24 kg/cm2</v>
          </cell>
          <cell r="F302" t="str">
            <v>Rmt</v>
          </cell>
          <cell r="G302">
            <v>2056</v>
          </cell>
          <cell r="H302">
            <v>3507</v>
          </cell>
        </row>
        <row r="303">
          <cell r="B303" t="str">
            <v>BWSC35024 kg/cm2</v>
          </cell>
          <cell r="C303" t="str">
            <v>BWSC</v>
          </cell>
          <cell r="D303">
            <v>350</v>
          </cell>
          <cell r="E303" t="str">
            <v>24 kg/cm2</v>
          </cell>
          <cell r="F303" t="str">
            <v>Rmt</v>
          </cell>
          <cell r="G303">
            <v>2521</v>
          </cell>
          <cell r="H303">
            <v>4300</v>
          </cell>
        </row>
        <row r="304">
          <cell r="B304" t="str">
            <v>BWSC40024 kg/cm2</v>
          </cell>
          <cell r="C304" t="str">
            <v>BWSC</v>
          </cell>
          <cell r="D304">
            <v>400</v>
          </cell>
          <cell r="E304" t="str">
            <v>24 kg/cm2</v>
          </cell>
          <cell r="F304" t="str">
            <v>Rmt</v>
          </cell>
          <cell r="G304">
            <v>2943</v>
          </cell>
          <cell r="H304">
            <v>5019</v>
          </cell>
        </row>
        <row r="305">
          <cell r="B305" t="str">
            <v>BWSC45024 kg/cm2</v>
          </cell>
          <cell r="C305" t="str">
            <v>BWSC</v>
          </cell>
          <cell r="D305">
            <v>450</v>
          </cell>
          <cell r="E305" t="str">
            <v>24 kg/cm2</v>
          </cell>
          <cell r="F305" t="str">
            <v>Rmt</v>
          </cell>
          <cell r="G305">
            <v>3403</v>
          </cell>
          <cell r="H305">
            <v>5804</v>
          </cell>
        </row>
        <row r="306">
          <cell r="B306" t="str">
            <v>BWSC50024 kg/cm2</v>
          </cell>
          <cell r="C306" t="str">
            <v>BWSC</v>
          </cell>
          <cell r="D306">
            <v>500</v>
          </cell>
          <cell r="E306" t="str">
            <v>24 kg/cm2</v>
          </cell>
          <cell r="F306" t="str">
            <v>Rmt</v>
          </cell>
          <cell r="G306">
            <v>4020</v>
          </cell>
          <cell r="H306">
            <v>6856</v>
          </cell>
        </row>
        <row r="307">
          <cell r="B307" t="str">
            <v>BWSC60024 kg/cm2</v>
          </cell>
          <cell r="C307" t="str">
            <v>BWSC</v>
          </cell>
          <cell r="D307">
            <v>600</v>
          </cell>
          <cell r="E307" t="str">
            <v>24 kg/cm2</v>
          </cell>
          <cell r="F307" t="str">
            <v>Rmt</v>
          </cell>
          <cell r="G307">
            <v>5374</v>
          </cell>
          <cell r="H307">
            <v>9165</v>
          </cell>
        </row>
        <row r="308">
          <cell r="B308" t="str">
            <v>BWSC70024 kg/cm2</v>
          </cell>
          <cell r="C308" t="str">
            <v>BWSC</v>
          </cell>
          <cell r="D308">
            <v>700</v>
          </cell>
          <cell r="E308" t="str">
            <v>24 kg/cm2</v>
          </cell>
          <cell r="F308" t="str">
            <v>Rmt</v>
          </cell>
          <cell r="G308">
            <v>6796</v>
          </cell>
          <cell r="H308">
            <v>12170</v>
          </cell>
        </row>
        <row r="309">
          <cell r="B309" t="str">
            <v>BWSC80024 kg/cm2</v>
          </cell>
          <cell r="C309" t="str">
            <v>BWSC</v>
          </cell>
          <cell r="D309">
            <v>800</v>
          </cell>
          <cell r="E309" t="str">
            <v>24 kg/cm2</v>
          </cell>
          <cell r="F309" t="str">
            <v>Rmt</v>
          </cell>
          <cell r="G309">
            <v>8285</v>
          </cell>
          <cell r="H309">
            <v>14837</v>
          </cell>
        </row>
        <row r="310">
          <cell r="B310" t="str">
            <v>BWSC90024 kg/cm2</v>
          </cell>
          <cell r="C310" t="str">
            <v>BWSC</v>
          </cell>
          <cell r="D310">
            <v>900</v>
          </cell>
          <cell r="E310" t="str">
            <v>24 kg/cm2</v>
          </cell>
          <cell r="F310" t="str">
            <v>Rmt</v>
          </cell>
          <cell r="G310">
            <v>10180</v>
          </cell>
          <cell r="H310">
            <v>18230</v>
          </cell>
        </row>
        <row r="311">
          <cell r="B311" t="str">
            <v>BWSC100024 kg/cm2</v>
          </cell>
          <cell r="C311" t="str">
            <v>BWSC</v>
          </cell>
          <cell r="D311">
            <v>1000</v>
          </cell>
          <cell r="E311" t="str">
            <v>24 kg/cm2</v>
          </cell>
          <cell r="F311" t="str">
            <v>Rmt</v>
          </cell>
          <cell r="G311">
            <v>12184</v>
          </cell>
          <cell r="H311">
            <v>21819</v>
          </cell>
        </row>
        <row r="312">
          <cell r="B312" t="str">
            <v>BWSC110024 kg/cm2</v>
          </cell>
          <cell r="C312" t="str">
            <v>BWSC</v>
          </cell>
          <cell r="D312">
            <v>1100</v>
          </cell>
          <cell r="E312" t="str">
            <v>24 kg/cm2</v>
          </cell>
          <cell r="F312" t="str">
            <v>Rmt</v>
          </cell>
          <cell r="G312">
            <v>16060</v>
          </cell>
          <cell r="H312">
            <v>28760</v>
          </cell>
        </row>
        <row r="313">
          <cell r="B313" t="str">
            <v>BWSC120024 kg/cm2</v>
          </cell>
          <cell r="C313" t="str">
            <v>BWSC</v>
          </cell>
          <cell r="D313">
            <v>1200</v>
          </cell>
          <cell r="E313" t="str">
            <v>24 kg/cm2</v>
          </cell>
          <cell r="F313" t="str">
            <v>Rmt</v>
          </cell>
          <cell r="G313">
            <v>18580</v>
          </cell>
          <cell r="H313">
            <v>33273</v>
          </cell>
        </row>
        <row r="314">
          <cell r="B314" t="str">
            <v>BWSC25026 kg/cm2</v>
          </cell>
          <cell r="C314" t="str">
            <v>BWSC</v>
          </cell>
          <cell r="D314">
            <v>250</v>
          </cell>
          <cell r="E314" t="str">
            <v>26 kg/cm2</v>
          </cell>
          <cell r="F314" t="str">
            <v>Rmt</v>
          </cell>
          <cell r="G314">
            <v>1782</v>
          </cell>
          <cell r="H314">
            <v>3039</v>
          </cell>
        </row>
        <row r="315">
          <cell r="B315" t="str">
            <v>BWSC30026 kg/cm2</v>
          </cell>
          <cell r="C315" t="str">
            <v>BWSC</v>
          </cell>
          <cell r="D315">
            <v>300</v>
          </cell>
          <cell r="E315" t="str">
            <v>26 kg/cm2</v>
          </cell>
          <cell r="F315" t="str">
            <v>Rmt</v>
          </cell>
          <cell r="G315">
            <v>2134</v>
          </cell>
          <cell r="H315">
            <v>3640</v>
          </cell>
        </row>
        <row r="316">
          <cell r="B316" t="str">
            <v>BWSC35026 kg/cm2</v>
          </cell>
          <cell r="C316" t="str">
            <v>BWSC</v>
          </cell>
          <cell r="D316">
            <v>350</v>
          </cell>
          <cell r="E316" t="str">
            <v>26 kg/cm2</v>
          </cell>
          <cell r="F316" t="str">
            <v>Rmt</v>
          </cell>
          <cell r="G316">
            <v>2606</v>
          </cell>
          <cell r="H316">
            <v>4445</v>
          </cell>
        </row>
        <row r="317">
          <cell r="B317" t="str">
            <v>BWSC40026 kg/cm2</v>
          </cell>
          <cell r="C317" t="str">
            <v>BWSC</v>
          </cell>
          <cell r="D317">
            <v>400</v>
          </cell>
          <cell r="E317" t="str">
            <v>26 kg/cm2</v>
          </cell>
          <cell r="F317" t="str">
            <v>Rmt</v>
          </cell>
          <cell r="G317">
            <v>3054</v>
          </cell>
          <cell r="H317">
            <v>5209</v>
          </cell>
        </row>
        <row r="318">
          <cell r="B318" t="str">
            <v>BWSC45026 kg/cm2</v>
          </cell>
          <cell r="C318" t="str">
            <v>BWSC</v>
          </cell>
          <cell r="D318">
            <v>450</v>
          </cell>
          <cell r="E318" t="str">
            <v>26 kg/cm2</v>
          </cell>
          <cell r="F318" t="str">
            <v>Rmt</v>
          </cell>
          <cell r="G318">
            <v>3541</v>
          </cell>
          <cell r="H318">
            <v>6039</v>
          </cell>
        </row>
        <row r="319">
          <cell r="B319" t="str">
            <v>BWSC50026 kg/cm2</v>
          </cell>
          <cell r="C319" t="str">
            <v>BWSC</v>
          </cell>
          <cell r="D319">
            <v>500</v>
          </cell>
          <cell r="E319" t="str">
            <v>26 kg/cm2</v>
          </cell>
          <cell r="F319" t="str">
            <v>Rmt</v>
          </cell>
          <cell r="G319">
            <v>4171</v>
          </cell>
          <cell r="H319">
            <v>7114</v>
          </cell>
        </row>
        <row r="320">
          <cell r="B320" t="str">
            <v>BWSC60026 kg/cm2</v>
          </cell>
          <cell r="C320" t="str">
            <v>BWSC</v>
          </cell>
          <cell r="D320">
            <v>600</v>
          </cell>
          <cell r="E320" t="str">
            <v>26 kg/cm2</v>
          </cell>
          <cell r="F320" t="str">
            <v>Rmt</v>
          </cell>
          <cell r="G320">
            <v>5624</v>
          </cell>
          <cell r="H320">
            <v>9592</v>
          </cell>
        </row>
        <row r="321">
          <cell r="B321" t="str">
            <v>BWSC70026 kg/cm2</v>
          </cell>
          <cell r="C321" t="str">
            <v>BWSC</v>
          </cell>
          <cell r="D321">
            <v>700</v>
          </cell>
          <cell r="E321" t="str">
            <v>26 kg/cm2</v>
          </cell>
          <cell r="F321" t="str">
            <v>Rmt</v>
          </cell>
          <cell r="G321">
            <v>7086</v>
          </cell>
          <cell r="H321">
            <v>12689</v>
          </cell>
        </row>
        <row r="322">
          <cell r="B322" t="str">
            <v>BWSC80026 kg/cm2</v>
          </cell>
          <cell r="C322" t="str">
            <v>BWSC</v>
          </cell>
          <cell r="D322">
            <v>800</v>
          </cell>
          <cell r="E322" t="str">
            <v>26 kg/cm2</v>
          </cell>
          <cell r="F322" t="str">
            <v>Rmt</v>
          </cell>
          <cell r="G322">
            <v>8957</v>
          </cell>
          <cell r="H322">
            <v>16040</v>
          </cell>
        </row>
        <row r="323">
          <cell r="B323" t="str">
            <v>BWSC90026 kg/cm2</v>
          </cell>
          <cell r="C323" t="str">
            <v>BWSC</v>
          </cell>
          <cell r="D323">
            <v>900</v>
          </cell>
          <cell r="E323" t="str">
            <v>26 kg/cm2</v>
          </cell>
          <cell r="F323" t="str">
            <v>Rmt</v>
          </cell>
          <cell r="G323">
            <v>10812</v>
          </cell>
          <cell r="H323">
            <v>19362</v>
          </cell>
        </row>
        <row r="324">
          <cell r="B324" t="str">
            <v>BWSC100026 kg/cm2</v>
          </cell>
          <cell r="C324" t="str">
            <v>BWSC</v>
          </cell>
          <cell r="D324">
            <v>1000</v>
          </cell>
          <cell r="E324" t="str">
            <v>26 kg/cm2</v>
          </cell>
          <cell r="F324" t="str">
            <v>Rmt</v>
          </cell>
          <cell r="G324">
            <v>13334</v>
          </cell>
          <cell r="H324">
            <v>23878</v>
          </cell>
        </row>
        <row r="325">
          <cell r="B325" t="str">
            <v>BWSC110026 kg/cm2</v>
          </cell>
          <cell r="C325" t="str">
            <v>BWSC</v>
          </cell>
          <cell r="D325">
            <v>1100</v>
          </cell>
          <cell r="E325" t="str">
            <v>26 kg/cm2</v>
          </cell>
          <cell r="F325" t="str">
            <v>Rmt</v>
          </cell>
          <cell r="G325">
            <v>17260</v>
          </cell>
          <cell r="H325">
            <v>30909</v>
          </cell>
        </row>
        <row r="326">
          <cell r="B326" t="str">
            <v>BWSC120026 kg/cm2</v>
          </cell>
          <cell r="C326" t="str">
            <v>BWSC</v>
          </cell>
          <cell r="D326">
            <v>1200</v>
          </cell>
          <cell r="E326" t="str">
            <v>26 kg/cm2</v>
          </cell>
          <cell r="F326" t="str">
            <v>Rmt</v>
          </cell>
          <cell r="G326">
            <v>19520</v>
          </cell>
          <cell r="H326">
            <v>34956</v>
          </cell>
        </row>
        <row r="327">
          <cell r="B327" t="str">
            <v>BWSC25028 kg/cm2</v>
          </cell>
          <cell r="C327" t="str">
            <v>BWSC</v>
          </cell>
          <cell r="D327">
            <v>250</v>
          </cell>
          <cell r="E327" t="str">
            <v>28 kg/cm2</v>
          </cell>
          <cell r="F327" t="str">
            <v>Rmt</v>
          </cell>
          <cell r="G327">
            <v>1799</v>
          </cell>
          <cell r="H327">
            <v>3068</v>
          </cell>
        </row>
        <row r="328">
          <cell r="B328" t="str">
            <v>BWSC30028 kg/cm2</v>
          </cell>
          <cell r="C328" t="str">
            <v>BWSC</v>
          </cell>
          <cell r="D328">
            <v>300</v>
          </cell>
          <cell r="E328" t="str">
            <v>28 kg/cm2</v>
          </cell>
          <cell r="F328" t="str">
            <v>Rmt</v>
          </cell>
          <cell r="G328">
            <v>2172</v>
          </cell>
          <cell r="H328">
            <v>3704</v>
          </cell>
        </row>
        <row r="329">
          <cell r="B329" t="str">
            <v>BWSC35028 kg/cm2</v>
          </cell>
          <cell r="C329" t="str">
            <v>BWSC</v>
          </cell>
          <cell r="D329">
            <v>350</v>
          </cell>
          <cell r="E329" t="str">
            <v>28 kg/cm2</v>
          </cell>
          <cell r="F329" t="str">
            <v>Rmt</v>
          </cell>
          <cell r="G329">
            <v>2679</v>
          </cell>
          <cell r="H329">
            <v>4569</v>
          </cell>
        </row>
        <row r="330">
          <cell r="B330" t="str">
            <v>BWSC40028 kg/cm2</v>
          </cell>
          <cell r="C330" t="str">
            <v>BWSC</v>
          </cell>
          <cell r="D330">
            <v>400</v>
          </cell>
          <cell r="E330" t="str">
            <v>28 kg/cm2</v>
          </cell>
          <cell r="F330" t="str">
            <v>Rmt</v>
          </cell>
          <cell r="G330">
            <v>3165</v>
          </cell>
          <cell r="H330">
            <v>5398</v>
          </cell>
        </row>
        <row r="331">
          <cell r="B331" t="str">
            <v>BWSC45028 kg/cm2</v>
          </cell>
          <cell r="C331" t="str">
            <v>BWSC</v>
          </cell>
          <cell r="D331">
            <v>450</v>
          </cell>
          <cell r="E331" t="str">
            <v>28 kg/cm2</v>
          </cell>
          <cell r="F331" t="str">
            <v>Rmt</v>
          </cell>
          <cell r="G331">
            <v>3682</v>
          </cell>
          <cell r="H331">
            <v>6280</v>
          </cell>
        </row>
        <row r="332">
          <cell r="B332" t="str">
            <v>BWSC50028 kg/cm2</v>
          </cell>
          <cell r="C332" t="str">
            <v>BWSC</v>
          </cell>
          <cell r="D332">
            <v>500</v>
          </cell>
          <cell r="E332" t="str">
            <v>28 kg/cm2</v>
          </cell>
          <cell r="F332" t="str">
            <v>Rmt</v>
          </cell>
          <cell r="G332">
            <v>4492</v>
          </cell>
          <cell r="H332">
            <v>7661</v>
          </cell>
        </row>
        <row r="333">
          <cell r="B333" t="str">
            <v>BWSC60028 kg/cm2</v>
          </cell>
          <cell r="C333" t="str">
            <v>BWSC</v>
          </cell>
          <cell r="D333">
            <v>600</v>
          </cell>
          <cell r="E333" t="str">
            <v>28 kg/cm2</v>
          </cell>
          <cell r="F333" t="str">
            <v>Rmt</v>
          </cell>
          <cell r="G333">
            <v>5971</v>
          </cell>
          <cell r="H333">
            <v>10184</v>
          </cell>
        </row>
        <row r="334">
          <cell r="B334" t="str">
            <v>BWSC70028 kg/cm2</v>
          </cell>
          <cell r="C334" t="str">
            <v>BWSC</v>
          </cell>
          <cell r="D334">
            <v>700</v>
          </cell>
          <cell r="E334" t="str">
            <v>28 kg/cm2</v>
          </cell>
          <cell r="F334" t="str">
            <v>Rmt</v>
          </cell>
          <cell r="G334">
            <v>7433</v>
          </cell>
          <cell r="H334">
            <v>13311</v>
          </cell>
        </row>
        <row r="335">
          <cell r="B335" t="str">
            <v>BWSC80028 kg/cm2</v>
          </cell>
          <cell r="C335" t="str">
            <v>BWSC</v>
          </cell>
          <cell r="D335">
            <v>800</v>
          </cell>
          <cell r="E335" t="str">
            <v>28 kg/cm2</v>
          </cell>
          <cell r="F335" t="str">
            <v>Rmt</v>
          </cell>
          <cell r="G335">
            <v>9388</v>
          </cell>
          <cell r="H335">
            <v>16812</v>
          </cell>
        </row>
        <row r="336">
          <cell r="B336" t="str">
            <v>BWSC90028 kg/cm2</v>
          </cell>
          <cell r="C336" t="str">
            <v>BWSC</v>
          </cell>
          <cell r="D336">
            <v>900</v>
          </cell>
          <cell r="E336" t="str">
            <v>28 kg/cm2</v>
          </cell>
          <cell r="F336" t="str">
            <v>Rmt</v>
          </cell>
          <cell r="G336">
            <v>11377</v>
          </cell>
          <cell r="H336">
            <v>20374</v>
          </cell>
        </row>
        <row r="337">
          <cell r="B337" t="str">
            <v>BWSC100028 kg/cm2</v>
          </cell>
          <cell r="C337" t="str">
            <v>BWSC</v>
          </cell>
          <cell r="D337">
            <v>1000</v>
          </cell>
          <cell r="E337" t="str">
            <v>28 kg/cm2</v>
          </cell>
          <cell r="F337" t="str">
            <v>Rmt</v>
          </cell>
          <cell r="G337">
            <v>13959</v>
          </cell>
          <cell r="H337">
            <v>24997</v>
          </cell>
        </row>
        <row r="338">
          <cell r="B338" t="str">
            <v>BWSC110028 kg/cm2</v>
          </cell>
          <cell r="C338" t="str">
            <v>BWSC</v>
          </cell>
          <cell r="D338">
            <v>1100</v>
          </cell>
          <cell r="E338" t="str">
            <v>28 kg/cm2</v>
          </cell>
          <cell r="F338" t="str">
            <v>Rmt</v>
          </cell>
          <cell r="G338">
            <v>18430</v>
          </cell>
          <cell r="H338">
            <v>33004</v>
          </cell>
        </row>
        <row r="339">
          <cell r="B339" t="str">
            <v>BWSC120028 kg/cm2</v>
          </cell>
          <cell r="C339" t="str">
            <v>BWSC</v>
          </cell>
          <cell r="D339">
            <v>1200</v>
          </cell>
          <cell r="E339" t="str">
            <v>28 kg/cm2</v>
          </cell>
          <cell r="F339" t="str">
            <v>Rmt</v>
          </cell>
          <cell r="G339">
            <v>21760</v>
          </cell>
          <cell r="H339">
            <v>38967</v>
          </cell>
        </row>
        <row r="340">
          <cell r="B340" t="str">
            <v>BWSC25030 kg/cm2</v>
          </cell>
          <cell r="C340" t="str">
            <v>BWSC</v>
          </cell>
          <cell r="D340">
            <v>250</v>
          </cell>
          <cell r="E340" t="str">
            <v>30 kg/cm2</v>
          </cell>
          <cell r="F340" t="str">
            <v>Rmt</v>
          </cell>
          <cell r="G340">
            <v>1865</v>
          </cell>
          <cell r="H340">
            <v>3181</v>
          </cell>
        </row>
        <row r="341">
          <cell r="B341" t="str">
            <v>BWSC30030 kg/cm2</v>
          </cell>
          <cell r="C341" t="str">
            <v>BWSC</v>
          </cell>
          <cell r="D341">
            <v>300</v>
          </cell>
          <cell r="E341" t="str">
            <v>30 kg/cm2</v>
          </cell>
          <cell r="F341" t="str">
            <v>Rmt</v>
          </cell>
          <cell r="G341">
            <v>2250</v>
          </cell>
          <cell r="H341">
            <v>3837</v>
          </cell>
        </row>
        <row r="342">
          <cell r="B342" t="str">
            <v>BWSC35030 kg/cm2</v>
          </cell>
          <cell r="C342" t="str">
            <v>BWSC</v>
          </cell>
          <cell r="D342">
            <v>350</v>
          </cell>
          <cell r="E342" t="str">
            <v>30 kg/cm2</v>
          </cell>
          <cell r="F342" t="str">
            <v>Rmt</v>
          </cell>
          <cell r="G342">
            <v>2754</v>
          </cell>
          <cell r="H342">
            <v>4697</v>
          </cell>
        </row>
        <row r="343">
          <cell r="B343" t="str">
            <v>BWSC40030 kg/cm2</v>
          </cell>
          <cell r="C343" t="str">
            <v>BWSC</v>
          </cell>
          <cell r="D343">
            <v>400</v>
          </cell>
          <cell r="E343" t="str">
            <v>30 kg/cm2</v>
          </cell>
          <cell r="F343" t="str">
            <v>Rmt</v>
          </cell>
          <cell r="G343">
            <v>3547</v>
          </cell>
          <cell r="H343">
            <v>6049</v>
          </cell>
        </row>
        <row r="344">
          <cell r="B344" t="str">
            <v>BWSC45030 kg/cm2</v>
          </cell>
          <cell r="C344" t="str">
            <v>BWSC</v>
          </cell>
          <cell r="D344">
            <v>450</v>
          </cell>
          <cell r="E344" t="str">
            <v>30 kg/cm2</v>
          </cell>
          <cell r="F344" t="str">
            <v>Rmt</v>
          </cell>
          <cell r="G344">
            <v>3954</v>
          </cell>
          <cell r="H344">
            <v>6744</v>
          </cell>
        </row>
        <row r="345">
          <cell r="B345" t="str">
            <v>BWSC50030 kg/cm2</v>
          </cell>
          <cell r="C345" t="str">
            <v>BWSC</v>
          </cell>
          <cell r="D345">
            <v>500</v>
          </cell>
          <cell r="E345" t="str">
            <v>30 kg/cm2</v>
          </cell>
          <cell r="F345" t="str">
            <v>Rmt</v>
          </cell>
          <cell r="G345">
            <v>4662</v>
          </cell>
          <cell r="H345">
            <v>7951</v>
          </cell>
        </row>
        <row r="346">
          <cell r="B346" t="str">
            <v>BWSC60030 kg/cm2</v>
          </cell>
          <cell r="C346" t="str">
            <v>BWSC</v>
          </cell>
          <cell r="D346">
            <v>600</v>
          </cell>
          <cell r="E346" t="str">
            <v>30 kg/cm2</v>
          </cell>
          <cell r="F346" t="str">
            <v>Rmt</v>
          </cell>
          <cell r="G346">
            <v>6184</v>
          </cell>
          <cell r="H346">
            <v>10547</v>
          </cell>
        </row>
        <row r="347">
          <cell r="B347" t="str">
            <v>BWSC70030 kg/cm2</v>
          </cell>
          <cell r="C347" t="str">
            <v>BWSC</v>
          </cell>
          <cell r="D347">
            <v>700</v>
          </cell>
          <cell r="E347" t="str">
            <v>30 kg/cm2</v>
          </cell>
          <cell r="F347" t="str">
            <v>Rmt</v>
          </cell>
          <cell r="G347">
            <v>7810</v>
          </cell>
          <cell r="H347">
            <v>13986</v>
          </cell>
        </row>
        <row r="348">
          <cell r="B348" t="str">
            <v>BWSC80030 kg/cm2</v>
          </cell>
          <cell r="C348" t="str">
            <v>BWSC</v>
          </cell>
          <cell r="D348">
            <v>800</v>
          </cell>
          <cell r="E348" t="str">
            <v>30 kg/cm2</v>
          </cell>
          <cell r="F348" t="str">
            <v>Rmt</v>
          </cell>
          <cell r="G348">
            <v>9850</v>
          </cell>
          <cell r="H348">
            <v>17639</v>
          </cell>
        </row>
        <row r="349">
          <cell r="B349" t="str">
            <v>BWSC90030 kg/cm2</v>
          </cell>
          <cell r="C349" t="str">
            <v>BWSC</v>
          </cell>
          <cell r="D349">
            <v>900</v>
          </cell>
          <cell r="E349" t="str">
            <v>30 kg/cm2</v>
          </cell>
          <cell r="F349" t="str">
            <v>Rmt</v>
          </cell>
          <cell r="G349">
            <v>12005</v>
          </cell>
          <cell r="H349">
            <v>21498</v>
          </cell>
        </row>
        <row r="350">
          <cell r="B350" t="str">
            <v>BWSC100030 kg/cm2</v>
          </cell>
          <cell r="C350" t="str">
            <v>BWSC</v>
          </cell>
          <cell r="D350">
            <v>1000</v>
          </cell>
          <cell r="E350" t="str">
            <v>30 kg/cm2</v>
          </cell>
          <cell r="F350" t="str">
            <v>Rmt</v>
          </cell>
          <cell r="G350">
            <v>14797</v>
          </cell>
          <cell r="H350">
            <v>26498</v>
          </cell>
        </row>
        <row r="351">
          <cell r="B351" t="str">
            <v>BWSC110030 kg/cm2</v>
          </cell>
          <cell r="C351" t="str">
            <v>BWSC</v>
          </cell>
          <cell r="D351">
            <v>1100</v>
          </cell>
          <cell r="E351" t="str">
            <v>30 kg/cm2</v>
          </cell>
          <cell r="F351" t="str">
            <v>Rmt</v>
          </cell>
          <cell r="G351">
            <v>19840</v>
          </cell>
          <cell r="H351">
            <v>35529</v>
          </cell>
        </row>
        <row r="352">
          <cell r="B352" t="str">
            <v>BWSC120030 kg/cm2</v>
          </cell>
          <cell r="C352" t="str">
            <v>BWSC</v>
          </cell>
          <cell r="D352">
            <v>1200</v>
          </cell>
          <cell r="E352" t="str">
            <v>30 kg/cm2</v>
          </cell>
          <cell r="F352" t="str">
            <v>Rmt</v>
          </cell>
          <cell r="G352">
            <v>23750</v>
          </cell>
          <cell r="H352">
            <v>42531</v>
          </cell>
        </row>
        <row r="353">
          <cell r="B353" t="str">
            <v>AC80CL-10</v>
          </cell>
          <cell r="C353" t="str">
            <v>AC</v>
          </cell>
          <cell r="D353">
            <v>80</v>
          </cell>
          <cell r="E353" t="str">
            <v>CL-10</v>
          </cell>
          <cell r="F353" t="str">
            <v>Rmt</v>
          </cell>
          <cell r="G353">
            <v>101.31</v>
          </cell>
          <cell r="H353">
            <v>123</v>
          </cell>
        </row>
        <row r="354">
          <cell r="B354" t="str">
            <v>AC100CL-10</v>
          </cell>
          <cell r="C354" t="str">
            <v>AC</v>
          </cell>
          <cell r="D354">
            <v>100</v>
          </cell>
          <cell r="E354" t="str">
            <v>CL-10</v>
          </cell>
          <cell r="F354" t="str">
            <v>Rmt</v>
          </cell>
          <cell r="G354">
            <v>127.63</v>
          </cell>
          <cell r="H354">
            <v>161</v>
          </cell>
        </row>
        <row r="355">
          <cell r="B355" t="str">
            <v>AC125CL-10</v>
          </cell>
          <cell r="C355" t="str">
            <v>AC</v>
          </cell>
          <cell r="D355">
            <v>125</v>
          </cell>
          <cell r="E355" t="str">
            <v>CL-10</v>
          </cell>
          <cell r="F355" t="str">
            <v>Rmt</v>
          </cell>
          <cell r="G355">
            <v>160.35</v>
          </cell>
          <cell r="H355">
            <v>211</v>
          </cell>
        </row>
        <row r="356">
          <cell r="B356" t="str">
            <v>AC150CL-10</v>
          </cell>
          <cell r="C356" t="str">
            <v>AC</v>
          </cell>
          <cell r="D356">
            <v>150</v>
          </cell>
          <cell r="E356" t="str">
            <v>CL-10</v>
          </cell>
          <cell r="F356" t="str">
            <v>Rmt</v>
          </cell>
          <cell r="G356">
            <v>198.81</v>
          </cell>
          <cell r="H356">
            <v>299</v>
          </cell>
        </row>
        <row r="357">
          <cell r="B357" t="str">
            <v>AC200CL-10</v>
          </cell>
          <cell r="C357" t="str">
            <v>AC</v>
          </cell>
          <cell r="D357">
            <v>200</v>
          </cell>
          <cell r="E357" t="str">
            <v>CL-10</v>
          </cell>
          <cell r="F357" t="str">
            <v>Rmt</v>
          </cell>
          <cell r="G357">
            <v>312.54000000000002</v>
          </cell>
          <cell r="H357">
            <v>498</v>
          </cell>
        </row>
        <row r="358">
          <cell r="B358" t="str">
            <v>AC250CL-10</v>
          </cell>
          <cell r="C358" t="str">
            <v>AC</v>
          </cell>
          <cell r="D358">
            <v>250</v>
          </cell>
          <cell r="E358" t="str">
            <v>CL-10</v>
          </cell>
          <cell r="F358" t="str">
            <v>Rmt</v>
          </cell>
          <cell r="G358">
            <v>407.45</v>
          </cell>
          <cell r="H358">
            <v>629</v>
          </cell>
        </row>
        <row r="359">
          <cell r="B359" t="str">
            <v>AC300CL-10</v>
          </cell>
          <cell r="C359" t="str">
            <v>AC</v>
          </cell>
          <cell r="D359">
            <v>300</v>
          </cell>
          <cell r="E359" t="str">
            <v>CL-10</v>
          </cell>
          <cell r="F359" t="str">
            <v>Rmt</v>
          </cell>
          <cell r="G359">
            <v>526.9</v>
          </cell>
          <cell r="H359">
            <v>884</v>
          </cell>
        </row>
        <row r="360">
          <cell r="B360" t="str">
            <v>AC350CL-10</v>
          </cell>
          <cell r="C360" t="str">
            <v>AC</v>
          </cell>
          <cell r="D360">
            <v>350</v>
          </cell>
          <cell r="E360" t="str">
            <v>CL-10</v>
          </cell>
          <cell r="F360" t="str">
            <v>Rmt</v>
          </cell>
          <cell r="G360">
            <v>647.99</v>
          </cell>
          <cell r="H360">
            <v>1079</v>
          </cell>
        </row>
        <row r="361">
          <cell r="B361" t="str">
            <v>AC400CL-10</v>
          </cell>
          <cell r="C361" t="str">
            <v>AC</v>
          </cell>
          <cell r="D361">
            <v>400</v>
          </cell>
          <cell r="E361" t="str">
            <v>CL-10</v>
          </cell>
          <cell r="F361" t="str">
            <v>Rmt</v>
          </cell>
          <cell r="G361">
            <v>803.85</v>
          </cell>
          <cell r="H361">
            <v>1405</v>
          </cell>
        </row>
        <row r="362">
          <cell r="B362" t="str">
            <v>AC450CL-10</v>
          </cell>
          <cell r="C362" t="str">
            <v>AC</v>
          </cell>
          <cell r="D362">
            <v>450</v>
          </cell>
          <cell r="E362" t="str">
            <v>CL-10</v>
          </cell>
          <cell r="F362" t="str">
            <v>Rmt</v>
          </cell>
          <cell r="G362">
            <v>969.11</v>
          </cell>
          <cell r="H362">
            <v>1653</v>
          </cell>
        </row>
        <row r="363">
          <cell r="B363" t="str">
            <v>AC500CL-10</v>
          </cell>
          <cell r="C363" t="str">
            <v>AC</v>
          </cell>
          <cell r="D363">
            <v>500</v>
          </cell>
          <cell r="E363" t="str">
            <v>CL-10</v>
          </cell>
          <cell r="F363" t="str">
            <v>Rmt</v>
          </cell>
          <cell r="G363">
            <v>1197.79</v>
          </cell>
          <cell r="H363">
            <v>2051</v>
          </cell>
        </row>
        <row r="364">
          <cell r="B364" t="str">
            <v>AC600CL-10</v>
          </cell>
          <cell r="C364" t="str">
            <v>AC</v>
          </cell>
          <cell r="D364">
            <v>600</v>
          </cell>
          <cell r="E364" t="str">
            <v>CL-10</v>
          </cell>
          <cell r="F364" t="str">
            <v>Rmt</v>
          </cell>
          <cell r="G364">
            <v>1677.24</v>
          </cell>
          <cell r="H364">
            <v>2912</v>
          </cell>
        </row>
        <row r="365">
          <cell r="B365" t="str">
            <v>AC80CL-15</v>
          </cell>
          <cell r="C365" t="str">
            <v>AC</v>
          </cell>
          <cell r="D365">
            <v>80</v>
          </cell>
          <cell r="E365" t="str">
            <v>CL-15</v>
          </cell>
          <cell r="F365" t="str">
            <v>Rmt</v>
          </cell>
          <cell r="G365">
            <v>101.92</v>
          </cell>
          <cell r="H365">
            <v>123</v>
          </cell>
        </row>
        <row r="366">
          <cell r="B366" t="str">
            <v>AC100CL-15</v>
          </cell>
          <cell r="C366" t="str">
            <v>AC</v>
          </cell>
          <cell r="D366">
            <v>100</v>
          </cell>
          <cell r="E366" t="str">
            <v>CL-15</v>
          </cell>
          <cell r="F366" t="str">
            <v>Rmt</v>
          </cell>
          <cell r="G366">
            <v>133.85</v>
          </cell>
          <cell r="H366">
            <v>161</v>
          </cell>
        </row>
        <row r="367">
          <cell r="B367" t="str">
            <v>AC125CL-15</v>
          </cell>
          <cell r="C367" t="str">
            <v>AC</v>
          </cell>
          <cell r="D367">
            <v>125</v>
          </cell>
          <cell r="E367" t="str">
            <v>CL-15</v>
          </cell>
          <cell r="F367" t="str">
            <v>Rmt</v>
          </cell>
          <cell r="G367">
            <v>175.49</v>
          </cell>
          <cell r="H367">
            <v>211</v>
          </cell>
        </row>
        <row r="368">
          <cell r="B368" t="str">
            <v>AC150CL-15</v>
          </cell>
          <cell r="C368" t="str">
            <v>AC</v>
          </cell>
          <cell r="D368">
            <v>150</v>
          </cell>
          <cell r="E368" t="str">
            <v>CL-15</v>
          </cell>
          <cell r="F368" t="str">
            <v>Rmt</v>
          </cell>
          <cell r="G368">
            <v>248.39</v>
          </cell>
          <cell r="H368">
            <v>299</v>
          </cell>
        </row>
        <row r="369">
          <cell r="B369" t="str">
            <v>AC200CL-15</v>
          </cell>
          <cell r="C369" t="str">
            <v>AC</v>
          </cell>
          <cell r="D369">
            <v>200</v>
          </cell>
          <cell r="E369" t="str">
            <v>CL-15</v>
          </cell>
          <cell r="F369" t="str">
            <v>Rmt</v>
          </cell>
          <cell r="G369">
            <v>413.99</v>
          </cell>
          <cell r="H369">
            <v>498</v>
          </cell>
        </row>
        <row r="370">
          <cell r="B370" t="str">
            <v>AC250CL-15</v>
          </cell>
          <cell r="C370" t="str">
            <v>AC</v>
          </cell>
          <cell r="D370">
            <v>250</v>
          </cell>
          <cell r="E370" t="str">
            <v>CL-15</v>
          </cell>
          <cell r="F370" t="str">
            <v>Rmt</v>
          </cell>
          <cell r="G370">
            <v>523.62</v>
          </cell>
          <cell r="H370">
            <v>629</v>
          </cell>
        </row>
        <row r="371">
          <cell r="B371" t="str">
            <v>AC300CL-15</v>
          </cell>
          <cell r="C371" t="str">
            <v>AC</v>
          </cell>
          <cell r="D371">
            <v>300</v>
          </cell>
          <cell r="E371" t="str">
            <v>CL-15</v>
          </cell>
          <cell r="F371" t="str">
            <v>Rmt</v>
          </cell>
          <cell r="G371">
            <v>735.12</v>
          </cell>
          <cell r="H371">
            <v>884</v>
          </cell>
        </row>
        <row r="372">
          <cell r="B372" t="str">
            <v>AC350CL-15</v>
          </cell>
          <cell r="C372" t="str">
            <v>AC</v>
          </cell>
          <cell r="D372">
            <v>350</v>
          </cell>
          <cell r="E372" t="str">
            <v>CL-15</v>
          </cell>
          <cell r="F372" t="str">
            <v>Rmt</v>
          </cell>
          <cell r="G372">
            <v>897.93</v>
          </cell>
          <cell r="H372">
            <v>1079</v>
          </cell>
        </row>
        <row r="373">
          <cell r="B373" t="str">
            <v>AC400CL-15</v>
          </cell>
          <cell r="C373" t="str">
            <v>AC</v>
          </cell>
          <cell r="D373">
            <v>400</v>
          </cell>
          <cell r="E373" t="str">
            <v>CL-15</v>
          </cell>
          <cell r="F373" t="str">
            <v>Rmt</v>
          </cell>
          <cell r="G373">
            <v>1168.75</v>
          </cell>
          <cell r="H373">
            <v>1405</v>
          </cell>
        </row>
        <row r="374">
          <cell r="B374" t="str">
            <v>AC450CL-15</v>
          </cell>
          <cell r="C374" t="str">
            <v>AC</v>
          </cell>
          <cell r="D374">
            <v>450</v>
          </cell>
          <cell r="E374" t="str">
            <v>CL-15</v>
          </cell>
          <cell r="F374" t="str">
            <v>Rmt</v>
          </cell>
          <cell r="G374">
            <v>1374.93</v>
          </cell>
          <cell r="H374">
            <v>1653</v>
          </cell>
        </row>
        <row r="375">
          <cell r="B375" t="str">
            <v>AC500CL-15</v>
          </cell>
          <cell r="C375" t="str">
            <v>AC</v>
          </cell>
          <cell r="D375">
            <v>500</v>
          </cell>
          <cell r="E375" t="str">
            <v>CL-15</v>
          </cell>
          <cell r="F375" t="str">
            <v>Rmt</v>
          </cell>
          <cell r="G375">
            <v>1705.88</v>
          </cell>
          <cell r="H375">
            <v>2051</v>
          </cell>
        </row>
        <row r="376">
          <cell r="B376" t="str">
            <v>AC600CL-15</v>
          </cell>
          <cell r="C376" t="str">
            <v>AC</v>
          </cell>
          <cell r="D376">
            <v>600</v>
          </cell>
          <cell r="E376" t="str">
            <v>CL-15</v>
          </cell>
          <cell r="F376" t="str">
            <v>Rmt</v>
          </cell>
          <cell r="G376">
            <v>2422.1999999999998</v>
          </cell>
          <cell r="H376">
            <v>2912</v>
          </cell>
        </row>
        <row r="377">
          <cell r="B377" t="str">
            <v>AC80CL-20</v>
          </cell>
          <cell r="C377" t="str">
            <v>AC</v>
          </cell>
          <cell r="D377">
            <v>80</v>
          </cell>
          <cell r="E377" t="str">
            <v>CL-20</v>
          </cell>
          <cell r="F377" t="str">
            <v>Rmt</v>
          </cell>
          <cell r="G377">
            <v>110.25</v>
          </cell>
          <cell r="H377">
            <v>133</v>
          </cell>
        </row>
        <row r="378">
          <cell r="B378" t="str">
            <v>AC100CL-20</v>
          </cell>
          <cell r="C378" t="str">
            <v>AC</v>
          </cell>
          <cell r="D378">
            <v>100</v>
          </cell>
          <cell r="E378" t="str">
            <v>CL-20</v>
          </cell>
          <cell r="F378" t="str">
            <v>Rmt</v>
          </cell>
          <cell r="G378">
            <v>169.36</v>
          </cell>
          <cell r="H378">
            <v>204</v>
          </cell>
        </row>
        <row r="379">
          <cell r="B379" t="str">
            <v>AC125CL-20</v>
          </cell>
          <cell r="C379" t="str">
            <v>AC</v>
          </cell>
          <cell r="D379">
            <v>125</v>
          </cell>
          <cell r="E379" t="str">
            <v>CL-20</v>
          </cell>
          <cell r="F379" t="str">
            <v>Rmt</v>
          </cell>
          <cell r="G379">
            <v>218.44</v>
          </cell>
          <cell r="H379">
            <v>263</v>
          </cell>
        </row>
        <row r="380">
          <cell r="B380" t="str">
            <v>AC150CL-20</v>
          </cell>
          <cell r="C380" t="str">
            <v>AC</v>
          </cell>
          <cell r="D380">
            <v>150</v>
          </cell>
          <cell r="E380" t="str">
            <v>CL-20</v>
          </cell>
          <cell r="F380" t="str">
            <v>Rmt</v>
          </cell>
          <cell r="G380">
            <v>309.27</v>
          </cell>
          <cell r="H380">
            <v>372</v>
          </cell>
        </row>
        <row r="381">
          <cell r="B381" t="str">
            <v>AC200CL-20</v>
          </cell>
          <cell r="C381" t="str">
            <v>AC</v>
          </cell>
          <cell r="D381">
            <v>200</v>
          </cell>
          <cell r="E381" t="str">
            <v>CL-20</v>
          </cell>
          <cell r="F381" t="str">
            <v>Rmt</v>
          </cell>
          <cell r="G381">
            <v>525.26</v>
          </cell>
          <cell r="H381">
            <v>631</v>
          </cell>
        </row>
        <row r="382">
          <cell r="B382" t="str">
            <v>AC250CL-20</v>
          </cell>
          <cell r="C382" t="str">
            <v>AC</v>
          </cell>
          <cell r="D382">
            <v>250</v>
          </cell>
          <cell r="E382" t="str">
            <v>CL-20</v>
          </cell>
          <cell r="F382" t="str">
            <v>Rmt</v>
          </cell>
          <cell r="G382">
            <v>673.76</v>
          </cell>
          <cell r="H382">
            <v>810</v>
          </cell>
        </row>
        <row r="383">
          <cell r="B383" t="str">
            <v>AC300CL-20</v>
          </cell>
          <cell r="C383" t="str">
            <v>AC</v>
          </cell>
          <cell r="D383">
            <v>300</v>
          </cell>
          <cell r="E383" t="str">
            <v>CL-20</v>
          </cell>
          <cell r="F383" t="str">
            <v>Rmt</v>
          </cell>
          <cell r="G383">
            <v>950.71</v>
          </cell>
          <cell r="H383">
            <v>1143</v>
          </cell>
        </row>
        <row r="384">
          <cell r="B384" t="str">
            <v>AC350CL-20</v>
          </cell>
          <cell r="C384" t="str">
            <v>AC</v>
          </cell>
          <cell r="D384">
            <v>350</v>
          </cell>
          <cell r="E384" t="str">
            <v>CL-20</v>
          </cell>
          <cell r="F384" t="str">
            <v>Rmt</v>
          </cell>
          <cell r="G384">
            <v>1166.3</v>
          </cell>
          <cell r="H384">
            <v>1402</v>
          </cell>
        </row>
        <row r="385">
          <cell r="B385" t="str">
            <v>AC400CL-20</v>
          </cell>
          <cell r="C385" t="str">
            <v>AC</v>
          </cell>
          <cell r="D385">
            <v>400</v>
          </cell>
          <cell r="E385" t="str">
            <v>CL-20</v>
          </cell>
          <cell r="F385" t="str">
            <v>Rmt</v>
          </cell>
          <cell r="G385">
            <v>1522.61</v>
          </cell>
          <cell r="H385">
            <v>1830</v>
          </cell>
        </row>
        <row r="386">
          <cell r="B386" t="str">
            <v>AC450CL-20</v>
          </cell>
          <cell r="C386" t="str">
            <v>AC</v>
          </cell>
          <cell r="D386">
            <v>450</v>
          </cell>
          <cell r="E386" t="str">
            <v>CL-20</v>
          </cell>
          <cell r="F386" t="str">
            <v>Rmt</v>
          </cell>
          <cell r="G386">
            <v>1820.83</v>
          </cell>
          <cell r="H386">
            <v>2189</v>
          </cell>
        </row>
        <row r="387">
          <cell r="B387" t="str">
            <v>AC500CL-20</v>
          </cell>
          <cell r="C387" t="str">
            <v>AC</v>
          </cell>
          <cell r="D387">
            <v>500</v>
          </cell>
          <cell r="E387" t="str">
            <v>CL-20</v>
          </cell>
          <cell r="F387" t="str">
            <v>Rmt</v>
          </cell>
          <cell r="G387">
            <v>2230.7399999999998</v>
          </cell>
          <cell r="H387">
            <v>2682</v>
          </cell>
        </row>
        <row r="388">
          <cell r="B388" t="str">
            <v>AC600CL-20</v>
          </cell>
          <cell r="C388" t="str">
            <v>AC</v>
          </cell>
          <cell r="D388">
            <v>600</v>
          </cell>
          <cell r="E388" t="str">
            <v>CL-20</v>
          </cell>
          <cell r="F388" t="str">
            <v>Rmt</v>
          </cell>
          <cell r="G388">
            <v>3156.91</v>
          </cell>
          <cell r="H388">
            <v>3795</v>
          </cell>
        </row>
        <row r="389">
          <cell r="B389" t="str">
            <v>AC80CL-25</v>
          </cell>
          <cell r="C389" t="str">
            <v>AC</v>
          </cell>
          <cell r="D389">
            <v>80</v>
          </cell>
          <cell r="E389" t="str">
            <v>CL-25</v>
          </cell>
          <cell r="F389" t="str">
            <v>Rmt</v>
          </cell>
          <cell r="G389">
            <v>138.33000000000001</v>
          </cell>
          <cell r="H389">
            <v>166</v>
          </cell>
        </row>
        <row r="390">
          <cell r="B390" t="str">
            <v>AC100CL-25</v>
          </cell>
          <cell r="C390" t="str">
            <v>AC</v>
          </cell>
          <cell r="D390">
            <v>100</v>
          </cell>
          <cell r="E390" t="str">
            <v>CL-25</v>
          </cell>
          <cell r="F390" t="str">
            <v>Rmt</v>
          </cell>
          <cell r="G390">
            <v>209.86</v>
          </cell>
          <cell r="H390">
            <v>252</v>
          </cell>
        </row>
        <row r="391">
          <cell r="B391" t="str">
            <v>AC125CL-25</v>
          </cell>
          <cell r="C391" t="str">
            <v>AC</v>
          </cell>
          <cell r="D391">
            <v>125</v>
          </cell>
          <cell r="E391" t="str">
            <v>CL-25</v>
          </cell>
          <cell r="F391" t="str">
            <v>Rmt</v>
          </cell>
          <cell r="G391">
            <v>275.31</v>
          </cell>
          <cell r="H391">
            <v>331</v>
          </cell>
        </row>
        <row r="392">
          <cell r="B392" t="str">
            <v>AC150CL-25</v>
          </cell>
          <cell r="C392" t="str">
            <v>AC</v>
          </cell>
          <cell r="D392">
            <v>150</v>
          </cell>
          <cell r="E392" t="str">
            <v>CL-25</v>
          </cell>
          <cell r="F392" t="str">
            <v>Rmt</v>
          </cell>
          <cell r="G392">
            <v>386.99</v>
          </cell>
          <cell r="H392">
            <v>465</v>
          </cell>
        </row>
        <row r="393">
          <cell r="B393" t="str">
            <v>AC200CL-25</v>
          </cell>
          <cell r="C393" t="str">
            <v>AC</v>
          </cell>
          <cell r="D393">
            <v>200</v>
          </cell>
          <cell r="E393" t="str">
            <v>CL-25</v>
          </cell>
          <cell r="F393" t="str">
            <v>Rmt</v>
          </cell>
          <cell r="G393">
            <v>666.8</v>
          </cell>
          <cell r="H393">
            <v>802</v>
          </cell>
        </row>
        <row r="394">
          <cell r="B394" t="str">
            <v>AC250CL-25</v>
          </cell>
          <cell r="C394" t="str">
            <v>AC</v>
          </cell>
          <cell r="D394">
            <v>250</v>
          </cell>
          <cell r="E394" t="str">
            <v>CL-25</v>
          </cell>
          <cell r="F394" t="str">
            <v>Rmt</v>
          </cell>
          <cell r="G394">
            <v>845.16</v>
          </cell>
          <cell r="H394">
            <v>1016</v>
          </cell>
        </row>
        <row r="395">
          <cell r="B395" t="str">
            <v>AC300CL-25</v>
          </cell>
          <cell r="C395" t="str">
            <v>AC</v>
          </cell>
          <cell r="D395">
            <v>300</v>
          </cell>
          <cell r="E395" t="str">
            <v>CL-25</v>
          </cell>
          <cell r="F395" t="str">
            <v>Rmt</v>
          </cell>
          <cell r="G395">
            <v>1211.7</v>
          </cell>
          <cell r="H395">
            <v>1457</v>
          </cell>
        </row>
        <row r="396">
          <cell r="B396" t="str">
            <v>AC350CL-25</v>
          </cell>
          <cell r="C396" t="str">
            <v>AC</v>
          </cell>
          <cell r="D396">
            <v>350</v>
          </cell>
          <cell r="E396" t="str">
            <v>CL-25</v>
          </cell>
          <cell r="F396" t="str">
            <v>Rmt</v>
          </cell>
          <cell r="G396">
            <v>1465.34</v>
          </cell>
          <cell r="H396">
            <v>1761</v>
          </cell>
        </row>
        <row r="397">
          <cell r="B397" t="str">
            <v>AC400CL-25</v>
          </cell>
          <cell r="C397" t="str">
            <v>AC</v>
          </cell>
          <cell r="D397">
            <v>400</v>
          </cell>
          <cell r="E397" t="str">
            <v>CL-25</v>
          </cell>
          <cell r="F397" t="str">
            <v>Rmt</v>
          </cell>
          <cell r="G397">
            <v>1888.33</v>
          </cell>
          <cell r="H397">
            <v>2270</v>
          </cell>
        </row>
        <row r="398">
          <cell r="B398" t="str">
            <v>AC450CL-25</v>
          </cell>
          <cell r="C398" t="str">
            <v>AC</v>
          </cell>
          <cell r="D398">
            <v>450</v>
          </cell>
          <cell r="E398" t="str">
            <v>CL-25</v>
          </cell>
          <cell r="F398" t="str">
            <v>Rmt</v>
          </cell>
          <cell r="G398">
            <v>2281.88</v>
          </cell>
          <cell r="H398">
            <v>2743</v>
          </cell>
        </row>
        <row r="399">
          <cell r="B399" t="str">
            <v>AC500CL-25</v>
          </cell>
          <cell r="C399" t="str">
            <v>AC</v>
          </cell>
          <cell r="D399">
            <v>500</v>
          </cell>
          <cell r="E399" t="str">
            <v>CL-25</v>
          </cell>
          <cell r="F399" t="str">
            <v>Rmt</v>
          </cell>
          <cell r="G399">
            <v>2802.64</v>
          </cell>
          <cell r="H399">
            <v>3369</v>
          </cell>
        </row>
        <row r="400">
          <cell r="B400" t="str">
            <v>AC600CL-25</v>
          </cell>
          <cell r="C400" t="str">
            <v>AC</v>
          </cell>
          <cell r="D400">
            <v>600</v>
          </cell>
          <cell r="E400" t="str">
            <v>CL-25</v>
          </cell>
          <cell r="F400" t="str">
            <v>Rmt</v>
          </cell>
          <cell r="G400">
            <v>4023.76</v>
          </cell>
          <cell r="H400">
            <v>4837</v>
          </cell>
        </row>
        <row r="401">
          <cell r="B401" t="str">
            <v>cement</v>
          </cell>
          <cell r="C401">
            <v>0</v>
          </cell>
          <cell r="D401" t="str">
            <v>cement</v>
          </cell>
          <cell r="E401">
            <v>0</v>
          </cell>
          <cell r="F401" t="str">
            <v>MT</v>
          </cell>
          <cell r="G401">
            <v>4140</v>
          </cell>
          <cell r="H401">
            <v>4400</v>
          </cell>
        </row>
        <row r="402">
          <cell r="B402" t="str">
            <v>Sluice valve50PN-1</v>
          </cell>
          <cell r="C402" t="str">
            <v>Sluice valve</v>
          </cell>
          <cell r="D402">
            <v>50</v>
          </cell>
          <cell r="E402" t="str">
            <v>PN-1</v>
          </cell>
          <cell r="F402" t="str">
            <v>each</v>
          </cell>
          <cell r="G402">
            <v>2800</v>
          </cell>
          <cell r="H402">
            <v>3640</v>
          </cell>
        </row>
        <row r="403">
          <cell r="B403" t="str">
            <v>Sluice valve65PN-1</v>
          </cell>
          <cell r="C403" t="str">
            <v>Sluice valve</v>
          </cell>
          <cell r="D403">
            <v>65</v>
          </cell>
          <cell r="E403" t="str">
            <v>PN-1</v>
          </cell>
          <cell r="F403" t="str">
            <v>each</v>
          </cell>
          <cell r="G403">
            <v>3094</v>
          </cell>
          <cell r="H403">
            <v>4022</v>
          </cell>
        </row>
        <row r="404">
          <cell r="B404" t="str">
            <v>Sluice valve80PN-1</v>
          </cell>
          <cell r="C404" t="str">
            <v>Sluice valve</v>
          </cell>
          <cell r="D404">
            <v>80</v>
          </cell>
          <cell r="E404" t="str">
            <v>PN-1</v>
          </cell>
          <cell r="F404" t="str">
            <v>each</v>
          </cell>
          <cell r="G404">
            <v>3273</v>
          </cell>
          <cell r="H404">
            <v>4255</v>
          </cell>
        </row>
        <row r="405">
          <cell r="B405" t="str">
            <v>Sluice valve100PN-1</v>
          </cell>
          <cell r="C405" t="str">
            <v>Sluice valve</v>
          </cell>
          <cell r="D405">
            <v>100</v>
          </cell>
          <cell r="E405" t="str">
            <v>PN-1</v>
          </cell>
          <cell r="F405" t="str">
            <v>each</v>
          </cell>
          <cell r="G405">
            <v>4364</v>
          </cell>
          <cell r="H405">
            <v>5673</v>
          </cell>
        </row>
        <row r="406">
          <cell r="B406" t="str">
            <v>Sluice valve125PN-1</v>
          </cell>
          <cell r="C406" t="str">
            <v>Sluice valve</v>
          </cell>
          <cell r="D406">
            <v>125</v>
          </cell>
          <cell r="E406" t="str">
            <v>PN-1</v>
          </cell>
          <cell r="F406" t="str">
            <v>each</v>
          </cell>
          <cell r="G406">
            <v>5454</v>
          </cell>
          <cell r="H406">
            <v>7090</v>
          </cell>
        </row>
        <row r="407">
          <cell r="B407" t="str">
            <v>Sluice valve150PN-1</v>
          </cell>
          <cell r="C407" t="str">
            <v>Sluice valve</v>
          </cell>
          <cell r="D407">
            <v>150</v>
          </cell>
          <cell r="E407" t="str">
            <v>PN-1</v>
          </cell>
          <cell r="F407" t="str">
            <v>each</v>
          </cell>
          <cell r="G407">
            <v>6545</v>
          </cell>
          <cell r="H407">
            <v>8509</v>
          </cell>
        </row>
        <row r="408">
          <cell r="B408" t="str">
            <v>Sluice valve200PN-1</v>
          </cell>
          <cell r="C408" t="str">
            <v>Sluice valve</v>
          </cell>
          <cell r="D408">
            <v>200</v>
          </cell>
          <cell r="E408" t="str">
            <v>PN-1</v>
          </cell>
          <cell r="F408" t="str">
            <v>each</v>
          </cell>
          <cell r="G408">
            <v>11472</v>
          </cell>
          <cell r="H408">
            <v>14914</v>
          </cell>
        </row>
        <row r="409">
          <cell r="B409" t="str">
            <v>Sluice valve250PN-1</v>
          </cell>
          <cell r="C409" t="str">
            <v>Sluice valve</v>
          </cell>
          <cell r="D409">
            <v>250</v>
          </cell>
          <cell r="E409" t="str">
            <v>PN-1</v>
          </cell>
          <cell r="F409" t="str">
            <v>each</v>
          </cell>
          <cell r="G409">
            <v>16226</v>
          </cell>
          <cell r="H409">
            <v>21094</v>
          </cell>
        </row>
        <row r="410">
          <cell r="B410" t="str">
            <v>Sluice valve300PN-1</v>
          </cell>
          <cell r="C410" t="str">
            <v>Sluice valve</v>
          </cell>
          <cell r="D410">
            <v>300</v>
          </cell>
          <cell r="E410" t="str">
            <v>PN-1</v>
          </cell>
          <cell r="F410" t="str">
            <v>each</v>
          </cell>
          <cell r="G410">
            <v>22274</v>
          </cell>
          <cell r="H410">
            <v>28956</v>
          </cell>
        </row>
        <row r="411">
          <cell r="B411" t="str">
            <v>Sluice valve50PN-1.6</v>
          </cell>
          <cell r="C411" t="str">
            <v>Sluice valve</v>
          </cell>
          <cell r="D411">
            <v>50</v>
          </cell>
          <cell r="E411" t="str">
            <v>PN-1.6</v>
          </cell>
          <cell r="F411" t="str">
            <v>each</v>
          </cell>
          <cell r="G411">
            <v>3360</v>
          </cell>
          <cell r="H411">
            <v>4368</v>
          </cell>
        </row>
        <row r="412">
          <cell r="B412" t="str">
            <v>Sluice valve65PN-1.6</v>
          </cell>
          <cell r="C412" t="str">
            <v>Sluice valve</v>
          </cell>
          <cell r="D412">
            <v>65</v>
          </cell>
          <cell r="E412" t="str">
            <v>PN-1.6</v>
          </cell>
          <cell r="F412" t="str">
            <v>each</v>
          </cell>
          <cell r="G412">
            <v>3713</v>
          </cell>
          <cell r="H412">
            <v>4827</v>
          </cell>
        </row>
        <row r="413">
          <cell r="B413" t="str">
            <v>Sluice valve80PN-1.6</v>
          </cell>
          <cell r="C413" t="str">
            <v>Sluice valve</v>
          </cell>
          <cell r="D413">
            <v>80</v>
          </cell>
          <cell r="E413" t="str">
            <v>PN-1.6</v>
          </cell>
          <cell r="F413" t="str">
            <v>each</v>
          </cell>
          <cell r="G413">
            <v>3927</v>
          </cell>
          <cell r="H413">
            <v>5105</v>
          </cell>
        </row>
        <row r="414">
          <cell r="B414" t="str">
            <v>Sluice valve100PN-1.6</v>
          </cell>
          <cell r="C414" t="str">
            <v>Sluice valve</v>
          </cell>
          <cell r="D414">
            <v>100</v>
          </cell>
          <cell r="E414" t="str">
            <v>PN-1.6</v>
          </cell>
          <cell r="F414" t="str">
            <v>each</v>
          </cell>
          <cell r="G414">
            <v>5236</v>
          </cell>
          <cell r="H414">
            <v>6807</v>
          </cell>
        </row>
        <row r="415">
          <cell r="B415" t="str">
            <v>Sluice valve125PN-1.6</v>
          </cell>
          <cell r="C415" t="str">
            <v>Sluice valve</v>
          </cell>
          <cell r="D415">
            <v>125</v>
          </cell>
          <cell r="E415" t="str">
            <v>PN-1.6</v>
          </cell>
          <cell r="F415" t="str">
            <v>each</v>
          </cell>
          <cell r="G415">
            <v>6545</v>
          </cell>
          <cell r="H415">
            <v>8509</v>
          </cell>
        </row>
        <row r="416">
          <cell r="B416" t="str">
            <v>Sluice valve150PN-1.6</v>
          </cell>
          <cell r="C416" t="str">
            <v>Sluice valve</v>
          </cell>
          <cell r="D416">
            <v>150</v>
          </cell>
          <cell r="E416" t="str">
            <v>PN-1.6</v>
          </cell>
          <cell r="F416" t="str">
            <v>each</v>
          </cell>
          <cell r="G416">
            <v>7854</v>
          </cell>
          <cell r="H416">
            <v>10210</v>
          </cell>
        </row>
        <row r="417">
          <cell r="B417" t="str">
            <v>Sluice valve200PN-1.6</v>
          </cell>
          <cell r="C417" t="str">
            <v>Sluice valve</v>
          </cell>
          <cell r="D417">
            <v>200</v>
          </cell>
          <cell r="E417" t="str">
            <v>PN-1.6</v>
          </cell>
          <cell r="F417" t="str">
            <v>each</v>
          </cell>
          <cell r="G417">
            <v>13532</v>
          </cell>
          <cell r="H417">
            <v>17592</v>
          </cell>
        </row>
        <row r="418">
          <cell r="B418" t="str">
            <v>Sluice valve250PN-1.6</v>
          </cell>
          <cell r="C418" t="str">
            <v>Sluice valve</v>
          </cell>
          <cell r="D418">
            <v>250</v>
          </cell>
          <cell r="E418" t="str">
            <v>PN-1.6</v>
          </cell>
          <cell r="F418" t="str">
            <v>each</v>
          </cell>
          <cell r="G418">
            <v>19496</v>
          </cell>
          <cell r="H418">
            <v>25345</v>
          </cell>
        </row>
        <row r="419">
          <cell r="B419" t="str">
            <v>Sluice valve300PN-1.6</v>
          </cell>
          <cell r="C419" t="str">
            <v>Sluice valve</v>
          </cell>
          <cell r="D419">
            <v>300</v>
          </cell>
          <cell r="E419" t="str">
            <v>PN-1.6</v>
          </cell>
          <cell r="F419" t="str">
            <v>each</v>
          </cell>
          <cell r="G419">
            <v>25721</v>
          </cell>
          <cell r="H419">
            <v>33437</v>
          </cell>
        </row>
        <row r="420">
          <cell r="B420" t="str">
            <v>Sluice valve NR stem350PN-1</v>
          </cell>
          <cell r="C420" t="str">
            <v>Sluice valve NR stem</v>
          </cell>
          <cell r="D420">
            <v>350</v>
          </cell>
          <cell r="E420" t="str">
            <v>PN-1</v>
          </cell>
          <cell r="F420" t="str">
            <v>each</v>
          </cell>
          <cell r="G420">
            <v>50087</v>
          </cell>
          <cell r="H420">
            <v>65113</v>
          </cell>
        </row>
        <row r="421">
          <cell r="B421" t="str">
            <v>Sluice valve NR stem400PN-1</v>
          </cell>
          <cell r="C421" t="str">
            <v>Sluice valve NR stem</v>
          </cell>
          <cell r="D421">
            <v>400</v>
          </cell>
          <cell r="E421" t="str">
            <v>PN-1</v>
          </cell>
          <cell r="F421" t="str">
            <v>each</v>
          </cell>
          <cell r="G421">
            <v>59372</v>
          </cell>
          <cell r="H421">
            <v>77184</v>
          </cell>
        </row>
        <row r="422">
          <cell r="B422" t="str">
            <v>Sluice valve NR stem450PN-1</v>
          </cell>
          <cell r="C422" t="str">
            <v>Sluice valve NR stem</v>
          </cell>
          <cell r="D422">
            <v>450</v>
          </cell>
          <cell r="E422" t="str">
            <v>PN-1</v>
          </cell>
          <cell r="F422" t="str">
            <v>each</v>
          </cell>
          <cell r="G422">
            <v>74549</v>
          </cell>
          <cell r="H422">
            <v>96914</v>
          </cell>
        </row>
        <row r="423">
          <cell r="B423" t="str">
            <v>Sluice valve NR stem500PN-1</v>
          </cell>
          <cell r="C423" t="str">
            <v>Sluice valve NR stem</v>
          </cell>
          <cell r="D423">
            <v>500</v>
          </cell>
          <cell r="E423" t="str">
            <v>PN-1</v>
          </cell>
          <cell r="F423" t="str">
            <v>each</v>
          </cell>
          <cell r="G423">
            <v>85525</v>
          </cell>
          <cell r="H423">
            <v>111183</v>
          </cell>
        </row>
        <row r="424">
          <cell r="B424" t="str">
            <v>Sluice valve NR stem600PN-1</v>
          </cell>
          <cell r="C424" t="str">
            <v>Sluice valve NR stem</v>
          </cell>
          <cell r="D424">
            <v>600</v>
          </cell>
          <cell r="E424" t="str">
            <v>PN-1</v>
          </cell>
          <cell r="F424" t="str">
            <v>each</v>
          </cell>
          <cell r="G424">
            <v>125270</v>
          </cell>
          <cell r="H424">
            <v>162851</v>
          </cell>
        </row>
        <row r="425">
          <cell r="B425" t="str">
            <v>Sluice valve NR stem700PN-1</v>
          </cell>
          <cell r="C425" t="str">
            <v>Sluice valve NR stem</v>
          </cell>
          <cell r="D425">
            <v>700</v>
          </cell>
          <cell r="E425" t="str">
            <v>PN-1</v>
          </cell>
          <cell r="F425" t="str">
            <v>each</v>
          </cell>
          <cell r="G425">
            <v>207460</v>
          </cell>
          <cell r="H425">
            <v>269698</v>
          </cell>
        </row>
        <row r="426">
          <cell r="B426" t="str">
            <v>Sluice valve NR stem750PN-1</v>
          </cell>
          <cell r="C426" t="str">
            <v>Sluice valve NR stem</v>
          </cell>
          <cell r="D426">
            <v>750</v>
          </cell>
          <cell r="E426" t="str">
            <v>PN-1</v>
          </cell>
          <cell r="F426" t="str">
            <v>each</v>
          </cell>
          <cell r="G426">
            <v>291499</v>
          </cell>
          <cell r="H426">
            <v>378949</v>
          </cell>
        </row>
        <row r="427">
          <cell r="B427" t="str">
            <v>Sluice valve NR stem800PN-1</v>
          </cell>
          <cell r="C427" t="str">
            <v>Sluice valve NR stem</v>
          </cell>
          <cell r="D427">
            <v>800</v>
          </cell>
          <cell r="E427" t="str">
            <v>PN-1</v>
          </cell>
          <cell r="F427" t="str">
            <v>each</v>
          </cell>
          <cell r="G427">
            <v>339900</v>
          </cell>
          <cell r="H427">
            <v>441870</v>
          </cell>
        </row>
        <row r="428">
          <cell r="B428" t="str">
            <v>Sluice valve NR stem900PN-1</v>
          </cell>
          <cell r="C428" t="str">
            <v>Sluice valve NR stem</v>
          </cell>
          <cell r="D428">
            <v>900</v>
          </cell>
          <cell r="E428" t="str">
            <v>PN-1</v>
          </cell>
          <cell r="F428" t="str">
            <v>each</v>
          </cell>
          <cell r="G428">
            <v>403852</v>
          </cell>
          <cell r="H428">
            <v>525008</v>
          </cell>
        </row>
        <row r="429">
          <cell r="B429" t="str">
            <v>Sluice valve NR stem1000PN-1</v>
          </cell>
          <cell r="C429" t="str">
            <v>Sluice valve NR stem</v>
          </cell>
          <cell r="D429">
            <v>1000</v>
          </cell>
          <cell r="E429" t="str">
            <v>PN-1</v>
          </cell>
          <cell r="F429" t="str">
            <v>each</v>
          </cell>
          <cell r="G429">
            <v>624000</v>
          </cell>
          <cell r="H429">
            <v>811200</v>
          </cell>
        </row>
        <row r="430">
          <cell r="B430" t="str">
            <v>Sluice valve NR stem1100PN-1</v>
          </cell>
          <cell r="C430" t="str">
            <v>Sluice valve NR stem</v>
          </cell>
          <cell r="D430">
            <v>1100</v>
          </cell>
          <cell r="E430" t="str">
            <v>PN-1</v>
          </cell>
          <cell r="F430" t="str">
            <v>each</v>
          </cell>
          <cell r="G430">
            <v>705000</v>
          </cell>
          <cell r="H430">
            <v>916500</v>
          </cell>
        </row>
        <row r="431">
          <cell r="B431" t="str">
            <v>Sluice valve NR stem1200PN-1</v>
          </cell>
          <cell r="C431" t="str">
            <v>Sluice valve NR stem</v>
          </cell>
          <cell r="D431">
            <v>1200</v>
          </cell>
          <cell r="E431" t="str">
            <v>PN-1</v>
          </cell>
          <cell r="F431" t="str">
            <v>each</v>
          </cell>
          <cell r="G431">
            <v>840000</v>
          </cell>
          <cell r="H431">
            <v>1092000</v>
          </cell>
        </row>
        <row r="432">
          <cell r="B432" t="str">
            <v>Sluice valve NR stem350PN-1.6</v>
          </cell>
          <cell r="C432" t="str">
            <v>Sluice valve NR stem</v>
          </cell>
          <cell r="D432">
            <v>350</v>
          </cell>
          <cell r="E432" t="str">
            <v>PN-1.6</v>
          </cell>
          <cell r="F432" t="str">
            <v>each</v>
          </cell>
          <cell r="G432">
            <v>55099</v>
          </cell>
          <cell r="H432">
            <v>71629</v>
          </cell>
        </row>
        <row r="433">
          <cell r="B433" t="str">
            <v>Sluice valve NR stem400PN-1.6</v>
          </cell>
          <cell r="C433" t="str">
            <v>Sluice valve NR stem</v>
          </cell>
          <cell r="D433">
            <v>400</v>
          </cell>
          <cell r="E433" t="str">
            <v>PN-1.6</v>
          </cell>
          <cell r="F433" t="str">
            <v>each</v>
          </cell>
          <cell r="G433">
            <v>68883</v>
          </cell>
          <cell r="H433">
            <v>89548</v>
          </cell>
        </row>
        <row r="434">
          <cell r="B434" t="str">
            <v>Sluice valve NR stem450PN-1.6</v>
          </cell>
          <cell r="C434" t="str">
            <v>Sluice valve NR stem</v>
          </cell>
          <cell r="D434">
            <v>450</v>
          </cell>
          <cell r="E434" t="str">
            <v>PN-1.6</v>
          </cell>
          <cell r="F434" t="str">
            <v>each</v>
          </cell>
          <cell r="G434">
            <v>86470</v>
          </cell>
          <cell r="H434">
            <v>112411</v>
          </cell>
        </row>
        <row r="435">
          <cell r="B435" t="str">
            <v>Sluice valve NR stem500PN-1.6</v>
          </cell>
          <cell r="C435" t="str">
            <v>Sluice valve NR stem</v>
          </cell>
          <cell r="D435">
            <v>500</v>
          </cell>
          <cell r="E435" t="str">
            <v>PN-1.6</v>
          </cell>
          <cell r="F435" t="str">
            <v>each</v>
          </cell>
          <cell r="G435">
            <v>99360</v>
          </cell>
          <cell r="H435">
            <v>129168</v>
          </cell>
        </row>
        <row r="436">
          <cell r="B436" t="str">
            <v>Sluice valve NR stem600PN-1.6</v>
          </cell>
          <cell r="C436" t="str">
            <v>Sluice valve NR stem</v>
          </cell>
          <cell r="D436">
            <v>600</v>
          </cell>
          <cell r="E436" t="str">
            <v>PN-1.6</v>
          </cell>
          <cell r="F436" t="str">
            <v>each</v>
          </cell>
          <cell r="G436">
            <v>147322</v>
          </cell>
          <cell r="H436">
            <v>191519</v>
          </cell>
        </row>
        <row r="437">
          <cell r="B437" t="str">
            <v>Non return valve50PN-1.6</v>
          </cell>
          <cell r="C437" t="str">
            <v>Non return valve</v>
          </cell>
          <cell r="D437">
            <v>50</v>
          </cell>
          <cell r="E437" t="str">
            <v>PN-1.6</v>
          </cell>
          <cell r="F437" t="str">
            <v>each</v>
          </cell>
          <cell r="G437">
            <v>1720</v>
          </cell>
          <cell r="H437">
            <v>2236</v>
          </cell>
        </row>
        <row r="438">
          <cell r="B438" t="str">
            <v>Non return valve65PN-1.6</v>
          </cell>
          <cell r="C438" t="str">
            <v>Non return valve</v>
          </cell>
          <cell r="D438">
            <v>65</v>
          </cell>
          <cell r="E438" t="str">
            <v>PN-1.6</v>
          </cell>
          <cell r="F438" t="str">
            <v>each</v>
          </cell>
          <cell r="G438">
            <v>2150</v>
          </cell>
          <cell r="H438">
            <v>2795</v>
          </cell>
        </row>
        <row r="439">
          <cell r="B439" t="str">
            <v>Non return valve80PN-1.6</v>
          </cell>
          <cell r="C439" t="str">
            <v>Non return valve</v>
          </cell>
          <cell r="D439">
            <v>80</v>
          </cell>
          <cell r="E439" t="str">
            <v>PN-1.6</v>
          </cell>
          <cell r="F439" t="str">
            <v>each</v>
          </cell>
          <cell r="G439">
            <v>2581</v>
          </cell>
          <cell r="H439">
            <v>3355</v>
          </cell>
        </row>
        <row r="440">
          <cell r="B440" t="str">
            <v>Non return valve100PN-1.6</v>
          </cell>
          <cell r="C440" t="str">
            <v>Non return valve</v>
          </cell>
          <cell r="D440">
            <v>100</v>
          </cell>
          <cell r="E440" t="str">
            <v>PN-1.6</v>
          </cell>
          <cell r="F440" t="str">
            <v>each</v>
          </cell>
          <cell r="G440">
            <v>3440</v>
          </cell>
          <cell r="H440">
            <v>4472</v>
          </cell>
        </row>
        <row r="441">
          <cell r="B441" t="str">
            <v>Non return valve125PN-1.6</v>
          </cell>
          <cell r="C441" t="str">
            <v>Non return valve</v>
          </cell>
          <cell r="D441">
            <v>125</v>
          </cell>
          <cell r="E441" t="str">
            <v>PN-1.6</v>
          </cell>
          <cell r="F441" t="str">
            <v>each</v>
          </cell>
          <cell r="G441">
            <v>4300</v>
          </cell>
          <cell r="H441">
            <v>5590</v>
          </cell>
        </row>
        <row r="442">
          <cell r="B442" t="str">
            <v>Non return valve150PN-1.6</v>
          </cell>
          <cell r="C442" t="str">
            <v>Non return valve</v>
          </cell>
          <cell r="D442">
            <v>150</v>
          </cell>
          <cell r="E442" t="str">
            <v>PN-1.6</v>
          </cell>
          <cell r="F442" t="str">
            <v>each</v>
          </cell>
          <cell r="G442">
            <v>6449</v>
          </cell>
          <cell r="H442">
            <v>8384</v>
          </cell>
        </row>
        <row r="443">
          <cell r="B443" t="str">
            <v>Non return valve200PN-1.6</v>
          </cell>
          <cell r="C443" t="str">
            <v>Non return valve</v>
          </cell>
          <cell r="D443">
            <v>200</v>
          </cell>
          <cell r="E443" t="str">
            <v>PN-1.6</v>
          </cell>
          <cell r="F443" t="str">
            <v>each</v>
          </cell>
          <cell r="G443">
            <v>12865</v>
          </cell>
          <cell r="H443">
            <v>16725</v>
          </cell>
        </row>
        <row r="444">
          <cell r="B444" t="str">
            <v>Non return valve250PN-1.6</v>
          </cell>
          <cell r="C444" t="str">
            <v>Non return valve</v>
          </cell>
          <cell r="D444">
            <v>250</v>
          </cell>
          <cell r="E444" t="str">
            <v>PN-1.6</v>
          </cell>
          <cell r="F444" t="str">
            <v>each</v>
          </cell>
          <cell r="G444">
            <v>18660</v>
          </cell>
          <cell r="H444">
            <v>24258</v>
          </cell>
        </row>
        <row r="445">
          <cell r="B445" t="str">
            <v>Non return valve300PN-1.6</v>
          </cell>
          <cell r="C445" t="str">
            <v>Non return valve</v>
          </cell>
          <cell r="D445">
            <v>300</v>
          </cell>
          <cell r="E445" t="str">
            <v>PN-1.6</v>
          </cell>
          <cell r="F445" t="str">
            <v>each</v>
          </cell>
          <cell r="G445">
            <v>28071</v>
          </cell>
          <cell r="H445">
            <v>36492</v>
          </cell>
        </row>
        <row r="446">
          <cell r="B446" t="str">
            <v>Non return valve350PN-1.6</v>
          </cell>
          <cell r="C446" t="str">
            <v>Non return valve</v>
          </cell>
          <cell r="D446">
            <v>350</v>
          </cell>
          <cell r="E446" t="str">
            <v>PN-1.6</v>
          </cell>
          <cell r="F446" t="str">
            <v>each</v>
          </cell>
          <cell r="G446">
            <v>37928</v>
          </cell>
          <cell r="H446">
            <v>49306</v>
          </cell>
        </row>
        <row r="447">
          <cell r="B447" t="str">
            <v>Non return valve400PN-1.6</v>
          </cell>
          <cell r="C447" t="str">
            <v>Non return valve</v>
          </cell>
          <cell r="D447">
            <v>400</v>
          </cell>
          <cell r="E447" t="str">
            <v>PN-1.6</v>
          </cell>
          <cell r="F447" t="str">
            <v>each</v>
          </cell>
          <cell r="G447">
            <v>49345</v>
          </cell>
          <cell r="H447">
            <v>64149</v>
          </cell>
        </row>
        <row r="448">
          <cell r="B448" t="str">
            <v>Non return valve450PN-1.6</v>
          </cell>
          <cell r="C448" t="str">
            <v>Non return valve</v>
          </cell>
          <cell r="D448">
            <v>450</v>
          </cell>
          <cell r="E448" t="str">
            <v>PN-1.6</v>
          </cell>
          <cell r="F448" t="str">
            <v>each</v>
          </cell>
          <cell r="G448">
            <v>83129</v>
          </cell>
          <cell r="H448">
            <v>108068</v>
          </cell>
        </row>
        <row r="449">
          <cell r="B449" t="str">
            <v>Non return valve500PN-1.6</v>
          </cell>
          <cell r="C449" t="str">
            <v>Non return valve</v>
          </cell>
          <cell r="D449">
            <v>500</v>
          </cell>
          <cell r="E449" t="str">
            <v>PN-1.6</v>
          </cell>
          <cell r="F449" t="str">
            <v>each</v>
          </cell>
          <cell r="G449">
            <v>100273</v>
          </cell>
          <cell r="H449">
            <v>130355</v>
          </cell>
        </row>
        <row r="450">
          <cell r="B450" t="str">
            <v>Non return valve600PN-1.6</v>
          </cell>
          <cell r="C450" t="str">
            <v>Non return valve</v>
          </cell>
          <cell r="D450">
            <v>600</v>
          </cell>
          <cell r="E450" t="str">
            <v>PN-1.6</v>
          </cell>
          <cell r="F450" t="str">
            <v>each</v>
          </cell>
          <cell r="G450">
            <v>160196</v>
          </cell>
          <cell r="H450">
            <v>208255</v>
          </cell>
        </row>
        <row r="451">
          <cell r="B451" t="str">
            <v>Kinetic Double Air valve40PN-1</v>
          </cell>
          <cell r="C451" t="str">
            <v>Kinetic Double Air valve</v>
          </cell>
          <cell r="D451">
            <v>40</v>
          </cell>
          <cell r="E451" t="str">
            <v>PN-1</v>
          </cell>
          <cell r="F451" t="str">
            <v>each</v>
          </cell>
          <cell r="G451">
            <v>2029</v>
          </cell>
          <cell r="H451">
            <v>2638</v>
          </cell>
        </row>
        <row r="452">
          <cell r="B452" t="str">
            <v>Kinetic Double Air valve50PN-1</v>
          </cell>
          <cell r="C452" t="str">
            <v>Kinetic Double Air valve</v>
          </cell>
          <cell r="D452">
            <v>50</v>
          </cell>
          <cell r="E452" t="str">
            <v>PN-1</v>
          </cell>
          <cell r="F452" t="str">
            <v>each</v>
          </cell>
          <cell r="G452">
            <v>2452</v>
          </cell>
          <cell r="H452">
            <v>3188</v>
          </cell>
        </row>
        <row r="453">
          <cell r="B453" t="str">
            <v>Kinetic Double Air valve80PN-1</v>
          </cell>
          <cell r="C453" t="str">
            <v>Kinetic Double Air valve</v>
          </cell>
          <cell r="D453">
            <v>80</v>
          </cell>
          <cell r="E453" t="str">
            <v>PN-1</v>
          </cell>
          <cell r="F453" t="str">
            <v>each</v>
          </cell>
          <cell r="G453">
            <v>3280</v>
          </cell>
          <cell r="H453">
            <v>4264</v>
          </cell>
        </row>
        <row r="454">
          <cell r="B454" t="str">
            <v>Kinetic Double Air valve100PN-1</v>
          </cell>
          <cell r="C454" t="str">
            <v>Kinetic Double Air valve</v>
          </cell>
          <cell r="D454">
            <v>100</v>
          </cell>
          <cell r="E454" t="str">
            <v>PN-1</v>
          </cell>
          <cell r="F454" t="str">
            <v>each</v>
          </cell>
          <cell r="G454">
            <v>4395</v>
          </cell>
          <cell r="H454">
            <v>5714</v>
          </cell>
        </row>
        <row r="455">
          <cell r="B455" t="str">
            <v>Kinetic Double Air valve150PN-1</v>
          </cell>
          <cell r="C455" t="str">
            <v>Kinetic Double Air valve</v>
          </cell>
          <cell r="D455">
            <v>150</v>
          </cell>
          <cell r="E455" t="str">
            <v>PN-1</v>
          </cell>
          <cell r="F455" t="str">
            <v>each</v>
          </cell>
          <cell r="G455">
            <v>9902</v>
          </cell>
          <cell r="H455">
            <v>12873</v>
          </cell>
        </row>
        <row r="456">
          <cell r="B456" t="str">
            <v>Kinetic Double Air valve200PN-1</v>
          </cell>
          <cell r="C456" t="str">
            <v>Kinetic Double Air valve</v>
          </cell>
          <cell r="D456">
            <v>200</v>
          </cell>
          <cell r="E456" t="str">
            <v>PN-1</v>
          </cell>
          <cell r="F456" t="str">
            <v>each</v>
          </cell>
          <cell r="G456">
            <v>16398</v>
          </cell>
          <cell r="H456">
            <v>21317</v>
          </cell>
        </row>
        <row r="457">
          <cell r="B457" t="str">
            <v>Double Air valve40PN-1</v>
          </cell>
          <cell r="C457" t="str">
            <v>Double Air valve</v>
          </cell>
          <cell r="D457">
            <v>40</v>
          </cell>
          <cell r="E457" t="str">
            <v>PN-1</v>
          </cell>
          <cell r="F457" t="str">
            <v>each</v>
          </cell>
          <cell r="G457">
            <v>1259</v>
          </cell>
          <cell r="H457">
            <v>1637</v>
          </cell>
        </row>
        <row r="458">
          <cell r="B458" t="str">
            <v>Double Air valve50PN-1</v>
          </cell>
          <cell r="C458" t="str">
            <v>Double Air valve</v>
          </cell>
          <cell r="D458">
            <v>50</v>
          </cell>
          <cell r="E458" t="str">
            <v>PN-1</v>
          </cell>
          <cell r="F458" t="str">
            <v>each</v>
          </cell>
          <cell r="G458">
            <v>1739</v>
          </cell>
          <cell r="H458">
            <v>2261</v>
          </cell>
        </row>
        <row r="459">
          <cell r="B459" t="str">
            <v>Double Air valve80PN-1</v>
          </cell>
          <cell r="C459" t="str">
            <v>Double Air valve</v>
          </cell>
          <cell r="D459">
            <v>80</v>
          </cell>
          <cell r="E459" t="str">
            <v>PN-1</v>
          </cell>
          <cell r="F459" t="str">
            <v>each</v>
          </cell>
          <cell r="G459">
            <v>2409</v>
          </cell>
          <cell r="H459">
            <v>3132</v>
          </cell>
        </row>
        <row r="460">
          <cell r="B460" t="str">
            <v>Double Air valve100PN-1</v>
          </cell>
          <cell r="C460" t="str">
            <v>Double Air valve</v>
          </cell>
          <cell r="D460">
            <v>100</v>
          </cell>
          <cell r="E460" t="str">
            <v>PN-1</v>
          </cell>
          <cell r="F460" t="str">
            <v>each</v>
          </cell>
          <cell r="G460">
            <v>2989</v>
          </cell>
          <cell r="H460">
            <v>3886</v>
          </cell>
        </row>
        <row r="461">
          <cell r="B461" t="str">
            <v>Double Air valve150PN-1</v>
          </cell>
          <cell r="C461" t="str">
            <v>Double Air valve</v>
          </cell>
          <cell r="D461">
            <v>150</v>
          </cell>
          <cell r="E461" t="str">
            <v>PN-1</v>
          </cell>
          <cell r="F461" t="str">
            <v>each</v>
          </cell>
          <cell r="G461">
            <v>7789</v>
          </cell>
          <cell r="H461">
            <v>10126</v>
          </cell>
        </row>
        <row r="462">
          <cell r="B462" t="str">
            <v>Double Air valve200PN-1</v>
          </cell>
          <cell r="C462" t="str">
            <v>Double Air valve</v>
          </cell>
          <cell r="D462">
            <v>200</v>
          </cell>
          <cell r="E462" t="str">
            <v>PN-1</v>
          </cell>
          <cell r="F462" t="str">
            <v>each</v>
          </cell>
          <cell r="G462">
            <v>13585</v>
          </cell>
          <cell r="H462">
            <v>17661</v>
          </cell>
        </row>
        <row r="463">
          <cell r="B463" t="str">
            <v>Kinetic Air valve40PN-1</v>
          </cell>
          <cell r="C463" t="str">
            <v>Kinetic Air valve</v>
          </cell>
          <cell r="D463">
            <v>40</v>
          </cell>
          <cell r="E463" t="str">
            <v>PN-1</v>
          </cell>
          <cell r="F463" t="str">
            <v>each</v>
          </cell>
          <cell r="G463">
            <v>5774</v>
          </cell>
          <cell r="H463">
            <v>7506</v>
          </cell>
        </row>
        <row r="464">
          <cell r="B464" t="str">
            <v>Kinetic Air valve50PN-1</v>
          </cell>
          <cell r="C464" t="str">
            <v>Kinetic Air valve</v>
          </cell>
          <cell r="D464">
            <v>50</v>
          </cell>
          <cell r="E464" t="str">
            <v>PN-1</v>
          </cell>
          <cell r="F464" t="str">
            <v>each</v>
          </cell>
          <cell r="G464">
            <v>6738</v>
          </cell>
          <cell r="H464">
            <v>8759</v>
          </cell>
        </row>
        <row r="465">
          <cell r="B465" t="str">
            <v>Kinetic Air valve80PN-1</v>
          </cell>
          <cell r="C465" t="str">
            <v>Kinetic Air valve</v>
          </cell>
          <cell r="D465">
            <v>80</v>
          </cell>
          <cell r="E465" t="str">
            <v>PN-1</v>
          </cell>
          <cell r="F465" t="str">
            <v>each</v>
          </cell>
          <cell r="G465">
            <v>8876</v>
          </cell>
          <cell r="H465">
            <v>11539</v>
          </cell>
        </row>
        <row r="466">
          <cell r="B466" t="str">
            <v>Kinetic Air valve100PN-1</v>
          </cell>
          <cell r="C466" t="str">
            <v>Kinetic Air valve</v>
          </cell>
          <cell r="D466">
            <v>100</v>
          </cell>
          <cell r="E466" t="str">
            <v>PN-1</v>
          </cell>
          <cell r="F466" t="str">
            <v>each</v>
          </cell>
          <cell r="G466">
            <v>12226</v>
          </cell>
          <cell r="H466">
            <v>15894</v>
          </cell>
        </row>
        <row r="467">
          <cell r="B467" t="str">
            <v>Kinetic Air valve150PN-1</v>
          </cell>
          <cell r="C467" t="str">
            <v>Kinetic Air valve</v>
          </cell>
          <cell r="D467">
            <v>150</v>
          </cell>
          <cell r="E467" t="str">
            <v>PN-1</v>
          </cell>
          <cell r="F467" t="str">
            <v>each</v>
          </cell>
          <cell r="G467">
            <v>24090</v>
          </cell>
          <cell r="H467">
            <v>31317</v>
          </cell>
        </row>
        <row r="468">
          <cell r="B468" t="str">
            <v>Kinetic Air valve200PN-1</v>
          </cell>
          <cell r="C468" t="str">
            <v>Kinetic Air valve</v>
          </cell>
          <cell r="D468">
            <v>200</v>
          </cell>
          <cell r="E468" t="str">
            <v>PN-1</v>
          </cell>
          <cell r="F468" t="str">
            <v>each</v>
          </cell>
          <cell r="G468">
            <v>35924</v>
          </cell>
          <cell r="H468">
            <v>46701</v>
          </cell>
        </row>
        <row r="469">
          <cell r="B469" t="str">
            <v>Kinetic Air valve40PN-1.6</v>
          </cell>
          <cell r="C469" t="str">
            <v>Kinetic Air valve</v>
          </cell>
          <cell r="D469">
            <v>40</v>
          </cell>
          <cell r="E469" t="str">
            <v>PN-1.6</v>
          </cell>
          <cell r="F469" t="str">
            <v>each</v>
          </cell>
          <cell r="G469">
            <v>6641</v>
          </cell>
          <cell r="H469">
            <v>8633</v>
          </cell>
        </row>
        <row r="470">
          <cell r="B470" t="str">
            <v>Kinetic Air valve50PN-1.6</v>
          </cell>
          <cell r="C470" t="str">
            <v>Kinetic Air valve</v>
          </cell>
          <cell r="D470">
            <v>50</v>
          </cell>
          <cell r="E470" t="str">
            <v>PN-1.6</v>
          </cell>
          <cell r="F470" t="str">
            <v>each</v>
          </cell>
          <cell r="G470">
            <v>7749</v>
          </cell>
          <cell r="H470">
            <v>10074</v>
          </cell>
        </row>
        <row r="471">
          <cell r="B471" t="str">
            <v>Kinetic Air valve80PN-1.6</v>
          </cell>
          <cell r="C471" t="str">
            <v>Kinetic Air valve</v>
          </cell>
          <cell r="D471">
            <v>80</v>
          </cell>
          <cell r="E471" t="str">
            <v>PN-1.6</v>
          </cell>
          <cell r="F471" t="str">
            <v>each</v>
          </cell>
          <cell r="G471">
            <v>10204</v>
          </cell>
          <cell r="H471">
            <v>13265</v>
          </cell>
        </row>
        <row r="472">
          <cell r="B472" t="str">
            <v>Kinetic Air valve100PN-1.6</v>
          </cell>
          <cell r="C472" t="str">
            <v>Kinetic Air valve</v>
          </cell>
          <cell r="D472">
            <v>100</v>
          </cell>
          <cell r="E472" t="str">
            <v>PN-1.6</v>
          </cell>
          <cell r="F472" t="str">
            <v>each</v>
          </cell>
          <cell r="G472">
            <v>14068</v>
          </cell>
          <cell r="H472">
            <v>18288</v>
          </cell>
        </row>
        <row r="473">
          <cell r="B473" t="str">
            <v>Kinetic Air valve150PN-1.6</v>
          </cell>
          <cell r="C473" t="str">
            <v>Kinetic Air valve</v>
          </cell>
          <cell r="D473">
            <v>150</v>
          </cell>
          <cell r="E473" t="str">
            <v>PN-1.6</v>
          </cell>
          <cell r="F473" t="str">
            <v>each</v>
          </cell>
          <cell r="G473">
            <v>27713</v>
          </cell>
          <cell r="H473">
            <v>36027</v>
          </cell>
        </row>
        <row r="474">
          <cell r="B474" t="str">
            <v>Kinetic Air valve200PN-1.6</v>
          </cell>
          <cell r="C474" t="str">
            <v>Kinetic Air valve</v>
          </cell>
          <cell r="D474">
            <v>200</v>
          </cell>
          <cell r="E474" t="str">
            <v>PN-1.6</v>
          </cell>
          <cell r="F474" t="str">
            <v>each</v>
          </cell>
          <cell r="G474">
            <v>41315</v>
          </cell>
          <cell r="H474">
            <v>53710</v>
          </cell>
        </row>
        <row r="475">
          <cell r="B475" t="str">
            <v>Dismantling joint63</v>
          </cell>
          <cell r="C475" t="str">
            <v>Dismantling joint</v>
          </cell>
          <cell r="D475">
            <v>63</v>
          </cell>
          <cell r="E475">
            <v>0</v>
          </cell>
          <cell r="F475" t="str">
            <v>each</v>
          </cell>
          <cell r="G475">
            <v>1082</v>
          </cell>
          <cell r="H475">
            <v>1082</v>
          </cell>
        </row>
        <row r="476">
          <cell r="B476" t="str">
            <v>Dismantling joint75</v>
          </cell>
          <cell r="C476" t="str">
            <v>Dismantling joint</v>
          </cell>
          <cell r="D476">
            <v>75</v>
          </cell>
          <cell r="E476">
            <v>0</v>
          </cell>
          <cell r="F476" t="str">
            <v>each</v>
          </cell>
          <cell r="G476">
            <v>1082</v>
          </cell>
          <cell r="H476">
            <v>1082</v>
          </cell>
        </row>
        <row r="477">
          <cell r="B477" t="str">
            <v>Dismantling joint90</v>
          </cell>
          <cell r="C477" t="str">
            <v>Dismantling joint</v>
          </cell>
          <cell r="D477">
            <v>90</v>
          </cell>
          <cell r="E477">
            <v>0</v>
          </cell>
          <cell r="F477" t="str">
            <v>each</v>
          </cell>
          <cell r="G477">
            <v>1082</v>
          </cell>
          <cell r="H477">
            <v>1082</v>
          </cell>
        </row>
        <row r="478">
          <cell r="B478" t="str">
            <v>Dismantling joint110</v>
          </cell>
          <cell r="C478" t="str">
            <v>Dismantling joint</v>
          </cell>
          <cell r="D478">
            <v>110</v>
          </cell>
          <cell r="E478">
            <v>0</v>
          </cell>
          <cell r="F478" t="str">
            <v>each</v>
          </cell>
          <cell r="G478">
            <v>1332</v>
          </cell>
          <cell r="H478">
            <v>1332</v>
          </cell>
        </row>
        <row r="479">
          <cell r="B479" t="str">
            <v>Dismantling joint125</v>
          </cell>
          <cell r="C479" t="str">
            <v>Dismantling joint</v>
          </cell>
          <cell r="D479">
            <v>125</v>
          </cell>
          <cell r="E479">
            <v>0</v>
          </cell>
          <cell r="F479" t="str">
            <v>each</v>
          </cell>
          <cell r="G479">
            <v>1720</v>
          </cell>
          <cell r="H479">
            <v>1720</v>
          </cell>
        </row>
        <row r="480">
          <cell r="B480" t="str">
            <v>Dismantling joint140</v>
          </cell>
          <cell r="C480" t="str">
            <v>Dismantling joint</v>
          </cell>
          <cell r="D480">
            <v>140</v>
          </cell>
          <cell r="E480">
            <v>0</v>
          </cell>
          <cell r="F480" t="str">
            <v>each</v>
          </cell>
          <cell r="G480">
            <v>2130</v>
          </cell>
          <cell r="H480">
            <v>2130</v>
          </cell>
        </row>
        <row r="481">
          <cell r="B481" t="str">
            <v>Dismantling joint160</v>
          </cell>
          <cell r="C481" t="str">
            <v>Dismantling joint</v>
          </cell>
          <cell r="D481">
            <v>160</v>
          </cell>
          <cell r="E481">
            <v>0</v>
          </cell>
          <cell r="F481" t="str">
            <v>each</v>
          </cell>
          <cell r="G481">
            <v>2130</v>
          </cell>
          <cell r="H481">
            <v>2130</v>
          </cell>
        </row>
        <row r="482">
          <cell r="B482" t="str">
            <v>Dismantling joint180</v>
          </cell>
          <cell r="C482" t="str">
            <v>Dismantling joint</v>
          </cell>
          <cell r="D482">
            <v>180</v>
          </cell>
          <cell r="E482">
            <v>0</v>
          </cell>
          <cell r="F482" t="str">
            <v>each</v>
          </cell>
          <cell r="G482">
            <v>2130</v>
          </cell>
          <cell r="H482">
            <v>2130</v>
          </cell>
        </row>
        <row r="483">
          <cell r="B483" t="str">
            <v>Dismantling joint200</v>
          </cell>
          <cell r="C483" t="str">
            <v>Dismantling joint</v>
          </cell>
          <cell r="D483">
            <v>200</v>
          </cell>
          <cell r="E483">
            <v>0</v>
          </cell>
          <cell r="F483" t="str">
            <v>each</v>
          </cell>
          <cell r="G483">
            <v>3532</v>
          </cell>
          <cell r="H483">
            <v>3532</v>
          </cell>
        </row>
        <row r="484">
          <cell r="B484" t="str">
            <v>Dismantling joint225</v>
          </cell>
          <cell r="C484" t="str">
            <v>Dismantling joint</v>
          </cell>
          <cell r="D484">
            <v>225</v>
          </cell>
          <cell r="E484">
            <v>0</v>
          </cell>
          <cell r="F484" t="str">
            <v>each</v>
          </cell>
          <cell r="G484">
            <v>3532</v>
          </cell>
          <cell r="H484">
            <v>3532</v>
          </cell>
        </row>
        <row r="485">
          <cell r="B485" t="str">
            <v>Dismantling joint250</v>
          </cell>
          <cell r="C485" t="str">
            <v>Dismantling joint</v>
          </cell>
          <cell r="D485">
            <v>250</v>
          </cell>
          <cell r="E485">
            <v>0</v>
          </cell>
          <cell r="F485" t="str">
            <v>each</v>
          </cell>
          <cell r="G485">
            <v>4995</v>
          </cell>
          <cell r="H485">
            <v>4995</v>
          </cell>
        </row>
        <row r="486">
          <cell r="B486" t="str">
            <v>Dismantling joint280</v>
          </cell>
          <cell r="C486" t="str">
            <v>Dismantling joint</v>
          </cell>
          <cell r="D486">
            <v>280</v>
          </cell>
          <cell r="E486">
            <v>0</v>
          </cell>
          <cell r="F486" t="str">
            <v>each</v>
          </cell>
          <cell r="G486">
            <v>4995</v>
          </cell>
          <cell r="H486">
            <v>4995</v>
          </cell>
        </row>
        <row r="487">
          <cell r="B487" t="str">
            <v>Dismantling joint315</v>
          </cell>
          <cell r="C487" t="str">
            <v>Dismantling joint</v>
          </cell>
          <cell r="D487">
            <v>315</v>
          </cell>
          <cell r="E487">
            <v>0</v>
          </cell>
          <cell r="F487" t="str">
            <v>each</v>
          </cell>
          <cell r="G487">
            <v>6348</v>
          </cell>
          <cell r="H487">
            <v>6348</v>
          </cell>
        </row>
        <row r="488">
          <cell r="B488" t="str">
            <v>Dismantling joint350</v>
          </cell>
          <cell r="C488" t="str">
            <v>Dismantling joint</v>
          </cell>
          <cell r="D488">
            <v>350</v>
          </cell>
          <cell r="E488">
            <v>0</v>
          </cell>
          <cell r="F488" t="str">
            <v>each</v>
          </cell>
          <cell r="G488">
            <v>7703</v>
          </cell>
          <cell r="H488">
            <v>7703</v>
          </cell>
        </row>
        <row r="489">
          <cell r="B489" t="str">
            <v>Dismantling joint400</v>
          </cell>
          <cell r="C489" t="str">
            <v>Dismantling joint</v>
          </cell>
          <cell r="D489">
            <v>400</v>
          </cell>
          <cell r="E489">
            <v>0</v>
          </cell>
          <cell r="F489" t="str">
            <v>each</v>
          </cell>
          <cell r="G489">
            <v>9705</v>
          </cell>
          <cell r="H489">
            <v>9705</v>
          </cell>
        </row>
        <row r="490">
          <cell r="B490" t="str">
            <v>Dismantling joint450</v>
          </cell>
          <cell r="C490" t="str">
            <v>Dismantling joint</v>
          </cell>
          <cell r="D490">
            <v>450</v>
          </cell>
          <cell r="E490">
            <v>0</v>
          </cell>
          <cell r="F490" t="str">
            <v>each</v>
          </cell>
          <cell r="G490">
            <v>11532</v>
          </cell>
          <cell r="H490">
            <v>11532</v>
          </cell>
        </row>
        <row r="491">
          <cell r="B491" t="str">
            <v>Dismantling joint500</v>
          </cell>
          <cell r="C491" t="str">
            <v>Dismantling joint</v>
          </cell>
          <cell r="D491">
            <v>500</v>
          </cell>
          <cell r="E491">
            <v>0</v>
          </cell>
          <cell r="F491" t="str">
            <v>each</v>
          </cell>
          <cell r="G491">
            <v>13535</v>
          </cell>
          <cell r="H491">
            <v>13535</v>
          </cell>
        </row>
        <row r="492">
          <cell r="B492" t="str">
            <v>Dismantling joint600</v>
          </cell>
          <cell r="C492" t="str">
            <v>Dismantling joint</v>
          </cell>
          <cell r="D492">
            <v>600</v>
          </cell>
          <cell r="E492">
            <v>0</v>
          </cell>
          <cell r="F492" t="str">
            <v>each</v>
          </cell>
          <cell r="G492">
            <v>20508</v>
          </cell>
          <cell r="H492">
            <v>20508</v>
          </cell>
        </row>
        <row r="493">
          <cell r="B493" t="str">
            <v>Dismantling joint700</v>
          </cell>
          <cell r="C493" t="str">
            <v>Dismantling joint</v>
          </cell>
          <cell r="D493">
            <v>700</v>
          </cell>
          <cell r="E493">
            <v>0</v>
          </cell>
          <cell r="F493" t="str">
            <v>each</v>
          </cell>
          <cell r="G493">
            <v>26643</v>
          </cell>
          <cell r="H493">
            <v>26643</v>
          </cell>
        </row>
        <row r="494">
          <cell r="B494" t="str">
            <v>Dismantling joint800</v>
          </cell>
          <cell r="C494" t="str">
            <v>Dismantling joint</v>
          </cell>
          <cell r="D494">
            <v>800</v>
          </cell>
          <cell r="E494">
            <v>0</v>
          </cell>
          <cell r="F494" t="str">
            <v>each</v>
          </cell>
          <cell r="G494">
            <v>32414</v>
          </cell>
          <cell r="H494">
            <v>32414</v>
          </cell>
        </row>
        <row r="495">
          <cell r="E495" t="str">
            <v>WEIGTHS</v>
          </cell>
        </row>
        <row r="496">
          <cell r="B496" t="str">
            <v>CI pipes and Specials</v>
          </cell>
          <cell r="C496">
            <v>0</v>
          </cell>
          <cell r="D496" t="str">
            <v>CI pipes and Specials</v>
          </cell>
          <cell r="E496">
            <v>0</v>
          </cell>
          <cell r="F496" t="str">
            <v>kg</v>
          </cell>
          <cell r="G496">
            <v>33.25</v>
          </cell>
          <cell r="H496">
            <v>52.9</v>
          </cell>
        </row>
        <row r="497">
          <cell r="B497" t="str">
            <v>Pigiron</v>
          </cell>
          <cell r="C497">
            <v>0</v>
          </cell>
          <cell r="D497" t="str">
            <v>Pigiron</v>
          </cell>
          <cell r="E497">
            <v>0</v>
          </cell>
          <cell r="F497" t="str">
            <v>MT</v>
          </cell>
          <cell r="G497">
            <v>20000</v>
          </cell>
          <cell r="H497">
            <v>27000</v>
          </cell>
        </row>
        <row r="498">
          <cell r="B498" t="str">
            <v>Coke</v>
          </cell>
          <cell r="C498">
            <v>0</v>
          </cell>
          <cell r="D498" t="str">
            <v>Coke</v>
          </cell>
          <cell r="E498">
            <v>0</v>
          </cell>
          <cell r="F498" t="str">
            <v>MT</v>
          </cell>
          <cell r="G498">
            <v>20000</v>
          </cell>
          <cell r="H498">
            <v>24900</v>
          </cell>
        </row>
        <row r="499">
          <cell r="B499" t="str">
            <v>CI D/F pipes - 2m long8047</v>
          </cell>
          <cell r="C499" t="str">
            <v>CI D/F pipes - 2m long</v>
          </cell>
          <cell r="D499">
            <v>80</v>
          </cell>
          <cell r="E499">
            <v>47</v>
          </cell>
          <cell r="F499" t="str">
            <v>each</v>
          </cell>
          <cell r="G499">
            <v>1562.75</v>
          </cell>
          <cell r="H499">
            <v>2486.2999999999997</v>
          </cell>
        </row>
        <row r="500">
          <cell r="B500" t="str">
            <v>CI D/F pipes - 2m long10059.2</v>
          </cell>
          <cell r="C500" t="str">
            <v>CI D/F pipes - 2m long</v>
          </cell>
          <cell r="D500">
            <v>100</v>
          </cell>
          <cell r="E500">
            <v>59.2</v>
          </cell>
          <cell r="F500" t="str">
            <v>each</v>
          </cell>
          <cell r="G500">
            <v>1968.4</v>
          </cell>
          <cell r="H500">
            <v>3131.6800000000003</v>
          </cell>
        </row>
        <row r="501">
          <cell r="B501" t="str">
            <v>CI D/F pipes - 2m long12576.8</v>
          </cell>
          <cell r="C501" t="str">
            <v>CI D/F pipes - 2m long</v>
          </cell>
          <cell r="D501">
            <v>125</v>
          </cell>
          <cell r="E501">
            <v>76.8</v>
          </cell>
          <cell r="F501" t="str">
            <v>each</v>
          </cell>
          <cell r="G501">
            <v>2553.6</v>
          </cell>
          <cell r="H501">
            <v>4062.72</v>
          </cell>
        </row>
        <row r="502">
          <cell r="B502" t="str">
            <v>CI D/F pipes - 2m long15096.6</v>
          </cell>
          <cell r="C502" t="str">
            <v>CI D/F pipes - 2m long</v>
          </cell>
          <cell r="D502">
            <v>150</v>
          </cell>
          <cell r="E502">
            <v>96.6</v>
          </cell>
          <cell r="F502" t="str">
            <v>each</v>
          </cell>
          <cell r="G502">
            <v>3211.95</v>
          </cell>
          <cell r="H502">
            <v>5110.1399999999994</v>
          </cell>
        </row>
        <row r="503">
          <cell r="B503" t="str">
            <v>CI D/F pipes - 2m long200138.8</v>
          </cell>
          <cell r="C503" t="str">
            <v>CI D/F pipes - 2m long</v>
          </cell>
          <cell r="D503">
            <v>200</v>
          </cell>
          <cell r="E503">
            <v>138.80000000000001</v>
          </cell>
          <cell r="F503" t="str">
            <v>each</v>
          </cell>
          <cell r="G503">
            <v>4615.1000000000004</v>
          </cell>
          <cell r="H503">
            <v>7342.52</v>
          </cell>
        </row>
        <row r="504">
          <cell r="B504" t="str">
            <v>CI D/F pipes - 2m long250187.6</v>
          </cell>
          <cell r="C504" t="str">
            <v>CI D/F pipes - 2m long</v>
          </cell>
          <cell r="D504">
            <v>250</v>
          </cell>
          <cell r="E504">
            <v>187.6</v>
          </cell>
          <cell r="F504" t="str">
            <v>each</v>
          </cell>
          <cell r="G504">
            <v>6237.7</v>
          </cell>
          <cell r="H504">
            <v>9924.0399999999991</v>
          </cell>
        </row>
        <row r="505">
          <cell r="B505" t="str">
            <v>CI D/F pipes - 2m long300241.2</v>
          </cell>
          <cell r="C505" t="str">
            <v>CI D/F pipes - 2m long</v>
          </cell>
          <cell r="D505">
            <v>300</v>
          </cell>
          <cell r="E505">
            <v>241.2</v>
          </cell>
          <cell r="F505" t="str">
            <v>each</v>
          </cell>
          <cell r="G505">
            <v>8019.9</v>
          </cell>
          <cell r="H505">
            <v>12759.48</v>
          </cell>
        </row>
        <row r="506">
          <cell r="B506" t="str">
            <v>CI D/F pipes - 2m long350305</v>
          </cell>
          <cell r="C506" t="str">
            <v>CI D/F pipes - 2m long</v>
          </cell>
          <cell r="D506">
            <v>350</v>
          </cell>
          <cell r="E506">
            <v>305</v>
          </cell>
          <cell r="F506" t="str">
            <v>each</v>
          </cell>
          <cell r="G506">
            <v>10141.25</v>
          </cell>
          <cell r="H506">
            <v>16134.5</v>
          </cell>
        </row>
        <row r="507">
          <cell r="B507" t="str">
            <v>CI D/F pipes - 2m long400372</v>
          </cell>
          <cell r="C507" t="str">
            <v>CI D/F pipes - 2m long</v>
          </cell>
          <cell r="D507">
            <v>400</v>
          </cell>
          <cell r="E507">
            <v>372</v>
          </cell>
          <cell r="F507" t="str">
            <v>each</v>
          </cell>
          <cell r="G507">
            <v>12369</v>
          </cell>
          <cell r="H507">
            <v>19678.8</v>
          </cell>
        </row>
        <row r="508">
          <cell r="B508" t="str">
            <v>CI D/F pipes - 2m long450447</v>
          </cell>
          <cell r="C508" t="str">
            <v>CI D/F pipes - 2m long</v>
          </cell>
          <cell r="D508">
            <v>450</v>
          </cell>
          <cell r="E508">
            <v>447</v>
          </cell>
          <cell r="F508" t="str">
            <v>each</v>
          </cell>
          <cell r="G508">
            <v>14862.75</v>
          </cell>
          <cell r="H508">
            <v>23646.3</v>
          </cell>
        </row>
        <row r="509">
          <cell r="B509" t="str">
            <v>CI D/F pipes - 2m long500522.8</v>
          </cell>
          <cell r="C509" t="str">
            <v>CI D/F pipes - 2m long</v>
          </cell>
          <cell r="D509">
            <v>500</v>
          </cell>
          <cell r="E509">
            <v>522.79999999999995</v>
          </cell>
          <cell r="F509" t="str">
            <v>each</v>
          </cell>
          <cell r="G509">
            <v>17383.099999999999</v>
          </cell>
          <cell r="H509">
            <v>27656.119999999995</v>
          </cell>
        </row>
        <row r="510">
          <cell r="B510" t="str">
            <v>CI D/F pipes - 2m long600701</v>
          </cell>
          <cell r="C510" t="str">
            <v>CI D/F pipes - 2m long</v>
          </cell>
          <cell r="D510">
            <v>600</v>
          </cell>
          <cell r="E510">
            <v>701</v>
          </cell>
          <cell r="F510" t="str">
            <v>each</v>
          </cell>
          <cell r="G510">
            <v>23308.25</v>
          </cell>
          <cell r="H510">
            <v>37082.9</v>
          </cell>
        </row>
        <row r="511">
          <cell r="B511" t="str">
            <v>CI D/F pipes - 0.9m long8025.22</v>
          </cell>
          <cell r="C511" t="str">
            <v>CI D/F pipes - 0.9m long</v>
          </cell>
          <cell r="D511">
            <v>80</v>
          </cell>
          <cell r="E511">
            <v>25.22</v>
          </cell>
          <cell r="F511" t="str">
            <v>each</v>
          </cell>
          <cell r="G511">
            <v>838.56499999999994</v>
          </cell>
          <cell r="H511">
            <v>1334.1379999999999</v>
          </cell>
        </row>
        <row r="512">
          <cell r="B512" t="str">
            <v>CI D/F pipes - 0.9m long10031.26</v>
          </cell>
          <cell r="C512" t="str">
            <v>CI D/F pipes - 0.9m long</v>
          </cell>
          <cell r="D512">
            <v>100</v>
          </cell>
          <cell r="E512">
            <v>31.26</v>
          </cell>
          <cell r="F512" t="str">
            <v>each</v>
          </cell>
          <cell r="G512">
            <v>1039.395</v>
          </cell>
          <cell r="H512">
            <v>1653.654</v>
          </cell>
        </row>
        <row r="513">
          <cell r="B513" t="str">
            <v>CI D/F pipes - 0.9m long12540.39</v>
          </cell>
          <cell r="C513" t="str">
            <v>CI D/F pipes - 0.9m long</v>
          </cell>
          <cell r="D513">
            <v>125</v>
          </cell>
          <cell r="E513">
            <v>40.39</v>
          </cell>
          <cell r="F513" t="str">
            <v>each</v>
          </cell>
          <cell r="G513">
            <v>1342.9675</v>
          </cell>
          <cell r="H513">
            <v>2136.6309999999999</v>
          </cell>
        </row>
        <row r="514">
          <cell r="B514" t="str">
            <v>CI D/F pipes - 0.9m long15050.84</v>
          </cell>
          <cell r="C514" t="str">
            <v>CI D/F pipes - 0.9m long</v>
          </cell>
          <cell r="D514">
            <v>150</v>
          </cell>
          <cell r="E514">
            <v>50.84</v>
          </cell>
          <cell r="F514" t="str">
            <v>each</v>
          </cell>
          <cell r="G514">
            <v>1690.43</v>
          </cell>
          <cell r="H514">
            <v>2689.4360000000001</v>
          </cell>
        </row>
        <row r="515">
          <cell r="B515" t="str">
            <v>CI D/F pipes - 0.9m long20072.69</v>
          </cell>
          <cell r="C515" t="str">
            <v>CI D/F pipes - 0.9m long</v>
          </cell>
          <cell r="D515">
            <v>200</v>
          </cell>
          <cell r="E515">
            <v>72.69</v>
          </cell>
          <cell r="F515" t="str">
            <v>each</v>
          </cell>
          <cell r="G515">
            <v>2416.9425000000001</v>
          </cell>
          <cell r="H515">
            <v>3845.3009999999999</v>
          </cell>
        </row>
        <row r="516">
          <cell r="B516" t="str">
            <v>CI D/F pipes - 0.9m long25097.62</v>
          </cell>
          <cell r="C516" t="str">
            <v>CI D/F pipes - 0.9m long</v>
          </cell>
          <cell r="D516">
            <v>250</v>
          </cell>
          <cell r="E516">
            <v>97.62</v>
          </cell>
          <cell r="F516" t="str">
            <v>each</v>
          </cell>
          <cell r="G516">
            <v>3245.8650000000002</v>
          </cell>
          <cell r="H516">
            <v>5164.098</v>
          </cell>
        </row>
        <row r="517">
          <cell r="B517" t="str">
            <v>CI D/F pipes - 0.9m long300124.49</v>
          </cell>
          <cell r="C517" t="str">
            <v>CI D/F pipes - 0.9m long</v>
          </cell>
          <cell r="D517">
            <v>300</v>
          </cell>
          <cell r="E517">
            <v>124.49</v>
          </cell>
          <cell r="F517" t="str">
            <v>each</v>
          </cell>
          <cell r="G517">
            <v>4139.2924999999996</v>
          </cell>
          <cell r="H517">
            <v>6585.5209999999997</v>
          </cell>
        </row>
        <row r="518">
          <cell r="B518" t="str">
            <v>CI D/F pipes - 0.9m long350158.15</v>
          </cell>
          <cell r="C518" t="str">
            <v>CI D/F pipes - 0.9m long</v>
          </cell>
          <cell r="D518">
            <v>350</v>
          </cell>
          <cell r="E518">
            <v>158.15</v>
          </cell>
          <cell r="F518" t="str">
            <v>each</v>
          </cell>
          <cell r="G518">
            <v>5258.4875000000002</v>
          </cell>
          <cell r="H518">
            <v>8366.1350000000002</v>
          </cell>
        </row>
        <row r="519">
          <cell r="B519" t="str">
            <v>CI D/F pipes - 0.9m long400193.14</v>
          </cell>
          <cell r="C519" t="str">
            <v>CI D/F pipes - 0.9m long</v>
          </cell>
          <cell r="D519">
            <v>400</v>
          </cell>
          <cell r="E519">
            <v>193.14</v>
          </cell>
          <cell r="F519" t="str">
            <v>each</v>
          </cell>
          <cell r="G519">
            <v>6421.9049999999997</v>
          </cell>
          <cell r="H519">
            <v>10217.106</v>
          </cell>
        </row>
        <row r="520">
          <cell r="B520" t="str">
            <v>CI D/F pipes - 0.9m long450230.3</v>
          </cell>
          <cell r="C520" t="str">
            <v>CI D/F pipes - 0.9m long</v>
          </cell>
          <cell r="D520">
            <v>450</v>
          </cell>
          <cell r="E520">
            <v>230.3</v>
          </cell>
          <cell r="F520" t="str">
            <v>each</v>
          </cell>
          <cell r="G520">
            <v>7657.4750000000004</v>
          </cell>
          <cell r="H520">
            <v>12182.87</v>
          </cell>
        </row>
        <row r="521">
          <cell r="B521" t="str">
            <v>CI D/F pipes - 0.9m long500270.57</v>
          </cell>
          <cell r="C521" t="str">
            <v>CI D/F pipes - 0.9m long</v>
          </cell>
          <cell r="D521">
            <v>500</v>
          </cell>
          <cell r="E521">
            <v>270.57</v>
          </cell>
          <cell r="F521" t="str">
            <v>each</v>
          </cell>
          <cell r="G521">
            <v>8996.4524999999994</v>
          </cell>
          <cell r="H521">
            <v>14313.152999999998</v>
          </cell>
        </row>
        <row r="522">
          <cell r="B522" t="str">
            <v>CI D/F pipes - 0.9m long600363.85</v>
          </cell>
          <cell r="C522" t="str">
            <v>CI D/F pipes - 0.9m long</v>
          </cell>
          <cell r="D522">
            <v>600</v>
          </cell>
          <cell r="E522">
            <v>363.85</v>
          </cell>
          <cell r="F522" t="str">
            <v>each</v>
          </cell>
          <cell r="G522">
            <v>12098.012500000001</v>
          </cell>
          <cell r="H522">
            <v>19247.665000000001</v>
          </cell>
        </row>
        <row r="523">
          <cell r="B523" t="str">
            <v>CI D/F pipes - 0.6m long8019.28</v>
          </cell>
          <cell r="C523" t="str">
            <v>CI D/F pipes - 0.6m long</v>
          </cell>
          <cell r="D523">
            <v>80</v>
          </cell>
          <cell r="E523">
            <v>19.28</v>
          </cell>
          <cell r="F523" t="str">
            <v>each</v>
          </cell>
          <cell r="G523">
            <v>641.06000000000006</v>
          </cell>
          <cell r="H523">
            <v>1019.912</v>
          </cell>
        </row>
        <row r="524">
          <cell r="B524" t="str">
            <v>CI D/F pipes - 0.6m long10023.64</v>
          </cell>
          <cell r="C524" t="str">
            <v>CI D/F pipes - 0.6m long</v>
          </cell>
          <cell r="D524">
            <v>100</v>
          </cell>
          <cell r="E524">
            <v>23.64</v>
          </cell>
          <cell r="F524" t="str">
            <v>each</v>
          </cell>
          <cell r="G524">
            <v>786.03</v>
          </cell>
          <cell r="H524">
            <v>1250.556</v>
          </cell>
        </row>
        <row r="525">
          <cell r="B525" t="str">
            <v>CI D/F pipes - 0.6m long12530.46</v>
          </cell>
          <cell r="C525" t="str">
            <v>CI D/F pipes - 0.6m long</v>
          </cell>
          <cell r="D525">
            <v>125</v>
          </cell>
          <cell r="E525">
            <v>30.46</v>
          </cell>
          <cell r="F525" t="str">
            <v>each</v>
          </cell>
          <cell r="G525">
            <v>1012.7950000000001</v>
          </cell>
          <cell r="H525">
            <v>1611.3340000000001</v>
          </cell>
        </row>
        <row r="526">
          <cell r="B526" t="str">
            <v>CI D/F pipes - 0.6m long15038.33</v>
          </cell>
          <cell r="C526" t="str">
            <v>CI D/F pipes - 0.6m long</v>
          </cell>
          <cell r="D526">
            <v>150</v>
          </cell>
          <cell r="E526">
            <v>38.33</v>
          </cell>
          <cell r="F526" t="str">
            <v>each</v>
          </cell>
          <cell r="G526">
            <v>1274.4724999999999</v>
          </cell>
          <cell r="H526">
            <v>2027.6569999999999</v>
          </cell>
        </row>
        <row r="527">
          <cell r="B527" t="str">
            <v>CI D/F pipes - 0.6m long20054.66</v>
          </cell>
          <cell r="C527" t="str">
            <v>CI D/F pipes - 0.6m long</v>
          </cell>
          <cell r="D527">
            <v>200</v>
          </cell>
          <cell r="E527">
            <v>54.66</v>
          </cell>
          <cell r="F527" t="str">
            <v>each</v>
          </cell>
          <cell r="G527">
            <v>1817.4449999999999</v>
          </cell>
          <cell r="H527">
            <v>2891.5139999999997</v>
          </cell>
        </row>
        <row r="528">
          <cell r="B528" t="str">
            <v>CI D/F pipes - 0.6m long25073.08</v>
          </cell>
          <cell r="C528" t="str">
            <v>CI D/F pipes - 0.6m long</v>
          </cell>
          <cell r="D528">
            <v>250</v>
          </cell>
          <cell r="E528">
            <v>73.08</v>
          </cell>
          <cell r="F528" t="str">
            <v>each</v>
          </cell>
          <cell r="G528">
            <v>2429.91</v>
          </cell>
          <cell r="H528">
            <v>3865.9319999999998</v>
          </cell>
        </row>
        <row r="529">
          <cell r="B529" t="str">
            <v>CI D/F pipes - 0.6m long30093.26</v>
          </cell>
          <cell r="C529" t="str">
            <v>CI D/F pipes - 0.6m long</v>
          </cell>
          <cell r="D529">
            <v>300</v>
          </cell>
          <cell r="E529">
            <v>93.26</v>
          </cell>
          <cell r="F529" t="str">
            <v>each</v>
          </cell>
          <cell r="G529">
            <v>3100.895</v>
          </cell>
          <cell r="H529">
            <v>4933.4539999999997</v>
          </cell>
        </row>
        <row r="530">
          <cell r="B530" t="str">
            <v>CI D/F pipes - 0.6m long350118.1</v>
          </cell>
          <cell r="C530" t="str">
            <v>CI D/F pipes - 0.6m long</v>
          </cell>
          <cell r="D530">
            <v>350</v>
          </cell>
          <cell r="E530">
            <v>118.1</v>
          </cell>
          <cell r="F530" t="str">
            <v>each</v>
          </cell>
          <cell r="G530">
            <v>3926.8249999999998</v>
          </cell>
          <cell r="H530">
            <v>6247.49</v>
          </cell>
        </row>
        <row r="531">
          <cell r="B531" t="str">
            <v>CI D/F pipes - 0.6m long400144.36</v>
          </cell>
          <cell r="C531" t="str">
            <v>CI D/F pipes - 0.6m long</v>
          </cell>
          <cell r="D531">
            <v>400</v>
          </cell>
          <cell r="E531">
            <v>144.36000000000001</v>
          </cell>
          <cell r="F531" t="str">
            <v>each</v>
          </cell>
          <cell r="G531">
            <v>4799.97</v>
          </cell>
          <cell r="H531">
            <v>7636.6440000000002</v>
          </cell>
        </row>
        <row r="532">
          <cell r="B532" t="str">
            <v>CI D/F pipes - 0.6m long450171.2</v>
          </cell>
          <cell r="C532" t="str">
            <v>CI D/F pipes - 0.6m long</v>
          </cell>
          <cell r="D532">
            <v>450</v>
          </cell>
          <cell r="E532">
            <v>171.2</v>
          </cell>
          <cell r="F532" t="str">
            <v>each</v>
          </cell>
          <cell r="G532">
            <v>5692.4</v>
          </cell>
          <cell r="H532">
            <v>9056.48</v>
          </cell>
        </row>
        <row r="533">
          <cell r="B533" t="str">
            <v>CI D/F pipes - 0.6m long500201.78</v>
          </cell>
          <cell r="C533" t="str">
            <v>CI D/F pipes - 0.6m long</v>
          </cell>
          <cell r="D533">
            <v>500</v>
          </cell>
          <cell r="E533">
            <v>201.78</v>
          </cell>
          <cell r="F533" t="str">
            <v>each</v>
          </cell>
          <cell r="G533">
            <v>6709.1850000000004</v>
          </cell>
          <cell r="H533">
            <v>10674.162</v>
          </cell>
        </row>
        <row r="534">
          <cell r="B534" t="str">
            <v>CI D/F pipes - 0.6m long600271.9</v>
          </cell>
          <cell r="C534" t="str">
            <v>CI D/F pipes - 0.6m long</v>
          </cell>
          <cell r="D534">
            <v>600</v>
          </cell>
          <cell r="E534">
            <v>271.89999999999998</v>
          </cell>
          <cell r="F534" t="str">
            <v>each</v>
          </cell>
          <cell r="G534">
            <v>9040.6749999999993</v>
          </cell>
          <cell r="H534">
            <v>14383.509999999998</v>
          </cell>
        </row>
        <row r="535">
          <cell r="B535" t="str">
            <v>Bell mouth807</v>
          </cell>
          <cell r="C535" t="str">
            <v>Bell mouth</v>
          </cell>
          <cell r="D535">
            <v>80</v>
          </cell>
          <cell r="E535">
            <v>7</v>
          </cell>
          <cell r="F535" t="str">
            <v>each</v>
          </cell>
          <cell r="G535">
            <v>232.75</v>
          </cell>
          <cell r="H535">
            <v>370.3</v>
          </cell>
        </row>
        <row r="536">
          <cell r="B536" t="str">
            <v>Bell mouth1009</v>
          </cell>
          <cell r="C536" t="str">
            <v>Bell mouth</v>
          </cell>
          <cell r="D536">
            <v>100</v>
          </cell>
          <cell r="E536">
            <v>9</v>
          </cell>
          <cell r="F536" t="str">
            <v>each</v>
          </cell>
          <cell r="G536">
            <v>299.25</v>
          </cell>
          <cell r="H536">
            <v>476.09999999999997</v>
          </cell>
        </row>
        <row r="537">
          <cell r="B537" t="str">
            <v>Bell mouth12512</v>
          </cell>
          <cell r="C537" t="str">
            <v>Bell mouth</v>
          </cell>
          <cell r="D537">
            <v>125</v>
          </cell>
          <cell r="E537">
            <v>12</v>
          </cell>
          <cell r="F537" t="str">
            <v>each</v>
          </cell>
          <cell r="G537">
            <v>399</v>
          </cell>
          <cell r="H537">
            <v>634.79999999999995</v>
          </cell>
        </row>
        <row r="538">
          <cell r="B538" t="str">
            <v>Bell mouth15015</v>
          </cell>
          <cell r="C538" t="str">
            <v>Bell mouth</v>
          </cell>
          <cell r="D538">
            <v>150</v>
          </cell>
          <cell r="E538">
            <v>15</v>
          </cell>
          <cell r="F538" t="str">
            <v>each</v>
          </cell>
          <cell r="G538">
            <v>498.75</v>
          </cell>
          <cell r="H538">
            <v>793.5</v>
          </cell>
        </row>
        <row r="539">
          <cell r="B539" t="str">
            <v>Bell mouth20023</v>
          </cell>
          <cell r="C539" t="str">
            <v>Bell mouth</v>
          </cell>
          <cell r="D539">
            <v>200</v>
          </cell>
          <cell r="E539">
            <v>23</v>
          </cell>
          <cell r="F539" t="str">
            <v>each</v>
          </cell>
          <cell r="G539">
            <v>764.75</v>
          </cell>
          <cell r="H539">
            <v>1216.7</v>
          </cell>
        </row>
        <row r="540">
          <cell r="B540" t="str">
            <v>Bell mouth25031</v>
          </cell>
          <cell r="C540" t="str">
            <v>Bell mouth</v>
          </cell>
          <cell r="D540">
            <v>250</v>
          </cell>
          <cell r="E540">
            <v>31</v>
          </cell>
          <cell r="F540" t="str">
            <v>each</v>
          </cell>
          <cell r="G540">
            <v>1030.75</v>
          </cell>
          <cell r="H540">
            <v>1639.8999999999999</v>
          </cell>
        </row>
        <row r="541">
          <cell r="B541" t="str">
            <v>Bell mouth30045</v>
          </cell>
          <cell r="C541" t="str">
            <v>Bell mouth</v>
          </cell>
          <cell r="D541">
            <v>300</v>
          </cell>
          <cell r="E541">
            <v>45</v>
          </cell>
          <cell r="F541" t="str">
            <v>each</v>
          </cell>
          <cell r="G541">
            <v>1496.25</v>
          </cell>
          <cell r="H541">
            <v>2380.5</v>
          </cell>
        </row>
        <row r="542">
          <cell r="B542" t="str">
            <v>Bell mouth35058</v>
          </cell>
          <cell r="C542" t="str">
            <v>Bell mouth</v>
          </cell>
          <cell r="D542">
            <v>350</v>
          </cell>
          <cell r="E542">
            <v>58</v>
          </cell>
          <cell r="F542" t="str">
            <v>each</v>
          </cell>
          <cell r="G542">
            <v>1928.5</v>
          </cell>
          <cell r="H542">
            <v>3068.2</v>
          </cell>
        </row>
        <row r="543">
          <cell r="B543" t="str">
            <v>Bell mouth40080</v>
          </cell>
          <cell r="C543" t="str">
            <v>Bell mouth</v>
          </cell>
          <cell r="D543">
            <v>400</v>
          </cell>
          <cell r="E543">
            <v>80</v>
          </cell>
          <cell r="F543" t="str">
            <v>each</v>
          </cell>
          <cell r="G543">
            <v>2660</v>
          </cell>
          <cell r="H543">
            <v>4232</v>
          </cell>
        </row>
        <row r="544">
          <cell r="B544" t="str">
            <v>Bell mouth45093</v>
          </cell>
          <cell r="C544" t="str">
            <v>Bell mouth</v>
          </cell>
          <cell r="D544">
            <v>450</v>
          </cell>
          <cell r="E544">
            <v>93</v>
          </cell>
          <cell r="F544" t="str">
            <v>each</v>
          </cell>
          <cell r="G544">
            <v>3092.25</v>
          </cell>
          <cell r="H544">
            <v>4919.7</v>
          </cell>
        </row>
        <row r="545">
          <cell r="B545" t="str">
            <v>Bell mouth500120</v>
          </cell>
          <cell r="C545" t="str">
            <v>Bell mouth</v>
          </cell>
          <cell r="D545">
            <v>500</v>
          </cell>
          <cell r="E545">
            <v>120</v>
          </cell>
          <cell r="F545" t="str">
            <v>each</v>
          </cell>
          <cell r="G545">
            <v>3990</v>
          </cell>
          <cell r="H545">
            <v>6348</v>
          </cell>
        </row>
        <row r="546">
          <cell r="B546" t="str">
            <v>Bell mouth600201</v>
          </cell>
          <cell r="C546" t="str">
            <v>Bell mouth</v>
          </cell>
          <cell r="D546">
            <v>600</v>
          </cell>
          <cell r="E546">
            <v>201</v>
          </cell>
          <cell r="F546" t="str">
            <v>each</v>
          </cell>
          <cell r="G546">
            <v>6683.25</v>
          </cell>
          <cell r="H546">
            <v>10632.9</v>
          </cell>
        </row>
        <row r="547">
          <cell r="B547" t="str">
            <v>CI D/F Bend 90deg8013</v>
          </cell>
          <cell r="C547" t="str">
            <v>CI D/F Bend 90deg</v>
          </cell>
          <cell r="D547">
            <v>80</v>
          </cell>
          <cell r="E547">
            <v>13</v>
          </cell>
          <cell r="F547" t="str">
            <v>each</v>
          </cell>
          <cell r="G547">
            <v>432.25</v>
          </cell>
          <cell r="H547">
            <v>687.69999999999993</v>
          </cell>
        </row>
        <row r="548">
          <cell r="B548" t="str">
            <v>CI D/F Bend 90deg10017</v>
          </cell>
          <cell r="C548" t="str">
            <v>CI D/F Bend 90deg</v>
          </cell>
          <cell r="D548">
            <v>100</v>
          </cell>
          <cell r="E548">
            <v>17</v>
          </cell>
          <cell r="F548" t="str">
            <v>each</v>
          </cell>
          <cell r="G548">
            <v>565.25</v>
          </cell>
          <cell r="H548">
            <v>899.3</v>
          </cell>
        </row>
        <row r="549">
          <cell r="B549" t="str">
            <v>CI D/F Bend 90deg12523</v>
          </cell>
          <cell r="C549" t="str">
            <v>CI D/F Bend 90deg</v>
          </cell>
          <cell r="D549">
            <v>125</v>
          </cell>
          <cell r="E549">
            <v>23</v>
          </cell>
          <cell r="F549" t="str">
            <v>each</v>
          </cell>
          <cell r="G549">
            <v>764.75</v>
          </cell>
          <cell r="H549">
            <v>1216.7</v>
          </cell>
        </row>
        <row r="550">
          <cell r="B550" t="str">
            <v>CI D/F Bend 90deg15031</v>
          </cell>
          <cell r="C550" t="str">
            <v>CI D/F Bend 90deg</v>
          </cell>
          <cell r="D550">
            <v>150</v>
          </cell>
          <cell r="E550">
            <v>31</v>
          </cell>
          <cell r="F550" t="str">
            <v>each</v>
          </cell>
          <cell r="G550">
            <v>1030.75</v>
          </cell>
          <cell r="H550">
            <v>1639.8999999999999</v>
          </cell>
        </row>
        <row r="551">
          <cell r="B551" t="str">
            <v>CI D/F Bend 90deg20049</v>
          </cell>
          <cell r="C551" t="str">
            <v>CI D/F Bend 90deg</v>
          </cell>
          <cell r="D551">
            <v>200</v>
          </cell>
          <cell r="E551">
            <v>49</v>
          </cell>
          <cell r="F551" t="str">
            <v>each</v>
          </cell>
          <cell r="G551">
            <v>1629.25</v>
          </cell>
          <cell r="H551">
            <v>2592.1</v>
          </cell>
        </row>
        <row r="552">
          <cell r="B552" t="str">
            <v>CI D/F Bend 90deg25072</v>
          </cell>
          <cell r="C552" t="str">
            <v>CI D/F Bend 90deg</v>
          </cell>
          <cell r="D552">
            <v>250</v>
          </cell>
          <cell r="E552">
            <v>72</v>
          </cell>
          <cell r="F552" t="str">
            <v>each</v>
          </cell>
          <cell r="G552">
            <v>2394</v>
          </cell>
          <cell r="H552">
            <v>3808.7999999999997</v>
          </cell>
        </row>
        <row r="553">
          <cell r="B553" t="str">
            <v>CI D/F Bend 90deg300100</v>
          </cell>
          <cell r="C553" t="str">
            <v>CI D/F Bend 90deg</v>
          </cell>
          <cell r="D553">
            <v>300</v>
          </cell>
          <cell r="E553">
            <v>100</v>
          </cell>
          <cell r="F553" t="str">
            <v>each</v>
          </cell>
          <cell r="G553">
            <v>3325</v>
          </cell>
          <cell r="H553">
            <v>5290</v>
          </cell>
        </row>
        <row r="554">
          <cell r="B554" t="str">
            <v>CI D/F Bend 90deg350137</v>
          </cell>
          <cell r="C554" t="str">
            <v>CI D/F Bend 90deg</v>
          </cell>
          <cell r="D554">
            <v>350</v>
          </cell>
          <cell r="E554">
            <v>137</v>
          </cell>
          <cell r="F554" t="str">
            <v>each</v>
          </cell>
          <cell r="G554">
            <v>4555.25</v>
          </cell>
          <cell r="H554">
            <v>7247.3</v>
          </cell>
        </row>
        <row r="555">
          <cell r="B555" t="str">
            <v>CI D/F Bend 90deg400181</v>
          </cell>
          <cell r="C555" t="str">
            <v>CI D/F Bend 90deg</v>
          </cell>
          <cell r="D555">
            <v>400</v>
          </cell>
          <cell r="E555">
            <v>181</v>
          </cell>
          <cell r="F555" t="str">
            <v>each</v>
          </cell>
          <cell r="G555">
            <v>6018.25</v>
          </cell>
          <cell r="H555">
            <v>9574.9</v>
          </cell>
        </row>
        <row r="556">
          <cell r="B556" t="str">
            <v>CI D/F Bend 90deg450226</v>
          </cell>
          <cell r="C556" t="str">
            <v>CI D/F Bend 90deg</v>
          </cell>
          <cell r="D556">
            <v>450</v>
          </cell>
          <cell r="E556">
            <v>226</v>
          </cell>
          <cell r="F556" t="str">
            <v>each</v>
          </cell>
          <cell r="G556">
            <v>7514.5</v>
          </cell>
          <cell r="H556">
            <v>11955.4</v>
          </cell>
        </row>
        <row r="557">
          <cell r="B557" t="str">
            <v>CI D/F Bend 90deg500290</v>
          </cell>
          <cell r="C557" t="str">
            <v>CI D/F Bend 90deg</v>
          </cell>
          <cell r="D557">
            <v>500</v>
          </cell>
          <cell r="E557">
            <v>290</v>
          </cell>
          <cell r="F557" t="str">
            <v>each</v>
          </cell>
          <cell r="G557">
            <v>9642.5</v>
          </cell>
          <cell r="H557">
            <v>15341</v>
          </cell>
        </row>
        <row r="558">
          <cell r="B558" t="str">
            <v>CI D/F Bend 90deg600442</v>
          </cell>
          <cell r="C558" t="str">
            <v>CI D/F Bend 90deg</v>
          </cell>
          <cell r="D558">
            <v>600</v>
          </cell>
          <cell r="E558">
            <v>442</v>
          </cell>
          <cell r="F558" t="str">
            <v>each</v>
          </cell>
          <cell r="G558">
            <v>14696.5</v>
          </cell>
          <cell r="H558">
            <v>23381.8</v>
          </cell>
        </row>
        <row r="559">
          <cell r="B559" t="str">
            <v>Tail piece8012</v>
          </cell>
          <cell r="C559" t="str">
            <v>Tail piece</v>
          </cell>
          <cell r="D559">
            <v>80</v>
          </cell>
          <cell r="E559">
            <v>12</v>
          </cell>
          <cell r="F559" t="str">
            <v>each</v>
          </cell>
          <cell r="G559">
            <v>399</v>
          </cell>
          <cell r="H559">
            <v>634.79999999999995</v>
          </cell>
        </row>
        <row r="560">
          <cell r="B560" t="str">
            <v>Tail piece10013.513</v>
          </cell>
          <cell r="C560" t="str">
            <v>Tail piece</v>
          </cell>
          <cell r="D560">
            <v>100</v>
          </cell>
          <cell r="E560">
            <v>13.513</v>
          </cell>
          <cell r="F560" t="str">
            <v>each</v>
          </cell>
          <cell r="G560">
            <v>449.30725000000001</v>
          </cell>
          <cell r="H560">
            <v>714.83769999999993</v>
          </cell>
        </row>
        <row r="561">
          <cell r="B561" t="str">
            <v>Tail piece12519</v>
          </cell>
          <cell r="C561" t="str">
            <v>Tail piece</v>
          </cell>
          <cell r="D561">
            <v>125</v>
          </cell>
          <cell r="E561">
            <v>19</v>
          </cell>
          <cell r="F561" t="str">
            <v>each</v>
          </cell>
          <cell r="G561">
            <v>631.75</v>
          </cell>
          <cell r="H561">
            <v>1005.1</v>
          </cell>
        </row>
        <row r="562">
          <cell r="B562" t="str">
            <v>Tail piece15023</v>
          </cell>
          <cell r="C562" t="str">
            <v>Tail piece</v>
          </cell>
          <cell r="D562">
            <v>150</v>
          </cell>
          <cell r="E562">
            <v>23</v>
          </cell>
          <cell r="F562" t="str">
            <v>each</v>
          </cell>
          <cell r="G562">
            <v>764.75</v>
          </cell>
          <cell r="H562">
            <v>1216.7</v>
          </cell>
        </row>
        <row r="563">
          <cell r="B563" t="str">
            <v>Tail piece20038.97</v>
          </cell>
          <cell r="C563" t="str">
            <v>Tail piece</v>
          </cell>
          <cell r="D563">
            <v>200</v>
          </cell>
          <cell r="E563">
            <v>38.97</v>
          </cell>
          <cell r="F563" t="str">
            <v>each</v>
          </cell>
          <cell r="G563">
            <v>1295.7525000000001</v>
          </cell>
          <cell r="H563">
            <v>2061.5129999999999</v>
          </cell>
        </row>
        <row r="564">
          <cell r="B564" t="str">
            <v>Tail piece25053</v>
          </cell>
          <cell r="C564" t="str">
            <v>Tail piece</v>
          </cell>
          <cell r="D564">
            <v>250</v>
          </cell>
          <cell r="E564">
            <v>53</v>
          </cell>
          <cell r="F564" t="str">
            <v>each</v>
          </cell>
          <cell r="G564">
            <v>1762.25</v>
          </cell>
          <cell r="H564">
            <v>2803.7</v>
          </cell>
        </row>
        <row r="565">
          <cell r="B565" t="str">
            <v>Tail piece30068</v>
          </cell>
          <cell r="C565" t="str">
            <v>Tail piece</v>
          </cell>
          <cell r="D565">
            <v>300</v>
          </cell>
          <cell r="E565">
            <v>68</v>
          </cell>
          <cell r="F565" t="str">
            <v>each</v>
          </cell>
          <cell r="G565">
            <v>2261</v>
          </cell>
          <cell r="H565">
            <v>3597.2</v>
          </cell>
        </row>
        <row r="566">
          <cell r="B566" t="str">
            <v>Tail piece35089.44</v>
          </cell>
          <cell r="C566" t="str">
            <v>Tail piece</v>
          </cell>
          <cell r="D566">
            <v>350</v>
          </cell>
          <cell r="E566">
            <v>89.44</v>
          </cell>
          <cell r="F566" t="str">
            <v>each</v>
          </cell>
          <cell r="G566">
            <v>2973.88</v>
          </cell>
          <cell r="H566">
            <v>4731.3760000000002</v>
          </cell>
        </row>
        <row r="567">
          <cell r="B567" t="str">
            <v>Tail piece400108.86</v>
          </cell>
          <cell r="C567" t="str">
            <v>Tail piece</v>
          </cell>
          <cell r="D567">
            <v>400</v>
          </cell>
          <cell r="E567">
            <v>108.86</v>
          </cell>
          <cell r="F567" t="str">
            <v>each</v>
          </cell>
          <cell r="G567">
            <v>3619.5949999999998</v>
          </cell>
          <cell r="H567">
            <v>5758.6939999999995</v>
          </cell>
        </row>
        <row r="568">
          <cell r="B568" t="str">
            <v>Tail piece450127.62</v>
          </cell>
          <cell r="C568" t="str">
            <v>Tail piece</v>
          </cell>
          <cell r="D568">
            <v>450</v>
          </cell>
          <cell r="E568">
            <v>127.62</v>
          </cell>
          <cell r="F568" t="str">
            <v>each</v>
          </cell>
          <cell r="G568">
            <v>4243.3649999999998</v>
          </cell>
          <cell r="H568">
            <v>6751.098</v>
          </cell>
        </row>
        <row r="569">
          <cell r="B569" t="str">
            <v>Tail piece500151.48</v>
          </cell>
          <cell r="C569" t="str">
            <v>Tail piece</v>
          </cell>
          <cell r="D569">
            <v>500</v>
          </cell>
          <cell r="E569">
            <v>151.47999999999999</v>
          </cell>
          <cell r="F569" t="str">
            <v>each</v>
          </cell>
          <cell r="G569">
            <v>5036.71</v>
          </cell>
          <cell r="H569">
            <v>8013.2919999999995</v>
          </cell>
        </row>
        <row r="570">
          <cell r="B570" t="str">
            <v>Tail piece600204.11</v>
          </cell>
          <cell r="C570" t="str">
            <v>Tail piece</v>
          </cell>
          <cell r="D570">
            <v>600</v>
          </cell>
          <cell r="E570">
            <v>204.11</v>
          </cell>
          <cell r="F570" t="str">
            <v>each</v>
          </cell>
          <cell r="G570">
            <v>6786.6575000000003</v>
          </cell>
          <cell r="H570">
            <v>10797.419</v>
          </cell>
        </row>
        <row r="571">
          <cell r="B571" t="str">
            <v>Duckfoot bend8021</v>
          </cell>
          <cell r="C571" t="str">
            <v>Duckfoot bend</v>
          </cell>
          <cell r="D571">
            <v>80</v>
          </cell>
          <cell r="E571">
            <v>21</v>
          </cell>
          <cell r="F571" t="str">
            <v>each</v>
          </cell>
          <cell r="G571">
            <v>698.25</v>
          </cell>
          <cell r="H571">
            <v>1110.8999999999999</v>
          </cell>
        </row>
        <row r="572">
          <cell r="B572" t="str">
            <v>Duckfoot bend10026</v>
          </cell>
          <cell r="C572" t="str">
            <v>Duckfoot bend</v>
          </cell>
          <cell r="D572">
            <v>100</v>
          </cell>
          <cell r="E572">
            <v>26</v>
          </cell>
          <cell r="F572" t="str">
            <v>each</v>
          </cell>
          <cell r="G572">
            <v>864.5</v>
          </cell>
          <cell r="H572">
            <v>1375.3999999999999</v>
          </cell>
        </row>
        <row r="573">
          <cell r="B573" t="str">
            <v>Duckfoot bend12536</v>
          </cell>
          <cell r="C573" t="str">
            <v>Duckfoot bend</v>
          </cell>
          <cell r="D573">
            <v>125</v>
          </cell>
          <cell r="E573">
            <v>36</v>
          </cell>
          <cell r="F573" t="str">
            <v>each</v>
          </cell>
          <cell r="G573">
            <v>1197</v>
          </cell>
          <cell r="H573">
            <v>1904.3999999999999</v>
          </cell>
        </row>
        <row r="574">
          <cell r="B574" t="str">
            <v>Duckfoot bend15046.97</v>
          </cell>
          <cell r="C574" t="str">
            <v>Duckfoot bend</v>
          </cell>
          <cell r="D574">
            <v>150</v>
          </cell>
          <cell r="E574">
            <v>46.97</v>
          </cell>
          <cell r="F574" t="str">
            <v>each</v>
          </cell>
          <cell r="G574">
            <v>1561.7525000000001</v>
          </cell>
          <cell r="H574">
            <v>2484.7129999999997</v>
          </cell>
        </row>
        <row r="575">
          <cell r="B575" t="str">
            <v>Duckfoot bend20074</v>
          </cell>
          <cell r="C575" t="str">
            <v>Duckfoot bend</v>
          </cell>
          <cell r="D575">
            <v>200</v>
          </cell>
          <cell r="E575">
            <v>74</v>
          </cell>
          <cell r="F575" t="str">
            <v>each</v>
          </cell>
          <cell r="G575">
            <v>2460.5</v>
          </cell>
          <cell r="H575">
            <v>3914.6</v>
          </cell>
        </row>
        <row r="576">
          <cell r="B576" t="str">
            <v>Duckfoot bend250111</v>
          </cell>
          <cell r="C576" t="str">
            <v>Duckfoot bend</v>
          </cell>
          <cell r="D576">
            <v>250</v>
          </cell>
          <cell r="E576">
            <v>111</v>
          </cell>
          <cell r="F576" t="str">
            <v>each</v>
          </cell>
          <cell r="G576">
            <v>3690.75</v>
          </cell>
          <cell r="H576">
            <v>5871.9</v>
          </cell>
        </row>
        <row r="577">
          <cell r="B577" t="str">
            <v>Duckfoot bend300156</v>
          </cell>
          <cell r="C577" t="str">
            <v>Duckfoot bend</v>
          </cell>
          <cell r="D577">
            <v>300</v>
          </cell>
          <cell r="E577">
            <v>156</v>
          </cell>
          <cell r="F577" t="str">
            <v>each</v>
          </cell>
          <cell r="G577">
            <v>5187</v>
          </cell>
          <cell r="H577">
            <v>8252.4</v>
          </cell>
        </row>
        <row r="578">
          <cell r="B578" t="str">
            <v>Duckfoot bend350214</v>
          </cell>
          <cell r="C578" t="str">
            <v>Duckfoot bend</v>
          </cell>
          <cell r="D578">
            <v>350</v>
          </cell>
          <cell r="E578">
            <v>214</v>
          </cell>
          <cell r="F578" t="str">
            <v>each</v>
          </cell>
          <cell r="G578">
            <v>7115.5</v>
          </cell>
          <cell r="H578">
            <v>11320.6</v>
          </cell>
        </row>
        <row r="579">
          <cell r="B579" t="str">
            <v>Duckfoot bend400281</v>
          </cell>
          <cell r="C579" t="str">
            <v>Duckfoot bend</v>
          </cell>
          <cell r="D579">
            <v>400</v>
          </cell>
          <cell r="E579">
            <v>281</v>
          </cell>
          <cell r="F579" t="str">
            <v>each</v>
          </cell>
          <cell r="G579">
            <v>9343.25</v>
          </cell>
          <cell r="H579">
            <v>14864.9</v>
          </cell>
        </row>
        <row r="580">
          <cell r="B580" t="str">
            <v>Duckfoot bend450350</v>
          </cell>
          <cell r="C580" t="str">
            <v>Duckfoot bend</v>
          </cell>
          <cell r="D580">
            <v>450</v>
          </cell>
          <cell r="E580">
            <v>350</v>
          </cell>
          <cell r="F580" t="str">
            <v>each</v>
          </cell>
          <cell r="G580">
            <v>11637.5</v>
          </cell>
          <cell r="H580">
            <v>18515</v>
          </cell>
        </row>
        <row r="581">
          <cell r="B581" t="str">
            <v>Duckfoot bend500446</v>
          </cell>
          <cell r="C581" t="str">
            <v>Duckfoot bend</v>
          </cell>
          <cell r="D581">
            <v>500</v>
          </cell>
          <cell r="E581">
            <v>446</v>
          </cell>
          <cell r="F581" t="str">
            <v>each</v>
          </cell>
          <cell r="G581">
            <v>14829.5</v>
          </cell>
          <cell r="H581">
            <v>23593.399999999998</v>
          </cell>
        </row>
        <row r="582">
          <cell r="B582" t="str">
            <v>Duckfoot bend600677</v>
          </cell>
          <cell r="C582" t="str">
            <v>Duckfoot bend</v>
          </cell>
          <cell r="D582">
            <v>600</v>
          </cell>
          <cell r="E582">
            <v>677</v>
          </cell>
          <cell r="F582" t="str">
            <v>each</v>
          </cell>
          <cell r="G582">
            <v>22510.25</v>
          </cell>
          <cell r="H582">
            <v>35813.299999999996</v>
          </cell>
        </row>
        <row r="583">
          <cell r="B583" t="str">
            <v>Semicircular bend8025.44</v>
          </cell>
          <cell r="C583" t="str">
            <v>Semicircular bend</v>
          </cell>
          <cell r="D583">
            <v>80</v>
          </cell>
          <cell r="E583">
            <v>25.44</v>
          </cell>
          <cell r="F583" t="str">
            <v>each</v>
          </cell>
          <cell r="G583">
            <v>845.88</v>
          </cell>
          <cell r="H583">
            <v>1345.7760000000001</v>
          </cell>
        </row>
        <row r="584">
          <cell r="B584" t="str">
            <v>Semicircular bend10035.35</v>
          </cell>
          <cell r="C584" t="str">
            <v>Semicircular bend</v>
          </cell>
          <cell r="D584">
            <v>100</v>
          </cell>
          <cell r="E584">
            <v>35.35</v>
          </cell>
          <cell r="F584" t="str">
            <v>each</v>
          </cell>
          <cell r="G584">
            <v>1175.3875</v>
          </cell>
          <cell r="H584">
            <v>1870.0150000000001</v>
          </cell>
        </row>
        <row r="585">
          <cell r="B585" t="str">
            <v>Semicircular bend12550.8</v>
          </cell>
          <cell r="C585" t="str">
            <v>Semicircular bend</v>
          </cell>
          <cell r="D585">
            <v>125</v>
          </cell>
          <cell r="E585">
            <v>50.8</v>
          </cell>
          <cell r="F585" t="str">
            <v>each</v>
          </cell>
          <cell r="G585">
            <v>1689.1</v>
          </cell>
          <cell r="H585">
            <v>2687.3199999999997</v>
          </cell>
        </row>
        <row r="586">
          <cell r="B586" t="str">
            <v>Semicircular bend15071.12</v>
          </cell>
          <cell r="C586" t="str">
            <v>Semicircular bend</v>
          </cell>
          <cell r="D586">
            <v>150</v>
          </cell>
          <cell r="E586">
            <v>71.12</v>
          </cell>
          <cell r="F586" t="str">
            <v>each</v>
          </cell>
          <cell r="G586">
            <v>2364.7400000000002</v>
          </cell>
          <cell r="H586">
            <v>3762.248</v>
          </cell>
        </row>
        <row r="587">
          <cell r="B587" t="str">
            <v>Semicircular bend200116.85</v>
          </cell>
          <cell r="C587" t="str">
            <v>Semicircular bend</v>
          </cell>
          <cell r="D587">
            <v>200</v>
          </cell>
          <cell r="E587">
            <v>116.85</v>
          </cell>
          <cell r="F587" t="str">
            <v>each</v>
          </cell>
          <cell r="G587">
            <v>3885.2624999999998</v>
          </cell>
          <cell r="H587">
            <v>6181.3649999999998</v>
          </cell>
        </row>
        <row r="588">
          <cell r="B588" t="str">
            <v>Sluice valve80</v>
          </cell>
          <cell r="C588" t="str">
            <v>Sluice valve</v>
          </cell>
          <cell r="D588">
            <v>80</v>
          </cell>
          <cell r="E588">
            <v>0</v>
          </cell>
          <cell r="F588" t="str">
            <v>each</v>
          </cell>
          <cell r="G588">
            <v>3273</v>
          </cell>
          <cell r="H588">
            <v>4255</v>
          </cell>
        </row>
        <row r="589">
          <cell r="B589" t="str">
            <v>Sluice valve100</v>
          </cell>
          <cell r="C589" t="str">
            <v>Sluice valve</v>
          </cell>
          <cell r="D589">
            <v>100</v>
          </cell>
          <cell r="E589">
            <v>0</v>
          </cell>
          <cell r="F589" t="str">
            <v>each</v>
          </cell>
          <cell r="G589">
            <v>4364</v>
          </cell>
          <cell r="H589">
            <v>5673</v>
          </cell>
        </row>
        <row r="590">
          <cell r="B590" t="str">
            <v>Sluice valve125</v>
          </cell>
          <cell r="C590" t="str">
            <v>Sluice valve</v>
          </cell>
          <cell r="D590">
            <v>125</v>
          </cell>
          <cell r="E590">
            <v>0</v>
          </cell>
          <cell r="F590" t="str">
            <v>each</v>
          </cell>
          <cell r="G590">
            <v>5454</v>
          </cell>
          <cell r="H590">
            <v>7090</v>
          </cell>
        </row>
        <row r="591">
          <cell r="B591" t="str">
            <v>Sluice valve150</v>
          </cell>
          <cell r="C591" t="str">
            <v>Sluice valve</v>
          </cell>
          <cell r="D591">
            <v>150</v>
          </cell>
          <cell r="E591">
            <v>0</v>
          </cell>
          <cell r="F591" t="str">
            <v>each</v>
          </cell>
          <cell r="G591">
            <v>6545</v>
          </cell>
          <cell r="H591">
            <v>8509</v>
          </cell>
        </row>
        <row r="592">
          <cell r="B592" t="str">
            <v>Sluice valve200</v>
          </cell>
          <cell r="C592" t="str">
            <v>Sluice valve</v>
          </cell>
          <cell r="D592">
            <v>200</v>
          </cell>
          <cell r="E592">
            <v>0</v>
          </cell>
          <cell r="F592" t="str">
            <v>each</v>
          </cell>
          <cell r="G592">
            <v>11472</v>
          </cell>
          <cell r="H592">
            <v>14914</v>
          </cell>
        </row>
        <row r="593">
          <cell r="B593" t="str">
            <v>Sluice valve250</v>
          </cell>
          <cell r="C593" t="str">
            <v>Sluice valve</v>
          </cell>
          <cell r="D593">
            <v>250</v>
          </cell>
          <cell r="E593">
            <v>0</v>
          </cell>
          <cell r="F593" t="str">
            <v>each</v>
          </cell>
          <cell r="G593">
            <v>16226</v>
          </cell>
          <cell r="H593">
            <v>21094</v>
          </cell>
        </row>
        <row r="594">
          <cell r="B594" t="str">
            <v>Sluice valve300</v>
          </cell>
          <cell r="C594" t="str">
            <v>Sluice valve</v>
          </cell>
          <cell r="D594">
            <v>300</v>
          </cell>
          <cell r="E594">
            <v>0</v>
          </cell>
          <cell r="F594" t="str">
            <v>each</v>
          </cell>
          <cell r="G594">
            <v>22274</v>
          </cell>
          <cell r="H594">
            <v>28956</v>
          </cell>
        </row>
        <row r="595">
          <cell r="B595" t="str">
            <v>Sluice valve350</v>
          </cell>
          <cell r="C595" t="str">
            <v>Sluice valve</v>
          </cell>
          <cell r="D595">
            <v>350</v>
          </cell>
          <cell r="E595">
            <v>0</v>
          </cell>
          <cell r="F595" t="str">
            <v>each</v>
          </cell>
          <cell r="G595">
            <v>50087</v>
          </cell>
          <cell r="H595">
            <v>71629</v>
          </cell>
        </row>
        <row r="596">
          <cell r="B596" t="str">
            <v>Sluice valve400</v>
          </cell>
          <cell r="C596" t="str">
            <v>Sluice valve</v>
          </cell>
          <cell r="D596">
            <v>400</v>
          </cell>
          <cell r="E596">
            <v>0</v>
          </cell>
          <cell r="F596" t="str">
            <v>each</v>
          </cell>
          <cell r="G596">
            <v>59372</v>
          </cell>
          <cell r="H596">
            <v>89548</v>
          </cell>
        </row>
        <row r="597">
          <cell r="B597" t="str">
            <v>Sluice valve450</v>
          </cell>
          <cell r="C597" t="str">
            <v>Sluice valve</v>
          </cell>
          <cell r="D597">
            <v>450</v>
          </cell>
          <cell r="E597">
            <v>0</v>
          </cell>
          <cell r="F597" t="str">
            <v>each</v>
          </cell>
          <cell r="G597">
            <v>74549</v>
          </cell>
          <cell r="H597">
            <v>112411</v>
          </cell>
        </row>
        <row r="598">
          <cell r="B598" t="str">
            <v>Sluice valve500</v>
          </cell>
          <cell r="C598" t="str">
            <v>Sluice valve</v>
          </cell>
          <cell r="D598">
            <v>500</v>
          </cell>
          <cell r="E598">
            <v>0</v>
          </cell>
          <cell r="F598" t="str">
            <v>each</v>
          </cell>
          <cell r="G598">
            <v>85525</v>
          </cell>
          <cell r="H598">
            <v>129168</v>
          </cell>
        </row>
        <row r="599">
          <cell r="B599" t="str">
            <v>Sluice valve600</v>
          </cell>
          <cell r="C599" t="str">
            <v>Sluice valve</v>
          </cell>
          <cell r="D599">
            <v>600</v>
          </cell>
          <cell r="E599">
            <v>0</v>
          </cell>
          <cell r="F599" t="str">
            <v>each</v>
          </cell>
          <cell r="G599">
            <v>125270</v>
          </cell>
          <cell r="H599">
            <v>191519</v>
          </cell>
        </row>
        <row r="600">
          <cell r="B600" t="str">
            <v>Lowering63PVC</v>
          </cell>
          <cell r="C600" t="str">
            <v>Lowering,L/J &amp; testing PVC pipes</v>
          </cell>
          <cell r="D600">
            <v>63</v>
          </cell>
          <cell r="E600" t="str">
            <v>PVC</v>
          </cell>
          <cell r="F600" t="str">
            <v>rmt</v>
          </cell>
          <cell r="G600">
            <v>7.9</v>
          </cell>
          <cell r="H600">
            <v>9.1</v>
          </cell>
        </row>
        <row r="601">
          <cell r="B601" t="str">
            <v>Lowering75PVC</v>
          </cell>
          <cell r="C601" t="str">
            <v>Lowering,L/J &amp; testing PVC pipes</v>
          </cell>
          <cell r="D601">
            <v>75</v>
          </cell>
          <cell r="E601" t="str">
            <v>PVC</v>
          </cell>
          <cell r="F601" t="str">
            <v>rmt</v>
          </cell>
          <cell r="G601">
            <v>8.4</v>
          </cell>
          <cell r="H601">
            <v>9.6999999999999993</v>
          </cell>
        </row>
        <row r="602">
          <cell r="B602" t="str">
            <v>Lowering90PVC</v>
          </cell>
          <cell r="C602" t="str">
            <v>Lowering,L/J &amp; testing PVC pipes</v>
          </cell>
          <cell r="D602">
            <v>90</v>
          </cell>
          <cell r="E602" t="str">
            <v>PVC</v>
          </cell>
          <cell r="F602" t="str">
            <v>rmt</v>
          </cell>
          <cell r="G602">
            <v>8.5</v>
          </cell>
          <cell r="H602">
            <v>9.8000000000000007</v>
          </cell>
        </row>
        <row r="603">
          <cell r="B603" t="str">
            <v>Lowering110PVC</v>
          </cell>
          <cell r="C603" t="str">
            <v>Lowering,L/J &amp; testing PVC pipes</v>
          </cell>
          <cell r="D603">
            <v>110</v>
          </cell>
          <cell r="E603" t="str">
            <v>PVC</v>
          </cell>
          <cell r="F603" t="str">
            <v>rmt</v>
          </cell>
          <cell r="G603">
            <v>9.1</v>
          </cell>
          <cell r="H603">
            <v>10.5</v>
          </cell>
        </row>
        <row r="604">
          <cell r="B604" t="str">
            <v>Lowering125PVC</v>
          </cell>
          <cell r="C604" t="str">
            <v>Lowering,L/J &amp; testing PVC pipes</v>
          </cell>
          <cell r="D604">
            <v>125</v>
          </cell>
          <cell r="E604" t="str">
            <v>PVC</v>
          </cell>
          <cell r="F604" t="str">
            <v>rmt</v>
          </cell>
          <cell r="G604">
            <v>9.5</v>
          </cell>
          <cell r="H604">
            <v>10.9</v>
          </cell>
        </row>
        <row r="605">
          <cell r="B605" t="str">
            <v>Lowering140PVC</v>
          </cell>
          <cell r="C605" t="str">
            <v>Lowering,L/J &amp; testing PVC pipes</v>
          </cell>
          <cell r="D605">
            <v>140</v>
          </cell>
          <cell r="E605" t="str">
            <v>PVC</v>
          </cell>
          <cell r="F605" t="str">
            <v>rmt</v>
          </cell>
          <cell r="G605">
            <v>9.8000000000000007</v>
          </cell>
          <cell r="H605">
            <v>11.3</v>
          </cell>
        </row>
        <row r="606">
          <cell r="B606" t="str">
            <v>Lowering160PVC</v>
          </cell>
          <cell r="C606" t="str">
            <v>Lowering,L/J &amp; testing PVC pipes</v>
          </cell>
          <cell r="D606">
            <v>160</v>
          </cell>
          <cell r="E606" t="str">
            <v>PVC</v>
          </cell>
          <cell r="F606" t="str">
            <v>rmt</v>
          </cell>
          <cell r="G606">
            <v>10.1</v>
          </cell>
          <cell r="H606">
            <v>11.6</v>
          </cell>
        </row>
        <row r="607">
          <cell r="B607" t="str">
            <v>Lowering180PVC</v>
          </cell>
          <cell r="C607" t="str">
            <v>Lowering,L/J &amp; testing PVC pipes</v>
          </cell>
          <cell r="D607">
            <v>180</v>
          </cell>
          <cell r="E607" t="str">
            <v>PVC</v>
          </cell>
          <cell r="F607" t="str">
            <v>rmt</v>
          </cell>
          <cell r="G607">
            <v>10.6</v>
          </cell>
          <cell r="H607">
            <v>12.2</v>
          </cell>
        </row>
        <row r="608">
          <cell r="B608" t="str">
            <v>Lowering200PVC</v>
          </cell>
          <cell r="C608" t="str">
            <v>Lowering,L/J &amp; testing PVC pipes</v>
          </cell>
          <cell r="D608">
            <v>200</v>
          </cell>
          <cell r="E608" t="str">
            <v>PVC</v>
          </cell>
          <cell r="F608" t="str">
            <v>rmt</v>
          </cell>
          <cell r="G608">
            <v>11.3</v>
          </cell>
          <cell r="H608">
            <v>13</v>
          </cell>
        </row>
        <row r="609">
          <cell r="B609" t="str">
            <v>Lowering225PVC</v>
          </cell>
          <cell r="C609" t="str">
            <v>Lowering,L/J &amp; testing PVC pipes</v>
          </cell>
          <cell r="D609">
            <v>225</v>
          </cell>
          <cell r="E609" t="str">
            <v>PVC</v>
          </cell>
          <cell r="F609" t="str">
            <v>rmt</v>
          </cell>
          <cell r="G609">
            <v>11.8</v>
          </cell>
          <cell r="H609">
            <v>13.6</v>
          </cell>
        </row>
        <row r="610">
          <cell r="B610" t="str">
            <v>Lowering250PVC</v>
          </cell>
          <cell r="C610" t="str">
            <v>Lowering,L/J &amp; testing PVC pipes</v>
          </cell>
          <cell r="D610">
            <v>250</v>
          </cell>
          <cell r="E610" t="str">
            <v>PVC</v>
          </cell>
          <cell r="F610" t="str">
            <v>rmt</v>
          </cell>
          <cell r="G610">
            <v>12.3</v>
          </cell>
          <cell r="H610">
            <v>14.1</v>
          </cell>
        </row>
        <row r="611">
          <cell r="B611" t="str">
            <v>Lowering280PVC</v>
          </cell>
          <cell r="C611" t="str">
            <v>Lowering,L/J &amp; testing PVC pipes</v>
          </cell>
          <cell r="D611">
            <v>280</v>
          </cell>
          <cell r="E611" t="str">
            <v>PVC</v>
          </cell>
          <cell r="F611" t="str">
            <v>rmt</v>
          </cell>
          <cell r="G611">
            <v>12.9</v>
          </cell>
          <cell r="H611">
            <v>14.8</v>
          </cell>
        </row>
        <row r="612">
          <cell r="B612" t="str">
            <v>Lowering315PVC</v>
          </cell>
          <cell r="C612" t="str">
            <v>Lowering,L/J &amp; testing PVC pipes</v>
          </cell>
          <cell r="D612">
            <v>315</v>
          </cell>
          <cell r="E612" t="str">
            <v>PVC</v>
          </cell>
          <cell r="F612" t="str">
            <v>rmt</v>
          </cell>
          <cell r="G612">
            <v>13.6</v>
          </cell>
          <cell r="H612">
            <v>15.6</v>
          </cell>
        </row>
        <row r="613">
          <cell r="B613" t="str">
            <v>Lowering,L/J &amp; testing HDPE pipes63HDPE</v>
          </cell>
          <cell r="C613" t="str">
            <v>Lowering,L/J &amp; testing HDPE pipes</v>
          </cell>
          <cell r="D613">
            <v>63</v>
          </cell>
          <cell r="E613" t="str">
            <v>HDPE</v>
          </cell>
          <cell r="F613" t="str">
            <v>rmt</v>
          </cell>
          <cell r="G613">
            <v>18.2</v>
          </cell>
          <cell r="H613">
            <v>20.9</v>
          </cell>
        </row>
        <row r="614">
          <cell r="B614" t="str">
            <v>Lowering,L/J &amp; testing HDPE pipes75HDPE</v>
          </cell>
          <cell r="C614" t="str">
            <v>Lowering,L/J &amp; testing HDPE pipes</v>
          </cell>
          <cell r="D614">
            <v>75</v>
          </cell>
          <cell r="E614" t="str">
            <v>HDPE</v>
          </cell>
          <cell r="F614" t="str">
            <v>rmt</v>
          </cell>
          <cell r="G614">
            <v>20.100000000000001</v>
          </cell>
          <cell r="H614">
            <v>23.1</v>
          </cell>
        </row>
        <row r="615">
          <cell r="B615" t="str">
            <v>Lowering,L/J &amp; testing HDPE pipes90HDPE</v>
          </cell>
          <cell r="C615" t="str">
            <v>Lowering,L/J &amp; testing HDPE pipes</v>
          </cell>
          <cell r="D615">
            <v>90</v>
          </cell>
          <cell r="E615" t="str">
            <v>HDPE</v>
          </cell>
          <cell r="F615" t="str">
            <v>rmt</v>
          </cell>
          <cell r="G615">
            <v>22.1</v>
          </cell>
          <cell r="H615">
            <v>25.4</v>
          </cell>
        </row>
        <row r="616">
          <cell r="B616" t="str">
            <v>Lowering,L/J &amp; testing HDPE pipes110HDPE</v>
          </cell>
          <cell r="C616" t="str">
            <v>Lowering,L/J &amp; testing HDPE pipes</v>
          </cell>
          <cell r="D616">
            <v>110</v>
          </cell>
          <cell r="E616" t="str">
            <v>HDPE</v>
          </cell>
          <cell r="F616" t="str">
            <v>rmt</v>
          </cell>
          <cell r="G616">
            <v>25.5</v>
          </cell>
          <cell r="H616">
            <v>29.3</v>
          </cell>
        </row>
        <row r="617">
          <cell r="B617" t="str">
            <v>Lowering,L/J &amp; testing HDPE pipes125HDPE</v>
          </cell>
          <cell r="C617" t="str">
            <v>Lowering,L/J &amp; testing HDPE pipes</v>
          </cell>
          <cell r="D617">
            <v>125</v>
          </cell>
          <cell r="E617" t="str">
            <v>HDPE</v>
          </cell>
          <cell r="F617" t="str">
            <v>rmt</v>
          </cell>
          <cell r="G617">
            <v>30.6</v>
          </cell>
          <cell r="H617">
            <v>35.200000000000003</v>
          </cell>
        </row>
        <row r="618">
          <cell r="B618" t="str">
            <v>Lowering,L/J &amp; testing HDPE pipes140HDPE</v>
          </cell>
          <cell r="C618" t="str">
            <v>Lowering,L/J &amp; testing HDPE pipes</v>
          </cell>
          <cell r="D618">
            <v>140</v>
          </cell>
          <cell r="E618" t="str">
            <v>HDPE</v>
          </cell>
          <cell r="F618" t="str">
            <v>rmt</v>
          </cell>
          <cell r="G618">
            <v>33</v>
          </cell>
          <cell r="H618">
            <v>38</v>
          </cell>
        </row>
        <row r="619">
          <cell r="B619" t="str">
            <v>Lowering,L/J &amp; testing HDPE pipes160HDPE</v>
          </cell>
          <cell r="C619" t="str">
            <v>Lowering,L/J &amp; testing HDPE pipes</v>
          </cell>
          <cell r="D619">
            <v>160</v>
          </cell>
          <cell r="E619" t="str">
            <v>HDPE</v>
          </cell>
          <cell r="F619" t="str">
            <v>rmt</v>
          </cell>
          <cell r="G619">
            <v>36</v>
          </cell>
          <cell r="H619">
            <v>41.4</v>
          </cell>
        </row>
        <row r="620">
          <cell r="B620" t="str">
            <v>Lowering,L/J &amp; testing HDPE pipes180HDPE</v>
          </cell>
          <cell r="C620" t="str">
            <v>Lowering,L/J &amp; testing HDPE pipes</v>
          </cell>
          <cell r="D620">
            <v>180</v>
          </cell>
          <cell r="E620" t="str">
            <v>HDPE</v>
          </cell>
          <cell r="F620" t="str">
            <v>rmt</v>
          </cell>
          <cell r="G620">
            <v>39.1</v>
          </cell>
          <cell r="H620">
            <v>45</v>
          </cell>
        </row>
        <row r="621">
          <cell r="B621" t="str">
            <v>Lowering,L/J &amp; testing HDPE pipes200HDPE</v>
          </cell>
          <cell r="C621" t="str">
            <v>Lowering,L/J &amp; testing HDPE pipes</v>
          </cell>
          <cell r="D621">
            <v>200</v>
          </cell>
          <cell r="E621" t="str">
            <v>HDPE</v>
          </cell>
          <cell r="F621" t="str">
            <v>rmt</v>
          </cell>
          <cell r="G621">
            <v>42.2</v>
          </cell>
          <cell r="H621">
            <v>48.5</v>
          </cell>
        </row>
        <row r="622">
          <cell r="B622" t="str">
            <v>Lowering,L/J &amp; testing HDPE pipes225HDPE</v>
          </cell>
          <cell r="C622" t="str">
            <v>Lowering,L/J &amp; testing HDPE pipes</v>
          </cell>
          <cell r="D622">
            <v>225</v>
          </cell>
          <cell r="E622" t="str">
            <v>HDPE</v>
          </cell>
          <cell r="F622" t="str">
            <v>rmt</v>
          </cell>
          <cell r="G622">
            <v>46</v>
          </cell>
          <cell r="H622">
            <v>52.9</v>
          </cell>
        </row>
        <row r="623">
          <cell r="B623" t="str">
            <v>Lowering,L/J &amp; testing HDPE pipes250HDPE</v>
          </cell>
          <cell r="C623" t="str">
            <v>Lowering,L/J &amp; testing HDPE pipes</v>
          </cell>
          <cell r="D623">
            <v>250</v>
          </cell>
          <cell r="E623" t="str">
            <v>HDPE</v>
          </cell>
          <cell r="F623" t="str">
            <v>rmt</v>
          </cell>
          <cell r="G623">
            <v>49.8</v>
          </cell>
          <cell r="H623">
            <v>57.3</v>
          </cell>
        </row>
        <row r="624">
          <cell r="B624" t="str">
            <v>Lowering,L/J &amp; testing HDPE pipes280HDPE</v>
          </cell>
          <cell r="C624" t="str">
            <v>Lowering,L/J &amp; testing HDPE pipes</v>
          </cell>
          <cell r="D624">
            <v>280</v>
          </cell>
          <cell r="E624" t="str">
            <v>HDPE</v>
          </cell>
          <cell r="F624" t="str">
            <v>rmt</v>
          </cell>
          <cell r="G624">
            <v>54.4</v>
          </cell>
          <cell r="H624">
            <v>62.6</v>
          </cell>
        </row>
        <row r="625">
          <cell r="B625" t="str">
            <v>Lowering,L/J &amp; testing HDPE pipes315HDPE</v>
          </cell>
          <cell r="C625" t="str">
            <v>Lowering,L/J &amp; testing HDPE pipes</v>
          </cell>
          <cell r="D625">
            <v>315</v>
          </cell>
          <cell r="E625" t="str">
            <v>HDPE</v>
          </cell>
          <cell r="F625" t="str">
            <v>rmt</v>
          </cell>
          <cell r="G625">
            <v>108.1</v>
          </cell>
          <cell r="H625">
            <v>124.3</v>
          </cell>
        </row>
        <row r="626">
          <cell r="B626" t="str">
            <v>Lowering,L/J &amp; testing HDPE pipes355HDPE</v>
          </cell>
          <cell r="C626" t="str">
            <v>Lowering,L/J &amp; testing HDPE pipes</v>
          </cell>
          <cell r="D626">
            <v>355</v>
          </cell>
          <cell r="E626" t="str">
            <v>HDPE</v>
          </cell>
          <cell r="F626" t="str">
            <v>rmt</v>
          </cell>
          <cell r="G626">
            <v>120.4</v>
          </cell>
          <cell r="H626">
            <v>138.5</v>
          </cell>
        </row>
        <row r="627">
          <cell r="B627" t="str">
            <v>Lowering of DI pipes80DI</v>
          </cell>
          <cell r="C627" t="str">
            <v>Lowering of DI pipes</v>
          </cell>
          <cell r="D627">
            <v>80</v>
          </cell>
          <cell r="E627" t="str">
            <v>DI</v>
          </cell>
          <cell r="F627" t="str">
            <v>rmt</v>
          </cell>
          <cell r="G627">
            <v>14.4</v>
          </cell>
          <cell r="H627">
            <v>16.600000000000001</v>
          </cell>
        </row>
        <row r="628">
          <cell r="B628" t="str">
            <v>Lowering of DI pipes100DI</v>
          </cell>
          <cell r="C628" t="str">
            <v>Lowering of DI pipes</v>
          </cell>
          <cell r="D628">
            <v>100</v>
          </cell>
          <cell r="E628" t="str">
            <v>DI</v>
          </cell>
          <cell r="F628" t="str">
            <v>rmt</v>
          </cell>
          <cell r="G628">
            <v>14.4</v>
          </cell>
          <cell r="H628">
            <v>16.600000000000001</v>
          </cell>
        </row>
        <row r="629">
          <cell r="B629" t="str">
            <v>Lowering of DI pipes125DI</v>
          </cell>
          <cell r="C629" t="str">
            <v>Lowering of DI pipes</v>
          </cell>
          <cell r="D629">
            <v>125</v>
          </cell>
          <cell r="E629" t="str">
            <v>DI</v>
          </cell>
          <cell r="F629" t="str">
            <v>rmt</v>
          </cell>
          <cell r="G629">
            <v>14.4</v>
          </cell>
          <cell r="H629">
            <v>16.600000000000001</v>
          </cell>
        </row>
        <row r="630">
          <cell r="B630" t="str">
            <v>Lowering of DI pipes150DI</v>
          </cell>
          <cell r="C630" t="str">
            <v>Lowering of DI pipes</v>
          </cell>
          <cell r="D630">
            <v>150</v>
          </cell>
          <cell r="E630" t="str">
            <v>DI</v>
          </cell>
          <cell r="F630" t="str">
            <v>rmt</v>
          </cell>
          <cell r="G630">
            <v>14.4</v>
          </cell>
          <cell r="H630">
            <v>16.600000000000001</v>
          </cell>
        </row>
        <row r="631">
          <cell r="B631" t="str">
            <v>Lowering of DI pipes200DI</v>
          </cell>
          <cell r="C631" t="str">
            <v>Lowering of DI pipes</v>
          </cell>
          <cell r="D631">
            <v>200</v>
          </cell>
          <cell r="E631" t="str">
            <v>DI</v>
          </cell>
          <cell r="F631" t="str">
            <v>rmt</v>
          </cell>
          <cell r="G631">
            <v>18.600000000000001</v>
          </cell>
          <cell r="H631">
            <v>21.4</v>
          </cell>
        </row>
        <row r="632">
          <cell r="B632" t="str">
            <v>Lowering of DI pipes250DI</v>
          </cell>
          <cell r="C632" t="str">
            <v>Lowering of DI pipes</v>
          </cell>
          <cell r="D632">
            <v>250</v>
          </cell>
          <cell r="E632" t="str">
            <v>DI</v>
          </cell>
          <cell r="F632" t="str">
            <v>rmt</v>
          </cell>
          <cell r="G632">
            <v>21</v>
          </cell>
          <cell r="H632">
            <v>24.2</v>
          </cell>
        </row>
        <row r="633">
          <cell r="B633" t="str">
            <v>Lowering of DI pipes300DI</v>
          </cell>
          <cell r="C633" t="str">
            <v>Lowering of DI pipes</v>
          </cell>
          <cell r="D633">
            <v>300</v>
          </cell>
          <cell r="E633" t="str">
            <v>DI</v>
          </cell>
          <cell r="F633" t="str">
            <v>rmt</v>
          </cell>
          <cell r="G633">
            <v>27.1</v>
          </cell>
          <cell r="H633">
            <v>31.2</v>
          </cell>
        </row>
        <row r="634">
          <cell r="B634" t="str">
            <v>Lowering of DI pipes350DI</v>
          </cell>
          <cell r="C634" t="str">
            <v>Lowering of DI pipes</v>
          </cell>
          <cell r="D634">
            <v>350</v>
          </cell>
          <cell r="E634" t="str">
            <v>DI</v>
          </cell>
          <cell r="F634" t="str">
            <v>rmt</v>
          </cell>
          <cell r="G634">
            <v>48.7</v>
          </cell>
          <cell r="H634">
            <v>56</v>
          </cell>
        </row>
        <row r="635">
          <cell r="B635" t="str">
            <v>Lowering of DI pipes400DI</v>
          </cell>
          <cell r="C635" t="str">
            <v>Lowering of DI pipes</v>
          </cell>
          <cell r="D635">
            <v>400</v>
          </cell>
          <cell r="E635" t="str">
            <v>DI</v>
          </cell>
          <cell r="F635" t="str">
            <v>rmt</v>
          </cell>
          <cell r="G635">
            <v>51.5</v>
          </cell>
          <cell r="H635">
            <v>59.2</v>
          </cell>
        </row>
        <row r="636">
          <cell r="B636" t="str">
            <v>Lowering of DI pipes450DI</v>
          </cell>
          <cell r="C636" t="str">
            <v>Lowering of DI pipes</v>
          </cell>
          <cell r="D636">
            <v>450</v>
          </cell>
          <cell r="E636" t="str">
            <v>DI</v>
          </cell>
          <cell r="F636" t="str">
            <v>rmt</v>
          </cell>
          <cell r="G636">
            <v>60.1</v>
          </cell>
          <cell r="H636">
            <v>69.099999999999994</v>
          </cell>
        </row>
        <row r="637">
          <cell r="B637" t="str">
            <v>Lowering of DI pipes500DI</v>
          </cell>
          <cell r="C637" t="str">
            <v>Lowering of DI pipes</v>
          </cell>
          <cell r="D637">
            <v>500</v>
          </cell>
          <cell r="E637" t="str">
            <v>DI</v>
          </cell>
          <cell r="F637" t="str">
            <v>rmt</v>
          </cell>
          <cell r="G637">
            <v>64.8</v>
          </cell>
          <cell r="H637">
            <v>74.5</v>
          </cell>
        </row>
        <row r="638">
          <cell r="B638" t="str">
            <v>Lowering of DI pipes600DI</v>
          </cell>
          <cell r="C638" t="str">
            <v>Lowering of DI pipes</v>
          </cell>
          <cell r="D638">
            <v>600</v>
          </cell>
          <cell r="E638" t="str">
            <v>DI</v>
          </cell>
          <cell r="F638" t="str">
            <v>rmt</v>
          </cell>
          <cell r="G638">
            <v>86.1</v>
          </cell>
          <cell r="H638">
            <v>99</v>
          </cell>
        </row>
        <row r="639">
          <cell r="B639" t="str">
            <v>Lowering of DI pipes700DI</v>
          </cell>
          <cell r="C639" t="str">
            <v>Lowering of DI pipes</v>
          </cell>
          <cell r="D639">
            <v>700</v>
          </cell>
          <cell r="E639" t="str">
            <v>DI</v>
          </cell>
          <cell r="F639" t="str">
            <v>rmt</v>
          </cell>
          <cell r="G639">
            <v>104.8</v>
          </cell>
          <cell r="H639">
            <v>120.5</v>
          </cell>
        </row>
        <row r="640">
          <cell r="B640" t="str">
            <v>Lowering of DI pipes750DI</v>
          </cell>
          <cell r="C640" t="str">
            <v>Lowering of DI pipes</v>
          </cell>
          <cell r="D640">
            <v>750</v>
          </cell>
          <cell r="E640" t="str">
            <v>DI</v>
          </cell>
          <cell r="F640" t="str">
            <v>rmt</v>
          </cell>
          <cell r="G640">
            <v>121</v>
          </cell>
          <cell r="H640">
            <v>139.19999999999999</v>
          </cell>
        </row>
        <row r="641">
          <cell r="B641" t="str">
            <v>Lowering of DI pipes800DI</v>
          </cell>
          <cell r="C641" t="str">
            <v>Lowering of DI pipes</v>
          </cell>
          <cell r="D641">
            <v>800</v>
          </cell>
          <cell r="E641" t="str">
            <v>DI</v>
          </cell>
          <cell r="F641" t="str">
            <v>rmt</v>
          </cell>
          <cell r="G641">
            <v>0</v>
          </cell>
          <cell r="H641">
            <v>161.5</v>
          </cell>
        </row>
        <row r="642">
          <cell r="B642" t="str">
            <v>Lowering of DI pipes900DI</v>
          </cell>
          <cell r="C642" t="str">
            <v>Lowering of DI pipes</v>
          </cell>
          <cell r="D642">
            <v>900</v>
          </cell>
          <cell r="E642" t="str">
            <v>DI</v>
          </cell>
          <cell r="F642" t="str">
            <v>rmt</v>
          </cell>
          <cell r="G642">
            <v>0</v>
          </cell>
          <cell r="H642">
            <v>193.5</v>
          </cell>
        </row>
        <row r="643">
          <cell r="B643" t="str">
            <v>Lowering of DI pipes1000DI</v>
          </cell>
          <cell r="C643" t="str">
            <v>Lowering of DI pipes</v>
          </cell>
          <cell r="D643">
            <v>1000</v>
          </cell>
          <cell r="E643" t="str">
            <v>DI</v>
          </cell>
          <cell r="F643" t="str">
            <v>rmt</v>
          </cell>
          <cell r="G643">
            <v>0</v>
          </cell>
          <cell r="H643">
            <v>233.8</v>
          </cell>
        </row>
        <row r="644">
          <cell r="B644" t="str">
            <v>Lowering of DI pipes1100DI</v>
          </cell>
          <cell r="C644" t="str">
            <v>Lowering of DI pipes</v>
          </cell>
          <cell r="D644">
            <v>1100</v>
          </cell>
          <cell r="E644" t="str">
            <v>DI</v>
          </cell>
          <cell r="F644" t="str">
            <v>rmt</v>
          </cell>
          <cell r="G644">
            <v>0</v>
          </cell>
          <cell r="H644">
            <v>277.8</v>
          </cell>
        </row>
        <row r="645">
          <cell r="B645" t="str">
            <v>Lowering of DI pipes1200DI</v>
          </cell>
          <cell r="C645" t="str">
            <v>Lowering of DI pipes</v>
          </cell>
          <cell r="D645">
            <v>1200</v>
          </cell>
          <cell r="E645" t="str">
            <v>DI</v>
          </cell>
          <cell r="F645" t="str">
            <v>rmt</v>
          </cell>
          <cell r="G645">
            <v>0</v>
          </cell>
          <cell r="H645">
            <v>325.89999999999998</v>
          </cell>
        </row>
        <row r="646">
          <cell r="B646" t="str">
            <v>Lowering of PSC pipes350PSC</v>
          </cell>
          <cell r="C646" t="str">
            <v>Lowering of PSC pipes</v>
          </cell>
          <cell r="D646">
            <v>350</v>
          </cell>
          <cell r="E646" t="str">
            <v>PSC</v>
          </cell>
          <cell r="F646" t="str">
            <v>rmt</v>
          </cell>
          <cell r="G646">
            <v>90</v>
          </cell>
        </row>
        <row r="647">
          <cell r="B647" t="str">
            <v>Lowering of PSC pipes400PSC</v>
          </cell>
          <cell r="C647" t="str">
            <v>Lowering of PSC pipes</v>
          </cell>
          <cell r="D647">
            <v>400</v>
          </cell>
          <cell r="E647" t="str">
            <v>PSC</v>
          </cell>
          <cell r="F647">
            <v>0</v>
          </cell>
          <cell r="G647">
            <v>102</v>
          </cell>
        </row>
        <row r="648">
          <cell r="B648" t="str">
            <v>Lowering of PSC pipes450PSC</v>
          </cell>
          <cell r="C648" t="str">
            <v>Lowering of PSC pipes</v>
          </cell>
          <cell r="D648">
            <v>450</v>
          </cell>
          <cell r="E648" t="str">
            <v>PSC</v>
          </cell>
          <cell r="F648">
            <v>0</v>
          </cell>
          <cell r="G648">
            <v>114</v>
          </cell>
        </row>
        <row r="649">
          <cell r="B649" t="str">
            <v>Lowering of PSC pipes500PSC</v>
          </cell>
          <cell r="C649" t="str">
            <v>Lowering of PSC pipes</v>
          </cell>
          <cell r="D649">
            <v>500</v>
          </cell>
          <cell r="E649" t="str">
            <v>PSC</v>
          </cell>
          <cell r="F649">
            <v>0</v>
          </cell>
          <cell r="G649">
            <v>120</v>
          </cell>
        </row>
        <row r="650">
          <cell r="B650" t="str">
            <v>Lowering of PSC pipes600PSC</v>
          </cell>
          <cell r="C650" t="str">
            <v>Lowering of PSC pipes</v>
          </cell>
          <cell r="D650">
            <v>600</v>
          </cell>
          <cell r="E650" t="str">
            <v>PSC</v>
          </cell>
          <cell r="F650">
            <v>0</v>
          </cell>
          <cell r="G650">
            <v>150</v>
          </cell>
        </row>
        <row r="651">
          <cell r="B651" t="str">
            <v>Lowering of PSC pipes700PSC</v>
          </cell>
          <cell r="C651" t="str">
            <v>Lowering of PSC pipes</v>
          </cell>
          <cell r="D651">
            <v>700</v>
          </cell>
          <cell r="E651" t="str">
            <v>PSC</v>
          </cell>
          <cell r="F651">
            <v>0</v>
          </cell>
          <cell r="G651">
            <v>174</v>
          </cell>
        </row>
        <row r="652">
          <cell r="B652" t="str">
            <v>Lowering of PSC pipes800PSC</v>
          </cell>
          <cell r="C652" t="str">
            <v>Lowering of PSC pipes</v>
          </cell>
          <cell r="D652">
            <v>800</v>
          </cell>
          <cell r="E652" t="str">
            <v>PSC</v>
          </cell>
          <cell r="F652">
            <v>0</v>
          </cell>
          <cell r="G652">
            <v>198</v>
          </cell>
        </row>
        <row r="653">
          <cell r="B653" t="str">
            <v>Lowering of PSC pipes900PSC</v>
          </cell>
          <cell r="C653" t="str">
            <v>Lowering of PSC pipes</v>
          </cell>
          <cell r="D653">
            <v>900</v>
          </cell>
          <cell r="E653" t="str">
            <v>PSC</v>
          </cell>
          <cell r="F653">
            <v>0</v>
          </cell>
          <cell r="G653">
            <v>222</v>
          </cell>
        </row>
        <row r="654">
          <cell r="B654" t="str">
            <v>Lowering of PSC pipes1000PSC</v>
          </cell>
          <cell r="C654" t="str">
            <v>Lowering of PSC pipes</v>
          </cell>
          <cell r="D654">
            <v>1000</v>
          </cell>
          <cell r="E654" t="str">
            <v>PSC</v>
          </cell>
          <cell r="F654">
            <v>0</v>
          </cell>
          <cell r="G654">
            <v>252</v>
          </cell>
        </row>
        <row r="655">
          <cell r="B655" t="str">
            <v>Lowering of GRP pipes350GRP</v>
          </cell>
          <cell r="C655" t="str">
            <v>Lowering of GRP pipes</v>
          </cell>
          <cell r="D655">
            <v>350</v>
          </cell>
          <cell r="E655" t="str">
            <v>GRP</v>
          </cell>
          <cell r="F655">
            <v>0</v>
          </cell>
          <cell r="G655">
            <v>120</v>
          </cell>
        </row>
        <row r="656">
          <cell r="B656" t="str">
            <v>Lowering of GRP pipes400GRP</v>
          </cell>
          <cell r="C656" t="str">
            <v>Lowering of GRP pipes</v>
          </cell>
          <cell r="D656">
            <v>400</v>
          </cell>
          <cell r="E656" t="str">
            <v>GRP</v>
          </cell>
          <cell r="F656">
            <v>0</v>
          </cell>
          <cell r="G656">
            <v>180</v>
          </cell>
        </row>
        <row r="657">
          <cell r="B657" t="str">
            <v>Lowering of GRP pipes450GRP</v>
          </cell>
          <cell r="C657" t="str">
            <v>Lowering of GRP pipes</v>
          </cell>
          <cell r="D657">
            <v>450</v>
          </cell>
          <cell r="E657" t="str">
            <v>GRP</v>
          </cell>
          <cell r="F657">
            <v>0</v>
          </cell>
          <cell r="G657">
            <v>220</v>
          </cell>
        </row>
        <row r="658">
          <cell r="B658" t="str">
            <v>Lowering of GRP pipes500GRP</v>
          </cell>
          <cell r="C658" t="str">
            <v>Lowering of GRP pipes</v>
          </cell>
          <cell r="D658">
            <v>500</v>
          </cell>
          <cell r="E658" t="str">
            <v>GRP</v>
          </cell>
          <cell r="F658">
            <v>0</v>
          </cell>
          <cell r="G658">
            <v>280</v>
          </cell>
        </row>
        <row r="659">
          <cell r="B659" t="str">
            <v>Lowering of GRP pipes600GRP</v>
          </cell>
          <cell r="C659" t="str">
            <v>Lowering of GRP pipes</v>
          </cell>
          <cell r="D659">
            <v>600</v>
          </cell>
          <cell r="E659" t="str">
            <v>GRP</v>
          </cell>
          <cell r="F659">
            <v>0</v>
          </cell>
          <cell r="G659">
            <v>300</v>
          </cell>
        </row>
        <row r="660">
          <cell r="B660" t="str">
            <v>Lowering of GRP pipes700GRP</v>
          </cell>
          <cell r="C660" t="str">
            <v>Lowering of GRP pipes</v>
          </cell>
          <cell r="D660">
            <v>700</v>
          </cell>
          <cell r="E660" t="str">
            <v>GRP</v>
          </cell>
          <cell r="F660">
            <v>0</v>
          </cell>
          <cell r="G660">
            <v>340</v>
          </cell>
        </row>
        <row r="661">
          <cell r="B661" t="str">
            <v>Lowering of GRP pipes800GRP</v>
          </cell>
          <cell r="C661" t="str">
            <v>Lowering of GRP pipes</v>
          </cell>
          <cell r="D661">
            <v>800</v>
          </cell>
          <cell r="E661" t="str">
            <v>GRP</v>
          </cell>
          <cell r="F661">
            <v>0</v>
          </cell>
          <cell r="G661">
            <v>400</v>
          </cell>
        </row>
        <row r="662">
          <cell r="B662" t="str">
            <v>Lowering of GRP pipes900GRP</v>
          </cell>
          <cell r="C662" t="str">
            <v>Lowering of GRP pipes</v>
          </cell>
          <cell r="D662">
            <v>900</v>
          </cell>
          <cell r="E662" t="str">
            <v>GRP</v>
          </cell>
          <cell r="F662">
            <v>0</v>
          </cell>
          <cell r="G662">
            <v>440</v>
          </cell>
        </row>
        <row r="663">
          <cell r="B663" t="str">
            <v>Lowering of GRP pipes1000GRP</v>
          </cell>
          <cell r="C663" t="str">
            <v>Lowering of GRP pipes</v>
          </cell>
          <cell r="D663">
            <v>1000</v>
          </cell>
          <cell r="E663" t="str">
            <v>GRP</v>
          </cell>
          <cell r="F663">
            <v>0</v>
          </cell>
          <cell r="G663">
            <v>510</v>
          </cell>
        </row>
        <row r="664">
          <cell r="B664" t="str">
            <v>Lowering of AC pipes80CL-15</v>
          </cell>
          <cell r="C664" t="str">
            <v>Lowering of AC pipes</v>
          </cell>
          <cell r="D664">
            <v>80</v>
          </cell>
          <cell r="E664" t="str">
            <v>CL-15</v>
          </cell>
          <cell r="F664" t="str">
            <v>rmt</v>
          </cell>
          <cell r="G664">
            <v>2.65</v>
          </cell>
        </row>
        <row r="665">
          <cell r="B665" t="str">
            <v>Lowering of AC pipes100CL-15</v>
          </cell>
          <cell r="C665" t="str">
            <v>Lowering of AC pipes</v>
          </cell>
          <cell r="D665">
            <v>100</v>
          </cell>
          <cell r="E665" t="str">
            <v>CL-15</v>
          </cell>
          <cell r="F665" t="str">
            <v>rmt</v>
          </cell>
          <cell r="G665">
            <v>3.57</v>
          </cell>
        </row>
        <row r="666">
          <cell r="B666" t="str">
            <v>Lowering of AC pipes125CL-15</v>
          </cell>
          <cell r="C666" t="str">
            <v>Lowering of AC pipes</v>
          </cell>
          <cell r="D666">
            <v>125</v>
          </cell>
          <cell r="E666" t="str">
            <v>CL-15</v>
          </cell>
          <cell r="F666" t="str">
            <v>rmt</v>
          </cell>
          <cell r="G666">
            <v>4.5999999999999996</v>
          </cell>
        </row>
        <row r="667">
          <cell r="B667" t="str">
            <v>Lowering of AC pipes150CL-15</v>
          </cell>
          <cell r="C667" t="str">
            <v>Lowering of AC pipes</v>
          </cell>
          <cell r="D667">
            <v>150</v>
          </cell>
          <cell r="E667" t="str">
            <v>CL-15</v>
          </cell>
          <cell r="F667" t="str">
            <v>rmt</v>
          </cell>
          <cell r="G667">
            <v>6.56</v>
          </cell>
        </row>
        <row r="668">
          <cell r="B668" t="str">
            <v>Lowering of AC pipes200CL-15</v>
          </cell>
          <cell r="C668" t="str">
            <v>Lowering of AC pipes</v>
          </cell>
          <cell r="D668">
            <v>200</v>
          </cell>
          <cell r="E668" t="str">
            <v>CL-15</v>
          </cell>
          <cell r="F668" t="str">
            <v>rmt</v>
          </cell>
          <cell r="G668">
            <v>10.93</v>
          </cell>
        </row>
        <row r="669">
          <cell r="B669" t="str">
            <v>Lowering of AC pipes250CL-15</v>
          </cell>
          <cell r="C669" t="str">
            <v>Lowering of AC pipes</v>
          </cell>
          <cell r="D669">
            <v>250</v>
          </cell>
          <cell r="E669" t="str">
            <v>CL-15</v>
          </cell>
          <cell r="F669" t="str">
            <v>rmt</v>
          </cell>
          <cell r="G669">
            <v>13.8</v>
          </cell>
        </row>
        <row r="670">
          <cell r="B670" t="str">
            <v>Lowering of AC pipes300CL-15</v>
          </cell>
          <cell r="C670" t="str">
            <v>Lowering of AC pipes</v>
          </cell>
          <cell r="D670">
            <v>300</v>
          </cell>
          <cell r="E670" t="str">
            <v>CL-15</v>
          </cell>
          <cell r="F670" t="str">
            <v>rmt</v>
          </cell>
          <cell r="G670">
            <v>19.32</v>
          </cell>
        </row>
        <row r="671">
          <cell r="B671" t="str">
            <v>Lowering of AC pipes350CL-15</v>
          </cell>
          <cell r="C671" t="str">
            <v>Lowering of AC pipes</v>
          </cell>
          <cell r="D671">
            <v>350</v>
          </cell>
          <cell r="E671" t="str">
            <v>CL-15</v>
          </cell>
          <cell r="F671" t="str">
            <v>rmt</v>
          </cell>
          <cell r="G671">
            <v>23.69</v>
          </cell>
        </row>
        <row r="672">
          <cell r="B672" t="str">
            <v>Lowering of AC pipes400CL-15</v>
          </cell>
          <cell r="C672" t="str">
            <v>Lowering of AC pipes</v>
          </cell>
          <cell r="D672">
            <v>400</v>
          </cell>
          <cell r="E672" t="str">
            <v>CL-15</v>
          </cell>
          <cell r="F672" t="str">
            <v>rmt</v>
          </cell>
          <cell r="G672">
            <v>30.82</v>
          </cell>
        </row>
        <row r="673">
          <cell r="B673" t="str">
            <v>Lowering of AC pipes450CL-15</v>
          </cell>
          <cell r="C673" t="str">
            <v>Lowering of AC pipes</v>
          </cell>
          <cell r="D673">
            <v>450</v>
          </cell>
          <cell r="E673" t="str">
            <v>CL-15</v>
          </cell>
          <cell r="F673" t="str">
            <v>rmt</v>
          </cell>
          <cell r="G673">
            <v>36.229999999999997</v>
          </cell>
        </row>
        <row r="674">
          <cell r="B674" t="str">
            <v>Lowering of AC pipes500CL-15</v>
          </cell>
          <cell r="C674" t="str">
            <v>Lowering of AC pipes</v>
          </cell>
          <cell r="D674">
            <v>500</v>
          </cell>
          <cell r="E674" t="str">
            <v>CL-15</v>
          </cell>
          <cell r="F674" t="str">
            <v>rmt</v>
          </cell>
          <cell r="G674">
            <v>44.97</v>
          </cell>
        </row>
        <row r="675">
          <cell r="B675" t="str">
            <v>Lowering of AC pipes600CL-15</v>
          </cell>
          <cell r="C675" t="str">
            <v>Lowering of AC pipes</v>
          </cell>
          <cell r="D675">
            <v>600</v>
          </cell>
          <cell r="E675" t="str">
            <v>CL-15</v>
          </cell>
          <cell r="F675" t="str">
            <v>rmt</v>
          </cell>
          <cell r="G675">
            <v>63.83</v>
          </cell>
        </row>
        <row r="676">
          <cell r="B676" t="str">
            <v>Lowering of AC pipes80CL-20</v>
          </cell>
          <cell r="C676" t="str">
            <v>Lowering of AC pipes</v>
          </cell>
          <cell r="D676">
            <v>80</v>
          </cell>
          <cell r="E676" t="str">
            <v>CL-20</v>
          </cell>
          <cell r="F676" t="str">
            <v>rmt</v>
          </cell>
          <cell r="G676">
            <v>2.99</v>
          </cell>
        </row>
        <row r="677">
          <cell r="B677" t="str">
            <v>Lowering of AC pipes100CL-20</v>
          </cell>
          <cell r="C677" t="str">
            <v>Lowering of AC pipes</v>
          </cell>
          <cell r="D677">
            <v>100</v>
          </cell>
          <cell r="E677" t="str">
            <v>CL-20</v>
          </cell>
          <cell r="F677" t="str">
            <v>rmt</v>
          </cell>
          <cell r="G677">
            <v>4.49</v>
          </cell>
        </row>
        <row r="678">
          <cell r="B678" t="str">
            <v>Lowering of AC pipes125CL-20</v>
          </cell>
          <cell r="C678" t="str">
            <v>Lowering of AC pipes</v>
          </cell>
          <cell r="D678">
            <v>125</v>
          </cell>
          <cell r="E678" t="str">
            <v>CL-20</v>
          </cell>
          <cell r="F678" t="str">
            <v>rmt</v>
          </cell>
          <cell r="G678">
            <v>5.75</v>
          </cell>
        </row>
        <row r="679">
          <cell r="B679" t="str">
            <v>Lowering of AC pipes150CL-20</v>
          </cell>
          <cell r="C679" t="str">
            <v>Lowering of AC pipes</v>
          </cell>
          <cell r="D679">
            <v>150</v>
          </cell>
          <cell r="E679" t="str">
            <v>CL-20</v>
          </cell>
          <cell r="F679" t="str">
            <v>rmt</v>
          </cell>
          <cell r="G679">
            <v>8.17</v>
          </cell>
        </row>
        <row r="680">
          <cell r="B680" t="str">
            <v>Lowering of AC pipes200CL-20</v>
          </cell>
          <cell r="C680" t="str">
            <v>Lowering of AC pipes</v>
          </cell>
          <cell r="D680">
            <v>200</v>
          </cell>
          <cell r="E680" t="str">
            <v>CL-20</v>
          </cell>
          <cell r="F680" t="str">
            <v>rmt</v>
          </cell>
          <cell r="G680">
            <v>13.8</v>
          </cell>
        </row>
        <row r="681">
          <cell r="B681" t="str">
            <v>Lowering of AC pipes250CL-20</v>
          </cell>
          <cell r="C681" t="str">
            <v>Lowering of AC pipes</v>
          </cell>
          <cell r="D681">
            <v>250</v>
          </cell>
          <cell r="E681" t="str">
            <v>CL-20</v>
          </cell>
          <cell r="F681" t="str">
            <v>rmt</v>
          </cell>
          <cell r="G681">
            <v>17.71</v>
          </cell>
        </row>
        <row r="682">
          <cell r="B682" t="str">
            <v>Lowering of AC pipes300CL-20</v>
          </cell>
          <cell r="C682" t="str">
            <v>Lowering of AC pipes</v>
          </cell>
          <cell r="D682">
            <v>300</v>
          </cell>
          <cell r="E682" t="str">
            <v>CL-20</v>
          </cell>
          <cell r="F682" t="str">
            <v>rmt</v>
          </cell>
          <cell r="G682">
            <v>25.07</v>
          </cell>
        </row>
        <row r="683">
          <cell r="B683" t="str">
            <v>Lowering of AC pipes350CL-20</v>
          </cell>
          <cell r="C683" t="str">
            <v>Lowering of AC pipes</v>
          </cell>
          <cell r="D683">
            <v>350</v>
          </cell>
          <cell r="E683" t="str">
            <v>CL-20</v>
          </cell>
          <cell r="F683" t="str">
            <v>rmt</v>
          </cell>
          <cell r="G683">
            <v>30.71</v>
          </cell>
        </row>
        <row r="684">
          <cell r="B684" t="str">
            <v>Lowering of AC pipes400CL-20</v>
          </cell>
          <cell r="C684" t="str">
            <v>Lowering of AC pipes</v>
          </cell>
          <cell r="D684">
            <v>400</v>
          </cell>
          <cell r="E684" t="str">
            <v>CL-20</v>
          </cell>
          <cell r="F684" t="str">
            <v>rmt</v>
          </cell>
          <cell r="G684">
            <v>40.14</v>
          </cell>
        </row>
        <row r="685">
          <cell r="B685" t="str">
            <v>Lowering of AC pipes450CL-20</v>
          </cell>
          <cell r="C685" t="str">
            <v>Lowering of AC pipes</v>
          </cell>
          <cell r="D685">
            <v>450</v>
          </cell>
          <cell r="E685" t="str">
            <v>CL-20</v>
          </cell>
          <cell r="F685" t="str">
            <v>rmt</v>
          </cell>
          <cell r="G685">
            <v>47.96</v>
          </cell>
        </row>
        <row r="686">
          <cell r="B686" t="str">
            <v>Lowering of AC pipes500CL-20</v>
          </cell>
          <cell r="C686" t="str">
            <v>Lowering of AC pipes</v>
          </cell>
          <cell r="D686">
            <v>500</v>
          </cell>
          <cell r="E686" t="str">
            <v>CL-20</v>
          </cell>
          <cell r="F686" t="str">
            <v>rmt</v>
          </cell>
          <cell r="G686">
            <v>58.77</v>
          </cell>
        </row>
        <row r="687">
          <cell r="B687" t="str">
            <v>Lowering of AC pipes600CL-20</v>
          </cell>
          <cell r="C687" t="str">
            <v>Lowering of AC pipes</v>
          </cell>
          <cell r="D687">
            <v>600</v>
          </cell>
          <cell r="E687" t="str">
            <v>CL-20</v>
          </cell>
          <cell r="F687" t="str">
            <v>rmt</v>
          </cell>
          <cell r="G687">
            <v>83.15</v>
          </cell>
        </row>
        <row r="688">
          <cell r="B688" t="str">
            <v>Lowering of AC pipes80CL-20</v>
          </cell>
          <cell r="C688" t="str">
            <v>Lowering of AC pipes</v>
          </cell>
          <cell r="D688">
            <v>80</v>
          </cell>
          <cell r="E688" t="str">
            <v>CL-20</v>
          </cell>
          <cell r="F688" t="str">
            <v>rmt</v>
          </cell>
          <cell r="G688">
            <v>3.68</v>
          </cell>
        </row>
        <row r="689">
          <cell r="B689" t="str">
            <v>Lowering of AC pipes100CL-20</v>
          </cell>
          <cell r="C689" t="str">
            <v>Lowering of AC pipes</v>
          </cell>
          <cell r="D689">
            <v>100</v>
          </cell>
          <cell r="E689" t="str">
            <v>CL-20</v>
          </cell>
          <cell r="F689" t="str">
            <v>rmt</v>
          </cell>
          <cell r="G689">
            <v>5.52</v>
          </cell>
        </row>
        <row r="690">
          <cell r="B690" t="str">
            <v>Lowering of AC pipes125CL-20</v>
          </cell>
          <cell r="C690" t="str">
            <v>Lowering of AC pipes</v>
          </cell>
          <cell r="D690">
            <v>125</v>
          </cell>
          <cell r="E690" t="str">
            <v>CL-20</v>
          </cell>
          <cell r="F690" t="str">
            <v>rmt</v>
          </cell>
          <cell r="G690">
            <v>7.25</v>
          </cell>
        </row>
        <row r="691">
          <cell r="B691" t="str">
            <v>Lowering of AC pipes150CL-20</v>
          </cell>
          <cell r="C691" t="str">
            <v>Lowering of AC pipes</v>
          </cell>
          <cell r="D691">
            <v>150</v>
          </cell>
          <cell r="E691" t="str">
            <v>CL-20</v>
          </cell>
          <cell r="F691" t="str">
            <v>rmt</v>
          </cell>
          <cell r="G691">
            <v>10.24</v>
          </cell>
        </row>
        <row r="692">
          <cell r="B692" t="str">
            <v>Lowering of AC pipes200CL-20</v>
          </cell>
          <cell r="C692" t="str">
            <v>Lowering of AC pipes</v>
          </cell>
          <cell r="D692">
            <v>200</v>
          </cell>
          <cell r="E692" t="str">
            <v>CL-20</v>
          </cell>
          <cell r="F692" t="str">
            <v>rmt</v>
          </cell>
          <cell r="G692">
            <v>17.600000000000001</v>
          </cell>
        </row>
        <row r="693">
          <cell r="B693" t="str">
            <v>Lowering of AC pipes250CL-20</v>
          </cell>
          <cell r="C693" t="str">
            <v>Lowering of AC pipes</v>
          </cell>
          <cell r="D693">
            <v>250</v>
          </cell>
          <cell r="E693" t="str">
            <v>CL-20</v>
          </cell>
          <cell r="F693" t="str">
            <v>rmt</v>
          </cell>
          <cell r="G693">
            <v>22.31</v>
          </cell>
        </row>
        <row r="694">
          <cell r="B694" t="str">
            <v>Lowering of AC pipes300CL-20</v>
          </cell>
          <cell r="C694" t="str">
            <v>Lowering of AC pipes</v>
          </cell>
          <cell r="D694">
            <v>300</v>
          </cell>
          <cell r="E694" t="str">
            <v>CL-20</v>
          </cell>
          <cell r="F694" t="str">
            <v>rmt</v>
          </cell>
          <cell r="G694">
            <v>31.97</v>
          </cell>
        </row>
        <row r="695">
          <cell r="B695" t="str">
            <v>Lowering of AC pipes350CL-20</v>
          </cell>
          <cell r="C695" t="str">
            <v>Lowering of AC pipes</v>
          </cell>
          <cell r="D695">
            <v>350</v>
          </cell>
          <cell r="E695" t="str">
            <v>CL-20</v>
          </cell>
          <cell r="F695" t="str">
            <v>rmt</v>
          </cell>
          <cell r="G695">
            <v>38.64</v>
          </cell>
        </row>
        <row r="696">
          <cell r="B696" t="str">
            <v>Lowering of AC pipes400CL-20</v>
          </cell>
          <cell r="C696" t="str">
            <v>Lowering of AC pipes</v>
          </cell>
          <cell r="D696">
            <v>400</v>
          </cell>
          <cell r="E696" t="str">
            <v>CL-20</v>
          </cell>
          <cell r="F696" t="str">
            <v>rmt</v>
          </cell>
          <cell r="G696">
            <v>49.8</v>
          </cell>
        </row>
        <row r="697">
          <cell r="B697" t="str">
            <v>Lowering of AC pipes450CL-20</v>
          </cell>
          <cell r="C697" t="str">
            <v>Lowering of AC pipes</v>
          </cell>
          <cell r="D697">
            <v>450</v>
          </cell>
          <cell r="E697" t="str">
            <v>CL-20</v>
          </cell>
          <cell r="F697" t="str">
            <v>rmt</v>
          </cell>
          <cell r="G697">
            <v>60.15</v>
          </cell>
        </row>
        <row r="698">
          <cell r="B698" t="str">
            <v>Lowering of AC pipes500CL-20</v>
          </cell>
          <cell r="C698" t="str">
            <v>Lowering of AC pipes</v>
          </cell>
          <cell r="D698">
            <v>500</v>
          </cell>
          <cell r="E698" t="str">
            <v>CL-20</v>
          </cell>
          <cell r="F698" t="str">
            <v>rmt</v>
          </cell>
          <cell r="G698">
            <v>73.83</v>
          </cell>
        </row>
        <row r="699">
          <cell r="B699" t="str">
            <v>Lowering of AC pipes600CL-20</v>
          </cell>
          <cell r="C699" t="str">
            <v>Lowering of AC pipes</v>
          </cell>
          <cell r="D699">
            <v>600</v>
          </cell>
          <cell r="E699" t="str">
            <v>CL-20</v>
          </cell>
          <cell r="F699" t="str">
            <v>rmt</v>
          </cell>
          <cell r="G699">
            <v>106.03</v>
          </cell>
        </row>
        <row r="700">
          <cell r="B700" t="str">
            <v>AC Coupling Cl-1580</v>
          </cell>
          <cell r="C700" t="str">
            <v>AC Coupling Cl-15</v>
          </cell>
          <cell r="D700">
            <v>80</v>
          </cell>
          <cell r="E700">
            <v>0</v>
          </cell>
          <cell r="F700" t="str">
            <v>each</v>
          </cell>
          <cell r="G700">
            <v>52.77</v>
          </cell>
          <cell r="H700">
            <v>64.5</v>
          </cell>
        </row>
        <row r="701">
          <cell r="B701" t="str">
            <v>AC Coupling Cl-15100</v>
          </cell>
          <cell r="C701" t="str">
            <v>AC Coupling Cl-15</v>
          </cell>
          <cell r="D701">
            <v>100</v>
          </cell>
          <cell r="E701">
            <v>0</v>
          </cell>
          <cell r="F701" t="str">
            <v>each</v>
          </cell>
          <cell r="G701">
            <v>68.73</v>
          </cell>
          <cell r="H701">
            <v>84</v>
          </cell>
        </row>
        <row r="702">
          <cell r="B702" t="str">
            <v>AC Coupling Cl-15125</v>
          </cell>
          <cell r="C702" t="str">
            <v>AC Coupling Cl-15</v>
          </cell>
          <cell r="D702">
            <v>125</v>
          </cell>
          <cell r="E702">
            <v>0</v>
          </cell>
          <cell r="F702" t="str">
            <v>each</v>
          </cell>
          <cell r="G702">
            <v>85.91</v>
          </cell>
          <cell r="H702">
            <v>105</v>
          </cell>
        </row>
        <row r="703">
          <cell r="B703" t="str">
            <v>AC Coupling Cl-15150</v>
          </cell>
          <cell r="C703" t="str">
            <v>AC Coupling Cl-15</v>
          </cell>
          <cell r="D703">
            <v>150</v>
          </cell>
          <cell r="E703">
            <v>0</v>
          </cell>
          <cell r="F703" t="str">
            <v>each</v>
          </cell>
          <cell r="G703">
            <v>98.18</v>
          </cell>
          <cell r="H703">
            <v>120</v>
          </cell>
        </row>
        <row r="704">
          <cell r="B704" t="str">
            <v>AC Coupling Cl-15200</v>
          </cell>
          <cell r="C704" t="str">
            <v>AC Coupling Cl-15</v>
          </cell>
          <cell r="D704">
            <v>200</v>
          </cell>
          <cell r="E704">
            <v>0</v>
          </cell>
          <cell r="F704" t="str">
            <v>each</v>
          </cell>
          <cell r="G704">
            <v>181.63</v>
          </cell>
          <cell r="H704">
            <v>222</v>
          </cell>
        </row>
        <row r="705">
          <cell r="B705" t="str">
            <v>AC Coupling Cl-15250</v>
          </cell>
          <cell r="C705" t="str">
            <v>AC Coupling Cl-15</v>
          </cell>
          <cell r="D705">
            <v>250</v>
          </cell>
          <cell r="E705">
            <v>0</v>
          </cell>
          <cell r="F705" t="str">
            <v>each</v>
          </cell>
          <cell r="G705">
            <v>211.09</v>
          </cell>
          <cell r="H705">
            <v>258</v>
          </cell>
        </row>
        <row r="706">
          <cell r="B706" t="str">
            <v>AC Coupling Cl-15300</v>
          </cell>
          <cell r="C706" t="str">
            <v>AC Coupling Cl-15</v>
          </cell>
          <cell r="D706">
            <v>300</v>
          </cell>
          <cell r="E706">
            <v>0</v>
          </cell>
          <cell r="F706" t="str">
            <v>each</v>
          </cell>
          <cell r="G706">
            <v>274.89999999999998</v>
          </cell>
          <cell r="H706">
            <v>336.1</v>
          </cell>
        </row>
        <row r="707">
          <cell r="B707" t="str">
            <v>AC Coupling Cl-15350</v>
          </cell>
          <cell r="C707" t="str">
            <v>AC Coupling Cl-15</v>
          </cell>
          <cell r="D707">
            <v>350</v>
          </cell>
          <cell r="E707">
            <v>0</v>
          </cell>
          <cell r="F707" t="str">
            <v>each</v>
          </cell>
          <cell r="G707">
            <v>358.35</v>
          </cell>
          <cell r="H707">
            <v>438.1</v>
          </cell>
        </row>
        <row r="708">
          <cell r="B708" t="str">
            <v>AC Coupling Cl-15400</v>
          </cell>
          <cell r="C708" t="str">
            <v>AC Coupling Cl-15</v>
          </cell>
          <cell r="D708">
            <v>400</v>
          </cell>
          <cell r="E708">
            <v>0</v>
          </cell>
          <cell r="F708" t="str">
            <v>each</v>
          </cell>
          <cell r="G708">
            <v>552.27</v>
          </cell>
          <cell r="H708">
            <v>675.1</v>
          </cell>
        </row>
        <row r="709">
          <cell r="B709" t="str">
            <v>AC Coupling Cl-15450</v>
          </cell>
          <cell r="C709" t="str">
            <v>AC Coupling Cl-15</v>
          </cell>
          <cell r="D709">
            <v>450</v>
          </cell>
          <cell r="E709">
            <v>0</v>
          </cell>
          <cell r="F709" t="str">
            <v>each</v>
          </cell>
          <cell r="G709">
            <v>662.72</v>
          </cell>
          <cell r="H709">
            <v>810.2</v>
          </cell>
        </row>
        <row r="710">
          <cell r="B710" t="str">
            <v>AC Coupling Cl-15500</v>
          </cell>
          <cell r="C710" t="str">
            <v>AC Coupling Cl-15</v>
          </cell>
          <cell r="D710">
            <v>500</v>
          </cell>
          <cell r="E710">
            <v>0</v>
          </cell>
          <cell r="F710" t="str">
            <v>each</v>
          </cell>
          <cell r="G710">
            <v>790.35</v>
          </cell>
          <cell r="H710">
            <v>966.2</v>
          </cell>
        </row>
        <row r="711">
          <cell r="B711" t="str">
            <v>AC Coupling Cl-15600</v>
          </cell>
          <cell r="C711" t="str">
            <v>AC Coupling Cl-15</v>
          </cell>
          <cell r="D711">
            <v>600</v>
          </cell>
          <cell r="E711">
            <v>0</v>
          </cell>
          <cell r="F711" t="str">
            <v>each</v>
          </cell>
          <cell r="G711">
            <v>951.87</v>
          </cell>
          <cell r="H711">
            <v>1163.5999999999999</v>
          </cell>
        </row>
        <row r="712">
          <cell r="B712" t="str">
            <v>AC Coupling Cl-2080</v>
          </cell>
          <cell r="C712" t="str">
            <v>AC Coupling Cl-20</v>
          </cell>
          <cell r="D712">
            <v>80</v>
          </cell>
          <cell r="E712">
            <v>0</v>
          </cell>
          <cell r="F712" t="str">
            <v>each</v>
          </cell>
          <cell r="G712">
            <v>55.23</v>
          </cell>
          <cell r="H712">
            <v>67.5</v>
          </cell>
        </row>
        <row r="713">
          <cell r="B713" t="str">
            <v>AC Coupling Cl-20100</v>
          </cell>
          <cell r="C713" t="str">
            <v>AC Coupling Cl-20</v>
          </cell>
          <cell r="D713">
            <v>100</v>
          </cell>
          <cell r="E713">
            <v>0</v>
          </cell>
          <cell r="F713" t="str">
            <v>each</v>
          </cell>
          <cell r="G713">
            <v>71.180000000000007</v>
          </cell>
          <cell r="H713">
            <v>87</v>
          </cell>
        </row>
        <row r="714">
          <cell r="B714" t="str">
            <v>AC Coupling Cl-20125</v>
          </cell>
          <cell r="C714" t="str">
            <v>AC Coupling Cl-20</v>
          </cell>
          <cell r="D714">
            <v>125</v>
          </cell>
          <cell r="E714">
            <v>0</v>
          </cell>
          <cell r="F714" t="str">
            <v>each</v>
          </cell>
          <cell r="G714">
            <v>93.28</v>
          </cell>
          <cell r="H714">
            <v>114</v>
          </cell>
        </row>
        <row r="715">
          <cell r="B715" t="str">
            <v>AC Coupling Cl-20150</v>
          </cell>
          <cell r="C715" t="str">
            <v>AC Coupling Cl-20</v>
          </cell>
          <cell r="D715">
            <v>150</v>
          </cell>
          <cell r="E715">
            <v>0</v>
          </cell>
          <cell r="F715" t="str">
            <v>each</v>
          </cell>
          <cell r="G715">
            <v>122.73</v>
          </cell>
          <cell r="H715">
            <v>150</v>
          </cell>
        </row>
        <row r="716">
          <cell r="B716" t="str">
            <v>AC Coupling Cl-20200</v>
          </cell>
          <cell r="C716" t="str">
            <v>AC Coupling Cl-20</v>
          </cell>
          <cell r="D716">
            <v>200</v>
          </cell>
          <cell r="E716">
            <v>0</v>
          </cell>
          <cell r="F716" t="str">
            <v>each</v>
          </cell>
          <cell r="G716">
            <v>193.91</v>
          </cell>
          <cell r="H716">
            <v>237</v>
          </cell>
        </row>
        <row r="717">
          <cell r="B717" t="str">
            <v>AC Coupling Cl-20250</v>
          </cell>
          <cell r="C717" t="str">
            <v>AC Coupling Cl-20</v>
          </cell>
          <cell r="D717">
            <v>250</v>
          </cell>
          <cell r="E717">
            <v>0</v>
          </cell>
          <cell r="F717" t="str">
            <v>each</v>
          </cell>
          <cell r="G717">
            <v>265.08999999999997</v>
          </cell>
          <cell r="H717">
            <v>324.10000000000002</v>
          </cell>
        </row>
        <row r="718">
          <cell r="B718" t="str">
            <v>AC Coupling Cl-20300</v>
          </cell>
          <cell r="C718" t="str">
            <v>AC Coupling Cl-20</v>
          </cell>
          <cell r="D718">
            <v>300</v>
          </cell>
          <cell r="E718">
            <v>0</v>
          </cell>
          <cell r="F718" t="str">
            <v>each</v>
          </cell>
          <cell r="G718">
            <v>355.91</v>
          </cell>
          <cell r="H718">
            <v>435.1</v>
          </cell>
        </row>
        <row r="719">
          <cell r="B719" t="str">
            <v>AC Coupling Cl-20350</v>
          </cell>
          <cell r="C719" t="str">
            <v>AC Coupling Cl-20</v>
          </cell>
          <cell r="D719">
            <v>350</v>
          </cell>
          <cell r="E719">
            <v>0</v>
          </cell>
          <cell r="F719" t="str">
            <v>each</v>
          </cell>
          <cell r="G719">
            <v>463.9</v>
          </cell>
          <cell r="H719">
            <v>567.1</v>
          </cell>
        </row>
        <row r="720">
          <cell r="B720" t="str">
            <v>AC Coupling Cl-20400</v>
          </cell>
          <cell r="C720" t="str">
            <v>AC Coupling Cl-20</v>
          </cell>
          <cell r="D720">
            <v>400</v>
          </cell>
          <cell r="E720">
            <v>0</v>
          </cell>
          <cell r="F720" t="str">
            <v>each</v>
          </cell>
          <cell r="G720">
            <v>721.63</v>
          </cell>
          <cell r="H720">
            <v>882.2</v>
          </cell>
        </row>
        <row r="721">
          <cell r="B721" t="str">
            <v>AC Coupling Cl-20450</v>
          </cell>
          <cell r="C721" t="str">
            <v>AC Coupling Cl-20</v>
          </cell>
          <cell r="D721">
            <v>450</v>
          </cell>
          <cell r="E721">
            <v>0</v>
          </cell>
          <cell r="F721" t="str">
            <v>each</v>
          </cell>
          <cell r="G721">
            <v>873.8</v>
          </cell>
          <cell r="H721">
            <v>1068.2</v>
          </cell>
        </row>
        <row r="722">
          <cell r="B722" t="str">
            <v>AC Coupling Cl-20500</v>
          </cell>
          <cell r="C722" t="str">
            <v>AC Coupling Cl-20</v>
          </cell>
          <cell r="D722">
            <v>500</v>
          </cell>
          <cell r="E722">
            <v>0</v>
          </cell>
          <cell r="F722" t="str">
            <v>each</v>
          </cell>
          <cell r="G722">
            <v>1057.9000000000001</v>
          </cell>
          <cell r="H722">
            <v>1293.2</v>
          </cell>
        </row>
        <row r="723">
          <cell r="B723" t="str">
            <v>AC Coupling Cl-20600</v>
          </cell>
          <cell r="C723" t="str">
            <v>AC Coupling Cl-20</v>
          </cell>
          <cell r="D723">
            <v>600</v>
          </cell>
          <cell r="E723">
            <v>0</v>
          </cell>
          <cell r="F723" t="str">
            <v>each</v>
          </cell>
          <cell r="G723">
            <v>1185.53</v>
          </cell>
          <cell r="H723">
            <v>1449.3</v>
          </cell>
        </row>
        <row r="724">
          <cell r="B724" t="str">
            <v>AC Coupling Cl-2580</v>
          </cell>
          <cell r="C724" t="str">
            <v>AC Coupling Cl-25</v>
          </cell>
          <cell r="D724">
            <v>80</v>
          </cell>
          <cell r="E724">
            <v>0</v>
          </cell>
          <cell r="F724" t="str">
            <v>each</v>
          </cell>
          <cell r="G724">
            <v>63.81</v>
          </cell>
          <cell r="H724">
            <v>78</v>
          </cell>
        </row>
        <row r="725">
          <cell r="B725" t="str">
            <v>AC Coupling Cl-25100</v>
          </cell>
          <cell r="C725" t="str">
            <v>AC Coupling Cl-25</v>
          </cell>
          <cell r="D725">
            <v>100</v>
          </cell>
          <cell r="E725">
            <v>0</v>
          </cell>
          <cell r="F725" t="str">
            <v>each</v>
          </cell>
          <cell r="G725">
            <v>85.91</v>
          </cell>
          <cell r="H725">
            <v>105</v>
          </cell>
        </row>
        <row r="726">
          <cell r="B726" t="str">
            <v>AC Coupling Cl-25125</v>
          </cell>
          <cell r="C726" t="str">
            <v>AC Coupling Cl-25</v>
          </cell>
          <cell r="D726">
            <v>125</v>
          </cell>
          <cell r="E726">
            <v>0</v>
          </cell>
          <cell r="F726" t="str">
            <v>each</v>
          </cell>
          <cell r="G726">
            <v>112.91</v>
          </cell>
          <cell r="H726">
            <v>138</v>
          </cell>
        </row>
        <row r="727">
          <cell r="B727" t="str">
            <v>AC Coupling Cl-25150</v>
          </cell>
          <cell r="C727" t="str">
            <v>AC Coupling Cl-25</v>
          </cell>
          <cell r="D727">
            <v>150</v>
          </cell>
          <cell r="E727">
            <v>0</v>
          </cell>
          <cell r="F727" t="str">
            <v>each</v>
          </cell>
          <cell r="G727">
            <v>152.16999999999999</v>
          </cell>
          <cell r="H727">
            <v>186</v>
          </cell>
        </row>
        <row r="728">
          <cell r="B728" t="str">
            <v>AC Coupling Cl-25200</v>
          </cell>
          <cell r="C728" t="str">
            <v>AC Coupling Cl-25</v>
          </cell>
          <cell r="D728">
            <v>200</v>
          </cell>
          <cell r="E728">
            <v>0</v>
          </cell>
          <cell r="F728" t="str">
            <v>each</v>
          </cell>
          <cell r="G728">
            <v>247.91</v>
          </cell>
          <cell r="H728">
            <v>303.10000000000002</v>
          </cell>
        </row>
        <row r="729">
          <cell r="B729" t="str">
            <v>AC Coupling Cl-25250</v>
          </cell>
          <cell r="C729" t="str">
            <v>AC Coupling Cl-25</v>
          </cell>
          <cell r="D729">
            <v>250</v>
          </cell>
          <cell r="E729">
            <v>0</v>
          </cell>
          <cell r="F729" t="str">
            <v>each</v>
          </cell>
          <cell r="G729">
            <v>338.72</v>
          </cell>
          <cell r="H729">
            <v>414.1</v>
          </cell>
        </row>
        <row r="730">
          <cell r="B730" t="str">
            <v>AC Coupling Cl-25300</v>
          </cell>
          <cell r="C730" t="str">
            <v>AC Coupling Cl-25</v>
          </cell>
          <cell r="D730">
            <v>300</v>
          </cell>
          <cell r="E730">
            <v>0</v>
          </cell>
          <cell r="F730" t="str">
            <v>each</v>
          </cell>
          <cell r="G730">
            <v>456.54</v>
          </cell>
          <cell r="H730">
            <v>558.1</v>
          </cell>
        </row>
        <row r="731">
          <cell r="B731" t="str">
            <v>AC Coupling Cl-25350</v>
          </cell>
          <cell r="C731" t="str">
            <v>AC Coupling Cl-25</v>
          </cell>
          <cell r="D731">
            <v>350</v>
          </cell>
          <cell r="E731">
            <v>0</v>
          </cell>
          <cell r="F731" t="str">
            <v>each</v>
          </cell>
          <cell r="G731">
            <v>593.99</v>
          </cell>
          <cell r="H731">
            <v>726.1</v>
          </cell>
        </row>
        <row r="732">
          <cell r="B732" t="str">
            <v>AC Coupling Cl-25400</v>
          </cell>
          <cell r="C732" t="str">
            <v>AC Coupling Cl-25</v>
          </cell>
          <cell r="D732">
            <v>400</v>
          </cell>
          <cell r="E732">
            <v>0</v>
          </cell>
          <cell r="F732" t="str">
            <v>each</v>
          </cell>
          <cell r="G732">
            <v>930.26</v>
          </cell>
          <cell r="H732">
            <v>1137.2</v>
          </cell>
        </row>
        <row r="733">
          <cell r="B733" t="str">
            <v>AC Coupling Cl-25450</v>
          </cell>
          <cell r="C733" t="str">
            <v>AC Coupling Cl-25</v>
          </cell>
          <cell r="D733">
            <v>450</v>
          </cell>
          <cell r="E733">
            <v>0</v>
          </cell>
          <cell r="F733" t="str">
            <v>each</v>
          </cell>
          <cell r="G733">
            <v>1126.6199999999999</v>
          </cell>
          <cell r="H733">
            <v>1377.3</v>
          </cell>
        </row>
        <row r="734">
          <cell r="B734" t="str">
            <v>AC Coupling Cl-25500</v>
          </cell>
          <cell r="C734" t="str">
            <v>AC Coupling Cl-25</v>
          </cell>
          <cell r="D734">
            <v>500</v>
          </cell>
          <cell r="E734">
            <v>0</v>
          </cell>
          <cell r="F734" t="str">
            <v>each</v>
          </cell>
          <cell r="G734">
            <v>1354.88</v>
          </cell>
          <cell r="H734">
            <v>1656.3</v>
          </cell>
        </row>
        <row r="735">
          <cell r="B735" t="str">
            <v>AC Coupling Cl-25600</v>
          </cell>
          <cell r="C735" t="str">
            <v>AC Coupling Cl-25</v>
          </cell>
          <cell r="D735">
            <v>600</v>
          </cell>
          <cell r="E735">
            <v>0</v>
          </cell>
          <cell r="F735" t="str">
            <v>each</v>
          </cell>
          <cell r="G735">
            <v>1516.89</v>
          </cell>
          <cell r="H735">
            <v>1854.3</v>
          </cell>
        </row>
        <row r="736">
          <cell r="B736" t="str">
            <v>AC Rubber rings Cl-1580</v>
          </cell>
          <cell r="C736" t="str">
            <v>AC Rubber rings Cl-15</v>
          </cell>
          <cell r="D736">
            <v>80</v>
          </cell>
          <cell r="E736">
            <v>0</v>
          </cell>
          <cell r="F736" t="str">
            <v>each</v>
          </cell>
          <cell r="G736">
            <v>32.26</v>
          </cell>
          <cell r="H736">
            <v>38.700000000000003</v>
          </cell>
        </row>
        <row r="737">
          <cell r="B737" t="str">
            <v>AC Rubber rings Cl-15100</v>
          </cell>
          <cell r="C737" t="str">
            <v>AC Rubber rings Cl-15</v>
          </cell>
          <cell r="D737">
            <v>100</v>
          </cell>
          <cell r="E737">
            <v>0</v>
          </cell>
          <cell r="F737" t="str">
            <v>each</v>
          </cell>
          <cell r="G737">
            <v>39.56</v>
          </cell>
          <cell r="H737">
            <v>47.5</v>
          </cell>
        </row>
        <row r="738">
          <cell r="B738" t="str">
            <v>AC Rubber rings Cl-15125</v>
          </cell>
          <cell r="C738" t="str">
            <v>AC Rubber rings Cl-15</v>
          </cell>
          <cell r="D738">
            <v>125</v>
          </cell>
          <cell r="E738">
            <v>0</v>
          </cell>
          <cell r="F738" t="str">
            <v>each</v>
          </cell>
          <cell r="G738">
            <v>51.77</v>
          </cell>
          <cell r="H738">
            <v>62.1</v>
          </cell>
        </row>
        <row r="739">
          <cell r="B739" t="str">
            <v>AC Rubber rings Cl-15150</v>
          </cell>
          <cell r="C739" t="str">
            <v>AC Rubber rings Cl-15</v>
          </cell>
          <cell r="D739">
            <v>150</v>
          </cell>
          <cell r="E739">
            <v>0</v>
          </cell>
          <cell r="F739" t="str">
            <v>each</v>
          </cell>
          <cell r="G739">
            <v>66.11</v>
          </cell>
          <cell r="H739">
            <v>79.3</v>
          </cell>
        </row>
        <row r="740">
          <cell r="B740" t="str">
            <v>AC Rubber rings Cl-15200</v>
          </cell>
          <cell r="C740" t="str">
            <v>AC Rubber rings Cl-15</v>
          </cell>
          <cell r="D740">
            <v>200</v>
          </cell>
          <cell r="E740">
            <v>0</v>
          </cell>
          <cell r="F740" t="str">
            <v>each</v>
          </cell>
          <cell r="G740">
            <v>67.709999999999994</v>
          </cell>
          <cell r="H740">
            <v>81.3</v>
          </cell>
        </row>
        <row r="741">
          <cell r="B741" t="str">
            <v>AC Rubber rings Cl-15250</v>
          </cell>
          <cell r="C741" t="str">
            <v>AC Rubber rings Cl-15</v>
          </cell>
          <cell r="D741">
            <v>250</v>
          </cell>
          <cell r="E741">
            <v>0</v>
          </cell>
          <cell r="F741" t="str">
            <v>each</v>
          </cell>
          <cell r="G741">
            <v>78.989999999999995</v>
          </cell>
          <cell r="H741">
            <v>94.8</v>
          </cell>
        </row>
        <row r="742">
          <cell r="B742" t="str">
            <v>AC Rubber rings Cl-15300</v>
          </cell>
          <cell r="C742" t="str">
            <v>AC Rubber rings Cl-15</v>
          </cell>
          <cell r="D742">
            <v>300</v>
          </cell>
          <cell r="E742">
            <v>0</v>
          </cell>
          <cell r="F742" t="str">
            <v>each</v>
          </cell>
          <cell r="G742">
            <v>79.25</v>
          </cell>
          <cell r="H742">
            <v>95.1</v>
          </cell>
        </row>
        <row r="743">
          <cell r="B743" t="str">
            <v>AC Rubber rings Cl-15350</v>
          </cell>
          <cell r="C743" t="str">
            <v>AC Rubber rings Cl-15</v>
          </cell>
          <cell r="D743">
            <v>350</v>
          </cell>
          <cell r="E743">
            <v>0</v>
          </cell>
          <cell r="F743" t="str">
            <v>each</v>
          </cell>
          <cell r="G743">
            <v>89.21</v>
          </cell>
          <cell r="H743">
            <v>107.1</v>
          </cell>
        </row>
        <row r="744">
          <cell r="B744" t="str">
            <v>AC Rubber rings Cl-15400</v>
          </cell>
          <cell r="C744" t="str">
            <v>AC Rubber rings Cl-15</v>
          </cell>
          <cell r="D744">
            <v>400</v>
          </cell>
          <cell r="E744">
            <v>0</v>
          </cell>
          <cell r="F744" t="str">
            <v>each</v>
          </cell>
          <cell r="G744">
            <v>108.99</v>
          </cell>
          <cell r="H744">
            <v>130.80000000000001</v>
          </cell>
        </row>
        <row r="745">
          <cell r="B745" t="str">
            <v>AC Rubber rings Cl-15450</v>
          </cell>
          <cell r="C745" t="str">
            <v>AC Rubber rings Cl-15</v>
          </cell>
          <cell r="D745">
            <v>450</v>
          </cell>
          <cell r="E745">
            <v>0</v>
          </cell>
          <cell r="F745" t="str">
            <v>each</v>
          </cell>
          <cell r="G745">
            <v>128.77000000000001</v>
          </cell>
          <cell r="H745">
            <v>154.5</v>
          </cell>
        </row>
        <row r="746">
          <cell r="B746" t="str">
            <v>AC Rubber rings Cl-15500</v>
          </cell>
          <cell r="C746" t="str">
            <v>AC Rubber rings Cl-15</v>
          </cell>
          <cell r="D746">
            <v>500</v>
          </cell>
          <cell r="E746">
            <v>0</v>
          </cell>
          <cell r="F746" t="str">
            <v>each</v>
          </cell>
          <cell r="G746">
            <v>148.68</v>
          </cell>
          <cell r="H746">
            <v>178.4</v>
          </cell>
        </row>
        <row r="747">
          <cell r="B747" t="str">
            <v>AC Rubber rings Cl-15600</v>
          </cell>
          <cell r="C747" t="str">
            <v>AC Rubber rings Cl-15</v>
          </cell>
          <cell r="D747">
            <v>600</v>
          </cell>
          <cell r="E747">
            <v>0</v>
          </cell>
          <cell r="F747" t="str">
            <v>each</v>
          </cell>
          <cell r="G747">
            <v>168.48</v>
          </cell>
          <cell r="H747">
            <v>202.2</v>
          </cell>
        </row>
        <row r="748">
          <cell r="B748" t="str">
            <v>AC Rubber rings Cl-2080</v>
          </cell>
          <cell r="C748" t="str">
            <v>AC Rubber rings Cl-20</v>
          </cell>
          <cell r="D748">
            <v>80</v>
          </cell>
          <cell r="E748">
            <v>0</v>
          </cell>
          <cell r="F748" t="str">
            <v>each</v>
          </cell>
          <cell r="G748">
            <v>32.26</v>
          </cell>
          <cell r="H748">
            <v>38.700000000000003</v>
          </cell>
        </row>
        <row r="749">
          <cell r="B749" t="str">
            <v>AC Rubber rings Cl-20100</v>
          </cell>
          <cell r="C749" t="str">
            <v>AC Rubber rings Cl-20</v>
          </cell>
          <cell r="D749">
            <v>100</v>
          </cell>
          <cell r="E749">
            <v>0</v>
          </cell>
          <cell r="F749" t="str">
            <v>each</v>
          </cell>
          <cell r="G749">
            <v>39.56</v>
          </cell>
          <cell r="H749">
            <v>47.5</v>
          </cell>
        </row>
        <row r="750">
          <cell r="B750" t="str">
            <v>AC Rubber rings Cl-20125</v>
          </cell>
          <cell r="C750" t="str">
            <v>AC Rubber rings Cl-20</v>
          </cell>
          <cell r="D750">
            <v>125</v>
          </cell>
          <cell r="E750">
            <v>0</v>
          </cell>
          <cell r="F750" t="str">
            <v>each</v>
          </cell>
          <cell r="G750">
            <v>51.77</v>
          </cell>
          <cell r="H750">
            <v>62.1</v>
          </cell>
        </row>
        <row r="751">
          <cell r="B751" t="str">
            <v>AC Rubber rings Cl-20150</v>
          </cell>
          <cell r="C751" t="str">
            <v>AC Rubber rings Cl-20</v>
          </cell>
          <cell r="D751">
            <v>150</v>
          </cell>
          <cell r="E751">
            <v>0</v>
          </cell>
          <cell r="F751" t="str">
            <v>each</v>
          </cell>
          <cell r="G751">
            <v>66.11</v>
          </cell>
          <cell r="H751">
            <v>79.3</v>
          </cell>
        </row>
        <row r="752">
          <cell r="B752" t="str">
            <v>AC Rubber rings Cl-20200</v>
          </cell>
          <cell r="C752" t="str">
            <v>AC Rubber rings Cl-20</v>
          </cell>
          <cell r="D752">
            <v>200</v>
          </cell>
          <cell r="E752">
            <v>0</v>
          </cell>
          <cell r="F752" t="str">
            <v>each</v>
          </cell>
          <cell r="G752">
            <v>67.709999999999994</v>
          </cell>
          <cell r="H752">
            <v>81.3</v>
          </cell>
        </row>
        <row r="753">
          <cell r="B753" t="str">
            <v>AC Rubber rings Cl-20250</v>
          </cell>
          <cell r="C753" t="str">
            <v>AC Rubber rings Cl-20</v>
          </cell>
          <cell r="D753">
            <v>250</v>
          </cell>
          <cell r="E753">
            <v>0</v>
          </cell>
          <cell r="F753" t="str">
            <v>each</v>
          </cell>
          <cell r="G753">
            <v>78.989999999999995</v>
          </cell>
          <cell r="H753">
            <v>94.8</v>
          </cell>
        </row>
        <row r="754">
          <cell r="B754" t="str">
            <v>AC Rubber rings Cl-20300</v>
          </cell>
          <cell r="C754" t="str">
            <v>AC Rubber rings Cl-20</v>
          </cell>
          <cell r="D754">
            <v>300</v>
          </cell>
          <cell r="E754">
            <v>0</v>
          </cell>
          <cell r="F754" t="str">
            <v>each</v>
          </cell>
          <cell r="G754">
            <v>79.25</v>
          </cell>
          <cell r="H754">
            <v>95.1</v>
          </cell>
        </row>
        <row r="755">
          <cell r="B755" t="str">
            <v>AC Rubber rings Cl-20350</v>
          </cell>
          <cell r="C755" t="str">
            <v>AC Rubber rings Cl-20</v>
          </cell>
          <cell r="D755">
            <v>350</v>
          </cell>
          <cell r="E755">
            <v>0</v>
          </cell>
          <cell r="F755" t="str">
            <v>each</v>
          </cell>
          <cell r="G755">
            <v>89.21</v>
          </cell>
          <cell r="H755">
            <v>107.1</v>
          </cell>
        </row>
        <row r="756">
          <cell r="B756" t="str">
            <v>AC Rubber rings Cl-20400</v>
          </cell>
          <cell r="C756" t="str">
            <v>AC Rubber rings Cl-20</v>
          </cell>
          <cell r="D756">
            <v>400</v>
          </cell>
          <cell r="E756">
            <v>0</v>
          </cell>
          <cell r="F756" t="str">
            <v>each</v>
          </cell>
          <cell r="G756">
            <v>108.99</v>
          </cell>
          <cell r="H756">
            <v>130.80000000000001</v>
          </cell>
        </row>
        <row r="757">
          <cell r="B757" t="str">
            <v>AC Rubber rings Cl-20450</v>
          </cell>
          <cell r="C757" t="str">
            <v>AC Rubber rings Cl-20</v>
          </cell>
          <cell r="D757">
            <v>450</v>
          </cell>
          <cell r="E757">
            <v>0</v>
          </cell>
          <cell r="F757" t="str">
            <v>each</v>
          </cell>
          <cell r="G757">
            <v>128.77000000000001</v>
          </cell>
          <cell r="H757">
            <v>154.5</v>
          </cell>
        </row>
        <row r="758">
          <cell r="B758" t="str">
            <v>AC Rubber rings Cl-20500</v>
          </cell>
          <cell r="C758" t="str">
            <v>AC Rubber rings Cl-20</v>
          </cell>
          <cell r="D758">
            <v>500</v>
          </cell>
          <cell r="E758">
            <v>0</v>
          </cell>
          <cell r="F758" t="str">
            <v>each</v>
          </cell>
          <cell r="G758">
            <v>148.68</v>
          </cell>
          <cell r="H758">
            <v>178.4</v>
          </cell>
        </row>
        <row r="759">
          <cell r="B759" t="str">
            <v>AC Rubber rings Cl-20600</v>
          </cell>
          <cell r="C759" t="str">
            <v>AC Rubber rings Cl-20</v>
          </cell>
          <cell r="D759">
            <v>600</v>
          </cell>
          <cell r="E759">
            <v>0</v>
          </cell>
          <cell r="F759" t="str">
            <v>each</v>
          </cell>
          <cell r="G759">
            <v>168.48</v>
          </cell>
          <cell r="H759">
            <v>202.2</v>
          </cell>
        </row>
        <row r="760">
          <cell r="B760" t="str">
            <v>AC Rubber rings Cl-2580</v>
          </cell>
          <cell r="C760" t="str">
            <v>AC Rubber rings Cl-25</v>
          </cell>
          <cell r="D760">
            <v>80</v>
          </cell>
          <cell r="E760">
            <v>0</v>
          </cell>
          <cell r="F760" t="str">
            <v>each</v>
          </cell>
          <cell r="G760">
            <v>32.26</v>
          </cell>
          <cell r="H760">
            <v>38.700000000000003</v>
          </cell>
        </row>
        <row r="761">
          <cell r="B761" t="str">
            <v>AC Rubber rings Cl-25100</v>
          </cell>
          <cell r="C761" t="str">
            <v>AC Rubber rings Cl-25</v>
          </cell>
          <cell r="D761">
            <v>100</v>
          </cell>
          <cell r="E761">
            <v>0</v>
          </cell>
          <cell r="F761" t="str">
            <v>each</v>
          </cell>
          <cell r="G761">
            <v>39.56</v>
          </cell>
          <cell r="H761">
            <v>47.5</v>
          </cell>
        </row>
        <row r="762">
          <cell r="B762" t="str">
            <v>AC Rubber rings Cl-25125</v>
          </cell>
          <cell r="C762" t="str">
            <v>AC Rubber rings Cl-25</v>
          </cell>
          <cell r="D762">
            <v>125</v>
          </cell>
          <cell r="E762">
            <v>0</v>
          </cell>
          <cell r="F762" t="str">
            <v>each</v>
          </cell>
          <cell r="G762">
            <v>51.77</v>
          </cell>
          <cell r="H762">
            <v>62.1</v>
          </cell>
        </row>
        <row r="763">
          <cell r="B763" t="str">
            <v>AC Rubber rings Cl-25150</v>
          </cell>
          <cell r="C763" t="str">
            <v>AC Rubber rings Cl-25</v>
          </cell>
          <cell r="D763">
            <v>150</v>
          </cell>
          <cell r="E763">
            <v>0</v>
          </cell>
          <cell r="F763" t="str">
            <v>each</v>
          </cell>
          <cell r="G763">
            <v>66.11</v>
          </cell>
          <cell r="H763">
            <v>79.3</v>
          </cell>
        </row>
        <row r="764">
          <cell r="B764" t="str">
            <v>AC Rubber rings Cl-25200</v>
          </cell>
          <cell r="C764" t="str">
            <v>AC Rubber rings Cl-25</v>
          </cell>
          <cell r="D764">
            <v>200</v>
          </cell>
          <cell r="E764">
            <v>0</v>
          </cell>
          <cell r="F764" t="str">
            <v>each</v>
          </cell>
          <cell r="G764">
            <v>67.709999999999994</v>
          </cell>
          <cell r="H764">
            <v>81.3</v>
          </cell>
        </row>
        <row r="765">
          <cell r="B765" t="str">
            <v>AC Rubber rings Cl-25250</v>
          </cell>
          <cell r="C765" t="str">
            <v>AC Rubber rings Cl-25</v>
          </cell>
          <cell r="D765">
            <v>250</v>
          </cell>
          <cell r="E765">
            <v>0</v>
          </cell>
          <cell r="F765" t="str">
            <v>each</v>
          </cell>
          <cell r="G765">
            <v>78.989999999999995</v>
          </cell>
          <cell r="H765">
            <v>94.8</v>
          </cell>
        </row>
        <row r="766">
          <cell r="B766" t="str">
            <v>AC Rubber rings Cl-25300</v>
          </cell>
          <cell r="C766" t="str">
            <v>AC Rubber rings Cl-25</v>
          </cell>
          <cell r="D766">
            <v>300</v>
          </cell>
          <cell r="E766">
            <v>0</v>
          </cell>
          <cell r="F766" t="str">
            <v>each</v>
          </cell>
          <cell r="G766">
            <v>79.25</v>
          </cell>
          <cell r="H766">
            <v>95.1</v>
          </cell>
        </row>
        <row r="767">
          <cell r="B767" t="str">
            <v>AC Rubber rings Cl-25350</v>
          </cell>
          <cell r="C767" t="str">
            <v>AC Rubber rings Cl-25</v>
          </cell>
          <cell r="D767">
            <v>350</v>
          </cell>
          <cell r="E767">
            <v>0</v>
          </cell>
          <cell r="F767" t="str">
            <v>each</v>
          </cell>
          <cell r="G767">
            <v>89.21</v>
          </cell>
          <cell r="H767">
            <v>107.1</v>
          </cell>
        </row>
        <row r="768">
          <cell r="B768" t="str">
            <v>AC Rubber rings Cl-25400</v>
          </cell>
          <cell r="C768" t="str">
            <v>AC Rubber rings Cl-25</v>
          </cell>
          <cell r="D768">
            <v>400</v>
          </cell>
          <cell r="E768">
            <v>0</v>
          </cell>
          <cell r="F768" t="str">
            <v>each</v>
          </cell>
          <cell r="G768">
            <v>108.99</v>
          </cell>
          <cell r="H768">
            <v>130.80000000000001</v>
          </cell>
        </row>
        <row r="769">
          <cell r="B769" t="str">
            <v>AC Rubber rings Cl-25450</v>
          </cell>
          <cell r="C769" t="str">
            <v>AC Rubber rings Cl-25</v>
          </cell>
          <cell r="D769">
            <v>450</v>
          </cell>
          <cell r="E769">
            <v>0</v>
          </cell>
          <cell r="F769" t="str">
            <v>each</v>
          </cell>
          <cell r="G769">
            <v>128.77000000000001</v>
          </cell>
          <cell r="H769">
            <v>154.5</v>
          </cell>
        </row>
        <row r="770">
          <cell r="B770" t="str">
            <v>AC Rubber rings Cl-25500</v>
          </cell>
          <cell r="C770" t="str">
            <v>AC Rubber rings Cl-25</v>
          </cell>
          <cell r="D770">
            <v>500</v>
          </cell>
          <cell r="E770">
            <v>0</v>
          </cell>
          <cell r="F770" t="str">
            <v>each</v>
          </cell>
          <cell r="G770">
            <v>148.68</v>
          </cell>
          <cell r="H770">
            <v>178.4</v>
          </cell>
        </row>
        <row r="771">
          <cell r="B771" t="str">
            <v>AC Rubber rings Cl-25600</v>
          </cell>
          <cell r="C771" t="str">
            <v>AC Rubber rings Cl-25</v>
          </cell>
          <cell r="D771">
            <v>600</v>
          </cell>
          <cell r="E771">
            <v>0</v>
          </cell>
          <cell r="F771" t="str">
            <v>each</v>
          </cell>
          <cell r="G771">
            <v>168.48</v>
          </cell>
          <cell r="H771">
            <v>202.2</v>
          </cell>
        </row>
        <row r="772">
          <cell r="B772" t="str">
            <v>DI Rubber Gaskets80</v>
          </cell>
          <cell r="C772" t="str">
            <v>DI Rubber Gaskets</v>
          </cell>
          <cell r="D772">
            <v>80</v>
          </cell>
          <cell r="E772" t="str">
            <v>DI</v>
          </cell>
          <cell r="F772" t="str">
            <v>each</v>
          </cell>
          <cell r="G772">
            <v>27.77</v>
          </cell>
          <cell r="H772">
            <v>35</v>
          </cell>
        </row>
        <row r="773">
          <cell r="B773" t="str">
            <v>DI Rubber Gaskets100</v>
          </cell>
          <cell r="C773" t="str">
            <v>DI Rubber Gaskets</v>
          </cell>
          <cell r="D773">
            <v>100</v>
          </cell>
          <cell r="E773" t="str">
            <v>DI</v>
          </cell>
          <cell r="F773" t="str">
            <v>each</v>
          </cell>
          <cell r="G773">
            <v>39.96</v>
          </cell>
          <cell r="H773">
            <v>55</v>
          </cell>
        </row>
        <row r="774">
          <cell r="B774" t="str">
            <v>DI Rubber Gaskets125</v>
          </cell>
          <cell r="C774" t="str">
            <v>DI Rubber Gaskets</v>
          </cell>
          <cell r="D774">
            <v>125</v>
          </cell>
          <cell r="E774" t="str">
            <v>DI</v>
          </cell>
          <cell r="F774" t="str">
            <v>each</v>
          </cell>
          <cell r="G774">
            <v>39.96</v>
          </cell>
          <cell r="H774">
            <v>55</v>
          </cell>
        </row>
        <row r="775">
          <cell r="B775" t="str">
            <v>DI Rubber Gaskets150</v>
          </cell>
          <cell r="C775" t="str">
            <v>DI Rubber Gaskets</v>
          </cell>
          <cell r="D775">
            <v>150</v>
          </cell>
          <cell r="E775" t="str">
            <v>DI</v>
          </cell>
          <cell r="F775" t="str">
            <v>each</v>
          </cell>
          <cell r="G775">
            <v>63.78</v>
          </cell>
          <cell r="H775">
            <v>80</v>
          </cell>
        </row>
        <row r="776">
          <cell r="B776" t="str">
            <v>DI Rubber Gaskets200</v>
          </cell>
          <cell r="C776" t="str">
            <v>DI Rubber Gaskets</v>
          </cell>
          <cell r="D776">
            <v>200</v>
          </cell>
          <cell r="E776" t="str">
            <v>DI</v>
          </cell>
          <cell r="F776" t="str">
            <v>each</v>
          </cell>
          <cell r="G776">
            <v>78.22</v>
          </cell>
          <cell r="H776">
            <v>98</v>
          </cell>
        </row>
        <row r="777">
          <cell r="B777" t="str">
            <v>DI Rubber Gaskets250</v>
          </cell>
          <cell r="C777" t="str">
            <v>DI Rubber Gaskets</v>
          </cell>
          <cell r="D777">
            <v>250</v>
          </cell>
          <cell r="E777" t="str">
            <v>DI</v>
          </cell>
          <cell r="F777" t="str">
            <v>each</v>
          </cell>
          <cell r="G777">
            <v>87.46</v>
          </cell>
          <cell r="H777">
            <v>109</v>
          </cell>
        </row>
        <row r="778">
          <cell r="B778" t="str">
            <v>DI Rubber Gaskets300</v>
          </cell>
          <cell r="C778" t="str">
            <v>DI Rubber Gaskets</v>
          </cell>
          <cell r="D778">
            <v>300</v>
          </cell>
          <cell r="E778" t="str">
            <v>DI</v>
          </cell>
          <cell r="F778" t="str">
            <v>each</v>
          </cell>
          <cell r="G778">
            <v>133.77000000000001</v>
          </cell>
          <cell r="H778">
            <v>167</v>
          </cell>
        </row>
        <row r="779">
          <cell r="B779" t="str">
            <v>DI Rubber Gaskets350</v>
          </cell>
          <cell r="C779" t="str">
            <v>DI Rubber Gaskets</v>
          </cell>
          <cell r="D779">
            <v>350</v>
          </cell>
          <cell r="E779" t="str">
            <v>DI</v>
          </cell>
          <cell r="F779" t="str">
            <v>each</v>
          </cell>
          <cell r="G779">
            <v>168.73</v>
          </cell>
          <cell r="H779">
            <v>211</v>
          </cell>
        </row>
        <row r="780">
          <cell r="B780" t="str">
            <v>DI Rubber Gaskets400</v>
          </cell>
          <cell r="C780" t="str">
            <v>DI Rubber Gaskets</v>
          </cell>
          <cell r="D780">
            <v>400</v>
          </cell>
          <cell r="E780" t="str">
            <v>DI</v>
          </cell>
          <cell r="F780" t="str">
            <v>each</v>
          </cell>
          <cell r="G780">
            <v>184.16</v>
          </cell>
          <cell r="H780">
            <v>230</v>
          </cell>
        </row>
        <row r="781">
          <cell r="B781" t="str">
            <v>DI Rubber Gaskets450</v>
          </cell>
          <cell r="C781" t="str">
            <v>DI Rubber Gaskets</v>
          </cell>
          <cell r="D781">
            <v>450</v>
          </cell>
          <cell r="E781" t="str">
            <v>DI</v>
          </cell>
          <cell r="F781" t="str">
            <v>each</v>
          </cell>
          <cell r="G781">
            <v>198.6</v>
          </cell>
          <cell r="H781">
            <v>248</v>
          </cell>
        </row>
        <row r="782">
          <cell r="B782" t="str">
            <v>DI Rubber Gaskets500</v>
          </cell>
          <cell r="C782" t="str">
            <v>DI Rubber Gaskets</v>
          </cell>
          <cell r="D782">
            <v>500</v>
          </cell>
          <cell r="E782" t="str">
            <v>DI</v>
          </cell>
          <cell r="F782" t="str">
            <v>each</v>
          </cell>
          <cell r="G782">
            <v>299.44</v>
          </cell>
          <cell r="H782">
            <v>344</v>
          </cell>
        </row>
        <row r="783">
          <cell r="B783" t="str">
            <v>DI Rubber Gaskets600</v>
          </cell>
          <cell r="C783" t="str">
            <v>DI Rubber Gaskets</v>
          </cell>
          <cell r="D783">
            <v>600</v>
          </cell>
          <cell r="E783" t="str">
            <v>DI</v>
          </cell>
          <cell r="F783" t="str">
            <v>each</v>
          </cell>
          <cell r="G783">
            <v>353.89</v>
          </cell>
          <cell r="H783">
            <v>407</v>
          </cell>
        </row>
        <row r="784">
          <cell r="B784" t="str">
            <v>DI Rubber Gaskets700</v>
          </cell>
          <cell r="C784" t="str">
            <v>DI Rubber Gaskets</v>
          </cell>
          <cell r="D784">
            <v>700</v>
          </cell>
          <cell r="E784" t="str">
            <v>DI</v>
          </cell>
          <cell r="F784" t="str">
            <v>each</v>
          </cell>
          <cell r="G784">
            <v>470.43</v>
          </cell>
          <cell r="H784">
            <v>541</v>
          </cell>
        </row>
        <row r="785">
          <cell r="B785" t="str">
            <v>DI Rubber Gaskets750</v>
          </cell>
          <cell r="C785" t="str">
            <v>DI Rubber Gaskets</v>
          </cell>
          <cell r="D785">
            <v>750</v>
          </cell>
          <cell r="E785" t="str">
            <v>DI</v>
          </cell>
          <cell r="F785" t="str">
            <v>each</v>
          </cell>
          <cell r="G785">
            <v>522.67999999999995</v>
          </cell>
          <cell r="H785">
            <v>601</v>
          </cell>
        </row>
        <row r="786">
          <cell r="B786" t="str">
            <v>DI Rubber Gaskets800</v>
          </cell>
          <cell r="C786" t="str">
            <v>DI Rubber Gaskets</v>
          </cell>
          <cell r="D786">
            <v>800</v>
          </cell>
          <cell r="E786" t="str">
            <v>DI</v>
          </cell>
          <cell r="F786" t="str">
            <v>each</v>
          </cell>
          <cell r="G786">
            <v>626.82000000000005</v>
          </cell>
          <cell r="H786">
            <v>721</v>
          </cell>
        </row>
        <row r="787">
          <cell r="B787" t="str">
            <v>DI Rubber Gaskets900</v>
          </cell>
          <cell r="C787" t="str">
            <v>DI Rubber Gaskets</v>
          </cell>
          <cell r="D787">
            <v>900</v>
          </cell>
          <cell r="E787" t="str">
            <v>DI</v>
          </cell>
          <cell r="F787" t="str">
            <v>each</v>
          </cell>
          <cell r="G787">
            <v>756.78</v>
          </cell>
          <cell r="H787">
            <v>870</v>
          </cell>
        </row>
        <row r="788">
          <cell r="B788" t="str">
            <v>DI Rubber Gaskets1000</v>
          </cell>
          <cell r="C788" t="str">
            <v>DI Rubber Gaskets</v>
          </cell>
          <cell r="D788">
            <v>1000</v>
          </cell>
          <cell r="E788" t="str">
            <v>DI</v>
          </cell>
          <cell r="F788" t="str">
            <v>each</v>
          </cell>
          <cell r="G788">
            <v>827.57</v>
          </cell>
          <cell r="H788">
            <v>952</v>
          </cell>
        </row>
      </sheetData>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7">
          <cell r="C7" t="str">
            <v>code</v>
          </cell>
          <cell r="D7" t="str">
            <v>Dia</v>
          </cell>
          <cell r="E7" t="str">
            <v>Class</v>
          </cell>
          <cell r="F7" t="str">
            <v>Weight of Pipe (kgs)M</v>
          </cell>
          <cell r="G7" t="str">
            <v>SSR Rate 2008-09</v>
          </cell>
          <cell r="H7" t="str">
            <v>Difference in rate as per price variation</v>
          </cell>
          <cell r="I7" t="str">
            <v>Rate as per price variation</v>
          </cell>
        </row>
        <row r="8">
          <cell r="C8" t="str">
            <v>a634</v>
          </cell>
          <cell r="D8">
            <v>63</v>
          </cell>
          <cell r="E8">
            <v>4</v>
          </cell>
          <cell r="F8">
            <v>0.49099999999999999</v>
          </cell>
          <cell r="G8">
            <v>59</v>
          </cell>
          <cell r="H8">
            <v>7.4239200000000007</v>
          </cell>
          <cell r="I8">
            <v>66.423919999999995</v>
          </cell>
        </row>
        <row r="9">
          <cell r="C9" t="str">
            <v>a754</v>
          </cell>
          <cell r="D9">
            <v>75</v>
          </cell>
          <cell r="E9">
            <v>4</v>
          </cell>
          <cell r="F9">
            <v>0.67100000000000004</v>
          </cell>
          <cell r="G9">
            <v>81</v>
          </cell>
          <cell r="H9">
            <v>10.145520000000001</v>
          </cell>
          <cell r="I9">
            <v>91.145520000000005</v>
          </cell>
        </row>
        <row r="10">
          <cell r="C10" t="str">
            <v>a904</v>
          </cell>
          <cell r="D10">
            <v>90</v>
          </cell>
          <cell r="E10">
            <v>4</v>
          </cell>
          <cell r="F10">
            <v>0.97099999999999997</v>
          </cell>
          <cell r="G10">
            <v>117</v>
          </cell>
          <cell r="H10">
            <v>14.681519999999999</v>
          </cell>
          <cell r="I10">
            <v>131.68152000000001</v>
          </cell>
        </row>
        <row r="11">
          <cell r="C11" t="str">
            <v>a1104</v>
          </cell>
          <cell r="D11">
            <v>110</v>
          </cell>
          <cell r="E11">
            <v>4</v>
          </cell>
          <cell r="F11">
            <v>1.4530000000000001</v>
          </cell>
          <cell r="G11">
            <v>175</v>
          </cell>
          <cell r="H11">
            <v>21.969360000000002</v>
          </cell>
          <cell r="I11">
            <v>196.96935999999999</v>
          </cell>
        </row>
        <row r="12">
          <cell r="C12" t="str">
            <v>a1254</v>
          </cell>
          <cell r="D12">
            <v>125</v>
          </cell>
          <cell r="E12">
            <v>4</v>
          </cell>
          <cell r="F12">
            <v>1.8640000000000001</v>
          </cell>
          <cell r="G12">
            <v>225</v>
          </cell>
          <cell r="H12">
            <v>28.183680000000006</v>
          </cell>
          <cell r="I12">
            <v>253.18368000000001</v>
          </cell>
        </row>
        <row r="13">
          <cell r="C13" t="str">
            <v>a1404</v>
          </cell>
          <cell r="D13">
            <v>140</v>
          </cell>
          <cell r="E13">
            <v>4</v>
          </cell>
          <cell r="F13">
            <v>2.3079999999999998</v>
          </cell>
          <cell r="G13">
            <v>279</v>
          </cell>
          <cell r="H13">
            <v>34.89696</v>
          </cell>
          <cell r="I13">
            <v>313.89695999999998</v>
          </cell>
        </row>
        <row r="14">
          <cell r="C14" t="str">
            <v>a1604</v>
          </cell>
          <cell r="D14">
            <v>160</v>
          </cell>
          <cell r="E14">
            <v>4</v>
          </cell>
          <cell r="F14">
            <v>3.024</v>
          </cell>
          <cell r="G14">
            <v>365</v>
          </cell>
          <cell r="H14">
            <v>45.722880000000004</v>
          </cell>
          <cell r="I14">
            <v>410.72288000000003</v>
          </cell>
        </row>
        <row r="15">
          <cell r="C15" t="str">
            <v>a1804</v>
          </cell>
          <cell r="D15">
            <v>180</v>
          </cell>
          <cell r="E15">
            <v>4</v>
          </cell>
          <cell r="F15">
            <v>3.8119999999999998</v>
          </cell>
          <cell r="G15">
            <v>460</v>
          </cell>
          <cell r="H15">
            <v>57.637440000000005</v>
          </cell>
          <cell r="I15">
            <v>517.63743999999997</v>
          </cell>
        </row>
        <row r="16">
          <cell r="C16" t="str">
            <v>a2004</v>
          </cell>
          <cell r="D16">
            <v>200</v>
          </cell>
          <cell r="E16">
            <v>4</v>
          </cell>
          <cell r="F16">
            <v>4.6630000000000003</v>
          </cell>
          <cell r="G16">
            <v>563</v>
          </cell>
          <cell r="H16">
            <v>70.504560000000012</v>
          </cell>
          <cell r="I16">
            <v>633.50455999999997</v>
          </cell>
        </row>
        <row r="17">
          <cell r="C17" t="str">
            <v>a2254</v>
          </cell>
          <cell r="D17">
            <v>225</v>
          </cell>
          <cell r="E17">
            <v>4</v>
          </cell>
          <cell r="F17">
            <v>5.9169999999999998</v>
          </cell>
          <cell r="G17">
            <v>736</v>
          </cell>
          <cell r="H17">
            <v>89.465040000000002</v>
          </cell>
          <cell r="I17">
            <v>825.46504000000004</v>
          </cell>
        </row>
        <row r="18">
          <cell r="C18" t="str">
            <v>a2504</v>
          </cell>
          <cell r="D18">
            <v>250</v>
          </cell>
          <cell r="E18">
            <v>4</v>
          </cell>
          <cell r="F18">
            <v>7.3209999999999997</v>
          </cell>
          <cell r="G18">
            <v>911</v>
          </cell>
          <cell r="H18">
            <v>110.69352000000001</v>
          </cell>
          <cell r="I18">
            <v>1021.69352</v>
          </cell>
        </row>
        <row r="19">
          <cell r="C19" t="str">
            <v>a2804</v>
          </cell>
          <cell r="D19">
            <v>280</v>
          </cell>
          <cell r="E19">
            <v>4</v>
          </cell>
          <cell r="F19">
            <v>9.1170000000000009</v>
          </cell>
          <cell r="G19">
            <v>1135</v>
          </cell>
          <cell r="H19">
            <v>137.84904</v>
          </cell>
          <cell r="I19">
            <v>1272.8490400000001</v>
          </cell>
        </row>
        <row r="20">
          <cell r="C20" t="str">
            <v>a3154</v>
          </cell>
          <cell r="D20">
            <v>315</v>
          </cell>
          <cell r="E20">
            <v>4</v>
          </cell>
          <cell r="F20">
            <v>11.598000000000001</v>
          </cell>
          <cell r="G20">
            <v>1443</v>
          </cell>
          <cell r="H20">
            <v>175.36176000000003</v>
          </cell>
          <cell r="I20">
            <v>1618.36176</v>
          </cell>
        </row>
        <row r="21">
          <cell r="C21" t="str">
            <v>a636</v>
          </cell>
          <cell r="D21">
            <v>63</v>
          </cell>
          <cell r="E21">
            <v>6</v>
          </cell>
          <cell r="F21">
            <v>0.68300000000000005</v>
          </cell>
          <cell r="G21">
            <v>83</v>
          </cell>
          <cell r="H21">
            <v>10.326960000000001</v>
          </cell>
          <cell r="I21">
            <v>93.32696</v>
          </cell>
        </row>
        <row r="22">
          <cell r="C22" t="str">
            <v>a756</v>
          </cell>
          <cell r="D22">
            <v>75</v>
          </cell>
          <cell r="E22">
            <v>6</v>
          </cell>
          <cell r="F22">
            <v>0.97</v>
          </cell>
          <cell r="G22">
            <v>117</v>
          </cell>
          <cell r="H22">
            <v>14.666399999999999</v>
          </cell>
          <cell r="I22">
            <v>131.66640000000001</v>
          </cell>
        </row>
        <row r="23">
          <cell r="C23" t="str">
            <v>a906</v>
          </cell>
          <cell r="D23">
            <v>90</v>
          </cell>
          <cell r="E23">
            <v>6</v>
          </cell>
          <cell r="F23">
            <v>1.3779999999999999</v>
          </cell>
          <cell r="G23">
            <v>166</v>
          </cell>
          <cell r="H23">
            <v>20.835359999999998</v>
          </cell>
          <cell r="I23">
            <v>186.83536000000001</v>
          </cell>
        </row>
        <row r="24">
          <cell r="C24" t="str">
            <v>a1106</v>
          </cell>
          <cell r="D24">
            <v>110</v>
          </cell>
          <cell r="E24">
            <v>6</v>
          </cell>
          <cell r="F24">
            <v>2.0670000000000002</v>
          </cell>
          <cell r="G24">
            <v>250</v>
          </cell>
          <cell r="H24">
            <v>31.253040000000006</v>
          </cell>
          <cell r="I24">
            <v>281.25304</v>
          </cell>
        </row>
        <row r="25">
          <cell r="C25" t="str">
            <v>a1256</v>
          </cell>
          <cell r="D25">
            <v>125</v>
          </cell>
          <cell r="E25">
            <v>6</v>
          </cell>
          <cell r="F25">
            <v>2.6459999999999999</v>
          </cell>
          <cell r="G25">
            <v>320</v>
          </cell>
          <cell r="H25">
            <v>40.007520000000007</v>
          </cell>
          <cell r="I25">
            <v>360.00752</v>
          </cell>
        </row>
        <row r="26">
          <cell r="C26" t="str">
            <v>a1406</v>
          </cell>
          <cell r="D26">
            <v>140</v>
          </cell>
          <cell r="E26">
            <v>6</v>
          </cell>
          <cell r="F26">
            <v>3.3140000000000001</v>
          </cell>
          <cell r="G26">
            <v>400</v>
          </cell>
          <cell r="H26">
            <v>50.107680000000002</v>
          </cell>
          <cell r="I26">
            <v>450.10768000000002</v>
          </cell>
        </row>
        <row r="27">
          <cell r="C27" t="str">
            <v>a1606</v>
          </cell>
          <cell r="D27">
            <v>160</v>
          </cell>
          <cell r="E27">
            <v>6</v>
          </cell>
          <cell r="F27">
            <v>4.3230000000000004</v>
          </cell>
          <cell r="G27">
            <v>522</v>
          </cell>
          <cell r="H27">
            <v>65.363759999999999</v>
          </cell>
          <cell r="I27">
            <v>587.36375999999996</v>
          </cell>
        </row>
        <row r="28">
          <cell r="C28" t="str">
            <v>a1806</v>
          </cell>
          <cell r="D28">
            <v>180</v>
          </cell>
          <cell r="E28">
            <v>6</v>
          </cell>
          <cell r="F28">
            <v>5.4420000000000002</v>
          </cell>
          <cell r="G28">
            <v>657</v>
          </cell>
          <cell r="H28">
            <v>82.28304</v>
          </cell>
          <cell r="I28">
            <v>739.28304000000003</v>
          </cell>
        </row>
        <row r="29">
          <cell r="C29" t="str">
            <v>a2006</v>
          </cell>
          <cell r="D29">
            <v>200</v>
          </cell>
          <cell r="E29">
            <v>6</v>
          </cell>
          <cell r="F29">
            <v>6.7409999999999997</v>
          </cell>
          <cell r="G29">
            <v>814</v>
          </cell>
          <cell r="H29">
            <v>101.92392000000001</v>
          </cell>
          <cell r="I29">
            <v>915.92391999999995</v>
          </cell>
        </row>
        <row r="30">
          <cell r="C30" t="str">
            <v>a2256</v>
          </cell>
          <cell r="D30">
            <v>225</v>
          </cell>
          <cell r="E30">
            <v>6</v>
          </cell>
          <cell r="F30">
            <v>8.4960000000000004</v>
          </cell>
          <cell r="G30">
            <v>1057</v>
          </cell>
          <cell r="H30">
            <v>128.45952000000003</v>
          </cell>
          <cell r="I30">
            <v>1185.4595200000001</v>
          </cell>
        </row>
        <row r="31">
          <cell r="C31" t="str">
            <v>a2506</v>
          </cell>
          <cell r="D31">
            <v>250</v>
          </cell>
          <cell r="E31">
            <v>6</v>
          </cell>
          <cell r="F31">
            <v>10.484999999999999</v>
          </cell>
          <cell r="G31">
            <v>1301</v>
          </cell>
          <cell r="H31">
            <v>158.53319999999999</v>
          </cell>
          <cell r="I31">
            <v>1459.5332000000001</v>
          </cell>
        </row>
        <row r="32">
          <cell r="C32" t="str">
            <v>a2806</v>
          </cell>
          <cell r="D32">
            <v>280</v>
          </cell>
          <cell r="E32">
            <v>6</v>
          </cell>
          <cell r="F32">
            <v>13.111000000000001</v>
          </cell>
          <cell r="G32">
            <v>1631</v>
          </cell>
          <cell r="H32">
            <v>198.23832000000002</v>
          </cell>
          <cell r="I32">
            <v>1829.2383199999999</v>
          </cell>
        </row>
        <row r="33">
          <cell r="C33" t="str">
            <v>a3156</v>
          </cell>
          <cell r="D33">
            <v>315</v>
          </cell>
          <cell r="E33">
            <v>6</v>
          </cell>
          <cell r="F33">
            <v>16.594000000000001</v>
          </cell>
          <cell r="G33">
            <v>2068</v>
          </cell>
          <cell r="H33">
            <v>250.90128000000007</v>
          </cell>
          <cell r="I33">
            <v>2318.90128</v>
          </cell>
        </row>
        <row r="34">
          <cell r="C34" t="str">
            <v>a638</v>
          </cell>
          <cell r="D34">
            <v>63</v>
          </cell>
          <cell r="E34">
            <v>8</v>
          </cell>
          <cell r="F34">
            <v>0.86799999999999999</v>
          </cell>
          <cell r="G34">
            <v>105</v>
          </cell>
          <cell r="H34">
            <v>13.12416</v>
          </cell>
          <cell r="I34">
            <v>118.12416</v>
          </cell>
        </row>
        <row r="35">
          <cell r="C35" t="str">
            <v>a758</v>
          </cell>
          <cell r="D35">
            <v>75</v>
          </cell>
          <cell r="E35">
            <v>8</v>
          </cell>
          <cell r="F35">
            <v>1.228</v>
          </cell>
          <cell r="G35">
            <v>148</v>
          </cell>
          <cell r="H35">
            <v>18.567360000000001</v>
          </cell>
          <cell r="I35">
            <v>166.56736000000001</v>
          </cell>
        </row>
        <row r="36">
          <cell r="C36" t="str">
            <v>a908</v>
          </cell>
          <cell r="D36">
            <v>90</v>
          </cell>
          <cell r="E36">
            <v>8</v>
          </cell>
          <cell r="F36">
            <v>1.756</v>
          </cell>
          <cell r="G36">
            <v>212</v>
          </cell>
          <cell r="H36">
            <v>26.550720000000002</v>
          </cell>
          <cell r="I36">
            <v>238.55072000000001</v>
          </cell>
        </row>
        <row r="37">
          <cell r="C37" t="str">
            <v>a1108</v>
          </cell>
          <cell r="D37">
            <v>110</v>
          </cell>
          <cell r="E37">
            <v>8</v>
          </cell>
          <cell r="F37">
            <v>2.6269999999999998</v>
          </cell>
          <cell r="G37">
            <v>317</v>
          </cell>
          <cell r="H37">
            <v>39.720240000000004</v>
          </cell>
          <cell r="I37">
            <v>356.72023999999999</v>
          </cell>
        </row>
        <row r="38">
          <cell r="C38" t="str">
            <v>a1258</v>
          </cell>
          <cell r="D38">
            <v>125</v>
          </cell>
          <cell r="E38">
            <v>8</v>
          </cell>
          <cell r="F38">
            <v>3.379</v>
          </cell>
          <cell r="G38">
            <v>408</v>
          </cell>
          <cell r="H38">
            <v>51.090480000000007</v>
          </cell>
          <cell r="I38">
            <v>459.09048000000001</v>
          </cell>
        </row>
        <row r="39">
          <cell r="C39" t="str">
            <v>a1408</v>
          </cell>
          <cell r="D39">
            <v>140</v>
          </cell>
          <cell r="E39">
            <v>8</v>
          </cell>
          <cell r="F39">
            <v>4.2249999999999996</v>
          </cell>
          <cell r="G39">
            <v>510</v>
          </cell>
          <cell r="H39">
            <v>63.882000000000005</v>
          </cell>
          <cell r="I39">
            <v>573.88200000000006</v>
          </cell>
        </row>
        <row r="40">
          <cell r="C40" t="str">
            <v>a1608</v>
          </cell>
          <cell r="D40">
            <v>160</v>
          </cell>
          <cell r="E40">
            <v>8</v>
          </cell>
          <cell r="F40">
            <v>5.5069999999999997</v>
          </cell>
          <cell r="G40">
            <v>665</v>
          </cell>
          <cell r="H40">
            <v>83.265839999999997</v>
          </cell>
          <cell r="I40">
            <v>748.26584000000003</v>
          </cell>
        </row>
        <row r="41">
          <cell r="C41" t="str">
            <v>a1808</v>
          </cell>
          <cell r="D41">
            <v>180</v>
          </cell>
          <cell r="E41">
            <v>8</v>
          </cell>
          <cell r="F41">
            <v>6.9809999999999999</v>
          </cell>
          <cell r="G41">
            <v>843</v>
          </cell>
          <cell r="H41">
            <v>105.55272000000001</v>
          </cell>
          <cell r="I41">
            <v>948.55272000000002</v>
          </cell>
        </row>
        <row r="42">
          <cell r="C42" t="str">
            <v>a2008</v>
          </cell>
          <cell r="D42">
            <v>200</v>
          </cell>
          <cell r="E42">
            <v>8</v>
          </cell>
          <cell r="F42">
            <v>8.6050000000000004</v>
          </cell>
          <cell r="G42">
            <v>1039</v>
          </cell>
          <cell r="H42">
            <v>130.10760000000002</v>
          </cell>
          <cell r="I42">
            <v>1169.1076</v>
          </cell>
        </row>
        <row r="43">
          <cell r="C43" t="str">
            <v>a2258</v>
          </cell>
          <cell r="D43">
            <v>225</v>
          </cell>
          <cell r="E43">
            <v>8</v>
          </cell>
          <cell r="F43">
            <v>10.852</v>
          </cell>
          <cell r="G43">
            <v>1350</v>
          </cell>
          <cell r="H43">
            <v>164.08224000000001</v>
          </cell>
          <cell r="I43">
            <v>1514.08224</v>
          </cell>
        </row>
        <row r="44">
          <cell r="C44" t="str">
            <v>a2508</v>
          </cell>
          <cell r="D44">
            <v>250</v>
          </cell>
          <cell r="E44">
            <v>8</v>
          </cell>
          <cell r="F44">
            <v>13.420999999999999</v>
          </cell>
          <cell r="G44">
            <v>1670</v>
          </cell>
          <cell r="H44">
            <v>202.92552000000001</v>
          </cell>
          <cell r="I44">
            <v>1872.92552</v>
          </cell>
        </row>
        <row r="45">
          <cell r="C45" t="str">
            <v>a2808</v>
          </cell>
          <cell r="D45">
            <v>280</v>
          </cell>
          <cell r="E45">
            <v>8</v>
          </cell>
          <cell r="F45">
            <v>16.795000000000002</v>
          </cell>
          <cell r="G45">
            <v>2090</v>
          </cell>
          <cell r="H45">
            <v>253.94040000000007</v>
          </cell>
          <cell r="I45">
            <v>2343.9404</v>
          </cell>
        </row>
        <row r="46">
          <cell r="C46" t="str">
            <v>a3158</v>
          </cell>
          <cell r="D46">
            <v>315</v>
          </cell>
          <cell r="E46">
            <v>8</v>
          </cell>
          <cell r="F46">
            <v>21.260999999999999</v>
          </cell>
          <cell r="G46">
            <v>2646</v>
          </cell>
          <cell r="H46">
            <v>321.46632</v>
          </cell>
          <cell r="I46">
            <v>2967.46632</v>
          </cell>
        </row>
        <row r="47">
          <cell r="C47" t="str">
            <v>a6310</v>
          </cell>
          <cell r="D47">
            <v>63</v>
          </cell>
          <cell r="E47">
            <v>10</v>
          </cell>
          <cell r="F47">
            <v>1.044</v>
          </cell>
          <cell r="G47">
            <v>126</v>
          </cell>
          <cell r="H47">
            <v>15.785280000000002</v>
          </cell>
          <cell r="I47">
            <v>141.78528</v>
          </cell>
        </row>
        <row r="48">
          <cell r="C48" t="str">
            <v>a7510</v>
          </cell>
          <cell r="D48">
            <v>75</v>
          </cell>
          <cell r="E48">
            <v>10</v>
          </cell>
          <cell r="F48">
            <v>1.474</v>
          </cell>
          <cell r="G48">
            <v>178</v>
          </cell>
          <cell r="H48">
            <v>22.28688</v>
          </cell>
          <cell r="I48">
            <v>200.28688</v>
          </cell>
        </row>
        <row r="49">
          <cell r="C49" t="str">
            <v>a9010</v>
          </cell>
          <cell r="D49">
            <v>90</v>
          </cell>
          <cell r="E49">
            <v>10</v>
          </cell>
          <cell r="F49">
            <v>2.1080000000000001</v>
          </cell>
          <cell r="G49">
            <v>255</v>
          </cell>
          <cell r="H49">
            <v>31.872960000000003</v>
          </cell>
          <cell r="I49">
            <v>286.87295999999998</v>
          </cell>
        </row>
        <row r="50">
          <cell r="C50" t="str">
            <v>a11010</v>
          </cell>
          <cell r="D50">
            <v>110</v>
          </cell>
          <cell r="E50">
            <v>10</v>
          </cell>
          <cell r="F50">
            <v>3.1240000000000001</v>
          </cell>
          <cell r="G50">
            <v>377</v>
          </cell>
          <cell r="H50">
            <v>47.234880000000004</v>
          </cell>
          <cell r="I50">
            <v>424.23487999999998</v>
          </cell>
        </row>
        <row r="51">
          <cell r="C51" t="str">
            <v>a12510</v>
          </cell>
          <cell r="D51">
            <v>125</v>
          </cell>
          <cell r="E51">
            <v>10</v>
          </cell>
          <cell r="F51">
            <v>4.0510000000000002</v>
          </cell>
          <cell r="G51">
            <v>489</v>
          </cell>
          <cell r="H51">
            <v>61.251120000000007</v>
          </cell>
          <cell r="I51">
            <v>550.25112000000001</v>
          </cell>
        </row>
        <row r="52">
          <cell r="C52" t="str">
            <v>a14010</v>
          </cell>
          <cell r="D52">
            <v>140</v>
          </cell>
          <cell r="E52">
            <v>10</v>
          </cell>
          <cell r="F52">
            <v>5.08</v>
          </cell>
          <cell r="G52">
            <v>614</v>
          </cell>
          <cell r="H52">
            <v>76.809600000000003</v>
          </cell>
          <cell r="I52">
            <v>690.80960000000005</v>
          </cell>
        </row>
        <row r="53">
          <cell r="C53" t="str">
            <v>a16010</v>
          </cell>
          <cell r="D53">
            <v>160</v>
          </cell>
          <cell r="E53">
            <v>10</v>
          </cell>
          <cell r="F53">
            <v>6.6219999999999999</v>
          </cell>
          <cell r="G53">
            <v>800</v>
          </cell>
          <cell r="H53">
            <v>100.12464</v>
          </cell>
          <cell r="I53">
            <v>900.12464</v>
          </cell>
        </row>
        <row r="54">
          <cell r="C54" t="str">
            <v>a18010</v>
          </cell>
          <cell r="D54">
            <v>180</v>
          </cell>
          <cell r="E54">
            <v>10</v>
          </cell>
          <cell r="F54">
            <v>8.3680000000000003</v>
          </cell>
          <cell r="G54">
            <v>1011</v>
          </cell>
          <cell r="H54">
            <v>126.52416000000001</v>
          </cell>
          <cell r="I54">
            <v>1137.5241599999999</v>
          </cell>
        </row>
        <row r="55">
          <cell r="C55" t="str">
            <v>a20010</v>
          </cell>
          <cell r="D55">
            <v>200</v>
          </cell>
          <cell r="E55">
            <v>10</v>
          </cell>
          <cell r="F55">
            <v>10.317</v>
          </cell>
          <cell r="G55">
            <v>1246</v>
          </cell>
          <cell r="H55">
            <v>155.99304000000001</v>
          </cell>
          <cell r="I55">
            <v>1401.9930400000001</v>
          </cell>
        </row>
        <row r="56">
          <cell r="C56" t="str">
            <v>a22510</v>
          </cell>
          <cell r="D56">
            <v>225</v>
          </cell>
          <cell r="E56">
            <v>10</v>
          </cell>
          <cell r="F56">
            <v>13.054</v>
          </cell>
          <cell r="G56">
            <v>1624</v>
          </cell>
          <cell r="H56">
            <v>197.37648000000002</v>
          </cell>
          <cell r="I56">
            <v>1821.3764799999999</v>
          </cell>
        </row>
        <row r="57">
          <cell r="C57" t="str">
            <v>a25010</v>
          </cell>
          <cell r="D57">
            <v>250</v>
          </cell>
          <cell r="E57">
            <v>10</v>
          </cell>
          <cell r="F57">
            <v>16.113</v>
          </cell>
          <cell r="G57">
            <v>2005</v>
          </cell>
          <cell r="H57">
            <v>243.62855999999999</v>
          </cell>
          <cell r="I57">
            <v>2248.6285600000001</v>
          </cell>
        </row>
        <row r="58">
          <cell r="C58" t="str">
            <v>a28010</v>
          </cell>
          <cell r="D58">
            <v>280</v>
          </cell>
          <cell r="E58">
            <v>10</v>
          </cell>
          <cell r="F58">
            <v>20.117999999999999</v>
          </cell>
          <cell r="G58">
            <v>2512</v>
          </cell>
          <cell r="H58">
            <v>304.18416000000002</v>
          </cell>
          <cell r="I58">
            <v>2816.1841599999998</v>
          </cell>
        </row>
        <row r="59">
          <cell r="C59" t="str">
            <v>a31510</v>
          </cell>
          <cell r="D59">
            <v>315</v>
          </cell>
          <cell r="E59">
            <v>10</v>
          </cell>
          <cell r="F59">
            <v>25.541</v>
          </cell>
          <cell r="G59">
            <v>3178</v>
          </cell>
          <cell r="H59">
            <v>386.17992000000004</v>
          </cell>
          <cell r="I59">
            <v>3564.17992</v>
          </cell>
        </row>
      </sheetData>
      <sheetData sheetId="32" refreshError="1"/>
      <sheetData sheetId="33" refreshError="1"/>
      <sheetData sheetId="34">
        <row r="1">
          <cell r="B1" t="str">
            <v>Id</v>
          </cell>
          <cell r="C1" t="str">
            <v>Dia</v>
          </cell>
          <cell r="D1" t="str">
            <v>Class</v>
          </cell>
          <cell r="E1" t="str">
            <v>Weight of Pipe (Kgs/mtr)</v>
          </cell>
          <cell r="F1" t="str">
            <v>SSR Rate 08-09</v>
          </cell>
        </row>
        <row r="2">
          <cell r="B2" t="str">
            <v>a11010</v>
          </cell>
          <cell r="C2">
            <v>110</v>
          </cell>
          <cell r="D2">
            <v>10</v>
          </cell>
          <cell r="E2">
            <v>3.1240000000000001</v>
          </cell>
          <cell r="F2">
            <v>377</v>
          </cell>
        </row>
        <row r="3">
          <cell r="B3" t="str">
            <v>a1104</v>
          </cell>
          <cell r="C3">
            <v>110</v>
          </cell>
          <cell r="D3">
            <v>4</v>
          </cell>
          <cell r="E3">
            <v>1.4530000000000001</v>
          </cell>
          <cell r="F3">
            <v>175</v>
          </cell>
        </row>
        <row r="4">
          <cell r="B4" t="str">
            <v>a1106</v>
          </cell>
          <cell r="C4">
            <v>110</v>
          </cell>
          <cell r="D4">
            <v>6</v>
          </cell>
          <cell r="E4">
            <v>2.0670000000000002</v>
          </cell>
          <cell r="F4">
            <v>250</v>
          </cell>
        </row>
        <row r="5">
          <cell r="B5" t="str">
            <v>a1108</v>
          </cell>
          <cell r="C5">
            <v>110</v>
          </cell>
          <cell r="D5">
            <v>8</v>
          </cell>
          <cell r="E5">
            <v>2.6269999999999998</v>
          </cell>
          <cell r="F5">
            <v>317</v>
          </cell>
        </row>
        <row r="6">
          <cell r="B6" t="str">
            <v>a12510</v>
          </cell>
          <cell r="C6">
            <v>125</v>
          </cell>
          <cell r="D6">
            <v>10</v>
          </cell>
          <cell r="E6">
            <v>4.0510000000000002</v>
          </cell>
          <cell r="F6">
            <v>489</v>
          </cell>
        </row>
        <row r="7">
          <cell r="B7" t="str">
            <v>a1254</v>
          </cell>
          <cell r="C7">
            <v>125</v>
          </cell>
          <cell r="D7">
            <v>4</v>
          </cell>
          <cell r="E7">
            <v>1.8640000000000001</v>
          </cell>
          <cell r="F7">
            <v>225</v>
          </cell>
        </row>
        <row r="8">
          <cell r="B8" t="str">
            <v>a1256</v>
          </cell>
          <cell r="C8">
            <v>125</v>
          </cell>
          <cell r="D8">
            <v>6</v>
          </cell>
          <cell r="E8">
            <v>2.6459999999999999</v>
          </cell>
          <cell r="F8">
            <v>320</v>
          </cell>
        </row>
        <row r="9">
          <cell r="B9" t="str">
            <v>a1258</v>
          </cell>
          <cell r="C9">
            <v>125</v>
          </cell>
          <cell r="D9">
            <v>8</v>
          </cell>
          <cell r="E9">
            <v>3.379</v>
          </cell>
          <cell r="F9">
            <v>408</v>
          </cell>
        </row>
        <row r="10">
          <cell r="B10" t="str">
            <v>a14010</v>
          </cell>
          <cell r="C10">
            <v>140</v>
          </cell>
          <cell r="D10">
            <v>10</v>
          </cell>
          <cell r="E10">
            <v>5.08</v>
          </cell>
          <cell r="F10">
            <v>614</v>
          </cell>
        </row>
        <row r="11">
          <cell r="B11" t="str">
            <v>a1404</v>
          </cell>
          <cell r="C11">
            <v>140</v>
          </cell>
          <cell r="D11">
            <v>4</v>
          </cell>
          <cell r="E11">
            <v>2.3079999999999998</v>
          </cell>
          <cell r="F11">
            <v>279</v>
          </cell>
        </row>
        <row r="12">
          <cell r="B12" t="str">
            <v>a1406</v>
          </cell>
          <cell r="C12">
            <v>140</v>
          </cell>
          <cell r="D12">
            <v>6</v>
          </cell>
          <cell r="E12">
            <v>3.3140000000000001</v>
          </cell>
          <cell r="F12">
            <v>400</v>
          </cell>
        </row>
        <row r="13">
          <cell r="B13" t="str">
            <v>a1408</v>
          </cell>
          <cell r="C13">
            <v>140</v>
          </cell>
          <cell r="D13">
            <v>8</v>
          </cell>
          <cell r="E13">
            <v>4.2249999999999996</v>
          </cell>
          <cell r="F13">
            <v>510</v>
          </cell>
        </row>
        <row r="14">
          <cell r="B14" t="str">
            <v>a16010</v>
          </cell>
          <cell r="C14">
            <v>160</v>
          </cell>
          <cell r="D14">
            <v>10</v>
          </cell>
          <cell r="E14">
            <v>6.6219999999999999</v>
          </cell>
          <cell r="F14">
            <v>800</v>
          </cell>
        </row>
        <row r="15">
          <cell r="B15" t="str">
            <v>a1604</v>
          </cell>
          <cell r="C15">
            <v>160</v>
          </cell>
          <cell r="D15">
            <v>4</v>
          </cell>
          <cell r="E15">
            <v>3.024</v>
          </cell>
          <cell r="F15">
            <v>365</v>
          </cell>
        </row>
        <row r="16">
          <cell r="B16" t="str">
            <v>a1606</v>
          </cell>
          <cell r="C16">
            <v>160</v>
          </cell>
          <cell r="D16">
            <v>6</v>
          </cell>
          <cell r="E16">
            <v>4.3230000000000004</v>
          </cell>
          <cell r="F16">
            <v>522</v>
          </cell>
        </row>
        <row r="17">
          <cell r="B17" t="str">
            <v>a1608</v>
          </cell>
          <cell r="C17">
            <v>160</v>
          </cell>
          <cell r="D17">
            <v>8</v>
          </cell>
          <cell r="E17">
            <v>5.5069999999999997</v>
          </cell>
          <cell r="F17">
            <v>665</v>
          </cell>
        </row>
        <row r="18">
          <cell r="B18" t="str">
            <v>a18010</v>
          </cell>
          <cell r="C18">
            <v>180</v>
          </cell>
          <cell r="D18">
            <v>10</v>
          </cell>
          <cell r="E18">
            <v>8.3680000000000003</v>
          </cell>
          <cell r="F18">
            <v>1011</v>
          </cell>
        </row>
        <row r="19">
          <cell r="B19" t="str">
            <v>a1804</v>
          </cell>
          <cell r="C19">
            <v>180</v>
          </cell>
          <cell r="D19">
            <v>4</v>
          </cell>
          <cell r="E19">
            <v>3.8119999999999998</v>
          </cell>
          <cell r="F19">
            <v>460</v>
          </cell>
        </row>
        <row r="20">
          <cell r="B20" t="str">
            <v>a1806</v>
          </cell>
          <cell r="C20">
            <v>180</v>
          </cell>
          <cell r="D20">
            <v>6</v>
          </cell>
          <cell r="E20">
            <v>5.4420000000000002</v>
          </cell>
          <cell r="F20">
            <v>657</v>
          </cell>
        </row>
        <row r="21">
          <cell r="B21" t="str">
            <v>a1808</v>
          </cell>
          <cell r="C21">
            <v>180</v>
          </cell>
          <cell r="D21">
            <v>8</v>
          </cell>
          <cell r="E21">
            <v>6.9809999999999999</v>
          </cell>
          <cell r="F21">
            <v>843</v>
          </cell>
        </row>
        <row r="22">
          <cell r="B22" t="str">
            <v>a20010</v>
          </cell>
          <cell r="C22">
            <v>200</v>
          </cell>
          <cell r="D22">
            <v>10</v>
          </cell>
          <cell r="E22">
            <v>10.317</v>
          </cell>
          <cell r="F22">
            <v>1246</v>
          </cell>
        </row>
        <row r="23">
          <cell r="B23" t="str">
            <v>a2004</v>
          </cell>
          <cell r="C23">
            <v>200</v>
          </cell>
          <cell r="D23">
            <v>4</v>
          </cell>
          <cell r="E23">
            <v>4.6630000000000003</v>
          </cell>
          <cell r="F23">
            <v>563</v>
          </cell>
        </row>
        <row r="24">
          <cell r="B24" t="str">
            <v>a2006</v>
          </cell>
          <cell r="C24">
            <v>200</v>
          </cell>
          <cell r="D24">
            <v>6</v>
          </cell>
          <cell r="E24">
            <v>6.7409999999999997</v>
          </cell>
          <cell r="F24">
            <v>814</v>
          </cell>
        </row>
        <row r="25">
          <cell r="B25" t="str">
            <v>a2008</v>
          </cell>
          <cell r="C25">
            <v>200</v>
          </cell>
          <cell r="D25">
            <v>8</v>
          </cell>
          <cell r="E25">
            <v>8.6050000000000004</v>
          </cell>
          <cell r="F25">
            <v>1039</v>
          </cell>
        </row>
        <row r="26">
          <cell r="B26" t="str">
            <v>a22510</v>
          </cell>
          <cell r="C26">
            <v>225</v>
          </cell>
          <cell r="D26">
            <v>10</v>
          </cell>
          <cell r="E26">
            <v>13.054</v>
          </cell>
          <cell r="F26">
            <v>1624</v>
          </cell>
        </row>
        <row r="27">
          <cell r="B27" t="str">
            <v>a2254</v>
          </cell>
          <cell r="C27">
            <v>225</v>
          </cell>
          <cell r="D27">
            <v>4</v>
          </cell>
          <cell r="E27">
            <v>5.9169999999999998</v>
          </cell>
          <cell r="F27">
            <v>736</v>
          </cell>
        </row>
        <row r="28">
          <cell r="B28" t="str">
            <v>a2256</v>
          </cell>
          <cell r="C28">
            <v>225</v>
          </cell>
          <cell r="D28">
            <v>6</v>
          </cell>
          <cell r="E28">
            <v>8.4960000000000004</v>
          </cell>
          <cell r="F28">
            <v>1057</v>
          </cell>
        </row>
        <row r="29">
          <cell r="B29" t="str">
            <v>a2258</v>
          </cell>
          <cell r="C29">
            <v>225</v>
          </cell>
          <cell r="D29">
            <v>8</v>
          </cell>
          <cell r="E29">
            <v>10.852</v>
          </cell>
          <cell r="F29">
            <v>1350</v>
          </cell>
        </row>
        <row r="30">
          <cell r="B30" t="str">
            <v>a25010</v>
          </cell>
          <cell r="C30">
            <v>250</v>
          </cell>
          <cell r="D30">
            <v>10</v>
          </cell>
          <cell r="E30">
            <v>16.113</v>
          </cell>
          <cell r="F30">
            <v>2005</v>
          </cell>
        </row>
        <row r="31">
          <cell r="B31" t="str">
            <v>a2504</v>
          </cell>
          <cell r="C31">
            <v>250</v>
          </cell>
          <cell r="D31">
            <v>4</v>
          </cell>
          <cell r="E31">
            <v>7.3209999999999997</v>
          </cell>
          <cell r="F31">
            <v>911</v>
          </cell>
        </row>
        <row r="32">
          <cell r="B32" t="str">
            <v>a2506</v>
          </cell>
          <cell r="C32">
            <v>250</v>
          </cell>
          <cell r="D32">
            <v>6</v>
          </cell>
          <cell r="E32">
            <v>10.484999999999999</v>
          </cell>
          <cell r="F32">
            <v>1301</v>
          </cell>
        </row>
        <row r="33">
          <cell r="B33" t="str">
            <v>a2508</v>
          </cell>
          <cell r="C33">
            <v>250</v>
          </cell>
          <cell r="D33">
            <v>8</v>
          </cell>
          <cell r="E33">
            <v>13.420999999999999</v>
          </cell>
          <cell r="F33">
            <v>1670</v>
          </cell>
        </row>
        <row r="34">
          <cell r="B34" t="str">
            <v>a28010</v>
          </cell>
          <cell r="C34">
            <v>280</v>
          </cell>
          <cell r="D34">
            <v>10</v>
          </cell>
          <cell r="E34">
            <v>20.117999999999999</v>
          </cell>
          <cell r="F34">
            <v>2512</v>
          </cell>
        </row>
        <row r="35">
          <cell r="B35" t="str">
            <v>a2804</v>
          </cell>
          <cell r="C35">
            <v>280</v>
          </cell>
          <cell r="D35">
            <v>4</v>
          </cell>
          <cell r="E35">
            <v>9.1170000000000009</v>
          </cell>
          <cell r="F35">
            <v>1135</v>
          </cell>
        </row>
        <row r="36">
          <cell r="B36" t="str">
            <v>a2806</v>
          </cell>
          <cell r="C36">
            <v>280</v>
          </cell>
          <cell r="D36">
            <v>6</v>
          </cell>
          <cell r="E36">
            <v>13.111000000000001</v>
          </cell>
          <cell r="F36">
            <v>1631</v>
          </cell>
        </row>
        <row r="37">
          <cell r="B37" t="str">
            <v>a2808</v>
          </cell>
          <cell r="C37">
            <v>280</v>
          </cell>
          <cell r="D37">
            <v>8</v>
          </cell>
          <cell r="E37">
            <v>16.795000000000002</v>
          </cell>
          <cell r="F37">
            <v>2090</v>
          </cell>
        </row>
        <row r="38">
          <cell r="B38" t="str">
            <v>a31510</v>
          </cell>
          <cell r="C38">
            <v>315</v>
          </cell>
          <cell r="D38">
            <v>10</v>
          </cell>
          <cell r="E38">
            <v>25.541</v>
          </cell>
          <cell r="F38">
            <v>3178</v>
          </cell>
        </row>
        <row r="39">
          <cell r="B39" t="str">
            <v>a3154</v>
          </cell>
          <cell r="C39">
            <v>315</v>
          </cell>
          <cell r="D39">
            <v>4</v>
          </cell>
          <cell r="E39">
            <v>11.598000000000001</v>
          </cell>
          <cell r="F39">
            <v>1443</v>
          </cell>
        </row>
        <row r="40">
          <cell r="B40" t="str">
            <v>a3156</v>
          </cell>
          <cell r="C40">
            <v>315</v>
          </cell>
          <cell r="D40">
            <v>6</v>
          </cell>
          <cell r="E40">
            <v>16.594000000000001</v>
          </cell>
          <cell r="F40">
            <v>2068</v>
          </cell>
        </row>
        <row r="41">
          <cell r="B41" t="str">
            <v>a3158</v>
          </cell>
          <cell r="C41">
            <v>315</v>
          </cell>
          <cell r="D41">
            <v>8</v>
          </cell>
          <cell r="E41">
            <v>21.260999999999999</v>
          </cell>
          <cell r="F41">
            <v>2646</v>
          </cell>
        </row>
        <row r="42">
          <cell r="B42" t="str">
            <v>a6310</v>
          </cell>
          <cell r="C42">
            <v>63</v>
          </cell>
          <cell r="D42">
            <v>10</v>
          </cell>
          <cell r="E42">
            <v>1.044</v>
          </cell>
          <cell r="F42">
            <v>126</v>
          </cell>
        </row>
        <row r="43">
          <cell r="B43" t="str">
            <v>a634</v>
          </cell>
          <cell r="C43">
            <v>63</v>
          </cell>
          <cell r="D43">
            <v>4</v>
          </cell>
          <cell r="E43">
            <v>0.49099999999999999</v>
          </cell>
          <cell r="F43">
            <v>59</v>
          </cell>
        </row>
        <row r="44">
          <cell r="B44" t="str">
            <v>a636</v>
          </cell>
          <cell r="C44">
            <v>63</v>
          </cell>
          <cell r="D44">
            <v>6</v>
          </cell>
          <cell r="E44">
            <v>0.68300000000000005</v>
          </cell>
          <cell r="F44">
            <v>83</v>
          </cell>
        </row>
        <row r="45">
          <cell r="B45" t="str">
            <v>a638</v>
          </cell>
          <cell r="C45">
            <v>63</v>
          </cell>
          <cell r="D45">
            <v>8</v>
          </cell>
          <cell r="E45">
            <v>0.86799999999999999</v>
          </cell>
          <cell r="F45">
            <v>105</v>
          </cell>
        </row>
        <row r="46">
          <cell r="B46" t="str">
            <v>a7510</v>
          </cell>
          <cell r="C46">
            <v>75</v>
          </cell>
          <cell r="D46">
            <v>10</v>
          </cell>
          <cell r="E46">
            <v>1.474</v>
          </cell>
          <cell r="F46">
            <v>178</v>
          </cell>
        </row>
        <row r="47">
          <cell r="B47" t="str">
            <v>a754</v>
          </cell>
          <cell r="C47">
            <v>75</v>
          </cell>
          <cell r="D47">
            <v>4</v>
          </cell>
          <cell r="E47">
            <v>0.67100000000000004</v>
          </cell>
          <cell r="F47">
            <v>81</v>
          </cell>
        </row>
        <row r="48">
          <cell r="B48" t="str">
            <v>a756</v>
          </cell>
          <cell r="C48">
            <v>75</v>
          </cell>
          <cell r="D48">
            <v>6</v>
          </cell>
          <cell r="E48">
            <v>0.97</v>
          </cell>
          <cell r="F48">
            <v>117</v>
          </cell>
        </row>
        <row r="49">
          <cell r="B49" t="str">
            <v>a758</v>
          </cell>
          <cell r="C49">
            <v>75</v>
          </cell>
          <cell r="D49">
            <v>8</v>
          </cell>
          <cell r="E49">
            <v>1.228</v>
          </cell>
          <cell r="F49">
            <v>148</v>
          </cell>
        </row>
        <row r="50">
          <cell r="B50" t="str">
            <v>a9010</v>
          </cell>
          <cell r="C50">
            <v>90</v>
          </cell>
          <cell r="D50">
            <v>10</v>
          </cell>
          <cell r="E50">
            <v>2.1080000000000001</v>
          </cell>
          <cell r="F50">
            <v>255</v>
          </cell>
        </row>
        <row r="51">
          <cell r="B51" t="str">
            <v>a904</v>
          </cell>
          <cell r="C51">
            <v>90</v>
          </cell>
          <cell r="D51">
            <v>4</v>
          </cell>
          <cell r="E51">
            <v>0.97099999999999997</v>
          </cell>
          <cell r="F51">
            <v>117</v>
          </cell>
        </row>
        <row r="52">
          <cell r="B52" t="str">
            <v>a906</v>
          </cell>
          <cell r="C52">
            <v>90</v>
          </cell>
          <cell r="D52">
            <v>6</v>
          </cell>
          <cell r="E52">
            <v>1.3779999999999999</v>
          </cell>
          <cell r="F52">
            <v>166</v>
          </cell>
        </row>
        <row r="53">
          <cell r="B53" t="str">
            <v>a908</v>
          </cell>
          <cell r="C53">
            <v>90</v>
          </cell>
          <cell r="D53">
            <v>8</v>
          </cell>
          <cell r="E53">
            <v>1.756</v>
          </cell>
          <cell r="F53">
            <v>212</v>
          </cell>
        </row>
      </sheetData>
      <sheetData sheetId="35">
        <row r="7">
          <cell r="C7" t="str">
            <v>Code</v>
          </cell>
          <cell r="D7" t="str">
            <v>Dia</v>
          </cell>
          <cell r="E7" t="str">
            <v>Class</v>
          </cell>
          <cell r="F7" t="str">
            <v>Weight of Pipe (kgs/mt)</v>
          </cell>
          <cell r="G7" t="str">
            <v>SSR  Rate - P1</v>
          </cell>
          <cell r="H7" t="str">
            <v>Difference in rate as per price variation</v>
          </cell>
          <cell r="I7" t="str">
            <v>Rate as per Price Variation</v>
          </cell>
        </row>
        <row r="8">
          <cell r="C8" t="str">
            <v>a634</v>
          </cell>
          <cell r="D8">
            <v>63</v>
          </cell>
          <cell r="E8">
            <v>4</v>
          </cell>
          <cell r="F8">
            <v>0.46800000000000003</v>
          </cell>
          <cell r="G8">
            <v>33.5</v>
          </cell>
          <cell r="H8">
            <v>4.8981581999999992</v>
          </cell>
          <cell r="I8">
            <v>38.398158199999997</v>
          </cell>
        </row>
        <row r="9">
          <cell r="C9" t="str">
            <v>a754</v>
          </cell>
          <cell r="D9">
            <v>75</v>
          </cell>
          <cell r="E9">
            <v>4</v>
          </cell>
          <cell r="F9">
            <v>0.65500000000000003</v>
          </cell>
          <cell r="G9">
            <v>47.8</v>
          </cell>
          <cell r="H9">
            <v>6.8553282499999995</v>
          </cell>
          <cell r="I9">
            <v>54.655328249999997</v>
          </cell>
        </row>
        <row r="10">
          <cell r="C10" t="str">
            <v>a904</v>
          </cell>
          <cell r="D10">
            <v>90</v>
          </cell>
          <cell r="E10">
            <v>4</v>
          </cell>
          <cell r="F10">
            <v>0.92400000000000004</v>
          </cell>
          <cell r="G10">
            <v>67.400000000000006</v>
          </cell>
          <cell r="H10">
            <v>9.6707225999999995</v>
          </cell>
          <cell r="I10">
            <v>77.070722600000011</v>
          </cell>
        </row>
        <row r="11">
          <cell r="C11" t="str">
            <v>a1104</v>
          </cell>
          <cell r="D11">
            <v>110</v>
          </cell>
          <cell r="E11">
            <v>4</v>
          </cell>
          <cell r="F11">
            <v>1.323</v>
          </cell>
          <cell r="G11">
            <v>97.3</v>
          </cell>
          <cell r="H11">
            <v>13.846716449999999</v>
          </cell>
          <cell r="I11">
            <v>111.14671645</v>
          </cell>
        </row>
        <row r="12">
          <cell r="C12" t="str">
            <v>a1254</v>
          </cell>
          <cell r="D12">
            <v>125</v>
          </cell>
          <cell r="E12">
            <v>4</v>
          </cell>
          <cell r="F12">
            <v>1.722</v>
          </cell>
          <cell r="G12">
            <v>126.9</v>
          </cell>
          <cell r="H12">
            <v>18.022710299999996</v>
          </cell>
          <cell r="I12">
            <v>144.92271030000001</v>
          </cell>
        </row>
        <row r="13">
          <cell r="C13" t="str">
            <v>a1404</v>
          </cell>
          <cell r="D13">
            <v>140</v>
          </cell>
          <cell r="E13">
            <v>4</v>
          </cell>
          <cell r="F13">
            <v>2.1440000000000001</v>
          </cell>
          <cell r="G13">
            <v>158.1</v>
          </cell>
          <cell r="H13">
            <v>22.4394256</v>
          </cell>
          <cell r="I13">
            <v>180.53942559999999</v>
          </cell>
        </row>
        <row r="14">
          <cell r="C14" t="str">
            <v>a1604</v>
          </cell>
          <cell r="D14">
            <v>160</v>
          </cell>
          <cell r="E14">
            <v>4</v>
          </cell>
          <cell r="F14">
            <v>2.7989999999999999</v>
          </cell>
          <cell r="G14">
            <v>208.5</v>
          </cell>
          <cell r="H14">
            <v>29.294753849999996</v>
          </cell>
          <cell r="I14">
            <v>237.79475385000001</v>
          </cell>
        </row>
        <row r="15">
          <cell r="C15" t="str">
            <v>a1804</v>
          </cell>
          <cell r="D15">
            <v>180</v>
          </cell>
          <cell r="E15">
            <v>4</v>
          </cell>
          <cell r="F15">
            <v>3.581</v>
          </cell>
          <cell r="G15">
            <v>266</v>
          </cell>
          <cell r="H15">
            <v>37.479283149999993</v>
          </cell>
          <cell r="I15">
            <v>303.47928315000001</v>
          </cell>
        </row>
        <row r="16">
          <cell r="C16" t="str">
            <v>a2004</v>
          </cell>
          <cell r="D16">
            <v>200</v>
          </cell>
          <cell r="E16">
            <v>4</v>
          </cell>
          <cell r="F16">
            <v>4.3310000000000004</v>
          </cell>
          <cell r="G16">
            <v>323.39999999999998</v>
          </cell>
          <cell r="H16">
            <v>45.32889565</v>
          </cell>
          <cell r="I16">
            <v>368.72889564999997</v>
          </cell>
        </row>
        <row r="17">
          <cell r="C17" t="str">
            <v>a2254</v>
          </cell>
          <cell r="D17">
            <v>225</v>
          </cell>
          <cell r="E17">
            <v>4</v>
          </cell>
          <cell r="F17">
            <v>5.5110000000000001</v>
          </cell>
          <cell r="G17">
            <v>423.7</v>
          </cell>
          <cell r="H17">
            <v>57.678952649999992</v>
          </cell>
          <cell r="I17">
            <v>481.37895264999997</v>
          </cell>
        </row>
        <row r="18">
          <cell r="C18" t="str">
            <v>a2504</v>
          </cell>
          <cell r="D18">
            <v>250</v>
          </cell>
          <cell r="E18">
            <v>4</v>
          </cell>
          <cell r="F18">
            <v>6.6740000000000004</v>
          </cell>
          <cell r="G18">
            <v>495.2</v>
          </cell>
          <cell r="H18">
            <v>69.851085099999992</v>
          </cell>
          <cell r="I18">
            <v>565.05108510000002</v>
          </cell>
        </row>
        <row r="19">
          <cell r="C19" t="str">
            <v>a2804</v>
          </cell>
          <cell r="D19">
            <v>280</v>
          </cell>
          <cell r="E19">
            <v>4</v>
          </cell>
          <cell r="F19">
            <v>8.4529999999999994</v>
          </cell>
          <cell r="G19">
            <v>650.5</v>
          </cell>
          <cell r="H19">
            <v>88.470365949999973</v>
          </cell>
          <cell r="I19">
            <v>738.97036594999997</v>
          </cell>
        </row>
        <row r="20">
          <cell r="C20" t="str">
            <v>a3154</v>
          </cell>
          <cell r="D20">
            <v>315</v>
          </cell>
          <cell r="E20">
            <v>4</v>
          </cell>
          <cell r="F20">
            <v>10.682</v>
          </cell>
          <cell r="G20">
            <v>825.7</v>
          </cell>
          <cell r="H20">
            <v>111.7994143</v>
          </cell>
          <cell r="I20">
            <v>937.49941430000001</v>
          </cell>
        </row>
        <row r="21">
          <cell r="C21" t="str">
            <v>a636</v>
          </cell>
          <cell r="D21">
            <v>63</v>
          </cell>
          <cell r="E21">
            <v>6</v>
          </cell>
          <cell r="F21">
            <v>0.66600000000000004</v>
          </cell>
          <cell r="G21">
            <v>47.7</v>
          </cell>
          <cell r="H21">
            <v>6.9704559000000001</v>
          </cell>
          <cell r="I21">
            <v>54.6704559</v>
          </cell>
        </row>
        <row r="22">
          <cell r="C22" t="str">
            <v>a756</v>
          </cell>
          <cell r="D22">
            <v>75</v>
          </cell>
          <cell r="E22">
            <v>6</v>
          </cell>
          <cell r="F22">
            <v>0.92300000000000004</v>
          </cell>
          <cell r="G22">
            <v>66.5</v>
          </cell>
          <cell r="H22">
            <v>9.6602564500000003</v>
          </cell>
          <cell r="I22">
            <v>76.160256450000006</v>
          </cell>
        </row>
        <row r="23">
          <cell r="C23" t="str">
            <v>a906</v>
          </cell>
          <cell r="D23">
            <v>90</v>
          </cell>
          <cell r="E23">
            <v>6</v>
          </cell>
          <cell r="F23">
            <v>1.321</v>
          </cell>
          <cell r="G23">
            <v>95.3</v>
          </cell>
          <cell r="H23">
            <v>13.825784149999997</v>
          </cell>
          <cell r="I23">
            <v>109.12578414999999</v>
          </cell>
        </row>
        <row r="24">
          <cell r="C24" t="str">
            <v>a1106</v>
          </cell>
          <cell r="D24">
            <v>110</v>
          </cell>
          <cell r="E24">
            <v>6</v>
          </cell>
          <cell r="F24">
            <v>1.9019999999999999</v>
          </cell>
          <cell r="G24">
            <v>138.1</v>
          </cell>
          <cell r="H24">
            <v>19.906617299999997</v>
          </cell>
          <cell r="I24">
            <v>158.00661729999999</v>
          </cell>
        </row>
        <row r="25">
          <cell r="C25" t="str">
            <v>a1256</v>
          </cell>
          <cell r="D25">
            <v>125</v>
          </cell>
          <cell r="E25">
            <v>6</v>
          </cell>
          <cell r="F25">
            <v>2.5110000000000001</v>
          </cell>
          <cell r="G25">
            <v>174.9</v>
          </cell>
          <cell r="H25">
            <v>26.280502649999999</v>
          </cell>
          <cell r="I25">
            <v>201.18050264999999</v>
          </cell>
        </row>
        <row r="26">
          <cell r="C26" t="str">
            <v>a1406</v>
          </cell>
          <cell r="D26">
            <v>140</v>
          </cell>
          <cell r="E26">
            <v>6</v>
          </cell>
          <cell r="F26">
            <v>3.1160000000000001</v>
          </cell>
          <cell r="G26">
            <v>226.3</v>
          </cell>
          <cell r="H26">
            <v>32.612523400000001</v>
          </cell>
          <cell r="I26">
            <v>258.9125234</v>
          </cell>
        </row>
        <row r="27">
          <cell r="C27" t="str">
            <v>a1606</v>
          </cell>
          <cell r="D27">
            <v>160</v>
          </cell>
          <cell r="E27">
            <v>6</v>
          </cell>
          <cell r="F27">
            <v>4.0119999999999996</v>
          </cell>
          <cell r="G27">
            <v>293.89999999999998</v>
          </cell>
          <cell r="H27">
            <v>41.990193799999993</v>
          </cell>
          <cell r="I27">
            <v>335.89019379999996</v>
          </cell>
        </row>
        <row r="28">
          <cell r="C28" t="str">
            <v>a1806</v>
          </cell>
          <cell r="D28">
            <v>180</v>
          </cell>
          <cell r="E28">
            <v>6</v>
          </cell>
          <cell r="F28">
            <v>5.1340000000000003</v>
          </cell>
          <cell r="G28">
            <v>379.8</v>
          </cell>
          <cell r="H28">
            <v>53.733214099999998</v>
          </cell>
          <cell r="I28">
            <v>433.53321410000001</v>
          </cell>
        </row>
        <row r="29">
          <cell r="C29" t="str">
            <v>a2006</v>
          </cell>
          <cell r="D29">
            <v>200</v>
          </cell>
          <cell r="E29">
            <v>6</v>
          </cell>
          <cell r="F29">
            <v>6.351</v>
          </cell>
          <cell r="G29">
            <v>461</v>
          </cell>
          <cell r="H29">
            <v>66.470518649999988</v>
          </cell>
          <cell r="I29">
            <v>527.47051865000003</v>
          </cell>
        </row>
        <row r="30">
          <cell r="C30" t="str">
            <v>a2256</v>
          </cell>
          <cell r="D30">
            <v>225</v>
          </cell>
          <cell r="E30">
            <v>6</v>
          </cell>
          <cell r="F30">
            <v>7.9749999999999996</v>
          </cell>
          <cell r="G30">
            <v>612</v>
          </cell>
          <cell r="H30">
            <v>83.467546249999998</v>
          </cell>
          <cell r="I30">
            <v>695.46754624999994</v>
          </cell>
        </row>
        <row r="31">
          <cell r="C31" t="str">
            <v>a2506</v>
          </cell>
          <cell r="D31">
            <v>250</v>
          </cell>
          <cell r="E31">
            <v>6</v>
          </cell>
          <cell r="F31">
            <v>9.8859999999999992</v>
          </cell>
          <cell r="G31">
            <v>760.2</v>
          </cell>
          <cell r="H31">
            <v>103.46835889999998</v>
          </cell>
          <cell r="I31">
            <v>863.66835890000004</v>
          </cell>
        </row>
        <row r="32">
          <cell r="C32" t="str">
            <v>a2806</v>
          </cell>
          <cell r="D32">
            <v>280</v>
          </cell>
          <cell r="E32">
            <v>6</v>
          </cell>
          <cell r="F32">
            <v>12.404</v>
          </cell>
          <cell r="G32">
            <v>958.3</v>
          </cell>
          <cell r="H32">
            <v>129.8221246</v>
          </cell>
          <cell r="I32">
            <v>1088.1221246</v>
          </cell>
        </row>
        <row r="33">
          <cell r="C33" t="str">
            <v>a3156</v>
          </cell>
          <cell r="D33">
            <v>315</v>
          </cell>
          <cell r="E33">
            <v>6</v>
          </cell>
          <cell r="F33">
            <v>15.723000000000001</v>
          </cell>
          <cell r="G33">
            <v>1204</v>
          </cell>
          <cell r="H33">
            <v>164.55927645</v>
          </cell>
          <cell r="I33">
            <v>1368.55927645</v>
          </cell>
        </row>
        <row r="34">
          <cell r="C34" t="str">
            <v>a6310</v>
          </cell>
          <cell r="D34">
            <v>63</v>
          </cell>
          <cell r="E34">
            <v>10</v>
          </cell>
          <cell r="F34">
            <v>1.01</v>
          </cell>
          <cell r="G34">
            <v>73.5</v>
          </cell>
          <cell r="H34">
            <v>10.5708115</v>
          </cell>
          <cell r="I34">
            <v>84.070811500000005</v>
          </cell>
        </row>
        <row r="35">
          <cell r="C35" t="str">
            <v>a7510</v>
          </cell>
          <cell r="D35">
            <v>75</v>
          </cell>
          <cell r="E35">
            <v>10</v>
          </cell>
          <cell r="F35">
            <v>1.4390000000000001</v>
          </cell>
          <cell r="G35">
            <v>104.9</v>
          </cell>
          <cell r="H35">
            <v>15.060789849999999</v>
          </cell>
          <cell r="I35">
            <v>119.96078985</v>
          </cell>
        </row>
        <row r="36">
          <cell r="C36" t="str">
            <v>a9010</v>
          </cell>
          <cell r="D36">
            <v>90</v>
          </cell>
          <cell r="E36">
            <v>10</v>
          </cell>
          <cell r="F36">
            <v>2.032</v>
          </cell>
          <cell r="G36">
            <v>148.69999999999999</v>
          </cell>
          <cell r="H36">
            <v>21.2672168</v>
          </cell>
          <cell r="I36">
            <v>169.96721679999999</v>
          </cell>
        </row>
        <row r="37">
          <cell r="C37" t="str">
            <v>a11010</v>
          </cell>
          <cell r="D37">
            <v>110</v>
          </cell>
          <cell r="E37">
            <v>10</v>
          </cell>
          <cell r="F37">
            <v>3.0619999999999998</v>
          </cell>
          <cell r="G37">
            <v>223.3</v>
          </cell>
          <cell r="H37">
            <v>32.047351299999995</v>
          </cell>
          <cell r="I37">
            <v>255.34735130000001</v>
          </cell>
        </row>
        <row r="38">
          <cell r="C38" t="str">
            <v>a12510</v>
          </cell>
          <cell r="D38">
            <v>125</v>
          </cell>
          <cell r="E38">
            <v>10</v>
          </cell>
          <cell r="F38">
            <v>3.9289999999999998</v>
          </cell>
          <cell r="G38">
            <v>291.8</v>
          </cell>
          <cell r="H38">
            <v>41.121503349999998</v>
          </cell>
          <cell r="I38">
            <v>332.92150335000002</v>
          </cell>
        </row>
        <row r="39">
          <cell r="C39" t="str">
            <v>a14010</v>
          </cell>
          <cell r="D39">
            <v>140</v>
          </cell>
          <cell r="E39">
            <v>10</v>
          </cell>
          <cell r="F39">
            <v>4.9050000000000002</v>
          </cell>
          <cell r="G39">
            <v>359.6</v>
          </cell>
          <cell r="H39">
            <v>51.336465749999995</v>
          </cell>
          <cell r="I39">
            <v>410.93646575000002</v>
          </cell>
        </row>
        <row r="40">
          <cell r="C40" t="str">
            <v>a16010</v>
          </cell>
          <cell r="D40">
            <v>160</v>
          </cell>
          <cell r="E40">
            <v>10</v>
          </cell>
          <cell r="F40">
            <v>6.4139999999999997</v>
          </cell>
          <cell r="G40">
            <v>474.3</v>
          </cell>
          <cell r="H40">
            <v>67.129886099999993</v>
          </cell>
          <cell r="I40">
            <v>541.42988609999998</v>
          </cell>
        </row>
        <row r="41">
          <cell r="C41" t="str">
            <v>a18010</v>
          </cell>
          <cell r="D41">
            <v>180</v>
          </cell>
          <cell r="E41">
            <v>10</v>
          </cell>
          <cell r="F41">
            <v>8.0920000000000005</v>
          </cell>
          <cell r="G41">
            <v>607.4</v>
          </cell>
          <cell r="H41">
            <v>84.692085800000001</v>
          </cell>
          <cell r="I41">
            <v>692.09208579999995</v>
          </cell>
        </row>
        <row r="42">
          <cell r="C42" t="str">
            <v>a20010</v>
          </cell>
          <cell r="D42">
            <v>200</v>
          </cell>
          <cell r="E42">
            <v>10</v>
          </cell>
          <cell r="F42">
            <v>10.000999999999999</v>
          </cell>
          <cell r="G42">
            <v>738</v>
          </cell>
          <cell r="H42">
            <v>104.67196614999997</v>
          </cell>
          <cell r="I42">
            <v>842.67196615</v>
          </cell>
        </row>
        <row r="43">
          <cell r="C43" t="str">
            <v>a22510</v>
          </cell>
          <cell r="D43">
            <v>225</v>
          </cell>
          <cell r="E43">
            <v>10</v>
          </cell>
          <cell r="F43">
            <v>12.675000000000001</v>
          </cell>
          <cell r="G43">
            <v>974.4</v>
          </cell>
          <cell r="H43">
            <v>132.65845125000001</v>
          </cell>
          <cell r="I43">
            <v>1107.05845125</v>
          </cell>
        </row>
        <row r="44">
          <cell r="C44" t="str">
            <v>a25010</v>
          </cell>
          <cell r="D44">
            <v>250</v>
          </cell>
          <cell r="E44">
            <v>10</v>
          </cell>
          <cell r="F44">
            <v>15.686</v>
          </cell>
          <cell r="G44">
            <v>1196.7</v>
          </cell>
          <cell r="H44">
            <v>164.17202889999999</v>
          </cell>
          <cell r="I44">
            <v>1360.8720289</v>
          </cell>
        </row>
        <row r="45">
          <cell r="C45" t="str">
            <v>a28010</v>
          </cell>
          <cell r="D45">
            <v>280</v>
          </cell>
          <cell r="E45">
            <v>10</v>
          </cell>
          <cell r="F45">
            <v>19.616</v>
          </cell>
          <cell r="G45">
            <v>1515.4</v>
          </cell>
          <cell r="H45">
            <v>205.30399839999998</v>
          </cell>
          <cell r="I45">
            <v>1720.7039984</v>
          </cell>
        </row>
        <row r="46">
          <cell r="C46" t="str">
            <v>a31510</v>
          </cell>
          <cell r="D46">
            <v>315</v>
          </cell>
          <cell r="E46">
            <v>10</v>
          </cell>
          <cell r="F46">
            <v>24.731999999999999</v>
          </cell>
          <cell r="G46">
            <v>1911.7</v>
          </cell>
          <cell r="H46">
            <v>258.8488218</v>
          </cell>
          <cell r="I46">
            <v>2170.5488218</v>
          </cell>
        </row>
      </sheetData>
      <sheetData sheetId="36" refreshError="1"/>
      <sheetData sheetId="37">
        <row r="1">
          <cell r="B1" t="str">
            <v>Id</v>
          </cell>
          <cell r="C1" t="str">
            <v>Dia</v>
          </cell>
          <cell r="D1" t="str">
            <v>Class</v>
          </cell>
          <cell r="E1" t="str">
            <v>Weight of Pipe (Kgs/mtr)</v>
          </cell>
          <cell r="F1" t="str">
            <v>SSR08-09</v>
          </cell>
        </row>
        <row r="2">
          <cell r="B2" t="str">
            <v>a11010</v>
          </cell>
          <cell r="C2">
            <v>110</v>
          </cell>
          <cell r="D2">
            <v>10</v>
          </cell>
          <cell r="E2">
            <v>3.0619999999999998</v>
          </cell>
          <cell r="F2">
            <v>223.3</v>
          </cell>
        </row>
        <row r="3">
          <cell r="B3" t="str">
            <v>a1104</v>
          </cell>
          <cell r="C3">
            <v>110</v>
          </cell>
          <cell r="D3">
            <v>4</v>
          </cell>
          <cell r="E3">
            <v>1.323</v>
          </cell>
          <cell r="F3">
            <v>97.3</v>
          </cell>
        </row>
        <row r="4">
          <cell r="B4" t="str">
            <v>a1106</v>
          </cell>
          <cell r="C4">
            <v>110</v>
          </cell>
          <cell r="D4">
            <v>6</v>
          </cell>
          <cell r="E4">
            <v>1.9019999999999999</v>
          </cell>
          <cell r="F4">
            <v>138.1</v>
          </cell>
        </row>
        <row r="5">
          <cell r="B5" t="str">
            <v>a12510</v>
          </cell>
          <cell r="C5">
            <v>125</v>
          </cell>
          <cell r="D5">
            <v>10</v>
          </cell>
          <cell r="E5">
            <v>3.9289999999999998</v>
          </cell>
          <cell r="F5">
            <v>291.8</v>
          </cell>
        </row>
        <row r="6">
          <cell r="B6" t="str">
            <v>a1254</v>
          </cell>
          <cell r="C6">
            <v>125</v>
          </cell>
          <cell r="D6">
            <v>4</v>
          </cell>
          <cell r="E6">
            <v>1.722</v>
          </cell>
          <cell r="F6">
            <v>126.9</v>
          </cell>
        </row>
        <row r="7">
          <cell r="B7" t="str">
            <v>a1256</v>
          </cell>
          <cell r="C7">
            <v>125</v>
          </cell>
          <cell r="D7">
            <v>6</v>
          </cell>
          <cell r="E7">
            <v>2.5110000000000001</v>
          </cell>
          <cell r="F7">
            <v>174.9</v>
          </cell>
        </row>
        <row r="8">
          <cell r="B8" t="str">
            <v>a14010</v>
          </cell>
          <cell r="C8">
            <v>140</v>
          </cell>
          <cell r="D8">
            <v>10</v>
          </cell>
          <cell r="E8">
            <v>4.9050000000000002</v>
          </cell>
          <cell r="F8">
            <v>359.6</v>
          </cell>
        </row>
        <row r="9">
          <cell r="B9" t="str">
            <v>a1404</v>
          </cell>
          <cell r="C9">
            <v>140</v>
          </cell>
          <cell r="D9">
            <v>4</v>
          </cell>
          <cell r="E9">
            <v>2.1440000000000001</v>
          </cell>
          <cell r="F9">
            <v>158.1</v>
          </cell>
        </row>
        <row r="10">
          <cell r="B10" t="str">
            <v>a1406</v>
          </cell>
          <cell r="C10">
            <v>140</v>
          </cell>
          <cell r="D10">
            <v>6</v>
          </cell>
          <cell r="E10">
            <v>3.1160000000000001</v>
          </cell>
          <cell r="F10">
            <v>226.3</v>
          </cell>
        </row>
        <row r="11">
          <cell r="B11" t="str">
            <v>a16010</v>
          </cell>
          <cell r="C11">
            <v>160</v>
          </cell>
          <cell r="D11">
            <v>10</v>
          </cell>
          <cell r="E11">
            <v>6.4139999999999997</v>
          </cell>
          <cell r="F11">
            <v>474.3</v>
          </cell>
        </row>
        <row r="12">
          <cell r="B12" t="str">
            <v>a1604</v>
          </cell>
          <cell r="C12">
            <v>160</v>
          </cell>
          <cell r="D12">
            <v>4</v>
          </cell>
          <cell r="E12">
            <v>2.7989999999999999</v>
          </cell>
          <cell r="F12">
            <v>208.5</v>
          </cell>
        </row>
        <row r="13">
          <cell r="B13" t="str">
            <v>a1606</v>
          </cell>
          <cell r="C13">
            <v>160</v>
          </cell>
          <cell r="D13">
            <v>6</v>
          </cell>
          <cell r="E13">
            <v>4.0119999999999996</v>
          </cell>
          <cell r="F13">
            <v>293.89999999999998</v>
          </cell>
        </row>
        <row r="14">
          <cell r="B14" t="str">
            <v>a18010</v>
          </cell>
          <cell r="C14">
            <v>180</v>
          </cell>
          <cell r="D14">
            <v>10</v>
          </cell>
          <cell r="E14">
            <v>8.0920000000000005</v>
          </cell>
          <cell r="F14">
            <v>607.4</v>
          </cell>
        </row>
        <row r="15">
          <cell r="B15" t="str">
            <v>a1804</v>
          </cell>
          <cell r="C15">
            <v>180</v>
          </cell>
          <cell r="D15">
            <v>4</v>
          </cell>
          <cell r="E15">
            <v>3.581</v>
          </cell>
          <cell r="F15">
            <v>266</v>
          </cell>
        </row>
        <row r="16">
          <cell r="B16" t="str">
            <v>a1806</v>
          </cell>
          <cell r="C16">
            <v>180</v>
          </cell>
          <cell r="D16">
            <v>6</v>
          </cell>
          <cell r="E16">
            <v>5.1340000000000003</v>
          </cell>
          <cell r="F16">
            <v>379.8</v>
          </cell>
        </row>
        <row r="17">
          <cell r="B17" t="str">
            <v>a20010</v>
          </cell>
          <cell r="C17">
            <v>200</v>
          </cell>
          <cell r="D17">
            <v>10</v>
          </cell>
          <cell r="E17">
            <v>10.000999999999999</v>
          </cell>
          <cell r="F17">
            <v>738</v>
          </cell>
        </row>
        <row r="18">
          <cell r="B18" t="str">
            <v>a2004</v>
          </cell>
          <cell r="C18">
            <v>200</v>
          </cell>
          <cell r="D18">
            <v>4</v>
          </cell>
          <cell r="E18">
            <v>4.3310000000000004</v>
          </cell>
          <cell r="F18">
            <v>323.39999999999998</v>
          </cell>
        </row>
        <row r="19">
          <cell r="B19" t="str">
            <v>a2006</v>
          </cell>
          <cell r="C19">
            <v>200</v>
          </cell>
          <cell r="D19">
            <v>6</v>
          </cell>
          <cell r="E19">
            <v>6.351</v>
          </cell>
          <cell r="F19">
            <v>461</v>
          </cell>
        </row>
        <row r="20">
          <cell r="B20" t="str">
            <v>a22510</v>
          </cell>
          <cell r="C20">
            <v>225</v>
          </cell>
          <cell r="D20">
            <v>10</v>
          </cell>
          <cell r="E20">
            <v>12.675000000000001</v>
          </cell>
          <cell r="F20">
            <v>974.4</v>
          </cell>
        </row>
        <row r="21">
          <cell r="B21" t="str">
            <v>a2254</v>
          </cell>
          <cell r="C21">
            <v>225</v>
          </cell>
          <cell r="D21">
            <v>4</v>
          </cell>
          <cell r="E21">
            <v>5.5110000000000001</v>
          </cell>
          <cell r="F21">
            <v>423.7</v>
          </cell>
        </row>
        <row r="22">
          <cell r="B22" t="str">
            <v>a2256</v>
          </cell>
          <cell r="C22">
            <v>225</v>
          </cell>
          <cell r="D22">
            <v>6</v>
          </cell>
          <cell r="E22">
            <v>7.9749999999999996</v>
          </cell>
          <cell r="F22">
            <v>612</v>
          </cell>
        </row>
        <row r="23">
          <cell r="B23" t="str">
            <v>a25010</v>
          </cell>
          <cell r="C23">
            <v>250</v>
          </cell>
          <cell r="D23">
            <v>10</v>
          </cell>
          <cell r="E23">
            <v>15.686</v>
          </cell>
          <cell r="F23">
            <v>1196.7</v>
          </cell>
        </row>
        <row r="24">
          <cell r="B24" t="str">
            <v>a2504</v>
          </cell>
          <cell r="C24">
            <v>250</v>
          </cell>
          <cell r="D24">
            <v>4</v>
          </cell>
          <cell r="E24">
            <v>6.6740000000000004</v>
          </cell>
          <cell r="F24">
            <v>495.2</v>
          </cell>
        </row>
        <row r="25">
          <cell r="B25" t="str">
            <v>a2506</v>
          </cell>
          <cell r="C25">
            <v>250</v>
          </cell>
          <cell r="D25">
            <v>6</v>
          </cell>
          <cell r="E25">
            <v>9.8859999999999992</v>
          </cell>
          <cell r="F25">
            <v>760.2</v>
          </cell>
        </row>
        <row r="26">
          <cell r="B26" t="str">
            <v>a28010</v>
          </cell>
          <cell r="C26">
            <v>280</v>
          </cell>
          <cell r="D26">
            <v>10</v>
          </cell>
          <cell r="E26">
            <v>19.616</v>
          </cell>
          <cell r="F26">
            <v>1515.4</v>
          </cell>
        </row>
        <row r="27">
          <cell r="B27" t="str">
            <v>a2804</v>
          </cell>
          <cell r="C27">
            <v>280</v>
          </cell>
          <cell r="D27">
            <v>4</v>
          </cell>
          <cell r="E27">
            <v>8.4529999999999994</v>
          </cell>
          <cell r="F27">
            <v>650.5</v>
          </cell>
        </row>
        <row r="28">
          <cell r="B28" t="str">
            <v>a2806</v>
          </cell>
          <cell r="C28">
            <v>280</v>
          </cell>
          <cell r="D28">
            <v>6</v>
          </cell>
          <cell r="E28">
            <v>12.404</v>
          </cell>
          <cell r="F28">
            <v>958.3</v>
          </cell>
        </row>
        <row r="29">
          <cell r="B29" t="str">
            <v>a31510</v>
          </cell>
          <cell r="C29">
            <v>315</v>
          </cell>
          <cell r="D29">
            <v>10</v>
          </cell>
          <cell r="E29">
            <v>24.731999999999999</v>
          </cell>
          <cell r="F29">
            <v>1911.7</v>
          </cell>
        </row>
        <row r="30">
          <cell r="B30" t="str">
            <v>a3154</v>
          </cell>
          <cell r="C30">
            <v>315</v>
          </cell>
          <cell r="D30">
            <v>4</v>
          </cell>
          <cell r="E30">
            <v>10.682</v>
          </cell>
          <cell r="F30">
            <v>825.7</v>
          </cell>
        </row>
        <row r="31">
          <cell r="B31" t="str">
            <v>a3156</v>
          </cell>
          <cell r="C31">
            <v>315</v>
          </cell>
          <cell r="D31">
            <v>6</v>
          </cell>
          <cell r="E31">
            <v>15.723000000000001</v>
          </cell>
          <cell r="F31">
            <v>1204</v>
          </cell>
        </row>
        <row r="32">
          <cell r="B32" t="str">
            <v>a6310</v>
          </cell>
          <cell r="C32">
            <v>63</v>
          </cell>
          <cell r="D32">
            <v>10</v>
          </cell>
          <cell r="E32">
            <v>1.01</v>
          </cell>
          <cell r="F32">
            <v>73.5</v>
          </cell>
        </row>
        <row r="33">
          <cell r="B33" t="str">
            <v>a634</v>
          </cell>
          <cell r="C33">
            <v>63</v>
          </cell>
          <cell r="D33">
            <v>4</v>
          </cell>
          <cell r="E33">
            <v>0.46800000000000003</v>
          </cell>
          <cell r="F33">
            <v>33.5</v>
          </cell>
        </row>
        <row r="34">
          <cell r="B34" t="str">
            <v>a636</v>
          </cell>
          <cell r="C34">
            <v>63</v>
          </cell>
          <cell r="D34">
            <v>6</v>
          </cell>
          <cell r="E34">
            <v>0.66600000000000004</v>
          </cell>
          <cell r="F34">
            <v>47.7</v>
          </cell>
        </row>
        <row r="35">
          <cell r="B35" t="str">
            <v>a7510</v>
          </cell>
          <cell r="C35">
            <v>75</v>
          </cell>
          <cell r="D35">
            <v>10</v>
          </cell>
          <cell r="E35">
            <v>1.4390000000000001</v>
          </cell>
          <cell r="F35">
            <v>104.9</v>
          </cell>
        </row>
        <row r="36">
          <cell r="B36" t="str">
            <v>a754</v>
          </cell>
          <cell r="C36">
            <v>75</v>
          </cell>
          <cell r="D36">
            <v>4</v>
          </cell>
          <cell r="E36">
            <v>0.65500000000000003</v>
          </cell>
          <cell r="F36">
            <v>47.8</v>
          </cell>
        </row>
        <row r="37">
          <cell r="B37" t="str">
            <v>a756</v>
          </cell>
          <cell r="C37">
            <v>75</v>
          </cell>
          <cell r="D37">
            <v>6</v>
          </cell>
          <cell r="E37">
            <v>0.92300000000000004</v>
          </cell>
          <cell r="F37">
            <v>66.5</v>
          </cell>
        </row>
        <row r="38">
          <cell r="B38" t="str">
            <v>a9010</v>
          </cell>
          <cell r="C38">
            <v>90</v>
          </cell>
          <cell r="D38">
            <v>10</v>
          </cell>
          <cell r="E38">
            <v>2.032</v>
          </cell>
          <cell r="F38">
            <v>148.69999999999999</v>
          </cell>
        </row>
        <row r="39">
          <cell r="B39" t="str">
            <v>a904</v>
          </cell>
          <cell r="C39">
            <v>90</v>
          </cell>
          <cell r="D39">
            <v>4</v>
          </cell>
          <cell r="E39">
            <v>0.92400000000000004</v>
          </cell>
          <cell r="F39">
            <v>67.400000000000006</v>
          </cell>
        </row>
        <row r="40">
          <cell r="B40" t="str">
            <v>a906</v>
          </cell>
          <cell r="C40">
            <v>90</v>
          </cell>
          <cell r="D40">
            <v>6</v>
          </cell>
          <cell r="E40">
            <v>1.321</v>
          </cell>
          <cell r="F40">
            <v>95.3</v>
          </cell>
        </row>
      </sheetData>
      <sheetData sheetId="38" refreshError="1"/>
      <sheetData sheetId="39">
        <row r="1">
          <cell r="A1" t="str">
            <v>Earth</v>
          </cell>
        </row>
      </sheetData>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ow r="1">
          <cell r="B1" t="str">
            <v>Id</v>
          </cell>
        </row>
      </sheetData>
      <sheetData sheetId="51">
        <row r="1">
          <cell r="B1" t="str">
            <v>Id</v>
          </cell>
        </row>
      </sheetData>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vc-pipe-rates"/>
      <sheetName val="HDPE-pipe-rates"/>
      <sheetName val="psc-pipe-rates"/>
      <sheetName val="ci-pipes-road-cross"/>
      <sheetName val="pipe-est-16+2"/>
      <sheetName val="rev-pipe-est-16"/>
      <sheetName val="pipe-est (18)"/>
      <sheetName val="pipe-est (18)-1"/>
      <sheetName val="pipe-est (13habs)100%"/>
      <sheetName val="pipe-est(13habs)-single"/>
      <sheetName val="pipe-est (13habs)-bypass-Glsr"/>
      <sheetName val="pipe-est(12habs)-bypass"/>
      <sheetName val="ANX-I"/>
      <sheetName val="ANX-II"/>
      <sheetName val="Valve-cost"/>
      <sheetName val="specification report"/>
      <sheetName val="est(13habs)-bypass"/>
      <sheetName val="na1-pac1-gravity-lines"/>
      <sheetName val="na1-pac1-gravity-lines-Final"/>
      <sheetName val="SMP-gravity-lines-Final"/>
      <sheetName val="detls"/>
      <sheetName val="pipe-est_(18)"/>
      <sheetName val="pipe-est_(18)-1"/>
      <sheetName val="pipe-est_(13habs)100%"/>
      <sheetName val="pipe-est_(13habs)-bypass-Glsr"/>
      <sheetName val="specification_report"/>
      <sheetName val="Lead"/>
      <sheetName val="Nspt-smp-final-ORIGINAL"/>
      <sheetName val="RMR"/>
      <sheetName val="m1"/>
      <sheetName val="hdpe-rates"/>
      <sheetName val="hdpe weights"/>
      <sheetName val="ssr-rates"/>
      <sheetName val="pvc-rates"/>
      <sheetName val="PVC weights"/>
      <sheetName val="Material"/>
      <sheetName val="Labour"/>
      <sheetName val="m"/>
      <sheetName val="Sheet2"/>
      <sheetName val="Plant &amp;  Machinery"/>
      <sheetName val="Data"/>
      <sheetName val="Data.F8.BTR"/>
      <sheetName val="habs-list"/>
      <sheetName val="nodes"/>
      <sheetName val="Global factors"/>
      <sheetName val="segments-details"/>
      <sheetName val="int-Dia-hdpe"/>
      <sheetName val="int-Dia-pvc"/>
      <sheetName val="MRATES"/>
      <sheetName val="MRoad data"/>
      <sheetName val="Rates"/>
      <sheetName val="PH data"/>
      <sheetName val="leads"/>
      <sheetName val="General"/>
      <sheetName val="Lead statement"/>
      <sheetName val="hdpe_rates"/>
      <sheetName val="DATA_PRG"/>
      <sheetName val="DISCOUNT"/>
      <sheetName val="concrete"/>
      <sheetName val="labour coeff"/>
      <sheetName val="pipe-est_(18)1"/>
      <sheetName val="pipe-est_(18)-11"/>
      <sheetName val="pipe-est_(13habs)100%1"/>
      <sheetName val="pipe-est_(13habs)-bypass-Glsr1"/>
      <sheetName val="specification_report1"/>
      <sheetName val="hdpe_weights"/>
      <sheetName val="PVC_weights"/>
      <sheetName val="PVC_dia"/>
      <sheetName val="wh_data_R"/>
      <sheetName val="wh_data"/>
      <sheetName val="CPHEEO"/>
      <sheetName val="input"/>
      <sheetName val="Bridge Data 2005-06"/>
      <sheetName val="Specification"/>
      <sheetName val="r"/>
      <sheetName val="beam-reinft"/>
      <sheetName val="Rates SSR 2008-09"/>
      <sheetName val="Marteru"/>
      <sheetName val="Sheet1"/>
      <sheetName val="Plant_&amp;__Machinery"/>
      <sheetName val="Data_F8_BTR"/>
      <sheetName val="Global_factors"/>
      <sheetName val="MRoad_data"/>
      <sheetName val="PH_data"/>
      <sheetName val="Lead_statement"/>
      <sheetName val="mlead"/>
      <sheetName val="Lookup"/>
      <sheetName val="sup dat"/>
      <sheetName val="Road data"/>
      <sheetName val="pvc"/>
      <sheetName val="HDPE"/>
      <sheetName val="BTR (2)"/>
      <sheetName val="Road Detail Est."/>
      <sheetName val="Sheet1 (2)"/>
      <sheetName val="TBAL9697 -group wise  sdpl"/>
      <sheetName val="labour &amp; Centering"/>
      <sheetName val="Mp-team 1"/>
      <sheetName val="hab-details"/>
      <sheetName val="int-Dia"/>
      <sheetName val="b asic rates"/>
      <sheetName val="Summary"/>
      <sheetName val="Headings"/>
      <sheetName val="Detailed"/>
      <sheetName val="Data_Bit_I"/>
      <sheetName val="0000000000000"/>
      <sheetName val="Levels"/>
      <sheetName val="Proforma -II "/>
      <sheetName val="hdpe_wt-r"/>
      <sheetName val="pvc_basic"/>
    </sheetNames>
    <sheetDataSet>
      <sheetData sheetId="0" refreshError="1">
        <row r="30">
          <cell r="I30">
            <v>20</v>
          </cell>
          <cell r="J30">
            <v>25</v>
          </cell>
          <cell r="K30">
            <v>32</v>
          </cell>
          <cell r="L30">
            <v>40</v>
          </cell>
          <cell r="M30">
            <v>50</v>
          </cell>
          <cell r="N30">
            <v>63</v>
          </cell>
          <cell r="O30">
            <v>75</v>
          </cell>
          <cell r="P30">
            <v>90</v>
          </cell>
          <cell r="Q30">
            <v>110</v>
          </cell>
          <cell r="R30">
            <v>125</v>
          </cell>
          <cell r="S30">
            <v>140</v>
          </cell>
          <cell r="T30">
            <v>160</v>
          </cell>
          <cell r="U30">
            <v>180</v>
          </cell>
          <cell r="V30">
            <v>200</v>
          </cell>
          <cell r="W30">
            <v>225</v>
          </cell>
          <cell r="X30">
            <v>250</v>
          </cell>
          <cell r="Y30">
            <v>280</v>
          </cell>
          <cell r="Z30">
            <v>315</v>
          </cell>
        </row>
        <row r="31">
          <cell r="I31">
            <v>98.942999999999998</v>
          </cell>
          <cell r="J31">
            <v>102.373</v>
          </cell>
          <cell r="K31">
            <v>108.223</v>
          </cell>
          <cell r="L31">
            <v>108.04300000000001</v>
          </cell>
          <cell r="M31">
            <v>115.363</v>
          </cell>
          <cell r="N31">
            <v>117.063</v>
          </cell>
          <cell r="O31">
            <v>132.87200979591836</v>
          </cell>
          <cell r="P31">
            <v>135.98747306122451</v>
          </cell>
          <cell r="Q31">
            <v>163.79610204081632</v>
          </cell>
          <cell r="R31">
            <v>188.07386734693878</v>
          </cell>
          <cell r="S31">
            <v>213.20737142857143</v>
          </cell>
          <cell r="T31">
            <v>267.638066122449</v>
          </cell>
          <cell r="U31">
            <v>313.20471020408161</v>
          </cell>
          <cell r="V31">
            <v>373.85379183673479</v>
          </cell>
          <cell r="W31">
            <v>468.36797387755109</v>
          </cell>
          <cell r="X31">
            <v>590.3540734693878</v>
          </cell>
          <cell r="Y31">
            <v>672.82327428571421</v>
          </cell>
          <cell r="Z31">
            <v>822.26351795918367</v>
          </cell>
        </row>
        <row r="32">
          <cell r="I32">
            <v>98.942999999999998</v>
          </cell>
          <cell r="J32">
            <v>102.373</v>
          </cell>
          <cell r="K32">
            <v>108.223</v>
          </cell>
          <cell r="L32">
            <v>108.04300000000001</v>
          </cell>
          <cell r="M32">
            <v>115.363</v>
          </cell>
          <cell r="N32">
            <v>117.063</v>
          </cell>
          <cell r="O32">
            <v>132.87200979591836</v>
          </cell>
          <cell r="P32">
            <v>153.06747306122452</v>
          </cell>
          <cell r="Q32">
            <v>186.54610204081632</v>
          </cell>
          <cell r="R32">
            <v>218.49386734693877</v>
          </cell>
          <cell r="S32">
            <v>252.40737142857142</v>
          </cell>
          <cell r="T32">
            <v>318.92806612244902</v>
          </cell>
          <cell r="U32">
            <v>380.0847102040816</v>
          </cell>
          <cell r="V32">
            <v>447.03379183673474</v>
          </cell>
          <cell r="W32">
            <v>568.95797387755113</v>
          </cell>
          <cell r="X32">
            <v>672.95407346938782</v>
          </cell>
          <cell r="Y32">
            <v>820.49327428571428</v>
          </cell>
          <cell r="Z32">
            <v>1013.4535179591837</v>
          </cell>
        </row>
        <row r="33">
          <cell r="I33">
            <v>98.942999999999998</v>
          </cell>
          <cell r="J33">
            <v>102.373</v>
          </cell>
          <cell r="K33">
            <v>108.223</v>
          </cell>
          <cell r="L33">
            <v>108.04300000000001</v>
          </cell>
          <cell r="M33">
            <v>115.363</v>
          </cell>
          <cell r="N33">
            <v>131.66703387755103</v>
          </cell>
          <cell r="O33">
            <v>152.04610081632654</v>
          </cell>
          <cell r="P33">
            <v>182.57924530612246</v>
          </cell>
          <cell r="Q33">
            <v>229.51835265306124</v>
          </cell>
          <cell r="R33">
            <v>267.72216816326534</v>
          </cell>
          <cell r="S33">
            <v>324.40377918367346</v>
          </cell>
          <cell r="T33">
            <v>408.9665832653061</v>
          </cell>
          <cell r="U33">
            <v>500.89688040816327</v>
          </cell>
          <cell r="V33">
            <v>591.44107469387768</v>
          </cell>
          <cell r="W33">
            <v>770.04717469387765</v>
          </cell>
          <cell r="X33">
            <v>936.9566061224491</v>
          </cell>
          <cell r="Y33">
            <v>1148.0506955102042</v>
          </cell>
          <cell r="Z33">
            <v>1413.7804946938777</v>
          </cell>
        </row>
        <row r="34">
          <cell r="I34">
            <v>98.942999999999998</v>
          </cell>
          <cell r="J34">
            <v>102.373</v>
          </cell>
          <cell r="K34">
            <v>108.223</v>
          </cell>
          <cell r="L34">
            <v>116.58300000000001</v>
          </cell>
          <cell r="M34">
            <v>129.85300000000001</v>
          </cell>
          <cell r="N34">
            <v>159.10052897959184</v>
          </cell>
          <cell r="O34">
            <v>192.92657142857144</v>
          </cell>
          <cell r="P34">
            <v>239.47740612244897</v>
          </cell>
          <cell r="Q34">
            <v>320.35509428571436</v>
          </cell>
          <cell r="R34">
            <v>393.71241836734697</v>
          </cell>
          <cell r="S34">
            <v>466.22314000000006</v>
          </cell>
          <cell r="T34">
            <v>601.15104897959191</v>
          </cell>
          <cell r="U34">
            <v>744.15528489795929</v>
          </cell>
          <cell r="V34">
            <v>886.93225183673485</v>
          </cell>
          <cell r="W34">
            <v>1157.4898677551023</v>
          </cell>
          <cell r="X34">
            <v>1399.8646461224491</v>
          </cell>
          <cell r="Y34">
            <v>1740.5958951020411</v>
          </cell>
          <cell r="Z34">
            <v>2167.5376248979592</v>
          </cell>
        </row>
        <row r="35">
          <cell r="I35">
            <v>98.942999999999998</v>
          </cell>
          <cell r="J35">
            <v>102.373</v>
          </cell>
          <cell r="K35">
            <v>108.223</v>
          </cell>
          <cell r="L35">
            <v>116.58300000000001</v>
          </cell>
          <cell r="M35">
            <v>129.85300000000001</v>
          </cell>
          <cell r="N35">
            <v>159.10052897959184</v>
          </cell>
          <cell r="O35">
            <v>192.92657142857144</v>
          </cell>
          <cell r="P35">
            <v>239.47740612244897</v>
          </cell>
          <cell r="Q35">
            <v>320.35509428571436</v>
          </cell>
          <cell r="R35">
            <v>393.71241836734697</v>
          </cell>
          <cell r="S35">
            <v>466.22314000000006</v>
          </cell>
          <cell r="T35">
            <v>601.15104897959191</v>
          </cell>
          <cell r="U35">
            <v>744.15528489795929</v>
          </cell>
          <cell r="V35">
            <v>886.93225183673485</v>
          </cell>
          <cell r="W35">
            <v>1157.4898677551023</v>
          </cell>
          <cell r="X35">
            <v>1399.8646461224491</v>
          </cell>
          <cell r="Y35">
            <v>1740.5958951020411</v>
          </cell>
          <cell r="Z35">
            <v>2167.5376248979592</v>
          </cell>
        </row>
      </sheetData>
      <sheetData sheetId="1" refreshError="1">
        <row r="33">
          <cell r="I33">
            <v>20</v>
          </cell>
          <cell r="J33">
            <v>25</v>
          </cell>
          <cell r="K33">
            <v>32</v>
          </cell>
          <cell r="L33">
            <v>40</v>
          </cell>
          <cell r="M33">
            <v>50</v>
          </cell>
          <cell r="N33">
            <v>63</v>
          </cell>
          <cell r="O33">
            <v>75</v>
          </cell>
          <cell r="P33">
            <v>90</v>
          </cell>
          <cell r="Q33">
            <v>110</v>
          </cell>
          <cell r="R33">
            <v>125</v>
          </cell>
          <cell r="S33">
            <v>140</v>
          </cell>
          <cell r="T33">
            <v>160</v>
          </cell>
          <cell r="U33">
            <v>180</v>
          </cell>
          <cell r="V33">
            <v>200</v>
          </cell>
          <cell r="W33">
            <v>225</v>
          </cell>
          <cell r="X33">
            <v>250</v>
          </cell>
          <cell r="Y33">
            <v>280</v>
          </cell>
          <cell r="Z33">
            <v>315</v>
          </cell>
        </row>
        <row r="34">
          <cell r="I34">
            <v>107.00291196388262</v>
          </cell>
          <cell r="J34">
            <v>111.66291196388264</v>
          </cell>
          <cell r="K34">
            <v>113.62291196388263</v>
          </cell>
          <cell r="L34">
            <v>115.02291196388263</v>
          </cell>
          <cell r="M34">
            <v>123.81291196388264</v>
          </cell>
          <cell r="N34">
            <v>125.53291196388264</v>
          </cell>
          <cell r="O34">
            <v>146.57972911963884</v>
          </cell>
          <cell r="P34">
            <v>180.47781038374717</v>
          </cell>
          <cell r="Q34">
            <v>231.17559819413094</v>
          </cell>
          <cell r="R34">
            <v>274.99693002257334</v>
          </cell>
          <cell r="S34">
            <v>327.2551693002257</v>
          </cell>
          <cell r="T34">
            <v>410.35968397291202</v>
          </cell>
          <cell r="U34">
            <v>495.82738148984197</v>
          </cell>
          <cell r="V34">
            <v>621.08126410835223</v>
          </cell>
          <cell r="W34">
            <v>727.41343115124141</v>
          </cell>
          <cell r="X34">
            <v>870.22133182844254</v>
          </cell>
          <cell r="Y34">
            <v>1072.3046275395036</v>
          </cell>
          <cell r="Z34">
            <v>1324.7375846501129</v>
          </cell>
        </row>
        <row r="35">
          <cell r="I35">
            <v>107.00291196388262</v>
          </cell>
          <cell r="J35">
            <v>111.66291196388264</v>
          </cell>
          <cell r="K35">
            <v>113.62291196388263</v>
          </cell>
          <cell r="L35">
            <v>115.02291196388263</v>
          </cell>
          <cell r="M35">
            <v>123.81291196388264</v>
          </cell>
          <cell r="N35">
            <v>138.07291196388263</v>
          </cell>
          <cell r="O35">
            <v>165.78972911963882</v>
          </cell>
          <cell r="P35">
            <v>207.80781038374718</v>
          </cell>
          <cell r="Q35">
            <v>272.93559819413093</v>
          </cell>
          <cell r="R35">
            <v>329.66693002257341</v>
          </cell>
          <cell r="S35">
            <v>393.78516930022573</v>
          </cell>
          <cell r="T35">
            <v>500.09968397291203</v>
          </cell>
          <cell r="U35">
            <v>607.09738148984206</v>
          </cell>
          <cell r="V35">
            <v>759.87126410835219</v>
          </cell>
          <cell r="W35">
            <v>910.21343115124159</v>
          </cell>
          <cell r="X35">
            <v>1070.2713318284425</v>
          </cell>
          <cell r="Y35">
            <v>1355.4046275395035</v>
          </cell>
          <cell r="Z35">
            <v>1680.687584650113</v>
          </cell>
        </row>
        <row r="36">
          <cell r="I36">
            <v>107.00291196388264</v>
          </cell>
          <cell r="J36">
            <v>111.66291196388264</v>
          </cell>
          <cell r="K36">
            <v>113.62291196388263</v>
          </cell>
          <cell r="L36">
            <v>121.37291196388264</v>
          </cell>
          <cell r="M36">
            <v>135.67291196388263</v>
          </cell>
          <cell r="N36">
            <v>149.31718749999999</v>
          </cell>
          <cell r="O36">
            <v>180.28493303571426</v>
          </cell>
          <cell r="P36">
            <v>227.64821428571426</v>
          </cell>
          <cell r="Q36">
            <v>305.41618303571431</v>
          </cell>
          <cell r="R36">
            <v>369.29508928571425</v>
          </cell>
          <cell r="S36">
            <v>445.92756696428569</v>
          </cell>
          <cell r="T36">
            <v>566.26729910714289</v>
          </cell>
          <cell r="U36">
            <v>698.09944196428569</v>
          </cell>
          <cell r="V36">
            <v>836.50033482142851</v>
          </cell>
          <cell r="W36">
            <v>1037.3107142857143</v>
          </cell>
          <cell r="X36">
            <v>1262.0025669642855</v>
          </cell>
          <cell r="Y36">
            <v>1550.3404017857142</v>
          </cell>
          <cell r="Z36">
            <v>1938.2319196428568</v>
          </cell>
        </row>
        <row r="37">
          <cell r="I37">
            <v>107.00291196388264</v>
          </cell>
          <cell r="J37">
            <v>111.66291196388264</v>
          </cell>
          <cell r="K37">
            <v>117.87291196388264</v>
          </cell>
          <cell r="L37">
            <v>127.77291196388263</v>
          </cell>
          <cell r="M37">
            <v>142.77291196388265</v>
          </cell>
          <cell r="N37">
            <v>172.97291196388264</v>
          </cell>
          <cell r="O37">
            <v>214.38972911963884</v>
          </cell>
          <cell r="P37">
            <v>277.23781038374716</v>
          </cell>
          <cell r="Q37">
            <v>374.39559819413091</v>
          </cell>
          <cell r="R37">
            <v>463.71693002257342</v>
          </cell>
          <cell r="S37">
            <v>505.78516930022579</v>
          </cell>
          <cell r="T37">
            <v>718.32968397291211</v>
          </cell>
          <cell r="U37">
            <v>884.86738148984205</v>
          </cell>
          <cell r="V37">
            <v>1100.431264108352</v>
          </cell>
          <cell r="W37">
            <v>1323.5134311512415</v>
          </cell>
          <cell r="X37">
            <v>1606.5213318284425</v>
          </cell>
          <cell r="Y37">
            <v>1995.3546275395036</v>
          </cell>
          <cell r="Z37">
            <v>2494.2375846501127</v>
          </cell>
        </row>
        <row r="38">
          <cell r="I38">
            <v>107.00291196388264</v>
          </cell>
          <cell r="J38">
            <v>111.66291196388264</v>
          </cell>
          <cell r="K38">
            <v>120.51291196388263</v>
          </cell>
          <cell r="L38">
            <v>127.07291196388263</v>
          </cell>
          <cell r="M38">
            <v>152.56291196388264</v>
          </cell>
          <cell r="N38">
            <v>188.3046875</v>
          </cell>
          <cell r="O38">
            <v>235.98058035714286</v>
          </cell>
          <cell r="P38">
            <v>307.75033482142851</v>
          </cell>
          <cell r="Q38">
            <v>418.32834821428571</v>
          </cell>
          <cell r="R38">
            <v>522.74386160714289</v>
          </cell>
          <cell r="S38">
            <v>636.75245535714294</v>
          </cell>
          <cell r="T38">
            <v>816.55044642857138</v>
          </cell>
          <cell r="U38">
            <v>1001.3321428571428</v>
          </cell>
          <cell r="V38">
            <v>1225.7735491071428</v>
          </cell>
          <cell r="W38">
            <v>1525.7783482142856</v>
          </cell>
          <cell r="X38">
            <v>1868.4595982142855</v>
          </cell>
          <cell r="Y38">
            <v>2308.5241071428568</v>
          </cell>
          <cell r="Z38">
            <v>2892.3868303571426</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OUNT"/>
      <sheetName val="Mp-team 1"/>
      <sheetName val="pvc_basic"/>
      <sheetName val="Global factors"/>
      <sheetName val="DATA_PRG"/>
      <sheetName val="int-Dia-hdpe"/>
      <sheetName val="habs-list"/>
      <sheetName val="int-Dia-pvc"/>
      <sheetName val="segments-details"/>
      <sheetName val="hdpe weights"/>
      <sheetName val="PVC weights"/>
      <sheetName val="Sheet2"/>
      <sheetName val="MRATES"/>
      <sheetName val="RMR"/>
      <sheetName val="Lead"/>
      <sheetName val="HDPE-pipe-rates"/>
      <sheetName val="pvc-pipe-rates"/>
      <sheetName val="Material"/>
      <sheetName val="hdpe-rates"/>
      <sheetName val="ssr-rates"/>
      <sheetName val="pvc-rates"/>
      <sheetName val="BM-HOOP"/>
      <sheetName val="labour coeff"/>
      <sheetName val="Iocount"/>
      <sheetName val="Labour"/>
      <sheetName val="Lead statement"/>
      <sheetName val="SSR 2010-11 Rates"/>
      <sheetName val="maya"/>
      <sheetName val="m"/>
      <sheetName val="Road data"/>
      <sheetName val="v"/>
      <sheetName val="leads"/>
      <sheetName val="Common "/>
      <sheetName val="lead-st"/>
      <sheetName val="rdamdata"/>
      <sheetName val="Plant &amp;  Machinery"/>
      <sheetName val="Data.F8.BTR"/>
      <sheetName val="Sheet9"/>
      <sheetName val="Cover"/>
      <sheetName val="Boq"/>
      <sheetName val="DATA"/>
      <sheetName val="PC Master List"/>
      <sheetName val="Habcodes"/>
      <sheetName val="comp-st(GEN)"/>
      <sheetName val="TBAL9697 -group wise  sdpl"/>
      <sheetName val="Sheet1 (2)"/>
      <sheetName val="Road Detail Est."/>
      <sheetName val="mlead"/>
      <sheetName val="index"/>
      <sheetName val="abs road"/>
      <sheetName val="R_Det"/>
      <sheetName val="Nspt-smp-final-ORIGINAL"/>
      <sheetName val="Data Road"/>
      <sheetName val="ewst"/>
      <sheetName val="detls"/>
      <sheetName val="GF SB Ok "/>
      <sheetName val="work_sheet"/>
      <sheetName val="Bridge Data 2005-06"/>
      <sheetName val="m1"/>
      <sheetName val="3405-2014"/>
      <sheetName val="labour rates"/>
      <sheetName val="nodes"/>
      <sheetName val="Data_Base"/>
      <sheetName val="data existing_do not delete"/>
      <sheetName val="Lookup"/>
      <sheetName val="Estimate"/>
      <sheetName val="Abs"/>
      <sheetName val="FORM7"/>
      <sheetName val="Sheet3"/>
      <sheetName val="Sheet5"/>
      <sheetName val="PVC"/>
      <sheetName val="AC"/>
      <sheetName val="ew OG"/>
      <sheetName val="Revised rates(SSR 2015-16)"/>
      <sheetName val="HDPE"/>
      <sheetName val="ew-DiMs"/>
      <sheetName val="mas_hab"/>
      <sheetName val="int-Dia"/>
      <sheetName val="20kL-design-final"/>
      <sheetName val="Civil Boq"/>
      <sheetName val="ww-march-02"/>
      <sheetName val="SCHEDULE"/>
      <sheetName val="Database"/>
      <sheetName val="schedule nos"/>
      <sheetName val=" data sheet "/>
      <sheetName val="Pop"/>
      <sheetName val="_5wgdhabfinal00_01"/>
      <sheetName val="PM&amp;GM"/>
      <sheetName val="AV-PVC"/>
      <sheetName val="DI gate-DI"/>
      <sheetName val="DIgate_PVC "/>
      <sheetName val="zone-2"/>
      <sheetName val="sand"/>
      <sheetName val="stone"/>
      <sheetName val="0000000000000"/>
      <sheetName val="DI"/>
      <sheetName val="C.D.Data (Morth)"/>
      <sheetName val="Rd.Det.Est"/>
      <sheetName val="Rd.Data"/>
      <sheetName val="Road data-TDR"/>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2)"/>
      <sheetName val="Sheet1"/>
      <sheetName val="Sheet2"/>
      <sheetName val="Sheet3"/>
      <sheetName val="Sheet1 _2_"/>
      <sheetName val="HDPE-pipe-rates"/>
      <sheetName val="pvc-pipe-rates"/>
      <sheetName val="detls"/>
      <sheetName val="maya"/>
      <sheetName val="DISCOUNT"/>
      <sheetName val="RMR"/>
      <sheetName val="Road data"/>
      <sheetName val="Estimate"/>
      <sheetName val="BM-HOOP"/>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
      <sheetName val="Sheet3"/>
      <sheetName val="Summary"/>
      <sheetName val="tps"/>
      <sheetName val="DD-Buyouts"/>
      <sheetName val="FR- Buyouts"/>
      <sheetName val="Imp-DDBuyouts"/>
      <sheetName val="Imp-FRBuyouts"/>
      <sheetName val="Imp-DD Buyouts"/>
      <sheetName val="DJC"/>
      <sheetName val="consumables"/>
      <sheetName val="august"/>
      <sheetName val="triconex(Daelim)"/>
      <sheetName val="Sheet16"/>
      <sheetName val="__00"/>
      <sheetName val="FR-_Buyouts"/>
      <sheetName val="Imp-DD_Buyouts"/>
      <sheetName val="DISCOUNT"/>
      <sheetName val="pvc_basic"/>
      <sheetName val="Mp-team 1"/>
      <sheetName val="MRATES"/>
      <sheetName val="Sheet1 (2)"/>
      <sheetName val="int-Dia-hdpe"/>
      <sheetName val="habs-list"/>
      <sheetName val="int-Dia-pvc"/>
      <sheetName val="nodes"/>
      <sheetName val="maya"/>
      <sheetName val="leads"/>
      <sheetName val="sup dat"/>
      <sheetName val="Material"/>
      <sheetName val="DATA"/>
      <sheetName val="Plant &amp;  Machinery"/>
      <sheetName val="Lead"/>
      <sheetName val="t_prsr"/>
      <sheetName val="id"/>
      <sheetName val="wh"/>
      <sheetName val="ewst"/>
      <sheetName val="labour"/>
      <sheetName val="Boq"/>
      <sheetName val="int-Dia"/>
      <sheetName val="hdpe weights"/>
      <sheetName val="PVC weights"/>
      <sheetName val="Sheet1"/>
      <sheetName val="Sheet2"/>
      <sheetName val="Sheet5"/>
      <sheetName val="Iocount"/>
      <sheetName val="DATA_PRG"/>
      <sheetName val="labour coeff"/>
      <sheetName val="detls"/>
      <sheetName val="m"/>
      <sheetName val="Data.F8.BTR"/>
      <sheetName val="Cover"/>
      <sheetName val="R_Det"/>
      <sheetName val="Road data"/>
      <sheetName val="RMR"/>
      <sheetName val="HDPE-pipe-rates"/>
      <sheetName val="pvc-pipe-rates"/>
      <sheetName val="hdpe-rates"/>
      <sheetName val="pvc-rates"/>
      <sheetName val="segments-details"/>
      <sheetName val="BM-HOOP"/>
      <sheetName val="ssr-rates"/>
      <sheetName val="FORM7"/>
      <sheetName val="Global factors"/>
      <sheetName val="labour rates"/>
      <sheetName val="bundqty"/>
      <sheetName val="LOCAL RATES"/>
      <sheetName val="HS final-2"/>
      <sheetName val="index"/>
      <sheetName val="Levels"/>
      <sheetName val="abs road"/>
      <sheetName val="PUMP_DATA"/>
      <sheetName val="Work_sheet"/>
      <sheetName val="Detailed"/>
      <sheetName val="bom"/>
      <sheetName val="I-CO"/>
      <sheetName val="Intake"/>
      <sheetName val="Lead (Final)"/>
      <sheetName val="DMA1"/>
      <sheetName val="r"/>
      <sheetName val="v"/>
      <sheetName val="HS 30.04.2015.Final"/>
      <sheetName val="pumping main"/>
      <sheetName val="D2_CO"/>
      <sheetName val="Specification report"/>
      <sheetName val="Bridge Data 2005-06"/>
      <sheetName val="Common "/>
      <sheetName val="mlead"/>
      <sheetName val="C.D.Data (Morth)"/>
      <sheetName val="Rd.Data"/>
      <sheetName val="coverpage"/>
      <sheetName val="Wordsdata"/>
    </sheetNames>
    <sheetDataSet>
      <sheetData sheetId="0"/>
      <sheetData sheetId="1" refreshError="1">
        <row r="15">
          <cell r="C15">
            <v>4.25</v>
          </cell>
        </row>
        <row r="16">
          <cell r="C16">
            <v>3.5</v>
          </cell>
        </row>
      </sheetData>
      <sheetData sheetId="2">
        <row r="15">
          <cell r="C15">
            <v>0</v>
          </cell>
        </row>
      </sheetData>
      <sheetData sheetId="3"/>
      <sheetData sheetId="4"/>
      <sheetData sheetId="5"/>
      <sheetData sheetId="6"/>
      <sheetData sheetId="7"/>
      <sheetData sheetId="8"/>
      <sheetData sheetId="9"/>
      <sheetData sheetId="10"/>
      <sheetData sheetId="11"/>
      <sheetData sheetId="12"/>
      <sheetData sheetId="13"/>
      <sheetData sheetId="14">
        <row r="15">
          <cell r="C15">
            <v>4.25</v>
          </cell>
        </row>
      </sheetData>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Lead statement"/>
      <sheetName val="Conveyance"/>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Chapt%r-2"/>
      <sheetName val="Plant _  Machinery"/>
      <sheetName val="Lead"/>
      <sheetName val="Plant_&amp;__Machinery"/>
      <sheetName val="Lead_statement"/>
      <sheetName val="Summary_of_Rates"/>
      <sheetName val="Basic_Approach"/>
      <sheetName val="Plant_&amp;__Machinery1"/>
      <sheetName val="Lead_statement1"/>
      <sheetName val="Summary_of_Rates1"/>
      <sheetName val="Basic_Approach1"/>
      <sheetName val="m"/>
      <sheetName val="ewst"/>
      <sheetName val="v"/>
      <sheetName val="Plant_&amp;__Machinery2"/>
      <sheetName val="Lead_statement2"/>
      <sheetName val="Summary_of_Rates2"/>
      <sheetName val="Basic_Approach2"/>
      <sheetName val="Plant____Machinery"/>
      <sheetName val="Sheet1 (2)"/>
      <sheetName val="MRATES"/>
      <sheetName val="Common "/>
      <sheetName val="t_prsr"/>
      <sheetName val="wh"/>
      <sheetName val="Iocount"/>
      <sheetName val="HDPE-pipe-rates"/>
      <sheetName val="pvc-pipe-rates"/>
      <sheetName val="hdpe weights"/>
      <sheetName val="PVC weights"/>
      <sheetName val="leads"/>
      <sheetName val="Sheet5"/>
      <sheetName val="habs-list"/>
      <sheetName val="nodes"/>
      <sheetName val="Data"/>
      <sheetName val="index"/>
      <sheetName val="DATA-BASE"/>
      <sheetName val="DATA-ABSTRACT"/>
      <sheetName val="detls"/>
      <sheetName val="r"/>
      <sheetName val="data existing_do not delete"/>
      <sheetName val="RMR"/>
      <sheetName val="Sheet3"/>
      <sheetName val="BWSCPlt"/>
      <sheetName val="CI"/>
      <sheetName val="DI"/>
      <sheetName val="G.R.P"/>
      <sheetName val="HDPE"/>
      <sheetName val="PSC REVISED"/>
      <sheetName val="pvc"/>
      <sheetName val="mlead"/>
      <sheetName val="int-Dia-hdpe"/>
      <sheetName val="int-Dia-pvc"/>
      <sheetName val="hdpe-rates"/>
      <sheetName val="pvc-rates"/>
      <sheetName val="ARRR-ver-1104-Chandegaon"/>
      <sheetName val="Rates SSR 2008-09"/>
      <sheetName val="DATA_PRG"/>
      <sheetName val="ssr-rates"/>
      <sheetName val="Specification report"/>
      <sheetName val="maya"/>
      <sheetName val="SSR 2014-15 Rates"/>
      <sheetName val="Publicbuilding"/>
      <sheetName val="FORM7"/>
      <sheetName val="l"/>
      <sheetName val="PS1"/>
      <sheetName val="mas_hab"/>
      <sheetName val="Plant_&amp;__Machinery6"/>
      <sheetName val="Lead_statement6"/>
      <sheetName val="Summary_of_Rates6"/>
      <sheetName val="Basic_Approach6"/>
      <sheetName val="Plant____Machinery3"/>
      <sheetName val="Sheet1_(2)2"/>
      <sheetName val="Common_2"/>
      <sheetName val="hdpe_weights2"/>
      <sheetName val="PVC_weights2"/>
      <sheetName val="Plant_&amp;__Machinery4"/>
      <sheetName val="Lead_statement4"/>
      <sheetName val="Summary_of_Rates4"/>
      <sheetName val="Basic_Approach4"/>
      <sheetName val="Plant_&amp;__Machinery3"/>
      <sheetName val="Lead_statement3"/>
      <sheetName val="Summary_of_Rates3"/>
      <sheetName val="Basic_Approach3"/>
      <sheetName val="Plant____Machinery1"/>
      <sheetName val="Sheet1_(2)"/>
      <sheetName val="Common_"/>
      <sheetName val="hdpe_weights"/>
      <sheetName val="PVC_weights"/>
      <sheetName val="Plant_&amp;__Machinery5"/>
      <sheetName val="Lead_statement5"/>
      <sheetName val="Summary_of_Rates5"/>
      <sheetName val="Basic_Approach5"/>
      <sheetName val="Plant____Machinery2"/>
      <sheetName val="Sheet1_(2)1"/>
      <sheetName val="Common_1"/>
      <sheetName val="hdpe_weights1"/>
      <sheetName val="PVC_weights1"/>
      <sheetName val="Data.F8.BTR"/>
      <sheetName val="Plant 㫨  Machinery"/>
      <sheetName val="Plant_㫨__Machinery"/>
      <sheetName val="Plant_㫨__Machinery1"/>
      <sheetName val="Plant_㫨__Machinery2"/>
      <sheetName val="Road data"/>
      <sheetName val="IO LIST"/>
      <sheetName val="coverpage"/>
      <sheetName val="R_Det"/>
      <sheetName val="Activity No (A) ( 12)  "/>
      <sheetName val="covence16-17"/>
      <sheetName val="Alapadu"/>
      <sheetName val="PRECAST lightconc-II"/>
      <sheetName val="Bitumen trunk"/>
      <sheetName val="Feeder"/>
      <sheetName val="R99 etc"/>
      <sheetName val="Trunk unpaved"/>
      <sheetName val="Main sheet"/>
      <sheetName val="Wordsdata"/>
      <sheetName val="Av.G Level"/>
      <sheetName val="Dn LF Sluice"/>
      <sheetName val="Design"/>
      <sheetName val="Specification"/>
      <sheetName val="id"/>
      <sheetName val="Nspt-smp-final-ORIGINAL"/>
      <sheetName val="INPUT SHEET"/>
      <sheetName val="RES-PLANNING"/>
      <sheetName val="Macro1"/>
      <sheetName val="0000000000000"/>
      <sheetName val="cert"/>
      <sheetName val="DISCOUNT"/>
      <sheetName val="Data base"/>
      <sheetName val="FB - 1L"/>
      <sheetName val="Masonry"/>
      <sheetName val="final abstract"/>
      <sheetName val="lable I"/>
      <sheetName val="Levels"/>
      <sheetName val="Data 07-08 "/>
      <sheetName val="Indices"/>
      <sheetName val="ew OG"/>
      <sheetName val="Revised rates(SSR 2015-16)"/>
      <sheetName val="MRoad data"/>
      <sheetName val="Pop"/>
      <sheetName val="Abs"/>
      <sheetName val="abs road"/>
      <sheetName val="GN-ST-10"/>
      <sheetName val="Road Detail Est."/>
      <sheetName val="Process"/>
      <sheetName val="Cover"/>
      <sheetName val="Data-ELSR"/>
      <sheetName val="Mortars"/>
      <sheetName val=" Data -Valves"/>
      <sheetName val="Gates and Pergola Data"/>
      <sheetName val="Usage"/>
      <sheetName val="Rates2"/>
      <sheetName val="PROCTOR"/>
      <sheetName val="SEGMENTS"/>
      <sheetName val="L040"/>
      <sheetName val="economic PM"/>
      <sheetName val="Mp-team 1"/>
      <sheetName val="segments-details"/>
      <sheetName val="Detailed"/>
      <sheetName val="I-CO"/>
      <sheetName val="hdpe_basic"/>
      <sheetName val="pvc_basic"/>
      <sheetName val="BM-HOOP"/>
      <sheetName val="int-Dia"/>
      <sheetName val="Cover sheet"/>
      <sheetName val="PM&amp;GM"/>
      <sheetName val="water-hammar-strenght"/>
      <sheetName val=" data sheet "/>
      <sheetName val="TOP SLAB-beams"/>
      <sheetName val="Ward areas"/>
      <sheetName val="labour rates"/>
      <sheetName val="CBL_OD"/>
      <sheetName val="ESTIMATE"/>
      <sheetName val="m1"/>
      <sheetName val="Spec"/>
      <sheetName val="2.0m  slab"/>
      <sheetName val="Rd.Det.Est"/>
      <sheetName val="Data rough"/>
      <sheetName val="pumping main"/>
      <sheetName val="WATER-HAMMER"/>
      <sheetName val="LABOUR RATE"/>
      <sheetName val="Material Rate"/>
      <sheetName val="ww-march-02"/>
      <sheetName val="clvrt_data"/>
      <sheetName val="hdpe-int-Dia"/>
      <sheetName val="E-Table"/>
      <sheetName val="pvc-int-Dia"/>
      <sheetName val="Rates-May-14"/>
      <sheetName val="Global factors"/>
      <sheetName val="newabstract"/>
      <sheetName val="Plant_&amp;__Machinery7"/>
      <sheetName val="Lead_statement7"/>
      <sheetName val="Summary_of_Rates7"/>
      <sheetName val="Basic_Approach7"/>
      <sheetName val="Plant____Machinery4"/>
      <sheetName val="Sheet1_(2)3"/>
      <sheetName val="Common_3"/>
      <sheetName val="hdpe_weights3"/>
      <sheetName val="PVC_weights3"/>
      <sheetName val="Stability"/>
      <sheetName val="Analysis-NH-Roads"/>
      <sheetName val="Boq"/>
      <sheetName val="Rate Analysis"/>
      <sheetName val="Road work"/>
      <sheetName val="data_existing_do_not_delete"/>
      <sheetName val="Rates_SSR_2008-09"/>
      <sheetName val="Specification_report"/>
      <sheetName val="G_R_P"/>
      <sheetName val="PSC_REVISED"/>
      <sheetName val="SSR_2014-15_Rates"/>
      <sheetName val="Data_F8_BTR"/>
      <sheetName val="Plant_㫨__Machinery3"/>
      <sheetName val="Road_data"/>
      <sheetName val="IO_LIST"/>
      <sheetName val="Activity_No_(A)_(_12)__"/>
      <sheetName val="PRECAST_lightconc-II"/>
      <sheetName val="Bitumen_trunk"/>
      <sheetName val="R99_etc"/>
      <sheetName val="Trunk_unpaved"/>
      <sheetName val="Main_sheet"/>
      <sheetName val="Av_G_Level"/>
      <sheetName val="Dn_LF_Sluice"/>
      <sheetName val="INPUT_SHEET"/>
      <sheetName val="Data_base"/>
      <sheetName val="FB_-_1L"/>
      <sheetName val="final_abstract"/>
      <sheetName val="lable_I"/>
      <sheetName val="wh_data_R"/>
      <sheetName val="Set"/>
      <sheetName val="Sheet10"/>
      <sheetName val="bmrm lead"/>
      <sheetName val="ccoddad"/>
      <sheetName val="Sheet7"/>
      <sheetName val="Pormalla ccrd"/>
      <sheetName val="Sheet4"/>
      <sheetName val="Sheet6"/>
      <sheetName val="Sheet9"/>
      <sheetName val="bundqty"/>
      <sheetName val="Work_sheet"/>
      <sheetName val="LOCAL RATES"/>
      <sheetName val="Output"/>
      <sheetName val="General"/>
      <sheetName val="Data_Bit_I"/>
      <sheetName val="MTC-estimate"/>
      <sheetName val="boredetails"/>
      <sheetName val="Lead statement ss5"/>
      <sheetName val="doq-10"/>
      <sheetName val="2. WorkType"/>
      <sheetName val="INPUT-DATA"/>
      <sheetName val="sg-clay(d)"/>
      <sheetName val="dlvoid"/>
      <sheetName val="foundation(V)"/>
      <sheetName val="Main"/>
      <sheetName val="Design of two-way slab"/>
      <sheetName val="Data-2011-12"/>
      <sheetName val="ultmom"/>
      <sheetName val="Staff Acco."/>
      <sheetName val="Annex- 6 - Delinator"/>
      <sheetName val="Gen Abs"/>
      <sheetName val="other rates"/>
      <sheetName val="_5wgdhabfinal00_01"/>
      <sheetName val="sectorwise"/>
      <sheetName val="Quarry"/>
      <sheetName val="Analysis"/>
      <sheetName val="1V800"/>
      <sheetName val="ABS.C.D."/>
      <sheetName val="DI gate-DI"/>
      <sheetName val="DIgate_PVC "/>
      <sheetName val="lead-st"/>
      <sheetName val="3405-2014"/>
      <sheetName val="3V 6mt "/>
      <sheetName val="Road dam"/>
      <sheetName val="3V 1000PC "/>
      <sheetName val="1V 3mt"/>
      <sheetName val="PVC_dia"/>
      <sheetName val="Sketch"/>
      <sheetName val="BTR"/>
      <sheetName val="GenAbst"/>
      <sheetName val="Rates"/>
      <sheetName val="(Road-Project)"/>
      <sheetName val="rdamdata"/>
      <sheetName val=""/>
      <sheetName val="_x0000_A"/>
      <sheetName val="Hyd_Stmt"/>
      <sheetName val="Basement Budget"/>
    </sheetNames>
    <sheetDataSet>
      <sheetData sheetId="0">
        <row r="6">
          <cell r="G6">
            <v>4082</v>
          </cell>
        </row>
      </sheetData>
      <sheetData sheetId="1">
        <row r="4">
          <cell r="D4">
            <v>137</v>
          </cell>
        </row>
      </sheetData>
      <sheetData sheetId="2" refreshError="1">
        <row r="6">
          <cell r="G6">
            <v>4082</v>
          </cell>
        </row>
        <row r="9">
          <cell r="G9" t="str">
            <v>Input Rate</v>
          </cell>
        </row>
        <row r="15">
          <cell r="G15">
            <v>450</v>
          </cell>
        </row>
        <row r="17">
          <cell r="G17">
            <v>520</v>
          </cell>
        </row>
        <row r="20">
          <cell r="G20">
            <v>50</v>
          </cell>
        </row>
        <row r="25">
          <cell r="G25">
            <v>1128</v>
          </cell>
        </row>
        <row r="28">
          <cell r="G28">
            <v>519</v>
          </cell>
        </row>
        <row r="34">
          <cell r="G34">
            <v>275</v>
          </cell>
        </row>
        <row r="45">
          <cell r="G45">
            <v>200</v>
          </cell>
        </row>
      </sheetData>
      <sheetData sheetId="3" refreshError="1">
        <row r="4">
          <cell r="D4">
            <v>137</v>
          </cell>
        </row>
        <row r="8">
          <cell r="D8">
            <v>137</v>
          </cell>
        </row>
      </sheetData>
      <sheetData sheetId="4"/>
      <sheetData sheetId="5">
        <row r="6">
          <cell r="G6">
            <v>4082</v>
          </cell>
        </row>
      </sheetData>
      <sheetData sheetId="6" refreshError="1">
        <row r="6">
          <cell r="G6">
            <v>4082</v>
          </cell>
        </row>
        <row r="42">
          <cell r="D42">
            <v>13875.8</v>
          </cell>
        </row>
        <row r="43">
          <cell r="D43" t="str">
            <v>Input Rate</v>
          </cell>
        </row>
        <row r="54">
          <cell r="D54" t="str">
            <v>Input Rate</v>
          </cell>
        </row>
        <row r="68">
          <cell r="D68" t="str">
            <v>Input Rate</v>
          </cell>
        </row>
        <row r="96">
          <cell r="D96" t="str">
            <v>Input Rate</v>
          </cell>
        </row>
        <row r="132">
          <cell r="D132" t="str">
            <v>Input Rate</v>
          </cell>
        </row>
        <row r="144">
          <cell r="D144" t="str">
            <v>Input Rate</v>
          </cell>
        </row>
      </sheetData>
      <sheetData sheetId="7">
        <row r="6">
          <cell r="G6">
            <v>4082</v>
          </cell>
        </row>
      </sheetData>
      <sheetData sheetId="8">
        <row r="4">
          <cell r="D4">
            <v>137</v>
          </cell>
        </row>
      </sheetData>
      <sheetData sheetId="9">
        <row r="6">
          <cell r="G6">
            <v>4082</v>
          </cell>
        </row>
      </sheetData>
      <sheetData sheetId="10"/>
      <sheetData sheetId="11">
        <row r="42">
          <cell r="D42">
            <v>13875.8</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ow r="6">
          <cell r="G6">
            <v>4082</v>
          </cell>
        </row>
      </sheetData>
      <sheetData sheetId="40"/>
      <sheetData sheetId="41"/>
      <sheetData sheetId="42"/>
      <sheetData sheetId="43">
        <row r="6">
          <cell r="G6">
            <v>4082</v>
          </cell>
        </row>
      </sheetData>
      <sheetData sheetId="44">
        <row r="6">
          <cell r="G6">
            <v>4082</v>
          </cell>
        </row>
      </sheetData>
      <sheetData sheetId="45" refreshError="1"/>
      <sheetData sheetId="46">
        <row r="6">
          <cell r="G6">
            <v>4082</v>
          </cell>
        </row>
      </sheetData>
      <sheetData sheetId="47">
        <row r="6">
          <cell r="G6">
            <v>4082</v>
          </cell>
        </row>
      </sheetData>
      <sheetData sheetId="48">
        <row r="6">
          <cell r="G6">
            <v>4082</v>
          </cell>
        </row>
      </sheetData>
      <sheetData sheetId="49">
        <row r="6">
          <cell r="G6">
            <v>4082</v>
          </cell>
        </row>
      </sheetData>
      <sheetData sheetId="50">
        <row r="6">
          <cell r="G6">
            <v>4082</v>
          </cell>
        </row>
      </sheetData>
      <sheetData sheetId="51">
        <row r="6">
          <cell r="G6">
            <v>4082</v>
          </cell>
        </row>
      </sheetData>
      <sheetData sheetId="52">
        <row r="6">
          <cell r="G6">
            <v>4082</v>
          </cell>
        </row>
      </sheetData>
      <sheetData sheetId="53">
        <row r="6">
          <cell r="G6">
            <v>4082</v>
          </cell>
        </row>
      </sheetData>
      <sheetData sheetId="54" refreshError="1"/>
      <sheetData sheetId="55" refreshError="1"/>
      <sheetData sheetId="56" refreshError="1"/>
      <sheetData sheetId="57" refreshError="1"/>
      <sheetData sheetId="58"/>
      <sheetData sheetId="59"/>
      <sheetData sheetId="60"/>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sheetData sheetId="79"/>
      <sheetData sheetId="80" refreshError="1"/>
      <sheetData sheetId="81" refreshError="1"/>
      <sheetData sheetId="82"/>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sheetData sheetId="99" refreshError="1"/>
      <sheetData sheetId="100" refreshError="1"/>
      <sheetData sheetId="101"/>
      <sheetData sheetId="102"/>
      <sheetData sheetId="103" refreshError="1"/>
      <sheetData sheetId="104"/>
      <sheetData sheetId="105" refreshError="1"/>
      <sheetData sheetId="106" refreshError="1"/>
      <sheetData sheetId="107" refreshError="1"/>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sheetData sheetId="139"/>
      <sheetData sheetId="140" refreshError="1"/>
      <sheetData sheetId="141" refreshError="1"/>
      <sheetData sheetId="142" refreshError="1"/>
      <sheetData sheetId="143"/>
      <sheetData sheetId="144"/>
      <sheetData sheetId="145"/>
      <sheetData sheetId="146"/>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ne vent Pipe"/>
      <sheetName val="Four vents"/>
      <sheetName val="two vents"/>
      <sheetName val="data"/>
      <sheetName val="Lead"/>
      <sheetName val="Designs"/>
      <sheetName val="3Vents"/>
      <sheetName val="Abut"/>
      <sheetName val="Pier"/>
      <sheetName val="Speci"/>
      <sheetName val="One vent "/>
      <sheetName val="Material"/>
      <sheetName val="Sheet1"/>
      <sheetName val="Contents"/>
      <sheetName val="Plant &amp;  Machinery"/>
      <sheetName val="Labour"/>
      <sheetName val="Lead statement (2)"/>
      <sheetName val="Lead statement"/>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Sheet3"/>
      <sheetName val="Lead (2)"/>
      <sheetName val="Data (2)"/>
      <sheetName val="Estimate"/>
      <sheetName val="XXXXXXXXXXXXX"/>
      <sheetName val="0000000000000"/>
      <sheetName val="6.5% (2)"/>
      <sheetName val="est (2)"/>
      <sheetName val="XXXXXXXXXXXX0"/>
      <sheetName val="Abstract (2)"/>
      <sheetName val="Detailed"/>
      <sheetName val="key (2)"/>
      <sheetName val="pro-B (2)"/>
      <sheetName val="est  (mord)"/>
      <sheetName val="est(old) "/>
      <sheetName val="6.5%"/>
      <sheetName val="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4">
          <cell r="D4">
            <v>852.89666666666676</v>
          </cell>
        </row>
        <row r="17">
          <cell r="D17">
            <v>689.98</v>
          </cell>
        </row>
        <row r="18">
          <cell r="D18">
            <v>893.73</v>
          </cell>
        </row>
        <row r="19">
          <cell r="D19">
            <v>562.29999999999995</v>
          </cell>
        </row>
        <row r="45">
          <cell r="D45">
            <v>28100</v>
          </cell>
        </row>
        <row r="46">
          <cell r="D46">
            <v>250</v>
          </cell>
        </row>
        <row r="51">
          <cell r="D51">
            <v>2400</v>
          </cell>
        </row>
        <row r="69">
          <cell r="D69">
            <v>50.5</v>
          </cell>
        </row>
        <row r="70">
          <cell r="D70">
            <v>10</v>
          </cell>
        </row>
        <row r="93">
          <cell r="D93">
            <v>604.79999999999995</v>
          </cell>
        </row>
        <row r="95">
          <cell r="D95">
            <v>5</v>
          </cell>
        </row>
        <row r="109">
          <cell r="D109">
            <v>48.6</v>
          </cell>
        </row>
        <row r="110">
          <cell r="D110">
            <v>18</v>
          </cell>
        </row>
        <row r="111">
          <cell r="D111">
            <v>3</v>
          </cell>
        </row>
        <row r="113">
          <cell r="D113">
            <v>4304.08</v>
          </cell>
        </row>
        <row r="114">
          <cell r="D114">
            <v>3301.82</v>
          </cell>
        </row>
        <row r="115">
          <cell r="D115">
            <v>2729.9849999999997</v>
          </cell>
        </row>
        <row r="117">
          <cell r="D117">
            <v>918.77</v>
          </cell>
        </row>
        <row r="118">
          <cell r="D118">
            <v>4581.2</v>
          </cell>
        </row>
        <row r="119">
          <cell r="D119">
            <v>3381.2</v>
          </cell>
        </row>
        <row r="120">
          <cell r="D120">
            <v>2515.83</v>
          </cell>
        </row>
        <row r="122">
          <cell r="D122">
            <v>732.86</v>
          </cell>
        </row>
        <row r="125">
          <cell r="D125">
            <v>295.8</v>
          </cell>
        </row>
        <row r="126">
          <cell r="D126">
            <v>339.3</v>
          </cell>
        </row>
        <row r="130">
          <cell r="D130">
            <v>27000</v>
          </cell>
        </row>
        <row r="146">
          <cell r="D146">
            <v>0.2</v>
          </cell>
        </row>
      </sheetData>
      <sheetData sheetId="12" refreshError="1"/>
      <sheetData sheetId="13" refreshError="1"/>
      <sheetData sheetId="14" refreshError="1">
        <row r="4">
          <cell r="G4">
            <v>196</v>
          </cell>
        </row>
        <row r="11">
          <cell r="G11">
            <v>150</v>
          </cell>
        </row>
        <row r="13">
          <cell r="G13">
            <v>2400</v>
          </cell>
        </row>
        <row r="23">
          <cell r="G23">
            <v>600</v>
          </cell>
        </row>
        <row r="27">
          <cell r="G27">
            <v>27.87</v>
          </cell>
        </row>
        <row r="30">
          <cell r="G30">
            <v>30</v>
          </cell>
        </row>
        <row r="31">
          <cell r="G31">
            <v>30</v>
          </cell>
        </row>
        <row r="48">
          <cell r="G48">
            <v>223</v>
          </cell>
        </row>
        <row r="53">
          <cell r="G53">
            <v>234</v>
          </cell>
        </row>
      </sheetData>
      <sheetData sheetId="15" refreshError="1">
        <row r="3">
          <cell r="D3">
            <v>156</v>
          </cell>
        </row>
        <row r="5">
          <cell r="D5">
            <v>137</v>
          </cell>
        </row>
        <row r="14">
          <cell r="D14">
            <v>156</v>
          </cell>
        </row>
        <row r="15">
          <cell r="D15">
            <v>137</v>
          </cell>
        </row>
        <row r="16">
          <cell r="D16">
            <v>137</v>
          </cell>
        </row>
        <row r="17">
          <cell r="D17">
            <v>106</v>
          </cell>
        </row>
        <row r="18">
          <cell r="D18">
            <v>137</v>
          </cell>
        </row>
        <row r="19">
          <cell r="D19">
            <v>156</v>
          </cell>
        </row>
        <row r="22">
          <cell r="D22">
            <v>165</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Sheet3"/>
      <sheetName val="Chapter-13"/>
      <sheetName val="Chapter-14"/>
      <sheetName val="Chapter-15"/>
      <sheetName val="Summary"/>
      <sheetName val="Abbreviations"/>
      <sheetName val="Sheet2"/>
      <sheetName val="Nspt-smp-final-ORIGINAL"/>
      <sheetName val="ewst"/>
      <sheetName val="L040"/>
      <sheetName val="r"/>
      <sheetName val="leads"/>
      <sheetName val="Data"/>
      <sheetName val="Sheet1 (2)"/>
      <sheetName val="Lead"/>
      <sheetName val="int-Dia-hdpe"/>
      <sheetName val="habs-list"/>
      <sheetName val="int-Dia-pvc"/>
      <sheetName val="segments-details"/>
      <sheetName val="v"/>
      <sheetName val="RAFT"/>
      <sheetName val="scour depth"/>
      <sheetName val="Data.F8.BTR"/>
      <sheetName val="Work_sheet"/>
      <sheetName val="SUMP1420KL@HW"/>
      <sheetName val="Sheet5"/>
      <sheetName val="0000000000000"/>
      <sheetName val="cert"/>
      <sheetName val="NonSSR"/>
      <sheetName val="bundqty"/>
      <sheetName val="Levels"/>
      <sheetName val="m"/>
      <sheetName val="Wordsdata"/>
      <sheetName val="FORM7"/>
      <sheetName val="ESTT"/>
      <sheetName val="mlead"/>
      <sheetName val="Road data"/>
      <sheetName val="Road Detail Est."/>
      <sheetName val="MRATES"/>
      <sheetName val="RMR"/>
      <sheetName val="Specification"/>
      <sheetName val="Footings"/>
      <sheetName val="elect."/>
      <sheetName val="Rates"/>
      <sheetName val="Convey"/>
      <sheetName val="Common "/>
      <sheetName val=" General abs"/>
      <sheetName val="maya"/>
      <sheetName val="Plant_&amp;__Machinery"/>
      <sheetName val="Summary_of_Rates"/>
      <sheetName val="Basic_Approach"/>
      <sheetName val="Sheet1_(2)"/>
      <sheetName val="Plant_&amp;__Machinery1"/>
      <sheetName val="Summary_of_Rates1"/>
      <sheetName val="Basic_Approach1"/>
      <sheetName val="Sheet1_(2)1"/>
      <sheetName val="Data base"/>
      <sheetName val="IO LIST"/>
      <sheetName val="boredetails"/>
      <sheetName val="Publicbuilding"/>
      <sheetName val="scour_depth"/>
      <sheetName val="Data_F8_BTR"/>
      <sheetName val="abs road"/>
      <sheetName val="DATA_PRG"/>
      <sheetName val="Iocount"/>
      <sheetName val="MRoad data"/>
      <sheetName val="WATER-HAMMER"/>
      <sheetName val="Estimate "/>
      <sheetName val="Exp"/>
      <sheetName val="DREV"/>
      <sheetName val="CREV"/>
      <sheetName val="Lead statement"/>
      <sheetName val="data existing_do not delete"/>
      <sheetName val="3V 6mt "/>
      <sheetName val="Civil-works"/>
      <sheetName val="C-data"/>
      <sheetName val="1V800"/>
      <sheetName val="Data_Renuals"/>
      <sheetName val="l"/>
      <sheetName val="C.D.Abs.Est."/>
      <sheetName val="sup dat"/>
      <sheetName val="detls"/>
      <sheetName val="HDPE-pipe-rates"/>
      <sheetName val="pvc-pipe-rates"/>
      <sheetName val="R_Det"/>
      <sheetName val="water-hammar-strenght"/>
      <sheetName val="Abs_CD_2"/>
      <sheetName val="coverpage"/>
      <sheetName val="road est"/>
      <sheetName val="ECV"/>
      <sheetName val="lead-st"/>
      <sheetName val="rdamdata"/>
      <sheetName val="Main sheet"/>
    </sheetNames>
    <sheetDataSet>
      <sheetData sheetId="0">
        <row r="6">
          <cell r="D6">
            <v>156</v>
          </cell>
        </row>
      </sheetData>
      <sheetData sheetId="1">
        <row r="3">
          <cell r="D3" t="str">
            <v>Input Rate</v>
          </cell>
        </row>
      </sheetData>
      <sheetData sheetId="2"/>
      <sheetData sheetId="3" refreshError="1">
        <row r="6">
          <cell r="D6">
            <v>156</v>
          </cell>
        </row>
        <row r="11">
          <cell r="D11">
            <v>156</v>
          </cell>
        </row>
      </sheetData>
      <sheetData sheetId="4" refreshError="1">
        <row r="3">
          <cell r="D3" t="str">
            <v>Input Rate</v>
          </cell>
        </row>
        <row r="38">
          <cell r="D38" t="str">
            <v>Input Rate</v>
          </cell>
        </row>
        <row r="47">
          <cell r="D47" t="str">
            <v>Input Rate</v>
          </cell>
        </row>
        <row r="48">
          <cell r="D48" t="str">
            <v>Input Rate</v>
          </cell>
        </row>
        <row r="49">
          <cell r="D49" t="str">
            <v>Input Rate</v>
          </cell>
        </row>
        <row r="50">
          <cell r="D50" t="str">
            <v>Input Rate</v>
          </cell>
        </row>
        <row r="73">
          <cell r="D73" t="str">
            <v>Input Rate</v>
          </cell>
        </row>
        <row r="74">
          <cell r="D74" t="str">
            <v>Input Rate</v>
          </cell>
        </row>
        <row r="79">
          <cell r="D79" t="str">
            <v>Input Rate</v>
          </cell>
        </row>
        <row r="88">
          <cell r="D88" t="str">
            <v>Input Rate</v>
          </cell>
        </row>
        <row r="97">
          <cell r="D97" t="str">
            <v>Input Rate</v>
          </cell>
        </row>
        <row r="102">
          <cell r="D102" t="str">
            <v>Input Rate</v>
          </cell>
        </row>
        <row r="129">
          <cell r="D129" t="str">
            <v>Input Rate</v>
          </cell>
        </row>
        <row r="131">
          <cell r="D131" t="str">
            <v>Input Rate</v>
          </cell>
        </row>
        <row r="136">
          <cell r="D136" t="str">
            <v>Input Rate</v>
          </cell>
        </row>
        <row r="137">
          <cell r="D137" t="str">
            <v>Input Rate</v>
          </cell>
        </row>
        <row r="138">
          <cell r="D138" t="str">
            <v>Input Rate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lip"/>
      <sheetName val="summary"/>
      <sheetName val="tech"/>
      <sheetName val="abstract"/>
      <sheetName val="detailed"/>
      <sheetName val="culvert"/>
      <sheetName val="culvert (2)"/>
      <sheetName val="culvert (3)"/>
      <sheetName val="impRdam"/>
      <sheetName val="cost"/>
      <sheetName val="data"/>
      <sheetName val="CDdata"/>
      <sheetName val="keymap"/>
      <sheetName val="lchart"/>
      <sheetName val="LS"/>
      <sheetName val="CS"/>
      <sheetName val="CS (2)"/>
      <sheetName val="leads"/>
      <sheetName val="f_slip"/>
      <sheetName val="1v600"/>
      <sheetName val="2v600"/>
      <sheetName val="3v600"/>
      <sheetName val="2v900"/>
      <sheetName val="3v900"/>
      <sheetName val="30mRdam"/>
      <sheetName val="v"/>
      <sheetName val="r"/>
      <sheetName val="Labour"/>
      <sheetName val="Material"/>
      <sheetName val="Plant &amp;  Machinery"/>
      <sheetName val="Iocount"/>
      <sheetName val="MRATES"/>
      <sheetName val="ESTIMATE"/>
      <sheetName val="RMR "/>
      <sheetName val="Data_Bit_I"/>
      <sheetName val="Mp-team 1"/>
      <sheetName val="Sheet9"/>
      <sheetName val="Lead"/>
      <sheetName val="RMR"/>
      <sheetName val="0000000000000"/>
      <sheetName val="Lead statement"/>
      <sheetName val="FF WRK"/>
      <sheetName val="Sheet1 (2)"/>
      <sheetName val="detls"/>
      <sheetName val="Lead-2014-15"/>
      <sheetName val="work_sheet"/>
      <sheetName val="ABS"/>
      <sheetName val="Est_KB"/>
      <sheetName val="Specification"/>
      <sheetName val="sup dat"/>
      <sheetName val="Bridge Data 2005-06"/>
      <sheetName val="Specification report"/>
      <sheetName val="dBase"/>
      <sheetName val="Sheet1"/>
      <sheetName val="Road Detail Est."/>
      <sheetName val="MRoad data"/>
      <sheetName val="labour &amp; Centering"/>
      <sheetName val="hdpe-rates"/>
      <sheetName val="hdpe weights"/>
      <sheetName val="ssr-rates"/>
      <sheetName val="pvc-rates"/>
      <sheetName val="PVC weights"/>
      <sheetName val="mlead"/>
      <sheetName val="abs road"/>
      <sheetName val="R_Det"/>
      <sheetName val="Road data"/>
      <sheetName val="Det.SC2"/>
      <sheetName val="beam-reinft"/>
      <sheetName val="Sheet3"/>
      <sheetName val="Main sheet"/>
      <sheetName val="maya"/>
      <sheetName val="DATA-BASE"/>
      <sheetName val="DATA-ABSTRACT"/>
      <sheetName val="labour-16-17"/>
      <sheetName val="INPUT-SHEET"/>
      <sheetName val="other rates"/>
      <sheetName val="Levels"/>
      <sheetName val="Bitumen trunk"/>
      <sheetName val="Feeder"/>
      <sheetName val="R99 etc"/>
      <sheetName val="Trunk unpaved"/>
      <sheetName val="Lookup"/>
      <sheetName val="Rates SSR 2008-09"/>
      <sheetName val="PRECAST lightconc-II"/>
      <sheetName val="FORM7"/>
      <sheetName val="coverpage"/>
      <sheetName val="Lead (Final)"/>
      <sheetName val="Data Road"/>
      <sheetName val="NonSSR"/>
      <sheetName val="Longitudinal"/>
      <sheetName val="m1"/>
      <sheetName val="l"/>
      <sheetName val="lead-st"/>
      <sheetName val="rdamdata"/>
      <sheetName val="p&amp;m"/>
      <sheetName val="Superstruc"/>
      <sheetName val="m"/>
      <sheetName val="SSR07-08"/>
      <sheetName val="General"/>
      <sheetName val="culvert_(2)"/>
      <sheetName val="culvert_(3)"/>
      <sheetName val="CS_(2)"/>
      <sheetName val="Plant_&amp;__Machinery"/>
      <sheetName val="RMR_"/>
      <sheetName val="culvert_(2)1"/>
      <sheetName val="culvert_(3)1"/>
      <sheetName val="CS_(2)1"/>
      <sheetName val="Plant_&amp;__Machinery1"/>
      <sheetName val="RMR_1"/>
      <sheetName val="Lead (2)"/>
      <sheetName val="C.D.Abs.Est."/>
      <sheetName val="59"/>
      <sheetName val="Data_Base"/>
      <sheetName val="Publicbuilding"/>
      <sheetName val="HDPE"/>
      <sheetName val="Sheet2"/>
      <sheetName val="C-data"/>
      <sheetName val="Design"/>
      <sheetName val="data existing_do not delete"/>
      <sheetName val="Mp-team_1"/>
      <sheetName val="Lead_statement"/>
      <sheetName val="FF_WRK"/>
      <sheetName val="Sheet1_(2)"/>
      <sheetName val="sup_dat"/>
      <sheetName val="Bridge_Data_2005-06"/>
      <sheetName val="Specification_report"/>
      <sheetName val="Road_Detail_Est_"/>
      <sheetName val="MRoad_data"/>
      <sheetName val="labour_&amp;_Centering"/>
      <sheetName val="hdpe_weights"/>
      <sheetName val="PVC_weights"/>
      <sheetName val="abs_road"/>
      <sheetName val="Road_data"/>
      <sheetName val="Det_SC2"/>
      <sheetName val="Main_sheet"/>
      <sheetName val="Rates_SSR_2008-09"/>
      <sheetName val="Bitumen_trunk"/>
      <sheetName val="R99_etc"/>
      <sheetName val="Trunk_unpaved"/>
      <sheetName val="Usage"/>
      <sheetName val="Common "/>
      <sheetName val="quarry"/>
      <sheetName val="GA"/>
      <sheetName val="WATER-HAMMER"/>
      <sheetName val="PS1"/>
      <sheetName val="PLAN_FEB97"/>
      <sheetName val="Nspt-smp-final-ORIGINAL"/>
      <sheetName val="Global factors"/>
      <sheetName val="Main"/>
      <sheetName val="GN-ST-10"/>
      <sheetName val="slab"/>
      <sheetName val="Staff Acco."/>
      <sheetName val="OverviewBarmer"/>
      <sheetName val="id"/>
      <sheetName val="basdat-f"/>
      <sheetName val="Lead sheet"/>
      <sheetName val="Data.F8.BTR"/>
      <sheetName val="lead charges"/>
      <sheetName val="not req 3"/>
      <sheetName val="temp-SDData (2)"/>
      <sheetName val="Sheet5"/>
      <sheetName val="FB - 1L"/>
      <sheetName val="TS memo"/>
      <sheetName val="Lead Chat"/>
      <sheetName val="Rd.Det.Est"/>
      <sheetName val="Data-2010-11"/>
      <sheetName val="index"/>
      <sheetName val="Rates"/>
      <sheetName val="int dia (2)"/>
      <sheetName val="DATA SHEET"/>
      <sheetName val="BTR"/>
      <sheetName val="SUMP1420KL@HW"/>
      <sheetName val="HDPE-pipe-rates"/>
      <sheetName val="pvc-pipe-rates"/>
      <sheetName val="RTS memo"/>
      <sheetName val="GenAbst"/>
      <sheetName val="Lead 2014-1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3">
          <cell r="A3" t="str">
            <v>Sno</v>
          </cell>
          <cell r="B3" t="str">
            <v>Lead</v>
          </cell>
          <cell r="C3">
            <v>0</v>
          </cell>
          <cell r="D3" t="str">
            <v>Earth</v>
          </cell>
          <cell r="E3" t="str">
            <v>Metal</v>
          </cell>
          <cell r="F3" t="str">
            <v>Bricks</v>
          </cell>
        </row>
        <row r="4">
          <cell r="A4">
            <v>1</v>
          </cell>
          <cell r="B4">
            <v>100</v>
          </cell>
          <cell r="C4" t="str">
            <v>m</v>
          </cell>
          <cell r="D4">
            <v>16</v>
          </cell>
        </row>
        <row r="5">
          <cell r="A5">
            <v>2</v>
          </cell>
          <cell r="B5">
            <v>200</v>
          </cell>
          <cell r="C5" t="str">
            <v>m</v>
          </cell>
          <cell r="D5">
            <v>25</v>
          </cell>
        </row>
        <row r="6">
          <cell r="A6">
            <v>3</v>
          </cell>
          <cell r="B6">
            <v>300</v>
          </cell>
          <cell r="C6" t="str">
            <v>m</v>
          </cell>
          <cell r="D6">
            <v>33</v>
          </cell>
        </row>
        <row r="7">
          <cell r="A7">
            <v>4</v>
          </cell>
          <cell r="B7">
            <v>400</v>
          </cell>
          <cell r="C7" t="str">
            <v>m</v>
          </cell>
          <cell r="D7">
            <v>45</v>
          </cell>
        </row>
        <row r="8">
          <cell r="A8">
            <v>5</v>
          </cell>
          <cell r="B8">
            <v>500</v>
          </cell>
          <cell r="C8" t="str">
            <v>m</v>
          </cell>
          <cell r="D8">
            <v>56</v>
          </cell>
          <cell r="E8">
            <v>64</v>
          </cell>
          <cell r="F8">
            <v>93.9</v>
          </cell>
        </row>
        <row r="9">
          <cell r="A9">
            <v>6</v>
          </cell>
          <cell r="B9">
            <v>1</v>
          </cell>
          <cell r="C9" t="str">
            <v>KM</v>
          </cell>
          <cell r="D9">
            <v>58</v>
          </cell>
          <cell r="E9">
            <v>67</v>
          </cell>
          <cell r="F9">
            <v>96.6</v>
          </cell>
        </row>
        <row r="10">
          <cell r="A10">
            <v>7</v>
          </cell>
          <cell r="B10">
            <v>2</v>
          </cell>
          <cell r="C10" t="str">
            <v>KM</v>
          </cell>
          <cell r="D10">
            <v>61</v>
          </cell>
          <cell r="E10">
            <v>69</v>
          </cell>
          <cell r="F10">
            <v>99.9</v>
          </cell>
        </row>
        <row r="11">
          <cell r="A11">
            <v>8</v>
          </cell>
          <cell r="B11">
            <v>3</v>
          </cell>
          <cell r="C11" t="str">
            <v>KM</v>
          </cell>
          <cell r="D11">
            <v>64</v>
          </cell>
          <cell r="E11">
            <v>72</v>
          </cell>
          <cell r="F11">
            <v>102.5</v>
          </cell>
        </row>
        <row r="12">
          <cell r="A12">
            <v>9</v>
          </cell>
          <cell r="B12">
            <v>4</v>
          </cell>
          <cell r="C12" t="str">
            <v>KM</v>
          </cell>
          <cell r="D12">
            <v>67</v>
          </cell>
          <cell r="E12">
            <v>75</v>
          </cell>
          <cell r="F12">
            <v>105.9</v>
          </cell>
        </row>
        <row r="13">
          <cell r="A13">
            <v>10</v>
          </cell>
          <cell r="B13">
            <v>5</v>
          </cell>
          <cell r="C13" t="str">
            <v>KM</v>
          </cell>
          <cell r="D13">
            <v>70</v>
          </cell>
          <cell r="E13">
            <v>78</v>
          </cell>
          <cell r="F13">
            <v>109.1</v>
          </cell>
        </row>
        <row r="14">
          <cell r="A14">
            <v>11</v>
          </cell>
          <cell r="B14">
            <v>6</v>
          </cell>
          <cell r="C14" t="str">
            <v>KM</v>
          </cell>
          <cell r="D14">
            <v>72</v>
          </cell>
          <cell r="E14">
            <v>82</v>
          </cell>
          <cell r="F14">
            <v>112.5</v>
          </cell>
        </row>
        <row r="15">
          <cell r="A15">
            <v>12</v>
          </cell>
          <cell r="B15">
            <v>7</v>
          </cell>
          <cell r="C15" t="str">
            <v>KM</v>
          </cell>
          <cell r="D15">
            <v>76</v>
          </cell>
          <cell r="E15">
            <v>84</v>
          </cell>
          <cell r="F15">
            <v>115.8</v>
          </cell>
        </row>
        <row r="16">
          <cell r="A16">
            <v>13</v>
          </cell>
          <cell r="B16">
            <v>8</v>
          </cell>
          <cell r="C16" t="str">
            <v>KM</v>
          </cell>
          <cell r="D16">
            <v>79</v>
          </cell>
          <cell r="E16">
            <v>86</v>
          </cell>
          <cell r="F16">
            <v>118.5</v>
          </cell>
        </row>
        <row r="17">
          <cell r="A17">
            <v>14</v>
          </cell>
          <cell r="B17">
            <v>9</v>
          </cell>
          <cell r="C17" t="str">
            <v>KM</v>
          </cell>
          <cell r="D17">
            <v>82</v>
          </cell>
          <cell r="E17">
            <v>90</v>
          </cell>
          <cell r="F17">
            <v>121.9</v>
          </cell>
        </row>
        <row r="18">
          <cell r="A18">
            <v>15</v>
          </cell>
          <cell r="B18">
            <v>10</v>
          </cell>
          <cell r="C18" t="str">
            <v>KM</v>
          </cell>
          <cell r="D18">
            <v>85</v>
          </cell>
          <cell r="E18">
            <v>92</v>
          </cell>
          <cell r="F18">
            <v>125.1</v>
          </cell>
        </row>
        <row r="19">
          <cell r="A19">
            <v>16</v>
          </cell>
          <cell r="B19">
            <v>11</v>
          </cell>
          <cell r="C19" t="str">
            <v>KM</v>
          </cell>
          <cell r="D19">
            <v>89</v>
          </cell>
          <cell r="E19">
            <v>95</v>
          </cell>
          <cell r="F19">
            <v>128.5</v>
          </cell>
        </row>
        <row r="20">
          <cell r="A20">
            <v>17</v>
          </cell>
          <cell r="B20">
            <v>12</v>
          </cell>
          <cell r="C20" t="str">
            <v>KM</v>
          </cell>
          <cell r="D20">
            <v>91</v>
          </cell>
          <cell r="E20">
            <v>99</v>
          </cell>
          <cell r="F20">
            <v>131.80000000000001</v>
          </cell>
        </row>
        <row r="21">
          <cell r="A21">
            <v>18</v>
          </cell>
          <cell r="B21">
            <v>13</v>
          </cell>
          <cell r="C21" t="str">
            <v>KM</v>
          </cell>
          <cell r="D21">
            <v>94</v>
          </cell>
          <cell r="E21">
            <v>102</v>
          </cell>
          <cell r="F21">
            <v>134.4</v>
          </cell>
        </row>
        <row r="22">
          <cell r="A22">
            <v>19</v>
          </cell>
          <cell r="B22">
            <v>14</v>
          </cell>
          <cell r="C22" t="str">
            <v>KM</v>
          </cell>
          <cell r="D22">
            <v>97</v>
          </cell>
          <cell r="E22">
            <v>105</v>
          </cell>
          <cell r="F22">
            <v>137.80000000000001</v>
          </cell>
        </row>
        <row r="23">
          <cell r="A23">
            <v>20</v>
          </cell>
          <cell r="B23">
            <v>15</v>
          </cell>
          <cell r="C23" t="str">
            <v>KM</v>
          </cell>
          <cell r="D23">
            <v>100</v>
          </cell>
          <cell r="E23">
            <v>107</v>
          </cell>
          <cell r="F23">
            <v>141.1</v>
          </cell>
        </row>
        <row r="24">
          <cell r="A24">
            <v>21</v>
          </cell>
          <cell r="B24">
            <v>16</v>
          </cell>
          <cell r="C24" t="str">
            <v>KM</v>
          </cell>
          <cell r="D24">
            <v>102</v>
          </cell>
          <cell r="E24">
            <v>110</v>
          </cell>
          <cell r="F24">
            <v>144.4</v>
          </cell>
        </row>
        <row r="25">
          <cell r="A25">
            <v>22</v>
          </cell>
          <cell r="B25">
            <v>17</v>
          </cell>
          <cell r="C25" t="str">
            <v>KM</v>
          </cell>
          <cell r="D25">
            <v>106</v>
          </cell>
          <cell r="E25">
            <v>113</v>
          </cell>
          <cell r="F25">
            <v>147.69999999999999</v>
          </cell>
        </row>
        <row r="26">
          <cell r="A26">
            <v>23</v>
          </cell>
          <cell r="B26">
            <v>18</v>
          </cell>
          <cell r="C26" t="str">
            <v>KM</v>
          </cell>
          <cell r="D26">
            <v>109</v>
          </cell>
          <cell r="E26">
            <v>116</v>
          </cell>
          <cell r="F26">
            <v>150.4</v>
          </cell>
        </row>
        <row r="27">
          <cell r="A27">
            <v>24</v>
          </cell>
          <cell r="B27">
            <v>19</v>
          </cell>
          <cell r="C27" t="str">
            <v>KM</v>
          </cell>
          <cell r="D27">
            <v>112</v>
          </cell>
          <cell r="E27">
            <v>118</v>
          </cell>
          <cell r="F27">
            <v>153.80000000000001</v>
          </cell>
        </row>
        <row r="28">
          <cell r="A28">
            <v>25</v>
          </cell>
          <cell r="B28">
            <v>20</v>
          </cell>
          <cell r="C28" t="str">
            <v>KM</v>
          </cell>
          <cell r="D28">
            <v>115</v>
          </cell>
          <cell r="E28">
            <v>122</v>
          </cell>
          <cell r="F28">
            <v>157.1</v>
          </cell>
        </row>
        <row r="29">
          <cell r="A29">
            <v>26</v>
          </cell>
          <cell r="B29">
            <v>21</v>
          </cell>
          <cell r="C29" t="str">
            <v>KM</v>
          </cell>
          <cell r="D29">
            <v>117.5</v>
          </cell>
          <cell r="E29">
            <v>125</v>
          </cell>
          <cell r="F29">
            <v>161.15</v>
          </cell>
        </row>
        <row r="30">
          <cell r="A30">
            <v>27</v>
          </cell>
          <cell r="B30">
            <v>22</v>
          </cell>
          <cell r="C30" t="str">
            <v>KM</v>
          </cell>
          <cell r="D30">
            <v>120</v>
          </cell>
          <cell r="E30">
            <v>128</v>
          </cell>
          <cell r="F30">
            <v>165.2</v>
          </cell>
        </row>
        <row r="31">
          <cell r="A31">
            <v>28</v>
          </cell>
          <cell r="B31">
            <v>23</v>
          </cell>
          <cell r="C31" t="str">
            <v>KM</v>
          </cell>
          <cell r="D31">
            <v>122.5</v>
          </cell>
          <cell r="E31">
            <v>131</v>
          </cell>
          <cell r="F31">
            <v>169.25</v>
          </cell>
        </row>
        <row r="32">
          <cell r="A32">
            <v>29</v>
          </cell>
          <cell r="B32">
            <v>24</v>
          </cell>
          <cell r="C32" t="str">
            <v>KM</v>
          </cell>
          <cell r="D32">
            <v>125</v>
          </cell>
          <cell r="E32">
            <v>134</v>
          </cell>
          <cell r="F32">
            <v>173.3</v>
          </cell>
        </row>
        <row r="33">
          <cell r="A33">
            <v>30</v>
          </cell>
          <cell r="B33">
            <v>25</v>
          </cell>
          <cell r="C33" t="str">
            <v>KM</v>
          </cell>
          <cell r="D33">
            <v>127.5</v>
          </cell>
          <cell r="E33">
            <v>137</v>
          </cell>
          <cell r="F33">
            <v>177.35</v>
          </cell>
        </row>
        <row r="34">
          <cell r="A34">
            <v>31</v>
          </cell>
          <cell r="B34">
            <v>26</v>
          </cell>
          <cell r="C34" t="str">
            <v>KM</v>
          </cell>
          <cell r="D34">
            <v>130</v>
          </cell>
          <cell r="E34">
            <v>140</v>
          </cell>
          <cell r="F34">
            <v>181.4</v>
          </cell>
        </row>
        <row r="35">
          <cell r="A35">
            <v>32</v>
          </cell>
          <cell r="B35">
            <v>27</v>
          </cell>
          <cell r="C35" t="str">
            <v>KM</v>
          </cell>
          <cell r="D35">
            <v>132.5</v>
          </cell>
          <cell r="E35">
            <v>143</v>
          </cell>
          <cell r="F35">
            <v>185.45</v>
          </cell>
        </row>
        <row r="36">
          <cell r="A36">
            <v>33</v>
          </cell>
          <cell r="B36">
            <v>28</v>
          </cell>
          <cell r="C36" t="str">
            <v>KM</v>
          </cell>
          <cell r="D36">
            <v>135</v>
          </cell>
          <cell r="E36">
            <v>146</v>
          </cell>
          <cell r="F36">
            <v>189.5</v>
          </cell>
        </row>
        <row r="37">
          <cell r="A37">
            <v>34</v>
          </cell>
          <cell r="B37">
            <v>29</v>
          </cell>
          <cell r="C37" t="str">
            <v>KM</v>
          </cell>
          <cell r="D37">
            <v>137.5</v>
          </cell>
          <cell r="E37">
            <v>149</v>
          </cell>
          <cell r="F37">
            <v>193.55</v>
          </cell>
        </row>
        <row r="38">
          <cell r="A38">
            <v>35</v>
          </cell>
          <cell r="B38">
            <v>30</v>
          </cell>
          <cell r="C38" t="str">
            <v>KM</v>
          </cell>
          <cell r="D38">
            <v>140</v>
          </cell>
          <cell r="E38">
            <v>152</v>
          </cell>
          <cell r="F38">
            <v>197.6</v>
          </cell>
        </row>
        <row r="39">
          <cell r="A39">
            <v>36</v>
          </cell>
          <cell r="B39">
            <v>31</v>
          </cell>
          <cell r="C39" t="str">
            <v>KM</v>
          </cell>
          <cell r="D39">
            <v>142.5</v>
          </cell>
          <cell r="E39">
            <v>155</v>
          </cell>
          <cell r="F39">
            <v>201.65</v>
          </cell>
        </row>
        <row r="40">
          <cell r="A40">
            <v>37</v>
          </cell>
          <cell r="B40">
            <v>32</v>
          </cell>
          <cell r="C40" t="str">
            <v>KM</v>
          </cell>
          <cell r="D40">
            <v>145</v>
          </cell>
          <cell r="E40">
            <v>158</v>
          </cell>
          <cell r="F40">
            <v>205.7</v>
          </cell>
        </row>
        <row r="41">
          <cell r="A41">
            <v>38</v>
          </cell>
          <cell r="B41">
            <v>33</v>
          </cell>
          <cell r="C41" t="str">
            <v>KM</v>
          </cell>
          <cell r="D41">
            <v>147.5</v>
          </cell>
          <cell r="E41">
            <v>161</v>
          </cell>
          <cell r="F41">
            <v>209.75</v>
          </cell>
        </row>
        <row r="42">
          <cell r="A42">
            <v>39</v>
          </cell>
          <cell r="B42">
            <v>34</v>
          </cell>
          <cell r="C42" t="str">
            <v>KM</v>
          </cell>
          <cell r="D42">
            <v>150</v>
          </cell>
          <cell r="E42">
            <v>164</v>
          </cell>
          <cell r="F42">
            <v>213.8</v>
          </cell>
        </row>
        <row r="43">
          <cell r="A43">
            <v>40</v>
          </cell>
          <cell r="B43">
            <v>35</v>
          </cell>
          <cell r="C43" t="str">
            <v>KM</v>
          </cell>
          <cell r="D43">
            <v>152.5</v>
          </cell>
          <cell r="E43">
            <v>167</v>
          </cell>
          <cell r="F43">
            <v>217.85</v>
          </cell>
        </row>
        <row r="44">
          <cell r="A44">
            <v>41</v>
          </cell>
          <cell r="B44">
            <v>36</v>
          </cell>
          <cell r="C44" t="str">
            <v>KM</v>
          </cell>
          <cell r="D44">
            <v>155</v>
          </cell>
          <cell r="E44">
            <v>170</v>
          </cell>
          <cell r="F44">
            <v>221.9</v>
          </cell>
        </row>
        <row r="45">
          <cell r="A45">
            <v>42</v>
          </cell>
          <cell r="B45">
            <v>37</v>
          </cell>
          <cell r="C45" t="str">
            <v>KM</v>
          </cell>
          <cell r="D45">
            <v>157.5</v>
          </cell>
          <cell r="E45">
            <v>173</v>
          </cell>
          <cell r="F45">
            <v>225.95</v>
          </cell>
        </row>
        <row r="46">
          <cell r="A46">
            <v>43</v>
          </cell>
          <cell r="B46">
            <v>38</v>
          </cell>
          <cell r="C46" t="str">
            <v>KM</v>
          </cell>
          <cell r="D46">
            <v>160</v>
          </cell>
          <cell r="E46">
            <v>176</v>
          </cell>
          <cell r="F46">
            <v>230</v>
          </cell>
        </row>
        <row r="47">
          <cell r="A47">
            <v>44</v>
          </cell>
          <cell r="B47">
            <v>39</v>
          </cell>
          <cell r="C47" t="str">
            <v>KM</v>
          </cell>
          <cell r="D47">
            <v>162.5</v>
          </cell>
          <cell r="E47">
            <v>179</v>
          </cell>
          <cell r="F47">
            <v>234.05</v>
          </cell>
        </row>
        <row r="48">
          <cell r="A48">
            <v>45</v>
          </cell>
          <cell r="B48">
            <v>40</v>
          </cell>
          <cell r="C48" t="str">
            <v>KM</v>
          </cell>
          <cell r="D48">
            <v>165</v>
          </cell>
          <cell r="E48">
            <v>182</v>
          </cell>
          <cell r="F48">
            <v>238.1</v>
          </cell>
        </row>
        <row r="49">
          <cell r="A49">
            <v>46</v>
          </cell>
          <cell r="B49">
            <v>41</v>
          </cell>
          <cell r="C49" t="str">
            <v>KM</v>
          </cell>
          <cell r="D49">
            <v>167.5</v>
          </cell>
          <cell r="E49">
            <v>185</v>
          </cell>
          <cell r="F49">
            <v>242.15</v>
          </cell>
        </row>
        <row r="50">
          <cell r="A50">
            <v>47</v>
          </cell>
          <cell r="B50">
            <v>42</v>
          </cell>
          <cell r="C50" t="str">
            <v>KM</v>
          </cell>
          <cell r="D50">
            <v>170</v>
          </cell>
          <cell r="E50">
            <v>188</v>
          </cell>
          <cell r="F50">
            <v>246.2</v>
          </cell>
        </row>
        <row r="51">
          <cell r="A51">
            <v>48</v>
          </cell>
          <cell r="B51">
            <v>43</v>
          </cell>
          <cell r="C51" t="str">
            <v>KM</v>
          </cell>
          <cell r="D51">
            <v>172.5</v>
          </cell>
          <cell r="E51">
            <v>191</v>
          </cell>
          <cell r="F51">
            <v>250.25</v>
          </cell>
        </row>
        <row r="52">
          <cell r="A52">
            <v>49</v>
          </cell>
          <cell r="B52">
            <v>44</v>
          </cell>
          <cell r="C52" t="str">
            <v>KM</v>
          </cell>
          <cell r="D52">
            <v>175</v>
          </cell>
          <cell r="E52">
            <v>194</v>
          </cell>
          <cell r="F52">
            <v>254.3</v>
          </cell>
        </row>
        <row r="53">
          <cell r="A53">
            <v>50</v>
          </cell>
          <cell r="B53">
            <v>45</v>
          </cell>
          <cell r="C53" t="str">
            <v>KM</v>
          </cell>
          <cell r="D53">
            <v>177.5</v>
          </cell>
          <cell r="E53">
            <v>197</v>
          </cell>
          <cell r="F53">
            <v>258.35000000000002</v>
          </cell>
        </row>
      </sheetData>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sheetData sheetId="125"/>
      <sheetData sheetId="126"/>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
      <sheetName val="ESTIMATE"/>
      <sheetName val="Labour"/>
      <sheetName val="Material"/>
      <sheetName val="DATA-BASE"/>
      <sheetName val="Data"/>
      <sheetName val="DATA-ABSTRACT"/>
      <sheetName val="SUB-STN Bld Elec"/>
      <sheetName val="Secty Bld Elec"/>
      <sheetName val="G.Hostel-A elec"/>
      <sheetName val="G.Hostel-B elec"/>
      <sheetName val="K &amp; Dinning elec"/>
      <sheetName val="F. Housing-III &amp; IV elec)"/>
      <sheetName val="F. Housing-elec"/>
      <sheetName val="Principal qtrs- elec"/>
      <sheetName val="College - elec  "/>
      <sheetName val="El Data"/>
      <sheetName val="leads"/>
      <sheetName val="MRate"/>
      <sheetName val="LEAD (old)"/>
      <sheetName val="HDPE-pipe-rates"/>
      <sheetName val="pvc-pipe-rates"/>
      <sheetName val="Lead"/>
      <sheetName val="Plant &amp;  Machinery"/>
      <sheetName val="Data_Bit_I"/>
      <sheetName val="hdpe-rates"/>
      <sheetName val="hdpe weights"/>
      <sheetName val="ssr-rates"/>
      <sheetName val="pvc-rates"/>
      <sheetName val="PVC weights"/>
      <sheetName val="DATAS"/>
      <sheetName val="Road data"/>
      <sheetName val="Iocount"/>
      <sheetName val="labour-16-17"/>
      <sheetName val="dBase"/>
      <sheetName val="Sheet3"/>
      <sheetName val="Lead-2014-15"/>
      <sheetName val="labour &amp; Centering"/>
      <sheetName val="RMR"/>
      <sheetName val="Bridge Data 2005-06"/>
      <sheetName val="Mp-team 1"/>
      <sheetName val="MRATES"/>
      <sheetName val="R_Det"/>
      <sheetName val="Road Detail Est."/>
      <sheetName val="Sheet1 (2)"/>
      <sheetName val="COLUMN"/>
      <sheetName val="Process"/>
      <sheetName val="m"/>
      <sheetName val="Publicbuilding"/>
      <sheetName val="Wordsdata"/>
      <sheetName val="Sheet5"/>
      <sheetName val="Det.SC2"/>
      <sheetName val="Summary"/>
      <sheetName val="Gates and Pergola Data"/>
      <sheetName val="abs road"/>
      <sheetName val="Lead statement"/>
      <sheetName val="Estimate "/>
      <sheetName val="lead-st"/>
      <sheetName val="GF SB Ok "/>
      <sheetName val="DISCOUNT"/>
      <sheetName val="0000000000000"/>
      <sheetName val="Sheet9"/>
      <sheetName val="Rates"/>
      <sheetName val="PS1"/>
      <sheetName val="r"/>
      <sheetName val="l"/>
      <sheetName val="lead charges"/>
      <sheetName val="Specification"/>
      <sheetName val="Levels"/>
      <sheetName val="Cover"/>
      <sheetName val="C-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Data"/>
      <sheetName val="drain rm data"/>
      <sheetName val="LOWEST RATES"/>
      <sheetName val="leads"/>
      <sheetName val="drain_rm_data"/>
      <sheetName val="LOWEST_RATES"/>
      <sheetName val="drain_rm_data1"/>
      <sheetName val="LOWEST_RATES1"/>
      <sheetName val="Labour"/>
      <sheetName val="Material"/>
      <sheetName val="Plant &amp;  Machinery"/>
      <sheetName val="drain_rm_data2"/>
      <sheetName val="LOWEST_RATES2"/>
      <sheetName val="Plant_&amp;__Machinery"/>
      <sheetName val="Lookup"/>
      <sheetName val="maya"/>
      <sheetName val="ESTIMATE"/>
      <sheetName val="abs road"/>
      <sheetName val="Road data"/>
      <sheetName val="0000000000000"/>
      <sheetName val="Data_Bit_I"/>
      <sheetName val="R_Det"/>
      <sheetName val="Sheet1 (2)"/>
      <sheetName val="v"/>
      <sheetName val="Sheet1"/>
      <sheetName val="mlead"/>
      <sheetName val="banilad"/>
      <sheetName val="r"/>
      <sheetName val="sectorwise"/>
      <sheetName val="Quarry"/>
      <sheetName val="Plant 㫨  Machinery"/>
      <sheetName val="Plant_㫨__Machinery"/>
      <sheetName val="Nspt-smp-final-ORIGINAL"/>
      <sheetName val="Design_abf"/>
      <sheetName val="Pipe Areas"/>
      <sheetName val="Elc.Stnd.Data-18-19-final "/>
      <sheetName val="Elc.Stnd.Data-17-18 "/>
      <sheetName val="Rates"/>
      <sheetName val="Av.G Level"/>
      <sheetName val="Sheet2"/>
      <sheetName val="MRATES"/>
      <sheetName val="GROUND"/>
      <sheetName val="SECOND"/>
      <sheetName val="Convey"/>
      <sheetName val="m"/>
      <sheetName val="COVER"/>
      <sheetName val="CD Data"/>
      <sheetName val="drain_rm_data3"/>
      <sheetName val="LOWEST_RATES3"/>
      <sheetName val="Plant_&amp;__Machinery1"/>
      <sheetName val="abs_road"/>
      <sheetName val="Road_data"/>
      <sheetName val="Sheet1_(2)"/>
      <sheetName val="Data 07-08 "/>
      <sheetName val="Rate Analysis"/>
      <sheetName val="rdamdata"/>
      <sheetName val="lead-st"/>
      <sheetName val="Levels"/>
      <sheetName val="Road Detail Est."/>
      <sheetName val="HEAD"/>
      <sheetName val="Input"/>
      <sheetName val="data existing_do not delete"/>
      <sheetName val="drain_rm_data4"/>
      <sheetName val="LOWEST_RATES4"/>
      <sheetName val="Plant_&amp;__Machinery2"/>
      <sheetName val="abs_road1"/>
      <sheetName val="Road_data1"/>
      <sheetName val="elect."/>
      <sheetName val="DETAILED  BOQ"/>
      <sheetName val="steel SF (slab-2)"/>
      <sheetName val="hdpe weights"/>
      <sheetName val="HS 1 BPT (2)all bpts"/>
      <sheetName val="final abstract"/>
      <sheetName val="Elc.Stnd.Data-18-19"/>
      <sheetName val="Sheet3"/>
      <sheetName val="nodes"/>
      <sheetName val="ssr-rates"/>
      <sheetName val="ww-march-02"/>
      <sheetName val="Flight-1"/>
      <sheetName val="LEAD STATEMENT"/>
      <sheetName val="Elc.Stnd.Data-17-18-final "/>
      <sheetName val="Cut Off Statement"/>
      <sheetName val="labour &amp; Centering"/>
      <sheetName val="GA"/>
      <sheetName val="Specification"/>
      <sheetName val="Road data.PS"/>
      <sheetName val="eligibilty"/>
      <sheetName val="RMR"/>
      <sheetName val="Lead-2014-15"/>
      <sheetName val="Sheet1_(2)1"/>
      <sheetName val="Plant_㫨__Machinery1"/>
      <sheetName val="Pipe_Areas"/>
      <sheetName val="Elc_Stnd_Data-18-19-final_"/>
      <sheetName val="Elc_Stnd_Data-17-18_"/>
      <sheetName val="Av_G_Level"/>
      <sheetName val="CD_Data"/>
      <sheetName val="l"/>
      <sheetName val="Part-A"/>
      <sheetName val="coverpage"/>
      <sheetName val="habs-list"/>
      <sheetName val="int-Dia"/>
      <sheetName val="Lead 09-10"/>
      <sheetName val="detls"/>
      <sheetName val="Bitumen trunk"/>
      <sheetName val="Feeder"/>
      <sheetName val="R99 etc"/>
      <sheetName val="Trunk unpaved"/>
      <sheetName val="HDPE-pipe-rates"/>
      <sheetName val="pvc-pipe-rates"/>
      <sheetName val="DATA_PRG"/>
      <sheetName val="HS final-2"/>
      <sheetName val="FORM7"/>
      <sheetName val="Elc.data-20-21"/>
      <sheetName val="data- Civil"/>
      <sheetName val="2a.Est. Drainage System"/>
      <sheetName val="data- MS Gates &amp; Grills"/>
      <sheetName val="MS-Truss data"/>
      <sheetName val="SPT vs PHI"/>
      <sheetName val="Abs"/>
      <sheetName val="DATA-BASE"/>
      <sheetName val="DATA-ABSTRACT"/>
      <sheetName val="HS 30.04.2015.Final"/>
      <sheetName val="ID"/>
      <sheetName val="HDPE"/>
      <sheetName val="Sheet9"/>
      <sheetName val="HS 1"/>
      <sheetName val="zone-8"/>
      <sheetName val="MHNO_LEV"/>
      <sheetName val="ewst"/>
      <sheetName val="int-Dia-hdpe"/>
      <sheetName val="PVC"/>
      <sheetName val="Detailed"/>
      <sheetName val="Wordsdata"/>
      <sheetName val="segments-details"/>
      <sheetName val="int-Dia-pvc"/>
      <sheetName val="Sheet5"/>
      <sheetName val="Data o"/>
      <sheetName val="TS memo"/>
      <sheetName val="mlead "/>
      <sheetName val="data1"/>
      <sheetName val="dBase"/>
      <sheetName val="stone"/>
      <sheetName val="index"/>
      <sheetName val="PROCTOR"/>
      <sheetName val="narsib~1"/>
      <sheetName val="SUMP1420KL@HW"/>
      <sheetName val="Mp-team 1"/>
      <sheetName val="Staff Acco."/>
      <sheetName val="mas_hab"/>
      <sheetName val="3405-2014"/>
      <sheetName val="wh_data_R"/>
      <sheetName val="wh_data"/>
      <sheetName val="CPHEEO"/>
    </sheetNames>
    <sheetDataSet>
      <sheetData sheetId="0" refreshError="1">
        <row r="7">
          <cell r="N7">
            <v>2424</v>
          </cell>
        </row>
        <row r="9">
          <cell r="N9">
            <v>431.64499999999998</v>
          </cell>
        </row>
        <row r="26">
          <cell r="N26">
            <v>295.47500000000002</v>
          </cell>
        </row>
        <row r="28">
          <cell r="N28">
            <v>340.47500000000002</v>
          </cell>
        </row>
      </sheetData>
      <sheetData sheetId="1"/>
      <sheetData sheetId="2"/>
      <sheetData sheetId="3"/>
      <sheetData sheetId="4" refreshError="1"/>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Sheet1"/>
      <sheetName val="Data"/>
      <sheetName val="Lookup"/>
      <sheetName val="Material"/>
      <sheetName val="Plant &amp;  Machinery"/>
      <sheetName val="leads"/>
      <sheetName val="ESTIMATE"/>
      <sheetName val="Data_Bit_I"/>
      <sheetName val="Labour"/>
      <sheetName val="abs road"/>
      <sheetName val="Road data"/>
      <sheetName val="Levels"/>
    </sheetNames>
    <sheetDataSet>
      <sheetData sheetId="0">
        <row r="20">
          <cell r="O20">
            <v>330.6</v>
          </cell>
        </row>
      </sheetData>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Lead"/>
      <sheetName val="DATA"/>
      <sheetName val="Lookup"/>
      <sheetName val="ESTIMATE"/>
      <sheetName val="PRECAST lightconc-II"/>
      <sheetName val="materials"/>
      <sheetName val="Data_Bit_I"/>
      <sheetName val="Lead(4380)"/>
      <sheetName val="leads"/>
      <sheetName val="OHSR Design"/>
      <sheetName val="Plant_&amp;__Machinery"/>
      <sheetName val="Summary_of_Rates"/>
      <sheetName val="Basic_Approach"/>
      <sheetName val="temp-SDData (2)"/>
      <sheetName val="Convey"/>
      <sheetName val="maya"/>
      <sheetName val="Plant_&amp;__Machinery3"/>
      <sheetName val="Summary_of_Rates3"/>
      <sheetName val="Basic_Approach3"/>
      <sheetName val="Plant_&amp;__Machinery1"/>
      <sheetName val="Summary_of_Rates1"/>
      <sheetName val="Basic_Approach1"/>
      <sheetName val="Plant_&amp;__Machinery2"/>
      <sheetName val="Summary_of_Rates2"/>
      <sheetName val="Basic_Approach2"/>
      <sheetName val="coverpage"/>
      <sheetName val="RMR"/>
      <sheetName val="Road data"/>
      <sheetName val="c.d.abs.est."/>
      <sheetName val="DATA_PRG"/>
      <sheetName val="Lead 09-10"/>
      <sheetName val="Existing"/>
      <sheetName val="Rates"/>
      <sheetName val="Sheet3"/>
      <sheetName val="Newabstract"/>
      <sheetName val="mas_hab"/>
      <sheetName val="abs road"/>
    </sheetNames>
    <sheetDataSet>
      <sheetData sheetId="0"/>
      <sheetData sheetId="1"/>
      <sheetData sheetId="2" refreshError="1">
        <row r="25">
          <cell r="G25" t="str">
            <v>Input Rate</v>
          </cell>
        </row>
        <row r="49">
          <cell r="G49" t="str">
            <v>Input Rate</v>
          </cell>
        </row>
      </sheetData>
      <sheetData sheetId="3"/>
      <sheetData sheetId="4" refreshError="1">
        <row r="21">
          <cell r="D21" t="str">
            <v>Input Rate</v>
          </cell>
        </row>
        <row r="22">
          <cell r="D22" t="str">
            <v>Input Rate</v>
          </cell>
        </row>
        <row r="24">
          <cell r="D24" t="str">
            <v>Input Rate</v>
          </cell>
        </row>
        <row r="25">
          <cell r="D25" t="str">
            <v>Input Rate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sheetData sheetId="59"/>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row r="5">
          <cell r="G5">
            <v>6328</v>
          </cell>
        </row>
        <row r="8">
          <cell r="G8">
            <v>120</v>
          </cell>
        </row>
        <row r="10">
          <cell r="G10">
            <v>692</v>
          </cell>
        </row>
        <row r="19">
          <cell r="G19">
            <v>230</v>
          </cell>
        </row>
        <row r="21">
          <cell r="G21">
            <v>1700</v>
          </cell>
        </row>
        <row r="24">
          <cell r="G24">
            <v>6328</v>
          </cell>
        </row>
        <row r="51">
          <cell r="G51">
            <v>754</v>
          </cell>
        </row>
      </sheetData>
      <sheetData sheetId="3" refreshError="1"/>
      <sheetData sheetId="4" refreshError="1">
        <row r="14">
          <cell r="D14" t="str">
            <v>Input Rate</v>
          </cell>
        </row>
        <row r="15">
          <cell r="D15" t="str">
            <v>Input Rate</v>
          </cell>
        </row>
        <row r="16">
          <cell r="D16" t="str">
            <v>Input Rate</v>
          </cell>
        </row>
        <row r="39">
          <cell r="D39" t="str">
            <v>Input Rate</v>
          </cell>
        </row>
        <row r="40">
          <cell r="D40" t="str">
            <v>Input Rate</v>
          </cell>
        </row>
        <row r="41">
          <cell r="D41" t="str">
            <v>Input Rate</v>
          </cell>
        </row>
        <row r="44">
          <cell r="D44" t="str">
            <v>Input Rate</v>
          </cell>
        </row>
        <row r="61">
          <cell r="D61" t="str">
            <v>Input Rate</v>
          </cell>
        </row>
        <row r="64">
          <cell r="D64" t="str">
            <v>Input Rate</v>
          </cell>
        </row>
        <row r="65">
          <cell r="D65" t="str">
            <v>Input Rate</v>
          </cell>
        </row>
        <row r="66">
          <cell r="D66" t="str">
            <v>Input Rate</v>
          </cell>
        </row>
        <row r="67">
          <cell r="D67" t="str">
            <v>Input Rate</v>
          </cell>
        </row>
        <row r="89">
          <cell r="D89" t="str">
            <v>Input Rate</v>
          </cell>
        </row>
        <row r="91">
          <cell r="D91" t="str">
            <v>Input Rate</v>
          </cell>
        </row>
        <row r="92">
          <cell r="D92" t="str">
            <v>Input Rate</v>
          </cell>
        </row>
        <row r="133">
          <cell r="D133" t="str">
            <v>Input Rate</v>
          </cell>
        </row>
        <row r="135">
          <cell r="D135" t="str">
            <v>Input Rate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yance "/>
      <sheetName val="Civil-SOR"/>
      <sheetName val="ABS."/>
      <sheetName val="Abatract "/>
      <sheetName val="Dial.Civl"/>
      <sheetName val="CIVIL-Estimate"/>
      <sheetName val="Sheet2"/>
      <sheetName val="C-data"/>
      <sheetName val="WS-Estimate "/>
      <sheetName val="Estimate Ele."/>
      <sheetName val="HOSP-ELE-DET"/>
      <sheetName val="Elec-Datas"/>
      <sheetName val="Compound wall "/>
      <sheetName val="CC raod data"/>
      <sheetName val="CC ROAD."/>
      <sheetName val="Input"/>
      <sheetName val="LEAD"/>
      <sheetName val="Joinery"/>
      <sheetName val="WS-SoR"/>
      <sheetName val="WS SoR "/>
      <sheetName val="WS Data"/>
      <sheetName val="Sheet1"/>
      <sheetName val="Civil SoR"/>
      <sheetName val="Material"/>
      <sheetName val="Plant &amp;  Machinery"/>
      <sheetName val="p&amp;m"/>
      <sheetName val="comp-st(GEN)"/>
      <sheetName val="DATA"/>
      <sheetName val="Rates"/>
      <sheetName val="r"/>
      <sheetName val="leads"/>
      <sheetName va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6">
          <cell r="D36">
            <v>0</v>
          </cell>
        </row>
      </sheetData>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Material"/>
      <sheetName val="Plant &amp;  Machinery"/>
      <sheetName val="Lead"/>
      <sheetName val="Leads"/>
      <sheetName val="Lookup"/>
      <sheetName val="Input"/>
      <sheetName val="ESTIMATE"/>
      <sheetName val="Labour"/>
      <sheetName val="Legal Risk Analysis"/>
      <sheetName val="elec-data"/>
      <sheetName val="DATA_PRG"/>
      <sheetName val="v"/>
      <sheetName val="r"/>
      <sheetName val="Data 07-08 "/>
      <sheetName val="Data_Bit_I"/>
      <sheetName val="Sheet1"/>
      <sheetName val="lead-st"/>
      <sheetName val="rdamdata"/>
      <sheetName val="Iocount"/>
      <sheetName val="abs road"/>
      <sheetName val="coverpage"/>
      <sheetName val="Road data"/>
      <sheetName val="p&amp;m"/>
      <sheetName val="Boq - Flats"/>
      <sheetName val="GEN-ABS Del"/>
      <sheetName val="Bitumen trunk"/>
      <sheetName val="Feeder"/>
      <sheetName val="R99 etc"/>
      <sheetName val="Trunk unpaved"/>
      <sheetName val="Data_Base"/>
      <sheetName val="Plant_&amp;__Machinery"/>
      <sheetName val="Legal_Risk_Analysis"/>
      <sheetName val="Data_07-08_"/>
      <sheetName val="abs_road"/>
      <sheetName val="Road_data"/>
      <sheetName val=" datas"/>
      <sheetName val="mas_hab"/>
      <sheetName val="Rates"/>
      <sheetName val="Lead-2014-15"/>
    </sheetNames>
    <sheetDataSet>
      <sheetData sheetId="0" refreshError="1">
        <row r="67">
          <cell r="H67">
            <v>1410.4611040000002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ilets"/>
      <sheetName val="Lead"/>
      <sheetName val="GAB"/>
      <sheetName val="Building"/>
      <sheetName val="Leads"/>
      <sheetName val="Datas"/>
      <sheetName val="DATA"/>
      <sheetName val="Material"/>
      <sheetName val="Plant &amp;  Machinery"/>
      <sheetName val="Rates"/>
      <sheetName val="Legal Risk Analysis"/>
      <sheetName val="Rates SSR 2008-09"/>
      <sheetName val="RMR"/>
      <sheetName val="elec-data"/>
      <sheetName val="Input"/>
      <sheetName val="abs road"/>
      <sheetName val="R_Det"/>
      <sheetName val="Road data"/>
      <sheetName val="mas_hab"/>
      <sheetName val="MRATES"/>
      <sheetName val="Sheet3"/>
      <sheetName val="data existing_do not delete"/>
      <sheetName val="Data_Bit_I"/>
      <sheetName val="p&amp;m"/>
      <sheetName val="Specification"/>
      <sheetName val="Labour"/>
      <sheetName val="Data 07-08 "/>
      <sheetName val="lead statement"/>
    </sheetNames>
    <sheetDataSet>
      <sheetData sheetId="0"/>
      <sheetData sheetId="1"/>
      <sheetData sheetId="2"/>
      <sheetData sheetId="3"/>
      <sheetData sheetId="4">
        <row r="13">
          <cell r="C13" t="str">
            <v>sand</v>
          </cell>
          <cell r="D13" t="str">
            <v>Metal</v>
          </cell>
        </row>
        <row r="14">
          <cell r="B14">
            <v>1</v>
          </cell>
          <cell r="C14">
            <v>20.115243</v>
          </cell>
          <cell r="D14">
            <v>17.684649</v>
          </cell>
        </row>
        <row r="15">
          <cell r="B15">
            <v>2</v>
          </cell>
          <cell r="C15">
            <v>28.161340199999994</v>
          </cell>
          <cell r="D15">
            <v>24.758508599999999</v>
          </cell>
        </row>
        <row r="16">
          <cell r="B16">
            <v>3</v>
          </cell>
          <cell r="C16">
            <v>37.548453600000002</v>
          </cell>
          <cell r="D16">
            <v>37.548453600000002</v>
          </cell>
        </row>
        <row r="17">
          <cell r="B17">
            <v>4</v>
          </cell>
          <cell r="C17">
            <v>45.5945508</v>
          </cell>
          <cell r="D17">
            <v>45.5945508</v>
          </cell>
        </row>
        <row r="18">
          <cell r="B18">
            <v>5</v>
          </cell>
          <cell r="C18">
            <v>53.640648000000013</v>
          </cell>
          <cell r="D18">
            <v>53.640648000000013</v>
          </cell>
        </row>
        <row r="19">
          <cell r="B19">
            <v>6</v>
          </cell>
          <cell r="C19">
            <v>61.69064800000001</v>
          </cell>
          <cell r="D19">
            <v>61.69064800000001</v>
          </cell>
        </row>
        <row r="20">
          <cell r="B20">
            <v>7</v>
          </cell>
          <cell r="C20">
            <v>69.740648000000007</v>
          </cell>
          <cell r="D20">
            <v>69.740648000000007</v>
          </cell>
        </row>
        <row r="21">
          <cell r="B21">
            <v>8</v>
          </cell>
          <cell r="C21">
            <v>77.790648000000004</v>
          </cell>
          <cell r="D21">
            <v>77.790648000000004</v>
          </cell>
        </row>
        <row r="22">
          <cell r="B22">
            <v>9</v>
          </cell>
          <cell r="C22">
            <v>85.840648000000002</v>
          </cell>
          <cell r="D22">
            <v>85.840648000000002</v>
          </cell>
        </row>
        <row r="23">
          <cell r="B23">
            <v>10</v>
          </cell>
          <cell r="C23">
            <v>93.890647999999999</v>
          </cell>
          <cell r="D23">
            <v>93.890647999999999</v>
          </cell>
        </row>
        <row r="24">
          <cell r="B24">
            <v>11</v>
          </cell>
          <cell r="C24">
            <v>101.940648</v>
          </cell>
          <cell r="D24">
            <v>101.940648</v>
          </cell>
        </row>
        <row r="25">
          <cell r="B25">
            <v>12</v>
          </cell>
          <cell r="C25">
            <v>109.99064799999999</v>
          </cell>
          <cell r="D25">
            <v>109.99064799999999</v>
          </cell>
        </row>
        <row r="26">
          <cell r="B26">
            <v>13</v>
          </cell>
          <cell r="C26">
            <v>118.04064799999999</v>
          </cell>
          <cell r="D26">
            <v>118.04064799999999</v>
          </cell>
        </row>
        <row r="27">
          <cell r="B27">
            <v>14</v>
          </cell>
          <cell r="C27">
            <v>126.09064799999999</v>
          </cell>
          <cell r="D27">
            <v>126.09064799999999</v>
          </cell>
        </row>
        <row r="28">
          <cell r="B28">
            <v>15</v>
          </cell>
          <cell r="C28">
            <v>134.140648</v>
          </cell>
          <cell r="D28">
            <v>134.140648</v>
          </cell>
        </row>
        <row r="29">
          <cell r="B29">
            <v>16</v>
          </cell>
          <cell r="C29">
            <v>142.19064800000001</v>
          </cell>
          <cell r="D29">
            <v>142.19064800000001</v>
          </cell>
        </row>
        <row r="30">
          <cell r="B30">
            <v>17</v>
          </cell>
          <cell r="C30">
            <v>150.24064800000002</v>
          </cell>
          <cell r="D30">
            <v>150.24064800000002</v>
          </cell>
        </row>
        <row r="31">
          <cell r="B31">
            <v>18</v>
          </cell>
          <cell r="C31">
            <v>158.29064800000003</v>
          </cell>
          <cell r="D31">
            <v>158.29064800000003</v>
          </cell>
        </row>
        <row r="32">
          <cell r="B32">
            <v>19</v>
          </cell>
          <cell r="C32">
            <v>166.34064800000004</v>
          </cell>
          <cell r="D32">
            <v>166.34064800000004</v>
          </cell>
        </row>
        <row r="33">
          <cell r="B33">
            <v>20</v>
          </cell>
          <cell r="C33">
            <v>174.39064800000006</v>
          </cell>
          <cell r="D33">
            <v>174.39064800000006</v>
          </cell>
        </row>
        <row r="34">
          <cell r="B34">
            <v>21</v>
          </cell>
          <cell r="C34">
            <v>182.44064800000007</v>
          </cell>
          <cell r="D34">
            <v>182.44064800000007</v>
          </cell>
        </row>
        <row r="35">
          <cell r="B35">
            <v>22</v>
          </cell>
          <cell r="C35">
            <v>190.49064800000008</v>
          </cell>
          <cell r="D35">
            <v>190.49064800000008</v>
          </cell>
        </row>
        <row r="36">
          <cell r="B36">
            <v>23</v>
          </cell>
          <cell r="C36">
            <v>198.54064800000009</v>
          </cell>
          <cell r="D36">
            <v>198.54064800000009</v>
          </cell>
        </row>
        <row r="37">
          <cell r="B37">
            <v>24</v>
          </cell>
          <cell r="C37">
            <v>206.5906480000001</v>
          </cell>
          <cell r="D37">
            <v>206.5906480000001</v>
          </cell>
        </row>
        <row r="38">
          <cell r="B38">
            <v>25</v>
          </cell>
          <cell r="C38">
            <v>214.64064800000011</v>
          </cell>
          <cell r="D38">
            <v>214.64064800000011</v>
          </cell>
        </row>
        <row r="39">
          <cell r="B39">
            <v>26</v>
          </cell>
          <cell r="C39">
            <v>222.69064800000012</v>
          </cell>
          <cell r="D39">
            <v>222.69064800000012</v>
          </cell>
        </row>
        <row r="40">
          <cell r="B40">
            <v>27</v>
          </cell>
          <cell r="C40">
            <v>230.74064800000014</v>
          </cell>
          <cell r="D40">
            <v>230.74064800000014</v>
          </cell>
        </row>
        <row r="41">
          <cell r="B41">
            <v>28</v>
          </cell>
          <cell r="C41">
            <v>238.79064800000015</v>
          </cell>
          <cell r="D41">
            <v>238.79064800000015</v>
          </cell>
        </row>
        <row r="42">
          <cell r="B42">
            <v>29</v>
          </cell>
          <cell r="C42">
            <v>246.84064800000016</v>
          </cell>
          <cell r="D42">
            <v>246.84064800000016</v>
          </cell>
        </row>
        <row r="43">
          <cell r="B43">
            <v>30</v>
          </cell>
          <cell r="C43">
            <v>254.89064800000017</v>
          </cell>
          <cell r="D43">
            <v>254.89064800000017</v>
          </cell>
        </row>
        <row r="44">
          <cell r="B44">
            <v>31</v>
          </cell>
          <cell r="C44">
            <v>261.60064800000015</v>
          </cell>
          <cell r="D44">
            <v>261.60064800000015</v>
          </cell>
        </row>
        <row r="45">
          <cell r="B45">
            <v>32</v>
          </cell>
          <cell r="C45">
            <v>268.31064800000013</v>
          </cell>
          <cell r="D45">
            <v>268.31064800000013</v>
          </cell>
        </row>
        <row r="46">
          <cell r="B46">
            <v>33</v>
          </cell>
          <cell r="C46">
            <v>275.02064800000011</v>
          </cell>
          <cell r="D46">
            <v>275.02064800000011</v>
          </cell>
        </row>
        <row r="47">
          <cell r="B47">
            <v>34</v>
          </cell>
          <cell r="C47">
            <v>281.73064800000009</v>
          </cell>
          <cell r="D47">
            <v>281.73064800000009</v>
          </cell>
        </row>
        <row r="48">
          <cell r="B48">
            <v>35</v>
          </cell>
          <cell r="C48">
            <v>288.44064800000007</v>
          </cell>
          <cell r="D48">
            <v>288.44064800000007</v>
          </cell>
        </row>
        <row r="49">
          <cell r="B49">
            <v>36</v>
          </cell>
          <cell r="C49">
            <v>295.15064800000005</v>
          </cell>
          <cell r="D49">
            <v>295.15064800000005</v>
          </cell>
        </row>
        <row r="50">
          <cell r="B50">
            <v>37</v>
          </cell>
          <cell r="C50">
            <v>301.86064800000003</v>
          </cell>
          <cell r="D50">
            <v>301.86064800000003</v>
          </cell>
        </row>
        <row r="51">
          <cell r="B51">
            <v>38</v>
          </cell>
          <cell r="C51">
            <v>308.57064800000001</v>
          </cell>
          <cell r="D51">
            <v>308.57064800000001</v>
          </cell>
        </row>
        <row r="52">
          <cell r="B52">
            <v>39</v>
          </cell>
          <cell r="C52">
            <v>315.28064799999999</v>
          </cell>
          <cell r="D52">
            <v>315.28064799999999</v>
          </cell>
        </row>
        <row r="53">
          <cell r="B53">
            <v>40</v>
          </cell>
          <cell r="C53">
            <v>321.99064799999996</v>
          </cell>
          <cell r="D53">
            <v>321.99064799999996</v>
          </cell>
        </row>
        <row r="54">
          <cell r="B54">
            <v>41</v>
          </cell>
          <cell r="C54">
            <v>328.70064799999994</v>
          </cell>
          <cell r="D54">
            <v>328.70064799999994</v>
          </cell>
        </row>
        <row r="55">
          <cell r="B55">
            <v>42</v>
          </cell>
          <cell r="C55">
            <v>335.41064799999992</v>
          </cell>
          <cell r="D55">
            <v>335.41064799999992</v>
          </cell>
        </row>
        <row r="56">
          <cell r="B56">
            <v>43</v>
          </cell>
          <cell r="C56">
            <v>342.1206479999999</v>
          </cell>
          <cell r="D56">
            <v>342.1206479999999</v>
          </cell>
        </row>
        <row r="57">
          <cell r="B57">
            <v>44</v>
          </cell>
          <cell r="C57">
            <v>348.83064799999988</v>
          </cell>
          <cell r="D57">
            <v>348.83064799999988</v>
          </cell>
        </row>
        <row r="58">
          <cell r="B58">
            <v>45</v>
          </cell>
          <cell r="C58">
            <v>355.54064799999986</v>
          </cell>
          <cell r="D58">
            <v>355.54064799999986</v>
          </cell>
        </row>
        <row r="59">
          <cell r="B59">
            <v>46</v>
          </cell>
          <cell r="C59">
            <v>362.25064799999984</v>
          </cell>
          <cell r="D59">
            <v>362.25064799999984</v>
          </cell>
        </row>
        <row r="60">
          <cell r="B60">
            <v>47</v>
          </cell>
          <cell r="C60">
            <v>368.96064799999982</v>
          </cell>
          <cell r="D60">
            <v>368.96064799999982</v>
          </cell>
        </row>
        <row r="61">
          <cell r="B61">
            <v>48</v>
          </cell>
          <cell r="C61">
            <v>375.6706479999998</v>
          </cell>
          <cell r="D61">
            <v>375.6706479999998</v>
          </cell>
        </row>
        <row r="62">
          <cell r="B62">
            <v>49</v>
          </cell>
          <cell r="C62">
            <v>382.38064799999978</v>
          </cell>
          <cell r="D62">
            <v>382.38064799999978</v>
          </cell>
        </row>
        <row r="63">
          <cell r="B63">
            <v>50</v>
          </cell>
          <cell r="C63">
            <v>389.09064799999976</v>
          </cell>
          <cell r="D63">
            <v>389.09064799999976</v>
          </cell>
        </row>
        <row r="64">
          <cell r="B64">
            <v>51</v>
          </cell>
          <cell r="C64">
            <v>395.80064799999974</v>
          </cell>
          <cell r="D64">
            <v>395.80064799999974</v>
          </cell>
        </row>
        <row r="65">
          <cell r="B65">
            <v>52</v>
          </cell>
          <cell r="C65">
            <v>402.51064799999972</v>
          </cell>
          <cell r="D65">
            <v>402.51064799999972</v>
          </cell>
        </row>
        <row r="66">
          <cell r="B66">
            <v>53</v>
          </cell>
          <cell r="C66">
            <v>409.2206479999997</v>
          </cell>
          <cell r="D66">
            <v>409.2206479999997</v>
          </cell>
        </row>
        <row r="67">
          <cell r="B67">
            <v>54</v>
          </cell>
          <cell r="C67">
            <v>415.93064799999968</v>
          </cell>
          <cell r="D67">
            <v>415.93064799999968</v>
          </cell>
        </row>
        <row r="68">
          <cell r="B68">
            <v>55</v>
          </cell>
          <cell r="C68">
            <v>422.64064799999966</v>
          </cell>
          <cell r="D68">
            <v>422.64064799999966</v>
          </cell>
        </row>
        <row r="69">
          <cell r="B69">
            <v>56</v>
          </cell>
          <cell r="C69">
            <v>429.35064799999964</v>
          </cell>
          <cell r="D69">
            <v>429.35064799999964</v>
          </cell>
        </row>
        <row r="70">
          <cell r="B70">
            <v>57</v>
          </cell>
          <cell r="C70">
            <v>436.06064799999962</v>
          </cell>
          <cell r="D70">
            <v>436.06064799999962</v>
          </cell>
        </row>
        <row r="71">
          <cell r="B71">
            <v>58</v>
          </cell>
          <cell r="C71">
            <v>442.7706479999996</v>
          </cell>
          <cell r="D71">
            <v>442.7706479999996</v>
          </cell>
        </row>
        <row r="72">
          <cell r="B72">
            <v>59</v>
          </cell>
          <cell r="C72">
            <v>449.48064799999958</v>
          </cell>
          <cell r="D72">
            <v>449.48064799999958</v>
          </cell>
        </row>
        <row r="73">
          <cell r="B73">
            <v>60</v>
          </cell>
          <cell r="C73">
            <v>456.19064799999956</v>
          </cell>
          <cell r="D73">
            <v>456.19064799999956</v>
          </cell>
        </row>
        <row r="74">
          <cell r="B74">
            <v>61</v>
          </cell>
          <cell r="C74">
            <v>462.90064799999953</v>
          </cell>
          <cell r="D74">
            <v>462.90064799999953</v>
          </cell>
        </row>
        <row r="75">
          <cell r="B75">
            <v>62</v>
          </cell>
          <cell r="C75">
            <v>469.61064799999951</v>
          </cell>
          <cell r="D75">
            <v>469.61064799999951</v>
          </cell>
        </row>
        <row r="76">
          <cell r="B76">
            <v>63</v>
          </cell>
          <cell r="C76">
            <v>476.32064799999949</v>
          </cell>
          <cell r="D76">
            <v>476.32064799999949</v>
          </cell>
        </row>
        <row r="77">
          <cell r="B77">
            <v>64</v>
          </cell>
          <cell r="C77">
            <v>483.03064799999947</v>
          </cell>
          <cell r="D77">
            <v>483.03064799999947</v>
          </cell>
        </row>
        <row r="78">
          <cell r="B78">
            <v>65</v>
          </cell>
          <cell r="C78">
            <v>489.74064799999945</v>
          </cell>
          <cell r="D78">
            <v>489.74064799999945</v>
          </cell>
        </row>
        <row r="79">
          <cell r="B79">
            <v>66</v>
          </cell>
          <cell r="C79">
            <v>496.45064799999943</v>
          </cell>
          <cell r="D79">
            <v>496.45064799999943</v>
          </cell>
        </row>
        <row r="80">
          <cell r="B80">
            <v>67</v>
          </cell>
          <cell r="C80">
            <v>503.16064799999941</v>
          </cell>
          <cell r="D80">
            <v>503.16064799999941</v>
          </cell>
        </row>
        <row r="81">
          <cell r="B81">
            <v>68</v>
          </cell>
          <cell r="C81">
            <v>509.87064799999939</v>
          </cell>
          <cell r="D81">
            <v>509.87064799999939</v>
          </cell>
        </row>
        <row r="82">
          <cell r="B82">
            <v>69</v>
          </cell>
          <cell r="C82">
            <v>516.58064799999943</v>
          </cell>
          <cell r="D82">
            <v>516.58064799999943</v>
          </cell>
        </row>
        <row r="83">
          <cell r="B83">
            <v>70</v>
          </cell>
          <cell r="C83">
            <v>523.29064799999946</v>
          </cell>
          <cell r="D83">
            <v>523.29064799999946</v>
          </cell>
        </row>
        <row r="84">
          <cell r="B84">
            <v>71</v>
          </cell>
          <cell r="C84">
            <v>530.0006479999995</v>
          </cell>
          <cell r="D84">
            <v>530.0006479999995</v>
          </cell>
        </row>
        <row r="85">
          <cell r="B85">
            <v>72</v>
          </cell>
          <cell r="C85">
            <v>536.71064799999954</v>
          </cell>
          <cell r="D85">
            <v>536.71064799999954</v>
          </cell>
        </row>
        <row r="86">
          <cell r="B86">
            <v>73</v>
          </cell>
          <cell r="C86">
            <v>543.42064799999957</v>
          </cell>
          <cell r="D86">
            <v>543.42064799999957</v>
          </cell>
        </row>
        <row r="87">
          <cell r="B87">
            <v>74</v>
          </cell>
          <cell r="C87">
            <v>550.13064799999961</v>
          </cell>
          <cell r="D87">
            <v>550.13064799999961</v>
          </cell>
        </row>
        <row r="88">
          <cell r="B88">
            <v>75</v>
          </cell>
          <cell r="C88">
            <v>556.84064799999965</v>
          </cell>
          <cell r="D88">
            <v>556.84064799999965</v>
          </cell>
        </row>
        <row r="89">
          <cell r="B89">
            <v>76</v>
          </cell>
          <cell r="C89">
            <v>563.55064799999968</v>
          </cell>
          <cell r="D89">
            <v>563.55064799999968</v>
          </cell>
        </row>
        <row r="90">
          <cell r="B90">
            <v>77</v>
          </cell>
          <cell r="C90">
            <v>570.26064799999972</v>
          </cell>
          <cell r="D90">
            <v>570.26064799999972</v>
          </cell>
        </row>
        <row r="91">
          <cell r="B91">
            <v>78</v>
          </cell>
          <cell r="C91">
            <v>576.97064799999976</v>
          </cell>
          <cell r="D91">
            <v>576.97064799999976</v>
          </cell>
        </row>
        <row r="92">
          <cell r="B92">
            <v>79</v>
          </cell>
          <cell r="C92">
            <v>583.68064799999979</v>
          </cell>
          <cell r="D92">
            <v>583.68064799999979</v>
          </cell>
        </row>
        <row r="93">
          <cell r="B93">
            <v>80</v>
          </cell>
          <cell r="C93">
            <v>590.39064799999983</v>
          </cell>
          <cell r="D93">
            <v>590.39064799999983</v>
          </cell>
        </row>
        <row r="94">
          <cell r="B94">
            <v>81</v>
          </cell>
          <cell r="C94">
            <v>597.10064799999986</v>
          </cell>
          <cell r="D94">
            <v>597.10064799999986</v>
          </cell>
        </row>
        <row r="95">
          <cell r="B95">
            <v>82</v>
          </cell>
          <cell r="C95">
            <v>603.8106479999999</v>
          </cell>
          <cell r="D95">
            <v>603.8106479999999</v>
          </cell>
        </row>
        <row r="96">
          <cell r="B96">
            <v>83</v>
          </cell>
          <cell r="C96">
            <v>610.52064799999994</v>
          </cell>
          <cell r="D96">
            <v>610.52064799999994</v>
          </cell>
        </row>
        <row r="97">
          <cell r="B97">
            <v>84</v>
          </cell>
          <cell r="C97">
            <v>617.23064799999997</v>
          </cell>
          <cell r="D97">
            <v>617.23064799999997</v>
          </cell>
        </row>
        <row r="98">
          <cell r="B98">
            <v>85</v>
          </cell>
          <cell r="C98">
            <v>623.94064800000001</v>
          </cell>
          <cell r="D98">
            <v>623.94064800000001</v>
          </cell>
        </row>
        <row r="99">
          <cell r="B99">
            <v>86</v>
          </cell>
          <cell r="C99">
            <v>630.65064800000005</v>
          </cell>
          <cell r="D99">
            <v>630.65064800000005</v>
          </cell>
        </row>
        <row r="100">
          <cell r="B100">
            <v>87</v>
          </cell>
          <cell r="C100">
            <v>637.36064800000008</v>
          </cell>
          <cell r="D100">
            <v>637.36064800000008</v>
          </cell>
        </row>
        <row r="101">
          <cell r="B101">
            <v>88</v>
          </cell>
          <cell r="C101">
            <v>644.07064800000012</v>
          </cell>
          <cell r="D101">
            <v>644.07064800000012</v>
          </cell>
        </row>
        <row r="102">
          <cell r="B102">
            <v>89</v>
          </cell>
          <cell r="C102">
            <v>650.78064800000016</v>
          </cell>
          <cell r="D102">
            <v>650.78064800000016</v>
          </cell>
        </row>
        <row r="103">
          <cell r="B103">
            <v>90</v>
          </cell>
          <cell r="C103">
            <v>657.49064800000019</v>
          </cell>
          <cell r="D103">
            <v>657.49064800000019</v>
          </cell>
        </row>
        <row r="104">
          <cell r="B104">
            <v>91</v>
          </cell>
          <cell r="C104">
            <v>664.20064800000023</v>
          </cell>
          <cell r="D104">
            <v>664.20064800000023</v>
          </cell>
        </row>
        <row r="105">
          <cell r="B105">
            <v>92</v>
          </cell>
          <cell r="C105">
            <v>670.91064800000026</v>
          </cell>
          <cell r="D105">
            <v>670.91064800000026</v>
          </cell>
        </row>
        <row r="106">
          <cell r="B106">
            <v>93</v>
          </cell>
          <cell r="C106">
            <v>677.6206480000003</v>
          </cell>
          <cell r="D106">
            <v>677.6206480000003</v>
          </cell>
        </row>
        <row r="107">
          <cell r="B107">
            <v>94</v>
          </cell>
          <cell r="C107">
            <v>684.33064800000034</v>
          </cell>
          <cell r="D107">
            <v>684.33064800000034</v>
          </cell>
        </row>
        <row r="108">
          <cell r="B108">
            <v>95</v>
          </cell>
          <cell r="C108">
            <v>691.04064800000037</v>
          </cell>
          <cell r="D108">
            <v>691.04064800000037</v>
          </cell>
        </row>
        <row r="109">
          <cell r="B109">
            <v>96</v>
          </cell>
          <cell r="C109">
            <v>697.75064800000041</v>
          </cell>
          <cell r="D109">
            <v>697.75064800000041</v>
          </cell>
        </row>
        <row r="110">
          <cell r="B110">
            <v>97</v>
          </cell>
          <cell r="C110">
            <v>704.46064800000045</v>
          </cell>
          <cell r="D110">
            <v>704.46064800000045</v>
          </cell>
        </row>
        <row r="111">
          <cell r="B111">
            <v>98</v>
          </cell>
          <cell r="C111">
            <v>711.17064800000048</v>
          </cell>
          <cell r="D111">
            <v>711.17064800000048</v>
          </cell>
        </row>
        <row r="112">
          <cell r="B112">
            <v>99</v>
          </cell>
          <cell r="C112">
            <v>717.88064800000052</v>
          </cell>
          <cell r="D112">
            <v>717.88064800000052</v>
          </cell>
        </row>
        <row r="113">
          <cell r="B113">
            <v>100</v>
          </cell>
          <cell r="C113">
            <v>724.59064800000056</v>
          </cell>
          <cell r="D113">
            <v>724.59064800000056</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M.Books "/>
      <sheetName val="CM Consumption "/>
      <sheetName val="M.Dates"/>
      <sheetName val="Sheet1"/>
      <sheetName val="Cover page"/>
      <sheetName val="Total"/>
      <sheetName val="1st bill before 94 GO "/>
      <sheetName val="1st bill Club "/>
      <sheetName val="1st bill 94 GO"/>
      <sheetName val="Rates 2006-07"/>
      <sheetName val="2nd bill "/>
      <sheetName val="LEAD 06-07"/>
      <sheetName val="3rd bill"/>
      <sheetName val="Rates 2007-08"/>
      <sheetName val="4th bill "/>
      <sheetName val="LEAD 07-08"/>
      <sheetName val="Data 07-08 "/>
      <sheetName val="LEAD 08-09"/>
      <sheetName val="Data 08-09"/>
      <sheetName val="Rates SSR 2008-09"/>
      <sheetName val="mas_hab"/>
      <sheetName val="Leads"/>
      <sheetName val="DATA"/>
      <sheetName val="RMR"/>
      <sheetName val="Input"/>
      <sheetName val="Lead"/>
      <sheetName val="Material"/>
      <sheetName val="Plant &amp;  Machinery"/>
      <sheetName val="MRATES"/>
      <sheetName val="Legal Risk 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60">
          <cell r="I60">
            <v>188</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5 (2)"/>
      <sheetName val="Sheet5"/>
      <sheetName val="GS"/>
      <sheetName val="TS"/>
      <sheetName val="Estimate"/>
      <sheetName val="BTR"/>
      <sheetName val="RMR"/>
      <sheetName val="Road data"/>
      <sheetName val="Hire charges"/>
      <sheetName val="Rates SSR 2008-09"/>
      <sheetName val="mas_hab"/>
      <sheetName val="Leads"/>
      <sheetName val="MRATES"/>
      <sheetName val="Levels"/>
      <sheetName val="DATA"/>
      <sheetName val="Sheet3"/>
      <sheetName val="r"/>
      <sheetName val="l"/>
      <sheetName val="Material"/>
      <sheetName val="Plant &amp;  Machinery"/>
      <sheetName val="80-100 (P)"/>
    </sheetNames>
    <sheetDataSet>
      <sheetData sheetId="0"/>
      <sheetData sheetId="1"/>
      <sheetData sheetId="2"/>
      <sheetData sheetId="3"/>
      <sheetData sheetId="4"/>
      <sheetData sheetId="5"/>
      <sheetData sheetId="6"/>
      <sheetData sheetId="7"/>
      <sheetData sheetId="8">
        <row r="30">
          <cell r="F30">
            <v>43000</v>
          </cell>
        </row>
      </sheetData>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5 (2)"/>
      <sheetName val="Sheet5"/>
      <sheetName val="GS"/>
      <sheetName val="TS"/>
      <sheetName val="Estimate"/>
      <sheetName val="BTR"/>
      <sheetName val="RMR"/>
      <sheetName val="Road data"/>
      <sheetName val="Hire charges"/>
      <sheetName val="Leads"/>
      <sheetName val="MRATES"/>
      <sheetName val="Rates SSR 2008-09"/>
      <sheetName val="Material"/>
      <sheetName val="Plant &amp;  Machinery"/>
      <sheetName val="Specification"/>
      <sheetName val="mas_hab"/>
      <sheetName val="DATA"/>
      <sheetName val="Legal Risk Analysis"/>
      <sheetName val="Labour _ Plant"/>
      <sheetName val="Lead statement"/>
      <sheetName val="Rates"/>
      <sheetName val="v"/>
      <sheetName val="Labour"/>
      <sheetName val="r"/>
      <sheetName val="l"/>
      <sheetName val="Sheet1 (2)"/>
      <sheetName val="Sheet3"/>
      <sheetName val="data existing_do not delete"/>
      <sheetName val="Data_Base"/>
      <sheetName val="80-100 (P)"/>
      <sheetName val="Data_Bit_I"/>
      <sheetName val="LEAD.2014-15 West"/>
      <sheetName val="SSR 2014-15 Rates"/>
    </sheetNames>
    <sheetDataSet>
      <sheetData sheetId="0"/>
      <sheetData sheetId="1"/>
      <sheetData sheetId="2"/>
      <sheetData sheetId="3"/>
      <sheetData sheetId="4"/>
      <sheetData sheetId="5"/>
      <sheetData sheetId="6"/>
      <sheetData sheetId="7"/>
      <sheetData sheetId="8">
        <row r="30">
          <cell r="F30">
            <v>43000</v>
          </cell>
        </row>
      </sheetData>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Com.wall"/>
      <sheetName val="CC"/>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 val="Sheet1"/>
      <sheetName val="r"/>
      <sheetName val="l"/>
      <sheetName val="leads"/>
      <sheetName val="Specification"/>
      <sheetName val="Levels"/>
      <sheetName val="mas_hab"/>
      <sheetName val="RMR"/>
      <sheetName val="Sheet3"/>
      <sheetName val="Rates SSR 2008-09"/>
      <sheetName val="MRATES"/>
      <sheetName val="Road data"/>
      <sheetName val="Lead"/>
      <sheetName val="Material"/>
      <sheetName val="Plant &amp;  Machine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Com.wall"/>
      <sheetName val="CC"/>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 val="Sheet1"/>
      <sheetName val="MRATES"/>
      <sheetName val="Levels"/>
      <sheetName val="Rates SSR 2008-09"/>
      <sheetName val="RMR"/>
      <sheetName val="Material"/>
      <sheetName val="Plant &amp;  Machinery"/>
      <sheetName val="GEN-ABS Del"/>
      <sheetName val="khokho"/>
      <sheetName val="leads"/>
      <sheetName val="r"/>
      <sheetName val="l"/>
      <sheetName val="Specification"/>
      <sheetName val="Legal Risk Analysis"/>
      <sheetName val="SSR 2011-12 Rates"/>
      <sheetName val="Lead"/>
      <sheetName val="SubAnlysis"/>
      <sheetName val="labour coeff"/>
      <sheetName val="Road data"/>
      <sheetName val="Mp-team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Ls"/>
      <sheetName val="Levels"/>
      <sheetName val="abstract"/>
      <sheetName val="Levels (2)"/>
      <sheetName val="mother"/>
      <sheetName val="3060"/>
      <sheetName val="3090"/>
      <sheetName val="3120"/>
      <sheetName val="3150"/>
      <sheetName val="3180"/>
      <sheetName val="3210"/>
      <sheetName val="3240"/>
      <sheetName val="3270"/>
      <sheetName val="3300"/>
      <sheetName val="3330"/>
      <sheetName val="3360"/>
      <sheetName val="3390"/>
      <sheetName val="3420"/>
      <sheetName val="3450"/>
      <sheetName val="3480"/>
      <sheetName val="3510"/>
      <sheetName val="3540"/>
      <sheetName val="3570"/>
      <sheetName val="3600"/>
      <sheetName val="3630"/>
      <sheetName val="3660"/>
      <sheetName val="3690"/>
      <sheetName val="3720"/>
      <sheetName val="3750"/>
      <sheetName val="3780"/>
      <sheetName val="3810"/>
      <sheetName val="3840"/>
      <sheetName val="3870"/>
      <sheetName val="3900"/>
      <sheetName val="3930"/>
      <sheetName val="3960"/>
      <sheetName val="3990"/>
      <sheetName val="4020"/>
      <sheetName val="4050"/>
      <sheetName val="4080"/>
      <sheetName val="4110"/>
      <sheetName val="4140"/>
      <sheetName val="4170"/>
      <sheetName val="4200"/>
      <sheetName val="4230"/>
      <sheetName val="4260"/>
      <sheetName val="4290"/>
      <sheetName val="4320"/>
      <sheetName val="4350"/>
      <sheetName val="4380"/>
      <sheetName val="4400"/>
      <sheetName val="4410"/>
      <sheetName val="4440"/>
      <sheetName val="4470"/>
      <sheetName val="4500"/>
      <sheetName val="4530"/>
      <sheetName val="4560"/>
      <sheetName val="4590"/>
      <sheetName val="4620"/>
      <sheetName val="4650"/>
      <sheetName val="4680"/>
      <sheetName val="4710"/>
      <sheetName val="4740"/>
      <sheetName val="4770"/>
      <sheetName val="4800"/>
      <sheetName val="4830"/>
      <sheetName val="4860"/>
      <sheetName val="4890"/>
      <sheetName val="4920"/>
      <sheetName val="4930"/>
      <sheetName val="4940"/>
      <sheetName val="Material"/>
      <sheetName val="Plant &amp;  Machinery"/>
      <sheetName val="RMR"/>
      <sheetName val="r"/>
      <sheetName val="Specification"/>
      <sheetName val="Leads"/>
      <sheetName val="maya"/>
      <sheetName val="l"/>
      <sheetName val="Road data"/>
      <sheetName val="Lead  RATES"/>
      <sheetName val="Lead statement"/>
      <sheetName val="MRATES"/>
      <sheetName val="DATA"/>
      <sheetName val="Sheet3"/>
      <sheetName val="coverpage"/>
      <sheetName val="Usage"/>
      <sheetName val="mas_hab"/>
      <sheetName val="ESTIMATE"/>
      <sheetName val="t_prsr"/>
      <sheetName val="wh"/>
      <sheetName val="detls"/>
      <sheetName val="GF SB Ok "/>
      <sheetName val="m1"/>
      <sheetName val="Labour"/>
      <sheetName val="sch"/>
      <sheetName val="sectorwise"/>
      <sheetName val="Lead"/>
      <sheetName val="Levels_(2)"/>
      <sheetName val="Levels_(2)1"/>
      <sheetName val="segments-details"/>
      <sheetName val="int-Dia-hdpe"/>
      <sheetName val="habs-list"/>
      <sheetName val="int-Dia-pvc"/>
      <sheetName val="Rates SSR 2008-09"/>
      <sheetName val="HDPE-pipe-rates"/>
      <sheetName val="pvc-pipe-rates"/>
      <sheetName val="Sheet2"/>
      <sheetName val="hdpe-rates"/>
      <sheetName val="hdpe weights"/>
      <sheetName val="ssr-rates"/>
      <sheetName val="pvc-rates"/>
      <sheetName val="PVC weights"/>
      <sheetName val="GEN-ABS Del"/>
      <sheetName val="DATA-BASE"/>
      <sheetName val="DATA-ABSTRACT"/>
      <sheetName val="EDWise"/>
      <sheetName val="p&amp;m"/>
      <sheetName val="v"/>
      <sheetName val="Levels_(2)5"/>
      <sheetName val="Plant_&amp;__Machinery2"/>
      <sheetName val="Road_data2"/>
      <sheetName val="Lead__RATES2"/>
      <sheetName val="Lead_statement2"/>
      <sheetName val="GF_SB_Ok_2"/>
      <sheetName val="Levels_(2)3"/>
      <sheetName val="Levels_(2)2"/>
      <sheetName val="Plant_&amp;__Machinery"/>
      <sheetName val="Road_data"/>
      <sheetName val="Lead__RATES"/>
      <sheetName val="Lead_statement"/>
      <sheetName val="GF_SB_Ok_"/>
      <sheetName val="Levels_(2)4"/>
      <sheetName val="Plant_&amp;__Machinery1"/>
      <sheetName val="Road_data1"/>
      <sheetName val="Lead__RATES1"/>
      <sheetName val="Lead_statement1"/>
      <sheetName val="GF_SB_Ok_1"/>
      <sheetName val="MS Rates"/>
      <sheetName val="Valves"/>
      <sheetName val="cover (2)"/>
      <sheetName val="Data_Bit_I"/>
      <sheetName val="Nspt-smp-final-ORIGINAL"/>
      <sheetName val="Timesheet"/>
      <sheetName val="Bridge Data 2005-06"/>
      <sheetName val="RAFT"/>
      <sheetName val="index"/>
      <sheetName val="Data Road Rev"/>
      <sheetName val="Rates"/>
      <sheetName val="REVISED"/>
      <sheetName val="estimate "/>
      <sheetName val="Common "/>
      <sheetName val="data existing_do not delete"/>
      <sheetName val="HDPE"/>
      <sheetName val="DI"/>
      <sheetName val="pvc"/>
      <sheetName val="R_Det"/>
      <sheetName val="Data 07-08 "/>
      <sheetName val="sup dat"/>
      <sheetName val="m"/>
      <sheetName val="Road Detail Est."/>
      <sheetName val="Convey"/>
      <sheetName val="temp-SDData (2)"/>
      <sheetName val="CI"/>
      <sheetName val="data-sheet"/>
      <sheetName val="Boq"/>
      <sheetName val="data.f8.btr"/>
      <sheetName val="abs road"/>
      <sheetName val="int-Dia"/>
      <sheetName val="Motor Data"/>
      <sheetName val="COVER"/>
      <sheetName val="hdpe_basic"/>
      <sheetName val="pvc_basic"/>
      <sheetName val="wh_data_R"/>
      <sheetName val="wh_data"/>
      <sheetName val="CPHEEO"/>
      <sheetName val="Input"/>
      <sheetName val="DATA_PRG"/>
      <sheetName val="conc-foot-gradeslab"/>
      <sheetName val="sg-clay(d)"/>
      <sheetName val="DI PIPE"/>
      <sheetName val="RUBBER GASKETS"/>
      <sheetName val="Levels_(2)6"/>
      <sheetName val="Plant_&amp;__Machinery3"/>
      <sheetName val="Road_data3"/>
      <sheetName val="Lead__RATES3"/>
      <sheetName val="Lead_statement3"/>
      <sheetName val="GF_SB_Ok_3"/>
      <sheetName val="AoR_Finishing"/>
      <sheetName val="Rate"/>
      <sheetName val="Rates_SSR_2008-09"/>
      <sheetName val="hdpe_weights"/>
      <sheetName val="PVC_weights"/>
      <sheetName val="GEN-ABS_Del"/>
      <sheetName val="MS_Rates"/>
      <sheetName val="cover_(2)"/>
      <sheetName val="Bridge_Data_2005-06"/>
      <sheetName val="Data_Road_Rev"/>
      <sheetName val="estimate_"/>
      <sheetName val="Common_"/>
      <sheetName val="data_existing_do_not_delete"/>
      <sheetName val="M.R.O"/>
      <sheetName val="Lead statement ss5"/>
      <sheetName val="WATER-HAMMER"/>
      <sheetName val="labour &amp; Hire-20-21"/>
      <sheetName val="Gen.Abs."/>
      <sheetName val="Improvements"/>
      <sheetName val="Lead 09-10"/>
      <sheetName val="Longitudinal"/>
      <sheetName val="pile rec(N Max tr)"/>
      <sheetName val="Data base"/>
      <sheetName val="소상 &quot;1&quot;"/>
      <sheetName val="Detailed"/>
      <sheetName val="mlead"/>
      <sheetName val="ABS"/>
      <sheetName val="Masonry"/>
      <sheetName val="labour coeff"/>
      <sheetName val="Sheet1"/>
      <sheetName val="rdamdata"/>
      <sheetName val="lead-st"/>
      <sheetName val="PVC_dia"/>
      <sheetName val="0000000000000"/>
      <sheetName val="DISCOUNT"/>
      <sheetName val="Global factors"/>
      <sheetName val="quarry"/>
      <sheetName val="Iocount"/>
      <sheetName val="BASIC RATES"/>
      <sheetName val="Data_Base"/>
      <sheetName val="MRoad data"/>
      <sheetName val="Letter"/>
      <sheetName val="water-hammar-strenght"/>
      <sheetName val="Variables_x"/>
      <sheetName val="Load Details-220kV"/>
      <sheetName val="C-Mat"/>
    </sheetNames>
    <sheetDataSet>
      <sheetData sheetId="0" refreshError="1"/>
      <sheetData sheetId="1" refreshError="1">
        <row r="5">
          <cell r="O5">
            <v>96</v>
          </cell>
          <cell r="P5">
            <v>101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sheetData sheetId="115"/>
      <sheetData sheetId="116"/>
      <sheetData sheetId="117" refreshError="1"/>
      <sheetData sheetId="118" refreshError="1"/>
      <sheetData sheetId="119"/>
      <sheetData sheetId="120"/>
      <sheetData sheetId="121"/>
      <sheetData sheetId="122"/>
      <sheetData sheetId="123"/>
      <sheetData sheetId="124"/>
      <sheetData sheetId="125"/>
      <sheetData sheetId="126"/>
      <sheetData sheetId="127"/>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sheetData sheetId="142"/>
      <sheetData sheetId="143"/>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ANNEX"/>
      <sheetName val="P_REPORT"/>
      <sheetName val="SPECIFICATION"/>
      <sheetName val="ABS"/>
      <sheetName val="ESTT_MOST"/>
      <sheetName val="m"/>
      <sheetName val="M2"/>
      <sheetName val="M3"/>
      <sheetName val="m1"/>
      <sheetName val="DATA"/>
      <sheetName val="LE"/>
      <sheetName val="Sheet1"/>
      <sheetName val="0000000000000"/>
      <sheetName val="Abstrct "/>
      <sheetName val="Abstrct  CD works"/>
      <sheetName val="est"/>
      <sheetName val="Quarry"/>
      <sheetName val="Lead"/>
      <sheetName val="Slab cul-2m span 1"/>
      <sheetName val="Slab cul-3m span 2"/>
      <sheetName val="Slab cul-2m span 3"/>
      <sheetName val="Slab cul-2m span 4"/>
      <sheetName val="CC over pitching"/>
      <sheetName val="Data CD"/>
      <sheetName val="Lead Statement"/>
      <sheetName val="package summary"/>
      <sheetName val="Nindugerla"/>
      <sheetName val="cc pavement(b)"/>
      <sheetName val="foundations (b)"/>
      <sheetName val="est  (mord)"/>
      <sheetName val="Check Slip"/>
      <sheetName val="Sub Estiamte (2)"/>
      <sheetName val="Field Data"/>
      <sheetName val="Field Data (2)"/>
      <sheetName val="Field Data (3)"/>
      <sheetName val="3day Count"/>
      <sheetName val="Gen. Abstract"/>
      <sheetName val="Fie,d Data"/>
      <sheetName val="XXXXXXXXXXXXX"/>
      <sheetName val="XXXXXXXXXXXX0"/>
      <sheetName val="Leadstatement "/>
      <sheetName val="exe"/>
      <sheetName val="insp"/>
      <sheetName val="sp"/>
      <sheetName val="Sheet3"/>
      <sheetName val="sub-est"/>
      <sheetName val="ann-b"/>
      <sheetName val="EWCal"/>
      <sheetName val="Sheet4"/>
      <sheetName val="COR.EST"/>
      <sheetName val="Abstrct-Part A"/>
      <sheetName val="Estimate "/>
      <sheetName val="Levels"/>
      <sheetName val="r"/>
      <sheetName val="HDPE"/>
      <sheetName val="DI"/>
      <sheetName val="pvc"/>
      <sheetName val="hdpe_basic"/>
      <sheetName val="pvc_basic"/>
      <sheetName val="leads"/>
      <sheetName val="final abstract"/>
      <sheetName val="l"/>
      <sheetName val="Plant &amp;  Machinery"/>
      <sheetName val="Labour"/>
      <sheetName val="Material"/>
      <sheetName val="Data.F8.BTR"/>
      <sheetName val="hdpe-rates"/>
      <sheetName val="hdpe weights"/>
      <sheetName val="ssr-rates"/>
      <sheetName val="pvc-rates"/>
      <sheetName val="PVC weights"/>
      <sheetName val="Class IV Qtr. Ele"/>
      <sheetName val="MRATES"/>
      <sheetName val="DATA_ENTRY"/>
      <sheetName val="BTLeads"/>
      <sheetName val="RMR"/>
      <sheetName val="GF SB Ok "/>
      <sheetName val="data existing_do not delete"/>
      <sheetName val="Sheet9"/>
      <sheetName val="GN_ST_10"/>
      <sheetName val="rdamdata"/>
      <sheetName val="sectorwise"/>
      <sheetName val="pvc-pipe-rates"/>
      <sheetName val="Specification report"/>
      <sheetName val="C-data"/>
      <sheetName val="HDPE-pipe-rates"/>
      <sheetName val="coverpage"/>
      <sheetName val="R_Det"/>
      <sheetName val="Road data"/>
      <sheetName val="GEN-ABS Del"/>
      <sheetName val="LEAD S 10-11"/>
      <sheetName val="mlead"/>
      <sheetName val="abs road"/>
      <sheetName val="Lead  RATES"/>
      <sheetName val="p&amp;m"/>
      <sheetName val="maya"/>
      <sheetName val="PRECAST lightconc-II"/>
      <sheetName val="Boq"/>
      <sheetName val="TBAL9697 -group wise  sdpl"/>
      <sheetName val="lead-st"/>
      <sheetName val="Input Sheet"/>
      <sheetName val="cover page"/>
      <sheetName val="Sheet2"/>
      <sheetName val="Specification Repoer"/>
      <sheetName val="DETAILED ESTIMATE (2)"/>
      <sheetName val="Data (2)"/>
      <sheetName val="DETAILED ESTIMATE"/>
      <sheetName val="detailed dt22.10.2014"/>
      <sheetName val="PSet(1Ph)"/>
      <sheetName val="comparative"/>
      <sheetName val="seigniorage"/>
      <sheetName val="electrification"/>
      <sheetName val="septic tank"/>
      <sheetName val="ELEC datas"/>
      <sheetName val="san data"/>
      <sheetName val="SEIGNORAGE"/>
      <sheetName val="convey"/>
      <sheetName val="SCHEDULE."/>
      <sheetName val="Est (2)"/>
      <sheetName val="report"/>
      <sheetName val="schedule"/>
      <sheetName val="Data_Bit_I"/>
      <sheetName val="id"/>
      <sheetName val="CI"/>
      <sheetName val="GA"/>
      <sheetName val="Abstrct_"/>
      <sheetName val="Abstrct__CD_works"/>
      <sheetName val="Slab_cul-2m_span_1"/>
      <sheetName val="Slab_cul-3m_span_2"/>
      <sheetName val="Slab_cul-2m_span_3"/>
      <sheetName val="Slab_cul-2m_span_4"/>
      <sheetName val="CC_over_pitching"/>
      <sheetName val="Data_CD"/>
      <sheetName val="Lead_Statement"/>
      <sheetName val="package_summary"/>
      <sheetName val="cc_pavement(b)"/>
      <sheetName val="foundations_(b)"/>
      <sheetName val="est__(mord)"/>
      <sheetName val="Check_Slip"/>
      <sheetName val="Sub_Estiamte_(2)"/>
      <sheetName val="Field_Data"/>
      <sheetName val="Field_Data_(2)"/>
      <sheetName val="Field_Data_(3)"/>
      <sheetName val="3day_Count"/>
      <sheetName val="Gen__Abstract"/>
      <sheetName val="Fie,d_Data"/>
      <sheetName val="Estimate_"/>
      <sheetName val="final_abstract"/>
      <sheetName val="PVC_dia"/>
      <sheetName val="sup dat"/>
      <sheetName val="Input"/>
      <sheetName val="Data_Base"/>
      <sheetName val="Factory_rates"/>
      <sheetName val="DATA-BASE"/>
      <sheetName val="Plant_&amp;__Machinery"/>
      <sheetName val="v"/>
      <sheetName val="DATA-ABSTRACT"/>
      <sheetName val="Bridge Data 2005-06"/>
      <sheetName val="Common "/>
      <sheetName val="Nspt-smp-final-ORIGINAL"/>
      <sheetName val="Work_sheet"/>
      <sheetName val="Sheet1 (2)"/>
      <sheetName val="GN-ST-10"/>
      <sheetName val="habs-list"/>
      <sheetName val="nodes"/>
      <sheetName val="other rates"/>
      <sheetName val="in Put sheet"/>
      <sheetName val="Part-A"/>
      <sheetName val="Rates2"/>
      <sheetName val="clvrt_data"/>
      <sheetName val="Bitumen trunk"/>
      <sheetName val="R99 etc"/>
      <sheetName val="Trunk unpaved"/>
      <sheetName val="mas_hab"/>
      <sheetName val="Plant_㫨__Machinery"/>
      <sheetName val="Plant 㫨  Machinery"/>
      <sheetName val="Rates"/>
      <sheetName val="Usage"/>
      <sheetName val="General"/>
      <sheetName val="CD_Data"/>
      <sheetName val="sch"/>
      <sheetName val="Conv. 13-14"/>
      <sheetName val="BTR"/>
      <sheetName val="Line"/>
      <sheetName val="segments-details"/>
      <sheetName val="int-Dia-hdpe"/>
      <sheetName val="int-Dia-pvc"/>
      <sheetName val="Feeder"/>
      <sheetName val="Variables"/>
      <sheetName val="ESTIMATE"/>
      <sheetName val="SSR 2010-11 Rates"/>
      <sheetName val="DATA_PRG"/>
      <sheetName val="Cover"/>
      <sheetName val="c.d.abs.est."/>
      <sheetName val="c.d.data (morth)"/>
      <sheetName val="rd.det.est"/>
      <sheetName val="rd.data"/>
      <sheetName val="mlead "/>
      <sheetName val="Gen Abs"/>
      <sheetName val="Conveayance charges"/>
      <sheetName val="Conveyance"/>
      <sheetName val="Hire"/>
      <sheetName val="ewst"/>
      <sheetName val="leads-11-12"/>
      <sheetName val="cert"/>
      <sheetName val="data-WC"/>
      <sheetName val="index"/>
      <sheetName val="Rate"/>
      <sheetName val="cover (2)"/>
      <sheetName val="Rates SSR 2008-09"/>
      <sheetName val="well"/>
      <sheetName val="Rate Analysis"/>
      <sheetName val="Data chokanpally"/>
      <sheetName val="Data o"/>
      <sheetName val="Ellis &amp; WS&amp;S"/>
      <sheetName val="Drip mould &amp; Elevation"/>
      <sheetName val="Trussess"/>
      <sheetName val="Leadstatement_"/>
      <sheetName val="COR_EST"/>
      <sheetName val="Abstrct-Part_A"/>
      <sheetName val="TBAL9697_-group_wise__sdpl"/>
      <sheetName val="Data_F8_BTR"/>
      <sheetName val="hdpe_weights"/>
      <sheetName val="PVC_weights"/>
      <sheetName val="Class_IV_Qtr__Ele"/>
      <sheetName val="GF_SB_Ok_"/>
      <sheetName val="data_existing_do_not_delete"/>
      <sheetName val="Specification_report"/>
      <sheetName val="Road_data"/>
      <sheetName val="GEN-ABS_Del"/>
      <sheetName val="LEAD_S_10-11"/>
      <sheetName val="abs_road"/>
      <sheetName val="Lead__RATES"/>
      <sheetName val="PRECAST_lightconc-II"/>
      <sheetName val="Input_Sheet"/>
      <sheetName val="cover_page"/>
      <sheetName val="Specification_Repoer"/>
      <sheetName val="DETAILED_ESTIMATE_(2)"/>
      <sheetName val="Data_(2)"/>
      <sheetName val="DETAILED_ESTIMATE"/>
      <sheetName val="detailed_dt22_10_2014"/>
      <sheetName val="septic_tank"/>
      <sheetName val="ELEC_datas"/>
      <sheetName val="san_data"/>
      <sheetName val="SCHEDULE_"/>
      <sheetName val="Est_(2)"/>
      <sheetName val="Legal Risk Analysis"/>
      <sheetName val="conc-foot-gradeslab"/>
      <sheetName val="_5wgdhabfinal00_01"/>
      <sheetName val="Circular Column"/>
      <sheetName val="temp-SDData (2)"/>
      <sheetName val="Lead statement ss5"/>
      <sheetName val="Road Detail Est."/>
      <sheetName val="SPT vs PHI"/>
      <sheetName val="1V800"/>
      <sheetName val="entitlements"/>
      <sheetName val="fnote"/>
      <sheetName val="QDTS"/>
      <sheetName val="water-hammar-strenght"/>
      <sheetName val="AV-HDPE"/>
      <sheetName val="Di_gate-HDPE"/>
      <sheetName val="Masonry"/>
      <sheetName val="GBW"/>
      <sheetName val="sand"/>
      <sheetName val="stone"/>
      <sheetName val="int-Dia"/>
      <sheetName val="Rates-May-14"/>
      <sheetName val="LOCAL RATES"/>
      <sheetName val="Usage "/>
      <sheetName val="dlvoid"/>
      <sheetName val="detls"/>
      <sheetName val="Sorted"/>
      <sheetName val="WATER-HAMMER"/>
      <sheetName val="BM-HOOP"/>
      <sheetName val="MRMECADAMoad data"/>
      <sheetName val="Lookup"/>
      <sheetName val="t_prsr"/>
      <sheetName val="wh"/>
      <sheetName val="Staff Acco."/>
      <sheetName val="Sketch"/>
      <sheetName val="PRICE BID"/>
      <sheetName val="#REF"/>
      <sheetName val="Proj info- dump1"/>
      <sheetName val="PR-houdump"/>
      <sheetName val="EDWise"/>
    </sheetNames>
    <sheetDataSet>
      <sheetData sheetId="0" refreshError="1"/>
      <sheetData sheetId="1" refreshError="1"/>
      <sheetData sheetId="2" refreshError="1"/>
      <sheetData sheetId="3" refreshError="1"/>
      <sheetData sheetId="4" refreshError="1"/>
      <sheetData sheetId="5" refreshError="1"/>
      <sheetData sheetId="6" refreshError="1">
        <row r="3">
          <cell r="M3">
            <v>117</v>
          </cell>
        </row>
        <row r="149">
          <cell r="D149" t="str">
            <v>Bijnepally</v>
          </cell>
        </row>
      </sheetData>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2V_3M_SLAB (2)"/>
      <sheetName val="RD_X"/>
      <sheetName val="ROAD_DAM_100M"/>
      <sheetName val="RD_100M"/>
      <sheetName val="CC_WC"/>
      <sheetName val="RD_VENTES"/>
      <sheetName val="Levels"/>
      <sheetName val="Rates SSR 2008-09"/>
      <sheetName val="r"/>
      <sheetName val="l"/>
      <sheetName val="Lead statement"/>
      <sheetName val="m"/>
      <sheetName val="sectorwise"/>
      <sheetName val="Lead  RATES"/>
      <sheetName val="RMR"/>
      <sheetName val="Publicbuilding"/>
      <sheetName val="Specification"/>
      <sheetName val="Nspt-smp-final-ORIGINAL"/>
      <sheetName val="LEAD"/>
      <sheetName val="Leads"/>
      <sheetName val="p&amp;m"/>
      <sheetName val="Material"/>
      <sheetName val="Plant &amp;  Machinery"/>
      <sheetName val="data existing_do not delete"/>
      <sheetName val="Bill_amt_qty_cc_1"/>
      <sheetName val="Input"/>
      <sheetName val="Road data"/>
      <sheetName val="mlead"/>
      <sheetName val="abs road"/>
      <sheetName val="R_Det"/>
      <sheetName val="Labour"/>
      <sheetName val="detls"/>
      <sheetName val="Cover"/>
      <sheetName val="HDPE"/>
      <sheetName val="DI"/>
      <sheetName val="pvc"/>
      <sheetName val="Boq"/>
      <sheetName val="TBAL9697 -group wise  sdpl"/>
      <sheetName val="Lookup"/>
      <sheetName val="BTR"/>
      <sheetName val="pvc-pipe-rates"/>
    </sheetNames>
    <sheetDataSet>
      <sheetData sheetId="0">
        <row r="22">
          <cell r="B22">
            <v>0</v>
          </cell>
        </row>
      </sheetData>
      <sheetData sheetId="1"/>
      <sheetData sheetId="2" refreshError="1"/>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oling off pit"/>
      <sheetName val="Store&amp;Toilet"/>
      <sheetName val="Asr-MSSR"/>
      <sheetName val="Publicbuilding"/>
      <sheetName val="FORM7"/>
      <sheetName val="DATA"/>
      <sheetName val="m"/>
      <sheetName val="Levels"/>
      <sheetName val="PRECAST lightconc-II"/>
      <sheetName val="Material"/>
      <sheetName val="Road data"/>
      <sheetName val="Design"/>
      <sheetName val="conc-foot-gradeslab"/>
      <sheetName val="Plant &amp;  Machinery"/>
      <sheetName val="Labour"/>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Line_Abstract"/>
      <sheetName val="Gen abs"/>
      <sheetName val="abs road"/>
      <sheetName val="Bridge"/>
      <sheetName val="HP abs"/>
      <sheetName val="BTR"/>
      <sheetName val="RMR"/>
      <sheetName val="Road data"/>
      <sheetName val="Certificates"/>
      <sheetName val="m lead"/>
      <sheetName val="mmlead"/>
      <sheetName val="TS_memo"/>
      <sheetName val="Spn_report"/>
      <sheetName val="Gen_abs"/>
      <sheetName val="abs_road"/>
      <sheetName val="HP_abs"/>
      <sheetName val="Road_data"/>
      <sheetName val="m_lead"/>
      <sheetName val="Specification report"/>
      <sheetName val="DATA"/>
      <sheetName val="wh_data"/>
      <sheetName val="wh_data_R"/>
      <sheetName val="CPHEEO"/>
      <sheetName val="input"/>
      <sheetName val="LEAD"/>
      <sheetName val="C-data"/>
      <sheetName val="Labour"/>
      <sheetName val="Publicbuilding"/>
      <sheetName val="nodes"/>
      <sheetName val="Bitumen trunk"/>
      <sheetName val="Feeder"/>
      <sheetName val="R99 etc"/>
      <sheetName val="Trunk unpaved"/>
      <sheetName val="R_Det"/>
      <sheetName val="DISCOUNT"/>
      <sheetName val="ssr-rates"/>
      <sheetName val="r"/>
      <sheetName val="l"/>
      <sheetName val="Specification"/>
      <sheetName val="data existing_do not delete"/>
      <sheetName val="t_prsr"/>
      <sheetName val="wh"/>
      <sheetName val="Data.F8.BTR"/>
      <sheetName val="pvc-pipe-rates"/>
      <sheetName val="m"/>
      <sheetName val="conc-foot-gradeslab"/>
      <sheetName val="Lookup"/>
      <sheetName val="Rates"/>
      <sheetName val="Boq - Flats"/>
      <sheetName val="Boq"/>
      <sheetName val="Material"/>
      <sheetName val="Plant &amp;  Machinery"/>
      <sheetName val="sch"/>
      <sheetName val="maya"/>
      <sheetName val="DATA-BASE"/>
      <sheetName val="DATA-ABSTRACT"/>
      <sheetName val="Lead statement"/>
      <sheetName val="Nspt-smp-final-ORIGINAL"/>
      <sheetName val="Levels"/>
      <sheetName val="TS_memo1"/>
      <sheetName val="Spn_report1"/>
      <sheetName val="Gen_abs1"/>
      <sheetName val="abs_road1"/>
      <sheetName val="HP_abs1"/>
      <sheetName val="Road_data1"/>
      <sheetName val="m_lead1"/>
      <sheetName val="Specification_report"/>
      <sheetName val="Bitumen_trunk"/>
      <sheetName val="R99_etc"/>
      <sheetName val="Trunk_unpaved"/>
      <sheetName val="data_existing_do_not_delete"/>
      <sheetName val="Data_F8_BTR"/>
      <sheetName val="SSR 2014-15 Rates"/>
      <sheetName val="Sheet1"/>
      <sheetName val="p&amp;m"/>
      <sheetName val="SECOND"/>
      <sheetName val="leads"/>
      <sheetName val="Sheet9"/>
    </sheetNames>
    <sheetDataSet>
      <sheetData sheetId="0">
        <row r="27">
          <cell r="F27" t="str">
            <v>Vizianagaram</v>
          </cell>
        </row>
      </sheetData>
      <sheetData sheetId="1">
        <row r="17">
          <cell r="G17" t="str">
            <v>Improvements to Itika to Turakanaiduvalasa  from km 3/6 to 7/700   in Vizianagaram District</v>
          </cell>
        </row>
      </sheetData>
      <sheetData sheetId="2">
        <row r="27">
          <cell r="F27" t="str">
            <v>Vizianagaram</v>
          </cell>
        </row>
      </sheetData>
      <sheetData sheetId="3">
        <row r="17">
          <cell r="G17" t="str">
            <v>Improvements to Itika to Turakanaiduvalasa  from km 3/6 to 7/700   in Vizianagaram District</v>
          </cell>
        </row>
      </sheetData>
      <sheetData sheetId="4"/>
      <sheetData sheetId="5"/>
      <sheetData sheetId="6"/>
      <sheetData sheetId="7"/>
      <sheetData sheetId="8"/>
      <sheetData sheetId="9"/>
      <sheetData sheetId="10"/>
      <sheetData sheetId="11"/>
      <sheetData sheetId="12">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row r="417">
          <cell r="K417">
            <v>1799</v>
          </cell>
        </row>
        <row r="511">
          <cell r="C511" t="str">
            <v>Providing dry rough stone revetment 300 mm thick with HBG stone of not less than 300 mm size including cost, seigniorage charges and conveyance of materials to site and including labour charges for packing the stones for revetment etc., complete for finis</v>
          </cell>
        </row>
        <row r="527">
          <cell r="K527">
            <v>557</v>
          </cell>
        </row>
        <row r="529">
          <cell r="C529" t="str">
            <v>Providing and laying filter material with Gravel underneath pitching in slopes including cost, seigniorage charges and conveyance of materials to site including labour charges  etc., complete for finished item of work as per MoRT&amp;H Specification 2504 (4th</v>
          </cell>
        </row>
        <row r="544">
          <cell r="K544">
            <v>413</v>
          </cell>
        </row>
        <row r="546">
          <cell r="C546" t="str">
            <v>Vibrated  cement concrete M 15 Grade Concrete using 40mm , 20mm and 10mm size HBG crushed stone aggregate (Coarse aggregate conforming to table 1000-1 and fine aggregate conforming to table 1000-2) including cost,seignorage and conveyance of all  material</v>
          </cell>
        </row>
        <row r="570">
          <cell r="K570">
            <v>2116</v>
          </cell>
        </row>
        <row r="572">
          <cell r="C572" t="str">
            <v>Vibrated  cement concrete M 15 Grade Concrete using 40mm , 20mm and 10mm size HBG crushed stone aggregate (Coarse aggregate conforming to table 1000-1 and fine aggregate conforming to table 1000-2) including cost,seignorage and conveyance of  all  materia</v>
          </cell>
        </row>
        <row r="596">
          <cell r="K596">
            <v>2238</v>
          </cell>
        </row>
        <row r="598">
          <cell r="C598" t="str">
            <v>Vibrated reinforced cement concrete M 20 grade  using  20mm &amp; 10mm  HBG crushed stone aggregate (Coarse aggregate conforming to table 1000-1 and fine aggregate conforming to table 1000-2) including cost, seigniorage conveyance of all materials to site and</v>
          </cell>
        </row>
        <row r="621">
          <cell r="K621">
            <v>2567</v>
          </cell>
        </row>
        <row r="623">
          <cell r="C623" t="str">
            <v>Vibrated reinforced cement concrete M 20 grade  using  20mm &amp; 10mm  HBG crushed stone aggregate (Coarse aggregate conforming to table 1000-1 and fine aggregate conforming to table 1000-2) including cost, seigniorage conveyance of all materials to site and</v>
          </cell>
        </row>
        <row r="646">
          <cell r="K646">
            <v>2801</v>
          </cell>
        </row>
        <row r="648">
          <cell r="C648" t="str">
            <v xml:space="preserve">Vibrated reinforced cement concrete M 30 grade using  20mm &amp; 10mm  HBG crushed stone aggregate (Coarse aggregate conforming to table 1000-1 and fine aggregate conforming to table 1000-2) including cost, seigniorage conveyance of all materials to site and </v>
          </cell>
        </row>
        <row r="671">
          <cell r="K671">
            <v>2544</v>
          </cell>
        </row>
        <row r="673">
          <cell r="C673" t="str">
            <v>Vibrated reinforced cement concrete M.25 grade  using  20mm &amp; 10mm  HBG crushed stone aggregate (Coarse aggregate conforming to table 1000-1 and fine aggregate conforming to table 1000-2) including cost, seigniorage conveyance of all materials to site and</v>
          </cell>
        </row>
        <row r="697">
          <cell r="K697">
            <v>2563</v>
          </cell>
        </row>
        <row r="699">
          <cell r="C699" t="str">
            <v>Vibrated cement concrete M 15 Grade Concrete using 40mm , 20mm and 10mm size HBG crushed stone aggregate  (Coarse aggregate conforming to table 1000-1 and fine aggregate conforming to table 1000-2) including cost,seignorage and conveyance of all  material</v>
          </cell>
        </row>
        <row r="721">
          <cell r="K721">
            <v>2035</v>
          </cell>
        </row>
        <row r="723">
          <cell r="C723" t="str">
            <v>Back filling behind Abutments with gravel including cost ,conveyance and  seigniorage of all materials to site etc., complete  as per   Clause 710.1.4 of IRC : 78and as per  MoRT&amp;H Specification No. 2200 (4th Revision) and as per Drawing and technical spe</v>
          </cell>
        </row>
        <row r="741">
          <cell r="K741">
            <v>345</v>
          </cell>
        </row>
        <row r="743">
          <cell r="C743"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57">
          <cell r="K757">
            <v>29374</v>
          </cell>
        </row>
        <row r="759">
          <cell r="C759"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73">
          <cell r="K773">
            <v>28982</v>
          </cell>
        </row>
        <row r="775">
          <cell r="C775"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89">
          <cell r="K789">
            <v>28933</v>
          </cell>
        </row>
        <row r="821">
          <cell r="C821" t="str">
            <v>Providing weep holes in VCC Abutment/ Wing wall/return wall with 100mm Diameter AC pipe  extending through the full width of the structure at 1.00m C/C in both horizontal and vertical direction so that the weep holes in each horizontal direction is stagge</v>
          </cell>
        </row>
        <row r="849">
          <cell r="K849">
            <v>57</v>
          </cell>
        </row>
      </sheetData>
      <sheetData sheetId="13"/>
      <sheetData sheetId="14"/>
      <sheetData sheetId="15"/>
      <sheetData sheetId="16"/>
      <sheetData sheetId="17"/>
      <sheetData sheetId="18">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19">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0">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1">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2">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ABS Estimate2"/>
      <sheetName val="Leads Entry"/>
      <sheetName val="Seinorage Road"/>
      <sheetName val="seiniorages CD works"/>
      <sheetName val="GenAbst"/>
      <sheetName val="Abstract"/>
      <sheetName val="Road data"/>
      <sheetName val="BTR"/>
      <sheetName val="RMR"/>
      <sheetName val="Rates"/>
      <sheetName val="AS_SR (SH)"/>
      <sheetName val="TS_SH "/>
      <sheetName val="Plan SH TS"/>
      <sheetName val="CD Work"/>
      <sheetName val="AS_DFR"/>
      <sheetName val="PM_CRN"/>
      <sheetName val="TS_CRN"/>
      <sheetName val="LEAD"/>
      <sheetName val="pvc-pipe-rates"/>
      <sheetName val="Plant &amp;  Machinery"/>
      <sheetName val="Labour"/>
    </sheetNames>
    <sheetDataSet>
      <sheetData sheetId="0"/>
      <sheetData sheetId="1"/>
      <sheetData sheetId="2"/>
      <sheetData sheetId="3">
        <row r="30">
          <cell r="I30">
            <v>0.05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ABS Estimate2"/>
      <sheetName val="Leads Entry"/>
      <sheetName val="Seinorage Road"/>
      <sheetName val="seiniorages CD works"/>
      <sheetName val="GenAbst"/>
      <sheetName val="Abstract"/>
      <sheetName val="Road data"/>
      <sheetName val="BTR"/>
      <sheetName val="RMR"/>
      <sheetName val="Rates"/>
      <sheetName val="AS_SR (SH)"/>
      <sheetName val="TS_SH "/>
      <sheetName val="Plan SH TS"/>
      <sheetName val="CD Work"/>
      <sheetName val="AS_DFR"/>
      <sheetName val="PM_CRN"/>
      <sheetName val="TS_CRN"/>
      <sheetName val="LEAD"/>
      <sheetName val="pvc-pipe-rates"/>
      <sheetName val="Plant &amp;  Machinery"/>
      <sheetName val="Labour"/>
    </sheetNames>
    <sheetDataSet>
      <sheetData sheetId="0"/>
      <sheetData sheetId="1"/>
      <sheetData sheetId="2"/>
      <sheetData sheetId="3">
        <row r="30">
          <cell r="I30">
            <v>0.05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c"/>
      <sheetName val="ds2mt"/>
      <sheetName val="Dsskew2mt"/>
      <sheetName val="cway"/>
      <sheetName val="ccr"/>
      <sheetName val="deti"/>
      <sheetName val="cdabs"/>
      <sheetName val="PartA"/>
      <sheetName val="GA"/>
      <sheetName val="Rev"/>
      <sheetName val="Pw"/>
      <sheetName val="RD"/>
      <sheetName val="DRAIN"/>
      <sheetName val="PART-B"/>
      <sheetName val="spe"/>
      <sheetName val="Veth"/>
      <sheetName val="samu"/>
      <sheetName val="Road data"/>
      <sheetName val="DATA"/>
      <sheetName val="pvc-pipe-rates"/>
      <sheetName val="Lead"/>
      <sheetName val="Lead statement"/>
      <sheetName val="r"/>
      <sheetName val="l"/>
      <sheetName val="Publicbuilding"/>
      <sheetName val="nodes"/>
      <sheetName val="Boq"/>
      <sheetName val="p&amp;m"/>
      <sheetName val="Boq - Flats"/>
      <sheetName val="sch"/>
      <sheetName val="detls"/>
      <sheetName val="0000000000000"/>
      <sheetName val="MRATES"/>
      <sheetName val="Mortars"/>
      <sheetName val="m"/>
      <sheetName val="Iocount"/>
      <sheetName val="t_prsr"/>
      <sheetName val="wh"/>
      <sheetName val="Levels"/>
      <sheetName val="Data-Road "/>
      <sheetName val="other rates"/>
      <sheetName val="Hire"/>
      <sheetName val="Leads Entry"/>
      <sheetName val="SubAnalysis"/>
      <sheetName val="Plant_&amp;__Machinery3"/>
      <sheetName val="Summary_of_Rates3"/>
      <sheetName val="Basic_Approach3"/>
      <sheetName val="Plant_&amp;__Machinery1"/>
      <sheetName val="Summary_of_Rates1"/>
      <sheetName val="Basic_Approach1"/>
      <sheetName val="Plant_&amp;__Machinery"/>
      <sheetName val="Summary_of_Rates"/>
      <sheetName val="Basic_Approach"/>
      <sheetName val="Plant_&amp;__Machinery2"/>
      <sheetName val="Summary_of_Rates2"/>
      <sheetName val="Basic_Approach2"/>
      <sheetName val="Road_data"/>
      <sheetName val="Suppl-data"/>
      <sheetName val="sand"/>
      <sheetName val="stone"/>
      <sheetName val="index"/>
      <sheetName val="QTY"/>
      <sheetName val="mlead"/>
      <sheetName val="Hydraulic Design (Pipe)"/>
      <sheetName val="WATER-HAMMER"/>
      <sheetName val="INPUT"/>
      <sheetName val="coverpage"/>
      <sheetName val="maya"/>
      <sheetName val="Cover"/>
      <sheetName val="Relig-place"/>
      <sheetName val="SPT vs PHI"/>
      <sheetName val="Plant_&amp;__Machinery4"/>
      <sheetName val="Summary_of_Rates4"/>
      <sheetName val="Basic_Approach4"/>
      <sheetName val="Bitumen_trunk"/>
      <sheetName val="Feeder"/>
      <sheetName val="R99_etc"/>
      <sheetName val="Trunk_unpaved"/>
      <sheetName val="well"/>
      <sheetName val="Cover sheet"/>
      <sheetName val="GEN-ABS Del"/>
      <sheetName val="Footings"/>
      <sheetName val="RMR"/>
      <sheetName val="Data 07-08 "/>
      <sheetName val="RA-markate"/>
      <sheetName val="Rates"/>
      <sheetName val="Road Detail Est."/>
      <sheetName val="DI PIPE"/>
      <sheetName val="RUBBER GASKETS"/>
      <sheetName val="MANHOLE"/>
      <sheetName val="Lead statement ss5"/>
      <sheetName val="JAWAHAR-hyd-original"/>
      <sheetName val="not req 3"/>
      <sheetName val="Lead  RATES"/>
      <sheetName val="MRoad data"/>
      <sheetName val="Sheet1 (2)"/>
      <sheetName val="b asic rates"/>
      <sheetName val="Main sheet"/>
    </sheetNames>
    <sheetDataSet>
      <sheetData sheetId="0"/>
      <sheetData sheetId="1"/>
      <sheetData sheetId="2" refreshError="1">
        <row r="4">
          <cell r="G4" t="str">
            <v>Input Rate</v>
          </cell>
        </row>
        <row r="50">
          <cell r="G50" t="str">
            <v>Input Rate</v>
          </cell>
        </row>
      </sheetData>
      <sheetData sheetId="3" refreshError="1">
        <row r="3">
          <cell r="D3">
            <v>137</v>
          </cell>
        </row>
        <row r="14">
          <cell r="D14">
            <v>156</v>
          </cell>
        </row>
      </sheetData>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vc-pipe-rates"/>
      <sheetName val="HDPE-pipe-rates"/>
      <sheetName val="psc-pipe-rates"/>
      <sheetName val="ci-pipes-road-cross"/>
      <sheetName val="pipe-est (13habs)-bypass-Glsr"/>
      <sheetName val="ANX-I"/>
      <sheetName val="ANX-II"/>
      <sheetName val="Valve-cost"/>
      <sheetName val="specification report"/>
      <sheetName val="na1-pac3-gravity-lines"/>
      <sheetName val="Labour"/>
      <sheetName val="pipe-est_(13habs)-bypass-Glsr"/>
      <sheetName val="specification_report"/>
      <sheetName val="Nspt-smp-final-ORIGINAL"/>
      <sheetName val="DATA"/>
      <sheetName val="Levels"/>
      <sheetName val="sup dat"/>
      <sheetName val="WATER-HAMMER"/>
      <sheetName val="Bill_amt_qty_cc_1"/>
      <sheetName val="Plant &amp;  Machinery"/>
      <sheetName val="Road data"/>
      <sheetName val="Leads"/>
      <sheetName val="sch"/>
      <sheetName val="data existing_do not delete"/>
      <sheetName val="r"/>
      <sheetName val="l"/>
      <sheetName val="Material"/>
      <sheetName val="LEAD"/>
      <sheetName val="m"/>
      <sheetName val="sand"/>
      <sheetName val="PVC_dia"/>
      <sheetName val="stone"/>
      <sheetName val="index"/>
      <sheetName val="economic PM"/>
      <sheetName val="nodes"/>
      <sheetName val="t_prsr"/>
      <sheetName val="wh"/>
      <sheetName val="Lead statement"/>
      <sheetName val="Publicbuilding"/>
      <sheetName val="data-WC"/>
      <sheetName val="Data_Base"/>
      <sheetName val="GA"/>
      <sheetName val="Specification"/>
      <sheetName val="Rates SSR 2008-09"/>
      <sheetName val="Sheet3"/>
      <sheetName val="design"/>
      <sheetName val="SubAnalysis"/>
      <sheetName val="maya"/>
      <sheetName val="p&amp;m"/>
      <sheetName val="DATA-ABSTRACT"/>
      <sheetName val="id"/>
      <sheetName val="RMR"/>
      <sheetName val="Mortars"/>
      <sheetName val="MRATES"/>
      <sheetName val="Boq"/>
      <sheetName val="Data-Road "/>
      <sheetName val="other rates"/>
      <sheetName val="Hire"/>
      <sheetName val="Data_Bit_I"/>
      <sheetName val="sectorwise"/>
      <sheetName val="RCC,Ret. Wall"/>
      <sheetName val="Road Detail Est."/>
      <sheetName val="detls"/>
      <sheetName val="m lead"/>
      <sheetName val="Leads Entry"/>
      <sheetName val="Sheet1 (2)"/>
      <sheetName val="pipe-est_(13habs)-bypass-Glsr1"/>
      <sheetName val="specification_report1"/>
      <sheetName val="sup_dat"/>
      <sheetName val="Plant_&amp;__Machinery"/>
      <sheetName val="Road_data"/>
      <sheetName val="data_existing_do_not_delete"/>
      <sheetName val="conc-foot-gradeslab"/>
      <sheetName val="Sheet2"/>
      <sheetName val="Cover"/>
      <sheetName val="RateAnalysis"/>
      <sheetName val="Data_"/>
      <sheetName val="bASICDATA"/>
      <sheetName val="REL"/>
      <sheetName val="JAWAHAR-hyd-original"/>
      <sheetName val="Sheet1"/>
      <sheetName val="RATES"/>
      <sheetName val="abs road"/>
      <sheetName val="coverpage"/>
      <sheetName val="General"/>
      <sheetName val="Boq - Flats"/>
      <sheetName val="Det. AV road "/>
      <sheetName val="R_Det"/>
      <sheetName val="mp-team 1"/>
      <sheetName val="Hydraulic Design (Pipe)"/>
      <sheetName val="concrete"/>
      <sheetName val="v"/>
      <sheetName val="temp-SDData (2)"/>
    </sheetNames>
    <sheetDataSet>
      <sheetData sheetId="0"/>
      <sheetData sheetId="1"/>
      <sheetData sheetId="2"/>
      <sheetData sheetId="3"/>
      <sheetData sheetId="4"/>
      <sheetData sheetId="5"/>
      <sheetData sheetId="6"/>
      <sheetData sheetId="7"/>
      <sheetData sheetId="8"/>
      <sheetData sheetId="9"/>
      <sheetData sheetId="10" refreshError="1"/>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tsb"/>
      <sheetName val="ssr-rates"/>
      <sheetName val="t_prsr"/>
      <sheetName val="id"/>
      <sheetName val="wh"/>
      <sheetName val="id_whmr"/>
      <sheetName val="data existing_do not delete"/>
      <sheetName val="Plant &amp;  Machinery"/>
      <sheetName val="pvc-pipe-rates"/>
      <sheetName val="r"/>
      <sheetName val="banilad"/>
      <sheetName val="Mactan"/>
      <sheetName val="Mandaue"/>
      <sheetName val="mlead"/>
      <sheetName val="abs road"/>
      <sheetName val="coverpage"/>
      <sheetName val="RMR"/>
      <sheetName val="Road data"/>
      <sheetName val="R_Det"/>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COST"/>
      <sheetName val="Data"/>
      <sheetName val="TBAL9697 -group wise  sdpl"/>
      <sheetName val="p&amp;m"/>
      <sheetName val="Staff Acco."/>
      <sheetName val="Lead Statement"/>
      <sheetName val="HDPE"/>
      <sheetName val="DI"/>
      <sheetName val="pvc"/>
      <sheetName val="Bridge Data 2005-06"/>
      <sheetName val="Legal Risk Analysis"/>
      <sheetName val="Boq Block A"/>
      <sheetName val="final abstract"/>
      <sheetName val="Lead"/>
      <sheetName val="steel SF (slab-2)"/>
      <sheetName val="Bill-12"/>
      <sheetName val="Class IV Qtr. Ele"/>
      <sheetName val="MRATES"/>
      <sheetName val="Cover"/>
      <sheetName val="DATA-BASE"/>
      <sheetName val="DATA-ABSTRACT"/>
      <sheetName val="Data.F8.BTR"/>
      <sheetName val="Common "/>
      <sheetName val="Sheet1 (2)"/>
      <sheetName val="wh_data"/>
      <sheetName val="wh_data_R"/>
      <sheetName val="CPHEEO"/>
      <sheetName val="input"/>
      <sheetName val="data_existing_do_not_delete"/>
      <sheetName val="Plant_&amp;__Machinery"/>
      <sheetName val="abs_road"/>
      <sheetName val="Road_data"/>
      <sheetName val="Bed Fall"/>
      <sheetName val="Title"/>
      <sheetName val="Ventway Calculations"/>
      <sheetName val="Work_sheet"/>
      <sheetName val="BWSCPlt"/>
      <sheetName val="CI"/>
      <sheetName val="G.R.P"/>
      <sheetName val="PSC REVISED"/>
      <sheetName val="m"/>
      <sheetName val="v"/>
      <sheetName val="0000000000000"/>
      <sheetName val="habs-list"/>
      <sheetName val="nodes"/>
      <sheetName val="Aug,02"/>
      <sheetName val="SSR 2016-17 Rates"/>
    </sheetNames>
    <sheetDataSet>
      <sheetData sheetId="0">
        <row r="3">
          <cell r="A3" t="str">
            <v>CODE</v>
          </cell>
        </row>
      </sheetData>
      <sheetData sheetId="1">
        <row r="3">
          <cell r="A3" t="str">
            <v>CODE</v>
          </cell>
        </row>
      </sheetData>
      <sheetData sheetId="2">
        <row r="3">
          <cell r="A3" t="str">
            <v>CODE</v>
          </cell>
        </row>
      </sheetData>
      <sheetData sheetId="3">
        <row r="3">
          <cell r="A3" t="str">
            <v>CODE</v>
          </cell>
          <cell r="B3" t="str">
            <v>TYPE</v>
          </cell>
          <cell r="C3" t="str">
            <v>OD</v>
          </cell>
          <cell r="D3" t="str">
            <v>CLASS</v>
          </cell>
          <cell r="E3" t="str">
            <v>ID</v>
          </cell>
        </row>
        <row r="4">
          <cell r="A4" t="str">
            <v>PVC463</v>
          </cell>
          <cell r="B4" t="str">
            <v>PVC</v>
          </cell>
          <cell r="C4">
            <v>63</v>
          </cell>
          <cell r="D4">
            <v>4</v>
          </cell>
          <cell r="E4">
            <v>59.2</v>
          </cell>
        </row>
        <row r="5">
          <cell r="A5" t="str">
            <v>PVC475</v>
          </cell>
          <cell r="B5" t="str">
            <v>PVC</v>
          </cell>
          <cell r="C5">
            <v>75</v>
          </cell>
          <cell r="D5">
            <v>4</v>
          </cell>
          <cell r="E5">
            <v>70.599999999999994</v>
          </cell>
        </row>
        <row r="6">
          <cell r="A6" t="str">
            <v>PVC490</v>
          </cell>
          <cell r="B6" t="str">
            <v>PVC</v>
          </cell>
          <cell r="C6">
            <v>90</v>
          </cell>
          <cell r="D6">
            <v>4</v>
          </cell>
          <cell r="E6">
            <v>84.8</v>
          </cell>
        </row>
        <row r="7">
          <cell r="A7" t="str">
            <v>PVC4110</v>
          </cell>
          <cell r="B7" t="str">
            <v>PVC</v>
          </cell>
          <cell r="C7">
            <v>110</v>
          </cell>
          <cell r="D7">
            <v>4</v>
          </cell>
          <cell r="E7">
            <v>104</v>
          </cell>
        </row>
        <row r="8">
          <cell r="A8" t="str">
            <v>PVC4125</v>
          </cell>
          <cell r="B8" t="str">
            <v>PVC</v>
          </cell>
          <cell r="C8">
            <v>125</v>
          </cell>
          <cell r="D8">
            <v>4</v>
          </cell>
          <cell r="E8">
            <v>118.2</v>
          </cell>
        </row>
        <row r="9">
          <cell r="A9" t="str">
            <v>PVC4140</v>
          </cell>
          <cell r="B9" t="str">
            <v>PVC</v>
          </cell>
          <cell r="C9">
            <v>140</v>
          </cell>
          <cell r="D9">
            <v>4</v>
          </cell>
          <cell r="E9">
            <v>132.4</v>
          </cell>
        </row>
        <row r="10">
          <cell r="A10" t="str">
            <v>PVC4160</v>
          </cell>
          <cell r="B10" t="str">
            <v>PVC</v>
          </cell>
          <cell r="C10">
            <v>160</v>
          </cell>
          <cell r="D10">
            <v>4</v>
          </cell>
          <cell r="E10">
            <v>151.4</v>
          </cell>
        </row>
        <row r="11">
          <cell r="A11" t="str">
            <v>PVC4180</v>
          </cell>
          <cell r="B11" t="str">
            <v>PVC</v>
          </cell>
          <cell r="C11">
            <v>180</v>
          </cell>
          <cell r="D11">
            <v>4</v>
          </cell>
          <cell r="E11">
            <v>170.2</v>
          </cell>
        </row>
        <row r="12">
          <cell r="A12" t="str">
            <v>PVC4200</v>
          </cell>
          <cell r="B12" t="str">
            <v>PVC</v>
          </cell>
          <cell r="C12">
            <v>200</v>
          </cell>
          <cell r="D12">
            <v>4</v>
          </cell>
          <cell r="E12">
            <v>189.4</v>
          </cell>
        </row>
        <row r="13">
          <cell r="A13" t="str">
            <v>PVC4225</v>
          </cell>
          <cell r="B13" t="str">
            <v>PVC</v>
          </cell>
          <cell r="C13">
            <v>225</v>
          </cell>
          <cell r="D13">
            <v>4</v>
          </cell>
          <cell r="E13">
            <v>213</v>
          </cell>
        </row>
        <row r="14">
          <cell r="A14" t="str">
            <v>PVC4250</v>
          </cell>
          <cell r="B14" t="str">
            <v>PVC</v>
          </cell>
          <cell r="C14">
            <v>250</v>
          </cell>
          <cell r="D14">
            <v>4</v>
          </cell>
          <cell r="E14">
            <v>237</v>
          </cell>
        </row>
        <row r="15">
          <cell r="A15" t="str">
            <v>PVC4280</v>
          </cell>
          <cell r="B15" t="str">
            <v>PVC</v>
          </cell>
          <cell r="C15">
            <v>280</v>
          </cell>
          <cell r="D15">
            <v>4</v>
          </cell>
          <cell r="E15">
            <v>265.2</v>
          </cell>
        </row>
        <row r="16">
          <cell r="A16" t="str">
            <v>PVC4315</v>
          </cell>
          <cell r="B16" t="str">
            <v>PVC</v>
          </cell>
          <cell r="C16">
            <v>315</v>
          </cell>
          <cell r="D16">
            <v>4</v>
          </cell>
          <cell r="E16">
            <v>298.39999999999998</v>
          </cell>
        </row>
        <row r="17">
          <cell r="A17" t="str">
            <v>PVC4355</v>
          </cell>
          <cell r="B17" t="str">
            <v>PVC</v>
          </cell>
          <cell r="C17">
            <v>355</v>
          </cell>
          <cell r="D17">
            <v>4</v>
          </cell>
        </row>
        <row r="18">
          <cell r="A18" t="str">
            <v>PVC4400</v>
          </cell>
          <cell r="B18" t="str">
            <v>PVC</v>
          </cell>
          <cell r="C18">
            <v>400</v>
          </cell>
          <cell r="D18">
            <v>4</v>
          </cell>
        </row>
        <row r="19">
          <cell r="A19" t="str">
            <v>PVC663</v>
          </cell>
          <cell r="B19" t="str">
            <v>PVC</v>
          </cell>
          <cell r="C19">
            <v>63</v>
          </cell>
          <cell r="D19">
            <v>6</v>
          </cell>
          <cell r="E19">
            <v>57.6</v>
          </cell>
        </row>
        <row r="20">
          <cell r="A20" t="str">
            <v>PVC675</v>
          </cell>
          <cell r="B20" t="str">
            <v>PVC</v>
          </cell>
          <cell r="C20">
            <v>75</v>
          </cell>
          <cell r="D20">
            <v>6</v>
          </cell>
          <cell r="E20">
            <v>68.8</v>
          </cell>
        </row>
        <row r="21">
          <cell r="A21" t="str">
            <v>PVC690</v>
          </cell>
          <cell r="B21" t="str">
            <v>PVC</v>
          </cell>
          <cell r="C21">
            <v>90</v>
          </cell>
          <cell r="D21">
            <v>6</v>
          </cell>
          <cell r="E21">
            <v>82.6</v>
          </cell>
        </row>
        <row r="22">
          <cell r="A22" t="str">
            <v>PVC6110</v>
          </cell>
          <cell r="B22" t="str">
            <v>PVC</v>
          </cell>
          <cell r="C22">
            <v>110</v>
          </cell>
          <cell r="D22">
            <v>6</v>
          </cell>
          <cell r="E22">
            <v>101.4</v>
          </cell>
        </row>
        <row r="23">
          <cell r="A23" t="str">
            <v>PVC6125</v>
          </cell>
          <cell r="B23" t="str">
            <v>PVC</v>
          </cell>
          <cell r="C23">
            <v>125</v>
          </cell>
          <cell r="D23">
            <v>6</v>
          </cell>
          <cell r="E23">
            <v>115</v>
          </cell>
        </row>
        <row r="24">
          <cell r="A24" t="str">
            <v>PVC6140</v>
          </cell>
          <cell r="B24" t="str">
            <v>PVC</v>
          </cell>
          <cell r="C24">
            <v>140</v>
          </cell>
          <cell r="D24">
            <v>6</v>
          </cell>
          <cell r="E24">
            <v>129</v>
          </cell>
        </row>
        <row r="25">
          <cell r="A25" t="str">
            <v>PVC6160</v>
          </cell>
          <cell r="B25" t="str">
            <v>PVC</v>
          </cell>
          <cell r="C25">
            <v>160</v>
          </cell>
          <cell r="D25">
            <v>6</v>
          </cell>
          <cell r="E25">
            <v>147.6</v>
          </cell>
        </row>
        <row r="26">
          <cell r="A26" t="str">
            <v>PVC6180</v>
          </cell>
          <cell r="B26" t="str">
            <v>PVC</v>
          </cell>
          <cell r="C26">
            <v>180</v>
          </cell>
          <cell r="D26">
            <v>6</v>
          </cell>
          <cell r="E26">
            <v>165.8</v>
          </cell>
        </row>
        <row r="27">
          <cell r="A27" t="str">
            <v>PVC6200</v>
          </cell>
          <cell r="B27" t="str">
            <v>PVC</v>
          </cell>
          <cell r="C27">
            <v>200</v>
          </cell>
          <cell r="D27">
            <v>6</v>
          </cell>
          <cell r="E27">
            <v>184.2</v>
          </cell>
        </row>
        <row r="28">
          <cell r="A28" t="str">
            <v>PVC6225</v>
          </cell>
          <cell r="B28" t="str">
            <v>PVC</v>
          </cell>
          <cell r="C28">
            <v>225</v>
          </cell>
          <cell r="D28">
            <v>6</v>
          </cell>
          <cell r="E28">
            <v>207.8</v>
          </cell>
        </row>
        <row r="29">
          <cell r="A29" t="str">
            <v>PVC6250</v>
          </cell>
          <cell r="B29" t="str">
            <v>PVC</v>
          </cell>
          <cell r="C29">
            <v>250</v>
          </cell>
          <cell r="D29">
            <v>6</v>
          </cell>
          <cell r="E29">
            <v>230.4</v>
          </cell>
        </row>
        <row r="30">
          <cell r="A30" t="str">
            <v>PVC6280</v>
          </cell>
          <cell r="B30" t="str">
            <v>PVC</v>
          </cell>
          <cell r="C30">
            <v>280</v>
          </cell>
          <cell r="D30">
            <v>6</v>
          </cell>
          <cell r="E30">
            <v>258</v>
          </cell>
        </row>
        <row r="31">
          <cell r="A31" t="str">
            <v>PVC6315</v>
          </cell>
          <cell r="B31" t="str">
            <v>PVC</v>
          </cell>
          <cell r="C31">
            <v>315</v>
          </cell>
          <cell r="D31">
            <v>6</v>
          </cell>
          <cell r="E31">
            <v>290.2</v>
          </cell>
        </row>
        <row r="32">
          <cell r="A32" t="str">
            <v>PVC6355</v>
          </cell>
          <cell r="B32" t="str">
            <v>PVC</v>
          </cell>
          <cell r="C32">
            <v>355</v>
          </cell>
          <cell r="D32">
            <v>6</v>
          </cell>
        </row>
        <row r="33">
          <cell r="A33" t="str">
            <v>PVC6400</v>
          </cell>
          <cell r="B33" t="str">
            <v>PVC</v>
          </cell>
          <cell r="C33">
            <v>400</v>
          </cell>
          <cell r="D33">
            <v>6</v>
          </cell>
        </row>
        <row r="34">
          <cell r="A34" t="str">
            <v>PVC1063</v>
          </cell>
          <cell r="B34" t="str">
            <v>PVC</v>
          </cell>
          <cell r="C34">
            <v>63</v>
          </cell>
          <cell r="D34">
            <v>10</v>
          </cell>
          <cell r="E34">
            <v>54.8</v>
          </cell>
        </row>
        <row r="35">
          <cell r="A35" t="str">
            <v>PVC1075</v>
          </cell>
          <cell r="B35" t="str">
            <v>PVC</v>
          </cell>
          <cell r="C35">
            <v>75</v>
          </cell>
          <cell r="D35">
            <v>10</v>
          </cell>
          <cell r="E35">
            <v>65.2</v>
          </cell>
        </row>
        <row r="36">
          <cell r="A36" t="str">
            <v>PVC1090</v>
          </cell>
          <cell r="B36" t="str">
            <v>PVC</v>
          </cell>
          <cell r="C36">
            <v>90</v>
          </cell>
          <cell r="D36">
            <v>10</v>
          </cell>
          <cell r="E36">
            <v>78.599999999999994</v>
          </cell>
        </row>
        <row r="37">
          <cell r="A37" t="str">
            <v>PVC10110</v>
          </cell>
          <cell r="B37" t="str">
            <v>PVC</v>
          </cell>
          <cell r="C37">
            <v>110</v>
          </cell>
          <cell r="D37">
            <v>10</v>
          </cell>
          <cell r="E37">
            <v>95.8</v>
          </cell>
        </row>
        <row r="38">
          <cell r="A38" t="str">
            <v>PVC10125</v>
          </cell>
          <cell r="B38" t="str">
            <v>PVC</v>
          </cell>
          <cell r="C38">
            <v>125</v>
          </cell>
          <cell r="D38">
            <v>10</v>
          </cell>
          <cell r="E38">
            <v>109</v>
          </cell>
        </row>
        <row r="39">
          <cell r="A39" t="str">
            <v>PVC10140</v>
          </cell>
          <cell r="B39" t="str">
            <v>PVC</v>
          </cell>
          <cell r="C39">
            <v>140</v>
          </cell>
          <cell r="D39">
            <v>10</v>
          </cell>
          <cell r="E39">
            <v>122.2</v>
          </cell>
        </row>
        <row r="40">
          <cell r="A40" t="str">
            <v>PVC10160</v>
          </cell>
          <cell r="B40" t="str">
            <v>PVC</v>
          </cell>
          <cell r="C40">
            <v>160</v>
          </cell>
          <cell r="D40">
            <v>10</v>
          </cell>
          <cell r="E40">
            <v>139.6</v>
          </cell>
        </row>
        <row r="41">
          <cell r="A41" t="str">
            <v>PVC10180</v>
          </cell>
          <cell r="B41" t="str">
            <v>PVC</v>
          </cell>
          <cell r="C41">
            <v>180</v>
          </cell>
          <cell r="D41">
            <v>10</v>
          </cell>
          <cell r="E41">
            <v>157.19999999999999</v>
          </cell>
        </row>
        <row r="42">
          <cell r="A42" t="str">
            <v>PVC10200</v>
          </cell>
          <cell r="B42" t="str">
            <v>PVC</v>
          </cell>
          <cell r="C42">
            <v>200</v>
          </cell>
          <cell r="D42">
            <v>10</v>
          </cell>
          <cell r="E42">
            <v>174.6</v>
          </cell>
        </row>
        <row r="43">
          <cell r="A43" t="str">
            <v>PVC10225</v>
          </cell>
          <cell r="B43" t="str">
            <v>PVC</v>
          </cell>
          <cell r="C43">
            <v>225</v>
          </cell>
          <cell r="D43">
            <v>10</v>
          </cell>
          <cell r="E43">
            <v>196.4</v>
          </cell>
        </row>
        <row r="44">
          <cell r="A44" t="str">
            <v>PVC10250</v>
          </cell>
          <cell r="B44" t="str">
            <v>PVC</v>
          </cell>
          <cell r="C44">
            <v>250</v>
          </cell>
          <cell r="D44">
            <v>10</v>
          </cell>
          <cell r="E44">
            <v>218.2</v>
          </cell>
        </row>
        <row r="45">
          <cell r="A45" t="str">
            <v>PVC10280</v>
          </cell>
          <cell r="B45" t="str">
            <v>PVC</v>
          </cell>
          <cell r="C45">
            <v>280</v>
          </cell>
          <cell r="D45">
            <v>10</v>
          </cell>
          <cell r="E45">
            <v>244.4</v>
          </cell>
        </row>
        <row r="46">
          <cell r="A46" t="str">
            <v>PVC10315</v>
          </cell>
          <cell r="B46" t="str">
            <v>PVC</v>
          </cell>
          <cell r="C46">
            <v>315</v>
          </cell>
          <cell r="D46">
            <v>10</v>
          </cell>
          <cell r="E46">
            <v>275.2</v>
          </cell>
        </row>
        <row r="47">
          <cell r="A47" t="str">
            <v>PVC10355</v>
          </cell>
          <cell r="B47" t="str">
            <v>PVC</v>
          </cell>
          <cell r="C47">
            <v>355</v>
          </cell>
          <cell r="D47">
            <v>10</v>
          </cell>
        </row>
        <row r="48">
          <cell r="A48" t="str">
            <v>PVC10400</v>
          </cell>
          <cell r="B48" t="str">
            <v>PVC</v>
          </cell>
          <cell r="C48">
            <v>400</v>
          </cell>
          <cell r="D48">
            <v>10</v>
          </cell>
        </row>
        <row r="49">
          <cell r="A49" t="str">
            <v>HDPE463</v>
          </cell>
          <cell r="B49" t="str">
            <v>HDPE</v>
          </cell>
          <cell r="C49">
            <v>63</v>
          </cell>
          <cell r="D49">
            <v>4</v>
          </cell>
          <cell r="E49">
            <v>57</v>
          </cell>
        </row>
        <row r="50">
          <cell r="A50" t="str">
            <v>HDPE475</v>
          </cell>
          <cell r="B50" t="str">
            <v>HDPE</v>
          </cell>
          <cell r="C50">
            <v>75</v>
          </cell>
          <cell r="D50">
            <v>4</v>
          </cell>
          <cell r="E50">
            <v>68.2</v>
          </cell>
        </row>
        <row r="51">
          <cell r="A51" t="str">
            <v>HDPE490</v>
          </cell>
          <cell r="B51" t="str">
            <v>HDPE</v>
          </cell>
          <cell r="C51">
            <v>90</v>
          </cell>
          <cell r="D51">
            <v>4</v>
          </cell>
          <cell r="E51">
            <v>81.8</v>
          </cell>
        </row>
        <row r="52">
          <cell r="A52" t="str">
            <v>HDPE4110</v>
          </cell>
          <cell r="B52" t="str">
            <v>HDPE</v>
          </cell>
          <cell r="C52">
            <v>110</v>
          </cell>
          <cell r="D52">
            <v>4</v>
          </cell>
          <cell r="E52">
            <v>100</v>
          </cell>
        </row>
        <row r="53">
          <cell r="A53" t="str">
            <v>HDPE4125</v>
          </cell>
          <cell r="B53" t="str">
            <v>HDPE</v>
          </cell>
          <cell r="C53">
            <v>125</v>
          </cell>
          <cell r="D53">
            <v>4</v>
          </cell>
          <cell r="E53">
            <v>113.8</v>
          </cell>
        </row>
        <row r="54">
          <cell r="A54" t="str">
            <v>HDPE4140</v>
          </cell>
          <cell r="B54" t="str">
            <v>HDPE</v>
          </cell>
          <cell r="C54">
            <v>140</v>
          </cell>
          <cell r="D54">
            <v>4</v>
          </cell>
          <cell r="E54">
            <v>127.6</v>
          </cell>
        </row>
        <row r="55">
          <cell r="A55" t="str">
            <v>HDPE4160</v>
          </cell>
          <cell r="B55" t="str">
            <v>HDPE</v>
          </cell>
          <cell r="C55">
            <v>160</v>
          </cell>
          <cell r="D55">
            <v>4</v>
          </cell>
          <cell r="E55">
            <v>145.80000000000001</v>
          </cell>
        </row>
        <row r="56">
          <cell r="A56" t="str">
            <v>HDPE4180</v>
          </cell>
          <cell r="B56" t="str">
            <v>HDPE</v>
          </cell>
          <cell r="C56">
            <v>180</v>
          </cell>
          <cell r="D56">
            <v>4</v>
          </cell>
          <cell r="E56">
            <v>164.2</v>
          </cell>
        </row>
        <row r="57">
          <cell r="A57" t="str">
            <v>HDPE4200</v>
          </cell>
          <cell r="B57" t="str">
            <v>HDPE</v>
          </cell>
          <cell r="C57">
            <v>200</v>
          </cell>
          <cell r="D57">
            <v>4</v>
          </cell>
          <cell r="E57">
            <v>182.6</v>
          </cell>
        </row>
        <row r="58">
          <cell r="A58" t="str">
            <v>HDPE4225</v>
          </cell>
          <cell r="B58" t="str">
            <v>HDPE</v>
          </cell>
          <cell r="C58">
            <v>225</v>
          </cell>
          <cell r="D58">
            <v>4</v>
          </cell>
          <cell r="E58">
            <v>205.4</v>
          </cell>
        </row>
        <row r="59">
          <cell r="A59" t="str">
            <v>HDPE4250</v>
          </cell>
          <cell r="B59" t="str">
            <v>HDPE</v>
          </cell>
          <cell r="C59">
            <v>250</v>
          </cell>
          <cell r="D59">
            <v>4</v>
          </cell>
          <cell r="E59">
            <v>228.2</v>
          </cell>
        </row>
        <row r="60">
          <cell r="A60" t="str">
            <v>HDPE4280</v>
          </cell>
          <cell r="B60" t="str">
            <v>HDPE</v>
          </cell>
          <cell r="C60">
            <v>280</v>
          </cell>
          <cell r="D60">
            <v>4</v>
          </cell>
          <cell r="E60">
            <v>255.8</v>
          </cell>
        </row>
        <row r="61">
          <cell r="A61" t="str">
            <v>HDPE4315</v>
          </cell>
          <cell r="B61" t="str">
            <v>HDPE</v>
          </cell>
          <cell r="C61">
            <v>315</v>
          </cell>
          <cell r="D61">
            <v>4</v>
          </cell>
          <cell r="E61">
            <v>287.60000000000002</v>
          </cell>
        </row>
        <row r="62">
          <cell r="A62" t="str">
            <v>HDPE4355</v>
          </cell>
          <cell r="B62" t="str">
            <v>HDPE</v>
          </cell>
          <cell r="C62">
            <v>355</v>
          </cell>
          <cell r="D62">
            <v>4</v>
          </cell>
          <cell r="E62">
            <v>324.39999999999998</v>
          </cell>
        </row>
        <row r="63">
          <cell r="A63" t="str">
            <v>HDPE4400</v>
          </cell>
          <cell r="B63" t="str">
            <v>HDPE</v>
          </cell>
          <cell r="C63">
            <v>400</v>
          </cell>
          <cell r="D63">
            <v>4</v>
          </cell>
          <cell r="E63">
            <v>364</v>
          </cell>
        </row>
        <row r="64">
          <cell r="A64" t="str">
            <v>HDPE663</v>
          </cell>
          <cell r="B64" t="str">
            <v>HDPE</v>
          </cell>
          <cell r="C64">
            <v>63</v>
          </cell>
          <cell r="D64">
            <v>6</v>
          </cell>
          <cell r="E64">
            <v>54.6</v>
          </cell>
        </row>
        <row r="65">
          <cell r="A65" t="str">
            <v>HDPE675</v>
          </cell>
          <cell r="B65" t="str">
            <v>HDPE</v>
          </cell>
          <cell r="C65">
            <v>75</v>
          </cell>
          <cell r="D65">
            <v>6</v>
          </cell>
          <cell r="E65">
            <v>65</v>
          </cell>
        </row>
        <row r="66">
          <cell r="A66" t="str">
            <v>HDPE690</v>
          </cell>
          <cell r="B66" t="str">
            <v>HDPE</v>
          </cell>
          <cell r="C66">
            <v>90</v>
          </cell>
          <cell r="D66">
            <v>6</v>
          </cell>
          <cell r="E66">
            <v>78.2</v>
          </cell>
        </row>
        <row r="67">
          <cell r="A67" t="str">
            <v>HDPE6110</v>
          </cell>
          <cell r="B67" t="str">
            <v>HDPE</v>
          </cell>
          <cell r="C67">
            <v>110</v>
          </cell>
          <cell r="D67">
            <v>6</v>
          </cell>
          <cell r="E67">
            <v>95.6</v>
          </cell>
        </row>
        <row r="68">
          <cell r="A68" t="str">
            <v>HDPE6125</v>
          </cell>
          <cell r="B68" t="str">
            <v>HDPE</v>
          </cell>
          <cell r="C68">
            <v>125</v>
          </cell>
          <cell r="D68">
            <v>6</v>
          </cell>
          <cell r="E68">
            <v>108.8</v>
          </cell>
        </row>
        <row r="69">
          <cell r="A69" t="str">
            <v>HDPE6140</v>
          </cell>
          <cell r="B69" t="str">
            <v>HDPE</v>
          </cell>
          <cell r="C69">
            <v>140</v>
          </cell>
          <cell r="D69">
            <v>6</v>
          </cell>
          <cell r="E69">
            <v>122</v>
          </cell>
        </row>
        <row r="70">
          <cell r="A70" t="str">
            <v>HDPE6160</v>
          </cell>
          <cell r="B70" t="str">
            <v>HDPE</v>
          </cell>
          <cell r="C70">
            <v>160</v>
          </cell>
          <cell r="D70">
            <v>6</v>
          </cell>
          <cell r="E70">
            <v>139.4</v>
          </cell>
        </row>
        <row r="71">
          <cell r="A71" t="str">
            <v>HDPE6180</v>
          </cell>
          <cell r="B71" t="str">
            <v>HDPE</v>
          </cell>
          <cell r="C71">
            <v>180</v>
          </cell>
          <cell r="D71">
            <v>6</v>
          </cell>
          <cell r="E71">
            <v>157</v>
          </cell>
        </row>
        <row r="72">
          <cell r="A72" t="str">
            <v>HDPE6200</v>
          </cell>
          <cell r="B72" t="str">
            <v>HDPE</v>
          </cell>
          <cell r="C72">
            <v>200</v>
          </cell>
          <cell r="D72">
            <v>6</v>
          </cell>
          <cell r="E72">
            <v>174.4</v>
          </cell>
        </row>
        <row r="73">
          <cell r="A73" t="str">
            <v>HDPE6225</v>
          </cell>
          <cell r="B73" t="str">
            <v>HDPE</v>
          </cell>
          <cell r="C73">
            <v>225</v>
          </cell>
          <cell r="D73">
            <v>6</v>
          </cell>
          <cell r="E73">
            <v>196.4</v>
          </cell>
        </row>
        <row r="74">
          <cell r="A74" t="str">
            <v>HDPE6250</v>
          </cell>
          <cell r="B74" t="str">
            <v>HDPE</v>
          </cell>
          <cell r="C74">
            <v>250</v>
          </cell>
          <cell r="D74">
            <v>6</v>
          </cell>
          <cell r="E74">
            <v>218.2</v>
          </cell>
        </row>
        <row r="75">
          <cell r="A75" t="str">
            <v>HDPE6280</v>
          </cell>
          <cell r="B75" t="str">
            <v>HDPE</v>
          </cell>
          <cell r="C75">
            <v>280</v>
          </cell>
          <cell r="D75">
            <v>6</v>
          </cell>
          <cell r="E75">
            <v>244.6</v>
          </cell>
        </row>
        <row r="76">
          <cell r="A76" t="str">
            <v>HDPE6315</v>
          </cell>
          <cell r="B76" t="str">
            <v>HDPE</v>
          </cell>
          <cell r="C76">
            <v>315</v>
          </cell>
          <cell r="D76">
            <v>6</v>
          </cell>
          <cell r="E76">
            <v>275.2</v>
          </cell>
        </row>
        <row r="77">
          <cell r="A77" t="str">
            <v>HDPE6355</v>
          </cell>
          <cell r="B77" t="str">
            <v>HDPE</v>
          </cell>
          <cell r="C77">
            <v>355</v>
          </cell>
          <cell r="D77">
            <v>6</v>
          </cell>
          <cell r="E77">
            <v>310.2</v>
          </cell>
        </row>
        <row r="78">
          <cell r="A78" t="str">
            <v>HDPE6400</v>
          </cell>
          <cell r="B78" t="str">
            <v>HDPE</v>
          </cell>
          <cell r="C78">
            <v>400</v>
          </cell>
          <cell r="D78">
            <v>6</v>
          </cell>
          <cell r="E78">
            <v>347.2</v>
          </cell>
        </row>
        <row r="79">
          <cell r="A79" t="str">
            <v>HDPE863</v>
          </cell>
          <cell r="B79" t="str">
            <v>HDPE</v>
          </cell>
          <cell r="C79">
            <v>63</v>
          </cell>
          <cell r="D79">
            <v>8</v>
          </cell>
          <cell r="E79">
            <v>52.2</v>
          </cell>
        </row>
        <row r="80">
          <cell r="A80" t="str">
            <v>HDPE875</v>
          </cell>
          <cell r="B80" t="str">
            <v>HDPE</v>
          </cell>
          <cell r="C80">
            <v>75</v>
          </cell>
          <cell r="D80">
            <v>8</v>
          </cell>
          <cell r="E80">
            <v>62.2</v>
          </cell>
        </row>
        <row r="81">
          <cell r="A81" t="str">
            <v>HDPE890</v>
          </cell>
          <cell r="B81" t="str">
            <v>HDPE</v>
          </cell>
          <cell r="C81">
            <v>90</v>
          </cell>
          <cell r="D81">
            <v>8</v>
          </cell>
          <cell r="E81">
            <v>74.8</v>
          </cell>
        </row>
        <row r="82">
          <cell r="A82" t="str">
            <v>HDPE8110</v>
          </cell>
          <cell r="B82" t="str">
            <v>HDPE</v>
          </cell>
          <cell r="C82">
            <v>110</v>
          </cell>
          <cell r="D82">
            <v>8</v>
          </cell>
          <cell r="E82">
            <v>91.4</v>
          </cell>
        </row>
        <row r="83">
          <cell r="A83" t="str">
            <v>HDPE8125</v>
          </cell>
          <cell r="B83" t="str">
            <v>HDPE</v>
          </cell>
          <cell r="C83">
            <v>125</v>
          </cell>
          <cell r="D83">
            <v>8</v>
          </cell>
          <cell r="E83">
            <v>104</v>
          </cell>
        </row>
        <row r="84">
          <cell r="A84" t="str">
            <v>HDPE8140</v>
          </cell>
          <cell r="B84" t="str">
            <v>HDPE</v>
          </cell>
          <cell r="C84">
            <v>140</v>
          </cell>
          <cell r="D84">
            <v>8</v>
          </cell>
          <cell r="E84">
            <v>116.6</v>
          </cell>
        </row>
        <row r="85">
          <cell r="A85" t="str">
            <v>HDPE8160</v>
          </cell>
          <cell r="B85" t="str">
            <v>HDPE</v>
          </cell>
          <cell r="C85">
            <v>160</v>
          </cell>
          <cell r="D85">
            <v>8</v>
          </cell>
          <cell r="E85">
            <v>133.4</v>
          </cell>
        </row>
        <row r="86">
          <cell r="A86" t="str">
            <v>HDPE8180</v>
          </cell>
          <cell r="B86" t="str">
            <v>HDPE</v>
          </cell>
          <cell r="C86">
            <v>180</v>
          </cell>
          <cell r="D86">
            <v>8</v>
          </cell>
          <cell r="E86">
            <v>150</v>
          </cell>
        </row>
        <row r="87">
          <cell r="A87" t="str">
            <v>HDPE8200</v>
          </cell>
          <cell r="B87" t="str">
            <v>HDPE</v>
          </cell>
          <cell r="C87">
            <v>200</v>
          </cell>
          <cell r="D87">
            <v>8</v>
          </cell>
          <cell r="E87">
            <v>166.8</v>
          </cell>
        </row>
        <row r="88">
          <cell r="A88" t="str">
            <v>HDPE8225</v>
          </cell>
          <cell r="B88" t="str">
            <v>HDPE</v>
          </cell>
          <cell r="C88">
            <v>225</v>
          </cell>
          <cell r="D88">
            <v>8</v>
          </cell>
          <cell r="E88">
            <v>187.8</v>
          </cell>
        </row>
        <row r="89">
          <cell r="A89" t="str">
            <v>HDPE8250</v>
          </cell>
          <cell r="B89" t="str">
            <v>HDPE</v>
          </cell>
          <cell r="C89">
            <v>250</v>
          </cell>
          <cell r="D89">
            <v>8</v>
          </cell>
          <cell r="E89">
            <v>208.6</v>
          </cell>
        </row>
        <row r="90">
          <cell r="A90" t="str">
            <v>HDPE8280</v>
          </cell>
          <cell r="B90" t="str">
            <v>HDPE</v>
          </cell>
          <cell r="C90">
            <v>280</v>
          </cell>
          <cell r="D90">
            <v>8</v>
          </cell>
          <cell r="E90">
            <v>233.8</v>
          </cell>
        </row>
        <row r="91">
          <cell r="A91" t="str">
            <v>HDPE8315</v>
          </cell>
          <cell r="B91" t="str">
            <v>HDPE</v>
          </cell>
          <cell r="C91">
            <v>315</v>
          </cell>
          <cell r="D91">
            <v>8</v>
          </cell>
          <cell r="E91">
            <v>263</v>
          </cell>
        </row>
        <row r="92">
          <cell r="A92" t="str">
            <v>HDPE8355</v>
          </cell>
          <cell r="B92" t="str">
            <v>HDPE</v>
          </cell>
          <cell r="C92">
            <v>355</v>
          </cell>
          <cell r="D92">
            <v>8</v>
          </cell>
          <cell r="E92">
            <v>296.60000000000002</v>
          </cell>
        </row>
        <row r="93">
          <cell r="A93" t="str">
            <v>HDPE8400</v>
          </cell>
          <cell r="B93" t="str">
            <v>HDPE</v>
          </cell>
          <cell r="C93">
            <v>400</v>
          </cell>
          <cell r="D93">
            <v>8</v>
          </cell>
          <cell r="E93">
            <v>331.2</v>
          </cell>
        </row>
        <row r="94">
          <cell r="A94" t="str">
            <v>HDPE1063</v>
          </cell>
          <cell r="B94" t="str">
            <v>HDPE</v>
          </cell>
          <cell r="C94">
            <v>63</v>
          </cell>
          <cell r="D94">
            <v>10</v>
          </cell>
          <cell r="E94">
            <v>49.8</v>
          </cell>
        </row>
        <row r="95">
          <cell r="A95" t="str">
            <v>HDPE1075</v>
          </cell>
          <cell r="B95" t="str">
            <v>HDPE</v>
          </cell>
          <cell r="C95">
            <v>75</v>
          </cell>
          <cell r="D95">
            <v>10</v>
          </cell>
          <cell r="E95">
            <v>59.4</v>
          </cell>
        </row>
        <row r="96">
          <cell r="A96" t="str">
            <v>HDPE1090</v>
          </cell>
          <cell r="B96" t="str">
            <v>HDPE</v>
          </cell>
          <cell r="C96">
            <v>90</v>
          </cell>
          <cell r="D96">
            <v>10</v>
          </cell>
          <cell r="E96">
            <v>71.400000000000006</v>
          </cell>
        </row>
        <row r="97">
          <cell r="A97" t="str">
            <v>HDPE10110</v>
          </cell>
          <cell r="B97" t="str">
            <v>HDPE</v>
          </cell>
          <cell r="C97">
            <v>110</v>
          </cell>
          <cell r="D97">
            <v>10</v>
          </cell>
          <cell r="E97">
            <v>87.6</v>
          </cell>
        </row>
        <row r="98">
          <cell r="A98" t="str">
            <v>HDPE10125</v>
          </cell>
          <cell r="B98" t="str">
            <v>HDPE</v>
          </cell>
          <cell r="C98">
            <v>125</v>
          </cell>
          <cell r="D98">
            <v>10</v>
          </cell>
          <cell r="E98">
            <v>99.4</v>
          </cell>
        </row>
        <row r="99">
          <cell r="A99" t="str">
            <v>HDPE10140</v>
          </cell>
          <cell r="B99" t="str">
            <v>HDPE</v>
          </cell>
          <cell r="C99">
            <v>140</v>
          </cell>
          <cell r="D99">
            <v>10</v>
          </cell>
          <cell r="E99">
            <v>111.4</v>
          </cell>
        </row>
        <row r="100">
          <cell r="A100" t="str">
            <v>HDPE10160</v>
          </cell>
          <cell r="B100" t="str">
            <v>HDPE</v>
          </cell>
          <cell r="C100">
            <v>160</v>
          </cell>
          <cell r="D100">
            <v>10</v>
          </cell>
          <cell r="E100">
            <v>127.2</v>
          </cell>
        </row>
        <row r="101">
          <cell r="A101" t="str">
            <v>HDPE10180</v>
          </cell>
          <cell r="B101" t="str">
            <v>HDPE</v>
          </cell>
          <cell r="C101">
            <v>180</v>
          </cell>
          <cell r="D101">
            <v>10</v>
          </cell>
          <cell r="E101">
            <v>143.19999999999999</v>
          </cell>
        </row>
        <row r="102">
          <cell r="A102" t="str">
            <v>HDPE10200</v>
          </cell>
          <cell r="B102" t="str">
            <v>HDPE</v>
          </cell>
          <cell r="C102">
            <v>200</v>
          </cell>
          <cell r="D102">
            <v>10</v>
          </cell>
          <cell r="E102">
            <v>159.4</v>
          </cell>
        </row>
        <row r="103">
          <cell r="A103" t="str">
            <v>HDPE10225</v>
          </cell>
          <cell r="B103" t="str">
            <v>HDPE</v>
          </cell>
          <cell r="C103">
            <v>225</v>
          </cell>
          <cell r="D103">
            <v>10</v>
          </cell>
          <cell r="E103">
            <v>179.4</v>
          </cell>
        </row>
        <row r="104">
          <cell r="A104" t="str">
            <v>HDPE10250</v>
          </cell>
          <cell r="B104" t="str">
            <v>HDPE</v>
          </cell>
          <cell r="C104">
            <v>250</v>
          </cell>
          <cell r="D104">
            <v>10</v>
          </cell>
          <cell r="E104">
            <v>199.4</v>
          </cell>
        </row>
        <row r="105">
          <cell r="A105" t="str">
            <v>HDPE10280</v>
          </cell>
          <cell r="B105" t="str">
            <v>HDPE</v>
          </cell>
          <cell r="C105">
            <v>280</v>
          </cell>
          <cell r="D105">
            <v>10</v>
          </cell>
          <cell r="E105">
            <v>223.4</v>
          </cell>
        </row>
        <row r="106">
          <cell r="A106" t="str">
            <v>HDPE10315</v>
          </cell>
          <cell r="B106" t="str">
            <v>HDPE</v>
          </cell>
          <cell r="C106">
            <v>315</v>
          </cell>
          <cell r="D106">
            <v>10</v>
          </cell>
          <cell r="E106">
            <v>251.4</v>
          </cell>
        </row>
        <row r="107">
          <cell r="A107" t="str">
            <v>HDPE10355</v>
          </cell>
          <cell r="B107" t="str">
            <v>HDPE</v>
          </cell>
          <cell r="C107">
            <v>355</v>
          </cell>
          <cell r="D107">
            <v>10</v>
          </cell>
          <cell r="E107">
            <v>283.39999999999998</v>
          </cell>
        </row>
        <row r="108">
          <cell r="A108" t="str">
            <v>HDPE10400</v>
          </cell>
          <cell r="B108" t="str">
            <v>HDPE</v>
          </cell>
          <cell r="C108">
            <v>400</v>
          </cell>
          <cell r="D108">
            <v>10</v>
          </cell>
          <cell r="E108">
            <v>315.8</v>
          </cell>
        </row>
        <row r="109">
          <cell r="A109" t="str">
            <v>DIK780</v>
          </cell>
          <cell r="B109" t="str">
            <v>DI</v>
          </cell>
          <cell r="C109">
            <v>80</v>
          </cell>
          <cell r="D109" t="str">
            <v>K7</v>
          </cell>
          <cell r="E109">
            <v>80</v>
          </cell>
        </row>
        <row r="110">
          <cell r="A110" t="str">
            <v>DIK7100</v>
          </cell>
          <cell r="B110" t="str">
            <v>DI</v>
          </cell>
          <cell r="C110">
            <v>100</v>
          </cell>
          <cell r="D110" t="str">
            <v>K7</v>
          </cell>
          <cell r="E110">
            <v>100</v>
          </cell>
        </row>
        <row r="111">
          <cell r="A111" t="str">
            <v>DIK7125</v>
          </cell>
          <cell r="B111" t="str">
            <v>DI</v>
          </cell>
          <cell r="C111">
            <v>125</v>
          </cell>
          <cell r="D111" t="str">
            <v>K7</v>
          </cell>
          <cell r="E111">
            <v>125</v>
          </cell>
        </row>
        <row r="112">
          <cell r="A112" t="str">
            <v>DIK7150</v>
          </cell>
          <cell r="B112" t="str">
            <v>DI</v>
          </cell>
          <cell r="C112">
            <v>150</v>
          </cell>
          <cell r="D112" t="str">
            <v>K7</v>
          </cell>
          <cell r="E112">
            <v>150</v>
          </cell>
        </row>
        <row r="113">
          <cell r="A113" t="str">
            <v>DIK7200</v>
          </cell>
          <cell r="B113" t="str">
            <v>DI</v>
          </cell>
          <cell r="C113">
            <v>200</v>
          </cell>
          <cell r="D113" t="str">
            <v>K7</v>
          </cell>
          <cell r="E113">
            <v>200</v>
          </cell>
        </row>
        <row r="114">
          <cell r="A114" t="str">
            <v>DIK7250</v>
          </cell>
          <cell r="B114" t="str">
            <v>DI</v>
          </cell>
          <cell r="C114">
            <v>250</v>
          </cell>
          <cell r="D114" t="str">
            <v>K7</v>
          </cell>
          <cell r="E114">
            <v>250</v>
          </cell>
        </row>
        <row r="115">
          <cell r="A115" t="str">
            <v>DIK7300</v>
          </cell>
          <cell r="B115" t="str">
            <v>DI</v>
          </cell>
          <cell r="C115">
            <v>300</v>
          </cell>
          <cell r="D115" t="str">
            <v>K7</v>
          </cell>
          <cell r="E115">
            <v>300</v>
          </cell>
        </row>
        <row r="116">
          <cell r="A116" t="str">
            <v>DIK7350</v>
          </cell>
          <cell r="B116" t="str">
            <v>DI</v>
          </cell>
          <cell r="C116">
            <v>350</v>
          </cell>
          <cell r="D116" t="str">
            <v>K7</v>
          </cell>
          <cell r="E116">
            <v>350</v>
          </cell>
        </row>
        <row r="117">
          <cell r="A117" t="str">
            <v>DIK7400</v>
          </cell>
          <cell r="B117" t="str">
            <v>DI</v>
          </cell>
          <cell r="C117">
            <v>400</v>
          </cell>
          <cell r="D117" t="str">
            <v>K7</v>
          </cell>
          <cell r="E117">
            <v>400</v>
          </cell>
        </row>
        <row r="118">
          <cell r="A118" t="str">
            <v>DIK7450</v>
          </cell>
          <cell r="B118" t="str">
            <v>DI</v>
          </cell>
          <cell r="C118">
            <v>450</v>
          </cell>
          <cell r="D118" t="str">
            <v>K7</v>
          </cell>
          <cell r="E118">
            <v>450</v>
          </cell>
        </row>
        <row r="119">
          <cell r="A119" t="str">
            <v>DIK7500</v>
          </cell>
          <cell r="B119" t="str">
            <v>DI</v>
          </cell>
          <cell r="C119">
            <v>500</v>
          </cell>
          <cell r="D119" t="str">
            <v>K7</v>
          </cell>
          <cell r="E119">
            <v>500</v>
          </cell>
        </row>
        <row r="120">
          <cell r="A120" t="str">
            <v>DIK7600</v>
          </cell>
          <cell r="B120" t="str">
            <v>DI</v>
          </cell>
          <cell r="C120">
            <v>600</v>
          </cell>
          <cell r="D120" t="str">
            <v>K7</v>
          </cell>
          <cell r="E120">
            <v>600</v>
          </cell>
        </row>
        <row r="121">
          <cell r="A121" t="str">
            <v>DIK7700</v>
          </cell>
          <cell r="B121" t="str">
            <v>DI</v>
          </cell>
          <cell r="C121">
            <v>700</v>
          </cell>
          <cell r="D121" t="str">
            <v>K7</v>
          </cell>
          <cell r="E121">
            <v>700</v>
          </cell>
        </row>
        <row r="122">
          <cell r="A122" t="str">
            <v>DIK7800</v>
          </cell>
          <cell r="B122" t="str">
            <v>DI</v>
          </cell>
          <cell r="C122">
            <v>800</v>
          </cell>
          <cell r="D122" t="str">
            <v>K7</v>
          </cell>
          <cell r="E122">
            <v>800</v>
          </cell>
        </row>
        <row r="123">
          <cell r="A123" t="str">
            <v>DIK7900</v>
          </cell>
          <cell r="B123" t="str">
            <v>DI</v>
          </cell>
          <cell r="C123">
            <v>900</v>
          </cell>
          <cell r="D123" t="str">
            <v>K7</v>
          </cell>
          <cell r="E123">
            <v>900</v>
          </cell>
        </row>
        <row r="124">
          <cell r="A124" t="str">
            <v>DIK71000</v>
          </cell>
          <cell r="B124" t="str">
            <v>DI</v>
          </cell>
          <cell r="C124">
            <v>1000</v>
          </cell>
          <cell r="D124" t="str">
            <v>K7</v>
          </cell>
          <cell r="E124">
            <v>1000</v>
          </cell>
        </row>
        <row r="125">
          <cell r="A125" t="str">
            <v>DIK980</v>
          </cell>
          <cell r="B125" t="str">
            <v>DI</v>
          </cell>
          <cell r="C125">
            <v>80</v>
          </cell>
          <cell r="D125" t="str">
            <v>K9</v>
          </cell>
          <cell r="E125">
            <v>80</v>
          </cell>
        </row>
        <row r="126">
          <cell r="A126" t="str">
            <v>DIK9100</v>
          </cell>
          <cell r="B126" t="str">
            <v>DI</v>
          </cell>
          <cell r="C126">
            <v>100</v>
          </cell>
          <cell r="D126" t="str">
            <v>K9</v>
          </cell>
          <cell r="E126">
            <v>100</v>
          </cell>
        </row>
        <row r="127">
          <cell r="A127" t="str">
            <v>DIK9125</v>
          </cell>
          <cell r="B127" t="str">
            <v>DI</v>
          </cell>
          <cell r="C127">
            <v>125</v>
          </cell>
          <cell r="D127" t="str">
            <v>K9</v>
          </cell>
          <cell r="E127">
            <v>125</v>
          </cell>
        </row>
        <row r="128">
          <cell r="A128" t="str">
            <v>DIK9150</v>
          </cell>
          <cell r="B128" t="str">
            <v>DI</v>
          </cell>
          <cell r="C128">
            <v>150</v>
          </cell>
          <cell r="D128" t="str">
            <v>K9</v>
          </cell>
          <cell r="E128">
            <v>150</v>
          </cell>
        </row>
        <row r="129">
          <cell r="A129" t="str">
            <v>DIK9200</v>
          </cell>
          <cell r="B129" t="str">
            <v>DI</v>
          </cell>
          <cell r="C129">
            <v>200</v>
          </cell>
          <cell r="D129" t="str">
            <v>K9</v>
          </cell>
          <cell r="E129">
            <v>200</v>
          </cell>
        </row>
        <row r="130">
          <cell r="A130" t="str">
            <v>DIK9250</v>
          </cell>
          <cell r="B130" t="str">
            <v>DI</v>
          </cell>
          <cell r="C130">
            <v>250</v>
          </cell>
          <cell r="D130" t="str">
            <v>K9</v>
          </cell>
          <cell r="E130">
            <v>250</v>
          </cell>
        </row>
        <row r="131">
          <cell r="A131" t="str">
            <v>DIK9300</v>
          </cell>
          <cell r="B131" t="str">
            <v>DI</v>
          </cell>
          <cell r="C131">
            <v>300</v>
          </cell>
          <cell r="D131" t="str">
            <v>K9</v>
          </cell>
          <cell r="E131">
            <v>300</v>
          </cell>
        </row>
        <row r="132">
          <cell r="A132" t="str">
            <v>DIK9350</v>
          </cell>
          <cell r="B132" t="str">
            <v>DI</v>
          </cell>
          <cell r="C132">
            <v>350</v>
          </cell>
          <cell r="D132" t="str">
            <v>K9</v>
          </cell>
          <cell r="E132">
            <v>350</v>
          </cell>
        </row>
        <row r="133">
          <cell r="A133" t="str">
            <v>DIK9400</v>
          </cell>
          <cell r="B133" t="str">
            <v>DI</v>
          </cell>
          <cell r="C133">
            <v>400</v>
          </cell>
          <cell r="D133" t="str">
            <v>K9</v>
          </cell>
          <cell r="E133">
            <v>400</v>
          </cell>
        </row>
        <row r="134">
          <cell r="A134" t="str">
            <v>DIK9450</v>
          </cell>
          <cell r="B134" t="str">
            <v>DI</v>
          </cell>
          <cell r="C134">
            <v>450</v>
          </cell>
          <cell r="D134" t="str">
            <v>K9</v>
          </cell>
          <cell r="E134">
            <v>450</v>
          </cell>
        </row>
        <row r="135">
          <cell r="A135" t="str">
            <v>DIK9500</v>
          </cell>
          <cell r="B135" t="str">
            <v>DI</v>
          </cell>
          <cell r="C135">
            <v>500</v>
          </cell>
          <cell r="D135" t="str">
            <v>K9</v>
          </cell>
          <cell r="E135">
            <v>500</v>
          </cell>
        </row>
        <row r="136">
          <cell r="A136" t="str">
            <v>DIK9600</v>
          </cell>
          <cell r="B136" t="str">
            <v>DI</v>
          </cell>
          <cell r="C136">
            <v>600</v>
          </cell>
          <cell r="D136" t="str">
            <v>K9</v>
          </cell>
          <cell r="E136">
            <v>600</v>
          </cell>
        </row>
        <row r="137">
          <cell r="A137" t="str">
            <v>DIK9700</v>
          </cell>
          <cell r="B137" t="str">
            <v>DI</v>
          </cell>
          <cell r="C137">
            <v>700</v>
          </cell>
          <cell r="D137" t="str">
            <v>K9</v>
          </cell>
          <cell r="E137">
            <v>700</v>
          </cell>
        </row>
        <row r="138">
          <cell r="A138" t="str">
            <v>DIK9800</v>
          </cell>
          <cell r="B138" t="str">
            <v>DI</v>
          </cell>
          <cell r="C138">
            <v>800</v>
          </cell>
          <cell r="D138" t="str">
            <v>K9</v>
          </cell>
          <cell r="E138">
            <v>800</v>
          </cell>
        </row>
        <row r="139">
          <cell r="A139" t="str">
            <v>DIK9900</v>
          </cell>
          <cell r="B139" t="str">
            <v>DI</v>
          </cell>
          <cell r="C139">
            <v>900</v>
          </cell>
          <cell r="D139" t="str">
            <v>K9</v>
          </cell>
          <cell r="E139">
            <v>900</v>
          </cell>
        </row>
        <row r="140">
          <cell r="A140" t="str">
            <v>DIK91000</v>
          </cell>
          <cell r="B140" t="str">
            <v>DI</v>
          </cell>
          <cell r="C140">
            <v>1000</v>
          </cell>
          <cell r="D140" t="str">
            <v>K9</v>
          </cell>
          <cell r="E140">
            <v>1000</v>
          </cell>
        </row>
        <row r="141">
          <cell r="A141" t="str">
            <v>CILA80</v>
          </cell>
          <cell r="B141" t="str">
            <v>CI</v>
          </cell>
          <cell r="C141">
            <v>80</v>
          </cell>
          <cell r="D141" t="str">
            <v>LA</v>
          </cell>
          <cell r="E141">
            <v>80</v>
          </cell>
        </row>
        <row r="142">
          <cell r="A142" t="str">
            <v>CILA100</v>
          </cell>
          <cell r="B142" t="str">
            <v>CI</v>
          </cell>
          <cell r="C142">
            <v>100</v>
          </cell>
          <cell r="D142" t="str">
            <v>LA</v>
          </cell>
          <cell r="E142">
            <v>100</v>
          </cell>
        </row>
        <row r="143">
          <cell r="A143" t="str">
            <v>CILA125</v>
          </cell>
          <cell r="B143" t="str">
            <v>CI</v>
          </cell>
          <cell r="C143">
            <v>125</v>
          </cell>
          <cell r="D143" t="str">
            <v>LA</v>
          </cell>
          <cell r="E143">
            <v>125</v>
          </cell>
        </row>
        <row r="144">
          <cell r="A144" t="str">
            <v>CILA150</v>
          </cell>
          <cell r="B144" t="str">
            <v>CI</v>
          </cell>
          <cell r="C144">
            <v>150</v>
          </cell>
          <cell r="D144" t="str">
            <v>LA</v>
          </cell>
          <cell r="E144">
            <v>150</v>
          </cell>
        </row>
        <row r="145">
          <cell r="A145" t="str">
            <v>CILA200</v>
          </cell>
          <cell r="B145" t="str">
            <v>CI</v>
          </cell>
          <cell r="C145">
            <v>200</v>
          </cell>
          <cell r="D145" t="str">
            <v>LA</v>
          </cell>
          <cell r="E145">
            <v>200</v>
          </cell>
        </row>
        <row r="146">
          <cell r="A146" t="str">
            <v>CILA250</v>
          </cell>
          <cell r="B146" t="str">
            <v>CI</v>
          </cell>
          <cell r="C146">
            <v>250</v>
          </cell>
          <cell r="D146" t="str">
            <v>LA</v>
          </cell>
          <cell r="E146">
            <v>250</v>
          </cell>
        </row>
        <row r="147">
          <cell r="A147" t="str">
            <v>CILA300</v>
          </cell>
          <cell r="B147" t="str">
            <v>CI</v>
          </cell>
          <cell r="C147">
            <v>300</v>
          </cell>
          <cell r="D147" t="str">
            <v>LA</v>
          </cell>
          <cell r="E147">
            <v>300</v>
          </cell>
        </row>
        <row r="148">
          <cell r="A148" t="str">
            <v>CILA350</v>
          </cell>
          <cell r="B148" t="str">
            <v>CI</v>
          </cell>
          <cell r="C148">
            <v>350</v>
          </cell>
          <cell r="D148" t="str">
            <v>LA</v>
          </cell>
          <cell r="E148">
            <v>350</v>
          </cell>
        </row>
        <row r="149">
          <cell r="A149" t="str">
            <v>CILA400</v>
          </cell>
          <cell r="B149" t="str">
            <v>CI</v>
          </cell>
          <cell r="C149">
            <v>400</v>
          </cell>
          <cell r="D149" t="str">
            <v>LA</v>
          </cell>
          <cell r="E149">
            <v>400</v>
          </cell>
        </row>
        <row r="150">
          <cell r="A150" t="str">
            <v>CILA450</v>
          </cell>
          <cell r="B150" t="str">
            <v>CI</v>
          </cell>
          <cell r="C150">
            <v>450</v>
          </cell>
          <cell r="D150" t="str">
            <v>LA</v>
          </cell>
          <cell r="E150">
            <v>450</v>
          </cell>
        </row>
        <row r="151">
          <cell r="A151" t="str">
            <v>CILA500</v>
          </cell>
          <cell r="B151" t="str">
            <v>CI</v>
          </cell>
          <cell r="C151">
            <v>500</v>
          </cell>
          <cell r="D151" t="str">
            <v>LA</v>
          </cell>
          <cell r="E151">
            <v>500</v>
          </cell>
        </row>
        <row r="152">
          <cell r="A152" t="str">
            <v>CILA600</v>
          </cell>
          <cell r="B152" t="str">
            <v>CI</v>
          </cell>
          <cell r="C152">
            <v>600</v>
          </cell>
          <cell r="D152" t="str">
            <v>LA</v>
          </cell>
          <cell r="E152">
            <v>600</v>
          </cell>
        </row>
        <row r="153">
          <cell r="A153" t="str">
            <v>CILA700</v>
          </cell>
          <cell r="B153" t="str">
            <v>CI</v>
          </cell>
          <cell r="C153">
            <v>700</v>
          </cell>
          <cell r="D153" t="str">
            <v>LA</v>
          </cell>
          <cell r="E153">
            <v>700</v>
          </cell>
        </row>
        <row r="154">
          <cell r="A154" t="str">
            <v>CILA800</v>
          </cell>
          <cell r="B154" t="str">
            <v>CI</v>
          </cell>
          <cell r="C154">
            <v>800</v>
          </cell>
          <cell r="D154" t="str">
            <v>LA</v>
          </cell>
          <cell r="E154">
            <v>800</v>
          </cell>
        </row>
        <row r="155">
          <cell r="A155" t="str">
            <v>CILA900</v>
          </cell>
          <cell r="B155" t="str">
            <v>CI</v>
          </cell>
          <cell r="C155">
            <v>900</v>
          </cell>
          <cell r="D155" t="str">
            <v>LA</v>
          </cell>
          <cell r="E155">
            <v>900</v>
          </cell>
        </row>
        <row r="156">
          <cell r="A156" t="str">
            <v>CILA1000</v>
          </cell>
          <cell r="B156" t="str">
            <v>CI</v>
          </cell>
          <cell r="C156">
            <v>1000</v>
          </cell>
          <cell r="D156" t="str">
            <v>LA</v>
          </cell>
          <cell r="E156">
            <v>1000</v>
          </cell>
        </row>
        <row r="157">
          <cell r="A157" t="str">
            <v>ACCL-1580</v>
          </cell>
          <cell r="B157" t="str">
            <v>AC</v>
          </cell>
          <cell r="C157">
            <v>80</v>
          </cell>
          <cell r="D157" t="str">
            <v>CL-15</v>
          </cell>
          <cell r="E157">
            <v>80</v>
          </cell>
        </row>
        <row r="158">
          <cell r="A158" t="str">
            <v>ACCL-15100</v>
          </cell>
          <cell r="B158" t="str">
            <v>AC</v>
          </cell>
          <cell r="C158">
            <v>100</v>
          </cell>
          <cell r="D158" t="str">
            <v>CL-15</v>
          </cell>
          <cell r="E158">
            <v>100</v>
          </cell>
        </row>
        <row r="159">
          <cell r="A159" t="str">
            <v>ACCL-15125</v>
          </cell>
          <cell r="B159" t="str">
            <v>AC</v>
          </cell>
          <cell r="C159">
            <v>125</v>
          </cell>
          <cell r="D159" t="str">
            <v>CL-15</v>
          </cell>
          <cell r="E159">
            <v>125</v>
          </cell>
        </row>
        <row r="160">
          <cell r="A160" t="str">
            <v>ACCL-15150</v>
          </cell>
          <cell r="B160" t="str">
            <v>AC</v>
          </cell>
          <cell r="C160">
            <v>150</v>
          </cell>
          <cell r="D160" t="str">
            <v>CL-15</v>
          </cell>
          <cell r="E160">
            <v>150</v>
          </cell>
        </row>
        <row r="161">
          <cell r="A161" t="str">
            <v>ACCL-15200</v>
          </cell>
          <cell r="B161" t="str">
            <v>AC</v>
          </cell>
          <cell r="C161">
            <v>200</v>
          </cell>
          <cell r="D161" t="str">
            <v>CL-15</v>
          </cell>
          <cell r="E161">
            <v>200</v>
          </cell>
        </row>
        <row r="162">
          <cell r="A162" t="str">
            <v>ACCL-15250</v>
          </cell>
          <cell r="B162" t="str">
            <v>AC</v>
          </cell>
          <cell r="C162">
            <v>250</v>
          </cell>
          <cell r="D162" t="str">
            <v>CL-15</v>
          </cell>
          <cell r="E162">
            <v>250</v>
          </cell>
        </row>
        <row r="163">
          <cell r="A163" t="str">
            <v>ACCL-15300</v>
          </cell>
          <cell r="B163" t="str">
            <v>AC</v>
          </cell>
          <cell r="C163">
            <v>300</v>
          </cell>
          <cell r="D163" t="str">
            <v>CL-15</v>
          </cell>
          <cell r="E163">
            <v>300</v>
          </cell>
        </row>
        <row r="164">
          <cell r="A164" t="str">
            <v>ACCL-15350</v>
          </cell>
          <cell r="B164" t="str">
            <v>AC</v>
          </cell>
          <cell r="C164">
            <v>350</v>
          </cell>
          <cell r="D164" t="str">
            <v>CL-15</v>
          </cell>
          <cell r="E164">
            <v>350</v>
          </cell>
        </row>
        <row r="165">
          <cell r="A165" t="str">
            <v>ACCL-15400</v>
          </cell>
          <cell r="B165" t="str">
            <v>AC</v>
          </cell>
          <cell r="C165">
            <v>400</v>
          </cell>
          <cell r="D165" t="str">
            <v>CL-15</v>
          </cell>
          <cell r="E165">
            <v>400</v>
          </cell>
        </row>
        <row r="166">
          <cell r="A166" t="str">
            <v>ACCL-15450</v>
          </cell>
          <cell r="B166" t="str">
            <v>AC</v>
          </cell>
          <cell r="C166">
            <v>450</v>
          </cell>
          <cell r="D166" t="str">
            <v>CL-15</v>
          </cell>
          <cell r="E166">
            <v>450</v>
          </cell>
        </row>
        <row r="167">
          <cell r="A167" t="str">
            <v>ACCL-15500</v>
          </cell>
          <cell r="B167" t="str">
            <v>AC</v>
          </cell>
          <cell r="C167">
            <v>500</v>
          </cell>
          <cell r="D167" t="str">
            <v>CL-15</v>
          </cell>
          <cell r="E167">
            <v>500</v>
          </cell>
        </row>
        <row r="168">
          <cell r="A168" t="str">
            <v>ACCL-15600</v>
          </cell>
          <cell r="B168" t="str">
            <v>AC</v>
          </cell>
          <cell r="C168">
            <v>600</v>
          </cell>
          <cell r="D168" t="str">
            <v>CL-15</v>
          </cell>
          <cell r="E168">
            <v>600</v>
          </cell>
        </row>
        <row r="169">
          <cell r="A169" t="str">
            <v>ACCL-15700</v>
          </cell>
          <cell r="B169" t="str">
            <v>AC</v>
          </cell>
          <cell r="C169">
            <v>700</v>
          </cell>
          <cell r="D169" t="str">
            <v>CL-15</v>
          </cell>
          <cell r="E169">
            <v>700</v>
          </cell>
        </row>
        <row r="170">
          <cell r="A170" t="str">
            <v>ACCL-15800</v>
          </cell>
          <cell r="B170" t="str">
            <v>AC</v>
          </cell>
          <cell r="C170">
            <v>800</v>
          </cell>
          <cell r="D170" t="str">
            <v>CL-15</v>
          </cell>
          <cell r="E170">
            <v>800</v>
          </cell>
        </row>
        <row r="171">
          <cell r="A171" t="str">
            <v>ACCL-15900</v>
          </cell>
          <cell r="B171" t="str">
            <v>AC</v>
          </cell>
          <cell r="C171">
            <v>900</v>
          </cell>
          <cell r="D171" t="str">
            <v>CL-15</v>
          </cell>
          <cell r="E171">
            <v>900</v>
          </cell>
        </row>
        <row r="172">
          <cell r="A172" t="str">
            <v>ACCL-151000</v>
          </cell>
          <cell r="B172" t="str">
            <v>AC</v>
          </cell>
          <cell r="C172">
            <v>1000</v>
          </cell>
          <cell r="D172" t="str">
            <v>CL-15</v>
          </cell>
          <cell r="E172">
            <v>1000</v>
          </cell>
        </row>
        <row r="173">
          <cell r="A173" t="str">
            <v>ACCL-2080</v>
          </cell>
          <cell r="B173" t="str">
            <v>AC</v>
          </cell>
          <cell r="C173">
            <v>80</v>
          </cell>
          <cell r="D173" t="str">
            <v>CL-20</v>
          </cell>
          <cell r="E173">
            <v>80</v>
          </cell>
        </row>
        <row r="174">
          <cell r="A174" t="str">
            <v>ACCL-20100</v>
          </cell>
          <cell r="B174" t="str">
            <v>AC</v>
          </cell>
          <cell r="C174">
            <v>100</v>
          </cell>
          <cell r="D174" t="str">
            <v>CL-20</v>
          </cell>
          <cell r="E174">
            <v>100</v>
          </cell>
        </row>
        <row r="175">
          <cell r="A175" t="str">
            <v>ACCL-20125</v>
          </cell>
          <cell r="B175" t="str">
            <v>AC</v>
          </cell>
          <cell r="C175">
            <v>125</v>
          </cell>
          <cell r="D175" t="str">
            <v>CL-20</v>
          </cell>
          <cell r="E175">
            <v>125</v>
          </cell>
        </row>
        <row r="176">
          <cell r="A176" t="str">
            <v>ACCL-20150</v>
          </cell>
          <cell r="B176" t="str">
            <v>AC</v>
          </cell>
          <cell r="C176">
            <v>150</v>
          </cell>
          <cell r="D176" t="str">
            <v>CL-20</v>
          </cell>
          <cell r="E176">
            <v>150</v>
          </cell>
        </row>
        <row r="177">
          <cell r="A177" t="str">
            <v>ACCL-20200</v>
          </cell>
          <cell r="B177" t="str">
            <v>AC</v>
          </cell>
          <cell r="C177">
            <v>200</v>
          </cell>
          <cell r="D177" t="str">
            <v>CL-20</v>
          </cell>
          <cell r="E177">
            <v>200</v>
          </cell>
        </row>
        <row r="178">
          <cell r="A178" t="str">
            <v>ACCL-20250</v>
          </cell>
          <cell r="B178" t="str">
            <v>AC</v>
          </cell>
          <cell r="C178">
            <v>250</v>
          </cell>
          <cell r="D178" t="str">
            <v>CL-20</v>
          </cell>
          <cell r="E178">
            <v>250</v>
          </cell>
        </row>
        <row r="179">
          <cell r="A179" t="str">
            <v>ACCL-20300</v>
          </cell>
          <cell r="B179" t="str">
            <v>AC</v>
          </cell>
          <cell r="C179">
            <v>300</v>
          </cell>
          <cell r="D179" t="str">
            <v>CL-20</v>
          </cell>
          <cell r="E179">
            <v>300</v>
          </cell>
        </row>
        <row r="180">
          <cell r="A180" t="str">
            <v>ACCL-20350</v>
          </cell>
          <cell r="B180" t="str">
            <v>AC</v>
          </cell>
          <cell r="C180">
            <v>350</v>
          </cell>
          <cell r="D180" t="str">
            <v>CL-20</v>
          </cell>
          <cell r="E180">
            <v>350</v>
          </cell>
        </row>
        <row r="181">
          <cell r="A181" t="str">
            <v>ACCL-20400</v>
          </cell>
          <cell r="B181" t="str">
            <v>AC</v>
          </cell>
          <cell r="C181">
            <v>400</v>
          </cell>
          <cell r="D181" t="str">
            <v>CL-20</v>
          </cell>
          <cell r="E181">
            <v>400</v>
          </cell>
        </row>
        <row r="182">
          <cell r="A182" t="str">
            <v>ACCL-20450</v>
          </cell>
          <cell r="B182" t="str">
            <v>AC</v>
          </cell>
          <cell r="C182">
            <v>450</v>
          </cell>
          <cell r="D182" t="str">
            <v>CL-20</v>
          </cell>
          <cell r="E182">
            <v>450</v>
          </cell>
        </row>
        <row r="183">
          <cell r="A183" t="str">
            <v>ACCL-20500</v>
          </cell>
          <cell r="B183" t="str">
            <v>AC</v>
          </cell>
          <cell r="C183">
            <v>500</v>
          </cell>
          <cell r="D183" t="str">
            <v>CL-20</v>
          </cell>
          <cell r="E183">
            <v>500</v>
          </cell>
        </row>
        <row r="184">
          <cell r="A184" t="str">
            <v>ACCL-20600</v>
          </cell>
          <cell r="B184" t="str">
            <v>AC</v>
          </cell>
          <cell r="C184">
            <v>600</v>
          </cell>
          <cell r="D184" t="str">
            <v>CL-20</v>
          </cell>
          <cell r="E184">
            <v>600</v>
          </cell>
        </row>
        <row r="185">
          <cell r="A185" t="str">
            <v>ACCL-20700</v>
          </cell>
          <cell r="B185" t="str">
            <v>AC</v>
          </cell>
          <cell r="C185">
            <v>700</v>
          </cell>
          <cell r="D185" t="str">
            <v>CL-20</v>
          </cell>
          <cell r="E185">
            <v>700</v>
          </cell>
        </row>
        <row r="186">
          <cell r="A186" t="str">
            <v>ACCL-20800</v>
          </cell>
          <cell r="B186" t="str">
            <v>AC</v>
          </cell>
          <cell r="C186">
            <v>800</v>
          </cell>
          <cell r="D186" t="str">
            <v>CL-20</v>
          </cell>
          <cell r="E186">
            <v>800</v>
          </cell>
        </row>
        <row r="187">
          <cell r="A187" t="str">
            <v>ACCL-20900</v>
          </cell>
          <cell r="B187" t="str">
            <v>AC</v>
          </cell>
          <cell r="C187">
            <v>900</v>
          </cell>
          <cell r="D187" t="str">
            <v>CL-20</v>
          </cell>
          <cell r="E187">
            <v>900</v>
          </cell>
        </row>
        <row r="188">
          <cell r="A188" t="str">
            <v>ACCL-201000</v>
          </cell>
          <cell r="B188" t="str">
            <v>AC</v>
          </cell>
          <cell r="C188">
            <v>1000</v>
          </cell>
          <cell r="D188" t="str">
            <v>CL-20</v>
          </cell>
          <cell r="E188">
            <v>1000</v>
          </cell>
        </row>
        <row r="189">
          <cell r="A189" t="str">
            <v>ACCL-2580</v>
          </cell>
          <cell r="B189" t="str">
            <v>AC</v>
          </cell>
          <cell r="C189">
            <v>80</v>
          </cell>
          <cell r="D189" t="str">
            <v>CL-25</v>
          </cell>
          <cell r="E189">
            <v>80</v>
          </cell>
        </row>
        <row r="190">
          <cell r="A190" t="str">
            <v>ACCL-25100</v>
          </cell>
          <cell r="B190" t="str">
            <v>AC</v>
          </cell>
          <cell r="C190">
            <v>100</v>
          </cell>
          <cell r="D190" t="str">
            <v>CL-25</v>
          </cell>
          <cell r="E190">
            <v>100</v>
          </cell>
        </row>
        <row r="191">
          <cell r="A191" t="str">
            <v>ACCL-25125</v>
          </cell>
          <cell r="B191" t="str">
            <v>AC</v>
          </cell>
          <cell r="C191">
            <v>125</v>
          </cell>
          <cell r="D191" t="str">
            <v>CL-25</v>
          </cell>
          <cell r="E191">
            <v>125</v>
          </cell>
        </row>
        <row r="192">
          <cell r="A192" t="str">
            <v>ACCL-25150</v>
          </cell>
          <cell r="B192" t="str">
            <v>AC</v>
          </cell>
          <cell r="C192">
            <v>150</v>
          </cell>
          <cell r="D192" t="str">
            <v>CL-25</v>
          </cell>
          <cell r="E192">
            <v>150</v>
          </cell>
        </row>
        <row r="193">
          <cell r="A193" t="str">
            <v>ACCL-25200</v>
          </cell>
          <cell r="B193" t="str">
            <v>AC</v>
          </cell>
          <cell r="C193">
            <v>200</v>
          </cell>
          <cell r="D193" t="str">
            <v>CL-25</v>
          </cell>
          <cell r="E193">
            <v>200</v>
          </cell>
        </row>
        <row r="194">
          <cell r="A194" t="str">
            <v>ACCL-25250</v>
          </cell>
          <cell r="B194" t="str">
            <v>AC</v>
          </cell>
          <cell r="C194">
            <v>250</v>
          </cell>
          <cell r="D194" t="str">
            <v>CL-25</v>
          </cell>
          <cell r="E194">
            <v>250</v>
          </cell>
        </row>
        <row r="195">
          <cell r="A195" t="str">
            <v>ACCL-25300</v>
          </cell>
          <cell r="B195" t="str">
            <v>AC</v>
          </cell>
          <cell r="C195">
            <v>300</v>
          </cell>
          <cell r="D195" t="str">
            <v>CL-25</v>
          </cell>
          <cell r="E195">
            <v>300</v>
          </cell>
        </row>
        <row r="196">
          <cell r="A196" t="str">
            <v>ACCL-25350</v>
          </cell>
          <cell r="B196" t="str">
            <v>AC</v>
          </cell>
          <cell r="C196">
            <v>350</v>
          </cell>
          <cell r="D196" t="str">
            <v>CL-25</v>
          </cell>
          <cell r="E196">
            <v>350</v>
          </cell>
        </row>
        <row r="197">
          <cell r="A197" t="str">
            <v>ACCL-25400</v>
          </cell>
          <cell r="B197" t="str">
            <v>AC</v>
          </cell>
          <cell r="C197">
            <v>400</v>
          </cell>
          <cell r="D197" t="str">
            <v>CL-25</v>
          </cell>
          <cell r="E197">
            <v>400</v>
          </cell>
        </row>
        <row r="198">
          <cell r="A198" t="str">
            <v>ACCL-25450</v>
          </cell>
          <cell r="B198" t="str">
            <v>AC</v>
          </cell>
          <cell r="C198">
            <v>450</v>
          </cell>
          <cell r="D198" t="str">
            <v>CL-25</v>
          </cell>
          <cell r="E198">
            <v>450</v>
          </cell>
        </row>
        <row r="199">
          <cell r="A199" t="str">
            <v>ACCL-25500</v>
          </cell>
          <cell r="B199" t="str">
            <v>AC</v>
          </cell>
          <cell r="C199">
            <v>500</v>
          </cell>
          <cell r="D199" t="str">
            <v>CL-25</v>
          </cell>
          <cell r="E199">
            <v>500</v>
          </cell>
        </row>
        <row r="200">
          <cell r="A200" t="str">
            <v>ACCL-25600</v>
          </cell>
          <cell r="B200" t="str">
            <v>AC</v>
          </cell>
          <cell r="C200">
            <v>600</v>
          </cell>
          <cell r="D200" t="str">
            <v>CL-25</v>
          </cell>
          <cell r="E200">
            <v>600</v>
          </cell>
        </row>
        <row r="201">
          <cell r="A201" t="str">
            <v>ACCL-25700</v>
          </cell>
          <cell r="B201" t="str">
            <v>AC</v>
          </cell>
          <cell r="C201">
            <v>700</v>
          </cell>
          <cell r="D201" t="str">
            <v>CL-25</v>
          </cell>
          <cell r="E201">
            <v>700</v>
          </cell>
        </row>
        <row r="202">
          <cell r="A202" t="str">
            <v>ACCL-25800</v>
          </cell>
          <cell r="B202" t="str">
            <v>AC</v>
          </cell>
          <cell r="C202">
            <v>800</v>
          </cell>
          <cell r="D202" t="str">
            <v>CL-25</v>
          </cell>
          <cell r="E202">
            <v>800</v>
          </cell>
        </row>
        <row r="203">
          <cell r="A203" t="str">
            <v>ACCL-25900</v>
          </cell>
          <cell r="B203" t="str">
            <v>AC</v>
          </cell>
          <cell r="C203">
            <v>900</v>
          </cell>
          <cell r="D203" t="str">
            <v>CL-25</v>
          </cell>
          <cell r="E203">
            <v>900</v>
          </cell>
        </row>
        <row r="204">
          <cell r="A204" t="str">
            <v>ACCL-251000</v>
          </cell>
          <cell r="B204" t="str">
            <v>AC</v>
          </cell>
          <cell r="C204">
            <v>1000</v>
          </cell>
          <cell r="D204" t="str">
            <v>CL-25</v>
          </cell>
          <cell r="E204">
            <v>1000</v>
          </cell>
        </row>
        <row r="205">
          <cell r="A205" t="str">
            <v>BWSC12350</v>
          </cell>
          <cell r="B205" t="str">
            <v>BWSC</v>
          </cell>
          <cell r="C205">
            <v>350</v>
          </cell>
          <cell r="D205">
            <v>12</v>
          </cell>
          <cell r="E205">
            <v>350</v>
          </cell>
        </row>
        <row r="206">
          <cell r="A206" t="str">
            <v>BWSC12400</v>
          </cell>
          <cell r="B206" t="str">
            <v>BWSC</v>
          </cell>
          <cell r="C206">
            <v>400</v>
          </cell>
          <cell r="D206">
            <v>12</v>
          </cell>
          <cell r="E206">
            <v>400</v>
          </cell>
        </row>
        <row r="207">
          <cell r="A207" t="str">
            <v>BWSC12450</v>
          </cell>
          <cell r="B207" t="str">
            <v>BWSC</v>
          </cell>
          <cell r="C207">
            <v>450</v>
          </cell>
          <cell r="D207">
            <v>12</v>
          </cell>
          <cell r="E207">
            <v>450</v>
          </cell>
        </row>
        <row r="208">
          <cell r="A208" t="str">
            <v>BWSC12500</v>
          </cell>
          <cell r="B208" t="str">
            <v>BWSC</v>
          </cell>
          <cell r="C208">
            <v>500</v>
          </cell>
          <cell r="D208">
            <v>12</v>
          </cell>
          <cell r="E208">
            <v>500</v>
          </cell>
        </row>
        <row r="209">
          <cell r="A209" t="str">
            <v>BWSC12600</v>
          </cell>
          <cell r="B209" t="str">
            <v>BWSC</v>
          </cell>
          <cell r="C209">
            <v>600</v>
          </cell>
          <cell r="D209">
            <v>12</v>
          </cell>
          <cell r="E209">
            <v>600</v>
          </cell>
        </row>
        <row r="210">
          <cell r="A210" t="str">
            <v>BWSC12700</v>
          </cell>
          <cell r="B210" t="str">
            <v>BWSC</v>
          </cell>
          <cell r="C210">
            <v>700</v>
          </cell>
          <cell r="D210">
            <v>12</v>
          </cell>
          <cell r="E210">
            <v>700</v>
          </cell>
        </row>
        <row r="211">
          <cell r="A211" t="str">
            <v>BWSC12800</v>
          </cell>
          <cell r="B211" t="str">
            <v>BWSC</v>
          </cell>
          <cell r="C211">
            <v>800</v>
          </cell>
          <cell r="D211">
            <v>12</v>
          </cell>
          <cell r="E211">
            <v>800</v>
          </cell>
        </row>
        <row r="212">
          <cell r="A212" t="str">
            <v>BWSC12900</v>
          </cell>
          <cell r="B212" t="str">
            <v>BWSC</v>
          </cell>
          <cell r="C212">
            <v>900</v>
          </cell>
          <cell r="D212">
            <v>12</v>
          </cell>
          <cell r="E212">
            <v>900</v>
          </cell>
        </row>
        <row r="213">
          <cell r="A213" t="str">
            <v>BWSC121000</v>
          </cell>
          <cell r="B213" t="str">
            <v>BWSC</v>
          </cell>
          <cell r="C213">
            <v>1000</v>
          </cell>
          <cell r="D213">
            <v>12</v>
          </cell>
          <cell r="E213">
            <v>1000</v>
          </cell>
        </row>
        <row r="214">
          <cell r="A214" t="str">
            <v>BWSC14350</v>
          </cell>
          <cell r="B214" t="str">
            <v>BWSC</v>
          </cell>
          <cell r="C214">
            <v>350</v>
          </cell>
          <cell r="D214">
            <v>14</v>
          </cell>
          <cell r="E214">
            <v>350</v>
          </cell>
        </row>
        <row r="215">
          <cell r="A215" t="str">
            <v>BWSC14400</v>
          </cell>
          <cell r="B215" t="str">
            <v>BWSC</v>
          </cell>
          <cell r="C215">
            <v>400</v>
          </cell>
          <cell r="D215">
            <v>14</v>
          </cell>
          <cell r="E215">
            <v>400</v>
          </cell>
        </row>
        <row r="216">
          <cell r="A216" t="str">
            <v>BWSC14450</v>
          </cell>
          <cell r="B216" t="str">
            <v>BWSC</v>
          </cell>
          <cell r="C216">
            <v>450</v>
          </cell>
          <cell r="D216">
            <v>14</v>
          </cell>
          <cell r="E216">
            <v>450</v>
          </cell>
        </row>
        <row r="217">
          <cell r="A217" t="str">
            <v>BWSC14500</v>
          </cell>
          <cell r="B217" t="str">
            <v>BWSC</v>
          </cell>
          <cell r="C217">
            <v>500</v>
          </cell>
          <cell r="D217">
            <v>14</v>
          </cell>
          <cell r="E217">
            <v>500</v>
          </cell>
        </row>
        <row r="218">
          <cell r="A218" t="str">
            <v>BWSC14600</v>
          </cell>
          <cell r="B218" t="str">
            <v>BWSC</v>
          </cell>
          <cell r="C218">
            <v>600</v>
          </cell>
          <cell r="D218">
            <v>14</v>
          </cell>
          <cell r="E218">
            <v>600</v>
          </cell>
        </row>
        <row r="219">
          <cell r="A219" t="str">
            <v>BWSC14700</v>
          </cell>
          <cell r="B219" t="str">
            <v>BWSC</v>
          </cell>
          <cell r="C219">
            <v>700</v>
          </cell>
          <cell r="D219">
            <v>14</v>
          </cell>
          <cell r="E219">
            <v>700</v>
          </cell>
        </row>
        <row r="220">
          <cell r="A220" t="str">
            <v>BWSC14800</v>
          </cell>
          <cell r="B220" t="str">
            <v>BWSC</v>
          </cell>
          <cell r="C220">
            <v>800</v>
          </cell>
          <cell r="D220">
            <v>14</v>
          </cell>
          <cell r="E220">
            <v>800</v>
          </cell>
        </row>
        <row r="221">
          <cell r="A221" t="str">
            <v>BWSC14900</v>
          </cell>
          <cell r="B221" t="str">
            <v>BWSC</v>
          </cell>
          <cell r="C221">
            <v>900</v>
          </cell>
          <cell r="D221">
            <v>14</v>
          </cell>
          <cell r="E221">
            <v>900</v>
          </cell>
        </row>
        <row r="222">
          <cell r="A222" t="str">
            <v>BWSC141000</v>
          </cell>
          <cell r="B222" t="str">
            <v>BWSC</v>
          </cell>
          <cell r="C222">
            <v>1000</v>
          </cell>
          <cell r="D222">
            <v>14</v>
          </cell>
          <cell r="E222">
            <v>1000</v>
          </cell>
        </row>
        <row r="223">
          <cell r="A223" t="str">
            <v>BWSC16350</v>
          </cell>
          <cell r="B223" t="str">
            <v>BWSC</v>
          </cell>
          <cell r="C223">
            <v>350</v>
          </cell>
          <cell r="D223">
            <v>16</v>
          </cell>
          <cell r="E223">
            <v>350</v>
          </cell>
        </row>
        <row r="224">
          <cell r="A224" t="str">
            <v>BWSC16400</v>
          </cell>
          <cell r="B224" t="str">
            <v>BWSC</v>
          </cell>
          <cell r="C224">
            <v>400</v>
          </cell>
          <cell r="D224">
            <v>16</v>
          </cell>
          <cell r="E224">
            <v>400</v>
          </cell>
        </row>
        <row r="225">
          <cell r="A225" t="str">
            <v>BWSC16450</v>
          </cell>
          <cell r="B225" t="str">
            <v>BWSC</v>
          </cell>
          <cell r="C225">
            <v>450</v>
          </cell>
          <cell r="D225">
            <v>16</v>
          </cell>
          <cell r="E225">
            <v>450</v>
          </cell>
        </row>
        <row r="226">
          <cell r="A226" t="str">
            <v>BWSC16500</v>
          </cell>
          <cell r="B226" t="str">
            <v>BWSC</v>
          </cell>
          <cell r="C226">
            <v>500</v>
          </cell>
          <cell r="D226">
            <v>16</v>
          </cell>
          <cell r="E226">
            <v>500</v>
          </cell>
        </row>
        <row r="227">
          <cell r="A227" t="str">
            <v>BWSC16600</v>
          </cell>
          <cell r="B227" t="str">
            <v>BWSC</v>
          </cell>
          <cell r="C227">
            <v>600</v>
          </cell>
          <cell r="D227">
            <v>16</v>
          </cell>
          <cell r="E227">
            <v>600</v>
          </cell>
        </row>
        <row r="228">
          <cell r="A228" t="str">
            <v>BWSC16700</v>
          </cell>
          <cell r="B228" t="str">
            <v>BWSC</v>
          </cell>
          <cell r="C228">
            <v>700</v>
          </cell>
          <cell r="D228">
            <v>16</v>
          </cell>
          <cell r="E228">
            <v>700</v>
          </cell>
        </row>
        <row r="229">
          <cell r="A229" t="str">
            <v>BWSC16800</v>
          </cell>
          <cell r="B229" t="str">
            <v>BWSC</v>
          </cell>
          <cell r="C229">
            <v>800</v>
          </cell>
          <cell r="D229">
            <v>16</v>
          </cell>
          <cell r="E229">
            <v>800</v>
          </cell>
        </row>
        <row r="230">
          <cell r="A230" t="str">
            <v>BWSC16900</v>
          </cell>
          <cell r="B230" t="str">
            <v>BWSC</v>
          </cell>
          <cell r="C230">
            <v>900</v>
          </cell>
          <cell r="D230">
            <v>16</v>
          </cell>
          <cell r="E230">
            <v>900</v>
          </cell>
        </row>
        <row r="231">
          <cell r="A231" t="str">
            <v>BWSC161000</v>
          </cell>
          <cell r="B231" t="str">
            <v>BWSC</v>
          </cell>
          <cell r="C231">
            <v>1000</v>
          </cell>
          <cell r="D231">
            <v>16</v>
          </cell>
          <cell r="E231">
            <v>1000</v>
          </cell>
        </row>
        <row r="232">
          <cell r="A232" t="str">
            <v>BWSC18350</v>
          </cell>
          <cell r="B232" t="str">
            <v>BWSC</v>
          </cell>
          <cell r="C232">
            <v>350</v>
          </cell>
          <cell r="D232">
            <v>18</v>
          </cell>
          <cell r="E232">
            <v>350</v>
          </cell>
        </row>
        <row r="233">
          <cell r="A233" t="str">
            <v>BWSC18400</v>
          </cell>
          <cell r="B233" t="str">
            <v>BWSC</v>
          </cell>
          <cell r="C233">
            <v>400</v>
          </cell>
          <cell r="D233">
            <v>18</v>
          </cell>
          <cell r="E233">
            <v>400</v>
          </cell>
        </row>
        <row r="234">
          <cell r="A234" t="str">
            <v>BWSC18450</v>
          </cell>
          <cell r="B234" t="str">
            <v>BWSC</v>
          </cell>
          <cell r="C234">
            <v>450</v>
          </cell>
          <cell r="D234">
            <v>18</v>
          </cell>
          <cell r="E234">
            <v>450</v>
          </cell>
        </row>
        <row r="235">
          <cell r="A235" t="str">
            <v>BWSC18500</v>
          </cell>
          <cell r="B235" t="str">
            <v>BWSC</v>
          </cell>
          <cell r="C235">
            <v>500</v>
          </cell>
          <cell r="D235">
            <v>18</v>
          </cell>
          <cell r="E235">
            <v>500</v>
          </cell>
        </row>
        <row r="236">
          <cell r="A236" t="str">
            <v>BWSC18600</v>
          </cell>
          <cell r="B236" t="str">
            <v>BWSC</v>
          </cell>
          <cell r="C236">
            <v>600</v>
          </cell>
          <cell r="D236">
            <v>18</v>
          </cell>
          <cell r="E236">
            <v>600</v>
          </cell>
        </row>
        <row r="237">
          <cell r="A237" t="str">
            <v>BWSC18700</v>
          </cell>
          <cell r="B237" t="str">
            <v>BWSC</v>
          </cell>
          <cell r="C237">
            <v>700</v>
          </cell>
          <cell r="D237">
            <v>18</v>
          </cell>
          <cell r="E237">
            <v>700</v>
          </cell>
        </row>
        <row r="238">
          <cell r="A238" t="str">
            <v>BWSC18800</v>
          </cell>
          <cell r="B238" t="str">
            <v>BWSC</v>
          </cell>
          <cell r="C238">
            <v>800</v>
          </cell>
          <cell r="D238">
            <v>18</v>
          </cell>
          <cell r="E238">
            <v>800</v>
          </cell>
        </row>
        <row r="239">
          <cell r="A239" t="str">
            <v>BWSC18900</v>
          </cell>
          <cell r="B239" t="str">
            <v>BWSC</v>
          </cell>
          <cell r="C239">
            <v>900</v>
          </cell>
          <cell r="D239">
            <v>18</v>
          </cell>
          <cell r="E239">
            <v>900</v>
          </cell>
        </row>
        <row r="240">
          <cell r="A240" t="str">
            <v>BWSC181000</v>
          </cell>
          <cell r="B240" t="str">
            <v>BWSC</v>
          </cell>
          <cell r="C240">
            <v>1000</v>
          </cell>
          <cell r="D240">
            <v>18</v>
          </cell>
          <cell r="E240">
            <v>1000</v>
          </cell>
        </row>
        <row r="241">
          <cell r="A241" t="str">
            <v>BWSC20350</v>
          </cell>
          <cell r="B241" t="str">
            <v>BWSC</v>
          </cell>
          <cell r="C241">
            <v>350</v>
          </cell>
          <cell r="D241">
            <v>20</v>
          </cell>
          <cell r="E241">
            <v>350</v>
          </cell>
        </row>
        <row r="242">
          <cell r="A242" t="str">
            <v>BWSC20400</v>
          </cell>
          <cell r="B242" t="str">
            <v>BWSC</v>
          </cell>
          <cell r="C242">
            <v>400</v>
          </cell>
          <cell r="D242">
            <v>20</v>
          </cell>
          <cell r="E242">
            <v>400</v>
          </cell>
        </row>
        <row r="243">
          <cell r="A243" t="str">
            <v>BWSC20450</v>
          </cell>
          <cell r="B243" t="str">
            <v>BWSC</v>
          </cell>
          <cell r="C243">
            <v>450</v>
          </cell>
          <cell r="D243">
            <v>20</v>
          </cell>
          <cell r="E243">
            <v>450</v>
          </cell>
        </row>
        <row r="244">
          <cell r="A244" t="str">
            <v>BWSC20500</v>
          </cell>
          <cell r="B244" t="str">
            <v>BWSC</v>
          </cell>
          <cell r="C244">
            <v>500</v>
          </cell>
          <cell r="D244">
            <v>20</v>
          </cell>
          <cell r="E244">
            <v>500</v>
          </cell>
        </row>
        <row r="245">
          <cell r="A245" t="str">
            <v>BWSC20600</v>
          </cell>
          <cell r="B245" t="str">
            <v>BWSC</v>
          </cell>
          <cell r="C245">
            <v>600</v>
          </cell>
          <cell r="D245">
            <v>20</v>
          </cell>
          <cell r="E245">
            <v>600</v>
          </cell>
        </row>
        <row r="246">
          <cell r="A246" t="str">
            <v>BWSC20700</v>
          </cell>
          <cell r="B246" t="str">
            <v>BWSC</v>
          </cell>
          <cell r="C246">
            <v>700</v>
          </cell>
          <cell r="D246">
            <v>20</v>
          </cell>
          <cell r="E246">
            <v>700</v>
          </cell>
        </row>
        <row r="247">
          <cell r="A247" t="str">
            <v>BWSC20800</v>
          </cell>
          <cell r="B247" t="str">
            <v>BWSC</v>
          </cell>
          <cell r="C247">
            <v>800</v>
          </cell>
          <cell r="D247">
            <v>20</v>
          </cell>
          <cell r="E247">
            <v>800</v>
          </cell>
        </row>
        <row r="248">
          <cell r="A248" t="str">
            <v>BWSC20900</v>
          </cell>
          <cell r="B248" t="str">
            <v>BWSC</v>
          </cell>
          <cell r="C248">
            <v>900</v>
          </cell>
          <cell r="D248">
            <v>20</v>
          </cell>
          <cell r="E248">
            <v>900</v>
          </cell>
        </row>
        <row r="249">
          <cell r="A249" t="str">
            <v>BWSC201000</v>
          </cell>
          <cell r="B249" t="str">
            <v>BWSC</v>
          </cell>
          <cell r="C249">
            <v>1000</v>
          </cell>
          <cell r="D249">
            <v>20</v>
          </cell>
          <cell r="E249">
            <v>1000</v>
          </cell>
        </row>
        <row r="250">
          <cell r="A250" t="str">
            <v>BWSC22350</v>
          </cell>
          <cell r="B250" t="str">
            <v>BWSC</v>
          </cell>
          <cell r="C250">
            <v>350</v>
          </cell>
          <cell r="D250">
            <v>22</v>
          </cell>
          <cell r="E250">
            <v>350</v>
          </cell>
        </row>
        <row r="251">
          <cell r="A251" t="str">
            <v>BWSC22400</v>
          </cell>
          <cell r="B251" t="str">
            <v>BWSC</v>
          </cell>
          <cell r="C251">
            <v>400</v>
          </cell>
          <cell r="D251">
            <v>22</v>
          </cell>
          <cell r="E251">
            <v>400</v>
          </cell>
        </row>
        <row r="252">
          <cell r="A252" t="str">
            <v>BWSC22450</v>
          </cell>
          <cell r="B252" t="str">
            <v>BWSC</v>
          </cell>
          <cell r="C252">
            <v>450</v>
          </cell>
          <cell r="D252">
            <v>22</v>
          </cell>
          <cell r="E252">
            <v>450</v>
          </cell>
        </row>
        <row r="253">
          <cell r="A253" t="str">
            <v>BWSC22500</v>
          </cell>
          <cell r="B253" t="str">
            <v>BWSC</v>
          </cell>
          <cell r="C253">
            <v>500</v>
          </cell>
          <cell r="D253">
            <v>22</v>
          </cell>
          <cell r="E253">
            <v>500</v>
          </cell>
        </row>
        <row r="254">
          <cell r="A254" t="str">
            <v>BWSC22600</v>
          </cell>
          <cell r="B254" t="str">
            <v>BWSC</v>
          </cell>
          <cell r="C254">
            <v>600</v>
          </cell>
          <cell r="D254">
            <v>22</v>
          </cell>
          <cell r="E254">
            <v>600</v>
          </cell>
        </row>
        <row r="255">
          <cell r="A255" t="str">
            <v>BWSC22700</v>
          </cell>
          <cell r="B255" t="str">
            <v>BWSC</v>
          </cell>
          <cell r="C255">
            <v>700</v>
          </cell>
          <cell r="D255">
            <v>22</v>
          </cell>
          <cell r="E255">
            <v>700</v>
          </cell>
        </row>
        <row r="256">
          <cell r="A256" t="str">
            <v>BWSC22800</v>
          </cell>
          <cell r="B256" t="str">
            <v>BWSC</v>
          </cell>
          <cell r="C256">
            <v>800</v>
          </cell>
          <cell r="D256">
            <v>22</v>
          </cell>
          <cell r="E256">
            <v>800</v>
          </cell>
        </row>
        <row r="257">
          <cell r="A257" t="str">
            <v>BWSC22900</v>
          </cell>
          <cell r="B257" t="str">
            <v>BWSC</v>
          </cell>
          <cell r="C257">
            <v>900</v>
          </cell>
          <cell r="D257">
            <v>22</v>
          </cell>
          <cell r="E257">
            <v>900</v>
          </cell>
        </row>
        <row r="258">
          <cell r="A258" t="str">
            <v>BWSC221000</v>
          </cell>
          <cell r="B258" t="str">
            <v>BWSC</v>
          </cell>
          <cell r="C258">
            <v>1000</v>
          </cell>
          <cell r="D258">
            <v>22</v>
          </cell>
          <cell r="E258">
            <v>1000</v>
          </cell>
        </row>
        <row r="259">
          <cell r="A259" t="str">
            <v>BWSC24350</v>
          </cell>
          <cell r="B259" t="str">
            <v>BWSC</v>
          </cell>
          <cell r="C259">
            <v>350</v>
          </cell>
          <cell r="D259">
            <v>24</v>
          </cell>
          <cell r="E259">
            <v>350</v>
          </cell>
        </row>
        <row r="260">
          <cell r="A260" t="str">
            <v>BWSC24400</v>
          </cell>
          <cell r="B260" t="str">
            <v>BWSC</v>
          </cell>
          <cell r="C260">
            <v>400</v>
          </cell>
          <cell r="D260">
            <v>24</v>
          </cell>
          <cell r="E260">
            <v>400</v>
          </cell>
        </row>
        <row r="261">
          <cell r="A261" t="str">
            <v>BWSC24450</v>
          </cell>
          <cell r="B261" t="str">
            <v>BWSC</v>
          </cell>
          <cell r="C261">
            <v>450</v>
          </cell>
          <cell r="D261">
            <v>24</v>
          </cell>
          <cell r="E261">
            <v>450</v>
          </cell>
        </row>
        <row r="262">
          <cell r="A262" t="str">
            <v>BWSC24500</v>
          </cell>
          <cell r="B262" t="str">
            <v>BWSC</v>
          </cell>
          <cell r="C262">
            <v>500</v>
          </cell>
          <cell r="D262">
            <v>24</v>
          </cell>
          <cell r="E262">
            <v>500</v>
          </cell>
        </row>
        <row r="263">
          <cell r="A263" t="str">
            <v>BWSC24600</v>
          </cell>
          <cell r="B263" t="str">
            <v>BWSC</v>
          </cell>
          <cell r="C263">
            <v>600</v>
          </cell>
          <cell r="D263">
            <v>24</v>
          </cell>
          <cell r="E263">
            <v>600</v>
          </cell>
        </row>
        <row r="264">
          <cell r="A264" t="str">
            <v>BWSC24700</v>
          </cell>
          <cell r="B264" t="str">
            <v>BWSC</v>
          </cell>
          <cell r="C264">
            <v>700</v>
          </cell>
          <cell r="D264">
            <v>24</v>
          </cell>
          <cell r="E264">
            <v>700</v>
          </cell>
        </row>
        <row r="265">
          <cell r="A265" t="str">
            <v>BWSC24800</v>
          </cell>
          <cell r="B265" t="str">
            <v>BWSC</v>
          </cell>
          <cell r="C265">
            <v>800</v>
          </cell>
          <cell r="D265">
            <v>24</v>
          </cell>
          <cell r="E265">
            <v>800</v>
          </cell>
        </row>
        <row r="266">
          <cell r="A266" t="str">
            <v>BWSC24900</v>
          </cell>
          <cell r="B266" t="str">
            <v>BWSC</v>
          </cell>
          <cell r="C266">
            <v>900</v>
          </cell>
          <cell r="D266">
            <v>24</v>
          </cell>
          <cell r="E266">
            <v>900</v>
          </cell>
        </row>
        <row r="267">
          <cell r="A267" t="str">
            <v>BWSC241000</v>
          </cell>
          <cell r="B267" t="str">
            <v>BWSC</v>
          </cell>
          <cell r="C267">
            <v>1000</v>
          </cell>
          <cell r="D267">
            <v>24</v>
          </cell>
          <cell r="E267">
            <v>1000</v>
          </cell>
        </row>
        <row r="268">
          <cell r="A268" t="str">
            <v>BWSC26350</v>
          </cell>
          <cell r="B268" t="str">
            <v>BWSC</v>
          </cell>
          <cell r="C268">
            <v>350</v>
          </cell>
          <cell r="D268">
            <v>26</v>
          </cell>
          <cell r="E268">
            <v>350</v>
          </cell>
        </row>
        <row r="269">
          <cell r="A269" t="str">
            <v>BWSC26400</v>
          </cell>
          <cell r="B269" t="str">
            <v>BWSC</v>
          </cell>
          <cell r="C269">
            <v>400</v>
          </cell>
          <cell r="D269">
            <v>26</v>
          </cell>
          <cell r="E269">
            <v>400</v>
          </cell>
        </row>
        <row r="270">
          <cell r="A270" t="str">
            <v>BWSC26450</v>
          </cell>
          <cell r="B270" t="str">
            <v>BWSC</v>
          </cell>
          <cell r="C270">
            <v>450</v>
          </cell>
          <cell r="D270">
            <v>26</v>
          </cell>
          <cell r="E270">
            <v>450</v>
          </cell>
        </row>
        <row r="271">
          <cell r="A271" t="str">
            <v>BWSC26500</v>
          </cell>
          <cell r="B271" t="str">
            <v>BWSC</v>
          </cell>
          <cell r="C271">
            <v>500</v>
          </cell>
          <cell r="D271">
            <v>26</v>
          </cell>
          <cell r="E271">
            <v>500</v>
          </cell>
        </row>
        <row r="272">
          <cell r="A272" t="str">
            <v>BWSC26600</v>
          </cell>
          <cell r="B272" t="str">
            <v>BWSC</v>
          </cell>
          <cell r="C272">
            <v>600</v>
          </cell>
          <cell r="D272">
            <v>26</v>
          </cell>
          <cell r="E272">
            <v>600</v>
          </cell>
        </row>
        <row r="273">
          <cell r="A273" t="str">
            <v>BWSC26700</v>
          </cell>
          <cell r="B273" t="str">
            <v>BWSC</v>
          </cell>
          <cell r="C273">
            <v>700</v>
          </cell>
          <cell r="D273">
            <v>26</v>
          </cell>
          <cell r="E273">
            <v>700</v>
          </cell>
        </row>
        <row r="274">
          <cell r="A274" t="str">
            <v>BWSC26800</v>
          </cell>
          <cell r="B274" t="str">
            <v>BWSC</v>
          </cell>
          <cell r="C274">
            <v>800</v>
          </cell>
          <cell r="D274">
            <v>26</v>
          </cell>
          <cell r="E274">
            <v>800</v>
          </cell>
        </row>
        <row r="275">
          <cell r="A275" t="str">
            <v>BWSC26900</v>
          </cell>
          <cell r="B275" t="str">
            <v>BWSC</v>
          </cell>
          <cell r="C275">
            <v>900</v>
          </cell>
          <cell r="D275">
            <v>26</v>
          </cell>
          <cell r="E275">
            <v>900</v>
          </cell>
        </row>
        <row r="276">
          <cell r="A276" t="str">
            <v>BWSC261000</v>
          </cell>
          <cell r="B276" t="str">
            <v>BWSC</v>
          </cell>
          <cell r="C276">
            <v>1000</v>
          </cell>
          <cell r="D276">
            <v>26</v>
          </cell>
          <cell r="E276">
            <v>1000</v>
          </cell>
        </row>
        <row r="277">
          <cell r="A277" t="str">
            <v>BWSC28350</v>
          </cell>
          <cell r="B277" t="str">
            <v>BWSC</v>
          </cell>
          <cell r="C277">
            <v>350</v>
          </cell>
          <cell r="D277">
            <v>28</v>
          </cell>
          <cell r="E277">
            <v>350</v>
          </cell>
        </row>
        <row r="278">
          <cell r="A278" t="str">
            <v>BWSC28400</v>
          </cell>
          <cell r="B278" t="str">
            <v>BWSC</v>
          </cell>
          <cell r="C278">
            <v>400</v>
          </cell>
          <cell r="D278">
            <v>28</v>
          </cell>
          <cell r="E278">
            <v>400</v>
          </cell>
        </row>
        <row r="279">
          <cell r="A279" t="str">
            <v>BWSC28450</v>
          </cell>
          <cell r="B279" t="str">
            <v>BWSC</v>
          </cell>
          <cell r="C279">
            <v>450</v>
          </cell>
          <cell r="D279">
            <v>28</v>
          </cell>
          <cell r="E279">
            <v>450</v>
          </cell>
        </row>
        <row r="280">
          <cell r="A280" t="str">
            <v>BWSC28500</v>
          </cell>
          <cell r="B280" t="str">
            <v>BWSC</v>
          </cell>
          <cell r="C280">
            <v>500</v>
          </cell>
          <cell r="D280">
            <v>28</v>
          </cell>
          <cell r="E280">
            <v>500</v>
          </cell>
        </row>
        <row r="281">
          <cell r="A281" t="str">
            <v>BWSC28600</v>
          </cell>
          <cell r="B281" t="str">
            <v>BWSC</v>
          </cell>
          <cell r="C281">
            <v>600</v>
          </cell>
          <cell r="D281">
            <v>28</v>
          </cell>
          <cell r="E281">
            <v>600</v>
          </cell>
        </row>
        <row r="282">
          <cell r="A282" t="str">
            <v>BWSC28700</v>
          </cell>
          <cell r="B282" t="str">
            <v>BWSC</v>
          </cell>
          <cell r="C282">
            <v>700</v>
          </cell>
          <cell r="D282">
            <v>28</v>
          </cell>
          <cell r="E282">
            <v>700</v>
          </cell>
        </row>
        <row r="283">
          <cell r="A283" t="str">
            <v>BWSC28800</v>
          </cell>
          <cell r="B283" t="str">
            <v>BWSC</v>
          </cell>
          <cell r="C283">
            <v>800</v>
          </cell>
          <cell r="D283">
            <v>28</v>
          </cell>
          <cell r="E283">
            <v>800</v>
          </cell>
        </row>
        <row r="284">
          <cell r="A284" t="str">
            <v>BWSC28900</v>
          </cell>
          <cell r="B284" t="str">
            <v>BWSC</v>
          </cell>
          <cell r="C284">
            <v>900</v>
          </cell>
          <cell r="D284">
            <v>28</v>
          </cell>
          <cell r="E284">
            <v>900</v>
          </cell>
        </row>
        <row r="285">
          <cell r="A285" t="str">
            <v>BWSC281000</v>
          </cell>
          <cell r="B285" t="str">
            <v>BWSC</v>
          </cell>
          <cell r="C285">
            <v>1000</v>
          </cell>
          <cell r="D285">
            <v>28</v>
          </cell>
          <cell r="E285">
            <v>1000</v>
          </cell>
        </row>
        <row r="286">
          <cell r="A286" t="str">
            <v>BWSC30350</v>
          </cell>
          <cell r="B286" t="str">
            <v>BWSC</v>
          </cell>
          <cell r="C286">
            <v>350</v>
          </cell>
          <cell r="D286">
            <v>30</v>
          </cell>
          <cell r="E286">
            <v>350</v>
          </cell>
        </row>
        <row r="287">
          <cell r="A287" t="str">
            <v>BWSC30400</v>
          </cell>
          <cell r="B287" t="str">
            <v>BWSC</v>
          </cell>
          <cell r="C287">
            <v>400</v>
          </cell>
          <cell r="D287">
            <v>30</v>
          </cell>
          <cell r="E287">
            <v>400</v>
          </cell>
        </row>
        <row r="288">
          <cell r="A288" t="str">
            <v>BWSC30450</v>
          </cell>
          <cell r="B288" t="str">
            <v>BWSC</v>
          </cell>
          <cell r="C288">
            <v>450</v>
          </cell>
          <cell r="D288">
            <v>30</v>
          </cell>
          <cell r="E288">
            <v>450</v>
          </cell>
        </row>
        <row r="289">
          <cell r="A289" t="str">
            <v>BWSC30500</v>
          </cell>
          <cell r="B289" t="str">
            <v>BWSC</v>
          </cell>
          <cell r="C289">
            <v>500</v>
          </cell>
          <cell r="D289">
            <v>30</v>
          </cell>
          <cell r="E289">
            <v>500</v>
          </cell>
        </row>
        <row r="290">
          <cell r="A290" t="str">
            <v>BWSC30600</v>
          </cell>
          <cell r="B290" t="str">
            <v>BWSC</v>
          </cell>
          <cell r="C290">
            <v>600</v>
          </cell>
          <cell r="D290">
            <v>30</v>
          </cell>
          <cell r="E290">
            <v>600</v>
          </cell>
        </row>
        <row r="291">
          <cell r="A291" t="str">
            <v>BWSC30700</v>
          </cell>
          <cell r="B291" t="str">
            <v>BWSC</v>
          </cell>
          <cell r="C291">
            <v>700</v>
          </cell>
          <cell r="D291">
            <v>30</v>
          </cell>
          <cell r="E291">
            <v>700</v>
          </cell>
        </row>
        <row r="292">
          <cell r="A292" t="str">
            <v>BWSC30800</v>
          </cell>
          <cell r="B292" t="str">
            <v>BWSC</v>
          </cell>
          <cell r="C292">
            <v>800</v>
          </cell>
          <cell r="D292">
            <v>30</v>
          </cell>
          <cell r="E292">
            <v>800</v>
          </cell>
        </row>
        <row r="293">
          <cell r="A293" t="str">
            <v>BWSC30900</v>
          </cell>
          <cell r="B293" t="str">
            <v>BWSC</v>
          </cell>
          <cell r="C293">
            <v>900</v>
          </cell>
          <cell r="D293">
            <v>30</v>
          </cell>
          <cell r="E293">
            <v>900</v>
          </cell>
        </row>
        <row r="294">
          <cell r="A294" t="str">
            <v>BWSC301000</v>
          </cell>
          <cell r="B294" t="str">
            <v>BWSC</v>
          </cell>
          <cell r="C294">
            <v>1000</v>
          </cell>
          <cell r="D294">
            <v>30</v>
          </cell>
          <cell r="E294">
            <v>1000</v>
          </cell>
        </row>
        <row r="295">
          <cell r="A295" t="str">
            <v>GRP3350</v>
          </cell>
          <cell r="B295" t="str">
            <v>GRP</v>
          </cell>
          <cell r="C295">
            <v>350</v>
          </cell>
          <cell r="D295">
            <v>3</v>
          </cell>
          <cell r="E295">
            <v>350</v>
          </cell>
        </row>
        <row r="296">
          <cell r="A296" t="str">
            <v>GRP3400</v>
          </cell>
          <cell r="B296" t="str">
            <v>GRP</v>
          </cell>
          <cell r="C296">
            <v>400</v>
          </cell>
          <cell r="D296">
            <v>3</v>
          </cell>
          <cell r="E296">
            <v>400</v>
          </cell>
        </row>
        <row r="297">
          <cell r="A297" t="str">
            <v>GRP3450</v>
          </cell>
          <cell r="B297" t="str">
            <v>GRP</v>
          </cell>
          <cell r="C297">
            <v>450</v>
          </cell>
          <cell r="D297">
            <v>3</v>
          </cell>
          <cell r="E297">
            <v>450</v>
          </cell>
        </row>
        <row r="298">
          <cell r="A298" t="str">
            <v>GRP3500</v>
          </cell>
          <cell r="B298" t="str">
            <v>GRP</v>
          </cell>
          <cell r="C298">
            <v>500</v>
          </cell>
          <cell r="D298">
            <v>3</v>
          </cell>
          <cell r="E298">
            <v>500</v>
          </cell>
        </row>
        <row r="299">
          <cell r="A299" t="str">
            <v>GRP3600</v>
          </cell>
          <cell r="B299" t="str">
            <v>GRP</v>
          </cell>
          <cell r="C299">
            <v>600</v>
          </cell>
          <cell r="D299">
            <v>3</v>
          </cell>
          <cell r="E299">
            <v>600</v>
          </cell>
        </row>
        <row r="300">
          <cell r="A300" t="str">
            <v>GRP3700</v>
          </cell>
          <cell r="B300" t="str">
            <v>GRP</v>
          </cell>
          <cell r="C300">
            <v>700</v>
          </cell>
          <cell r="D300">
            <v>3</v>
          </cell>
          <cell r="E300">
            <v>700</v>
          </cell>
        </row>
        <row r="301">
          <cell r="A301" t="str">
            <v>GRP3800</v>
          </cell>
          <cell r="B301" t="str">
            <v>GRP</v>
          </cell>
          <cell r="C301">
            <v>800</v>
          </cell>
          <cell r="D301">
            <v>3</v>
          </cell>
          <cell r="E301">
            <v>800</v>
          </cell>
        </row>
        <row r="302">
          <cell r="A302" t="str">
            <v>GRP3900</v>
          </cell>
          <cell r="B302" t="str">
            <v>GRP</v>
          </cell>
          <cell r="C302">
            <v>900</v>
          </cell>
          <cell r="D302">
            <v>3</v>
          </cell>
          <cell r="E302">
            <v>900</v>
          </cell>
        </row>
        <row r="303">
          <cell r="A303" t="str">
            <v>GRP31000</v>
          </cell>
          <cell r="B303" t="str">
            <v>GRP</v>
          </cell>
          <cell r="C303">
            <v>1000</v>
          </cell>
          <cell r="D303">
            <v>3</v>
          </cell>
          <cell r="E303">
            <v>1000</v>
          </cell>
        </row>
        <row r="304">
          <cell r="A304" t="str">
            <v>GRP6350</v>
          </cell>
          <cell r="B304" t="str">
            <v>GRP</v>
          </cell>
          <cell r="C304">
            <v>350</v>
          </cell>
          <cell r="D304">
            <v>6</v>
          </cell>
          <cell r="E304">
            <v>350</v>
          </cell>
        </row>
        <row r="305">
          <cell r="A305" t="str">
            <v>GRP6400</v>
          </cell>
          <cell r="B305" t="str">
            <v>GRP</v>
          </cell>
          <cell r="C305">
            <v>400</v>
          </cell>
          <cell r="D305">
            <v>6</v>
          </cell>
          <cell r="E305">
            <v>400</v>
          </cell>
        </row>
        <row r="306">
          <cell r="A306" t="str">
            <v>GRP6450</v>
          </cell>
          <cell r="B306" t="str">
            <v>GRP</v>
          </cell>
          <cell r="C306">
            <v>450</v>
          </cell>
          <cell r="D306">
            <v>6</v>
          </cell>
          <cell r="E306">
            <v>450</v>
          </cell>
        </row>
        <row r="307">
          <cell r="A307" t="str">
            <v>GRP6500</v>
          </cell>
          <cell r="B307" t="str">
            <v>GRP</v>
          </cell>
          <cell r="C307">
            <v>500</v>
          </cell>
          <cell r="D307">
            <v>6</v>
          </cell>
          <cell r="E307">
            <v>500</v>
          </cell>
        </row>
        <row r="308">
          <cell r="A308" t="str">
            <v>GRP6600</v>
          </cell>
          <cell r="B308" t="str">
            <v>GRP</v>
          </cell>
          <cell r="C308">
            <v>600</v>
          </cell>
          <cell r="D308">
            <v>6</v>
          </cell>
          <cell r="E308">
            <v>600</v>
          </cell>
        </row>
        <row r="309">
          <cell r="A309" t="str">
            <v>GRP6700</v>
          </cell>
          <cell r="B309" t="str">
            <v>GRP</v>
          </cell>
          <cell r="C309">
            <v>700</v>
          </cell>
          <cell r="D309">
            <v>6</v>
          </cell>
          <cell r="E309">
            <v>700</v>
          </cell>
        </row>
        <row r="310">
          <cell r="A310" t="str">
            <v>GRP6800</v>
          </cell>
          <cell r="B310" t="str">
            <v>GRP</v>
          </cell>
          <cell r="C310">
            <v>800</v>
          </cell>
          <cell r="D310">
            <v>6</v>
          </cell>
          <cell r="E310">
            <v>800</v>
          </cell>
        </row>
        <row r="311">
          <cell r="A311" t="str">
            <v>GRP6900</v>
          </cell>
          <cell r="B311" t="str">
            <v>GRP</v>
          </cell>
          <cell r="C311">
            <v>900</v>
          </cell>
          <cell r="D311">
            <v>6</v>
          </cell>
          <cell r="E311">
            <v>900</v>
          </cell>
        </row>
        <row r="312">
          <cell r="A312" t="str">
            <v>GRP61000</v>
          </cell>
          <cell r="B312" t="str">
            <v>GRP</v>
          </cell>
          <cell r="C312">
            <v>1000</v>
          </cell>
          <cell r="D312">
            <v>6</v>
          </cell>
          <cell r="E312">
            <v>1000</v>
          </cell>
        </row>
        <row r="313">
          <cell r="A313" t="str">
            <v>GRP9350</v>
          </cell>
          <cell r="B313" t="str">
            <v>GRP</v>
          </cell>
          <cell r="C313">
            <v>350</v>
          </cell>
          <cell r="D313">
            <v>9</v>
          </cell>
          <cell r="E313">
            <v>350</v>
          </cell>
        </row>
        <row r="314">
          <cell r="A314" t="str">
            <v>GRP9400</v>
          </cell>
          <cell r="B314" t="str">
            <v>GRP</v>
          </cell>
          <cell r="C314">
            <v>400</v>
          </cell>
          <cell r="D314">
            <v>9</v>
          </cell>
          <cell r="E314">
            <v>400</v>
          </cell>
        </row>
        <row r="315">
          <cell r="A315" t="str">
            <v>GRP9450</v>
          </cell>
          <cell r="B315" t="str">
            <v>GRP</v>
          </cell>
          <cell r="C315">
            <v>450</v>
          </cell>
          <cell r="D315">
            <v>9</v>
          </cell>
          <cell r="E315">
            <v>450</v>
          </cell>
        </row>
        <row r="316">
          <cell r="A316" t="str">
            <v>GRP9500</v>
          </cell>
          <cell r="B316" t="str">
            <v>GRP</v>
          </cell>
          <cell r="C316">
            <v>500</v>
          </cell>
          <cell r="D316">
            <v>9</v>
          </cell>
          <cell r="E316">
            <v>500</v>
          </cell>
        </row>
        <row r="317">
          <cell r="A317" t="str">
            <v>GRP9600</v>
          </cell>
          <cell r="B317" t="str">
            <v>GRP</v>
          </cell>
          <cell r="C317">
            <v>600</v>
          </cell>
          <cell r="D317">
            <v>9</v>
          </cell>
          <cell r="E317">
            <v>600</v>
          </cell>
        </row>
        <row r="318">
          <cell r="A318" t="str">
            <v>GRP9700</v>
          </cell>
          <cell r="B318" t="str">
            <v>GRP</v>
          </cell>
          <cell r="C318">
            <v>700</v>
          </cell>
          <cell r="D318">
            <v>9</v>
          </cell>
          <cell r="E318">
            <v>700</v>
          </cell>
        </row>
        <row r="319">
          <cell r="A319" t="str">
            <v>GRP9800</v>
          </cell>
          <cell r="B319" t="str">
            <v>GRP</v>
          </cell>
          <cell r="C319">
            <v>800</v>
          </cell>
          <cell r="D319">
            <v>9</v>
          </cell>
          <cell r="E319">
            <v>800</v>
          </cell>
        </row>
        <row r="320">
          <cell r="A320" t="str">
            <v>GRP9900</v>
          </cell>
          <cell r="B320" t="str">
            <v>GRP</v>
          </cell>
          <cell r="C320">
            <v>900</v>
          </cell>
          <cell r="D320">
            <v>9</v>
          </cell>
          <cell r="E320">
            <v>900</v>
          </cell>
        </row>
        <row r="321">
          <cell r="A321" t="str">
            <v>GRP91000</v>
          </cell>
          <cell r="B321" t="str">
            <v>GRP</v>
          </cell>
          <cell r="C321">
            <v>1000</v>
          </cell>
          <cell r="D321">
            <v>9</v>
          </cell>
          <cell r="E321">
            <v>1000</v>
          </cell>
        </row>
        <row r="322">
          <cell r="A322" t="str">
            <v>GRP12350</v>
          </cell>
          <cell r="B322" t="str">
            <v>GRP</v>
          </cell>
          <cell r="C322">
            <v>350</v>
          </cell>
          <cell r="D322">
            <v>12</v>
          </cell>
          <cell r="E322">
            <v>350</v>
          </cell>
        </row>
        <row r="323">
          <cell r="A323" t="str">
            <v>GRP12400</v>
          </cell>
          <cell r="B323" t="str">
            <v>GRP</v>
          </cell>
          <cell r="C323">
            <v>400</v>
          </cell>
          <cell r="D323">
            <v>12</v>
          </cell>
          <cell r="E323">
            <v>400</v>
          </cell>
        </row>
        <row r="324">
          <cell r="A324" t="str">
            <v>GRP12450</v>
          </cell>
          <cell r="B324" t="str">
            <v>GRP</v>
          </cell>
          <cell r="C324">
            <v>450</v>
          </cell>
          <cell r="D324">
            <v>12</v>
          </cell>
          <cell r="E324">
            <v>450</v>
          </cell>
        </row>
        <row r="325">
          <cell r="A325" t="str">
            <v>GRP12500</v>
          </cell>
          <cell r="B325" t="str">
            <v>GRP</v>
          </cell>
          <cell r="C325">
            <v>500</v>
          </cell>
          <cell r="D325">
            <v>12</v>
          </cell>
          <cell r="E325">
            <v>500</v>
          </cell>
        </row>
        <row r="326">
          <cell r="A326" t="str">
            <v>GRP12600</v>
          </cell>
          <cell r="B326" t="str">
            <v>GRP</v>
          </cell>
          <cell r="C326">
            <v>600</v>
          </cell>
          <cell r="D326">
            <v>12</v>
          </cell>
          <cell r="E326">
            <v>600</v>
          </cell>
        </row>
        <row r="327">
          <cell r="A327" t="str">
            <v>GRP12700</v>
          </cell>
          <cell r="B327" t="str">
            <v>GRP</v>
          </cell>
          <cell r="C327">
            <v>700</v>
          </cell>
          <cell r="D327">
            <v>12</v>
          </cell>
          <cell r="E327">
            <v>700</v>
          </cell>
        </row>
        <row r="328">
          <cell r="A328" t="str">
            <v>GRP12800</v>
          </cell>
          <cell r="B328" t="str">
            <v>GRP</v>
          </cell>
          <cell r="C328">
            <v>800</v>
          </cell>
          <cell r="D328">
            <v>12</v>
          </cell>
          <cell r="E328">
            <v>800</v>
          </cell>
        </row>
        <row r="329">
          <cell r="A329" t="str">
            <v>GRP12900</v>
          </cell>
          <cell r="B329" t="str">
            <v>GRP</v>
          </cell>
          <cell r="C329">
            <v>900</v>
          </cell>
          <cell r="D329">
            <v>12</v>
          </cell>
          <cell r="E329">
            <v>900</v>
          </cell>
        </row>
        <row r="330">
          <cell r="A330" t="str">
            <v>GRP121000</v>
          </cell>
          <cell r="B330" t="str">
            <v>GRP</v>
          </cell>
          <cell r="C330">
            <v>1000</v>
          </cell>
          <cell r="D330">
            <v>12</v>
          </cell>
          <cell r="E330">
            <v>1000</v>
          </cell>
        </row>
        <row r="331">
          <cell r="A331" t="str">
            <v>GRP15350</v>
          </cell>
          <cell r="B331" t="str">
            <v>GRP</v>
          </cell>
          <cell r="C331">
            <v>350</v>
          </cell>
          <cell r="D331">
            <v>15</v>
          </cell>
          <cell r="E331">
            <v>350</v>
          </cell>
        </row>
        <row r="332">
          <cell r="A332" t="str">
            <v>GRP15400</v>
          </cell>
          <cell r="B332" t="str">
            <v>GRP</v>
          </cell>
          <cell r="C332">
            <v>400</v>
          </cell>
          <cell r="D332">
            <v>15</v>
          </cell>
          <cell r="E332">
            <v>400</v>
          </cell>
        </row>
        <row r="333">
          <cell r="A333" t="str">
            <v>GRP15450</v>
          </cell>
          <cell r="B333" t="str">
            <v>GRP</v>
          </cell>
          <cell r="C333">
            <v>450</v>
          </cell>
          <cell r="D333">
            <v>15</v>
          </cell>
          <cell r="E333">
            <v>450</v>
          </cell>
        </row>
        <row r="334">
          <cell r="A334" t="str">
            <v>GRP15500</v>
          </cell>
          <cell r="B334" t="str">
            <v>GRP</v>
          </cell>
          <cell r="C334">
            <v>500</v>
          </cell>
          <cell r="D334">
            <v>15</v>
          </cell>
          <cell r="E334">
            <v>500</v>
          </cell>
        </row>
        <row r="335">
          <cell r="A335" t="str">
            <v>GRP15600</v>
          </cell>
          <cell r="B335" t="str">
            <v>GRP</v>
          </cell>
          <cell r="C335">
            <v>600</v>
          </cell>
          <cell r="D335">
            <v>15</v>
          </cell>
          <cell r="E335">
            <v>600</v>
          </cell>
        </row>
        <row r="336">
          <cell r="A336" t="str">
            <v>GRP15700</v>
          </cell>
          <cell r="B336" t="str">
            <v>GRP</v>
          </cell>
          <cell r="C336">
            <v>700</v>
          </cell>
          <cell r="D336">
            <v>15</v>
          </cell>
          <cell r="E336">
            <v>700</v>
          </cell>
        </row>
        <row r="337">
          <cell r="A337" t="str">
            <v>GRP15800</v>
          </cell>
          <cell r="B337" t="str">
            <v>GRP</v>
          </cell>
          <cell r="C337">
            <v>800</v>
          </cell>
          <cell r="D337">
            <v>15</v>
          </cell>
          <cell r="E337">
            <v>800</v>
          </cell>
        </row>
        <row r="338">
          <cell r="A338" t="str">
            <v>GRP15900</v>
          </cell>
          <cell r="B338" t="str">
            <v>GRP</v>
          </cell>
          <cell r="C338">
            <v>900</v>
          </cell>
          <cell r="D338">
            <v>15</v>
          </cell>
          <cell r="E338">
            <v>900</v>
          </cell>
        </row>
        <row r="339">
          <cell r="A339" t="str">
            <v>GRP151000</v>
          </cell>
          <cell r="B339" t="str">
            <v>GRP</v>
          </cell>
          <cell r="C339">
            <v>1000</v>
          </cell>
          <cell r="D339">
            <v>15</v>
          </cell>
          <cell r="E339">
            <v>1000</v>
          </cell>
        </row>
        <row r="340">
          <cell r="A340" t="str">
            <v>MS580</v>
          </cell>
          <cell r="B340" t="str">
            <v>MS</v>
          </cell>
          <cell r="C340">
            <v>80</v>
          </cell>
          <cell r="D340">
            <v>5</v>
          </cell>
          <cell r="E340">
            <v>80</v>
          </cell>
        </row>
        <row r="341">
          <cell r="A341" t="str">
            <v>MS5100</v>
          </cell>
          <cell r="B341" t="str">
            <v>MS</v>
          </cell>
          <cell r="C341">
            <v>100</v>
          </cell>
          <cell r="D341">
            <v>5</v>
          </cell>
          <cell r="E341">
            <v>100</v>
          </cell>
        </row>
        <row r="342">
          <cell r="A342" t="str">
            <v>MS5125</v>
          </cell>
          <cell r="B342" t="str">
            <v>MS</v>
          </cell>
          <cell r="C342">
            <v>125</v>
          </cell>
          <cell r="D342">
            <v>5</v>
          </cell>
          <cell r="E342">
            <v>125</v>
          </cell>
        </row>
        <row r="343">
          <cell r="A343" t="str">
            <v>MS5150</v>
          </cell>
          <cell r="B343" t="str">
            <v>MS</v>
          </cell>
          <cell r="C343">
            <v>150</v>
          </cell>
          <cell r="D343">
            <v>5</v>
          </cell>
          <cell r="E343">
            <v>150</v>
          </cell>
        </row>
        <row r="344">
          <cell r="A344" t="str">
            <v>MS5200</v>
          </cell>
          <cell r="B344" t="str">
            <v>MS</v>
          </cell>
          <cell r="C344">
            <v>200</v>
          </cell>
          <cell r="D344">
            <v>5</v>
          </cell>
          <cell r="E344">
            <v>200</v>
          </cell>
        </row>
        <row r="345">
          <cell r="A345" t="str">
            <v>MS5250</v>
          </cell>
          <cell r="B345" t="str">
            <v>MS</v>
          </cell>
          <cell r="C345">
            <v>250</v>
          </cell>
          <cell r="D345">
            <v>5</v>
          </cell>
          <cell r="E345">
            <v>250</v>
          </cell>
        </row>
        <row r="346">
          <cell r="A346" t="str">
            <v>MS5300</v>
          </cell>
          <cell r="B346" t="str">
            <v>MS</v>
          </cell>
          <cell r="C346">
            <v>300</v>
          </cell>
          <cell r="D346">
            <v>5</v>
          </cell>
          <cell r="E346">
            <v>300</v>
          </cell>
        </row>
        <row r="347">
          <cell r="A347" t="str">
            <v>MS5350</v>
          </cell>
          <cell r="B347" t="str">
            <v>MS</v>
          </cell>
          <cell r="C347">
            <v>350</v>
          </cell>
          <cell r="D347">
            <v>5</v>
          </cell>
          <cell r="E347">
            <v>350</v>
          </cell>
        </row>
        <row r="348">
          <cell r="A348" t="str">
            <v>MS5400</v>
          </cell>
          <cell r="B348" t="str">
            <v>MS</v>
          </cell>
          <cell r="C348">
            <v>400</v>
          </cell>
          <cell r="D348">
            <v>5</v>
          </cell>
          <cell r="E348">
            <v>400</v>
          </cell>
        </row>
        <row r="349">
          <cell r="A349" t="str">
            <v>MS5450</v>
          </cell>
          <cell r="B349" t="str">
            <v>MS</v>
          </cell>
          <cell r="C349">
            <v>450</v>
          </cell>
          <cell r="D349">
            <v>5</v>
          </cell>
          <cell r="E349">
            <v>450</v>
          </cell>
        </row>
        <row r="350">
          <cell r="A350" t="str">
            <v>MS5500</v>
          </cell>
          <cell r="B350" t="str">
            <v>MS</v>
          </cell>
          <cell r="C350">
            <v>500</v>
          </cell>
          <cell r="D350">
            <v>5</v>
          </cell>
          <cell r="E350">
            <v>500</v>
          </cell>
        </row>
        <row r="351">
          <cell r="A351" t="str">
            <v>MS5600</v>
          </cell>
          <cell r="B351" t="str">
            <v>MS</v>
          </cell>
          <cell r="C351">
            <v>600</v>
          </cell>
          <cell r="D351">
            <v>5</v>
          </cell>
          <cell r="E351">
            <v>600</v>
          </cell>
        </row>
        <row r="352">
          <cell r="A352" t="str">
            <v>MS5700</v>
          </cell>
          <cell r="B352" t="str">
            <v>MS</v>
          </cell>
          <cell r="C352">
            <v>700</v>
          </cell>
          <cell r="D352">
            <v>5</v>
          </cell>
          <cell r="E352">
            <v>700</v>
          </cell>
        </row>
        <row r="353">
          <cell r="A353" t="str">
            <v>MS5800</v>
          </cell>
          <cell r="B353" t="str">
            <v>MS</v>
          </cell>
          <cell r="C353">
            <v>800</v>
          </cell>
          <cell r="D353">
            <v>5</v>
          </cell>
          <cell r="E353">
            <v>800</v>
          </cell>
        </row>
        <row r="354">
          <cell r="A354" t="str">
            <v>MS5900</v>
          </cell>
          <cell r="B354" t="str">
            <v>MS</v>
          </cell>
          <cell r="C354">
            <v>900</v>
          </cell>
          <cell r="D354">
            <v>5</v>
          </cell>
          <cell r="E354">
            <v>900</v>
          </cell>
        </row>
        <row r="355">
          <cell r="A355" t="str">
            <v>MS51000</v>
          </cell>
          <cell r="B355" t="str">
            <v>MS</v>
          </cell>
          <cell r="C355">
            <v>1000</v>
          </cell>
          <cell r="D355">
            <v>5</v>
          </cell>
          <cell r="E355">
            <v>1000</v>
          </cell>
        </row>
        <row r="356">
          <cell r="A356" t="str">
            <v>MS680</v>
          </cell>
          <cell r="B356" t="str">
            <v>MS</v>
          </cell>
          <cell r="C356">
            <v>80</v>
          </cell>
          <cell r="D356">
            <v>6</v>
          </cell>
          <cell r="E356">
            <v>80</v>
          </cell>
        </row>
        <row r="357">
          <cell r="A357" t="str">
            <v>MS6100</v>
          </cell>
          <cell r="B357" t="str">
            <v>MS</v>
          </cell>
          <cell r="C357">
            <v>100</v>
          </cell>
          <cell r="D357">
            <v>6</v>
          </cell>
          <cell r="E357">
            <v>100</v>
          </cell>
        </row>
        <row r="358">
          <cell r="A358" t="str">
            <v>MS6125</v>
          </cell>
          <cell r="B358" t="str">
            <v>MS</v>
          </cell>
          <cell r="C358">
            <v>125</v>
          </cell>
          <cell r="D358">
            <v>6</v>
          </cell>
          <cell r="E358">
            <v>125</v>
          </cell>
        </row>
        <row r="359">
          <cell r="A359" t="str">
            <v>MS6150</v>
          </cell>
          <cell r="B359" t="str">
            <v>MS</v>
          </cell>
          <cell r="C359">
            <v>150</v>
          </cell>
          <cell r="D359">
            <v>6</v>
          </cell>
          <cell r="E359">
            <v>150</v>
          </cell>
        </row>
        <row r="360">
          <cell r="A360" t="str">
            <v>MS6200</v>
          </cell>
          <cell r="B360" t="str">
            <v>MS</v>
          </cell>
          <cell r="C360">
            <v>200</v>
          </cell>
          <cell r="D360">
            <v>6</v>
          </cell>
          <cell r="E360">
            <v>200</v>
          </cell>
        </row>
        <row r="361">
          <cell r="A361" t="str">
            <v>MS6250</v>
          </cell>
          <cell r="B361" t="str">
            <v>MS</v>
          </cell>
          <cell r="C361">
            <v>250</v>
          </cell>
          <cell r="D361">
            <v>6</v>
          </cell>
          <cell r="E361">
            <v>250</v>
          </cell>
        </row>
        <row r="362">
          <cell r="A362" t="str">
            <v>MS6300</v>
          </cell>
          <cell r="B362" t="str">
            <v>MS</v>
          </cell>
          <cell r="C362">
            <v>300</v>
          </cell>
          <cell r="D362">
            <v>6</v>
          </cell>
          <cell r="E362">
            <v>300</v>
          </cell>
        </row>
        <row r="363">
          <cell r="A363" t="str">
            <v>MS6350</v>
          </cell>
          <cell r="B363" t="str">
            <v>MS</v>
          </cell>
          <cell r="C363">
            <v>350</v>
          </cell>
          <cell r="D363">
            <v>6</v>
          </cell>
          <cell r="E363">
            <v>350</v>
          </cell>
        </row>
        <row r="364">
          <cell r="A364" t="str">
            <v>MS6400</v>
          </cell>
          <cell r="B364" t="str">
            <v>MS</v>
          </cell>
          <cell r="C364">
            <v>400</v>
          </cell>
          <cell r="D364">
            <v>6</v>
          </cell>
          <cell r="E364">
            <v>400</v>
          </cell>
        </row>
        <row r="365">
          <cell r="A365" t="str">
            <v>MS6450</v>
          </cell>
          <cell r="B365" t="str">
            <v>MS</v>
          </cell>
          <cell r="C365">
            <v>450</v>
          </cell>
          <cell r="D365">
            <v>6</v>
          </cell>
          <cell r="E365">
            <v>450</v>
          </cell>
        </row>
        <row r="366">
          <cell r="A366" t="str">
            <v>MS6500</v>
          </cell>
          <cell r="B366" t="str">
            <v>MS</v>
          </cell>
          <cell r="C366">
            <v>500</v>
          </cell>
          <cell r="D366">
            <v>6</v>
          </cell>
          <cell r="E366">
            <v>500</v>
          </cell>
        </row>
        <row r="367">
          <cell r="A367" t="str">
            <v>MS6600</v>
          </cell>
          <cell r="B367" t="str">
            <v>MS</v>
          </cell>
          <cell r="C367">
            <v>600</v>
          </cell>
          <cell r="D367">
            <v>6</v>
          </cell>
          <cell r="E367">
            <v>600</v>
          </cell>
        </row>
        <row r="368">
          <cell r="A368" t="str">
            <v>MS6700</v>
          </cell>
          <cell r="B368" t="str">
            <v>MS</v>
          </cell>
          <cell r="C368">
            <v>700</v>
          </cell>
          <cell r="D368">
            <v>6</v>
          </cell>
          <cell r="E368">
            <v>700</v>
          </cell>
        </row>
        <row r="369">
          <cell r="A369" t="str">
            <v>MS6800</v>
          </cell>
          <cell r="B369" t="str">
            <v>MS</v>
          </cell>
          <cell r="C369">
            <v>800</v>
          </cell>
          <cell r="D369">
            <v>6</v>
          </cell>
          <cell r="E369">
            <v>800</v>
          </cell>
        </row>
        <row r="370">
          <cell r="A370" t="str">
            <v>MS6900</v>
          </cell>
          <cell r="B370" t="str">
            <v>MS</v>
          </cell>
          <cell r="C370">
            <v>900</v>
          </cell>
          <cell r="D370">
            <v>6</v>
          </cell>
          <cell r="E370">
            <v>900</v>
          </cell>
        </row>
        <row r="371">
          <cell r="A371" t="str">
            <v>MS61000</v>
          </cell>
          <cell r="B371" t="str">
            <v>MS</v>
          </cell>
          <cell r="C371">
            <v>1000</v>
          </cell>
          <cell r="D371">
            <v>6</v>
          </cell>
          <cell r="E371">
            <v>1000</v>
          </cell>
        </row>
        <row r="372">
          <cell r="A372" t="str">
            <v>MS880</v>
          </cell>
          <cell r="B372" t="str">
            <v>MS</v>
          </cell>
          <cell r="C372">
            <v>80</v>
          </cell>
          <cell r="D372">
            <v>8</v>
          </cell>
          <cell r="E372">
            <v>80</v>
          </cell>
        </row>
        <row r="373">
          <cell r="A373" t="str">
            <v>MS8100</v>
          </cell>
          <cell r="B373" t="str">
            <v>MS</v>
          </cell>
          <cell r="C373">
            <v>100</v>
          </cell>
          <cell r="D373">
            <v>8</v>
          </cell>
          <cell r="E373">
            <v>100</v>
          </cell>
        </row>
        <row r="374">
          <cell r="A374" t="str">
            <v>MS8125</v>
          </cell>
          <cell r="B374" t="str">
            <v>MS</v>
          </cell>
          <cell r="C374">
            <v>125</v>
          </cell>
          <cell r="D374">
            <v>8</v>
          </cell>
          <cell r="E374">
            <v>125</v>
          </cell>
        </row>
        <row r="375">
          <cell r="A375" t="str">
            <v>MS8150</v>
          </cell>
          <cell r="B375" t="str">
            <v>MS</v>
          </cell>
          <cell r="C375">
            <v>150</v>
          </cell>
          <cell r="D375">
            <v>8</v>
          </cell>
          <cell r="E375">
            <v>150</v>
          </cell>
        </row>
        <row r="376">
          <cell r="A376" t="str">
            <v>MS8200</v>
          </cell>
          <cell r="B376" t="str">
            <v>MS</v>
          </cell>
          <cell r="C376">
            <v>200</v>
          </cell>
          <cell r="D376">
            <v>8</v>
          </cell>
          <cell r="E376">
            <v>200</v>
          </cell>
        </row>
        <row r="377">
          <cell r="A377" t="str">
            <v>MS8250</v>
          </cell>
          <cell r="B377" t="str">
            <v>MS</v>
          </cell>
          <cell r="C377">
            <v>250</v>
          </cell>
          <cell r="D377">
            <v>8</v>
          </cell>
          <cell r="E377">
            <v>250</v>
          </cell>
        </row>
        <row r="378">
          <cell r="A378" t="str">
            <v>MS8300</v>
          </cell>
          <cell r="B378" t="str">
            <v>MS</v>
          </cell>
          <cell r="C378">
            <v>300</v>
          </cell>
          <cell r="D378">
            <v>8</v>
          </cell>
          <cell r="E378">
            <v>300</v>
          </cell>
        </row>
        <row r="379">
          <cell r="A379" t="str">
            <v>MS8350</v>
          </cell>
          <cell r="B379" t="str">
            <v>MS</v>
          </cell>
          <cell r="C379">
            <v>350</v>
          </cell>
          <cell r="D379">
            <v>8</v>
          </cell>
          <cell r="E379">
            <v>350</v>
          </cell>
        </row>
        <row r="380">
          <cell r="A380" t="str">
            <v>MS8400</v>
          </cell>
          <cell r="B380" t="str">
            <v>MS</v>
          </cell>
          <cell r="C380">
            <v>400</v>
          </cell>
          <cell r="D380">
            <v>8</v>
          </cell>
          <cell r="E380">
            <v>400</v>
          </cell>
        </row>
        <row r="381">
          <cell r="A381" t="str">
            <v>MS8450</v>
          </cell>
          <cell r="B381" t="str">
            <v>MS</v>
          </cell>
          <cell r="C381">
            <v>450</v>
          </cell>
          <cell r="D381">
            <v>8</v>
          </cell>
          <cell r="E381">
            <v>450</v>
          </cell>
        </row>
        <row r="382">
          <cell r="A382" t="str">
            <v>MS8500</v>
          </cell>
          <cell r="B382" t="str">
            <v>MS</v>
          </cell>
          <cell r="C382">
            <v>500</v>
          </cell>
          <cell r="D382">
            <v>8</v>
          </cell>
          <cell r="E382">
            <v>500</v>
          </cell>
        </row>
        <row r="383">
          <cell r="A383" t="str">
            <v>MS8600</v>
          </cell>
          <cell r="B383" t="str">
            <v>MS</v>
          </cell>
          <cell r="C383">
            <v>600</v>
          </cell>
          <cell r="D383">
            <v>8</v>
          </cell>
          <cell r="E383">
            <v>600</v>
          </cell>
        </row>
        <row r="384">
          <cell r="A384" t="str">
            <v>MS8700</v>
          </cell>
          <cell r="B384" t="str">
            <v>MS</v>
          </cell>
          <cell r="C384">
            <v>700</v>
          </cell>
          <cell r="D384">
            <v>8</v>
          </cell>
          <cell r="E384">
            <v>700</v>
          </cell>
        </row>
        <row r="385">
          <cell r="A385" t="str">
            <v>MS8800</v>
          </cell>
          <cell r="B385" t="str">
            <v>MS</v>
          </cell>
          <cell r="C385">
            <v>800</v>
          </cell>
          <cell r="D385">
            <v>8</v>
          </cell>
          <cell r="E385">
            <v>800</v>
          </cell>
        </row>
        <row r="386">
          <cell r="A386" t="str">
            <v>MS8900</v>
          </cell>
          <cell r="B386" t="str">
            <v>MS</v>
          </cell>
          <cell r="C386">
            <v>900</v>
          </cell>
          <cell r="D386">
            <v>8</v>
          </cell>
          <cell r="E386">
            <v>900</v>
          </cell>
        </row>
        <row r="387">
          <cell r="A387" t="str">
            <v>MS81000</v>
          </cell>
          <cell r="B387" t="str">
            <v>MS</v>
          </cell>
          <cell r="C387">
            <v>1000</v>
          </cell>
          <cell r="D387">
            <v>8</v>
          </cell>
          <cell r="E387">
            <v>1000</v>
          </cell>
        </row>
        <row r="388">
          <cell r="A388" t="str">
            <v>MS1080</v>
          </cell>
          <cell r="B388" t="str">
            <v>MS</v>
          </cell>
          <cell r="C388">
            <v>80</v>
          </cell>
          <cell r="D388">
            <v>10</v>
          </cell>
          <cell r="E388">
            <v>80</v>
          </cell>
        </row>
        <row r="389">
          <cell r="A389" t="str">
            <v>MS10100</v>
          </cell>
          <cell r="B389" t="str">
            <v>MS</v>
          </cell>
          <cell r="C389">
            <v>100</v>
          </cell>
          <cell r="D389">
            <v>10</v>
          </cell>
          <cell r="E389">
            <v>100</v>
          </cell>
        </row>
        <row r="390">
          <cell r="A390" t="str">
            <v>MS10125</v>
          </cell>
          <cell r="B390" t="str">
            <v>MS</v>
          </cell>
          <cell r="C390">
            <v>125</v>
          </cell>
          <cell r="D390">
            <v>10</v>
          </cell>
          <cell r="E390">
            <v>125</v>
          </cell>
        </row>
        <row r="391">
          <cell r="A391" t="str">
            <v>MS10150</v>
          </cell>
          <cell r="B391" t="str">
            <v>MS</v>
          </cell>
          <cell r="C391">
            <v>150</v>
          </cell>
          <cell r="D391">
            <v>10</v>
          </cell>
          <cell r="E391">
            <v>150</v>
          </cell>
        </row>
        <row r="392">
          <cell r="A392" t="str">
            <v>MS10200</v>
          </cell>
          <cell r="B392" t="str">
            <v>MS</v>
          </cell>
          <cell r="C392">
            <v>200</v>
          </cell>
          <cell r="D392">
            <v>10</v>
          </cell>
          <cell r="E392">
            <v>200</v>
          </cell>
        </row>
        <row r="393">
          <cell r="A393" t="str">
            <v>MS10250</v>
          </cell>
          <cell r="B393" t="str">
            <v>MS</v>
          </cell>
          <cell r="C393">
            <v>250</v>
          </cell>
          <cell r="D393">
            <v>10</v>
          </cell>
          <cell r="E393">
            <v>250</v>
          </cell>
        </row>
        <row r="394">
          <cell r="A394" t="str">
            <v>MS10300</v>
          </cell>
          <cell r="B394" t="str">
            <v>MS</v>
          </cell>
          <cell r="C394">
            <v>300</v>
          </cell>
          <cell r="D394">
            <v>10</v>
          </cell>
          <cell r="E394">
            <v>300</v>
          </cell>
        </row>
        <row r="395">
          <cell r="A395" t="str">
            <v>MS10350</v>
          </cell>
          <cell r="B395" t="str">
            <v>MS</v>
          </cell>
          <cell r="C395">
            <v>350</v>
          </cell>
          <cell r="D395">
            <v>10</v>
          </cell>
          <cell r="E395">
            <v>350</v>
          </cell>
        </row>
        <row r="396">
          <cell r="A396" t="str">
            <v>MS10400</v>
          </cell>
          <cell r="B396" t="str">
            <v>MS</v>
          </cell>
          <cell r="C396">
            <v>400</v>
          </cell>
          <cell r="D396">
            <v>10</v>
          </cell>
          <cell r="E396">
            <v>400</v>
          </cell>
        </row>
        <row r="397">
          <cell r="A397" t="str">
            <v>MS10450</v>
          </cell>
          <cell r="B397" t="str">
            <v>MS</v>
          </cell>
          <cell r="C397">
            <v>450</v>
          </cell>
          <cell r="D397">
            <v>10</v>
          </cell>
          <cell r="E397">
            <v>450</v>
          </cell>
        </row>
        <row r="398">
          <cell r="A398" t="str">
            <v>MS10500</v>
          </cell>
          <cell r="B398" t="str">
            <v>MS</v>
          </cell>
          <cell r="C398">
            <v>500</v>
          </cell>
          <cell r="D398">
            <v>10</v>
          </cell>
          <cell r="E398">
            <v>500</v>
          </cell>
        </row>
        <row r="399">
          <cell r="A399" t="str">
            <v>MS10600</v>
          </cell>
          <cell r="B399" t="str">
            <v>MS</v>
          </cell>
          <cell r="C399">
            <v>600</v>
          </cell>
          <cell r="D399">
            <v>10</v>
          </cell>
          <cell r="E399">
            <v>600</v>
          </cell>
        </row>
        <row r="400">
          <cell r="A400" t="str">
            <v>MS10700</v>
          </cell>
          <cell r="B400" t="str">
            <v>MS</v>
          </cell>
          <cell r="C400">
            <v>700</v>
          </cell>
          <cell r="D400">
            <v>10</v>
          </cell>
          <cell r="E400">
            <v>700</v>
          </cell>
        </row>
        <row r="401">
          <cell r="A401" t="str">
            <v>MS10800</v>
          </cell>
          <cell r="B401" t="str">
            <v>MS</v>
          </cell>
          <cell r="C401">
            <v>800</v>
          </cell>
          <cell r="D401">
            <v>10</v>
          </cell>
          <cell r="E401">
            <v>800</v>
          </cell>
        </row>
        <row r="402">
          <cell r="A402" t="str">
            <v>MS10900</v>
          </cell>
          <cell r="B402" t="str">
            <v>MS</v>
          </cell>
          <cell r="C402">
            <v>900</v>
          </cell>
          <cell r="D402">
            <v>10</v>
          </cell>
          <cell r="E402">
            <v>900</v>
          </cell>
        </row>
        <row r="403">
          <cell r="A403" t="str">
            <v>MS101000</v>
          </cell>
          <cell r="B403" t="str">
            <v>MS</v>
          </cell>
          <cell r="C403">
            <v>1000</v>
          </cell>
          <cell r="D403">
            <v>10</v>
          </cell>
          <cell r="E403">
            <v>1000</v>
          </cell>
        </row>
      </sheetData>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tsb"/>
      <sheetName val="ssr-rates"/>
      <sheetName val="t_prsr"/>
      <sheetName val="id"/>
      <sheetName val="wh"/>
      <sheetName val="id_whmr"/>
      <sheetName val="sand"/>
      <sheetName val="stone"/>
      <sheetName val="index"/>
      <sheetName val="pvc-pipe-rates"/>
      <sheetName val="Road data"/>
      <sheetName val="DATA"/>
      <sheetName val="Lead statement"/>
      <sheetName val="Plant &amp;  Machinery"/>
      <sheetName val="detls"/>
      <sheetName val="WATER-HAMMER"/>
      <sheetName val="Labour"/>
      <sheetName val="R_Det"/>
      <sheetName val="PVC_dia"/>
      <sheetName val="LEAD"/>
    </sheetNames>
    <sheetDataSet>
      <sheetData sheetId="0"/>
      <sheetData sheetId="1"/>
      <sheetData sheetId="2">
        <row r="3">
          <cell r="A3" t="str">
            <v>CODE</v>
          </cell>
        </row>
      </sheetData>
      <sheetData sheetId="3"/>
      <sheetData sheetId="4">
        <row r="4">
          <cell r="A4" t="str">
            <v>PVC463</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P "/>
      <sheetName val="hyd "/>
      <sheetName val="maint est"/>
      <sheetName val="pm-est (NEW)"/>
      <sheetName val="pm-est (2)"/>
      <sheetName val="GM-est"/>
      <sheetName val="pm-est"/>
      <sheetName val="PVC_dia"/>
      <sheetName val="OHSR GOT"/>
      <sheetName val="Sheet3"/>
      <sheetName val="pvc-pipe-rates"/>
      <sheetName val="POP_"/>
      <sheetName val="hyd_"/>
      <sheetName val="maint_est"/>
      <sheetName val="pm-est_(NEW)"/>
      <sheetName val="pm-est_(2)"/>
      <sheetName val="OHSR_GOT"/>
      <sheetName val="WATER-HAMMER"/>
      <sheetName val="t_prsr"/>
      <sheetName val="Bill_amt_qty_cc_1"/>
      <sheetName val="wh"/>
      <sheetName val="data"/>
      <sheetName val="Data.F8.BTR"/>
      <sheetName val="WORK DONE"/>
      <sheetName val="Labour"/>
      <sheetName val="Material"/>
      <sheetName val="Plant &amp;  Machinery"/>
      <sheetName val="sand"/>
      <sheetName val="stone"/>
      <sheetName val="index"/>
      <sheetName val="R_Det"/>
      <sheetName val="sch"/>
      <sheetName val="Lead"/>
      <sheetName val="Road data"/>
      <sheetName val="Sheet1 (2)"/>
      <sheetName val="Data_Base"/>
      <sheetName val="hdpe-rates"/>
      <sheetName val="hdpe weights"/>
      <sheetName val="ssr-rates"/>
      <sheetName val="pvc-rates"/>
      <sheetName val="PVC weights"/>
      <sheetName val="Nspt-smp-final-ORIGINAL"/>
      <sheetName val="m"/>
      <sheetName val="detls"/>
      <sheetName val="OPD-Civil"/>
      <sheetName val="id"/>
      <sheetName val="m1"/>
      <sheetName val="Input"/>
      <sheetName val="HYDERAULIC STATMENT OHBR"/>
      <sheetName val="Abstract"/>
      <sheetName val="REcast Comperative"/>
      <sheetName val="RECAST RATES"/>
      <sheetName val="2017 OHSR DI -1 RC EST"/>
      <sheetName val="HH RC EST (2)"/>
      <sheetName val="leads"/>
      <sheetName val="Sheet5"/>
      <sheetName val="Specification"/>
      <sheetName val="Data o"/>
      <sheetName val="Main sheet"/>
      <sheetName val="Rate_Analysis"/>
      <sheetName val="Levels"/>
      <sheetName val="v"/>
      <sheetName val="CD Data"/>
      <sheetName val="Conveyance"/>
      <sheetName val="Lead statement"/>
      <sheetName val="office"/>
      <sheetName val="MRATES"/>
      <sheetName val="data- Sewer -Final"/>
      <sheetName val="Mortars"/>
      <sheetName val="Sheet1"/>
      <sheetName val="int-Dia-pvc"/>
      <sheetName val="r"/>
      <sheetName val="l"/>
      <sheetName val="RMR"/>
      <sheetName val="GA"/>
      <sheetName val="Cul_detail"/>
      <sheetName val="BTR (2)"/>
      <sheetName val="pop"/>
      <sheetName val="TOP SLAB-beams"/>
      <sheetName val="POP_1"/>
      <sheetName val="hyd_1"/>
      <sheetName val="maint_est1"/>
      <sheetName val="pm-est_(NEW)1"/>
      <sheetName val="pm-est_(2)1"/>
      <sheetName val="OHSR_GOT1"/>
      <sheetName val="Data_F8_BTR"/>
      <sheetName val="WORK_DONE"/>
      <sheetName val="Plant_&amp;__Machinery"/>
      <sheetName val="Road_data"/>
      <sheetName val="Sheet1_(2)"/>
      <sheetName val="hdpe_weights"/>
      <sheetName val="PVC_weights"/>
      <sheetName val="Data-Road "/>
      <sheetName val="other rates"/>
      <sheetName val="Hire"/>
      <sheetName val="7 Other Costs"/>
      <sheetName val="GEN-ABS Del"/>
      <sheetName val="Quotes"/>
      <sheetName val="Input &amp; Calculations"/>
      <sheetName val="ws-abs"/>
      <sheetName val="coverpage"/>
      <sheetName val="pvc_basic"/>
      <sheetName val="0000000000000"/>
      <sheetName val="LEAD (2)"/>
      <sheetName val="HDPE"/>
      <sheetName val="habs-list"/>
      <sheetName val="nodes"/>
      <sheetName val="DATA_PRG"/>
      <sheetName val="Rate"/>
      <sheetName val="Cd"/>
      <sheetName val="Cs"/>
      <sheetName val="CPIPE"/>
      <sheetName val="THK"/>
      <sheetName val="CPIPE 1"/>
      <sheetName val="economic PM"/>
      <sheetName val="Estimate"/>
      <sheetName val="Plant Cost"/>
      <sheetName val="Cover"/>
      <sheetName val="SubAnalysis"/>
      <sheetName val="HYDERAULIC_STATMENT_OHBR"/>
      <sheetName val="REcast_Comperative"/>
      <sheetName val="RECAST_RATES"/>
      <sheetName val="2017_OHSR_DI_-1_RC_EST"/>
      <sheetName val="HH_RC_EST_(2)"/>
      <sheetName val="Data_o"/>
      <sheetName val="Main_sheet"/>
      <sheetName val="CD_Data"/>
      <sheetName val="Lead_statement"/>
      <sheetName val="data-_Sewer_-Final"/>
      <sheetName val="BTR_(2)"/>
      <sheetName val="TOP_SLAB-beams"/>
      <sheetName val="Basic Rates"/>
      <sheetName val="HS 1"/>
      <sheetName val="PM&amp;GM"/>
      <sheetName val="Iocount"/>
      <sheetName val="int-Dia"/>
      <sheetName val="JAWAHAR-hyd-original"/>
      <sheetName val="Sheet2"/>
      <sheetName val="pvc"/>
      <sheetName val="SPT vs PHI"/>
      <sheetName val="Civil Boq"/>
      <sheetName val="clvrt_data"/>
      <sheetName val="mas_hab"/>
      <sheetName val="Inputs Line Est"/>
      <sheetName val="HDPE-pipe-rates"/>
      <sheetName val="int-Dia-hdpe"/>
      <sheetName val="DISCHARGE"/>
      <sheetName val="Longitudinal"/>
      <sheetName val="General"/>
      <sheetName val="WE CIVIL"/>
      <sheetName val="Steel Go 94"/>
      <sheetName val="Rates-1"/>
      <sheetName val="Summary"/>
      <sheetName val="quarry"/>
      <sheetName val="hdpe_basic"/>
      <sheetName val="DI"/>
      <sheetName val="GA (NABH)-Sklm (2)"/>
      <sheetName val="Gnl_Abstrct"/>
      <sheetName val="data existing_do not delete"/>
      <sheetName val="p&amp;m"/>
      <sheetName val="water-hammar-strenght"/>
      <sheetName val="DATA-ABSTRACT"/>
      <sheetName val="CLEAR OVER FALL DROP"/>
      <sheetName val="_5wgdhabfinal00_01"/>
      <sheetName val="zone-2"/>
      <sheetName val="Data rough"/>
      <sheetName val="I-CO"/>
      <sheetName val="rdamdata"/>
      <sheetName val="wh_data_R"/>
      <sheetName val="HS final-2"/>
      <sheetName val="Lookup"/>
      <sheetName val="mlead"/>
      <sheetName val="GM&amp;PM WE1 EST"/>
      <sheetName val="airvalve-AC PN 1.60"/>
      <sheetName val="AV_GRP ms bwsc"/>
      <sheetName val="BWSCP"/>
      <sheetName val="Soft-sluice-AC,GRP PN 1.6"/>
      <sheetName val="soft-sluice-BWSC-MS"/>
      <sheetName val="DI sluice valve"/>
      <sheetName val="Sorted"/>
      <sheetName val="data-WC"/>
      <sheetName val="Cover Page"/>
      <sheetName val="lead-st"/>
      <sheetName val="Bitumen trunk"/>
      <sheetName val="Feeder"/>
      <sheetName val="R99 etc"/>
      <sheetName val="Trunk unpaved"/>
      <sheetName val="FORM7"/>
      <sheetName val="RA-markate"/>
      <sheetName val="Rising Main"/>
    </sheetNames>
    <sheetDataSet>
      <sheetData sheetId="0">
        <row r="26">
          <cell r="A26">
            <v>63</v>
          </cell>
        </row>
      </sheetData>
      <sheetData sheetId="1"/>
      <sheetData sheetId="2"/>
      <sheetData sheetId="3"/>
      <sheetData sheetId="4"/>
      <sheetData sheetId="5"/>
      <sheetData sheetId="6"/>
      <sheetData sheetId="7" refreshError="1">
        <row r="26">
          <cell r="A26">
            <v>63</v>
          </cell>
          <cell r="B26">
            <v>0</v>
          </cell>
          <cell r="C26">
            <v>1.9</v>
          </cell>
          <cell r="D26">
            <v>2.7</v>
          </cell>
          <cell r="E26">
            <v>0</v>
          </cell>
          <cell r="F26">
            <v>4.0999999999999996</v>
          </cell>
          <cell r="G26">
            <v>0</v>
          </cell>
          <cell r="H26">
            <v>0</v>
          </cell>
          <cell r="I26">
            <v>59.2</v>
          </cell>
          <cell r="J26">
            <v>57.6</v>
          </cell>
          <cell r="K26">
            <v>0</v>
          </cell>
          <cell r="L26">
            <v>54.8</v>
          </cell>
        </row>
        <row r="27">
          <cell r="A27">
            <v>75</v>
          </cell>
          <cell r="B27">
            <v>0</v>
          </cell>
          <cell r="C27">
            <v>2.2000000000000002</v>
          </cell>
          <cell r="D27">
            <v>3.1</v>
          </cell>
          <cell r="E27">
            <v>0</v>
          </cell>
          <cell r="F27">
            <v>4.9000000000000004</v>
          </cell>
          <cell r="G27">
            <v>0</v>
          </cell>
          <cell r="H27">
            <v>0</v>
          </cell>
          <cell r="I27">
            <v>70.599999999999994</v>
          </cell>
          <cell r="J27">
            <v>68.8</v>
          </cell>
          <cell r="K27">
            <v>0</v>
          </cell>
          <cell r="L27">
            <v>65.2</v>
          </cell>
        </row>
        <row r="28">
          <cell r="A28">
            <v>90</v>
          </cell>
          <cell r="B28">
            <v>0</v>
          </cell>
          <cell r="C28">
            <v>2.6</v>
          </cell>
          <cell r="D28">
            <v>3.7</v>
          </cell>
          <cell r="E28">
            <v>0</v>
          </cell>
          <cell r="F28">
            <v>5.7</v>
          </cell>
          <cell r="G28">
            <v>0</v>
          </cell>
          <cell r="H28">
            <v>0</v>
          </cell>
          <cell r="I28">
            <v>84.8</v>
          </cell>
          <cell r="J28">
            <v>82.6</v>
          </cell>
          <cell r="K28">
            <v>0</v>
          </cell>
          <cell r="L28">
            <v>78.599999999999994</v>
          </cell>
        </row>
        <row r="29">
          <cell r="A29">
            <v>110</v>
          </cell>
          <cell r="B29">
            <v>0</v>
          </cell>
          <cell r="C29">
            <v>3</v>
          </cell>
          <cell r="D29">
            <v>4.3</v>
          </cell>
          <cell r="E29">
            <v>0</v>
          </cell>
          <cell r="F29">
            <v>7.1</v>
          </cell>
          <cell r="G29">
            <v>0</v>
          </cell>
          <cell r="H29">
            <v>0</v>
          </cell>
          <cell r="I29">
            <v>104</v>
          </cell>
          <cell r="J29">
            <v>101.4</v>
          </cell>
          <cell r="K29">
            <v>0</v>
          </cell>
          <cell r="L29">
            <v>95.8</v>
          </cell>
        </row>
        <row r="30">
          <cell r="A30">
            <v>125</v>
          </cell>
          <cell r="B30">
            <v>0</v>
          </cell>
          <cell r="C30">
            <v>3.4</v>
          </cell>
          <cell r="D30">
            <v>5</v>
          </cell>
          <cell r="E30">
            <v>0</v>
          </cell>
          <cell r="F30">
            <v>8</v>
          </cell>
          <cell r="G30">
            <v>0</v>
          </cell>
          <cell r="H30">
            <v>0</v>
          </cell>
          <cell r="I30">
            <v>118.2</v>
          </cell>
          <cell r="J30">
            <v>115</v>
          </cell>
          <cell r="K30">
            <v>0</v>
          </cell>
          <cell r="L30">
            <v>109</v>
          </cell>
        </row>
        <row r="31">
          <cell r="A31">
            <v>140</v>
          </cell>
          <cell r="B31">
            <v>0</v>
          </cell>
          <cell r="C31">
            <v>3.8</v>
          </cell>
          <cell r="D31">
            <v>5.5</v>
          </cell>
          <cell r="E31">
            <v>0</v>
          </cell>
          <cell r="F31">
            <v>8.9</v>
          </cell>
          <cell r="G31">
            <v>0</v>
          </cell>
          <cell r="H31">
            <v>0</v>
          </cell>
          <cell r="I31">
            <v>132.4</v>
          </cell>
          <cell r="J31">
            <v>129</v>
          </cell>
          <cell r="K31">
            <v>0</v>
          </cell>
          <cell r="L31">
            <v>122.2</v>
          </cell>
        </row>
        <row r="32">
          <cell r="A32">
            <v>160</v>
          </cell>
          <cell r="B32">
            <v>0</v>
          </cell>
          <cell r="C32">
            <v>4.3</v>
          </cell>
          <cell r="D32">
            <v>6.2</v>
          </cell>
          <cell r="E32">
            <v>0</v>
          </cell>
          <cell r="F32">
            <v>10.199999999999999</v>
          </cell>
          <cell r="G32">
            <v>0</v>
          </cell>
          <cell r="H32">
            <v>0</v>
          </cell>
          <cell r="I32">
            <v>151.4</v>
          </cell>
          <cell r="J32">
            <v>147.6</v>
          </cell>
          <cell r="K32">
            <v>0</v>
          </cell>
          <cell r="L32">
            <v>139.6</v>
          </cell>
        </row>
        <row r="33">
          <cell r="A33">
            <v>180</v>
          </cell>
          <cell r="B33">
            <v>0</v>
          </cell>
          <cell r="C33">
            <v>4.9000000000000004</v>
          </cell>
          <cell r="D33">
            <v>7.1</v>
          </cell>
          <cell r="E33">
            <v>0</v>
          </cell>
          <cell r="F33">
            <v>11.4</v>
          </cell>
          <cell r="G33">
            <v>0</v>
          </cell>
          <cell r="H33">
            <v>0</v>
          </cell>
          <cell r="I33">
            <v>170.2</v>
          </cell>
          <cell r="J33">
            <v>165.8</v>
          </cell>
          <cell r="K33">
            <v>0</v>
          </cell>
          <cell r="L33">
            <v>157.19999999999999</v>
          </cell>
        </row>
        <row r="34">
          <cell r="A34">
            <v>200</v>
          </cell>
          <cell r="B34">
            <v>0</v>
          </cell>
          <cell r="C34">
            <v>5.3</v>
          </cell>
          <cell r="D34">
            <v>7.9</v>
          </cell>
          <cell r="E34">
            <v>0</v>
          </cell>
          <cell r="F34">
            <v>12.7</v>
          </cell>
          <cell r="G34">
            <v>0</v>
          </cell>
          <cell r="H34">
            <v>0</v>
          </cell>
          <cell r="I34">
            <v>189.4</v>
          </cell>
          <cell r="J34">
            <v>184.2</v>
          </cell>
          <cell r="K34">
            <v>0</v>
          </cell>
          <cell r="L34">
            <v>174.6</v>
          </cell>
        </row>
        <row r="35">
          <cell r="A35">
            <v>225</v>
          </cell>
          <cell r="B35">
            <v>0</v>
          </cell>
          <cell r="C35">
            <v>6</v>
          </cell>
          <cell r="D35">
            <v>8.6</v>
          </cell>
          <cell r="E35">
            <v>0</v>
          </cell>
          <cell r="F35">
            <v>14.3</v>
          </cell>
          <cell r="G35">
            <v>0</v>
          </cell>
          <cell r="H35">
            <v>0</v>
          </cell>
          <cell r="I35">
            <v>213</v>
          </cell>
          <cell r="J35">
            <v>207.8</v>
          </cell>
          <cell r="K35">
            <v>0</v>
          </cell>
          <cell r="L35">
            <v>196.4</v>
          </cell>
        </row>
        <row r="36">
          <cell r="A36">
            <v>250</v>
          </cell>
          <cell r="B36">
            <v>0</v>
          </cell>
          <cell r="C36">
            <v>6.5</v>
          </cell>
          <cell r="D36">
            <v>9.8000000000000007</v>
          </cell>
          <cell r="E36">
            <v>0</v>
          </cell>
          <cell r="F36">
            <v>15.9</v>
          </cell>
          <cell r="G36">
            <v>0</v>
          </cell>
          <cell r="H36">
            <v>0</v>
          </cell>
          <cell r="I36">
            <v>237</v>
          </cell>
          <cell r="J36">
            <v>230.4</v>
          </cell>
          <cell r="K36">
            <v>0</v>
          </cell>
          <cell r="L36">
            <v>218.2</v>
          </cell>
        </row>
        <row r="37">
          <cell r="A37">
            <v>280</v>
          </cell>
          <cell r="B37">
            <v>0</v>
          </cell>
          <cell r="C37">
            <v>7.4</v>
          </cell>
          <cell r="D37">
            <v>11</v>
          </cell>
          <cell r="E37">
            <v>0</v>
          </cell>
          <cell r="F37">
            <v>17.8</v>
          </cell>
          <cell r="G37">
            <v>0</v>
          </cell>
          <cell r="H37">
            <v>0</v>
          </cell>
          <cell r="I37">
            <v>265.2</v>
          </cell>
          <cell r="J37">
            <v>258</v>
          </cell>
          <cell r="K37">
            <v>0</v>
          </cell>
          <cell r="L37">
            <v>244.4</v>
          </cell>
        </row>
        <row r="38">
          <cell r="A38">
            <v>315</v>
          </cell>
          <cell r="B38">
            <v>0</v>
          </cell>
          <cell r="C38">
            <v>8.3000000000000007</v>
          </cell>
          <cell r="D38">
            <v>12.4</v>
          </cell>
          <cell r="E38">
            <v>0</v>
          </cell>
          <cell r="F38">
            <v>19.899999999999999</v>
          </cell>
          <cell r="G38">
            <v>0</v>
          </cell>
          <cell r="H38">
            <v>0</v>
          </cell>
          <cell r="I38">
            <v>298.39999999999998</v>
          </cell>
          <cell r="J38">
            <v>290.2</v>
          </cell>
          <cell r="K38">
            <v>0</v>
          </cell>
          <cell r="L38">
            <v>275.2</v>
          </cell>
        </row>
      </sheetData>
      <sheetData sheetId="8"/>
      <sheetData sheetId="9">
        <row r="26">
          <cell r="A26">
            <v>63</v>
          </cell>
        </row>
      </sheetData>
      <sheetData sheetId="10" refreshError="1"/>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40"/>
      <sheetName val="SRs"/>
      <sheetName val="SRs-Rev"/>
      <sheetName val="PM 70"/>
      <sheetName val="GM 70"/>
      <sheetName val="PM estimate"/>
      <sheetName val="PM 40rev  (2)"/>
      <sheetName val="data"/>
      <sheetName val="PM 40rev "/>
      <sheetName val="GM estimate"/>
      <sheetName val="GM 40 OHs AC (2)"/>
      <sheetName val="GM 40 OHs AC"/>
      <sheetName val="GM 40 OHs"/>
      <sheetName val="GM 40 "/>
      <sheetName val="detls"/>
      <sheetName val="pm pipes"/>
      <sheetName val="gm pipes"/>
      <sheetName val="altr"/>
      <sheetName val="0000000000000"/>
      <sheetName val="GM 40  (AC) (2)"/>
      <sheetName val="GM 40  (AC)"/>
      <sheetName val="PM (2)"/>
      <sheetName val="PM"/>
      <sheetName val="population"/>
      <sheetName val="POP "/>
      <sheetName val="HYD STA M"/>
      <sheetName val="PVC_dia"/>
      <sheetName val="pm-est (NEW)"/>
      <sheetName val="hyd "/>
      <sheetName val="maint est"/>
      <sheetName val="pm-est (2)"/>
      <sheetName val="GM-est"/>
      <sheetName val="pm-est"/>
      <sheetName val="OHSR GOT"/>
      <sheetName val="Sheet3"/>
      <sheetName val="Original"/>
      <sheetName val="proposal"/>
      <sheetName val="proforma"/>
      <sheetName val="1000000000000"/>
      <sheetName val="2000000000000"/>
      <sheetName val="3000000000000"/>
      <sheetName val="4000000000000"/>
      <sheetName val="5000000000000"/>
      <sheetName val="6000000000000"/>
      <sheetName val="7000000000000"/>
      <sheetName val="8000000000000"/>
      <sheetName val="9000000000000"/>
      <sheetName val="a000000000000"/>
      <sheetName val="b000000000000"/>
      <sheetName val="c000000000000"/>
      <sheetName val="d000000000000"/>
      <sheetName val="e000000000000"/>
      <sheetName val="f000000000000"/>
      <sheetName val="g000000000000"/>
      <sheetName val="h000000000000"/>
      <sheetName val="Sheet1"/>
      <sheetName val="econ pm"/>
      <sheetName val="Infiltration well (2)"/>
      <sheetName val="STATUS"/>
      <sheetName val="Pop"/>
      <sheetName val="F.slip"/>
      <sheetName val="General  AB"/>
      <sheetName val="ABS(A&amp;B)"/>
      <sheetName val="OHSR 10KL 6.30"/>
      <sheetName val="OHSR10 kl11.5"/>
      <sheetName val="OHSR20kl6.3"/>
      <sheetName val="OHSR15 kl 6.3"/>
      <sheetName val="OHSR20KL8.3"/>
      <sheetName val="OHSR 40 9.45"/>
      <sheetName val="OHSR60 9.45"/>
      <sheetName val="OHBR40-det.est"/>
      <sheetName val="GLSR10"/>
      <sheetName val="SSR"/>
      <sheetName val="Hydraulic design"/>
      <sheetName val="cw 110kl"/>
      <sheetName val="sp dis"/>
      <sheetName val="Det-sp dis"/>
      <sheetName val="PH 6x4"/>
      <sheetName val="WMqrts"/>
      <sheetName val="road"/>
      <sheetName val="lead_data"/>
      <sheetName val="cWALLS"/>
      <sheetName val="diff steel qty"/>
      <sheetName val="Pmest-2"/>
      <sheetName val="PMest-1"/>
      <sheetName val="ABSTRACT"/>
      <sheetName val="GMest2"/>
      <sheetName val="GMest phase1"/>
      <sheetName val="GMest"/>
      <sheetName val="grp"/>
      <sheetName val="psc"/>
      <sheetName val="HDPE"/>
      <sheetName val="pvc"/>
      <sheetName val="CI"/>
      <sheetName val="DI"/>
      <sheetName val="ewelj "/>
      <sheetName val="EW,L &amp;J_pipes"/>
      <sheetName val="DI_on pedestals"/>
      <sheetName val="HDPE sluice valve"/>
      <sheetName val="PVC sluice val)"/>
      <sheetName val="Scour all"/>
      <sheetName val="PVC Air valves"/>
      <sheetName val="valves"/>
      <sheetName val="Valve Chambers"/>
      <sheetName val="O&amp;M"/>
      <sheetName val="annualmai "/>
      <sheetName val="Sheet1 (2)"/>
      <sheetName val="HYDRAULIC SSTATEMENT"/>
      <sheetName val="WATER-HAMMER"/>
      <sheetName val="PM_70"/>
      <sheetName val="GM_70"/>
      <sheetName val="PM_estimate"/>
      <sheetName val="PM_40rev__(2)"/>
      <sheetName val="PM_40rev_"/>
      <sheetName val="GM_estimate"/>
      <sheetName val="GM_40_OHs_AC_(2)"/>
      <sheetName val="GM_40_OHs_AC"/>
      <sheetName val="GM_40_OHs"/>
      <sheetName val="GM_40_"/>
      <sheetName val="pm_pipes"/>
      <sheetName val="gm_pipes"/>
      <sheetName val="GM_40__(AC)_(2)"/>
      <sheetName val="GM_40__(AC)"/>
      <sheetName val="PM_(2)"/>
      <sheetName val="POP_"/>
      <sheetName val="HYD_STA_M"/>
      <sheetName val="pm-est_(NEW)"/>
      <sheetName val="hyd_"/>
      <sheetName val="maint_est"/>
      <sheetName val="pm-est_(2)"/>
      <sheetName val="OHSR_GOT"/>
      <sheetName val="econ_pm"/>
      <sheetName val="Infiltration_well_(2)"/>
      <sheetName val="F_slip"/>
      <sheetName val="General__AB"/>
      <sheetName val="OHSR_10KL_6_30"/>
      <sheetName val="OHSR10_kl11_5"/>
      <sheetName val="OHSR20kl6_3"/>
      <sheetName val="OHSR15_kl_6_3"/>
      <sheetName val="OHSR20KL8_3"/>
      <sheetName val="OHSR_40_9_45"/>
      <sheetName val="OHSR60_9_45"/>
      <sheetName val="OHBR40-det_est"/>
      <sheetName val="Hydraulic_design"/>
      <sheetName val="cw_110kl"/>
      <sheetName val="sp_dis"/>
      <sheetName val="Det-sp_dis"/>
      <sheetName val="PH_6x4"/>
      <sheetName val="diff_steel_qty"/>
      <sheetName val="GMest_phase1"/>
      <sheetName val="ewelj_"/>
      <sheetName val="EW,L_&amp;J_pipes"/>
      <sheetName val="DI_on_pedestals"/>
      <sheetName val="HDPE_sluice_valve"/>
      <sheetName val="PVC_sluice_val)"/>
      <sheetName val="Scour_all"/>
      <sheetName val="PVC_Air_valves"/>
      <sheetName val="Valve_Chambers"/>
      <sheetName val="annualmai_"/>
      <sheetName val="Sheet1_(2)"/>
      <sheetName val="HYDRAULIC_SSTATEMENT"/>
      <sheetName val="hdpe_basic"/>
      <sheetName val="pvc_basic"/>
      <sheetName val="t_prsr"/>
      <sheetName val="wh"/>
      <sheetName val="mcon pm"/>
      <sheetName val="v"/>
      <sheetName val="r"/>
      <sheetName val="RMR"/>
      <sheetName val="GA"/>
      <sheetName val="PH 6x"/>
      <sheetName val="Labour"/>
      <sheetName val="sand"/>
      <sheetName val="stone"/>
      <sheetName val="index"/>
      <sheetName val="pvc-pipe-rates"/>
      <sheetName val="Sheet2"/>
      <sheetName val="l"/>
      <sheetName val="Lead"/>
      <sheetName val="Material"/>
      <sheetName val="Plant &amp;  Machinery"/>
      <sheetName val="Road data"/>
      <sheetName val="data existing_do not delete"/>
      <sheetName val="m"/>
      <sheetName val="sch"/>
      <sheetName val="Data.F8.BTR"/>
      <sheetName val="Global factors"/>
      <sheetName val="mcon_pm"/>
      <sheetName val="PM_701"/>
      <sheetName val="GM_701"/>
      <sheetName val="PM_estimate1"/>
      <sheetName val="PM_40rev__(2)1"/>
      <sheetName val="PM_40rev_1"/>
      <sheetName val="GM_estimate1"/>
      <sheetName val="GM_40_OHs_AC_(2)1"/>
      <sheetName val="GM_40_OHs_AC1"/>
      <sheetName val="GM_40_OHs1"/>
      <sheetName val="GM_40_1"/>
      <sheetName val="pm_pipes1"/>
      <sheetName val="gm_pipes1"/>
      <sheetName val="GM_40__(AC)_(2)1"/>
      <sheetName val="GM_40__(AC)1"/>
      <sheetName val="PM_(2)1"/>
      <sheetName val="POP_1"/>
      <sheetName val="HYD_STA_M1"/>
      <sheetName val="pm-est_(NEW)1"/>
      <sheetName val="hyd_1"/>
      <sheetName val="maint_est1"/>
      <sheetName val="pm-est_(2)1"/>
      <sheetName val="OHSR_GOT1"/>
      <sheetName val="econ_pm1"/>
      <sheetName val="Infiltration_well_(2)1"/>
      <sheetName val="F_slip1"/>
      <sheetName val="General__AB1"/>
      <sheetName val="OHSR_10KL_6_301"/>
      <sheetName val="OHSR10_kl11_51"/>
      <sheetName val="OHSR20kl6_31"/>
      <sheetName val="OHSR15_kl_6_31"/>
      <sheetName val="OHSR20KL8_31"/>
      <sheetName val="OHSR_40_9_451"/>
      <sheetName val="OHSR60_9_451"/>
      <sheetName val="OHBR40-det_est1"/>
      <sheetName val="Hydraulic_design1"/>
      <sheetName val="cw_110kl1"/>
      <sheetName val="sp_dis1"/>
      <sheetName val="Det-sp_dis1"/>
      <sheetName val="PH_6x41"/>
      <sheetName val="diff_steel_qty1"/>
      <sheetName val="GMest_phase11"/>
      <sheetName val="ewelj_1"/>
      <sheetName val="EW,L_&amp;J_pipes1"/>
      <sheetName val="DI_on_pedestals1"/>
      <sheetName val="HDPE_sluice_valve1"/>
      <sheetName val="PVC_sluice_val)1"/>
      <sheetName val="Scour_all1"/>
      <sheetName val="PVC_Air_valves1"/>
      <sheetName val="Valve_Chambers1"/>
      <sheetName val="annualmai_1"/>
      <sheetName val="Sheet1_(2)1"/>
      <sheetName val="HYDRAULIC_SSTATEMENT1"/>
      <sheetName val="mcon_pm1"/>
      <sheetName val="R_Det"/>
      <sheetName val="Levels"/>
      <sheetName val="ESTIMATE"/>
      <sheetName val="m1"/>
      <sheetName val="Lead statement"/>
      <sheetName val="Nspt-smp-final-ORIGINAL"/>
      <sheetName val="ssr-rates"/>
      <sheetName val="Data_"/>
      <sheetName val="Main sheet"/>
      <sheetName val="other rates"/>
      <sheetName val="PM_705"/>
      <sheetName val="GM_705"/>
      <sheetName val="PM_estimate5"/>
      <sheetName val="PM_40rev__(2)5"/>
      <sheetName val="PM_40rev_5"/>
      <sheetName val="GM_estimate5"/>
      <sheetName val="GM_40_OHs_AC_(2)5"/>
      <sheetName val="GM_40_OHs_AC5"/>
      <sheetName val="GM_40_OHs5"/>
      <sheetName val="GM_40_5"/>
      <sheetName val="pm_pipes5"/>
      <sheetName val="gm_pipes5"/>
      <sheetName val="GM_40__(AC)_(2)5"/>
      <sheetName val="GM_40__(AC)5"/>
      <sheetName val="PM_(2)5"/>
      <sheetName val="POP_5"/>
      <sheetName val="HYD_STA_M5"/>
      <sheetName val="pm-est_(NEW)5"/>
      <sheetName val="hyd_5"/>
      <sheetName val="maint_est5"/>
      <sheetName val="pm-est_(2)5"/>
      <sheetName val="OHSR_GOT5"/>
      <sheetName val="econ_pm5"/>
      <sheetName val="Infiltration_well_(2)5"/>
      <sheetName val="F_slip5"/>
      <sheetName val="General__AB5"/>
      <sheetName val="OHSR_10KL_6_305"/>
      <sheetName val="OHSR10_kl11_55"/>
      <sheetName val="OHSR20kl6_35"/>
      <sheetName val="OHSR15_kl_6_35"/>
      <sheetName val="OHSR20KL8_35"/>
      <sheetName val="OHSR_40_9_455"/>
      <sheetName val="OHSR60_9_455"/>
      <sheetName val="OHBR40-det_est5"/>
      <sheetName val="Hydraulic_design5"/>
      <sheetName val="cw_110kl5"/>
      <sheetName val="sp_dis5"/>
      <sheetName val="Det-sp_dis5"/>
      <sheetName val="PH_6x45"/>
      <sheetName val="diff_steel_qty5"/>
      <sheetName val="GMest_phase15"/>
      <sheetName val="ewelj_5"/>
      <sheetName val="EW,L_&amp;J_pipes5"/>
      <sheetName val="DI_on_pedestals5"/>
      <sheetName val="HDPE_sluice_valve5"/>
      <sheetName val="PVC_sluice_val)5"/>
      <sheetName val="Scour_all5"/>
      <sheetName val="PVC_Air_valves5"/>
      <sheetName val="Valve_Chambers5"/>
      <sheetName val="annualmai_5"/>
      <sheetName val="Sheet1_(2)5"/>
      <sheetName val="HYDRAULIC_SSTATEMENT5"/>
      <sheetName val="mcon_pm5"/>
      <sheetName val="PH_6x2"/>
      <sheetName val="Plant_&amp;__Machinery2"/>
      <sheetName val="Road_data2"/>
      <sheetName val="data_existing_do_not_delete2"/>
      <sheetName val="Data_F8_BTR2"/>
      <sheetName val="Global_factors2"/>
      <sheetName val="PM_703"/>
      <sheetName val="GM_703"/>
      <sheetName val="PM_estimate3"/>
      <sheetName val="PM_40rev__(2)3"/>
      <sheetName val="PM_40rev_3"/>
      <sheetName val="GM_estimate3"/>
      <sheetName val="GM_40_OHs_AC_(2)3"/>
      <sheetName val="GM_40_OHs_AC3"/>
      <sheetName val="GM_40_OHs3"/>
      <sheetName val="GM_40_3"/>
      <sheetName val="pm_pipes3"/>
      <sheetName val="gm_pipes3"/>
      <sheetName val="GM_40__(AC)_(2)3"/>
      <sheetName val="GM_40__(AC)3"/>
      <sheetName val="PM_(2)3"/>
      <sheetName val="POP_3"/>
      <sheetName val="HYD_STA_M3"/>
      <sheetName val="pm-est_(NEW)3"/>
      <sheetName val="hyd_3"/>
      <sheetName val="maint_est3"/>
      <sheetName val="pm-est_(2)3"/>
      <sheetName val="OHSR_GOT3"/>
      <sheetName val="econ_pm3"/>
      <sheetName val="Infiltration_well_(2)3"/>
      <sheetName val="F_slip3"/>
      <sheetName val="General__AB3"/>
      <sheetName val="OHSR_10KL_6_303"/>
      <sheetName val="OHSR10_kl11_53"/>
      <sheetName val="OHSR20kl6_33"/>
      <sheetName val="OHSR15_kl_6_33"/>
      <sheetName val="OHSR20KL8_33"/>
      <sheetName val="OHSR_40_9_453"/>
      <sheetName val="OHSR60_9_453"/>
      <sheetName val="OHBR40-det_est3"/>
      <sheetName val="Hydraulic_design3"/>
      <sheetName val="cw_110kl3"/>
      <sheetName val="sp_dis3"/>
      <sheetName val="Det-sp_dis3"/>
      <sheetName val="PH_6x43"/>
      <sheetName val="diff_steel_qty3"/>
      <sheetName val="GMest_phase13"/>
      <sheetName val="ewelj_3"/>
      <sheetName val="EW,L_&amp;J_pipes3"/>
      <sheetName val="DI_on_pedestals3"/>
      <sheetName val="HDPE_sluice_valve3"/>
      <sheetName val="PVC_sluice_val)3"/>
      <sheetName val="Scour_all3"/>
      <sheetName val="PVC_Air_valves3"/>
      <sheetName val="Valve_Chambers3"/>
      <sheetName val="annualmai_3"/>
      <sheetName val="Sheet1_(2)3"/>
      <sheetName val="HYDRAULIC_SSTATEMENT3"/>
      <sheetName val="mcon_pm3"/>
      <sheetName val="PM_702"/>
      <sheetName val="GM_702"/>
      <sheetName val="PM_estimate2"/>
      <sheetName val="PM_40rev__(2)2"/>
      <sheetName val="PM_40rev_2"/>
      <sheetName val="GM_estimate2"/>
      <sheetName val="GM_40_OHs_AC_(2)2"/>
      <sheetName val="GM_40_OHs_AC2"/>
      <sheetName val="GM_40_OHs2"/>
      <sheetName val="GM_40_2"/>
      <sheetName val="pm_pipes2"/>
      <sheetName val="gm_pipes2"/>
      <sheetName val="GM_40__(AC)_(2)2"/>
      <sheetName val="GM_40__(AC)2"/>
      <sheetName val="PM_(2)2"/>
      <sheetName val="POP_2"/>
      <sheetName val="HYD_STA_M2"/>
      <sheetName val="pm-est_(NEW)2"/>
      <sheetName val="hyd_2"/>
      <sheetName val="maint_est2"/>
      <sheetName val="pm-est_(2)2"/>
      <sheetName val="OHSR_GOT2"/>
      <sheetName val="econ_pm2"/>
      <sheetName val="Infiltration_well_(2)2"/>
      <sheetName val="F_slip2"/>
      <sheetName val="General__AB2"/>
      <sheetName val="OHSR_10KL_6_302"/>
      <sheetName val="OHSR10_kl11_52"/>
      <sheetName val="OHSR20kl6_32"/>
      <sheetName val="OHSR15_kl_6_32"/>
      <sheetName val="OHSR20KL8_32"/>
      <sheetName val="OHSR_40_9_452"/>
      <sheetName val="OHSR60_9_452"/>
      <sheetName val="OHBR40-det_est2"/>
      <sheetName val="Hydraulic_design2"/>
      <sheetName val="cw_110kl2"/>
      <sheetName val="sp_dis2"/>
      <sheetName val="Det-sp_dis2"/>
      <sheetName val="PH_6x42"/>
      <sheetName val="diff_steel_qty2"/>
      <sheetName val="GMest_phase12"/>
      <sheetName val="ewelj_2"/>
      <sheetName val="EW,L_&amp;J_pipes2"/>
      <sheetName val="DI_on_pedestals2"/>
      <sheetName val="HDPE_sluice_valve2"/>
      <sheetName val="PVC_sluice_val)2"/>
      <sheetName val="Scour_all2"/>
      <sheetName val="PVC_Air_valves2"/>
      <sheetName val="Valve_Chambers2"/>
      <sheetName val="annualmai_2"/>
      <sheetName val="Sheet1_(2)2"/>
      <sheetName val="HYDRAULIC_SSTATEMENT2"/>
      <sheetName val="mcon_pm2"/>
      <sheetName val="PH_6x"/>
      <sheetName val="Plant_&amp;__Machinery"/>
      <sheetName val="Road_data"/>
      <sheetName val="data_existing_do_not_delete"/>
      <sheetName val="Data_F8_BTR"/>
      <sheetName val="Global_factors"/>
      <sheetName val="PM_704"/>
      <sheetName val="GM_704"/>
      <sheetName val="PM_estimate4"/>
      <sheetName val="PM_40rev__(2)4"/>
      <sheetName val="PM_40rev_4"/>
      <sheetName val="GM_estimate4"/>
      <sheetName val="GM_40_OHs_AC_(2)4"/>
      <sheetName val="GM_40_OHs_AC4"/>
      <sheetName val="GM_40_OHs4"/>
      <sheetName val="GM_40_4"/>
      <sheetName val="pm_pipes4"/>
      <sheetName val="gm_pipes4"/>
      <sheetName val="GM_40__(AC)_(2)4"/>
      <sheetName val="GM_40__(AC)4"/>
      <sheetName val="PM_(2)4"/>
      <sheetName val="POP_4"/>
      <sheetName val="HYD_STA_M4"/>
      <sheetName val="pm-est_(NEW)4"/>
      <sheetName val="hyd_4"/>
      <sheetName val="maint_est4"/>
      <sheetName val="pm-est_(2)4"/>
      <sheetName val="OHSR_GOT4"/>
      <sheetName val="econ_pm4"/>
      <sheetName val="Infiltration_well_(2)4"/>
      <sheetName val="F_slip4"/>
      <sheetName val="General__AB4"/>
      <sheetName val="OHSR_10KL_6_304"/>
      <sheetName val="OHSR10_kl11_54"/>
      <sheetName val="OHSR20kl6_34"/>
      <sheetName val="OHSR15_kl_6_34"/>
      <sheetName val="OHSR20KL8_34"/>
      <sheetName val="OHSR_40_9_454"/>
      <sheetName val="OHSR60_9_454"/>
      <sheetName val="OHBR40-det_est4"/>
      <sheetName val="Hydraulic_design4"/>
      <sheetName val="cw_110kl4"/>
      <sheetName val="sp_dis4"/>
      <sheetName val="Det-sp_dis4"/>
      <sheetName val="PH_6x44"/>
      <sheetName val="diff_steel_qty4"/>
      <sheetName val="GMest_phase14"/>
      <sheetName val="ewelj_4"/>
      <sheetName val="EW,L_&amp;J_pipes4"/>
      <sheetName val="DI_on_pedestals4"/>
      <sheetName val="HDPE_sluice_valve4"/>
      <sheetName val="PVC_sluice_val)4"/>
      <sheetName val="Scour_all4"/>
      <sheetName val="PVC_Air_valves4"/>
      <sheetName val="Valve_Chambers4"/>
      <sheetName val="annualmai_4"/>
      <sheetName val="Sheet1_(2)4"/>
      <sheetName val="HYDRAULIC_SSTATEMENT4"/>
      <sheetName val="mcon_pm4"/>
      <sheetName val="PH_6x1"/>
      <sheetName val="Plant_&amp;__Machinery1"/>
      <sheetName val="Road_data1"/>
      <sheetName val="data_existing_do_not_delete1"/>
      <sheetName val="Data_F8_BTR1"/>
      <sheetName val="Global_factors1"/>
      <sheetName val="Iocount"/>
      <sheetName val="Data o"/>
      <sheetName val="PRICE BID"/>
      <sheetName val="DISCHARGE"/>
      <sheetName val="LEAD-c"/>
      <sheetName val="other rates-C"/>
      <sheetName val="bASICDATA"/>
      <sheetName val="Data-Road "/>
      <sheetName val="DATA-CD "/>
      <sheetName val="int-Dia-pvc"/>
      <sheetName val="LEAD (2)"/>
      <sheetName val="Bitumen trunk"/>
      <sheetName val="Feeder"/>
      <sheetName val="R99 etc"/>
      <sheetName val="Trunk unpaved"/>
      <sheetName val="id"/>
      <sheetName val="RATES"/>
      <sheetName val="leads"/>
      <sheetName val="sp di"/>
      <sheetName val="PVC weights"/>
      <sheetName val="JAWAHAR-hyd-original"/>
      <sheetName val="mas_hab"/>
      <sheetName val="EDWise"/>
      <sheetName val="economic PM"/>
      <sheetName val="Sheet9"/>
      <sheetName val=" data sheet "/>
      <sheetName val="DATA_PRG"/>
      <sheetName val="Rate"/>
      <sheetName val="AUTDATA"/>
      <sheetName val="DATA SHEET"/>
      <sheetName val="MRATES"/>
      <sheetName val="sp dip"/>
      <sheetName val="hdpe weights"/>
      <sheetName val="abs road"/>
      <sheetName val="General"/>
      <sheetName val="CLEAR OVER FALL DROP"/>
      <sheetName val="CD Data"/>
      <sheetName val="Mortars"/>
      <sheetName val="OPD-Civil"/>
      <sheetName val="Data_Base"/>
      <sheetName val="Boq"/>
      <sheetName val="Title"/>
      <sheetName val="Note"/>
      <sheetName val="segments-details"/>
      <sheetName val="int-Dia-hdpe"/>
      <sheetName val="habs-list"/>
      <sheetName val="sp_dip"/>
      <sheetName val="hdpe_weights"/>
      <sheetName val="other_rates"/>
      <sheetName val="Cul_detail"/>
      <sheetName val="Longitudinal"/>
      <sheetName val="Input"/>
      <sheetName val="Input &amp; Calculations"/>
      <sheetName val="Design"/>
      <sheetName val="REL"/>
      <sheetName val="RA-markate"/>
      <sheetName val="prs"/>
      <sheetName val="Schdl"/>
      <sheetName val="Conveyance"/>
      <sheetName val="TELs"/>
      <sheetName val="Leads Entry"/>
      <sheetName val="Gen Abs"/>
      <sheetName val="Measurment"/>
      <sheetName val="MPR_PA_1"/>
      <sheetName val="KGP.hyd rev GLBR"/>
      <sheetName val="Valves workable"/>
      <sheetName val="Rates_PVC"/>
      <sheetName val="Coversheet"/>
      <sheetName val="coverpage"/>
      <sheetName val="PM&amp;GM"/>
      <sheetName val="Road Detail Est."/>
      <sheetName val="Habcodes"/>
      <sheetName val="Sheet5"/>
      <sheetName val="int-Dia"/>
      <sheetName val="Usage"/>
      <sheetName val="Common "/>
      <sheetName val="PRELIM5"/>
      <sheetName val="wh_data_R"/>
      <sheetName val="p&amp;m"/>
      <sheetName val="Boq - Flats"/>
      <sheetName val="BTR"/>
      <sheetName val="BM-HOOP"/>
      <sheetName val="Detailed"/>
      <sheetName val="hdpe-int-Dia"/>
      <sheetName val="E-Table"/>
      <sheetName val="pvc-int-Dia"/>
      <sheetName val="Work_sheet"/>
      <sheetName val="water-hammar-strenght"/>
      <sheetName val="mlead"/>
      <sheetName val="BWSCPlt"/>
      <sheetName val="G.R.P"/>
      <sheetName val="PSC REVISED"/>
      <sheetName val="Staff Acco."/>
      <sheetName val="AV-HDPE"/>
      <sheetName val="Di_gate-HDPE"/>
      <sheetName val="rdamdata"/>
      <sheetName val="Lead statement ss5"/>
      <sheetName val="CPHEEO"/>
      <sheetName val="wh_data"/>
      <sheetName val="lead-st"/>
      <sheetName val="hdpe-rates"/>
      <sheetName val="pvc-rates"/>
      <sheetName val="GF SB Ok "/>
      <sheetName val="Labour &amp; Plant"/>
      <sheetName val="AV-PVC"/>
      <sheetName val="DIgate_PVC "/>
      <sheetName val="DI gate-DI"/>
      <sheetName val="HDPE-pipe-rates"/>
      <sheetName val="loadcal"/>
      <sheetName val="sectorwise"/>
      <sheetName val="WORK DONE"/>
      <sheetName val="Gnl_Abstrct"/>
      <sheetName val="SUMP1420KL@HW"/>
      <sheetName val="Mp-team 1"/>
      <sheetName val="capacity-ohsrs"/>
      <sheetName val="PH Sanctioned"/>
      <sheetName val="7.Ben reg"/>
      <sheetName val="ew OG machine manual"/>
      <sheetName val="PVC mac"/>
      <sheetName val="Revised rates(SSR 2021-22)"/>
      <sheetName val="ew OG total manual"/>
      <sheetName val="HS 1"/>
      <sheetName val="co_5"/>
      <sheetName val="Gravity Main-Jukkal"/>
      <sheetName val="HS final-2"/>
      <sheetName val="elec-data"/>
      <sheetName val="Bill_amt_qty_cc_1"/>
      <sheetName val="ws-abs"/>
      <sheetName val="Lead  RATES"/>
      <sheetName val="quarry"/>
      <sheetName val="Rd.Det.Est"/>
      <sheetName val="C.D.Data (Morth)"/>
      <sheetName val="Rd.Data"/>
      <sheetName val="Basic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26">
          <cell r="A26">
            <v>63</v>
          </cell>
          <cell r="B26">
            <v>0</v>
          </cell>
          <cell r="C26">
            <v>1.9</v>
          </cell>
          <cell r="D26">
            <v>2.7</v>
          </cell>
          <cell r="E26">
            <v>4.0999999999999996</v>
          </cell>
          <cell r="F26">
            <v>0</v>
          </cell>
          <cell r="G26">
            <v>0</v>
          </cell>
          <cell r="H26">
            <v>59.2</v>
          </cell>
          <cell r="I26">
            <v>57.6</v>
          </cell>
          <cell r="J26">
            <v>0</v>
          </cell>
          <cell r="K26">
            <v>54.8</v>
          </cell>
          <cell r="L26">
            <v>0</v>
          </cell>
          <cell r="M26">
            <v>0.18543008999999999</v>
          </cell>
          <cell r="N26">
            <v>0.23433302</v>
          </cell>
          <cell r="O26">
            <v>0.32104532000000002</v>
          </cell>
        </row>
        <row r="27">
          <cell r="A27">
            <v>75</v>
          </cell>
          <cell r="B27">
            <v>0</v>
          </cell>
          <cell r="C27">
            <v>2.2000000000000002</v>
          </cell>
          <cell r="D27">
            <v>3.1</v>
          </cell>
          <cell r="E27">
            <v>4.9000000000000004</v>
          </cell>
          <cell r="F27">
            <v>0</v>
          </cell>
          <cell r="G27">
            <v>0</v>
          </cell>
          <cell r="H27">
            <v>70.599999999999994</v>
          </cell>
          <cell r="I27">
            <v>68.8</v>
          </cell>
          <cell r="J27">
            <v>0</v>
          </cell>
          <cell r="K27">
            <v>65.2</v>
          </cell>
          <cell r="L27">
            <v>0</v>
          </cell>
          <cell r="M27">
            <v>0.12855473000000001</v>
          </cell>
          <cell r="N27">
            <v>0.16123288999999999</v>
          </cell>
          <cell r="O27">
            <v>0.22725295000000001</v>
          </cell>
        </row>
        <row r="28">
          <cell r="A28">
            <v>90</v>
          </cell>
          <cell r="B28">
            <v>0</v>
          </cell>
          <cell r="C28">
            <v>2.6</v>
          </cell>
          <cell r="D28">
            <v>3.7</v>
          </cell>
          <cell r="E28">
            <v>5.7</v>
          </cell>
          <cell r="F28">
            <v>0</v>
          </cell>
          <cell r="G28">
            <v>0</v>
          </cell>
          <cell r="H28">
            <v>84.8</v>
          </cell>
          <cell r="I28">
            <v>82.6</v>
          </cell>
          <cell r="J28">
            <v>0</v>
          </cell>
          <cell r="K28">
            <v>78.599999999999994</v>
          </cell>
          <cell r="L28">
            <v>0</v>
          </cell>
          <cell r="M28">
            <v>8.8417140000000005E-2</v>
          </cell>
          <cell r="N28">
            <v>0.11155078</v>
          </cell>
          <cell r="O28">
            <v>0.15387228999999999</v>
          </cell>
        </row>
        <row r="29">
          <cell r="A29">
            <v>110</v>
          </cell>
          <cell r="B29">
            <v>0</v>
          </cell>
          <cell r="C29">
            <v>3</v>
          </cell>
          <cell r="D29">
            <v>4.3</v>
          </cell>
          <cell r="E29">
            <v>7.1</v>
          </cell>
          <cell r="F29">
            <v>0</v>
          </cell>
          <cell r="G29">
            <v>0</v>
          </cell>
          <cell r="H29">
            <v>104</v>
          </cell>
          <cell r="I29">
            <v>101.4</v>
          </cell>
          <cell r="J29">
            <v>0</v>
          </cell>
          <cell r="K29">
            <v>95.8</v>
          </cell>
          <cell r="L29">
            <v>0</v>
          </cell>
          <cell r="M29">
            <v>5.7090519999999999E-2</v>
          </cell>
          <cell r="N29">
            <v>7.2138649999999999E-2</v>
          </cell>
          <cell r="O29">
            <v>0.10460234</v>
          </cell>
        </row>
        <row r="30">
          <cell r="A30">
            <v>125</v>
          </cell>
          <cell r="B30">
            <v>0</v>
          </cell>
          <cell r="C30">
            <v>3.4</v>
          </cell>
          <cell r="D30">
            <v>5</v>
          </cell>
          <cell r="E30">
            <v>8</v>
          </cell>
          <cell r="F30">
            <v>0</v>
          </cell>
          <cell r="G30">
            <v>0</v>
          </cell>
          <cell r="H30">
            <v>118.2</v>
          </cell>
          <cell r="I30">
            <v>115</v>
          </cell>
          <cell r="J30">
            <v>0</v>
          </cell>
          <cell r="K30">
            <v>109</v>
          </cell>
          <cell r="L30">
            <v>0</v>
          </cell>
          <cell r="M30">
            <v>4.4137429999999998E-2</v>
          </cell>
          <cell r="N30">
            <v>5.6748119999999999E-2</v>
          </cell>
          <cell r="O30">
            <v>8.0446829999999997E-2</v>
          </cell>
        </row>
        <row r="31">
          <cell r="A31">
            <v>140</v>
          </cell>
          <cell r="B31">
            <v>0</v>
          </cell>
          <cell r="C31">
            <v>3.8</v>
          </cell>
          <cell r="D31">
            <v>5.5</v>
          </cell>
          <cell r="E31">
            <v>8.9</v>
          </cell>
          <cell r="F31">
            <v>0</v>
          </cell>
          <cell r="G31">
            <v>0</v>
          </cell>
          <cell r="H31">
            <v>132.4</v>
          </cell>
          <cell r="I31">
            <v>129</v>
          </cell>
          <cell r="J31">
            <v>0</v>
          </cell>
          <cell r="K31">
            <v>122.2</v>
          </cell>
          <cell r="L31">
            <v>0</v>
          </cell>
          <cell r="M31">
            <v>3.5140060000000001E-2</v>
          </cell>
          <cell r="N31">
            <v>4.4685620000000002E-2</v>
          </cell>
          <cell r="O31">
            <v>6.3783359999999997E-2</v>
          </cell>
        </row>
        <row r="32">
          <cell r="A32">
            <v>160</v>
          </cell>
          <cell r="B32">
            <v>0</v>
          </cell>
          <cell r="C32">
            <v>4.3</v>
          </cell>
          <cell r="D32">
            <v>6.2</v>
          </cell>
          <cell r="E32">
            <v>10.199999999999999</v>
          </cell>
          <cell r="F32">
            <v>0</v>
          </cell>
          <cell r="G32">
            <v>0</v>
          </cell>
          <cell r="H32">
            <v>151.4</v>
          </cell>
          <cell r="I32">
            <v>147.6</v>
          </cell>
          <cell r="J32">
            <v>0</v>
          </cell>
          <cell r="K32">
            <v>139.6</v>
          </cell>
          <cell r="L32">
            <v>0</v>
          </cell>
          <cell r="M32">
            <v>2.6738720000000001E-2</v>
          </cell>
          <cell r="N32">
            <v>3.389437E-2</v>
          </cell>
          <cell r="O32">
            <v>4.8945219999999998E-2</v>
          </cell>
        </row>
        <row r="33">
          <cell r="A33">
            <v>180</v>
          </cell>
          <cell r="B33">
            <v>0</v>
          </cell>
          <cell r="C33">
            <v>4.9000000000000004</v>
          </cell>
          <cell r="D33">
            <v>7.1</v>
          </cell>
          <cell r="E33">
            <v>11.4</v>
          </cell>
          <cell r="F33">
            <v>0</v>
          </cell>
          <cell r="G33">
            <v>0</v>
          </cell>
          <cell r="H33">
            <v>170.2</v>
          </cell>
          <cell r="I33">
            <v>165.8</v>
          </cell>
          <cell r="J33">
            <v>0</v>
          </cell>
          <cell r="K33">
            <v>157.19999999999999</v>
          </cell>
          <cell r="L33">
            <v>0</v>
          </cell>
          <cell r="M33">
            <v>2.1296240000000001E-2</v>
          </cell>
          <cell r="N33">
            <v>2.7106479999999999E-2</v>
          </cell>
          <cell r="O33">
            <v>3.846807E-2</v>
          </cell>
        </row>
        <row r="34">
          <cell r="A34">
            <v>200</v>
          </cell>
          <cell r="B34">
            <v>0</v>
          </cell>
          <cell r="C34">
            <v>5.3</v>
          </cell>
          <cell r="D34">
            <v>7.9</v>
          </cell>
          <cell r="E34">
            <v>12.7</v>
          </cell>
          <cell r="F34">
            <v>0</v>
          </cell>
          <cell r="G34">
            <v>0</v>
          </cell>
          <cell r="H34">
            <v>189.4</v>
          </cell>
          <cell r="I34">
            <v>184.2</v>
          </cell>
          <cell r="J34">
            <v>0</v>
          </cell>
          <cell r="K34">
            <v>174.6</v>
          </cell>
          <cell r="L34">
            <v>0</v>
          </cell>
          <cell r="M34">
            <v>1.696429E-2</v>
          </cell>
          <cell r="N34">
            <v>2.197735E-2</v>
          </cell>
          <cell r="O34">
            <v>3.1225429999999998E-2</v>
          </cell>
        </row>
        <row r="35">
          <cell r="A35">
            <v>225</v>
          </cell>
          <cell r="B35">
            <v>0</v>
          </cell>
          <cell r="C35">
            <v>6</v>
          </cell>
          <cell r="D35">
            <v>8.6</v>
          </cell>
          <cell r="E35">
            <v>14.3</v>
          </cell>
          <cell r="F35">
            <v>0</v>
          </cell>
          <cell r="G35">
            <v>0</v>
          </cell>
          <cell r="H35">
            <v>213</v>
          </cell>
          <cell r="I35">
            <v>207.8</v>
          </cell>
          <cell r="J35">
            <v>0</v>
          </cell>
          <cell r="K35">
            <v>196.4</v>
          </cell>
          <cell r="L35">
            <v>0</v>
          </cell>
          <cell r="M35">
            <v>1.3456060000000001E-2</v>
          </cell>
          <cell r="N35">
            <v>1.6981139999999999E-2</v>
          </cell>
          <cell r="O35">
            <v>2.4689409999999998E-2</v>
          </cell>
        </row>
        <row r="36">
          <cell r="A36">
            <v>250</v>
          </cell>
          <cell r="B36">
            <v>0</v>
          </cell>
          <cell r="C36">
            <v>6.5</v>
          </cell>
          <cell r="D36">
            <v>9.8000000000000007</v>
          </cell>
          <cell r="E36">
            <v>15.9</v>
          </cell>
          <cell r="F36">
            <v>0</v>
          </cell>
          <cell r="G36">
            <v>0</v>
          </cell>
          <cell r="H36">
            <v>237</v>
          </cell>
          <cell r="I36">
            <v>230.4</v>
          </cell>
          <cell r="J36">
            <v>0</v>
          </cell>
          <cell r="K36">
            <v>218.2</v>
          </cell>
          <cell r="L36">
            <v>0</v>
          </cell>
          <cell r="M36">
            <v>1.073005E-2</v>
          </cell>
          <cell r="N36">
            <v>1.3992569999999999E-2</v>
          </cell>
          <cell r="O36">
            <v>2.0009740000000002E-2</v>
          </cell>
        </row>
        <row r="37">
          <cell r="A37">
            <v>280</v>
          </cell>
          <cell r="B37">
            <v>0</v>
          </cell>
          <cell r="C37">
            <v>7.4</v>
          </cell>
          <cell r="D37">
            <v>11</v>
          </cell>
          <cell r="E37">
            <v>17.8</v>
          </cell>
          <cell r="F37">
            <v>0</v>
          </cell>
          <cell r="G37">
            <v>0</v>
          </cell>
          <cell r="H37">
            <v>265.2</v>
          </cell>
          <cell r="I37">
            <v>258</v>
          </cell>
          <cell r="J37">
            <v>0</v>
          </cell>
          <cell r="K37">
            <v>244.4</v>
          </cell>
          <cell r="L37">
            <v>0</v>
          </cell>
          <cell r="M37">
            <v>8.6408000000000006E-3</v>
          </cell>
          <cell r="N37">
            <v>1.11714E-2</v>
          </cell>
          <cell r="O37">
            <v>1.5945839999999999E-2</v>
          </cell>
        </row>
        <row r="38">
          <cell r="A38">
            <v>315</v>
          </cell>
          <cell r="B38">
            <v>0</v>
          </cell>
          <cell r="C38">
            <v>8.3000000000000007</v>
          </cell>
          <cell r="D38">
            <v>12.4</v>
          </cell>
          <cell r="E38">
            <v>19.899999999999999</v>
          </cell>
          <cell r="F38">
            <v>0</v>
          </cell>
          <cell r="G38">
            <v>0</v>
          </cell>
          <cell r="H38">
            <v>298.39999999999998</v>
          </cell>
          <cell r="I38">
            <v>290.2</v>
          </cell>
          <cell r="J38">
            <v>0</v>
          </cell>
          <cell r="K38">
            <v>275.2</v>
          </cell>
          <cell r="L38">
            <v>0</v>
          </cell>
          <cell r="M38">
            <v>6.8145999999999997E-3</v>
          </cell>
          <cell r="N38">
            <v>8.83894E-3</v>
          </cell>
          <cell r="O38">
            <v>1.2535569999999999E-2</v>
          </cell>
        </row>
      </sheetData>
      <sheetData sheetId="16" refreshError="1"/>
      <sheetData sheetId="17" refreshError="1"/>
      <sheetData sheetId="18" refreshError="1"/>
      <sheetData sheetId="19" refreshError="1"/>
      <sheetData sheetId="20">
        <row r="26">
          <cell r="A26">
            <v>18</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sheetData sheetId="109" refreshError="1"/>
      <sheetData sheetId="110" refreshError="1"/>
      <sheetData sheetId="111" refreshError="1"/>
      <sheetData sheetId="112" refreshError="1"/>
      <sheetData sheetId="113" refreshError="1"/>
      <sheetData sheetId="114"/>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sheetData sheetId="248" refreshError="1"/>
      <sheetData sheetId="249" refreshError="1"/>
      <sheetData sheetId="250" refreshError="1"/>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refreshError="1"/>
      <sheetData sheetId="480" refreshError="1"/>
      <sheetData sheetId="481" refreshError="1"/>
      <sheetData sheetId="482" refreshError="1"/>
      <sheetData sheetId="483"/>
      <sheetData sheetId="484"/>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sheetData sheetId="521"/>
      <sheetData sheetId="522" refreshError="1"/>
      <sheetData sheetId="523" refreshError="1"/>
      <sheetData sheetId="524" refreshError="1"/>
      <sheetData sheetId="525"/>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 val="R_Det"/>
      <sheetName val="detls"/>
      <sheetName val="PVC_dia"/>
      <sheetName val="sand"/>
      <sheetName val="Plant &amp;  Machinery"/>
      <sheetName val="t_prsr"/>
      <sheetName val="wh"/>
      <sheetName val="Lead Statement"/>
      <sheetName val="stone"/>
      <sheetName val="index"/>
      <sheetName val="Road data"/>
      <sheetName val="mlead"/>
      <sheetName val="abs road"/>
      <sheetName val="p&amp;m"/>
      <sheetName val="MRATES"/>
      <sheetName val="quarry"/>
      <sheetName val="RMR"/>
      <sheetName val="LEAD"/>
      <sheetName val="r"/>
      <sheetName val="l"/>
      <sheetName val="OPD-Civil"/>
      <sheetName val="conc-foot-gradeslab"/>
      <sheetName val="CLEAR OVER FALL DROP"/>
      <sheetName val="C.D.Abs.Est."/>
      <sheetName val="pvc-pipe-rates"/>
      <sheetName val="Leads"/>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 val="R_Det"/>
      <sheetName val="Lead"/>
      <sheetName val="Road data"/>
      <sheetName val="detls"/>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s>
    <sheetDataSet>
      <sheetData sheetId="0"/>
      <sheetData sheetId="1"/>
      <sheetData sheetId="2"/>
      <sheetData sheetId="3"/>
      <sheetData sheetId="4"/>
      <sheetData sheetId="5"/>
      <sheetData sheetId="6"/>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Gen abs"/>
      <sheetName val="CBR"/>
      <sheetName val="mlead"/>
      <sheetName val="TS_memo"/>
      <sheetName val="Spn_report"/>
      <sheetName val="Road_data"/>
      <sheetName val="abs_road"/>
      <sheetName val="Gen_abs"/>
      <sheetName val="data"/>
      <sheetName val=" data sheet "/>
      <sheetName val="Bill_amt_qty_cc_1"/>
      <sheetName val="WATER-HAMMER"/>
      <sheetName val="pvc-pipe-rates"/>
      <sheetName val="PVC_dia"/>
      <sheetName val="sch"/>
      <sheetName val="Road Detail Est."/>
      <sheetName val="Labour"/>
      <sheetName val="Material"/>
      <sheetName val="Summary"/>
      <sheetName val="MRATES"/>
      <sheetName val="Sheet5"/>
      <sheetName val="v"/>
      <sheetName val="temp-SDData (2)"/>
      <sheetName val="sand"/>
      <sheetName val="stone"/>
      <sheetName val="index"/>
      <sheetName val="quarry"/>
      <sheetName val="Lead"/>
      <sheetName val="t_prsr"/>
      <sheetName val="GF SB Ok "/>
      <sheetName val="DATA SHEET"/>
      <sheetName val="1V800"/>
      <sheetName val="Analy"/>
      <sheetName val="C-data"/>
      <sheetName val="Line"/>
      <sheetName val="Footings"/>
      <sheetName val="Nspt-smp-final-ORIGINAL"/>
      <sheetName val="Levels"/>
      <sheetName val="detls"/>
      <sheetName val="Data_Bit_I"/>
      <sheetName val="Suppl-data"/>
      <sheetName val="m"/>
      <sheetName val="pvc_basic"/>
      <sheetName val="HDPE"/>
      <sheetName val="LEAD STATEMENT"/>
      <sheetName val=" EST"/>
      <sheetName val="leads"/>
      <sheetName val="maya"/>
      <sheetName val="Sheet1"/>
      <sheetName val="wh"/>
      <sheetName val="Leads Entry"/>
      <sheetName val="Plant &amp;  Machinery"/>
      <sheetName val="DATA-ABSTRACT"/>
      <sheetName val="words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3R800"/>
      <sheetName val="Ret wall"/>
      <sheetName val="Road data"/>
      <sheetName val="BTR"/>
      <sheetName val="RMR"/>
      <sheetName val="certificates"/>
      <sheetName val="mlead"/>
      <sheetName val="TS_memo"/>
      <sheetName val="Spn_report"/>
      <sheetName val="Gen_abs"/>
      <sheetName val="abs_road"/>
      <sheetName val="HP_abs"/>
      <sheetName val="1R_800"/>
      <sheetName val="Ret_wall"/>
      <sheetName val="Road_data"/>
      <sheetName val="HDPE"/>
      <sheetName val="pvc_basic"/>
      <sheetName val="Cover"/>
      <sheetName val="MRATES"/>
      <sheetName val="data"/>
      <sheetName val="sand"/>
      <sheetName val="stone"/>
      <sheetName val="index"/>
      <sheetName val="detls"/>
      <sheetName val="Road Detail Est."/>
      <sheetName val="Labour"/>
      <sheetName val="Material"/>
      <sheetName val="wh"/>
      <sheetName val="Rates SSR 2008-09"/>
      <sheetName val="m"/>
      <sheetName val="Plant &amp;  Machinery"/>
      <sheetName val="Lead"/>
      <sheetName val="r"/>
      <sheetName val="Lookup"/>
      <sheetName val="DATA_ENTRY"/>
      <sheetName val="BTLeads"/>
      <sheetName val="GF SB Ok "/>
      <sheetName val="C-data"/>
      <sheetName val="elec-data"/>
      <sheetName val="DATA SHEET"/>
      <sheetName val="1-Pop Proj"/>
      <sheetName val="quarry"/>
      <sheetName val=" data sheet "/>
      <sheetName val="v"/>
      <sheetName val="estimate "/>
      <sheetName val="Levels"/>
      <sheetName val="Sheet3"/>
      <sheetName val="Data_Bit_I"/>
      <sheetName val="Global factors"/>
      <sheetName val="DATA_PRG"/>
      <sheetName val="LEAD STATEMENT"/>
      <sheetName val="t_prsr"/>
      <sheetName val="PVC_dia"/>
      <sheetName val="TS_memo1"/>
      <sheetName val="Spn_report1"/>
      <sheetName val="Gen_abs1"/>
      <sheetName val="abs_road1"/>
      <sheetName val="HP_abs1"/>
      <sheetName val="1R_8001"/>
      <sheetName val="Ret_wall1"/>
      <sheetName val="Road_data1"/>
      <sheetName val="Road_Detail_Est_"/>
      <sheetName val="Rates_SSR_2008-09"/>
      <sheetName val="Plant_&amp;__Machinery"/>
      <sheetName val="GF_SB_Ok_"/>
      <sheetName val="DATA_SHEET"/>
      <sheetName val="1-Pop_Proj"/>
      <sheetName val="_data_sheet_"/>
      <sheetName val="Pipe data"/>
      <sheetName val="Box Culvert data"/>
      <sheetName val="Usage"/>
      <sheetName val="General"/>
      <sheetName val="Common "/>
      <sheetName val="Analy"/>
      <sheetName val="rates"/>
      <sheetName val="Lead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5">
          <cell r="C15" t="str">
            <v>Earthwork excavation by mechanical means and depositing on bank with initial  lead and lift in all soils upto SDR and laying earth in layers including breaking clods, sectioning and rolling with Power Road Roller 8 to 10 Tonnes capacity  @ FMC including a</v>
          </cell>
        </row>
        <row r="49">
          <cell r="K49">
            <v>108</v>
          </cell>
        </row>
        <row r="77">
          <cell r="K77">
            <v>1009</v>
          </cell>
        </row>
        <row r="79">
          <cell r="C79" t="str">
            <v>Picking old metalled surface to a depth of 40 mm to 100 mm and sectioning including all labour and incidental charges complete for finished item of work and as directed by the Engineer-in-Charge.</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ro_bldg"/>
      <sheetName val="mpp_bldg"/>
      <sheetName val="abstract"/>
      <sheetName val="detailed"/>
      <sheetName val="sanitory"/>
      <sheetName val="septic_tank"/>
      <sheetName val="electri"/>
      <sheetName val="c_wall"/>
      <sheetName val="data_sein"/>
      <sheetName val="v"/>
      <sheetName val="r"/>
      <sheetName val="l"/>
      <sheetName val="door"/>
      <sheetName val="win"/>
      <sheetName val="quarry"/>
      <sheetName val="GN-ST-10"/>
      <sheetName val="data"/>
      <sheetName val="Lead"/>
      <sheetName val="Road data"/>
      <sheetName val="lead-st"/>
      <sheetName val="Road Detail Est."/>
      <sheetName val="R_Det"/>
      <sheetName val="sch"/>
      <sheetName val="Plant &amp;  Machinery"/>
      <sheetName val="RMR"/>
      <sheetName val="0000000000000"/>
      <sheetName val="wh"/>
      <sheetName val="Material"/>
      <sheetName val="Labour"/>
      <sheetName val="ssr-rates"/>
      <sheetName val="t_prsr"/>
      <sheetName val="PVC_dia"/>
      <sheetName val="C-data"/>
      <sheetName val="leads"/>
      <sheetName val="Sheet1"/>
      <sheetName val="DATA_PRG"/>
      <sheetName val="rdamdata"/>
      <sheetName val="1-Pop Proj"/>
      <sheetName val="Pile cap"/>
      <sheetName val="Boq - Flats"/>
      <sheetName val="Lead-2014-15"/>
      <sheetName val="MRATES"/>
      <sheetName val="temp-SDData (2)"/>
      <sheetName val="Pipe data"/>
      <sheetName val="Box Culvert data"/>
      <sheetName val="LEAD STATEMENT"/>
      <sheetName val="maya"/>
      <sheetName val=" data sheet "/>
      <sheetName val="LEAD 2013-14"/>
      <sheetName val="Road_data"/>
      <sheetName val="Road_Detail_Est_"/>
      <sheetName val="Plant_&amp;__Machinery"/>
      <sheetName val="Suppl-data"/>
      <sheetName val="DRAINS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BTR"/>
      <sheetName val="RMR"/>
      <sheetName val="Road data"/>
      <sheetName val="Abstract"/>
      <sheetName val="Sheet1"/>
      <sheetName val="mlead"/>
      <sheetName val="Road_data"/>
      <sheetName val="Material"/>
      <sheetName val="Labour"/>
      <sheetName val="Bridge Data 2005-06"/>
      <sheetName val="Plant &amp;  Machinery"/>
      <sheetName val="Sheet9"/>
      <sheetName val="maya"/>
      <sheetName val="GN-ST-10"/>
      <sheetName val="GN_ST_10"/>
      <sheetName val="GF SB Ok "/>
      <sheetName val="HDPE-pipe-rates"/>
      <sheetName val="pvc-pipe-rates"/>
      <sheetName val="MRATES"/>
      <sheetName val="Lead statement"/>
      <sheetName val="SSR 2010-11 Rates"/>
      <sheetName val="lead"/>
      <sheetName val="leads"/>
      <sheetName val="Data"/>
      <sheetName val="Data - DI pipes -1"/>
      <sheetName val="Data-ELSR"/>
      <sheetName val="Mortars"/>
      <sheetName val=" Data -Valves"/>
      <sheetName val="Boq"/>
      <sheetName val="Main sheet"/>
      <sheetName val="MRoad data"/>
      <sheetName val="GF Columns"/>
      <sheetName val="data existing_do not delete"/>
      <sheetName val="labour coeff"/>
      <sheetName val="m"/>
      <sheetName val="m1"/>
      <sheetName val="Specification"/>
      <sheetName val="Road_data1"/>
      <sheetName val="Bridge_Data_2005-06"/>
      <sheetName val="Plant_&amp;__Machinery"/>
      <sheetName val="GF_SB_Ok_"/>
      <sheetName val="Lead_statement"/>
      <sheetName val="SSR_2010-11_Rates"/>
      <sheetName val="Data_-_DI_pipes_-1"/>
      <sheetName val="_Data_-Valves"/>
      <sheetName val="Main_sheet"/>
      <sheetName val="Road Detail Est."/>
      <sheetName val="detls"/>
      <sheetName val="water-hammar-strenght"/>
      <sheetName val="ewst"/>
      <sheetName val="DISCOUNT"/>
      <sheetName val="Sheet1 (2)"/>
      <sheetName val="sup dat"/>
      <sheetName val="mas_hab"/>
      <sheetName val="Data_Bit_I"/>
      <sheetName val="v"/>
    </sheetNames>
    <sheetDataSet>
      <sheetData sheetId="0" refreshError="1"/>
      <sheetData sheetId="1" refreshError="1"/>
      <sheetData sheetId="2" refreshError="1"/>
      <sheetData sheetId="3" refreshError="1"/>
      <sheetData sheetId="4" refreshError="1">
        <row r="418">
          <cell r="K418" t="e">
            <v>#REF!</v>
          </cell>
        </row>
        <row r="432">
          <cell r="K432" t="e">
            <v>#REF!</v>
          </cell>
        </row>
        <row r="446">
          <cell r="K446" t="e">
            <v>#REF!</v>
          </cell>
        </row>
      </sheetData>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MR"/>
      <sheetName val="Road Abst."/>
      <sheetName val="CD works Abst."/>
      <sheetName val="CC drains Abst."/>
      <sheetName val="Road Detail Est."/>
      <sheetName val="CD works detail Est."/>
      <sheetName val="CC drains detail Est."/>
      <sheetName val="Earth work Cal"/>
      <sheetName val="Earth Volume"/>
      <sheetName val="General Abst."/>
      <sheetName val="Lead Statement"/>
      <sheetName val="Road data"/>
      <sheetName val="CD works data"/>
      <sheetName val="Lead"/>
      <sheetName val="data"/>
      <sheetName val="quarry"/>
      <sheetName val="C-data"/>
      <sheetName val="detls"/>
      <sheetName val="lead-st"/>
      <sheetName val="R_Det"/>
      <sheetName val="r"/>
      <sheetName val="COLUMN"/>
      <sheetName val="Material"/>
      <sheetName val="PVC_dia"/>
      <sheetName val="Main sheet"/>
      <sheetName val="temp-SDData (2)"/>
      <sheetName val="Lead-2014-15"/>
      <sheetName val="Labour"/>
      <sheetName val="Plant &amp;  Machinery"/>
      <sheetName val="DATA-2005-06"/>
      <sheetName val="ssr-rates"/>
      <sheetName val="MRATES"/>
      <sheetName val="sand"/>
      <sheetName val="p&amp;m"/>
      <sheetName val="m"/>
      <sheetName val="CABLE DATA"/>
      <sheetName val="Det.SC2"/>
      <sheetName val="Sheet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_abst"/>
      <sheetName val="report"/>
      <sheetName val="trialpit"/>
      <sheetName val="abstract"/>
      <sheetName val="detailed"/>
      <sheetName val="data_new"/>
      <sheetName val="lead-st"/>
      <sheetName val="v"/>
      <sheetName val="r"/>
      <sheetName val="l"/>
      <sheetName val="leads"/>
      <sheetName val="Lead"/>
      <sheetName val="Road Detail Est."/>
      <sheetName val="Road data"/>
      <sheetName val="Data"/>
      <sheetName val="Roadlist"/>
      <sheetName val="temp-SDData (2)"/>
      <sheetName val="t_prsr"/>
      <sheetName val="PVC_dia"/>
      <sheetName val="Specification"/>
      <sheetName val="ssr-rates"/>
      <sheetName val="ESTIMATE"/>
      <sheetName val="quarry"/>
      <sheetName val="RMR"/>
      <sheetName val="Data_Bit_I"/>
      <sheetName val="Summary"/>
      <sheetName val="MRATES"/>
      <sheetName val="Data.F8.BTR"/>
      <sheetName val="Levels"/>
      <sheetName val="Lead statement"/>
      <sheetName val="Labour"/>
      <sheetName val="sup dat"/>
      <sheetName val="Sheet1"/>
      <sheetName val="rdamdata"/>
      <sheetName val="DATA_PRG"/>
      <sheetName val="Material"/>
      <sheetName val="Plant &amp;  Machinery"/>
      <sheetName val="m"/>
      <sheetName val="MPP_Vemulapally"/>
      <sheetName val="detls"/>
      <sheetName val="CD Data"/>
      <sheetName val="COLUMN"/>
      <sheetName val="Data o"/>
      <sheetName val="Sheet2"/>
      <sheetName val="stone"/>
      <sheetName val="index"/>
      <sheetName val="Trunk unpaved"/>
      <sheetName val="Data_Base"/>
      <sheetName val="data-sheet"/>
      <sheetName val="int-Dia-pvc"/>
      <sheetName val="Road_Detail_Est_2"/>
      <sheetName val="Road_data2"/>
      <sheetName val="temp-SDData_(2)2"/>
      <sheetName val="Data_F8_BTR2"/>
      <sheetName val="Road_Detail_Est_"/>
      <sheetName val="Road_data"/>
      <sheetName val="temp-SDData_(2)"/>
      <sheetName val="Data_F8_BTR"/>
      <sheetName val="Road_Detail_Est_1"/>
      <sheetName val="Road_data1"/>
      <sheetName val="temp-SDData_(2)1"/>
      <sheetName val="Data_F8_BTR1"/>
      <sheetName val="Rising Main"/>
      <sheetName val="EDWise"/>
      <sheetName val="Cd"/>
      <sheetName val="Cs"/>
      <sheetName val="CPIPE"/>
      <sheetName val="THK"/>
      <sheetName val="CPIPE 1"/>
      <sheetName val="RECAPITULATION"/>
      <sheetName val="Pipe data"/>
      <sheetName val="Box Culvert data"/>
      <sheetName val="segments-details"/>
      <sheetName val="int-Dia-hdpe"/>
      <sheetName val="habs-list"/>
      <sheetName val=" EST"/>
      <sheetName val="Sheet3"/>
      <sheetName val="data_sein"/>
      <sheetName val="DATA-BASE"/>
      <sheetName val="DATA-ABSTRACT"/>
      <sheetName val="m1"/>
      <sheetName val="Lookup"/>
      <sheetName val="Cover"/>
      <sheetName val="pvc-pipe-rates"/>
      <sheetName val="Boq - Flats"/>
      <sheetName val="LOCAL RATES"/>
      <sheetName val="BWSCPlt"/>
      <sheetName val="CI"/>
      <sheetName val="DI"/>
      <sheetName val="G.R.P"/>
      <sheetName val="HDPE"/>
      <sheetName val="PSC REVISED"/>
      <sheetName val="pvc"/>
      <sheetName val="data existing_do not delete"/>
      <sheetName val="0000000000000"/>
      <sheetName val="other rates"/>
      <sheetName val="CLEAR OVER FALL DROP"/>
      <sheetName val="Convey"/>
      <sheetName val="Rates"/>
      <sheetName val="Longitudinal"/>
      <sheetName val="Lead 09-10"/>
      <sheetName val="Legend"/>
      <sheetName val="id"/>
      <sheetName val="procurement"/>
      <sheetName val="abs road"/>
      <sheetName val="Lead-2014-15"/>
      <sheetName val="MRoad data"/>
      <sheetName val="coverpage"/>
      <sheetName val="Rd.Est"/>
      <sheetName val="hdpe weights"/>
      <sheetName val="PVC weights"/>
      <sheetName val="HT-INTROD"/>
      <sheetName val="Rate"/>
      <sheetName val="source"/>
      <sheetName val="Lead-1"/>
      <sheetName val="gen"/>
      <sheetName val="final abstract"/>
      <sheetName val="R_Det"/>
      <sheetName val="SubAnlysis"/>
      <sheetName val="Marteru"/>
      <sheetName val="Road_Detail_Est_3"/>
      <sheetName val="Road_data3"/>
      <sheetName val="temp-SDData_(2)3"/>
      <sheetName val="Data_F8_BTR3"/>
      <sheetName val="Lead_statement"/>
      <sheetName val="sup_dat"/>
      <sheetName val="Plant_&amp;__Machinery"/>
      <sheetName val="CD_Data"/>
      <sheetName val="Data_o"/>
      <sheetName val="Trunk_unpaved"/>
      <sheetName val="Rising_Main"/>
      <sheetName val="CPIPE_1"/>
      <sheetName val="Pipe_data"/>
      <sheetName val="Box_Culvert_data"/>
      <sheetName val="_EST"/>
      <sheetName val="Det.SC2"/>
      <sheetName val="Specification report"/>
      <sheetName val=" data sheet "/>
      <sheetName val="conc-foot-gradeslab"/>
      <sheetName val="Main-Material"/>
      <sheetName val="scheme area details_block__ c2"/>
      <sheetName val="Main sheet"/>
      <sheetName val="C-data"/>
      <sheetName val="GF SB Ok "/>
      <sheetName val="JAWAHAR-hyd-original"/>
      <sheetName val="dlvoid"/>
      <sheetName val="Data Road"/>
      <sheetName val="CABLE DATA"/>
      <sheetName val="maing1"/>
      <sheetName val="MA"/>
      <sheetName val="Common "/>
      <sheetName val="water-hammar-strenght"/>
      <sheetName val="Abs"/>
      <sheetName val="R99 etc"/>
      <sheetName val="Sorted"/>
      <sheetName val="sand"/>
      <sheetName val="Estt"/>
      <sheetName val="SSR"/>
      <sheetName val="SSR 2015-16"/>
      <sheetName val="est"/>
      <sheetName val="mlead"/>
      <sheetName val="Desgn(zone I)"/>
      <sheetName val="DATA-2005-06"/>
    </sheetNames>
    <sheetDataSet>
      <sheetData sheetId="0">
        <row r="7">
          <cell r="F7">
            <v>91</v>
          </cell>
        </row>
      </sheetData>
      <sheetData sheetId="1">
        <row r="7">
          <cell r="F7">
            <v>91</v>
          </cell>
        </row>
      </sheetData>
      <sheetData sheetId="2"/>
      <sheetData sheetId="3"/>
      <sheetData sheetId="4"/>
      <sheetData sheetId="5"/>
      <sheetData sheetId="6"/>
      <sheetData sheetId="7">
        <row r="7">
          <cell r="F7">
            <v>91</v>
          </cell>
        </row>
      </sheetData>
      <sheetData sheetId="8" refreshError="1">
        <row r="7">
          <cell r="F7">
            <v>91</v>
          </cell>
        </row>
      </sheetData>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tatement"/>
      <sheetName val="Building Datas"/>
      <sheetName val="SSR 2010-11 Rates"/>
      <sheetName val="Hire charges"/>
      <sheetName val="centering"/>
      <sheetName val="40KL-250KL Estimate &amp; data"/>
      <sheetName val="CI specials for OHSR"/>
      <sheetName val="r"/>
      <sheetName val="bom"/>
      <sheetName val="Rates SSR 2008-09"/>
      <sheetName val="Data"/>
      <sheetName val="MRATES"/>
      <sheetName val="Road Detail Est."/>
      <sheetName val="Lead"/>
      <sheetName val="CD Data"/>
      <sheetName val="hdpe_basic"/>
      <sheetName val="pvc_basic"/>
      <sheetName val="HDPE"/>
      <sheetName val="DI"/>
      <sheetName val="pvc"/>
      <sheetName val="Plant &amp;  Machinery"/>
      <sheetName val="Labour"/>
      <sheetName val="t_prsr"/>
      <sheetName val="id"/>
      <sheetName val="Data 07-08 "/>
      <sheetName val="C-data"/>
      <sheetName val="maya"/>
      <sheetName val="leads"/>
      <sheetName val="Input"/>
      <sheetName val="Rates"/>
      <sheetName val="SSR 2014-15 Rates"/>
    </sheetNames>
    <sheetDataSet>
      <sheetData sheetId="0">
        <row r="6">
          <cell r="P6">
            <v>233.97</v>
          </cell>
        </row>
        <row r="16">
          <cell r="P16" t="e">
            <v>#N/A</v>
          </cell>
        </row>
      </sheetData>
      <sheetData sheetId="1"/>
      <sheetData sheetId="2">
        <row r="41">
          <cell r="E41">
            <v>258</v>
          </cell>
        </row>
      </sheetData>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H"/>
      <sheetName val="VC rate"/>
      <sheetName val="DFjoints"/>
      <sheetName val="kintc-airvalve-DI"/>
      <sheetName val="dbl-airvalve-PVC"/>
      <sheetName val="dbl-airvalve-HDPE"/>
      <sheetName val="ssr-rates"/>
      <sheetName val="MS-BWSC-GRP-PSC"/>
      <sheetName val="airvalve-AC"/>
      <sheetName val="sluice-AC"/>
      <sheetName val="sluice-PSC"/>
      <sheetName val="sluice-BWSCP-MS"/>
      <sheetName val="sluice-GRP"/>
      <sheetName val="sluice-PVC"/>
      <sheetName val="sluice-HDPE"/>
      <sheetName val="sluice-DI"/>
      <sheetName val="scour-DI-CI"/>
      <sheetName val="scour-pvc-hdpe-psc-bwsc"/>
      <sheetName val="Non-DI "/>
      <sheetName val="Lead"/>
      <sheetName val="Data"/>
      <sheetName val="vc80"/>
      <sheetName val="vc200"/>
      <sheetName val="vc450"/>
      <sheetName val="vc600"/>
      <sheetName val="vc700"/>
      <sheetName val="vc1000"/>
      <sheetName val="leads"/>
      <sheetName val="Sheet1"/>
      <sheetName val="temp-SDData (2)"/>
      <sheetName val="detls"/>
      <sheetName val="r"/>
      <sheetName val="Road data"/>
      <sheetName val="MRATES"/>
      <sheetName val="Data.F8.BTR"/>
      <sheetName val="Lead statement"/>
      <sheetName val="DATA_PILE_RT2"/>
      <sheetName val="data existing_do not delete"/>
    </sheetNames>
    <sheetDataSet>
      <sheetData sheetId="0"/>
      <sheetData sheetId="1"/>
      <sheetData sheetId="2"/>
      <sheetData sheetId="3"/>
      <sheetData sheetId="4"/>
      <sheetData sheetId="5"/>
      <sheetData sheetId="6">
        <row r="1">
          <cell r="B1" t="str">
            <v>code</v>
          </cell>
          <cell r="C1" t="str">
            <v>Type</v>
          </cell>
          <cell r="D1" t="str">
            <v>Dia</v>
          </cell>
          <cell r="E1" t="str">
            <v>Class</v>
          </cell>
          <cell r="F1" t="str">
            <v>Unit</v>
          </cell>
          <cell r="G1" t="str">
            <v>2007-08</v>
          </cell>
          <cell r="H1" t="str">
            <v>2008-09</v>
          </cell>
          <cell r="I1" t="str">
            <v>2009-10</v>
          </cell>
          <cell r="J1" t="str">
            <v>2009-10</v>
          </cell>
        </row>
        <row r="2">
          <cell r="B2" t="str">
            <v>Sluice valve50PN-1</v>
          </cell>
          <cell r="C2" t="str">
            <v>Sluice valve</v>
          </cell>
          <cell r="D2">
            <v>50</v>
          </cell>
          <cell r="E2" t="str">
            <v>PN-1</v>
          </cell>
          <cell r="F2" t="str">
            <v>each</v>
          </cell>
          <cell r="G2">
            <v>2800</v>
          </cell>
          <cell r="H2">
            <v>3640</v>
          </cell>
          <cell r="I2">
            <v>3640</v>
          </cell>
          <cell r="J2">
            <v>3640</v>
          </cell>
        </row>
        <row r="3">
          <cell r="B3" t="str">
            <v>Sluice valve65PN-1</v>
          </cell>
          <cell r="C3" t="str">
            <v>Sluice valve</v>
          </cell>
          <cell r="D3">
            <v>65</v>
          </cell>
          <cell r="E3" t="str">
            <v>PN-1</v>
          </cell>
          <cell r="F3" t="str">
            <v>each</v>
          </cell>
          <cell r="G3">
            <v>3094</v>
          </cell>
          <cell r="H3">
            <v>4022</v>
          </cell>
          <cell r="I3">
            <v>4022</v>
          </cell>
          <cell r="J3">
            <v>4022</v>
          </cell>
        </row>
        <row r="4">
          <cell r="B4" t="str">
            <v>Sluice valve80PN-1</v>
          </cell>
          <cell r="C4" t="str">
            <v>Sluice valve</v>
          </cell>
          <cell r="D4">
            <v>80</v>
          </cell>
          <cell r="E4" t="str">
            <v>PN-1</v>
          </cell>
          <cell r="F4" t="str">
            <v>each</v>
          </cell>
          <cell r="G4">
            <v>3273</v>
          </cell>
          <cell r="H4">
            <v>4255</v>
          </cell>
          <cell r="I4">
            <v>4255</v>
          </cell>
          <cell r="J4">
            <v>4255</v>
          </cell>
        </row>
        <row r="5">
          <cell r="B5" t="str">
            <v>Sluice valve100PN-1</v>
          </cell>
          <cell r="C5" t="str">
            <v>Sluice valve</v>
          </cell>
          <cell r="D5">
            <v>100</v>
          </cell>
          <cell r="E5" t="str">
            <v>PN-1</v>
          </cell>
          <cell r="F5" t="str">
            <v>each</v>
          </cell>
          <cell r="G5">
            <v>4364</v>
          </cell>
          <cell r="H5">
            <v>5673</v>
          </cell>
          <cell r="I5">
            <v>5673</v>
          </cell>
          <cell r="J5">
            <v>5673</v>
          </cell>
        </row>
        <row r="6">
          <cell r="B6" t="str">
            <v>Sluice valve125PN-1</v>
          </cell>
          <cell r="C6" t="str">
            <v>Sluice valve</v>
          </cell>
          <cell r="D6">
            <v>125</v>
          </cell>
          <cell r="E6" t="str">
            <v>PN-1</v>
          </cell>
          <cell r="F6" t="str">
            <v>each</v>
          </cell>
          <cell r="G6">
            <v>5454</v>
          </cell>
          <cell r="H6">
            <v>7090</v>
          </cell>
          <cell r="I6">
            <v>7090</v>
          </cell>
          <cell r="J6">
            <v>7090</v>
          </cell>
        </row>
        <row r="7">
          <cell r="B7" t="str">
            <v>Sluice valve150PN-1</v>
          </cell>
          <cell r="C7" t="str">
            <v>Sluice valve</v>
          </cell>
          <cell r="D7">
            <v>150</v>
          </cell>
          <cell r="E7" t="str">
            <v>PN-1</v>
          </cell>
          <cell r="F7" t="str">
            <v>each</v>
          </cell>
          <cell r="G7">
            <v>6545</v>
          </cell>
          <cell r="H7">
            <v>8509</v>
          </cell>
          <cell r="I7">
            <v>8509</v>
          </cell>
          <cell r="J7">
            <v>8509</v>
          </cell>
        </row>
        <row r="8">
          <cell r="B8" t="str">
            <v>Sluice valve200PN-1</v>
          </cell>
          <cell r="C8" t="str">
            <v>Sluice valve</v>
          </cell>
          <cell r="D8">
            <v>200</v>
          </cell>
          <cell r="E8" t="str">
            <v>PN-1</v>
          </cell>
          <cell r="F8" t="str">
            <v>each</v>
          </cell>
          <cell r="G8">
            <v>11472</v>
          </cell>
          <cell r="H8">
            <v>14914</v>
          </cell>
          <cell r="I8">
            <v>14914</v>
          </cell>
          <cell r="J8">
            <v>14914</v>
          </cell>
        </row>
        <row r="9">
          <cell r="B9" t="str">
            <v>Sluice valve250PN-1</v>
          </cell>
          <cell r="C9" t="str">
            <v>Sluice valve</v>
          </cell>
          <cell r="D9">
            <v>250</v>
          </cell>
          <cell r="E9" t="str">
            <v>PN-1</v>
          </cell>
          <cell r="F9" t="str">
            <v>each</v>
          </cell>
          <cell r="G9">
            <v>16226</v>
          </cell>
          <cell r="H9">
            <v>21094</v>
          </cell>
          <cell r="I9">
            <v>21094</v>
          </cell>
          <cell r="J9">
            <v>21094</v>
          </cell>
        </row>
        <row r="10">
          <cell r="B10" t="str">
            <v>Sluice valve300PN-1</v>
          </cell>
          <cell r="C10" t="str">
            <v>Sluice valve</v>
          </cell>
          <cell r="D10">
            <v>300</v>
          </cell>
          <cell r="E10" t="str">
            <v>PN-1</v>
          </cell>
          <cell r="F10" t="str">
            <v>each</v>
          </cell>
          <cell r="G10">
            <v>22274</v>
          </cell>
          <cell r="H10">
            <v>28956</v>
          </cell>
          <cell r="I10">
            <v>28956</v>
          </cell>
          <cell r="J10">
            <v>28956</v>
          </cell>
        </row>
        <row r="11">
          <cell r="B11" t="str">
            <v>Sluice valve50PN-1.6</v>
          </cell>
          <cell r="C11" t="str">
            <v>Sluice valve</v>
          </cell>
          <cell r="D11">
            <v>50</v>
          </cell>
          <cell r="E11" t="str">
            <v>PN-1.6</v>
          </cell>
          <cell r="F11" t="str">
            <v>each</v>
          </cell>
          <cell r="G11">
            <v>3360</v>
          </cell>
          <cell r="H11">
            <v>4368</v>
          </cell>
          <cell r="I11">
            <v>4368</v>
          </cell>
          <cell r="J11">
            <v>4368</v>
          </cell>
        </row>
        <row r="12">
          <cell r="B12" t="str">
            <v>Sluice valve65PN-1.6</v>
          </cell>
          <cell r="C12" t="str">
            <v>Sluice valve</v>
          </cell>
          <cell r="D12">
            <v>65</v>
          </cell>
          <cell r="E12" t="str">
            <v>PN-1.6</v>
          </cell>
          <cell r="F12" t="str">
            <v>each</v>
          </cell>
          <cell r="G12">
            <v>3713</v>
          </cell>
          <cell r="H12">
            <v>4827</v>
          </cell>
          <cell r="I12">
            <v>4827</v>
          </cell>
          <cell r="J12">
            <v>4827</v>
          </cell>
        </row>
        <row r="13">
          <cell r="B13" t="str">
            <v>Sluice valve80PN-1.6</v>
          </cell>
          <cell r="C13" t="str">
            <v>Sluice valve</v>
          </cell>
          <cell r="D13">
            <v>80</v>
          </cell>
          <cell r="E13" t="str">
            <v>PN-1.6</v>
          </cell>
          <cell r="F13" t="str">
            <v>each</v>
          </cell>
          <cell r="G13">
            <v>3927</v>
          </cell>
          <cell r="H13">
            <v>5105</v>
          </cell>
          <cell r="I13">
            <v>5105</v>
          </cell>
          <cell r="J13">
            <v>5105</v>
          </cell>
        </row>
        <row r="14">
          <cell r="B14" t="str">
            <v>Sluice valve100PN-1.6</v>
          </cell>
          <cell r="C14" t="str">
            <v>Sluice valve</v>
          </cell>
          <cell r="D14">
            <v>100</v>
          </cell>
          <cell r="E14" t="str">
            <v>PN-1.6</v>
          </cell>
          <cell r="F14" t="str">
            <v>each</v>
          </cell>
          <cell r="G14">
            <v>5236</v>
          </cell>
          <cell r="H14">
            <v>6807</v>
          </cell>
          <cell r="I14">
            <v>6807</v>
          </cell>
          <cell r="J14">
            <v>6807</v>
          </cell>
        </row>
        <row r="15">
          <cell r="B15" t="str">
            <v>Sluice valve125PN-1.6</v>
          </cell>
          <cell r="C15" t="str">
            <v>Sluice valve</v>
          </cell>
          <cell r="D15">
            <v>125</v>
          </cell>
          <cell r="E15" t="str">
            <v>PN-1.6</v>
          </cell>
          <cell r="F15" t="str">
            <v>each</v>
          </cell>
          <cell r="G15">
            <v>6545</v>
          </cell>
          <cell r="H15">
            <v>8509</v>
          </cell>
          <cell r="I15">
            <v>8509</v>
          </cell>
          <cell r="J15">
            <v>8509</v>
          </cell>
        </row>
        <row r="16">
          <cell r="B16" t="str">
            <v>Sluice valve150PN-1.6</v>
          </cell>
          <cell r="C16" t="str">
            <v>Sluice valve</v>
          </cell>
          <cell r="D16">
            <v>150</v>
          </cell>
          <cell r="E16" t="str">
            <v>PN-1.6</v>
          </cell>
          <cell r="F16" t="str">
            <v>each</v>
          </cell>
          <cell r="G16">
            <v>7854</v>
          </cell>
          <cell r="H16">
            <v>10210</v>
          </cell>
          <cell r="I16">
            <v>10210</v>
          </cell>
          <cell r="J16">
            <v>10210</v>
          </cell>
        </row>
        <row r="17">
          <cell r="B17" t="str">
            <v>Sluice valve200PN-1.6</v>
          </cell>
          <cell r="C17" t="str">
            <v>Sluice valve</v>
          </cell>
          <cell r="D17">
            <v>200</v>
          </cell>
          <cell r="E17" t="str">
            <v>PN-1.6</v>
          </cell>
          <cell r="F17" t="str">
            <v>each</v>
          </cell>
          <cell r="G17">
            <v>13532</v>
          </cell>
          <cell r="H17">
            <v>17592</v>
          </cell>
          <cell r="I17">
            <v>17592</v>
          </cell>
          <cell r="J17">
            <v>17592</v>
          </cell>
        </row>
        <row r="18">
          <cell r="B18" t="str">
            <v>Sluice valve250PN-1.6</v>
          </cell>
          <cell r="C18" t="str">
            <v>Sluice valve</v>
          </cell>
          <cell r="D18">
            <v>250</v>
          </cell>
          <cell r="E18" t="str">
            <v>PN-1.6</v>
          </cell>
          <cell r="F18" t="str">
            <v>each</v>
          </cell>
          <cell r="G18">
            <v>19496</v>
          </cell>
          <cell r="H18">
            <v>25345</v>
          </cell>
          <cell r="I18">
            <v>25345</v>
          </cell>
          <cell r="J18">
            <v>25345</v>
          </cell>
        </row>
        <row r="19">
          <cell r="B19" t="str">
            <v>Sluice valve300PN-1.6</v>
          </cell>
          <cell r="C19" t="str">
            <v>Sluice valve</v>
          </cell>
          <cell r="D19">
            <v>300</v>
          </cell>
          <cell r="E19" t="str">
            <v>PN-1.6</v>
          </cell>
          <cell r="F19" t="str">
            <v>each</v>
          </cell>
          <cell r="G19">
            <v>25721</v>
          </cell>
          <cell r="H19">
            <v>33437</v>
          </cell>
          <cell r="I19">
            <v>33437</v>
          </cell>
          <cell r="J19">
            <v>33437</v>
          </cell>
        </row>
        <row r="20">
          <cell r="B20" t="str">
            <v>Sluice valve NR stem350PN-1</v>
          </cell>
          <cell r="C20" t="str">
            <v>Sluice valve NR stem</v>
          </cell>
          <cell r="D20">
            <v>350</v>
          </cell>
          <cell r="E20" t="str">
            <v>PN-1</v>
          </cell>
          <cell r="F20" t="str">
            <v>each</v>
          </cell>
          <cell r="G20">
            <v>50087</v>
          </cell>
          <cell r="H20">
            <v>65113</v>
          </cell>
          <cell r="I20">
            <v>65113</v>
          </cell>
          <cell r="J20">
            <v>65113</v>
          </cell>
        </row>
        <row r="21">
          <cell r="B21" t="str">
            <v>Sluice valve NR stem400PN-1</v>
          </cell>
          <cell r="C21" t="str">
            <v>Sluice valve NR stem</v>
          </cell>
          <cell r="D21">
            <v>400</v>
          </cell>
          <cell r="E21" t="str">
            <v>PN-1</v>
          </cell>
          <cell r="F21" t="str">
            <v>each</v>
          </cell>
          <cell r="G21">
            <v>59372</v>
          </cell>
          <cell r="H21">
            <v>77184</v>
          </cell>
          <cell r="I21">
            <v>77184</v>
          </cell>
          <cell r="J21">
            <v>77184</v>
          </cell>
        </row>
        <row r="22">
          <cell r="B22" t="str">
            <v>Sluice valve NR stem450PN-1</v>
          </cell>
          <cell r="C22" t="str">
            <v>Sluice valve NR stem</v>
          </cell>
          <cell r="D22">
            <v>450</v>
          </cell>
          <cell r="E22" t="str">
            <v>PN-1</v>
          </cell>
          <cell r="F22" t="str">
            <v>each</v>
          </cell>
          <cell r="G22">
            <v>74549</v>
          </cell>
          <cell r="H22">
            <v>96914</v>
          </cell>
          <cell r="I22">
            <v>96914</v>
          </cell>
          <cell r="J22">
            <v>96914</v>
          </cell>
        </row>
        <row r="23">
          <cell r="B23" t="str">
            <v>Sluice valve NR stem500PN-1</v>
          </cell>
          <cell r="C23" t="str">
            <v>Sluice valve NR stem</v>
          </cell>
          <cell r="D23">
            <v>500</v>
          </cell>
          <cell r="E23" t="str">
            <v>PN-1</v>
          </cell>
          <cell r="F23" t="str">
            <v>each</v>
          </cell>
          <cell r="G23">
            <v>85525</v>
          </cell>
          <cell r="H23">
            <v>111183</v>
          </cell>
          <cell r="I23">
            <v>111183</v>
          </cell>
          <cell r="J23">
            <v>111183</v>
          </cell>
        </row>
        <row r="24">
          <cell r="B24" t="str">
            <v>Sluice valve NR stem600PN-1</v>
          </cell>
          <cell r="C24" t="str">
            <v>Sluice valve NR stem</v>
          </cell>
          <cell r="D24">
            <v>600</v>
          </cell>
          <cell r="E24" t="str">
            <v>PN-1</v>
          </cell>
          <cell r="F24" t="str">
            <v>each</v>
          </cell>
          <cell r="G24">
            <v>125270</v>
          </cell>
          <cell r="H24">
            <v>162851</v>
          </cell>
          <cell r="I24">
            <v>162851</v>
          </cell>
          <cell r="J24">
            <v>162851</v>
          </cell>
        </row>
        <row r="25">
          <cell r="B25" t="str">
            <v>Sluice valve NR stem700PN-1</v>
          </cell>
          <cell r="C25" t="str">
            <v>Sluice valve NR stem</v>
          </cell>
          <cell r="D25">
            <v>700</v>
          </cell>
          <cell r="E25" t="str">
            <v>PN-1</v>
          </cell>
          <cell r="F25" t="str">
            <v>each</v>
          </cell>
          <cell r="G25">
            <v>207460</v>
          </cell>
          <cell r="H25">
            <v>269698</v>
          </cell>
          <cell r="I25">
            <v>269698</v>
          </cell>
          <cell r="J25">
            <v>269698</v>
          </cell>
        </row>
        <row r="26">
          <cell r="B26" t="str">
            <v>Sluice valve NR stem750PN-1</v>
          </cell>
          <cell r="C26" t="str">
            <v>Sluice valve NR stem</v>
          </cell>
          <cell r="D26">
            <v>750</v>
          </cell>
          <cell r="E26" t="str">
            <v>PN-1</v>
          </cell>
          <cell r="F26" t="str">
            <v>each</v>
          </cell>
          <cell r="G26">
            <v>291499</v>
          </cell>
          <cell r="H26">
            <v>378949</v>
          </cell>
          <cell r="I26">
            <v>378949</v>
          </cell>
          <cell r="J26">
            <v>378949</v>
          </cell>
        </row>
        <row r="27">
          <cell r="B27" t="str">
            <v>Sluice valve NR stem800PN-1</v>
          </cell>
          <cell r="C27" t="str">
            <v>Sluice valve NR stem</v>
          </cell>
          <cell r="D27">
            <v>800</v>
          </cell>
          <cell r="E27" t="str">
            <v>PN-1</v>
          </cell>
          <cell r="F27" t="str">
            <v>each</v>
          </cell>
          <cell r="G27">
            <v>339900</v>
          </cell>
          <cell r="H27">
            <v>441870</v>
          </cell>
          <cell r="I27">
            <v>441870</v>
          </cell>
          <cell r="J27">
            <v>441870</v>
          </cell>
        </row>
        <row r="28">
          <cell r="B28" t="str">
            <v>Sluice valve NR stem900PN-1</v>
          </cell>
          <cell r="C28" t="str">
            <v>Sluice valve NR stem</v>
          </cell>
          <cell r="D28">
            <v>900</v>
          </cell>
          <cell r="E28" t="str">
            <v>PN-1</v>
          </cell>
          <cell r="F28" t="str">
            <v>each</v>
          </cell>
          <cell r="G28">
            <v>403852</v>
          </cell>
          <cell r="H28">
            <v>525008</v>
          </cell>
          <cell r="I28">
            <v>525008</v>
          </cell>
          <cell r="J28">
            <v>525008</v>
          </cell>
        </row>
        <row r="29">
          <cell r="B29" t="str">
            <v>Sluice valve NR stem1000PN-1</v>
          </cell>
          <cell r="C29" t="str">
            <v>Sluice valve NR stem</v>
          </cell>
          <cell r="D29">
            <v>1000</v>
          </cell>
          <cell r="E29" t="str">
            <v>PN-1</v>
          </cell>
          <cell r="F29" t="str">
            <v>each</v>
          </cell>
          <cell r="G29">
            <v>624000</v>
          </cell>
          <cell r="H29">
            <v>811200</v>
          </cell>
          <cell r="I29">
            <v>811200</v>
          </cell>
          <cell r="J29">
            <v>811200</v>
          </cell>
        </row>
        <row r="30">
          <cell r="B30" t="str">
            <v>Sluice valve NR stem1100PN-1</v>
          </cell>
          <cell r="C30" t="str">
            <v>Sluice valve NR stem</v>
          </cell>
          <cell r="D30">
            <v>1100</v>
          </cell>
          <cell r="E30" t="str">
            <v>PN-1</v>
          </cell>
          <cell r="F30" t="str">
            <v>each</v>
          </cell>
          <cell r="G30">
            <v>705000</v>
          </cell>
          <cell r="H30">
            <v>916500</v>
          </cell>
          <cell r="I30">
            <v>916500</v>
          </cell>
          <cell r="J30">
            <v>916500</v>
          </cell>
        </row>
        <row r="31">
          <cell r="B31" t="str">
            <v>Sluice valve NR stem1200PN-1</v>
          </cell>
          <cell r="C31" t="str">
            <v>Sluice valve NR stem</v>
          </cell>
          <cell r="D31">
            <v>1200</v>
          </cell>
          <cell r="E31" t="str">
            <v>PN-1</v>
          </cell>
          <cell r="F31" t="str">
            <v>each</v>
          </cell>
          <cell r="G31">
            <v>840000</v>
          </cell>
          <cell r="H31">
            <v>1092000</v>
          </cell>
          <cell r="I31">
            <v>1092000</v>
          </cell>
          <cell r="J31">
            <v>1092000</v>
          </cell>
        </row>
        <row r="32">
          <cell r="B32" t="str">
            <v>Sluice valve NR stem350PN-1.6</v>
          </cell>
          <cell r="C32" t="str">
            <v>Sluice valve NR stem</v>
          </cell>
          <cell r="D32">
            <v>350</v>
          </cell>
          <cell r="E32" t="str">
            <v>PN-1.6</v>
          </cell>
          <cell r="F32" t="str">
            <v>each</v>
          </cell>
          <cell r="G32">
            <v>55099</v>
          </cell>
          <cell r="H32">
            <v>71629</v>
          </cell>
          <cell r="I32">
            <v>71629</v>
          </cell>
          <cell r="J32">
            <v>71629</v>
          </cell>
        </row>
        <row r="33">
          <cell r="B33" t="str">
            <v>Sluice valve NR stem400PN-1.6</v>
          </cell>
          <cell r="C33" t="str">
            <v>Sluice valve NR stem</v>
          </cell>
          <cell r="D33">
            <v>400</v>
          </cell>
          <cell r="E33" t="str">
            <v>PN-1.6</v>
          </cell>
          <cell r="F33" t="str">
            <v>each</v>
          </cell>
          <cell r="G33">
            <v>68883</v>
          </cell>
          <cell r="H33">
            <v>89548</v>
          </cell>
          <cell r="I33">
            <v>89548</v>
          </cell>
          <cell r="J33">
            <v>89548</v>
          </cell>
        </row>
        <row r="34">
          <cell r="B34" t="str">
            <v>Sluice valve NR stem450PN-1.6</v>
          </cell>
          <cell r="C34" t="str">
            <v>Sluice valve NR stem</v>
          </cell>
          <cell r="D34">
            <v>450</v>
          </cell>
          <cell r="E34" t="str">
            <v>PN-1.6</v>
          </cell>
          <cell r="F34" t="str">
            <v>each</v>
          </cell>
          <cell r="G34">
            <v>86470</v>
          </cell>
          <cell r="H34">
            <v>112411</v>
          </cell>
          <cell r="I34">
            <v>112411</v>
          </cell>
          <cell r="J34">
            <v>112411</v>
          </cell>
        </row>
        <row r="35">
          <cell r="B35" t="str">
            <v>Sluice valve NR stem500PN-1.6</v>
          </cell>
          <cell r="C35" t="str">
            <v>Sluice valve NR stem</v>
          </cell>
          <cell r="D35">
            <v>500</v>
          </cell>
          <cell r="E35" t="str">
            <v>PN-1.6</v>
          </cell>
          <cell r="F35" t="str">
            <v>each</v>
          </cell>
          <cell r="G35">
            <v>99360</v>
          </cell>
          <cell r="H35">
            <v>129168</v>
          </cell>
          <cell r="I35">
            <v>129168</v>
          </cell>
          <cell r="J35">
            <v>129168</v>
          </cell>
        </row>
        <row r="36">
          <cell r="B36" t="str">
            <v>Sluice valve NR stem600PN-1.6</v>
          </cell>
          <cell r="C36" t="str">
            <v>Sluice valve NR stem</v>
          </cell>
          <cell r="D36">
            <v>600</v>
          </cell>
          <cell r="E36" t="str">
            <v>PN-1.6</v>
          </cell>
          <cell r="F36" t="str">
            <v>each</v>
          </cell>
          <cell r="G36">
            <v>147322</v>
          </cell>
          <cell r="H36">
            <v>191519</v>
          </cell>
          <cell r="I36">
            <v>191519</v>
          </cell>
          <cell r="J36">
            <v>191519</v>
          </cell>
        </row>
        <row r="37">
          <cell r="B37" t="str">
            <v>Non return valve50PN-1.6</v>
          </cell>
          <cell r="C37" t="str">
            <v>Non return valve</v>
          </cell>
          <cell r="D37">
            <v>50</v>
          </cell>
          <cell r="E37" t="str">
            <v>PN-1.6</v>
          </cell>
          <cell r="F37" t="str">
            <v>each</v>
          </cell>
          <cell r="G37">
            <v>1720</v>
          </cell>
          <cell r="H37">
            <v>2236</v>
          </cell>
          <cell r="I37">
            <v>2236</v>
          </cell>
          <cell r="J37">
            <v>2236</v>
          </cell>
        </row>
        <row r="38">
          <cell r="B38" t="str">
            <v>Non return valve65PN-1.6</v>
          </cell>
          <cell r="C38" t="str">
            <v>Non return valve</v>
          </cell>
          <cell r="D38">
            <v>65</v>
          </cell>
          <cell r="E38" t="str">
            <v>PN-1.6</v>
          </cell>
          <cell r="F38" t="str">
            <v>each</v>
          </cell>
          <cell r="G38">
            <v>2150</v>
          </cell>
          <cell r="H38">
            <v>2795</v>
          </cell>
          <cell r="I38">
            <v>2795</v>
          </cell>
          <cell r="J38">
            <v>2795</v>
          </cell>
        </row>
        <row r="39">
          <cell r="B39" t="str">
            <v>Non return valve80PN-1.6</v>
          </cell>
          <cell r="C39" t="str">
            <v>Non return valve</v>
          </cell>
          <cell r="D39">
            <v>80</v>
          </cell>
          <cell r="E39" t="str">
            <v>PN-1.6</v>
          </cell>
          <cell r="F39" t="str">
            <v>each</v>
          </cell>
          <cell r="G39">
            <v>2581</v>
          </cell>
          <cell r="H39">
            <v>3355</v>
          </cell>
          <cell r="I39">
            <v>3355</v>
          </cell>
          <cell r="J39">
            <v>3355</v>
          </cell>
        </row>
        <row r="40">
          <cell r="B40" t="str">
            <v>Non return valve100PN-1.6</v>
          </cell>
          <cell r="C40" t="str">
            <v>Non return valve</v>
          </cell>
          <cell r="D40">
            <v>100</v>
          </cell>
          <cell r="E40" t="str">
            <v>PN-1.6</v>
          </cell>
          <cell r="F40" t="str">
            <v>each</v>
          </cell>
          <cell r="G40">
            <v>3440</v>
          </cell>
          <cell r="H40">
            <v>4472</v>
          </cell>
          <cell r="I40">
            <v>4472</v>
          </cell>
          <cell r="J40">
            <v>4472</v>
          </cell>
        </row>
        <row r="41">
          <cell r="B41" t="str">
            <v>Non return valve125PN-1.6</v>
          </cell>
          <cell r="C41" t="str">
            <v>Non return valve</v>
          </cell>
          <cell r="D41">
            <v>125</v>
          </cell>
          <cell r="E41" t="str">
            <v>PN-1.6</v>
          </cell>
          <cell r="F41" t="str">
            <v>each</v>
          </cell>
          <cell r="G41">
            <v>4300</v>
          </cell>
          <cell r="H41">
            <v>5590</v>
          </cell>
          <cell r="I41">
            <v>5590</v>
          </cell>
          <cell r="J41">
            <v>5590</v>
          </cell>
        </row>
        <row r="42">
          <cell r="B42" t="str">
            <v>Non return valve150PN-1.6</v>
          </cell>
          <cell r="C42" t="str">
            <v>Non return valve</v>
          </cell>
          <cell r="D42">
            <v>150</v>
          </cell>
          <cell r="E42" t="str">
            <v>PN-1.6</v>
          </cell>
          <cell r="F42" t="str">
            <v>each</v>
          </cell>
          <cell r="G42">
            <v>6449</v>
          </cell>
          <cell r="H42">
            <v>8384</v>
          </cell>
          <cell r="I42">
            <v>8384</v>
          </cell>
          <cell r="J42">
            <v>8384</v>
          </cell>
        </row>
        <row r="43">
          <cell r="B43" t="str">
            <v>Non return valve200PN-1.6</v>
          </cell>
          <cell r="C43" t="str">
            <v>Non return valve</v>
          </cell>
          <cell r="D43">
            <v>200</v>
          </cell>
          <cell r="E43" t="str">
            <v>PN-1.6</v>
          </cell>
          <cell r="F43" t="str">
            <v>each</v>
          </cell>
          <cell r="G43">
            <v>12865</v>
          </cell>
          <cell r="H43">
            <v>16725</v>
          </cell>
          <cell r="I43">
            <v>16725</v>
          </cell>
          <cell r="J43">
            <v>16725</v>
          </cell>
        </row>
        <row r="44">
          <cell r="B44" t="str">
            <v>Non return valve250PN-1.6</v>
          </cell>
          <cell r="C44" t="str">
            <v>Non return valve</v>
          </cell>
          <cell r="D44">
            <v>250</v>
          </cell>
          <cell r="E44" t="str">
            <v>PN-1.6</v>
          </cell>
          <cell r="F44" t="str">
            <v>each</v>
          </cell>
          <cell r="G44">
            <v>18660</v>
          </cell>
          <cell r="H44">
            <v>24258</v>
          </cell>
          <cell r="I44">
            <v>24258</v>
          </cell>
          <cell r="J44">
            <v>24258</v>
          </cell>
        </row>
        <row r="45">
          <cell r="B45" t="str">
            <v>Non return valve300PN-1.6</v>
          </cell>
          <cell r="C45" t="str">
            <v>Non return valve</v>
          </cell>
          <cell r="D45">
            <v>300</v>
          </cell>
          <cell r="E45" t="str">
            <v>PN-1.6</v>
          </cell>
          <cell r="F45" t="str">
            <v>each</v>
          </cell>
          <cell r="G45">
            <v>28071</v>
          </cell>
          <cell r="H45">
            <v>36492</v>
          </cell>
          <cell r="I45">
            <v>36492</v>
          </cell>
          <cell r="J45">
            <v>36492</v>
          </cell>
        </row>
        <row r="46">
          <cell r="B46" t="str">
            <v>Non return valve350PN-1.6</v>
          </cell>
          <cell r="C46" t="str">
            <v>Non return valve</v>
          </cell>
          <cell r="D46">
            <v>350</v>
          </cell>
          <cell r="E46" t="str">
            <v>PN-1.6</v>
          </cell>
          <cell r="F46" t="str">
            <v>each</v>
          </cell>
          <cell r="G46">
            <v>37928</v>
          </cell>
          <cell r="H46">
            <v>49306</v>
          </cell>
          <cell r="I46">
            <v>49306</v>
          </cell>
          <cell r="J46">
            <v>49306</v>
          </cell>
        </row>
        <row r="47">
          <cell r="B47" t="str">
            <v>Non return valve400PN-1.6</v>
          </cell>
          <cell r="C47" t="str">
            <v>Non return valve</v>
          </cell>
          <cell r="D47">
            <v>400</v>
          </cell>
          <cell r="E47" t="str">
            <v>PN-1.6</v>
          </cell>
          <cell r="F47" t="str">
            <v>each</v>
          </cell>
          <cell r="G47">
            <v>49345</v>
          </cell>
          <cell r="H47">
            <v>64149</v>
          </cell>
          <cell r="I47">
            <v>64149</v>
          </cell>
          <cell r="J47">
            <v>64149</v>
          </cell>
        </row>
        <row r="48">
          <cell r="B48" t="str">
            <v>Non return valve450PN-1.6</v>
          </cell>
          <cell r="C48" t="str">
            <v>Non return valve</v>
          </cell>
          <cell r="D48">
            <v>450</v>
          </cell>
          <cell r="E48" t="str">
            <v>PN-1.6</v>
          </cell>
          <cell r="F48" t="str">
            <v>each</v>
          </cell>
          <cell r="G48">
            <v>83129</v>
          </cell>
          <cell r="H48">
            <v>108068</v>
          </cell>
          <cell r="I48">
            <v>108068</v>
          </cell>
          <cell r="J48">
            <v>108068</v>
          </cell>
        </row>
        <row r="49">
          <cell r="B49" t="str">
            <v>Non return valve500PN-1.6</v>
          </cell>
          <cell r="C49" t="str">
            <v>Non return valve</v>
          </cell>
          <cell r="D49">
            <v>500</v>
          </cell>
          <cell r="E49" t="str">
            <v>PN-1.6</v>
          </cell>
          <cell r="F49" t="str">
            <v>each</v>
          </cell>
          <cell r="G49">
            <v>100273</v>
          </cell>
          <cell r="H49">
            <v>130355</v>
          </cell>
          <cell r="I49">
            <v>130355</v>
          </cell>
          <cell r="J49">
            <v>130355</v>
          </cell>
        </row>
        <row r="50">
          <cell r="B50" t="str">
            <v>Non return valve600PN-1.6</v>
          </cell>
          <cell r="C50" t="str">
            <v>Non return valve</v>
          </cell>
          <cell r="D50">
            <v>600</v>
          </cell>
          <cell r="E50" t="str">
            <v>PN-1.6</v>
          </cell>
          <cell r="F50" t="str">
            <v>each</v>
          </cell>
          <cell r="G50">
            <v>160196</v>
          </cell>
          <cell r="H50">
            <v>208255</v>
          </cell>
          <cell r="I50">
            <v>208255</v>
          </cell>
          <cell r="J50">
            <v>208255</v>
          </cell>
        </row>
        <row r="51">
          <cell r="B51" t="str">
            <v>Kinetic Double Air valve40PN-1</v>
          </cell>
          <cell r="C51" t="str">
            <v>Kinetic Double Air valve</v>
          </cell>
          <cell r="D51">
            <v>40</v>
          </cell>
          <cell r="E51" t="str">
            <v>PN-1</v>
          </cell>
          <cell r="F51" t="str">
            <v>each</v>
          </cell>
          <cell r="G51">
            <v>2029</v>
          </cell>
          <cell r="H51">
            <v>2638</v>
          </cell>
          <cell r="I51">
            <v>2638</v>
          </cell>
          <cell r="J51">
            <v>2638</v>
          </cell>
        </row>
        <row r="52">
          <cell r="B52" t="str">
            <v>Kinetic Double Air valve50PN-1</v>
          </cell>
          <cell r="C52" t="str">
            <v>Kinetic Double Air valve</v>
          </cell>
          <cell r="D52">
            <v>50</v>
          </cell>
          <cell r="E52" t="str">
            <v>PN-1</v>
          </cell>
          <cell r="F52" t="str">
            <v>each</v>
          </cell>
          <cell r="G52">
            <v>2452</v>
          </cell>
          <cell r="H52">
            <v>3188</v>
          </cell>
          <cell r="I52">
            <v>3188</v>
          </cell>
          <cell r="J52">
            <v>3188</v>
          </cell>
        </row>
        <row r="53">
          <cell r="B53" t="str">
            <v>Kinetic Double Air valve80PN-1</v>
          </cell>
          <cell r="C53" t="str">
            <v>Kinetic Double Air valve</v>
          </cell>
          <cell r="D53">
            <v>80</v>
          </cell>
          <cell r="E53" t="str">
            <v>PN-1</v>
          </cell>
          <cell r="F53" t="str">
            <v>each</v>
          </cell>
          <cell r="G53">
            <v>3280</v>
          </cell>
          <cell r="H53">
            <v>4264</v>
          </cell>
          <cell r="I53">
            <v>4264</v>
          </cell>
          <cell r="J53">
            <v>4264</v>
          </cell>
        </row>
        <row r="54">
          <cell r="B54" t="str">
            <v>Kinetic Double Air valve100PN-1</v>
          </cell>
          <cell r="C54" t="str">
            <v>Kinetic Double Air valve</v>
          </cell>
          <cell r="D54">
            <v>100</v>
          </cell>
          <cell r="E54" t="str">
            <v>PN-1</v>
          </cell>
          <cell r="F54" t="str">
            <v>each</v>
          </cell>
          <cell r="G54">
            <v>4395</v>
          </cell>
          <cell r="H54">
            <v>5714</v>
          </cell>
          <cell r="I54">
            <v>5714</v>
          </cell>
          <cell r="J54">
            <v>5714</v>
          </cell>
        </row>
        <row r="55">
          <cell r="B55" t="str">
            <v>Kinetic Double Air valve150PN-1</v>
          </cell>
          <cell r="C55" t="str">
            <v>Kinetic Double Air valve</v>
          </cell>
          <cell r="D55">
            <v>150</v>
          </cell>
          <cell r="E55" t="str">
            <v>PN-1</v>
          </cell>
          <cell r="F55" t="str">
            <v>each</v>
          </cell>
          <cell r="G55">
            <v>9902</v>
          </cell>
          <cell r="H55">
            <v>12873</v>
          </cell>
          <cell r="I55">
            <v>12873</v>
          </cell>
          <cell r="J55">
            <v>12873</v>
          </cell>
        </row>
        <row r="56">
          <cell r="B56" t="str">
            <v>Kinetic Double Air valve200PN-1</v>
          </cell>
          <cell r="C56" t="str">
            <v>Kinetic Double Air valve</v>
          </cell>
          <cell r="D56">
            <v>200</v>
          </cell>
          <cell r="E56" t="str">
            <v>PN-1</v>
          </cell>
          <cell r="F56" t="str">
            <v>each</v>
          </cell>
          <cell r="G56">
            <v>16398</v>
          </cell>
          <cell r="H56">
            <v>21317</v>
          </cell>
          <cell r="I56">
            <v>21317</v>
          </cell>
          <cell r="J56">
            <v>21317</v>
          </cell>
        </row>
        <row r="57">
          <cell r="B57" t="str">
            <v>Double Air valve40PN-1</v>
          </cell>
          <cell r="C57" t="str">
            <v>Double Air valve</v>
          </cell>
          <cell r="D57">
            <v>40</v>
          </cell>
          <cell r="E57" t="str">
            <v>PN-1</v>
          </cell>
          <cell r="F57" t="str">
            <v>each</v>
          </cell>
          <cell r="G57">
            <v>1259</v>
          </cell>
          <cell r="H57">
            <v>1637</v>
          </cell>
          <cell r="I57">
            <v>1637</v>
          </cell>
          <cell r="J57">
            <v>1637</v>
          </cell>
        </row>
        <row r="58">
          <cell r="B58" t="str">
            <v>Double Air valve50PN-1</v>
          </cell>
          <cell r="C58" t="str">
            <v>Double Air valve</v>
          </cell>
          <cell r="D58">
            <v>50</v>
          </cell>
          <cell r="E58" t="str">
            <v>PN-1</v>
          </cell>
          <cell r="F58" t="str">
            <v>each</v>
          </cell>
          <cell r="G58">
            <v>1739</v>
          </cell>
          <cell r="H58">
            <v>2261</v>
          </cell>
          <cell r="I58">
            <v>2261</v>
          </cell>
          <cell r="J58">
            <v>2261</v>
          </cell>
        </row>
        <row r="59">
          <cell r="B59" t="str">
            <v>Double Air valve80PN-1</v>
          </cell>
          <cell r="C59" t="str">
            <v>Double Air valve</v>
          </cell>
          <cell r="D59">
            <v>80</v>
          </cell>
          <cell r="E59" t="str">
            <v>PN-1</v>
          </cell>
          <cell r="F59" t="str">
            <v>each</v>
          </cell>
          <cell r="G59">
            <v>2409</v>
          </cell>
          <cell r="H59">
            <v>3132</v>
          </cell>
          <cell r="I59">
            <v>3132</v>
          </cell>
          <cell r="J59">
            <v>3132</v>
          </cell>
        </row>
        <row r="60">
          <cell r="B60" t="str">
            <v>Double Air valve100PN-1</v>
          </cell>
          <cell r="C60" t="str">
            <v>Double Air valve</v>
          </cell>
          <cell r="D60">
            <v>100</v>
          </cell>
          <cell r="E60" t="str">
            <v>PN-1</v>
          </cell>
          <cell r="F60" t="str">
            <v>each</v>
          </cell>
          <cell r="G60">
            <v>2989</v>
          </cell>
          <cell r="H60">
            <v>3886</v>
          </cell>
          <cell r="I60">
            <v>3886</v>
          </cell>
          <cell r="J60">
            <v>3886</v>
          </cell>
        </row>
        <row r="61">
          <cell r="B61" t="str">
            <v>Double Air valve150PN-1</v>
          </cell>
          <cell r="C61" t="str">
            <v>Double Air valve</v>
          </cell>
          <cell r="D61">
            <v>150</v>
          </cell>
          <cell r="E61" t="str">
            <v>PN-1</v>
          </cell>
          <cell r="F61" t="str">
            <v>each</v>
          </cell>
          <cell r="G61">
            <v>7789</v>
          </cell>
          <cell r="H61">
            <v>10126</v>
          </cell>
          <cell r="I61">
            <v>10126</v>
          </cell>
          <cell r="J61">
            <v>10126</v>
          </cell>
        </row>
        <row r="62">
          <cell r="B62" t="str">
            <v>Double Air valve200PN-1</v>
          </cell>
          <cell r="C62" t="str">
            <v>Double Air valve</v>
          </cell>
          <cell r="D62">
            <v>200</v>
          </cell>
          <cell r="E62" t="str">
            <v>PN-1</v>
          </cell>
          <cell r="F62" t="str">
            <v>each</v>
          </cell>
          <cell r="G62">
            <v>13585</v>
          </cell>
          <cell r="H62">
            <v>17661</v>
          </cell>
          <cell r="I62">
            <v>17661</v>
          </cell>
          <cell r="J62">
            <v>17661</v>
          </cell>
        </row>
        <row r="63">
          <cell r="B63" t="str">
            <v>Kinetic Air valve40PN-1</v>
          </cell>
          <cell r="C63" t="str">
            <v>Kinetic Air valve</v>
          </cell>
          <cell r="D63">
            <v>40</v>
          </cell>
          <cell r="E63" t="str">
            <v>PN-1</v>
          </cell>
          <cell r="F63" t="str">
            <v>each</v>
          </cell>
          <cell r="G63">
            <v>5774</v>
          </cell>
          <cell r="H63">
            <v>7506</v>
          </cell>
          <cell r="I63">
            <v>7506</v>
          </cell>
          <cell r="J63">
            <v>7506</v>
          </cell>
        </row>
        <row r="64">
          <cell r="B64" t="str">
            <v>Kinetic Air valve50PN-1</v>
          </cell>
          <cell r="C64" t="str">
            <v>Kinetic Air valve</v>
          </cell>
          <cell r="D64">
            <v>50</v>
          </cell>
          <cell r="E64" t="str">
            <v>PN-1</v>
          </cell>
          <cell r="F64" t="str">
            <v>each</v>
          </cell>
          <cell r="G64">
            <v>6738</v>
          </cell>
          <cell r="H64">
            <v>8759</v>
          </cell>
          <cell r="I64">
            <v>8759</v>
          </cell>
          <cell r="J64">
            <v>8759</v>
          </cell>
        </row>
        <row r="65">
          <cell r="B65" t="str">
            <v>Kinetic Air valve80PN-1</v>
          </cell>
          <cell r="C65" t="str">
            <v>Kinetic Air valve</v>
          </cell>
          <cell r="D65">
            <v>80</v>
          </cell>
          <cell r="E65" t="str">
            <v>PN-1</v>
          </cell>
          <cell r="F65" t="str">
            <v>each</v>
          </cell>
          <cell r="G65">
            <v>8876</v>
          </cell>
          <cell r="H65">
            <v>11539</v>
          </cell>
          <cell r="I65">
            <v>11539</v>
          </cell>
          <cell r="J65">
            <v>11539</v>
          </cell>
        </row>
        <row r="66">
          <cell r="B66" t="str">
            <v>Kinetic Air valve100PN-1</v>
          </cell>
          <cell r="C66" t="str">
            <v>Kinetic Air valve</v>
          </cell>
          <cell r="D66">
            <v>100</v>
          </cell>
          <cell r="E66" t="str">
            <v>PN-1</v>
          </cell>
          <cell r="F66" t="str">
            <v>each</v>
          </cell>
          <cell r="G66">
            <v>12226</v>
          </cell>
          <cell r="H66">
            <v>15894</v>
          </cell>
          <cell r="I66">
            <v>15894</v>
          </cell>
          <cell r="J66">
            <v>15894</v>
          </cell>
        </row>
        <row r="67">
          <cell r="B67" t="str">
            <v>Kinetic Air valve150PN-1</v>
          </cell>
          <cell r="C67" t="str">
            <v>Kinetic Air valve</v>
          </cell>
          <cell r="D67">
            <v>150</v>
          </cell>
          <cell r="E67" t="str">
            <v>PN-1</v>
          </cell>
          <cell r="F67" t="str">
            <v>each</v>
          </cell>
          <cell r="G67">
            <v>24090</v>
          </cell>
          <cell r="H67">
            <v>31317</v>
          </cell>
          <cell r="I67">
            <v>31317</v>
          </cell>
          <cell r="J67">
            <v>31317</v>
          </cell>
        </row>
        <row r="68">
          <cell r="B68" t="str">
            <v>Kinetic Air valve200PN-1</v>
          </cell>
          <cell r="C68" t="str">
            <v>Kinetic Air valve</v>
          </cell>
          <cell r="D68">
            <v>200</v>
          </cell>
          <cell r="E68" t="str">
            <v>PN-1</v>
          </cell>
          <cell r="F68" t="str">
            <v>each</v>
          </cell>
          <cell r="G68">
            <v>35924</v>
          </cell>
          <cell r="H68">
            <v>46701</v>
          </cell>
          <cell r="I68">
            <v>46701</v>
          </cell>
          <cell r="J68">
            <v>46701</v>
          </cell>
        </row>
        <row r="69">
          <cell r="B69" t="str">
            <v>Kinetic Air valve40PN-1.6</v>
          </cell>
          <cell r="C69" t="str">
            <v>Kinetic Air valve</v>
          </cell>
          <cell r="D69">
            <v>40</v>
          </cell>
          <cell r="E69" t="str">
            <v>PN-1.6</v>
          </cell>
          <cell r="F69" t="str">
            <v>each</v>
          </cell>
          <cell r="G69">
            <v>6641</v>
          </cell>
          <cell r="H69">
            <v>8633</v>
          </cell>
          <cell r="I69">
            <v>8633</v>
          </cell>
          <cell r="J69">
            <v>8633</v>
          </cell>
        </row>
        <row r="70">
          <cell r="B70" t="str">
            <v>Kinetic Air valve50PN-1.6</v>
          </cell>
          <cell r="C70" t="str">
            <v>Kinetic Air valve</v>
          </cell>
          <cell r="D70">
            <v>50</v>
          </cell>
          <cell r="E70" t="str">
            <v>PN-1.6</v>
          </cell>
          <cell r="F70" t="str">
            <v>each</v>
          </cell>
          <cell r="G70">
            <v>7749</v>
          </cell>
          <cell r="H70">
            <v>10074</v>
          </cell>
          <cell r="I70">
            <v>10074</v>
          </cell>
          <cell r="J70">
            <v>10074</v>
          </cell>
        </row>
        <row r="71">
          <cell r="B71" t="str">
            <v>Kinetic Air valve80PN-1.6</v>
          </cell>
          <cell r="C71" t="str">
            <v>Kinetic Air valve</v>
          </cell>
          <cell r="D71">
            <v>80</v>
          </cell>
          <cell r="E71" t="str">
            <v>PN-1.6</v>
          </cell>
          <cell r="F71" t="str">
            <v>each</v>
          </cell>
          <cell r="G71">
            <v>10204</v>
          </cell>
          <cell r="H71">
            <v>13265</v>
          </cell>
          <cell r="I71">
            <v>13265</v>
          </cell>
          <cell r="J71">
            <v>13265</v>
          </cell>
        </row>
        <row r="72">
          <cell r="B72" t="str">
            <v>Kinetic Air valve100PN-1.6</v>
          </cell>
          <cell r="C72" t="str">
            <v>Kinetic Air valve</v>
          </cell>
          <cell r="D72">
            <v>100</v>
          </cell>
          <cell r="E72" t="str">
            <v>PN-1.6</v>
          </cell>
          <cell r="F72" t="str">
            <v>each</v>
          </cell>
          <cell r="G72">
            <v>14068</v>
          </cell>
          <cell r="H72">
            <v>18288</v>
          </cell>
          <cell r="I72">
            <v>18288</v>
          </cell>
          <cell r="J72">
            <v>18288</v>
          </cell>
        </row>
        <row r="73">
          <cell r="B73" t="str">
            <v>Kinetic Air valve150PN-1.6</v>
          </cell>
          <cell r="C73" t="str">
            <v>Kinetic Air valve</v>
          </cell>
          <cell r="D73">
            <v>150</v>
          </cell>
          <cell r="E73" t="str">
            <v>PN-1.6</v>
          </cell>
          <cell r="F73" t="str">
            <v>each</v>
          </cell>
          <cell r="G73">
            <v>27713</v>
          </cell>
          <cell r="H73">
            <v>36027</v>
          </cell>
          <cell r="I73">
            <v>36027</v>
          </cell>
          <cell r="J73">
            <v>36027</v>
          </cell>
        </row>
        <row r="74">
          <cell r="B74" t="str">
            <v>Kinetic Air valve200PN-1.6</v>
          </cell>
          <cell r="C74" t="str">
            <v>Kinetic Air valve</v>
          </cell>
          <cell r="D74">
            <v>200</v>
          </cell>
          <cell r="E74" t="str">
            <v>PN-1.6</v>
          </cell>
          <cell r="F74" t="str">
            <v>each</v>
          </cell>
          <cell r="G74">
            <v>41315</v>
          </cell>
          <cell r="H74">
            <v>53710</v>
          </cell>
          <cell r="I74">
            <v>53710</v>
          </cell>
          <cell r="J74">
            <v>53710</v>
          </cell>
        </row>
        <row r="75">
          <cell r="B75" t="str">
            <v>Dismantling joint63</v>
          </cell>
          <cell r="C75" t="str">
            <v>Dismantling joint</v>
          </cell>
          <cell r="D75">
            <v>63</v>
          </cell>
          <cell r="F75" t="str">
            <v>each</v>
          </cell>
          <cell r="G75">
            <v>1082</v>
          </cell>
          <cell r="H75">
            <v>1082</v>
          </cell>
          <cell r="I75">
            <v>1082</v>
          </cell>
          <cell r="J75">
            <v>2723</v>
          </cell>
        </row>
        <row r="76">
          <cell r="B76" t="str">
            <v>Dismantling joint75</v>
          </cell>
          <cell r="C76" t="str">
            <v>Dismantling joint</v>
          </cell>
          <cell r="D76">
            <v>75</v>
          </cell>
          <cell r="F76" t="str">
            <v>each</v>
          </cell>
          <cell r="G76">
            <v>1082</v>
          </cell>
          <cell r="H76">
            <v>1082</v>
          </cell>
          <cell r="I76">
            <v>1082</v>
          </cell>
          <cell r="J76">
            <v>2723</v>
          </cell>
        </row>
        <row r="77">
          <cell r="B77" t="str">
            <v>Dismantling joint90</v>
          </cell>
          <cell r="C77" t="str">
            <v>Dismantling joint</v>
          </cell>
          <cell r="D77">
            <v>90</v>
          </cell>
          <cell r="F77" t="str">
            <v>each</v>
          </cell>
          <cell r="G77">
            <v>1082</v>
          </cell>
          <cell r="H77">
            <v>1082</v>
          </cell>
          <cell r="I77">
            <v>1082</v>
          </cell>
          <cell r="J77">
            <v>2981</v>
          </cell>
        </row>
        <row r="78">
          <cell r="B78" t="str">
            <v>Dismantling joint110</v>
          </cell>
          <cell r="C78" t="str">
            <v>Dismantling joint</v>
          </cell>
          <cell r="D78">
            <v>110</v>
          </cell>
          <cell r="F78" t="str">
            <v>each</v>
          </cell>
          <cell r="G78">
            <v>1332</v>
          </cell>
          <cell r="H78">
            <v>1332</v>
          </cell>
          <cell r="I78">
            <v>1332</v>
          </cell>
          <cell r="J78">
            <v>3913</v>
          </cell>
        </row>
        <row r="79">
          <cell r="B79" t="str">
            <v>Dismantling joint125</v>
          </cell>
          <cell r="C79" t="str">
            <v>Dismantling joint</v>
          </cell>
          <cell r="D79">
            <v>125</v>
          </cell>
          <cell r="F79" t="str">
            <v>each</v>
          </cell>
          <cell r="G79">
            <v>1720</v>
          </cell>
          <cell r="H79">
            <v>1720</v>
          </cell>
          <cell r="I79">
            <v>1720</v>
          </cell>
          <cell r="J79">
            <v>5030</v>
          </cell>
        </row>
        <row r="80">
          <cell r="B80" t="str">
            <v>Dismantling joint140</v>
          </cell>
          <cell r="C80" t="str">
            <v>Dismantling joint</v>
          </cell>
          <cell r="D80">
            <v>140</v>
          </cell>
          <cell r="F80" t="str">
            <v>each</v>
          </cell>
          <cell r="G80">
            <v>2130</v>
          </cell>
          <cell r="H80">
            <v>2130</v>
          </cell>
          <cell r="I80">
            <v>2130</v>
          </cell>
          <cell r="J80">
            <v>5518</v>
          </cell>
        </row>
        <row r="81">
          <cell r="B81" t="str">
            <v>Dismantling joint160</v>
          </cell>
          <cell r="C81" t="str">
            <v>Dismantling joint</v>
          </cell>
          <cell r="D81">
            <v>160</v>
          </cell>
          <cell r="F81" t="str">
            <v>each</v>
          </cell>
          <cell r="G81">
            <v>2130</v>
          </cell>
          <cell r="H81">
            <v>2130</v>
          </cell>
          <cell r="I81">
            <v>2130</v>
          </cell>
          <cell r="J81">
            <v>5518</v>
          </cell>
        </row>
        <row r="82">
          <cell r="B82" t="str">
            <v>Dismantling joint180</v>
          </cell>
          <cell r="C82" t="str">
            <v>Dismantling joint</v>
          </cell>
          <cell r="D82">
            <v>180</v>
          </cell>
          <cell r="F82" t="str">
            <v>each</v>
          </cell>
          <cell r="G82">
            <v>2130</v>
          </cell>
          <cell r="H82">
            <v>2130</v>
          </cell>
          <cell r="I82">
            <v>2130</v>
          </cell>
          <cell r="J82">
            <v>5518</v>
          </cell>
        </row>
        <row r="83">
          <cell r="B83" t="str">
            <v>Dismantling joint200</v>
          </cell>
          <cell r="C83" t="str">
            <v>Dismantling joint</v>
          </cell>
          <cell r="D83">
            <v>200</v>
          </cell>
          <cell r="F83" t="str">
            <v>each</v>
          </cell>
          <cell r="G83">
            <v>3532</v>
          </cell>
          <cell r="H83">
            <v>3532</v>
          </cell>
          <cell r="I83">
            <v>3532</v>
          </cell>
          <cell r="J83">
            <v>7825</v>
          </cell>
        </row>
        <row r="84">
          <cell r="B84" t="str">
            <v>Dismantling joint225</v>
          </cell>
          <cell r="C84" t="str">
            <v>Dismantling joint</v>
          </cell>
          <cell r="D84">
            <v>225</v>
          </cell>
          <cell r="F84" t="str">
            <v>each</v>
          </cell>
          <cell r="G84">
            <v>3532</v>
          </cell>
          <cell r="H84">
            <v>3532</v>
          </cell>
          <cell r="I84">
            <v>3532</v>
          </cell>
          <cell r="J84">
            <v>7825</v>
          </cell>
        </row>
        <row r="85">
          <cell r="B85" t="str">
            <v>Dismantling joint250</v>
          </cell>
          <cell r="C85" t="str">
            <v>Dismantling joint</v>
          </cell>
          <cell r="D85">
            <v>250</v>
          </cell>
          <cell r="F85" t="str">
            <v>each</v>
          </cell>
          <cell r="G85">
            <v>4995</v>
          </cell>
          <cell r="H85">
            <v>4995</v>
          </cell>
          <cell r="I85">
            <v>4995</v>
          </cell>
          <cell r="J85">
            <v>9316</v>
          </cell>
        </row>
        <row r="86">
          <cell r="B86" t="str">
            <v>Dismantling joint280</v>
          </cell>
          <cell r="C86" t="str">
            <v>Dismantling joint</v>
          </cell>
          <cell r="D86">
            <v>280</v>
          </cell>
          <cell r="F86" t="str">
            <v>each</v>
          </cell>
          <cell r="G86">
            <v>4995</v>
          </cell>
          <cell r="H86">
            <v>4995</v>
          </cell>
          <cell r="I86">
            <v>4995</v>
          </cell>
          <cell r="J86">
            <v>9316</v>
          </cell>
        </row>
        <row r="87">
          <cell r="B87" t="str">
            <v>Dismantling joint315</v>
          </cell>
          <cell r="C87" t="str">
            <v>Dismantling joint</v>
          </cell>
          <cell r="D87">
            <v>315</v>
          </cell>
          <cell r="F87" t="str">
            <v>each</v>
          </cell>
          <cell r="G87">
            <v>6348</v>
          </cell>
          <cell r="H87">
            <v>6348</v>
          </cell>
          <cell r="I87">
            <v>6348</v>
          </cell>
          <cell r="J87">
            <v>14906</v>
          </cell>
        </row>
        <row r="88">
          <cell r="B88" t="str">
            <v>Dismantling joint350</v>
          </cell>
          <cell r="C88" t="str">
            <v>Dismantling joint</v>
          </cell>
          <cell r="D88">
            <v>350</v>
          </cell>
          <cell r="F88" t="str">
            <v>each</v>
          </cell>
          <cell r="G88">
            <v>7703</v>
          </cell>
          <cell r="H88">
            <v>7703</v>
          </cell>
          <cell r="I88">
            <v>7703</v>
          </cell>
          <cell r="J88">
            <v>35354</v>
          </cell>
        </row>
        <row r="89">
          <cell r="B89" t="str">
            <v>Dismantling joint400</v>
          </cell>
          <cell r="C89" t="str">
            <v>Dismantling joint</v>
          </cell>
          <cell r="D89">
            <v>400</v>
          </cell>
          <cell r="F89" t="str">
            <v>each</v>
          </cell>
          <cell r="G89">
            <v>9705</v>
          </cell>
          <cell r="H89">
            <v>9705</v>
          </cell>
          <cell r="I89">
            <v>9705</v>
          </cell>
          <cell r="J89">
            <v>40513</v>
          </cell>
        </row>
        <row r="90">
          <cell r="B90" t="str">
            <v>Dismantling joint450</v>
          </cell>
          <cell r="C90" t="str">
            <v>Dismantling joint</v>
          </cell>
          <cell r="D90">
            <v>450</v>
          </cell>
          <cell r="F90" t="str">
            <v>each</v>
          </cell>
          <cell r="G90">
            <v>11532</v>
          </cell>
          <cell r="H90">
            <v>11532</v>
          </cell>
          <cell r="I90">
            <v>11532</v>
          </cell>
          <cell r="J90">
            <v>43953</v>
          </cell>
        </row>
        <row r="91">
          <cell r="B91" t="str">
            <v>Dismantling joint500</v>
          </cell>
          <cell r="C91" t="str">
            <v>Dismantling joint</v>
          </cell>
          <cell r="D91">
            <v>500</v>
          </cell>
          <cell r="F91" t="str">
            <v>each</v>
          </cell>
          <cell r="G91">
            <v>13535</v>
          </cell>
          <cell r="H91">
            <v>13535</v>
          </cell>
          <cell r="I91">
            <v>13535</v>
          </cell>
          <cell r="J91">
            <v>52606</v>
          </cell>
        </row>
        <row r="92">
          <cell r="B92" t="str">
            <v>Dismantling joint600</v>
          </cell>
          <cell r="C92" t="str">
            <v>Dismantling joint</v>
          </cell>
          <cell r="D92">
            <v>600</v>
          </cell>
          <cell r="F92" t="str">
            <v>each</v>
          </cell>
          <cell r="G92">
            <v>20508</v>
          </cell>
          <cell r="H92">
            <v>20508</v>
          </cell>
          <cell r="I92">
            <v>20508</v>
          </cell>
          <cell r="J92">
            <v>61214</v>
          </cell>
        </row>
        <row r="93">
          <cell r="B93" t="str">
            <v>Dismantling joint700</v>
          </cell>
          <cell r="C93" t="str">
            <v>Dismantling joint</v>
          </cell>
          <cell r="D93">
            <v>700</v>
          </cell>
          <cell r="F93" t="str">
            <v>each</v>
          </cell>
          <cell r="G93">
            <v>26643</v>
          </cell>
          <cell r="H93">
            <v>26643</v>
          </cell>
          <cell r="I93">
            <v>26643</v>
          </cell>
          <cell r="J93">
            <v>68101</v>
          </cell>
        </row>
        <row r="94">
          <cell r="B94" t="str">
            <v>Dismantling joint800</v>
          </cell>
          <cell r="C94" t="str">
            <v>Dismantling joint</v>
          </cell>
          <cell r="D94">
            <v>800</v>
          </cell>
          <cell r="F94" t="str">
            <v>each</v>
          </cell>
          <cell r="G94">
            <v>32414</v>
          </cell>
          <cell r="H94">
            <v>32414</v>
          </cell>
          <cell r="I94">
            <v>32414</v>
          </cell>
          <cell r="J94">
            <v>83596</v>
          </cell>
        </row>
        <row r="95">
          <cell r="E95" t="str">
            <v>WEIGTHS</v>
          </cell>
        </row>
        <row r="96">
          <cell r="B96" t="str">
            <v>CI pipes and Specials</v>
          </cell>
          <cell r="D96" t="str">
            <v>CI pipes and Specials</v>
          </cell>
          <cell r="F96" t="str">
            <v>kg</v>
          </cell>
          <cell r="G96">
            <v>33.25</v>
          </cell>
          <cell r="H96">
            <v>52.9</v>
          </cell>
          <cell r="I96">
            <v>52.9</v>
          </cell>
          <cell r="J96">
            <v>40.700000000000003</v>
          </cell>
        </row>
        <row r="97">
          <cell r="B97" t="str">
            <v>Pigiron</v>
          </cell>
          <cell r="D97" t="str">
            <v>Pigiron</v>
          </cell>
          <cell r="F97" t="str">
            <v>MT</v>
          </cell>
          <cell r="G97">
            <v>20000</v>
          </cell>
          <cell r="H97">
            <v>27000</v>
          </cell>
          <cell r="I97">
            <v>27000</v>
          </cell>
          <cell r="J97">
            <v>19000</v>
          </cell>
        </row>
        <row r="98">
          <cell r="B98" t="str">
            <v>Coke</v>
          </cell>
          <cell r="D98" t="str">
            <v>Coke</v>
          </cell>
          <cell r="F98" t="str">
            <v>MT</v>
          </cell>
          <cell r="G98">
            <v>20000</v>
          </cell>
          <cell r="H98">
            <v>24900</v>
          </cell>
          <cell r="I98">
            <v>24900</v>
          </cell>
          <cell r="J98">
            <v>23500</v>
          </cell>
        </row>
        <row r="99">
          <cell r="B99" t="str">
            <v>CI D/F pipes - 2m long8047</v>
          </cell>
          <cell r="C99" t="str">
            <v>CI D/F pipes - 2m long</v>
          </cell>
          <cell r="D99">
            <v>80</v>
          </cell>
          <cell r="E99">
            <v>47</v>
          </cell>
          <cell r="F99" t="str">
            <v>each</v>
          </cell>
          <cell r="G99">
            <v>1562.75</v>
          </cell>
          <cell r="H99">
            <v>2486.2999999999997</v>
          </cell>
          <cell r="I99">
            <v>2486.2999999999997</v>
          </cell>
          <cell r="J99">
            <v>1912.9</v>
          </cell>
        </row>
        <row r="100">
          <cell r="B100" t="str">
            <v>CI D/F pipes - 2m long10059.2</v>
          </cell>
          <cell r="C100" t="str">
            <v>CI D/F pipes - 2m long</v>
          </cell>
          <cell r="D100">
            <v>100</v>
          </cell>
          <cell r="E100">
            <v>59.2</v>
          </cell>
          <cell r="F100" t="str">
            <v>each</v>
          </cell>
          <cell r="G100">
            <v>1968.4</v>
          </cell>
          <cell r="H100">
            <v>3131.6800000000003</v>
          </cell>
          <cell r="I100">
            <v>3131.6800000000003</v>
          </cell>
          <cell r="J100">
            <v>2409.4400000000005</v>
          </cell>
        </row>
        <row r="101">
          <cell r="B101" t="str">
            <v>CI D/F pipes - 2m long12576.8</v>
          </cell>
          <cell r="C101" t="str">
            <v>CI D/F pipes - 2m long</v>
          </cell>
          <cell r="D101">
            <v>125</v>
          </cell>
          <cell r="E101">
            <v>76.8</v>
          </cell>
          <cell r="F101" t="str">
            <v>each</v>
          </cell>
          <cell r="G101">
            <v>2553.6</v>
          </cell>
          <cell r="H101">
            <v>4062.72</v>
          </cell>
          <cell r="I101">
            <v>4062.72</v>
          </cell>
          <cell r="J101">
            <v>3125.76</v>
          </cell>
        </row>
        <row r="102">
          <cell r="B102" t="str">
            <v>CI D/F pipes - 2m long15096.6</v>
          </cell>
          <cell r="C102" t="str">
            <v>CI D/F pipes - 2m long</v>
          </cell>
          <cell r="D102">
            <v>150</v>
          </cell>
          <cell r="E102">
            <v>96.6</v>
          </cell>
          <cell r="F102" t="str">
            <v>each</v>
          </cell>
          <cell r="G102">
            <v>3211.95</v>
          </cell>
          <cell r="H102">
            <v>5110.1399999999994</v>
          </cell>
          <cell r="I102">
            <v>5110.1399999999994</v>
          </cell>
          <cell r="J102">
            <v>3931.62</v>
          </cell>
        </row>
        <row r="103">
          <cell r="B103" t="str">
            <v>CI D/F pipes - 2m long200138.8</v>
          </cell>
          <cell r="C103" t="str">
            <v>CI D/F pipes - 2m long</v>
          </cell>
          <cell r="D103">
            <v>200</v>
          </cell>
          <cell r="E103">
            <v>138.80000000000001</v>
          </cell>
          <cell r="F103" t="str">
            <v>each</v>
          </cell>
          <cell r="G103">
            <v>4615.1000000000004</v>
          </cell>
          <cell r="H103">
            <v>7342.52</v>
          </cell>
          <cell r="I103">
            <v>7342.52</v>
          </cell>
          <cell r="J103">
            <v>5649.1600000000008</v>
          </cell>
        </row>
        <row r="104">
          <cell r="B104" t="str">
            <v>CI D/F pipes - 2m long250187.6</v>
          </cell>
          <cell r="C104" t="str">
            <v>CI D/F pipes - 2m long</v>
          </cell>
          <cell r="D104">
            <v>250</v>
          </cell>
          <cell r="E104">
            <v>187.6</v>
          </cell>
          <cell r="F104" t="str">
            <v>each</v>
          </cell>
          <cell r="G104">
            <v>6237.7</v>
          </cell>
          <cell r="H104">
            <v>9924.0399999999991</v>
          </cell>
          <cell r="I104">
            <v>9924.0399999999991</v>
          </cell>
          <cell r="J104">
            <v>7635.3200000000006</v>
          </cell>
        </row>
        <row r="105">
          <cell r="B105" t="str">
            <v>CI D/F pipes - 2m long300241.2</v>
          </cell>
          <cell r="C105" t="str">
            <v>CI D/F pipes - 2m long</v>
          </cell>
          <cell r="D105">
            <v>300</v>
          </cell>
          <cell r="E105">
            <v>241.2</v>
          </cell>
          <cell r="F105" t="str">
            <v>each</v>
          </cell>
          <cell r="G105">
            <v>8019.9</v>
          </cell>
          <cell r="H105">
            <v>12759.48</v>
          </cell>
          <cell r="I105">
            <v>12759.48</v>
          </cell>
          <cell r="J105">
            <v>9816.84</v>
          </cell>
        </row>
        <row r="106">
          <cell r="B106" t="str">
            <v>CI D/F pipes - 2m long350305</v>
          </cell>
          <cell r="C106" t="str">
            <v>CI D/F pipes - 2m long</v>
          </cell>
          <cell r="D106">
            <v>350</v>
          </cell>
          <cell r="E106">
            <v>305</v>
          </cell>
          <cell r="F106" t="str">
            <v>each</v>
          </cell>
          <cell r="G106">
            <v>10141.25</v>
          </cell>
          <cell r="H106">
            <v>16134.5</v>
          </cell>
          <cell r="I106">
            <v>16134.5</v>
          </cell>
          <cell r="J106">
            <v>12413.5</v>
          </cell>
        </row>
        <row r="107">
          <cell r="B107" t="str">
            <v>CI D/F pipes - 2m long400372</v>
          </cell>
          <cell r="C107" t="str">
            <v>CI D/F pipes - 2m long</v>
          </cell>
          <cell r="D107">
            <v>400</v>
          </cell>
          <cell r="E107">
            <v>372</v>
          </cell>
          <cell r="F107" t="str">
            <v>each</v>
          </cell>
          <cell r="G107">
            <v>12369</v>
          </cell>
          <cell r="H107">
            <v>19678.8</v>
          </cell>
          <cell r="I107">
            <v>19678.8</v>
          </cell>
          <cell r="J107">
            <v>15140.400000000001</v>
          </cell>
        </row>
        <row r="108">
          <cell r="B108" t="str">
            <v>CI D/F pipes - 2m long450447</v>
          </cell>
          <cell r="C108" t="str">
            <v>CI D/F pipes - 2m long</v>
          </cell>
          <cell r="D108">
            <v>450</v>
          </cell>
          <cell r="E108">
            <v>447</v>
          </cell>
          <cell r="F108" t="str">
            <v>each</v>
          </cell>
          <cell r="G108">
            <v>14862.75</v>
          </cell>
          <cell r="H108">
            <v>23646.3</v>
          </cell>
          <cell r="I108">
            <v>23646.3</v>
          </cell>
          <cell r="J108">
            <v>18192.900000000001</v>
          </cell>
        </row>
        <row r="109">
          <cell r="B109" t="str">
            <v>CI D/F pipes - 2m long500522.8</v>
          </cell>
          <cell r="C109" t="str">
            <v>CI D/F pipes - 2m long</v>
          </cell>
          <cell r="D109">
            <v>500</v>
          </cell>
          <cell r="E109">
            <v>522.79999999999995</v>
          </cell>
          <cell r="F109" t="str">
            <v>each</v>
          </cell>
          <cell r="G109">
            <v>17383.099999999999</v>
          </cell>
          <cell r="H109">
            <v>27656.119999999995</v>
          </cell>
          <cell r="I109">
            <v>27656.119999999995</v>
          </cell>
          <cell r="J109">
            <v>21277.96</v>
          </cell>
        </row>
        <row r="110">
          <cell r="B110" t="str">
            <v>CI D/F pipes - 2m long600701</v>
          </cell>
          <cell r="C110" t="str">
            <v>CI D/F pipes - 2m long</v>
          </cell>
          <cell r="D110">
            <v>600</v>
          </cell>
          <cell r="E110">
            <v>701</v>
          </cell>
          <cell r="F110" t="str">
            <v>each</v>
          </cell>
          <cell r="G110">
            <v>23308.25</v>
          </cell>
          <cell r="H110">
            <v>37082.9</v>
          </cell>
          <cell r="I110">
            <v>37082.9</v>
          </cell>
          <cell r="J110">
            <v>28530.7</v>
          </cell>
        </row>
        <row r="111">
          <cell r="B111" t="str">
            <v>CI D/F pipes - 0.9m long8025.22</v>
          </cell>
          <cell r="C111" t="str">
            <v>CI D/F pipes - 0.9m long</v>
          </cell>
          <cell r="D111">
            <v>80</v>
          </cell>
          <cell r="E111">
            <v>25.22</v>
          </cell>
          <cell r="F111" t="str">
            <v>each</v>
          </cell>
          <cell r="G111">
            <v>838.56499999999994</v>
          </cell>
          <cell r="H111">
            <v>1334.1379999999999</v>
          </cell>
          <cell r="I111">
            <v>1334.1379999999999</v>
          </cell>
          <cell r="J111">
            <v>1026.454</v>
          </cell>
        </row>
        <row r="112">
          <cell r="B112" t="str">
            <v>CI D/F pipes - 0.9m long10031.26</v>
          </cell>
          <cell r="C112" t="str">
            <v>CI D/F pipes - 0.9m long</v>
          </cell>
          <cell r="D112">
            <v>100</v>
          </cell>
          <cell r="E112">
            <v>31.26</v>
          </cell>
          <cell r="F112" t="str">
            <v>each</v>
          </cell>
          <cell r="G112">
            <v>1039.395</v>
          </cell>
          <cell r="H112">
            <v>1653.654</v>
          </cell>
          <cell r="I112">
            <v>1653.654</v>
          </cell>
          <cell r="J112">
            <v>1272.2820000000002</v>
          </cell>
        </row>
        <row r="113">
          <cell r="B113" t="str">
            <v>CI D/F pipes - 0.9m long12540.39</v>
          </cell>
          <cell r="C113" t="str">
            <v>CI D/F pipes - 0.9m long</v>
          </cell>
          <cell r="D113">
            <v>125</v>
          </cell>
          <cell r="E113">
            <v>40.39</v>
          </cell>
          <cell r="F113" t="str">
            <v>each</v>
          </cell>
          <cell r="G113">
            <v>1342.9675</v>
          </cell>
          <cell r="H113">
            <v>2136.6309999999999</v>
          </cell>
          <cell r="I113">
            <v>2136.6309999999999</v>
          </cell>
          <cell r="J113">
            <v>1643.873</v>
          </cell>
        </row>
        <row r="114">
          <cell r="B114" t="str">
            <v>CI D/F pipes - 0.9m long15050.84</v>
          </cell>
          <cell r="C114" t="str">
            <v>CI D/F pipes - 0.9m long</v>
          </cell>
          <cell r="D114">
            <v>150</v>
          </cell>
          <cell r="E114">
            <v>50.84</v>
          </cell>
          <cell r="F114" t="str">
            <v>each</v>
          </cell>
          <cell r="G114">
            <v>1690.43</v>
          </cell>
          <cell r="H114">
            <v>2689.4360000000001</v>
          </cell>
          <cell r="I114">
            <v>2689.4360000000001</v>
          </cell>
          <cell r="J114">
            <v>2069.1880000000001</v>
          </cell>
        </row>
        <row r="115">
          <cell r="B115" t="str">
            <v>CI D/F pipes - 0.9m long20072.69</v>
          </cell>
          <cell r="C115" t="str">
            <v>CI D/F pipes - 0.9m long</v>
          </cell>
          <cell r="D115">
            <v>200</v>
          </cell>
          <cell r="E115">
            <v>72.69</v>
          </cell>
          <cell r="F115" t="str">
            <v>each</v>
          </cell>
          <cell r="G115">
            <v>2416.9425000000001</v>
          </cell>
          <cell r="H115">
            <v>3845.3009999999999</v>
          </cell>
          <cell r="I115">
            <v>3845.3009999999999</v>
          </cell>
          <cell r="J115">
            <v>2958.4830000000002</v>
          </cell>
        </row>
        <row r="116">
          <cell r="B116" t="str">
            <v>CI D/F pipes - 0.9m long25097.62</v>
          </cell>
          <cell r="C116" t="str">
            <v>CI D/F pipes - 0.9m long</v>
          </cell>
          <cell r="D116">
            <v>250</v>
          </cell>
          <cell r="E116">
            <v>97.62</v>
          </cell>
          <cell r="F116" t="str">
            <v>each</v>
          </cell>
          <cell r="G116">
            <v>3245.8650000000002</v>
          </cell>
          <cell r="H116">
            <v>5164.098</v>
          </cell>
          <cell r="I116">
            <v>5164.098</v>
          </cell>
          <cell r="J116">
            <v>3973.1340000000005</v>
          </cell>
        </row>
        <row r="117">
          <cell r="B117" t="str">
            <v>CI D/F pipes - 0.9m long300124.49</v>
          </cell>
          <cell r="C117" t="str">
            <v>CI D/F pipes - 0.9m long</v>
          </cell>
          <cell r="D117">
            <v>300</v>
          </cell>
          <cell r="E117">
            <v>124.49</v>
          </cell>
          <cell r="F117" t="str">
            <v>each</v>
          </cell>
          <cell r="G117">
            <v>4139.2924999999996</v>
          </cell>
          <cell r="H117">
            <v>6585.5209999999997</v>
          </cell>
          <cell r="I117">
            <v>6585.5209999999997</v>
          </cell>
          <cell r="J117">
            <v>5066.7430000000004</v>
          </cell>
        </row>
        <row r="118">
          <cell r="B118" t="str">
            <v>CI D/F pipes - 0.9m long350158.15</v>
          </cell>
          <cell r="C118" t="str">
            <v>CI D/F pipes - 0.9m long</v>
          </cell>
          <cell r="D118">
            <v>350</v>
          </cell>
          <cell r="E118">
            <v>158.15</v>
          </cell>
          <cell r="F118" t="str">
            <v>each</v>
          </cell>
          <cell r="G118">
            <v>5258.4875000000002</v>
          </cell>
          <cell r="H118">
            <v>8366.1350000000002</v>
          </cell>
          <cell r="I118">
            <v>8366.1350000000002</v>
          </cell>
          <cell r="J118">
            <v>6436.7050000000008</v>
          </cell>
        </row>
        <row r="119">
          <cell r="B119" t="str">
            <v>CI D/F pipes - 0.9m long400193.14</v>
          </cell>
          <cell r="C119" t="str">
            <v>CI D/F pipes - 0.9m long</v>
          </cell>
          <cell r="D119">
            <v>400</v>
          </cell>
          <cell r="E119">
            <v>193.14</v>
          </cell>
          <cell r="F119" t="str">
            <v>each</v>
          </cell>
          <cell r="G119">
            <v>6421.9049999999997</v>
          </cell>
          <cell r="H119">
            <v>10217.106</v>
          </cell>
          <cell r="I119">
            <v>10217.106</v>
          </cell>
          <cell r="J119">
            <v>7860.7979999999998</v>
          </cell>
        </row>
        <row r="120">
          <cell r="B120" t="str">
            <v>CI D/F pipes - 0.9m long450230.3</v>
          </cell>
          <cell r="C120" t="str">
            <v>CI D/F pipes - 0.9m long</v>
          </cell>
          <cell r="D120">
            <v>450</v>
          </cell>
          <cell r="E120">
            <v>230.3</v>
          </cell>
          <cell r="F120" t="str">
            <v>each</v>
          </cell>
          <cell r="G120">
            <v>7657.4750000000004</v>
          </cell>
          <cell r="H120">
            <v>12182.87</v>
          </cell>
          <cell r="I120">
            <v>12182.87</v>
          </cell>
          <cell r="J120">
            <v>9373.2100000000009</v>
          </cell>
        </row>
        <row r="121">
          <cell r="B121" t="str">
            <v>CI D/F pipes - 0.9m long500270.57</v>
          </cell>
          <cell r="C121" t="str">
            <v>CI D/F pipes - 0.9m long</v>
          </cell>
          <cell r="D121">
            <v>500</v>
          </cell>
          <cell r="E121">
            <v>270.57</v>
          </cell>
          <cell r="F121" t="str">
            <v>each</v>
          </cell>
          <cell r="G121">
            <v>8996.4524999999994</v>
          </cell>
          <cell r="H121">
            <v>14313.152999999998</v>
          </cell>
          <cell r="I121">
            <v>14313.152999999998</v>
          </cell>
          <cell r="J121">
            <v>11012.199000000001</v>
          </cell>
        </row>
        <row r="122">
          <cell r="B122" t="str">
            <v>CI D/F pipes - 0.9m long600363.85</v>
          </cell>
          <cell r="C122" t="str">
            <v>CI D/F pipes - 0.9m long</v>
          </cell>
          <cell r="D122">
            <v>600</v>
          </cell>
          <cell r="E122">
            <v>363.85</v>
          </cell>
          <cell r="F122" t="str">
            <v>each</v>
          </cell>
          <cell r="G122">
            <v>12098.012500000001</v>
          </cell>
          <cell r="H122">
            <v>19247.665000000001</v>
          </cell>
          <cell r="I122">
            <v>19247.665000000001</v>
          </cell>
          <cell r="J122">
            <v>14808.695000000002</v>
          </cell>
        </row>
        <row r="123">
          <cell r="B123" t="str">
            <v>CI D/F pipes - 0.6m long8019.28</v>
          </cell>
          <cell r="C123" t="str">
            <v>CI D/F pipes - 0.6m long</v>
          </cell>
          <cell r="D123">
            <v>80</v>
          </cell>
          <cell r="E123">
            <v>19.28</v>
          </cell>
          <cell r="F123" t="str">
            <v>each</v>
          </cell>
          <cell r="G123">
            <v>641.06000000000006</v>
          </cell>
          <cell r="H123">
            <v>1019.912</v>
          </cell>
          <cell r="I123">
            <v>1019.912</v>
          </cell>
          <cell r="J123">
            <v>784.69600000000014</v>
          </cell>
        </row>
        <row r="124">
          <cell r="B124" t="str">
            <v>CI D/F pipes - 0.6m long10023.64</v>
          </cell>
          <cell r="C124" t="str">
            <v>CI D/F pipes - 0.6m long</v>
          </cell>
          <cell r="D124">
            <v>100</v>
          </cell>
          <cell r="E124">
            <v>23.64</v>
          </cell>
          <cell r="F124" t="str">
            <v>each</v>
          </cell>
          <cell r="G124">
            <v>786.03</v>
          </cell>
          <cell r="H124">
            <v>1250.556</v>
          </cell>
          <cell r="I124">
            <v>1250.556</v>
          </cell>
          <cell r="J124">
            <v>962.14800000000014</v>
          </cell>
        </row>
        <row r="125">
          <cell r="B125" t="str">
            <v>CI D/F pipes - 0.6m long12530.46</v>
          </cell>
          <cell r="C125" t="str">
            <v>CI D/F pipes - 0.6m long</v>
          </cell>
          <cell r="D125">
            <v>125</v>
          </cell>
          <cell r="E125">
            <v>30.46</v>
          </cell>
          <cell r="F125" t="str">
            <v>each</v>
          </cell>
          <cell r="G125">
            <v>1012.7950000000001</v>
          </cell>
          <cell r="H125">
            <v>1611.3340000000001</v>
          </cell>
          <cell r="I125">
            <v>1611.3340000000001</v>
          </cell>
          <cell r="J125">
            <v>1239.7220000000002</v>
          </cell>
        </row>
        <row r="126">
          <cell r="B126" t="str">
            <v>CI D/F pipes - 0.6m long15038.33</v>
          </cell>
          <cell r="C126" t="str">
            <v>CI D/F pipes - 0.6m long</v>
          </cell>
          <cell r="D126">
            <v>150</v>
          </cell>
          <cell r="E126">
            <v>38.33</v>
          </cell>
          <cell r="F126" t="str">
            <v>each</v>
          </cell>
          <cell r="G126">
            <v>1274.4724999999999</v>
          </cell>
          <cell r="H126">
            <v>2027.6569999999999</v>
          </cell>
          <cell r="I126">
            <v>2027.6569999999999</v>
          </cell>
          <cell r="J126">
            <v>1560.0309999999999</v>
          </cell>
        </row>
        <row r="127">
          <cell r="B127" t="str">
            <v>CI D/F pipes - 0.6m long20054.66</v>
          </cell>
          <cell r="C127" t="str">
            <v>CI D/F pipes - 0.6m long</v>
          </cell>
          <cell r="D127">
            <v>200</v>
          </cell>
          <cell r="E127">
            <v>54.66</v>
          </cell>
          <cell r="F127" t="str">
            <v>each</v>
          </cell>
          <cell r="G127">
            <v>1817.4449999999999</v>
          </cell>
          <cell r="H127">
            <v>2891.5139999999997</v>
          </cell>
          <cell r="I127">
            <v>2891.5139999999997</v>
          </cell>
          <cell r="J127">
            <v>2224.6619999999998</v>
          </cell>
        </row>
        <row r="128">
          <cell r="B128" t="str">
            <v>CI D/F pipes - 0.6m long25073.08</v>
          </cell>
          <cell r="C128" t="str">
            <v>CI D/F pipes - 0.6m long</v>
          </cell>
          <cell r="D128">
            <v>250</v>
          </cell>
          <cell r="E128">
            <v>73.08</v>
          </cell>
          <cell r="F128" t="str">
            <v>each</v>
          </cell>
          <cell r="G128">
            <v>2429.91</v>
          </cell>
          <cell r="H128">
            <v>3865.9319999999998</v>
          </cell>
          <cell r="I128">
            <v>3865.9319999999998</v>
          </cell>
          <cell r="J128">
            <v>2974.3560000000002</v>
          </cell>
        </row>
        <row r="129">
          <cell r="B129" t="str">
            <v>CI D/F pipes - 0.6m long30093.26</v>
          </cell>
          <cell r="C129" t="str">
            <v>CI D/F pipes - 0.6m long</v>
          </cell>
          <cell r="D129">
            <v>300</v>
          </cell>
          <cell r="E129">
            <v>93.26</v>
          </cell>
          <cell r="F129" t="str">
            <v>each</v>
          </cell>
          <cell r="G129">
            <v>3100.895</v>
          </cell>
          <cell r="H129">
            <v>4933.4539999999997</v>
          </cell>
          <cell r="I129">
            <v>4933.4539999999997</v>
          </cell>
          <cell r="J129">
            <v>3795.6820000000007</v>
          </cell>
        </row>
        <row r="130">
          <cell r="B130" t="str">
            <v>CI D/F pipes - 0.6m long350118.1</v>
          </cell>
          <cell r="C130" t="str">
            <v>CI D/F pipes - 0.6m long</v>
          </cell>
          <cell r="D130">
            <v>350</v>
          </cell>
          <cell r="E130">
            <v>118.1</v>
          </cell>
          <cell r="F130" t="str">
            <v>each</v>
          </cell>
          <cell r="G130">
            <v>3926.8249999999998</v>
          </cell>
          <cell r="H130">
            <v>6247.49</v>
          </cell>
          <cell r="I130">
            <v>6247.49</v>
          </cell>
          <cell r="J130">
            <v>4806.67</v>
          </cell>
        </row>
        <row r="131">
          <cell r="B131" t="str">
            <v>CI D/F pipes - 0.6m long400144.36</v>
          </cell>
          <cell r="C131" t="str">
            <v>CI D/F pipes - 0.6m long</v>
          </cell>
          <cell r="D131">
            <v>400</v>
          </cell>
          <cell r="E131">
            <v>144.36000000000001</v>
          </cell>
          <cell r="F131" t="str">
            <v>each</v>
          </cell>
          <cell r="G131">
            <v>4799.97</v>
          </cell>
          <cell r="H131">
            <v>7636.6440000000002</v>
          </cell>
          <cell r="I131">
            <v>7636.6440000000002</v>
          </cell>
          <cell r="J131">
            <v>5875.4520000000011</v>
          </cell>
        </row>
        <row r="132">
          <cell r="B132" t="str">
            <v>CI D/F pipes - 0.6m long450171.2</v>
          </cell>
          <cell r="C132" t="str">
            <v>CI D/F pipes - 0.6m long</v>
          </cell>
          <cell r="D132">
            <v>450</v>
          </cell>
          <cell r="E132">
            <v>171.2</v>
          </cell>
          <cell r="F132" t="str">
            <v>each</v>
          </cell>
          <cell r="G132">
            <v>5692.4</v>
          </cell>
          <cell r="H132">
            <v>9056.48</v>
          </cell>
          <cell r="I132">
            <v>9056.48</v>
          </cell>
          <cell r="J132">
            <v>6967.84</v>
          </cell>
        </row>
        <row r="133">
          <cell r="B133" t="str">
            <v>CI D/F pipes - 0.6m long500201.78</v>
          </cell>
          <cell r="C133" t="str">
            <v>CI D/F pipes - 0.6m long</v>
          </cell>
          <cell r="D133">
            <v>500</v>
          </cell>
          <cell r="E133">
            <v>201.78</v>
          </cell>
          <cell r="F133" t="str">
            <v>each</v>
          </cell>
          <cell r="G133">
            <v>6709.1850000000004</v>
          </cell>
          <cell r="H133">
            <v>10674.162</v>
          </cell>
          <cell r="I133">
            <v>10674.162</v>
          </cell>
          <cell r="J133">
            <v>8212.4459999999999</v>
          </cell>
        </row>
        <row r="134">
          <cell r="B134" t="str">
            <v>CI D/F pipes - 0.6m long600271.9</v>
          </cell>
          <cell r="C134" t="str">
            <v>CI D/F pipes - 0.6m long</v>
          </cell>
          <cell r="D134">
            <v>600</v>
          </cell>
          <cell r="E134">
            <v>271.89999999999998</v>
          </cell>
          <cell r="F134" t="str">
            <v>each</v>
          </cell>
          <cell r="G134">
            <v>9040.6749999999993</v>
          </cell>
          <cell r="H134">
            <v>14383.509999999998</v>
          </cell>
          <cell r="I134">
            <v>14383.509999999998</v>
          </cell>
          <cell r="J134">
            <v>11066.33</v>
          </cell>
        </row>
        <row r="135">
          <cell r="B135" t="str">
            <v>Bell mouth807</v>
          </cell>
          <cell r="C135" t="str">
            <v>Bell mouth</v>
          </cell>
          <cell r="D135">
            <v>80</v>
          </cell>
          <cell r="E135">
            <v>7</v>
          </cell>
          <cell r="F135" t="str">
            <v>each</v>
          </cell>
          <cell r="G135">
            <v>232.75</v>
          </cell>
          <cell r="H135">
            <v>370.3</v>
          </cell>
          <cell r="I135">
            <v>370.3</v>
          </cell>
          <cell r="J135">
            <v>284.90000000000003</v>
          </cell>
        </row>
        <row r="136">
          <cell r="B136" t="str">
            <v>Bell mouth1009</v>
          </cell>
          <cell r="C136" t="str">
            <v>Bell mouth</v>
          </cell>
          <cell r="D136">
            <v>100</v>
          </cell>
          <cell r="E136">
            <v>9</v>
          </cell>
          <cell r="F136" t="str">
            <v>each</v>
          </cell>
          <cell r="G136">
            <v>299.25</v>
          </cell>
          <cell r="H136">
            <v>476.09999999999997</v>
          </cell>
          <cell r="I136">
            <v>476.09999999999997</v>
          </cell>
          <cell r="J136">
            <v>366.3</v>
          </cell>
        </row>
        <row r="137">
          <cell r="B137" t="str">
            <v>Bell mouth12512</v>
          </cell>
          <cell r="C137" t="str">
            <v>Bell mouth</v>
          </cell>
          <cell r="D137">
            <v>125</v>
          </cell>
          <cell r="E137">
            <v>12</v>
          </cell>
          <cell r="F137" t="str">
            <v>each</v>
          </cell>
          <cell r="G137">
            <v>399</v>
          </cell>
          <cell r="H137">
            <v>634.79999999999995</v>
          </cell>
          <cell r="I137">
            <v>634.79999999999995</v>
          </cell>
          <cell r="J137">
            <v>488.40000000000003</v>
          </cell>
        </row>
        <row r="138">
          <cell r="B138" t="str">
            <v>Bell mouth15015</v>
          </cell>
          <cell r="C138" t="str">
            <v>Bell mouth</v>
          </cell>
          <cell r="D138">
            <v>150</v>
          </cell>
          <cell r="E138">
            <v>15</v>
          </cell>
          <cell r="F138" t="str">
            <v>each</v>
          </cell>
          <cell r="G138">
            <v>498.75</v>
          </cell>
          <cell r="H138">
            <v>793.5</v>
          </cell>
          <cell r="I138">
            <v>793.5</v>
          </cell>
          <cell r="J138">
            <v>610.5</v>
          </cell>
        </row>
        <row r="139">
          <cell r="B139" t="str">
            <v>Bell mouth20023</v>
          </cell>
          <cell r="C139" t="str">
            <v>Bell mouth</v>
          </cell>
          <cell r="D139">
            <v>200</v>
          </cell>
          <cell r="E139">
            <v>23</v>
          </cell>
          <cell r="F139" t="str">
            <v>each</v>
          </cell>
          <cell r="G139">
            <v>764.75</v>
          </cell>
          <cell r="H139">
            <v>1216.7</v>
          </cell>
          <cell r="I139">
            <v>1216.7</v>
          </cell>
          <cell r="J139">
            <v>936.1</v>
          </cell>
        </row>
        <row r="140">
          <cell r="B140" t="str">
            <v>Bell mouth25031</v>
          </cell>
          <cell r="C140" t="str">
            <v>Bell mouth</v>
          </cell>
          <cell r="D140">
            <v>250</v>
          </cell>
          <cell r="E140">
            <v>31</v>
          </cell>
          <cell r="F140" t="str">
            <v>each</v>
          </cell>
          <cell r="G140">
            <v>1030.75</v>
          </cell>
          <cell r="H140">
            <v>1639.8999999999999</v>
          </cell>
          <cell r="I140">
            <v>1639.8999999999999</v>
          </cell>
          <cell r="J140">
            <v>1261.7</v>
          </cell>
        </row>
        <row r="141">
          <cell r="B141" t="str">
            <v>Bell mouth30045</v>
          </cell>
          <cell r="C141" t="str">
            <v>Bell mouth</v>
          </cell>
          <cell r="D141">
            <v>300</v>
          </cell>
          <cell r="E141">
            <v>45</v>
          </cell>
          <cell r="F141" t="str">
            <v>each</v>
          </cell>
          <cell r="G141">
            <v>1496.25</v>
          </cell>
          <cell r="H141">
            <v>2380.5</v>
          </cell>
          <cell r="I141">
            <v>2380.5</v>
          </cell>
          <cell r="J141">
            <v>1831.5000000000002</v>
          </cell>
        </row>
        <row r="142">
          <cell r="B142" t="str">
            <v>Bell mouth35058</v>
          </cell>
          <cell r="C142" t="str">
            <v>Bell mouth</v>
          </cell>
          <cell r="D142">
            <v>350</v>
          </cell>
          <cell r="E142">
            <v>58</v>
          </cell>
          <cell r="F142" t="str">
            <v>each</v>
          </cell>
          <cell r="G142">
            <v>1928.5</v>
          </cell>
          <cell r="H142">
            <v>3068.2</v>
          </cell>
          <cell r="I142">
            <v>3068.2</v>
          </cell>
          <cell r="J142">
            <v>2360.6000000000004</v>
          </cell>
        </row>
        <row r="143">
          <cell r="B143" t="str">
            <v>Bell mouth40080</v>
          </cell>
          <cell r="C143" t="str">
            <v>Bell mouth</v>
          </cell>
          <cell r="D143">
            <v>400</v>
          </cell>
          <cell r="E143">
            <v>80</v>
          </cell>
          <cell r="F143" t="str">
            <v>each</v>
          </cell>
          <cell r="G143">
            <v>2660</v>
          </cell>
          <cell r="H143">
            <v>4232</v>
          </cell>
          <cell r="I143">
            <v>4232</v>
          </cell>
          <cell r="J143">
            <v>3256</v>
          </cell>
        </row>
        <row r="144">
          <cell r="B144" t="str">
            <v>Bell mouth45093</v>
          </cell>
          <cell r="C144" t="str">
            <v>Bell mouth</v>
          </cell>
          <cell r="D144">
            <v>450</v>
          </cell>
          <cell r="E144">
            <v>93</v>
          </cell>
          <cell r="F144" t="str">
            <v>each</v>
          </cell>
          <cell r="G144">
            <v>3092.25</v>
          </cell>
          <cell r="H144">
            <v>4919.7</v>
          </cell>
          <cell r="I144">
            <v>4919.7</v>
          </cell>
          <cell r="J144">
            <v>3785.1000000000004</v>
          </cell>
        </row>
        <row r="145">
          <cell r="B145" t="str">
            <v>Bell mouth500120</v>
          </cell>
          <cell r="C145" t="str">
            <v>Bell mouth</v>
          </cell>
          <cell r="D145">
            <v>500</v>
          </cell>
          <cell r="E145">
            <v>120</v>
          </cell>
          <cell r="F145" t="str">
            <v>each</v>
          </cell>
          <cell r="G145">
            <v>3990</v>
          </cell>
          <cell r="H145">
            <v>6348</v>
          </cell>
          <cell r="I145">
            <v>6348</v>
          </cell>
          <cell r="J145">
            <v>4884</v>
          </cell>
        </row>
        <row r="146">
          <cell r="B146" t="str">
            <v>Bell mouth600201</v>
          </cell>
          <cell r="C146" t="str">
            <v>Bell mouth</v>
          </cell>
          <cell r="D146">
            <v>600</v>
          </cell>
          <cell r="E146">
            <v>201</v>
          </cell>
          <cell r="F146" t="str">
            <v>each</v>
          </cell>
          <cell r="G146">
            <v>6683.25</v>
          </cell>
          <cell r="H146">
            <v>10632.9</v>
          </cell>
          <cell r="I146">
            <v>10632.9</v>
          </cell>
          <cell r="J146">
            <v>8180.7000000000007</v>
          </cell>
        </row>
        <row r="147">
          <cell r="B147" t="str">
            <v>CI D/F Bend 90deg8013</v>
          </cell>
          <cell r="C147" t="str">
            <v>CI D/F Bend 90deg</v>
          </cell>
          <cell r="D147">
            <v>80</v>
          </cell>
          <cell r="E147">
            <v>13</v>
          </cell>
          <cell r="F147" t="str">
            <v>each</v>
          </cell>
          <cell r="G147">
            <v>432.25</v>
          </cell>
          <cell r="H147">
            <v>687.69999999999993</v>
          </cell>
          <cell r="I147">
            <v>687.69999999999993</v>
          </cell>
          <cell r="J147">
            <v>529.1</v>
          </cell>
        </row>
        <row r="148">
          <cell r="B148" t="str">
            <v>CI D/F Bend 90deg10017</v>
          </cell>
          <cell r="C148" t="str">
            <v>CI D/F Bend 90deg</v>
          </cell>
          <cell r="D148">
            <v>100</v>
          </cell>
          <cell r="E148">
            <v>17</v>
          </cell>
          <cell r="F148" t="str">
            <v>each</v>
          </cell>
          <cell r="G148">
            <v>565.25</v>
          </cell>
          <cell r="H148">
            <v>899.3</v>
          </cell>
          <cell r="I148">
            <v>899.3</v>
          </cell>
          <cell r="J148">
            <v>691.90000000000009</v>
          </cell>
        </row>
        <row r="149">
          <cell r="B149" t="str">
            <v>CI D/F Bend 90deg12523</v>
          </cell>
          <cell r="C149" t="str">
            <v>CI D/F Bend 90deg</v>
          </cell>
          <cell r="D149">
            <v>125</v>
          </cell>
          <cell r="E149">
            <v>23</v>
          </cell>
          <cell r="F149" t="str">
            <v>each</v>
          </cell>
          <cell r="G149">
            <v>764.75</v>
          </cell>
          <cell r="H149">
            <v>1216.7</v>
          </cell>
          <cell r="I149">
            <v>1216.7</v>
          </cell>
          <cell r="J149">
            <v>936.1</v>
          </cell>
        </row>
        <row r="150">
          <cell r="B150" t="str">
            <v>CI D/F Bend 90deg15031</v>
          </cell>
          <cell r="C150" t="str">
            <v>CI D/F Bend 90deg</v>
          </cell>
          <cell r="D150">
            <v>150</v>
          </cell>
          <cell r="E150">
            <v>31</v>
          </cell>
          <cell r="F150" t="str">
            <v>each</v>
          </cell>
          <cell r="G150">
            <v>1030.75</v>
          </cell>
          <cell r="H150">
            <v>1639.8999999999999</v>
          </cell>
          <cell r="I150">
            <v>1639.8999999999999</v>
          </cell>
          <cell r="J150">
            <v>1261.7</v>
          </cell>
        </row>
        <row r="151">
          <cell r="B151" t="str">
            <v>CI D/F Bend 90deg20049</v>
          </cell>
          <cell r="C151" t="str">
            <v>CI D/F Bend 90deg</v>
          </cell>
          <cell r="D151">
            <v>200</v>
          </cell>
          <cell r="E151">
            <v>49</v>
          </cell>
          <cell r="F151" t="str">
            <v>each</v>
          </cell>
          <cell r="G151">
            <v>1629.25</v>
          </cell>
          <cell r="H151">
            <v>2592.1</v>
          </cell>
          <cell r="I151">
            <v>2592.1</v>
          </cell>
          <cell r="J151">
            <v>1994.3000000000002</v>
          </cell>
        </row>
        <row r="152">
          <cell r="B152" t="str">
            <v>CI D/F Bend 90deg25072</v>
          </cell>
          <cell r="C152" t="str">
            <v>CI D/F Bend 90deg</v>
          </cell>
          <cell r="D152">
            <v>250</v>
          </cell>
          <cell r="E152">
            <v>72</v>
          </cell>
          <cell r="F152" t="str">
            <v>each</v>
          </cell>
          <cell r="G152">
            <v>2394</v>
          </cell>
          <cell r="H152">
            <v>3808.7999999999997</v>
          </cell>
          <cell r="I152">
            <v>3808.7999999999997</v>
          </cell>
          <cell r="J152">
            <v>2930.4</v>
          </cell>
        </row>
        <row r="153">
          <cell r="B153" t="str">
            <v>CI D/F Bend 90deg300100</v>
          </cell>
          <cell r="C153" t="str">
            <v>CI D/F Bend 90deg</v>
          </cell>
          <cell r="D153">
            <v>300</v>
          </cell>
          <cell r="E153">
            <v>100</v>
          </cell>
          <cell r="F153" t="str">
            <v>each</v>
          </cell>
          <cell r="G153">
            <v>3325</v>
          </cell>
          <cell r="H153">
            <v>5290</v>
          </cell>
          <cell r="I153">
            <v>5290</v>
          </cell>
          <cell r="J153">
            <v>4070.0000000000005</v>
          </cell>
        </row>
        <row r="154">
          <cell r="B154" t="str">
            <v>CI D/F Bend 90deg350137</v>
          </cell>
          <cell r="C154" t="str">
            <v>CI D/F Bend 90deg</v>
          </cell>
          <cell r="D154">
            <v>350</v>
          </cell>
          <cell r="E154">
            <v>137</v>
          </cell>
          <cell r="F154" t="str">
            <v>each</v>
          </cell>
          <cell r="G154">
            <v>4555.25</v>
          </cell>
          <cell r="H154">
            <v>7247.3</v>
          </cell>
          <cell r="I154">
            <v>7247.3</v>
          </cell>
          <cell r="J154">
            <v>5575.9000000000005</v>
          </cell>
        </row>
        <row r="155">
          <cell r="B155" t="str">
            <v>CI D/F Bend 90deg400181</v>
          </cell>
          <cell r="C155" t="str">
            <v>CI D/F Bend 90deg</v>
          </cell>
          <cell r="D155">
            <v>400</v>
          </cell>
          <cell r="E155">
            <v>181</v>
          </cell>
          <cell r="F155" t="str">
            <v>each</v>
          </cell>
          <cell r="G155">
            <v>6018.25</v>
          </cell>
          <cell r="H155">
            <v>9574.9</v>
          </cell>
          <cell r="I155">
            <v>9574.9</v>
          </cell>
          <cell r="J155">
            <v>7366.7000000000007</v>
          </cell>
        </row>
        <row r="156">
          <cell r="B156" t="str">
            <v>CI D/F Bend 90deg450226</v>
          </cell>
          <cell r="C156" t="str">
            <v>CI D/F Bend 90deg</v>
          </cell>
          <cell r="D156">
            <v>450</v>
          </cell>
          <cell r="E156">
            <v>226</v>
          </cell>
          <cell r="F156" t="str">
            <v>each</v>
          </cell>
          <cell r="G156">
            <v>7514.5</v>
          </cell>
          <cell r="H156">
            <v>11955.4</v>
          </cell>
          <cell r="I156">
            <v>11955.4</v>
          </cell>
          <cell r="J156">
            <v>9198.2000000000007</v>
          </cell>
        </row>
        <row r="157">
          <cell r="B157" t="str">
            <v>CI D/F Bend 90deg500290</v>
          </cell>
          <cell r="C157" t="str">
            <v>CI D/F Bend 90deg</v>
          </cell>
          <cell r="D157">
            <v>500</v>
          </cell>
          <cell r="E157">
            <v>290</v>
          </cell>
          <cell r="F157" t="str">
            <v>each</v>
          </cell>
          <cell r="G157">
            <v>9642.5</v>
          </cell>
          <cell r="H157">
            <v>15341</v>
          </cell>
          <cell r="I157">
            <v>15341</v>
          </cell>
          <cell r="J157">
            <v>11803</v>
          </cell>
        </row>
        <row r="158">
          <cell r="B158" t="str">
            <v>CI D/F Bend 90deg600442</v>
          </cell>
          <cell r="C158" t="str">
            <v>CI D/F Bend 90deg</v>
          </cell>
          <cell r="D158">
            <v>600</v>
          </cell>
          <cell r="E158">
            <v>442</v>
          </cell>
          <cell r="F158" t="str">
            <v>each</v>
          </cell>
          <cell r="G158">
            <v>14696.5</v>
          </cell>
          <cell r="H158">
            <v>23381.8</v>
          </cell>
          <cell r="I158">
            <v>23381.8</v>
          </cell>
          <cell r="J158">
            <v>17989.400000000001</v>
          </cell>
        </row>
        <row r="159">
          <cell r="B159" t="str">
            <v>Tail piece8012</v>
          </cell>
          <cell r="C159" t="str">
            <v>Tail piece</v>
          </cell>
          <cell r="D159">
            <v>80</v>
          </cell>
          <cell r="E159">
            <v>12</v>
          </cell>
          <cell r="F159" t="str">
            <v>each</v>
          </cell>
          <cell r="G159">
            <v>399</v>
          </cell>
          <cell r="H159">
            <v>634.79999999999995</v>
          </cell>
          <cell r="I159">
            <v>634.79999999999995</v>
          </cell>
          <cell r="J159">
            <v>488.40000000000003</v>
          </cell>
        </row>
        <row r="160">
          <cell r="B160" t="str">
            <v>Tail piece10013.513</v>
          </cell>
          <cell r="C160" t="str">
            <v>Tail piece</v>
          </cell>
          <cell r="D160">
            <v>100</v>
          </cell>
          <cell r="E160">
            <v>13.513</v>
          </cell>
          <cell r="F160" t="str">
            <v>each</v>
          </cell>
          <cell r="G160">
            <v>449.30725000000001</v>
          </cell>
          <cell r="H160">
            <v>714.83769999999993</v>
          </cell>
          <cell r="I160">
            <v>714.83769999999993</v>
          </cell>
          <cell r="J160">
            <v>549.97910000000002</v>
          </cell>
        </row>
        <row r="161">
          <cell r="B161" t="str">
            <v>Tail piece12519</v>
          </cell>
          <cell r="C161" t="str">
            <v>Tail piece</v>
          </cell>
          <cell r="D161">
            <v>125</v>
          </cell>
          <cell r="E161">
            <v>19</v>
          </cell>
          <cell r="F161" t="str">
            <v>each</v>
          </cell>
          <cell r="G161">
            <v>631.75</v>
          </cell>
          <cell r="H161">
            <v>1005.1</v>
          </cell>
          <cell r="I161">
            <v>1005.1</v>
          </cell>
          <cell r="J161">
            <v>773.30000000000007</v>
          </cell>
        </row>
        <row r="162">
          <cell r="B162" t="str">
            <v>Tail piece15023</v>
          </cell>
          <cell r="C162" t="str">
            <v>Tail piece</v>
          </cell>
          <cell r="D162">
            <v>150</v>
          </cell>
          <cell r="E162">
            <v>23</v>
          </cell>
          <cell r="F162" t="str">
            <v>each</v>
          </cell>
          <cell r="G162">
            <v>764.75</v>
          </cell>
          <cell r="H162">
            <v>1216.7</v>
          </cell>
          <cell r="I162">
            <v>1216.7</v>
          </cell>
          <cell r="J162">
            <v>936.1</v>
          </cell>
        </row>
        <row r="163">
          <cell r="B163" t="str">
            <v>Tail piece20038.97</v>
          </cell>
          <cell r="C163" t="str">
            <v>Tail piece</v>
          </cell>
          <cell r="D163">
            <v>200</v>
          </cell>
          <cell r="E163">
            <v>38.97</v>
          </cell>
          <cell r="F163" t="str">
            <v>each</v>
          </cell>
          <cell r="G163">
            <v>1295.7525000000001</v>
          </cell>
          <cell r="H163">
            <v>2061.5129999999999</v>
          </cell>
          <cell r="I163">
            <v>2061.5129999999999</v>
          </cell>
          <cell r="J163">
            <v>1586.079</v>
          </cell>
        </row>
        <row r="164">
          <cell r="B164" t="str">
            <v>Tail piece25053</v>
          </cell>
          <cell r="C164" t="str">
            <v>Tail piece</v>
          </cell>
          <cell r="D164">
            <v>250</v>
          </cell>
          <cell r="E164">
            <v>53</v>
          </cell>
          <cell r="F164" t="str">
            <v>each</v>
          </cell>
          <cell r="G164">
            <v>1762.25</v>
          </cell>
          <cell r="H164">
            <v>2803.7</v>
          </cell>
          <cell r="I164">
            <v>2803.7</v>
          </cell>
          <cell r="J164">
            <v>2157.1000000000004</v>
          </cell>
        </row>
        <row r="165">
          <cell r="B165" t="str">
            <v>Tail piece30068</v>
          </cell>
          <cell r="C165" t="str">
            <v>Tail piece</v>
          </cell>
          <cell r="D165">
            <v>300</v>
          </cell>
          <cell r="E165">
            <v>68</v>
          </cell>
          <cell r="F165" t="str">
            <v>each</v>
          </cell>
          <cell r="G165">
            <v>2261</v>
          </cell>
          <cell r="H165">
            <v>3597.2</v>
          </cell>
          <cell r="I165">
            <v>3597.2</v>
          </cell>
          <cell r="J165">
            <v>2767.6000000000004</v>
          </cell>
        </row>
        <row r="166">
          <cell r="B166" t="str">
            <v>Tail piece35089.44</v>
          </cell>
          <cell r="C166" t="str">
            <v>Tail piece</v>
          </cell>
          <cell r="D166">
            <v>350</v>
          </cell>
          <cell r="E166">
            <v>89.44</v>
          </cell>
          <cell r="F166" t="str">
            <v>each</v>
          </cell>
          <cell r="G166">
            <v>2973.88</v>
          </cell>
          <cell r="H166">
            <v>4731.3760000000002</v>
          </cell>
          <cell r="I166">
            <v>4731.3760000000002</v>
          </cell>
          <cell r="J166">
            <v>3640.2080000000001</v>
          </cell>
        </row>
        <row r="167">
          <cell r="B167" t="str">
            <v>Tail piece400108.86</v>
          </cell>
          <cell r="C167" t="str">
            <v>Tail piece</v>
          </cell>
          <cell r="D167">
            <v>400</v>
          </cell>
          <cell r="E167">
            <v>108.86</v>
          </cell>
          <cell r="F167" t="str">
            <v>each</v>
          </cell>
          <cell r="G167">
            <v>3619.5949999999998</v>
          </cell>
          <cell r="H167">
            <v>5758.6939999999995</v>
          </cell>
          <cell r="I167">
            <v>5758.6939999999995</v>
          </cell>
          <cell r="J167">
            <v>4430.6019999999999</v>
          </cell>
        </row>
        <row r="168">
          <cell r="B168" t="str">
            <v>Tail piece450127.62</v>
          </cell>
          <cell r="C168" t="str">
            <v>Tail piece</v>
          </cell>
          <cell r="D168">
            <v>450</v>
          </cell>
          <cell r="E168">
            <v>127.62</v>
          </cell>
          <cell r="F168" t="str">
            <v>each</v>
          </cell>
          <cell r="G168">
            <v>4243.3649999999998</v>
          </cell>
          <cell r="H168">
            <v>6751.098</v>
          </cell>
          <cell r="I168">
            <v>6751.098</v>
          </cell>
          <cell r="J168">
            <v>5194.1340000000009</v>
          </cell>
        </row>
        <row r="169">
          <cell r="B169" t="str">
            <v>Tail piece500151.48</v>
          </cell>
          <cell r="C169" t="str">
            <v>Tail piece</v>
          </cell>
          <cell r="D169">
            <v>500</v>
          </cell>
          <cell r="E169">
            <v>151.47999999999999</v>
          </cell>
          <cell r="F169" t="str">
            <v>each</v>
          </cell>
          <cell r="G169">
            <v>5036.71</v>
          </cell>
          <cell r="H169">
            <v>8013.2919999999995</v>
          </cell>
          <cell r="I169">
            <v>8013.2919999999995</v>
          </cell>
          <cell r="J169">
            <v>6165.2359999999999</v>
          </cell>
        </row>
        <row r="170">
          <cell r="B170" t="str">
            <v>Tail piece600204.11</v>
          </cell>
          <cell r="C170" t="str">
            <v>Tail piece</v>
          </cell>
          <cell r="D170">
            <v>600</v>
          </cell>
          <cell r="E170">
            <v>204.11</v>
          </cell>
          <cell r="F170" t="str">
            <v>each</v>
          </cell>
          <cell r="G170">
            <v>6786.6575000000003</v>
          </cell>
          <cell r="H170">
            <v>10797.419</v>
          </cell>
          <cell r="I170">
            <v>10797.419</v>
          </cell>
          <cell r="J170">
            <v>8307.2770000000019</v>
          </cell>
        </row>
        <row r="171">
          <cell r="B171" t="str">
            <v>Duckfoot bend8021</v>
          </cell>
          <cell r="C171" t="str">
            <v>Duckfoot bend</v>
          </cell>
          <cell r="D171">
            <v>80</v>
          </cell>
          <cell r="E171">
            <v>21</v>
          </cell>
          <cell r="F171" t="str">
            <v>each</v>
          </cell>
          <cell r="G171">
            <v>698.25</v>
          </cell>
          <cell r="H171">
            <v>1110.8999999999999</v>
          </cell>
          <cell r="I171">
            <v>1110.8999999999999</v>
          </cell>
          <cell r="J171">
            <v>854.7</v>
          </cell>
        </row>
        <row r="172">
          <cell r="B172" t="str">
            <v>Duckfoot bend10026</v>
          </cell>
          <cell r="C172" t="str">
            <v>Duckfoot bend</v>
          </cell>
          <cell r="D172">
            <v>100</v>
          </cell>
          <cell r="E172">
            <v>26</v>
          </cell>
          <cell r="F172" t="str">
            <v>each</v>
          </cell>
          <cell r="G172">
            <v>864.5</v>
          </cell>
          <cell r="H172">
            <v>1375.3999999999999</v>
          </cell>
          <cell r="I172">
            <v>1375.3999999999999</v>
          </cell>
          <cell r="J172">
            <v>1058.2</v>
          </cell>
        </row>
        <row r="173">
          <cell r="B173" t="str">
            <v>Duckfoot bend12536</v>
          </cell>
          <cell r="C173" t="str">
            <v>Duckfoot bend</v>
          </cell>
          <cell r="D173">
            <v>125</v>
          </cell>
          <cell r="E173">
            <v>36</v>
          </cell>
          <cell r="F173" t="str">
            <v>each</v>
          </cell>
          <cell r="G173">
            <v>1197</v>
          </cell>
          <cell r="H173">
            <v>1904.3999999999999</v>
          </cell>
          <cell r="I173">
            <v>1904.3999999999999</v>
          </cell>
          <cell r="J173">
            <v>1465.2</v>
          </cell>
        </row>
        <row r="174">
          <cell r="B174" t="str">
            <v>Duckfoot bend15046.97</v>
          </cell>
          <cell r="C174" t="str">
            <v>Duckfoot bend</v>
          </cell>
          <cell r="D174">
            <v>150</v>
          </cell>
          <cell r="E174">
            <v>46.97</v>
          </cell>
          <cell r="F174" t="str">
            <v>each</v>
          </cell>
          <cell r="G174">
            <v>1561.7525000000001</v>
          </cell>
          <cell r="H174">
            <v>2484.7129999999997</v>
          </cell>
          <cell r="I174">
            <v>2484.7129999999997</v>
          </cell>
          <cell r="J174">
            <v>1911.6790000000001</v>
          </cell>
        </row>
        <row r="175">
          <cell r="B175" t="str">
            <v>Duckfoot bend20074</v>
          </cell>
          <cell r="C175" t="str">
            <v>Duckfoot bend</v>
          </cell>
          <cell r="D175">
            <v>200</v>
          </cell>
          <cell r="E175">
            <v>74</v>
          </cell>
          <cell r="F175" t="str">
            <v>each</v>
          </cell>
          <cell r="G175">
            <v>2460.5</v>
          </cell>
          <cell r="H175">
            <v>3914.6</v>
          </cell>
          <cell r="I175">
            <v>3914.6</v>
          </cell>
          <cell r="J175">
            <v>3011.8</v>
          </cell>
        </row>
        <row r="176">
          <cell r="B176" t="str">
            <v>Duckfoot bend250111</v>
          </cell>
          <cell r="C176" t="str">
            <v>Duckfoot bend</v>
          </cell>
          <cell r="D176">
            <v>250</v>
          </cell>
          <cell r="E176">
            <v>111</v>
          </cell>
          <cell r="F176" t="str">
            <v>each</v>
          </cell>
          <cell r="G176">
            <v>3690.75</v>
          </cell>
          <cell r="H176">
            <v>5871.9</v>
          </cell>
          <cell r="I176">
            <v>5871.9</v>
          </cell>
          <cell r="J176">
            <v>4517.7000000000007</v>
          </cell>
        </row>
        <row r="177">
          <cell r="B177" t="str">
            <v>Duckfoot bend300156</v>
          </cell>
          <cell r="C177" t="str">
            <v>Duckfoot bend</v>
          </cell>
          <cell r="D177">
            <v>300</v>
          </cell>
          <cell r="E177">
            <v>156</v>
          </cell>
          <cell r="F177" t="str">
            <v>each</v>
          </cell>
          <cell r="G177">
            <v>5187</v>
          </cell>
          <cell r="H177">
            <v>8252.4</v>
          </cell>
          <cell r="I177">
            <v>8252.4</v>
          </cell>
          <cell r="J177">
            <v>6349.2000000000007</v>
          </cell>
        </row>
        <row r="178">
          <cell r="B178" t="str">
            <v>Duckfoot bend350214</v>
          </cell>
          <cell r="C178" t="str">
            <v>Duckfoot bend</v>
          </cell>
          <cell r="D178">
            <v>350</v>
          </cell>
          <cell r="E178">
            <v>214</v>
          </cell>
          <cell r="F178" t="str">
            <v>each</v>
          </cell>
          <cell r="G178">
            <v>7115.5</v>
          </cell>
          <cell r="H178">
            <v>11320.6</v>
          </cell>
          <cell r="I178">
            <v>11320.6</v>
          </cell>
          <cell r="J178">
            <v>8709.8000000000011</v>
          </cell>
        </row>
        <row r="179">
          <cell r="B179" t="str">
            <v>Duckfoot bend400281</v>
          </cell>
          <cell r="C179" t="str">
            <v>Duckfoot bend</v>
          </cell>
          <cell r="D179">
            <v>400</v>
          </cell>
          <cell r="E179">
            <v>281</v>
          </cell>
          <cell r="F179" t="str">
            <v>each</v>
          </cell>
          <cell r="G179">
            <v>9343.25</v>
          </cell>
          <cell r="H179">
            <v>14864.9</v>
          </cell>
          <cell r="I179">
            <v>14864.9</v>
          </cell>
          <cell r="J179">
            <v>11436.7</v>
          </cell>
        </row>
        <row r="180">
          <cell r="B180" t="str">
            <v>Duckfoot bend450350</v>
          </cell>
          <cell r="C180" t="str">
            <v>Duckfoot bend</v>
          </cell>
          <cell r="D180">
            <v>450</v>
          </cell>
          <cell r="E180">
            <v>350</v>
          </cell>
          <cell r="F180" t="str">
            <v>each</v>
          </cell>
          <cell r="G180">
            <v>11637.5</v>
          </cell>
          <cell r="H180">
            <v>18515</v>
          </cell>
          <cell r="I180">
            <v>18515</v>
          </cell>
          <cell r="J180">
            <v>14245.000000000002</v>
          </cell>
        </row>
        <row r="181">
          <cell r="B181" t="str">
            <v>Duckfoot bend500446</v>
          </cell>
          <cell r="C181" t="str">
            <v>Duckfoot bend</v>
          </cell>
          <cell r="D181">
            <v>500</v>
          </cell>
          <cell r="E181">
            <v>446</v>
          </cell>
          <cell r="F181" t="str">
            <v>each</v>
          </cell>
          <cell r="G181">
            <v>14829.5</v>
          </cell>
          <cell r="H181">
            <v>23593.399999999998</v>
          </cell>
          <cell r="I181">
            <v>23593.399999999998</v>
          </cell>
          <cell r="J181">
            <v>18152.2</v>
          </cell>
        </row>
        <row r="182">
          <cell r="B182" t="str">
            <v>Duckfoot bend600677</v>
          </cell>
          <cell r="C182" t="str">
            <v>Duckfoot bend</v>
          </cell>
          <cell r="D182">
            <v>600</v>
          </cell>
          <cell r="E182">
            <v>677</v>
          </cell>
          <cell r="F182" t="str">
            <v>each</v>
          </cell>
          <cell r="G182">
            <v>22510.25</v>
          </cell>
          <cell r="H182">
            <v>35813.299999999996</v>
          </cell>
          <cell r="I182">
            <v>35813.299999999996</v>
          </cell>
          <cell r="J182">
            <v>27553.9</v>
          </cell>
        </row>
        <row r="183">
          <cell r="B183" t="str">
            <v>Semicircular bend8025.44</v>
          </cell>
          <cell r="C183" t="str">
            <v>Semicircular bend</v>
          </cell>
          <cell r="D183">
            <v>80</v>
          </cell>
          <cell r="E183">
            <v>25.44</v>
          </cell>
          <cell r="F183" t="str">
            <v>each</v>
          </cell>
          <cell r="G183">
            <v>845.88</v>
          </cell>
          <cell r="H183">
            <v>1345.7760000000001</v>
          </cell>
          <cell r="I183">
            <v>1345.7760000000001</v>
          </cell>
          <cell r="J183">
            <v>1035.4080000000001</v>
          </cell>
        </row>
        <row r="184">
          <cell r="B184" t="str">
            <v>Semicircular bend10035.35</v>
          </cell>
          <cell r="C184" t="str">
            <v>Semicircular bend</v>
          </cell>
          <cell r="D184">
            <v>100</v>
          </cell>
          <cell r="E184">
            <v>35.35</v>
          </cell>
          <cell r="F184" t="str">
            <v>each</v>
          </cell>
          <cell r="G184">
            <v>1175.3875</v>
          </cell>
          <cell r="H184">
            <v>1870.0150000000001</v>
          </cell>
          <cell r="I184">
            <v>1870.0150000000001</v>
          </cell>
          <cell r="J184">
            <v>1438.7450000000001</v>
          </cell>
        </row>
        <row r="185">
          <cell r="B185" t="str">
            <v>Semicircular bend12550.8</v>
          </cell>
          <cell r="C185" t="str">
            <v>Semicircular bend</v>
          </cell>
          <cell r="D185">
            <v>125</v>
          </cell>
          <cell r="E185">
            <v>50.8</v>
          </cell>
          <cell r="F185" t="str">
            <v>each</v>
          </cell>
          <cell r="G185">
            <v>1689.1</v>
          </cell>
          <cell r="H185">
            <v>2687.3199999999997</v>
          </cell>
          <cell r="I185">
            <v>2687.3199999999997</v>
          </cell>
          <cell r="J185">
            <v>2067.56</v>
          </cell>
        </row>
        <row r="186">
          <cell r="B186" t="str">
            <v>Semicircular bend15071.12</v>
          </cell>
          <cell r="C186" t="str">
            <v>Semicircular bend</v>
          </cell>
          <cell r="D186">
            <v>150</v>
          </cell>
          <cell r="E186">
            <v>71.12</v>
          </cell>
          <cell r="F186" t="str">
            <v>each</v>
          </cell>
          <cell r="G186">
            <v>2364.7400000000002</v>
          </cell>
          <cell r="H186">
            <v>3762.248</v>
          </cell>
          <cell r="I186">
            <v>3762.248</v>
          </cell>
          <cell r="J186">
            <v>2894.5840000000003</v>
          </cell>
        </row>
        <row r="187">
          <cell r="B187" t="str">
            <v>Semicircular bend200116.85</v>
          </cell>
          <cell r="C187" t="str">
            <v>Semicircular bend</v>
          </cell>
          <cell r="D187">
            <v>200</v>
          </cell>
          <cell r="E187">
            <v>116.85</v>
          </cell>
          <cell r="F187" t="str">
            <v>each</v>
          </cell>
          <cell r="G187">
            <v>3885.2624999999998</v>
          </cell>
          <cell r="H187">
            <v>6181.3649999999998</v>
          </cell>
          <cell r="I187">
            <v>6181.3649999999998</v>
          </cell>
          <cell r="J187">
            <v>4755.7950000000001</v>
          </cell>
        </row>
        <row r="188">
          <cell r="B188" t="str">
            <v>Sluice valve80</v>
          </cell>
          <cell r="C188" t="str">
            <v>Sluice valve</v>
          </cell>
          <cell r="D188">
            <v>80</v>
          </cell>
          <cell r="F188" t="str">
            <v>each</v>
          </cell>
          <cell r="G188">
            <v>3273</v>
          </cell>
          <cell r="H188">
            <v>4255</v>
          </cell>
          <cell r="I188">
            <v>4255</v>
          </cell>
          <cell r="J188">
            <v>4255</v>
          </cell>
        </row>
        <row r="189">
          <cell r="B189" t="str">
            <v>Sluice valve100</v>
          </cell>
          <cell r="C189" t="str">
            <v>Sluice valve</v>
          </cell>
          <cell r="D189">
            <v>100</v>
          </cell>
          <cell r="F189" t="str">
            <v>each</v>
          </cell>
          <cell r="G189">
            <v>4364</v>
          </cell>
          <cell r="H189">
            <v>5673</v>
          </cell>
          <cell r="I189">
            <v>5673</v>
          </cell>
          <cell r="J189">
            <v>5673</v>
          </cell>
        </row>
        <row r="190">
          <cell r="B190" t="str">
            <v>Sluice valve125</v>
          </cell>
          <cell r="C190" t="str">
            <v>Sluice valve</v>
          </cell>
          <cell r="D190">
            <v>125</v>
          </cell>
          <cell r="F190" t="str">
            <v>each</v>
          </cell>
          <cell r="G190">
            <v>5454</v>
          </cell>
          <cell r="H190">
            <v>7090</v>
          </cell>
          <cell r="I190">
            <v>7090</v>
          </cell>
          <cell r="J190">
            <v>7090</v>
          </cell>
        </row>
        <row r="191">
          <cell r="B191" t="str">
            <v>Sluice valve150</v>
          </cell>
          <cell r="C191" t="str">
            <v>Sluice valve</v>
          </cell>
          <cell r="D191">
            <v>150</v>
          </cell>
          <cell r="F191" t="str">
            <v>each</v>
          </cell>
          <cell r="G191">
            <v>6545</v>
          </cell>
          <cell r="H191">
            <v>8509</v>
          </cell>
          <cell r="I191">
            <v>8509</v>
          </cell>
          <cell r="J191">
            <v>8509</v>
          </cell>
        </row>
        <row r="192">
          <cell r="B192" t="str">
            <v>Sluice valve200</v>
          </cell>
          <cell r="C192" t="str">
            <v>Sluice valve</v>
          </cell>
          <cell r="D192">
            <v>200</v>
          </cell>
          <cell r="F192" t="str">
            <v>each</v>
          </cell>
          <cell r="G192">
            <v>11472</v>
          </cell>
          <cell r="H192">
            <v>14914</v>
          </cell>
          <cell r="I192">
            <v>14914</v>
          </cell>
          <cell r="J192">
            <v>14914</v>
          </cell>
        </row>
        <row r="193">
          <cell r="B193" t="str">
            <v>Sluice valve250</v>
          </cell>
          <cell r="C193" t="str">
            <v>Sluice valve</v>
          </cell>
          <cell r="D193">
            <v>250</v>
          </cell>
          <cell r="F193" t="str">
            <v>each</v>
          </cell>
          <cell r="G193">
            <v>16226</v>
          </cell>
          <cell r="H193">
            <v>21094</v>
          </cell>
          <cell r="I193">
            <v>21094</v>
          </cell>
          <cell r="J193">
            <v>21094</v>
          </cell>
        </row>
        <row r="194">
          <cell r="B194" t="str">
            <v>Sluice valve300</v>
          </cell>
          <cell r="C194" t="str">
            <v>Sluice valve</v>
          </cell>
          <cell r="D194">
            <v>300</v>
          </cell>
          <cell r="F194" t="str">
            <v>each</v>
          </cell>
          <cell r="G194">
            <v>22274</v>
          </cell>
          <cell r="H194">
            <v>28956</v>
          </cell>
          <cell r="I194">
            <v>28956</v>
          </cell>
          <cell r="J194">
            <v>28956</v>
          </cell>
        </row>
        <row r="195">
          <cell r="B195" t="str">
            <v>Sluice valve350</v>
          </cell>
          <cell r="C195" t="str">
            <v>Sluice valve</v>
          </cell>
          <cell r="D195">
            <v>350</v>
          </cell>
          <cell r="F195" t="str">
            <v>each</v>
          </cell>
          <cell r="G195">
            <v>50087</v>
          </cell>
          <cell r="H195">
            <v>71629</v>
          </cell>
          <cell r="I195">
            <v>71629</v>
          </cell>
          <cell r="J195">
            <v>71629</v>
          </cell>
        </row>
        <row r="196">
          <cell r="B196" t="str">
            <v>Sluice valve400</v>
          </cell>
          <cell r="C196" t="str">
            <v>Sluice valve</v>
          </cell>
          <cell r="D196">
            <v>400</v>
          </cell>
          <cell r="F196" t="str">
            <v>each</v>
          </cell>
          <cell r="G196">
            <v>59372</v>
          </cell>
          <cell r="H196">
            <v>89548</v>
          </cell>
          <cell r="I196">
            <v>89548</v>
          </cell>
          <cell r="J196">
            <v>89548</v>
          </cell>
        </row>
        <row r="197">
          <cell r="B197" t="str">
            <v>Sluice valve450</v>
          </cell>
          <cell r="C197" t="str">
            <v>Sluice valve</v>
          </cell>
          <cell r="D197">
            <v>450</v>
          </cell>
          <cell r="F197" t="str">
            <v>each</v>
          </cell>
          <cell r="G197">
            <v>74549</v>
          </cell>
          <cell r="H197">
            <v>112411</v>
          </cell>
          <cell r="I197">
            <v>112411</v>
          </cell>
          <cell r="J197">
            <v>112411</v>
          </cell>
        </row>
        <row r="198">
          <cell r="B198" t="str">
            <v>Sluice valve500</v>
          </cell>
          <cell r="C198" t="str">
            <v>Sluice valve</v>
          </cell>
          <cell r="D198">
            <v>500</v>
          </cell>
          <cell r="F198" t="str">
            <v>each</v>
          </cell>
          <cell r="G198">
            <v>85525</v>
          </cell>
          <cell r="H198">
            <v>129168</v>
          </cell>
          <cell r="I198">
            <v>129168</v>
          </cell>
          <cell r="J198">
            <v>129168</v>
          </cell>
        </row>
        <row r="199">
          <cell r="B199" t="str">
            <v>Sluice valve600</v>
          </cell>
          <cell r="C199" t="str">
            <v>Sluice valve</v>
          </cell>
          <cell r="D199">
            <v>600</v>
          </cell>
          <cell r="F199" t="str">
            <v>each</v>
          </cell>
          <cell r="G199">
            <v>125270</v>
          </cell>
          <cell r="H199">
            <v>191519</v>
          </cell>
          <cell r="I199">
            <v>191519</v>
          </cell>
          <cell r="J199">
            <v>191519</v>
          </cell>
        </row>
        <row r="200">
          <cell r="B200" t="str">
            <v>MTAs63mm</v>
          </cell>
          <cell r="C200" t="str">
            <v>MTAs</v>
          </cell>
          <cell r="D200" t="str">
            <v>63mm</v>
          </cell>
          <cell r="E200" t="str">
            <v>PVC</v>
          </cell>
          <cell r="F200" t="str">
            <v>each</v>
          </cell>
          <cell r="G200">
            <v>50</v>
          </cell>
          <cell r="H200">
            <v>58</v>
          </cell>
          <cell r="I200">
            <v>67</v>
          </cell>
        </row>
        <row r="201">
          <cell r="B201" t="str">
            <v>MTAs75mm</v>
          </cell>
          <cell r="C201" t="str">
            <v>MTAs</v>
          </cell>
          <cell r="D201" t="str">
            <v>75mm</v>
          </cell>
          <cell r="E201" t="str">
            <v>PVC</v>
          </cell>
          <cell r="F201" t="str">
            <v>each</v>
          </cell>
          <cell r="G201">
            <v>70</v>
          </cell>
          <cell r="H201">
            <v>81</v>
          </cell>
          <cell r="I201">
            <v>93</v>
          </cell>
        </row>
        <row r="202">
          <cell r="B202" t="str">
            <v>MTAs90mm</v>
          </cell>
          <cell r="C202" t="str">
            <v>MTAs</v>
          </cell>
          <cell r="D202" t="str">
            <v>90mm</v>
          </cell>
          <cell r="E202" t="str">
            <v>PVC</v>
          </cell>
          <cell r="F202" t="str">
            <v>each</v>
          </cell>
          <cell r="G202">
            <v>90</v>
          </cell>
          <cell r="H202">
            <v>104</v>
          </cell>
          <cell r="I202">
            <v>120</v>
          </cell>
        </row>
        <row r="203">
          <cell r="B203" t="str">
            <v>MTAs110mm</v>
          </cell>
          <cell r="C203" t="str">
            <v>MTAs</v>
          </cell>
          <cell r="D203" t="str">
            <v>110mm</v>
          </cell>
          <cell r="E203" t="str">
            <v>PVC</v>
          </cell>
          <cell r="F203" t="str">
            <v>each</v>
          </cell>
          <cell r="G203">
            <v>100</v>
          </cell>
          <cell r="H203">
            <v>115</v>
          </cell>
          <cell r="I203">
            <v>132</v>
          </cell>
        </row>
        <row r="204">
          <cell r="B204" t="str">
            <v>MTAs125mm</v>
          </cell>
          <cell r="C204" t="str">
            <v>MTAs</v>
          </cell>
          <cell r="D204" t="str">
            <v>125mm</v>
          </cell>
          <cell r="E204" t="str">
            <v>PVC</v>
          </cell>
          <cell r="F204" t="str">
            <v>each</v>
          </cell>
          <cell r="G204">
            <v>142</v>
          </cell>
          <cell r="H204">
            <v>163</v>
          </cell>
          <cell r="I204">
            <v>187</v>
          </cell>
        </row>
        <row r="205">
          <cell r="B205" t="str">
            <v>MTAs140mm</v>
          </cell>
          <cell r="C205" t="str">
            <v>MTAs</v>
          </cell>
          <cell r="D205" t="str">
            <v>140mm</v>
          </cell>
          <cell r="E205" t="str">
            <v>PVC</v>
          </cell>
          <cell r="F205" t="str">
            <v>each</v>
          </cell>
          <cell r="G205">
            <v>165</v>
          </cell>
          <cell r="H205">
            <v>190</v>
          </cell>
          <cell r="I205">
            <v>219</v>
          </cell>
        </row>
        <row r="206">
          <cell r="B206" t="str">
            <v>MTAs160mm</v>
          </cell>
          <cell r="C206" t="str">
            <v>MTAs</v>
          </cell>
          <cell r="D206" t="str">
            <v>160mm</v>
          </cell>
          <cell r="E206" t="str">
            <v>PVC</v>
          </cell>
          <cell r="F206" t="str">
            <v>each</v>
          </cell>
          <cell r="G206">
            <v>188</v>
          </cell>
          <cell r="H206">
            <v>216</v>
          </cell>
          <cell r="I206">
            <v>248</v>
          </cell>
        </row>
        <row r="207">
          <cell r="B207" t="str">
            <v>MTAs180mm</v>
          </cell>
          <cell r="C207" t="str">
            <v>MTAs</v>
          </cell>
          <cell r="D207" t="str">
            <v>180mm</v>
          </cell>
          <cell r="E207" t="str">
            <v>PVC</v>
          </cell>
          <cell r="F207" t="str">
            <v>each</v>
          </cell>
          <cell r="G207">
            <v>220</v>
          </cell>
          <cell r="H207">
            <v>253</v>
          </cell>
          <cell r="I207">
            <v>291</v>
          </cell>
        </row>
        <row r="208">
          <cell r="B208" t="str">
            <v>MTAs200mm</v>
          </cell>
          <cell r="C208" t="str">
            <v>MTAs</v>
          </cell>
          <cell r="D208" t="str">
            <v>200mm</v>
          </cell>
          <cell r="E208" t="str">
            <v>PVC</v>
          </cell>
          <cell r="F208" t="str">
            <v>each</v>
          </cell>
          <cell r="G208">
            <v>260</v>
          </cell>
          <cell r="H208">
            <v>299</v>
          </cell>
          <cell r="I208">
            <v>344</v>
          </cell>
        </row>
        <row r="209">
          <cell r="B209" t="str">
            <v>MTAs225mm</v>
          </cell>
          <cell r="C209" t="str">
            <v>MTAs</v>
          </cell>
          <cell r="D209" t="str">
            <v>225mm</v>
          </cell>
          <cell r="E209" t="str">
            <v>PVC</v>
          </cell>
          <cell r="F209" t="str">
            <v>each</v>
          </cell>
          <cell r="G209">
            <v>280</v>
          </cell>
          <cell r="H209">
            <v>322</v>
          </cell>
          <cell r="I209">
            <v>370</v>
          </cell>
        </row>
        <row r="210">
          <cell r="B210" t="str">
            <v>MTAs250mm</v>
          </cell>
          <cell r="C210" t="str">
            <v>MTAs</v>
          </cell>
          <cell r="D210" t="str">
            <v>250mm</v>
          </cell>
          <cell r="E210" t="str">
            <v>PVC</v>
          </cell>
          <cell r="F210" t="str">
            <v>each</v>
          </cell>
          <cell r="G210">
            <v>340</v>
          </cell>
          <cell r="H210">
            <v>391</v>
          </cell>
          <cell r="I210">
            <v>450</v>
          </cell>
        </row>
        <row r="211">
          <cell r="B211" t="str">
            <v>MTAs280mm</v>
          </cell>
          <cell r="C211" t="str">
            <v>MTAs</v>
          </cell>
          <cell r="D211" t="str">
            <v>280mm</v>
          </cell>
          <cell r="E211" t="str">
            <v>PVC</v>
          </cell>
          <cell r="F211" t="str">
            <v>each</v>
          </cell>
          <cell r="G211">
            <v>380</v>
          </cell>
          <cell r="H211">
            <v>437</v>
          </cell>
          <cell r="I211">
            <v>503</v>
          </cell>
        </row>
        <row r="212">
          <cell r="B212" t="str">
            <v>MTAs315mm</v>
          </cell>
          <cell r="C212" t="str">
            <v>MTAs</v>
          </cell>
          <cell r="D212" t="str">
            <v>315mm</v>
          </cell>
          <cell r="E212" t="str">
            <v>PVC</v>
          </cell>
          <cell r="F212" t="str">
            <v>each</v>
          </cell>
          <cell r="G212">
            <v>420</v>
          </cell>
          <cell r="H212">
            <v>483</v>
          </cell>
          <cell r="I212">
            <v>555</v>
          </cell>
        </row>
        <row r="213">
          <cell r="B213" t="str">
            <v>MS threaded flanges63mm</v>
          </cell>
          <cell r="C213" t="str">
            <v>MS threaded flanges</v>
          </cell>
          <cell r="D213" t="str">
            <v>63mm</v>
          </cell>
          <cell r="E213" t="str">
            <v>PVC</v>
          </cell>
          <cell r="F213" t="str">
            <v>each</v>
          </cell>
          <cell r="G213">
            <v>296</v>
          </cell>
          <cell r="H213">
            <v>340</v>
          </cell>
          <cell r="I213">
            <v>391</v>
          </cell>
        </row>
        <row r="214">
          <cell r="B214" t="str">
            <v>MS threaded flanges75mm</v>
          </cell>
          <cell r="C214" t="str">
            <v>MS threaded flanges</v>
          </cell>
          <cell r="D214" t="str">
            <v>75mm</v>
          </cell>
          <cell r="E214" t="str">
            <v>PVC</v>
          </cell>
          <cell r="F214" t="str">
            <v>each</v>
          </cell>
          <cell r="G214">
            <v>296</v>
          </cell>
          <cell r="H214">
            <v>340</v>
          </cell>
          <cell r="I214">
            <v>391</v>
          </cell>
        </row>
        <row r="215">
          <cell r="B215" t="str">
            <v>MS threaded flanges90mm</v>
          </cell>
          <cell r="C215" t="str">
            <v>MS threaded flanges</v>
          </cell>
          <cell r="D215" t="str">
            <v>90mm</v>
          </cell>
          <cell r="E215" t="str">
            <v>PVC</v>
          </cell>
          <cell r="F215" t="str">
            <v>each</v>
          </cell>
          <cell r="G215">
            <v>296</v>
          </cell>
          <cell r="H215">
            <v>340</v>
          </cell>
          <cell r="I215">
            <v>391</v>
          </cell>
        </row>
        <row r="216">
          <cell r="B216" t="str">
            <v>MS threaded flanges110mm</v>
          </cell>
          <cell r="C216" t="str">
            <v>MS threaded flanges</v>
          </cell>
          <cell r="D216" t="str">
            <v>110mm</v>
          </cell>
          <cell r="E216" t="str">
            <v>PVC</v>
          </cell>
          <cell r="F216" t="str">
            <v>each</v>
          </cell>
          <cell r="G216">
            <v>360</v>
          </cell>
          <cell r="H216">
            <v>414</v>
          </cell>
          <cell r="I216">
            <v>476</v>
          </cell>
        </row>
        <row r="217">
          <cell r="B217" t="str">
            <v>MS threaded flanges125mm</v>
          </cell>
          <cell r="C217" t="str">
            <v>MS threaded flanges</v>
          </cell>
          <cell r="D217" t="str">
            <v>125mm</v>
          </cell>
          <cell r="E217" t="str">
            <v>PVC</v>
          </cell>
          <cell r="F217" t="str">
            <v>each</v>
          </cell>
          <cell r="G217">
            <v>484</v>
          </cell>
          <cell r="H217">
            <v>557</v>
          </cell>
          <cell r="I217">
            <v>641</v>
          </cell>
        </row>
        <row r="218">
          <cell r="B218" t="str">
            <v>MS threaded flanges140mm</v>
          </cell>
          <cell r="C218" t="str">
            <v>MS threaded flanges</v>
          </cell>
          <cell r="D218" t="str">
            <v>140mm</v>
          </cell>
          <cell r="E218" t="str">
            <v>PVC</v>
          </cell>
          <cell r="F218" t="str">
            <v>each</v>
          </cell>
          <cell r="G218">
            <v>564</v>
          </cell>
          <cell r="H218">
            <v>649</v>
          </cell>
          <cell r="I218">
            <v>746</v>
          </cell>
        </row>
        <row r="219">
          <cell r="B219" t="str">
            <v>MS threaded flanges160mm</v>
          </cell>
          <cell r="C219" t="str">
            <v>MS threaded flanges</v>
          </cell>
          <cell r="D219" t="str">
            <v>160mm</v>
          </cell>
          <cell r="E219" t="str">
            <v>PVC</v>
          </cell>
          <cell r="F219" t="str">
            <v>each</v>
          </cell>
          <cell r="G219">
            <v>564</v>
          </cell>
          <cell r="H219">
            <v>649</v>
          </cell>
          <cell r="I219">
            <v>746</v>
          </cell>
        </row>
        <row r="220">
          <cell r="B220" t="str">
            <v>MS threaded flanges180mm</v>
          </cell>
          <cell r="C220" t="str">
            <v>MS threaded flanges</v>
          </cell>
          <cell r="D220" t="str">
            <v>180mm</v>
          </cell>
          <cell r="E220" t="str">
            <v>PVC</v>
          </cell>
          <cell r="F220" t="str">
            <v>each</v>
          </cell>
          <cell r="G220">
            <v>764</v>
          </cell>
          <cell r="H220">
            <v>879</v>
          </cell>
          <cell r="I220">
            <v>1011</v>
          </cell>
        </row>
        <row r="221">
          <cell r="B221" t="str">
            <v>MS threaded flanges200mm</v>
          </cell>
          <cell r="C221" t="str">
            <v>MS threaded flanges</v>
          </cell>
          <cell r="D221" t="str">
            <v>200mm</v>
          </cell>
          <cell r="E221" t="str">
            <v>PVC</v>
          </cell>
          <cell r="F221" t="str">
            <v>each</v>
          </cell>
          <cell r="G221">
            <v>780</v>
          </cell>
          <cell r="H221">
            <v>897</v>
          </cell>
          <cell r="I221">
            <v>1032</v>
          </cell>
        </row>
        <row r="222">
          <cell r="B222" t="str">
            <v>MS threaded flanges225mm</v>
          </cell>
          <cell r="C222" t="str">
            <v>MS threaded flanges</v>
          </cell>
          <cell r="D222" t="str">
            <v>225mm</v>
          </cell>
          <cell r="E222" t="str">
            <v>PVC</v>
          </cell>
          <cell r="F222" t="str">
            <v>each</v>
          </cell>
          <cell r="G222">
            <v>825</v>
          </cell>
          <cell r="H222">
            <v>949</v>
          </cell>
          <cell r="I222">
            <v>1091</v>
          </cell>
        </row>
        <row r="223">
          <cell r="B223" t="str">
            <v>MS threaded flanges250mm</v>
          </cell>
          <cell r="C223" t="str">
            <v>MS threaded flanges</v>
          </cell>
          <cell r="D223" t="str">
            <v>250mm</v>
          </cell>
          <cell r="E223" t="str">
            <v>PVC</v>
          </cell>
          <cell r="F223" t="str">
            <v>each</v>
          </cell>
          <cell r="G223">
            <v>840</v>
          </cell>
          <cell r="H223">
            <v>966</v>
          </cell>
          <cell r="I223">
            <v>1111</v>
          </cell>
        </row>
        <row r="224">
          <cell r="B224" t="str">
            <v>MS threaded flanges280mm</v>
          </cell>
          <cell r="C224" t="str">
            <v>MS threaded flanges</v>
          </cell>
          <cell r="D224" t="str">
            <v>280mm</v>
          </cell>
          <cell r="E224" t="str">
            <v>PVC</v>
          </cell>
          <cell r="F224" t="str">
            <v>each</v>
          </cell>
          <cell r="G224">
            <v>860</v>
          </cell>
          <cell r="H224">
            <v>989</v>
          </cell>
          <cell r="I224">
            <v>1137</v>
          </cell>
        </row>
        <row r="225">
          <cell r="B225" t="str">
            <v>MS threaded flanges315mm</v>
          </cell>
          <cell r="C225" t="str">
            <v>MS threaded flanges</v>
          </cell>
          <cell r="D225" t="str">
            <v>315mm</v>
          </cell>
          <cell r="E225" t="str">
            <v>PVC</v>
          </cell>
          <cell r="F225" t="str">
            <v>each</v>
          </cell>
          <cell r="G225">
            <v>860</v>
          </cell>
          <cell r="H225">
            <v>989</v>
          </cell>
          <cell r="I225">
            <v>1137</v>
          </cell>
        </row>
        <row r="226">
          <cell r="B226" t="str">
            <v>Jointing charges-Main line63mmPVC</v>
          </cell>
          <cell r="C226" t="str">
            <v>Jointing charges-Main line</v>
          </cell>
          <cell r="D226" t="str">
            <v>63mm</v>
          </cell>
          <cell r="E226" t="str">
            <v>PVC</v>
          </cell>
          <cell r="F226" t="str">
            <v>each</v>
          </cell>
          <cell r="G226">
            <v>147.16</v>
          </cell>
          <cell r="H226">
            <v>147.16</v>
          </cell>
          <cell r="I226">
            <v>147.16</v>
          </cell>
        </row>
        <row r="227">
          <cell r="B227" t="str">
            <v>Jointing charges-Main line75mmPVC</v>
          </cell>
          <cell r="C227" t="str">
            <v>Jointing charges-Main line</v>
          </cell>
          <cell r="D227" t="str">
            <v>75mm</v>
          </cell>
          <cell r="E227" t="str">
            <v>PVC</v>
          </cell>
          <cell r="F227" t="str">
            <v>each</v>
          </cell>
          <cell r="G227">
            <v>147.16</v>
          </cell>
          <cell r="H227">
            <v>147.16</v>
          </cell>
          <cell r="I227">
            <v>147.16</v>
          </cell>
        </row>
        <row r="228">
          <cell r="B228" t="str">
            <v>Jointing charges-Main line90mmPVC</v>
          </cell>
          <cell r="C228" t="str">
            <v>Jointing charges-Main line</v>
          </cell>
          <cell r="D228" t="str">
            <v>90mm</v>
          </cell>
          <cell r="E228" t="str">
            <v>PVC</v>
          </cell>
          <cell r="F228" t="str">
            <v>each</v>
          </cell>
          <cell r="G228">
            <v>147.16</v>
          </cell>
          <cell r="H228">
            <v>147.16</v>
          </cell>
          <cell r="I228">
            <v>147.16</v>
          </cell>
        </row>
        <row r="229">
          <cell r="B229" t="str">
            <v>Jointing charges-Main line110mmPVC</v>
          </cell>
          <cell r="C229" t="str">
            <v>Jointing charges-Main line</v>
          </cell>
          <cell r="D229" t="str">
            <v>110mm</v>
          </cell>
          <cell r="E229" t="str">
            <v>PVC</v>
          </cell>
          <cell r="F229" t="str">
            <v>each</v>
          </cell>
          <cell r="G229">
            <v>264.36</v>
          </cell>
          <cell r="H229">
            <v>264.36</v>
          </cell>
          <cell r="I229">
            <v>264.36</v>
          </cell>
        </row>
        <row r="230">
          <cell r="B230" t="str">
            <v>Jointing charges-Main line125mmPVC</v>
          </cell>
          <cell r="C230" t="str">
            <v>Jointing charges-Main line</v>
          </cell>
          <cell r="D230" t="str">
            <v>125mm</v>
          </cell>
          <cell r="E230" t="str">
            <v>PVC</v>
          </cell>
          <cell r="F230" t="str">
            <v>each</v>
          </cell>
          <cell r="G230">
            <v>276.5</v>
          </cell>
          <cell r="H230">
            <v>276.5</v>
          </cell>
          <cell r="I230">
            <v>276.5</v>
          </cell>
        </row>
        <row r="231">
          <cell r="B231" t="str">
            <v>Jointing charges-Main line140mmPVC</v>
          </cell>
          <cell r="C231" t="str">
            <v>Jointing charges-Main line</v>
          </cell>
          <cell r="D231" t="str">
            <v>140mm</v>
          </cell>
          <cell r="E231" t="str">
            <v>PVC</v>
          </cell>
          <cell r="F231" t="str">
            <v>each</v>
          </cell>
          <cell r="G231">
            <v>364.94</v>
          </cell>
          <cell r="H231">
            <v>364.94</v>
          </cell>
          <cell r="I231">
            <v>364.94</v>
          </cell>
        </row>
        <row r="232">
          <cell r="B232" t="str">
            <v>Jointing charges-Main line160mmPVC</v>
          </cell>
          <cell r="C232" t="str">
            <v>Jointing charges-Main line</v>
          </cell>
          <cell r="D232" t="str">
            <v>160mm</v>
          </cell>
          <cell r="E232" t="str">
            <v>PVC</v>
          </cell>
          <cell r="F232" t="str">
            <v>each</v>
          </cell>
          <cell r="G232">
            <v>364.94</v>
          </cell>
          <cell r="H232">
            <v>364.94</v>
          </cell>
          <cell r="I232">
            <v>364.94</v>
          </cell>
        </row>
        <row r="233">
          <cell r="B233" t="str">
            <v>Jointing charges-Main line180mmPVC</v>
          </cell>
          <cell r="C233" t="str">
            <v>Jointing charges-Main line</v>
          </cell>
          <cell r="D233" t="str">
            <v>180mm</v>
          </cell>
          <cell r="E233" t="str">
            <v>PVC</v>
          </cell>
          <cell r="F233" t="str">
            <v>each</v>
          </cell>
          <cell r="G233">
            <v>364.94</v>
          </cell>
          <cell r="H233">
            <v>364.94</v>
          </cell>
          <cell r="I233">
            <v>364.94</v>
          </cell>
        </row>
        <row r="234">
          <cell r="B234" t="str">
            <v>Jointing charges-Main line200mmPVC</v>
          </cell>
          <cell r="C234" t="str">
            <v>Jointing charges-Main line</v>
          </cell>
          <cell r="D234" t="str">
            <v>200mm</v>
          </cell>
          <cell r="E234" t="str">
            <v>PVC</v>
          </cell>
          <cell r="F234" t="str">
            <v>each</v>
          </cell>
          <cell r="G234">
            <v>387.88</v>
          </cell>
          <cell r="H234">
            <v>387.88</v>
          </cell>
          <cell r="I234">
            <v>387.88</v>
          </cell>
        </row>
        <row r="235">
          <cell r="B235" t="str">
            <v>Jointing charges-Main line225mmPVC</v>
          </cell>
          <cell r="C235" t="str">
            <v>Jointing charges-Main line</v>
          </cell>
          <cell r="D235" t="str">
            <v>225mm</v>
          </cell>
          <cell r="E235" t="str">
            <v>PVC</v>
          </cell>
          <cell r="F235" t="str">
            <v>each</v>
          </cell>
          <cell r="G235">
            <v>387.88</v>
          </cell>
          <cell r="H235">
            <v>387.88</v>
          </cell>
          <cell r="I235">
            <v>387.88</v>
          </cell>
        </row>
        <row r="236">
          <cell r="B236" t="str">
            <v>Jointing charges-Main line250mmPVC</v>
          </cell>
          <cell r="C236" t="str">
            <v>Jointing charges-Main line</v>
          </cell>
          <cell r="D236" t="str">
            <v>250mm</v>
          </cell>
          <cell r="E236" t="str">
            <v>PVC</v>
          </cell>
          <cell r="F236" t="str">
            <v>each</v>
          </cell>
          <cell r="G236">
            <v>567.64</v>
          </cell>
          <cell r="H236">
            <v>567.64</v>
          </cell>
          <cell r="I236">
            <v>567.64</v>
          </cell>
        </row>
        <row r="237">
          <cell r="B237" t="str">
            <v>Jointing charges-Main line280mmPVC</v>
          </cell>
          <cell r="C237" t="str">
            <v>Jointing charges-Main line</v>
          </cell>
          <cell r="D237" t="str">
            <v>280mm</v>
          </cell>
          <cell r="E237" t="str">
            <v>PVC</v>
          </cell>
          <cell r="F237" t="str">
            <v>each</v>
          </cell>
          <cell r="G237">
            <v>567.64</v>
          </cell>
          <cell r="H237">
            <v>567.64</v>
          </cell>
          <cell r="I237">
            <v>567.64</v>
          </cell>
        </row>
        <row r="238">
          <cell r="B238" t="str">
            <v>Jointing charges-Main line315mmPVC</v>
          </cell>
          <cell r="C238" t="str">
            <v>Jointing charges-Main line</v>
          </cell>
          <cell r="D238" t="str">
            <v>315mm</v>
          </cell>
          <cell r="E238" t="str">
            <v>PVC</v>
          </cell>
          <cell r="F238" t="str">
            <v>each</v>
          </cell>
          <cell r="G238">
            <v>602.08000000000004</v>
          </cell>
          <cell r="H238">
            <v>602.08000000000004</v>
          </cell>
          <cell r="I238">
            <v>602.08000000000004</v>
          </cell>
        </row>
        <row r="239">
          <cell r="B239" t="str">
            <v>Jointing charges-Air valve63mmPVC</v>
          </cell>
          <cell r="C239" t="str">
            <v>Jointing charges-Air valve</v>
          </cell>
          <cell r="D239" t="str">
            <v>63mm</v>
          </cell>
          <cell r="E239" t="str">
            <v>PVC</v>
          </cell>
          <cell r="F239" t="str">
            <v>each</v>
          </cell>
          <cell r="G239">
            <v>46.06</v>
          </cell>
          <cell r="H239">
            <v>46.06</v>
          </cell>
          <cell r="I239">
            <v>46.06</v>
          </cell>
        </row>
        <row r="240">
          <cell r="B240" t="str">
            <v>Jointing charges-Air valve75mmPVC</v>
          </cell>
          <cell r="C240" t="str">
            <v>Jointing charges-Air valve</v>
          </cell>
          <cell r="D240" t="str">
            <v>75mm</v>
          </cell>
          <cell r="E240" t="str">
            <v>PVC</v>
          </cell>
          <cell r="F240" t="str">
            <v>each</v>
          </cell>
          <cell r="G240">
            <v>46.06</v>
          </cell>
          <cell r="H240">
            <v>46.06</v>
          </cell>
          <cell r="I240">
            <v>46.06</v>
          </cell>
        </row>
        <row r="241">
          <cell r="B241" t="str">
            <v>Jointing charges-Air valve90mmPVC</v>
          </cell>
          <cell r="C241" t="str">
            <v>Jointing charges-Air valve</v>
          </cell>
          <cell r="D241" t="str">
            <v>90mm</v>
          </cell>
          <cell r="E241" t="str">
            <v>PVC</v>
          </cell>
          <cell r="F241" t="str">
            <v>each</v>
          </cell>
          <cell r="G241">
            <v>46.06</v>
          </cell>
          <cell r="H241">
            <v>46.06</v>
          </cell>
          <cell r="I241">
            <v>46.06</v>
          </cell>
        </row>
        <row r="242">
          <cell r="B242" t="str">
            <v>Jointing charges-Air valve110mmPVC</v>
          </cell>
          <cell r="C242" t="str">
            <v>Jointing charges-Air valve</v>
          </cell>
          <cell r="D242" t="str">
            <v>110mm</v>
          </cell>
          <cell r="E242" t="str">
            <v>PVC</v>
          </cell>
          <cell r="F242" t="str">
            <v>each</v>
          </cell>
          <cell r="G242">
            <v>46.06</v>
          </cell>
          <cell r="H242">
            <v>46.06</v>
          </cell>
          <cell r="I242">
            <v>46.06</v>
          </cell>
        </row>
        <row r="243">
          <cell r="B243" t="str">
            <v>Jointing charges-Air valve125mmPVC</v>
          </cell>
          <cell r="C243" t="str">
            <v>Jointing charges-Air valve</v>
          </cell>
          <cell r="D243" t="str">
            <v>125mm</v>
          </cell>
          <cell r="E243" t="str">
            <v>PVC</v>
          </cell>
          <cell r="F243" t="str">
            <v>each</v>
          </cell>
          <cell r="G243">
            <v>71.89</v>
          </cell>
          <cell r="H243">
            <v>71.89</v>
          </cell>
          <cell r="I243">
            <v>71.89</v>
          </cell>
        </row>
        <row r="244">
          <cell r="B244" t="str">
            <v>Jointing charges-Air valve140mmPVC</v>
          </cell>
          <cell r="C244" t="str">
            <v>Jointing charges-Air valve</v>
          </cell>
          <cell r="D244" t="str">
            <v>140mm</v>
          </cell>
          <cell r="E244" t="str">
            <v>PVC</v>
          </cell>
          <cell r="F244" t="str">
            <v>each</v>
          </cell>
          <cell r="G244">
            <v>71.89</v>
          </cell>
          <cell r="H244">
            <v>71.89</v>
          </cell>
          <cell r="I244">
            <v>71.89</v>
          </cell>
        </row>
        <row r="245">
          <cell r="B245" t="str">
            <v>Jointing charges-Air valve160mmPVC</v>
          </cell>
          <cell r="C245" t="str">
            <v>Jointing charges-Air valve</v>
          </cell>
          <cell r="D245" t="str">
            <v>160mm</v>
          </cell>
          <cell r="E245" t="str">
            <v>PVC</v>
          </cell>
          <cell r="F245" t="str">
            <v>each</v>
          </cell>
          <cell r="G245">
            <v>71.89</v>
          </cell>
          <cell r="H245">
            <v>71.89</v>
          </cell>
          <cell r="I245">
            <v>71.89</v>
          </cell>
        </row>
        <row r="246">
          <cell r="B246" t="str">
            <v>Jointing charges-Air valve180mmPVC</v>
          </cell>
          <cell r="C246" t="str">
            <v>Jointing charges-Air valve</v>
          </cell>
          <cell r="D246" t="str">
            <v>180mm</v>
          </cell>
          <cell r="E246" t="str">
            <v>PVC</v>
          </cell>
          <cell r="F246" t="str">
            <v>each</v>
          </cell>
          <cell r="G246">
            <v>71.89</v>
          </cell>
          <cell r="H246">
            <v>71.89</v>
          </cell>
          <cell r="I246">
            <v>71.89</v>
          </cell>
        </row>
        <row r="247">
          <cell r="B247" t="str">
            <v>Jointing charges-Air valve200mmPVC</v>
          </cell>
          <cell r="C247" t="str">
            <v>Jointing charges-Air valve</v>
          </cell>
          <cell r="D247" t="str">
            <v>200mm</v>
          </cell>
          <cell r="E247" t="str">
            <v>PVC</v>
          </cell>
          <cell r="F247" t="str">
            <v>each</v>
          </cell>
          <cell r="G247">
            <v>71.89</v>
          </cell>
          <cell r="H247">
            <v>71.89</v>
          </cell>
          <cell r="I247">
            <v>71.89</v>
          </cell>
        </row>
        <row r="248">
          <cell r="B248" t="str">
            <v>Jointing charges-Air valve225mmPVC</v>
          </cell>
          <cell r="C248" t="str">
            <v>Jointing charges-Air valve</v>
          </cell>
          <cell r="D248" t="str">
            <v>225mm</v>
          </cell>
          <cell r="E248" t="str">
            <v>PVC</v>
          </cell>
          <cell r="F248" t="str">
            <v>each</v>
          </cell>
          <cell r="G248">
            <v>71.89</v>
          </cell>
          <cell r="H248">
            <v>71.89</v>
          </cell>
          <cell r="I248">
            <v>71.89</v>
          </cell>
        </row>
        <row r="249">
          <cell r="B249" t="str">
            <v>Jointing charges-Air valve250mmPVC</v>
          </cell>
          <cell r="C249" t="str">
            <v>Jointing charges-Air valve</v>
          </cell>
          <cell r="D249" t="str">
            <v>250mm</v>
          </cell>
          <cell r="E249" t="str">
            <v>PVC</v>
          </cell>
          <cell r="F249" t="str">
            <v>each</v>
          </cell>
          <cell r="G249">
            <v>73.58</v>
          </cell>
          <cell r="H249">
            <v>73.58</v>
          </cell>
          <cell r="I249">
            <v>73.58</v>
          </cell>
        </row>
        <row r="250">
          <cell r="B250" t="str">
            <v>Jointing charges-Air valve280mmPVC</v>
          </cell>
          <cell r="C250" t="str">
            <v>Jointing charges-Air valve</v>
          </cell>
          <cell r="D250" t="str">
            <v>280mm</v>
          </cell>
          <cell r="E250" t="str">
            <v>PVC</v>
          </cell>
          <cell r="F250" t="str">
            <v>each</v>
          </cell>
          <cell r="G250">
            <v>73.58</v>
          </cell>
          <cell r="H250">
            <v>73.58</v>
          </cell>
          <cell r="I250">
            <v>73.58</v>
          </cell>
        </row>
        <row r="251">
          <cell r="B251" t="str">
            <v>Jointing charges-Air valve315mmPVC</v>
          </cell>
          <cell r="C251" t="str">
            <v>Jointing charges-Air valve</v>
          </cell>
          <cell r="D251" t="str">
            <v>315mm</v>
          </cell>
          <cell r="E251" t="str">
            <v>PVC</v>
          </cell>
          <cell r="F251" t="str">
            <v>each</v>
          </cell>
          <cell r="G251">
            <v>73.58</v>
          </cell>
          <cell r="H251">
            <v>73.58</v>
          </cell>
          <cell r="I251">
            <v>73.58</v>
          </cell>
        </row>
        <row r="252">
          <cell r="B252" t="str">
            <v>Labour charges for flanged joints63mmPVC</v>
          </cell>
          <cell r="C252" t="str">
            <v>Labour charges for flanged joints</v>
          </cell>
          <cell r="D252" t="str">
            <v>63mm</v>
          </cell>
          <cell r="E252" t="str">
            <v>PVC</v>
          </cell>
          <cell r="F252" t="str">
            <v>each</v>
          </cell>
          <cell r="G252">
            <v>220.4</v>
          </cell>
          <cell r="H252">
            <v>220.4</v>
          </cell>
          <cell r="I252">
            <v>220.4</v>
          </cell>
        </row>
        <row r="253">
          <cell r="B253" t="str">
            <v>Labour charges for flanged joints75mmPVC</v>
          </cell>
          <cell r="C253" t="str">
            <v>Labour charges for flanged joints</v>
          </cell>
          <cell r="D253" t="str">
            <v>75mm</v>
          </cell>
          <cell r="E253" t="str">
            <v>PVC</v>
          </cell>
          <cell r="F253" t="str">
            <v>each</v>
          </cell>
          <cell r="G253">
            <v>220.4</v>
          </cell>
          <cell r="H253">
            <v>220.4</v>
          </cell>
          <cell r="I253">
            <v>220.4</v>
          </cell>
        </row>
        <row r="254">
          <cell r="B254" t="str">
            <v>Labour charges for flanged joints90mmPVC</v>
          </cell>
          <cell r="C254" t="str">
            <v>Labour charges for flanged joints</v>
          </cell>
          <cell r="D254" t="str">
            <v>90mm</v>
          </cell>
          <cell r="E254" t="str">
            <v>PVC</v>
          </cell>
          <cell r="F254" t="str">
            <v>each</v>
          </cell>
          <cell r="G254">
            <v>220.4</v>
          </cell>
          <cell r="H254">
            <v>220.4</v>
          </cell>
          <cell r="I254">
            <v>220.4</v>
          </cell>
        </row>
        <row r="255">
          <cell r="B255" t="str">
            <v>Labour charges for flanged joints110mmPVC</v>
          </cell>
          <cell r="C255" t="str">
            <v>Labour charges for flanged joints</v>
          </cell>
          <cell r="D255" t="str">
            <v>110mm</v>
          </cell>
          <cell r="E255" t="str">
            <v>PVC</v>
          </cell>
          <cell r="F255" t="str">
            <v>each</v>
          </cell>
          <cell r="G255">
            <v>234.8</v>
          </cell>
          <cell r="H255">
            <v>234.8</v>
          </cell>
          <cell r="I255">
            <v>234.8</v>
          </cell>
        </row>
        <row r="256">
          <cell r="B256" t="str">
            <v>Labour charges for flanged joints125mmPVC</v>
          </cell>
          <cell r="C256" t="str">
            <v>Labour charges for flanged joints</v>
          </cell>
          <cell r="D256" t="str">
            <v>125mm</v>
          </cell>
          <cell r="E256" t="str">
            <v>PVC</v>
          </cell>
          <cell r="F256" t="str">
            <v>each</v>
          </cell>
          <cell r="G256">
            <v>339.2</v>
          </cell>
          <cell r="H256">
            <v>339.2</v>
          </cell>
          <cell r="I256">
            <v>339.2</v>
          </cell>
        </row>
        <row r="257">
          <cell r="B257" t="str">
            <v>Labour charges for flanged joints140mmPVC</v>
          </cell>
          <cell r="C257" t="str">
            <v>Labour charges for flanged joints</v>
          </cell>
          <cell r="D257" t="str">
            <v>140mm</v>
          </cell>
          <cell r="E257" t="str">
            <v>PVC</v>
          </cell>
          <cell r="F257" t="str">
            <v>each</v>
          </cell>
          <cell r="G257">
            <v>353.2</v>
          </cell>
          <cell r="H257">
            <v>353.2</v>
          </cell>
          <cell r="I257">
            <v>353.2</v>
          </cell>
        </row>
        <row r="258">
          <cell r="B258" t="str">
            <v>Labour charges for flanged joints160mmPVC</v>
          </cell>
          <cell r="C258" t="str">
            <v>Labour charges for flanged joints</v>
          </cell>
          <cell r="D258" t="str">
            <v>160mm</v>
          </cell>
          <cell r="E258" t="str">
            <v>PVC</v>
          </cell>
          <cell r="F258" t="str">
            <v>each</v>
          </cell>
          <cell r="G258">
            <v>353.2</v>
          </cell>
          <cell r="H258">
            <v>353.2</v>
          </cell>
          <cell r="I258">
            <v>353.2</v>
          </cell>
        </row>
        <row r="259">
          <cell r="B259" t="str">
            <v>Labour charges for flanged joints180mmPVC</v>
          </cell>
          <cell r="C259" t="str">
            <v>Labour charges for flanged joints</v>
          </cell>
          <cell r="D259" t="str">
            <v>180mm</v>
          </cell>
          <cell r="E259" t="str">
            <v>PVC</v>
          </cell>
          <cell r="F259" t="str">
            <v>each</v>
          </cell>
          <cell r="G259">
            <v>353.2</v>
          </cell>
          <cell r="H259">
            <v>353.2</v>
          </cell>
          <cell r="I259">
            <v>353.2</v>
          </cell>
        </row>
        <row r="260">
          <cell r="B260" t="str">
            <v>Labour charges for flanged joints200mmPVC</v>
          </cell>
          <cell r="C260" t="str">
            <v>Labour charges for flanged joints</v>
          </cell>
          <cell r="D260" t="str">
            <v>200mm</v>
          </cell>
          <cell r="E260" t="str">
            <v>PVC</v>
          </cell>
          <cell r="F260" t="str">
            <v>each</v>
          </cell>
          <cell r="G260">
            <v>466</v>
          </cell>
          <cell r="H260">
            <v>466</v>
          </cell>
          <cell r="I260">
            <v>466</v>
          </cell>
        </row>
        <row r="261">
          <cell r="B261" t="str">
            <v>Labour charges for flanged joints225mmPVC</v>
          </cell>
          <cell r="C261" t="str">
            <v>Labour charges for flanged joints</v>
          </cell>
          <cell r="D261" t="str">
            <v>225mm</v>
          </cell>
          <cell r="E261" t="str">
            <v>PVC</v>
          </cell>
          <cell r="F261" t="str">
            <v>each</v>
          </cell>
          <cell r="G261">
            <v>466</v>
          </cell>
          <cell r="H261">
            <v>466</v>
          </cell>
          <cell r="I261">
            <v>466</v>
          </cell>
        </row>
        <row r="262">
          <cell r="B262" t="str">
            <v>Labour charges for flanged joints250mmPVC</v>
          </cell>
          <cell r="C262" t="str">
            <v>Labour charges for flanged joints</v>
          </cell>
          <cell r="D262" t="str">
            <v>250mm</v>
          </cell>
          <cell r="E262" t="str">
            <v>PVC</v>
          </cell>
          <cell r="F262" t="str">
            <v>each</v>
          </cell>
          <cell r="G262">
            <v>576</v>
          </cell>
          <cell r="H262">
            <v>576</v>
          </cell>
          <cell r="I262">
            <v>576</v>
          </cell>
        </row>
        <row r="263">
          <cell r="B263" t="str">
            <v>Labour charges for flanged joints280mmPVC</v>
          </cell>
          <cell r="C263" t="str">
            <v>Labour charges for flanged joints</v>
          </cell>
          <cell r="D263" t="str">
            <v>280mm</v>
          </cell>
          <cell r="E263" t="str">
            <v>PVC</v>
          </cell>
          <cell r="F263" t="str">
            <v>each</v>
          </cell>
          <cell r="G263">
            <v>576</v>
          </cell>
          <cell r="H263">
            <v>576</v>
          </cell>
          <cell r="I263">
            <v>576</v>
          </cell>
        </row>
        <row r="264">
          <cell r="B264" t="str">
            <v>Labour charges for flanged joints315mmPVC</v>
          </cell>
          <cell r="C264" t="str">
            <v>Labour charges for flanged joints</v>
          </cell>
          <cell r="D264" t="str">
            <v>315mm</v>
          </cell>
          <cell r="E264" t="str">
            <v>PVC</v>
          </cell>
          <cell r="F264" t="str">
            <v>each</v>
          </cell>
          <cell r="G264">
            <v>690</v>
          </cell>
          <cell r="H264">
            <v>690</v>
          </cell>
          <cell r="I264">
            <v>690</v>
          </cell>
        </row>
        <row r="265">
          <cell r="B265" t="str">
            <v>Labour charges for fixing of valve63mmPVC</v>
          </cell>
          <cell r="C265" t="str">
            <v>Labour charges for fixing of valve</v>
          </cell>
          <cell r="D265" t="str">
            <v>63mm</v>
          </cell>
          <cell r="E265" t="str">
            <v>PVC</v>
          </cell>
          <cell r="F265" t="str">
            <v>each</v>
          </cell>
          <cell r="G265">
            <v>72.599999999999994</v>
          </cell>
          <cell r="H265">
            <v>72.599999999999994</v>
          </cell>
          <cell r="I265">
            <v>72.599999999999994</v>
          </cell>
        </row>
        <row r="266">
          <cell r="B266" t="str">
            <v>Labour charges for fixing of valve75mmPVC</v>
          </cell>
          <cell r="C266" t="str">
            <v>Labour charges for fixing of valve</v>
          </cell>
          <cell r="D266" t="str">
            <v>75mm</v>
          </cell>
          <cell r="E266" t="str">
            <v>PVC</v>
          </cell>
          <cell r="F266" t="str">
            <v>each</v>
          </cell>
          <cell r="G266">
            <v>72.599999999999994</v>
          </cell>
          <cell r="H266">
            <v>72.599999999999994</v>
          </cell>
          <cell r="I266">
            <v>72.599999999999994</v>
          </cell>
        </row>
        <row r="267">
          <cell r="B267" t="str">
            <v>Labour charges for fixing of valve90mmPVC</v>
          </cell>
          <cell r="C267" t="str">
            <v>Labour charges for fixing of valve</v>
          </cell>
          <cell r="D267" t="str">
            <v>90mm</v>
          </cell>
          <cell r="E267" t="str">
            <v>PVC</v>
          </cell>
          <cell r="F267" t="str">
            <v>each</v>
          </cell>
          <cell r="G267">
            <v>72.599999999999994</v>
          </cell>
          <cell r="H267">
            <v>72.599999999999994</v>
          </cell>
          <cell r="I267">
            <v>72.599999999999994</v>
          </cell>
        </row>
        <row r="268">
          <cell r="B268" t="str">
            <v>Labour charges for fixing of valve110mmPVC</v>
          </cell>
          <cell r="C268" t="str">
            <v>Labour charges for fixing of valve</v>
          </cell>
          <cell r="D268" t="str">
            <v>110mm</v>
          </cell>
          <cell r="E268" t="str">
            <v>PVC</v>
          </cell>
          <cell r="F268" t="str">
            <v>each</v>
          </cell>
          <cell r="G268">
            <v>72.599999999999994</v>
          </cell>
          <cell r="H268">
            <v>72.599999999999994</v>
          </cell>
          <cell r="I268">
            <v>72.599999999999994</v>
          </cell>
        </row>
        <row r="269">
          <cell r="B269" t="str">
            <v>Labour charges for fixing of valve125mmPVC</v>
          </cell>
          <cell r="C269" t="str">
            <v>Labour charges for fixing of valve</v>
          </cell>
          <cell r="D269" t="str">
            <v>125mm</v>
          </cell>
          <cell r="E269" t="str">
            <v>PVC</v>
          </cell>
          <cell r="F269" t="str">
            <v>each</v>
          </cell>
          <cell r="G269">
            <v>76.599999999999994</v>
          </cell>
          <cell r="H269">
            <v>76.599999999999994</v>
          </cell>
          <cell r="I269">
            <v>76.599999999999994</v>
          </cell>
        </row>
        <row r="270">
          <cell r="B270" t="str">
            <v>Labour charges for fixing of valve140mmPVC</v>
          </cell>
          <cell r="C270" t="str">
            <v>Labour charges for fixing of valve</v>
          </cell>
          <cell r="D270" t="str">
            <v>140mm</v>
          </cell>
          <cell r="E270" t="str">
            <v>PVC</v>
          </cell>
          <cell r="F270" t="str">
            <v>each</v>
          </cell>
          <cell r="G270">
            <v>76.599999999999994</v>
          </cell>
          <cell r="H270">
            <v>76.599999999999994</v>
          </cell>
          <cell r="I270">
            <v>76.599999999999994</v>
          </cell>
        </row>
        <row r="271">
          <cell r="B271" t="str">
            <v>Labour charges for fixing of valve160mmPVC</v>
          </cell>
          <cell r="C271" t="str">
            <v>Labour charges for fixing of valve</v>
          </cell>
          <cell r="D271" t="str">
            <v>160mm</v>
          </cell>
          <cell r="E271" t="str">
            <v>PVC</v>
          </cell>
          <cell r="F271" t="str">
            <v>each</v>
          </cell>
          <cell r="G271">
            <v>76.599999999999994</v>
          </cell>
          <cell r="H271">
            <v>76.599999999999994</v>
          </cell>
          <cell r="I271">
            <v>76.599999999999994</v>
          </cell>
        </row>
        <row r="272">
          <cell r="B272" t="str">
            <v>Labour charges for fixing of valve180mmPVC</v>
          </cell>
          <cell r="C272" t="str">
            <v>Labour charges for fixing of valve</v>
          </cell>
          <cell r="D272" t="str">
            <v>180mm</v>
          </cell>
          <cell r="E272" t="str">
            <v>PVC</v>
          </cell>
          <cell r="F272" t="str">
            <v>each</v>
          </cell>
          <cell r="G272">
            <v>76.599999999999994</v>
          </cell>
          <cell r="H272">
            <v>76.599999999999994</v>
          </cell>
          <cell r="I272">
            <v>76.599999999999994</v>
          </cell>
        </row>
        <row r="273">
          <cell r="B273" t="str">
            <v>Labour charges for fixing of valve200mmPVC</v>
          </cell>
          <cell r="C273" t="str">
            <v>Labour charges for fixing of valve</v>
          </cell>
          <cell r="D273" t="str">
            <v>200mm</v>
          </cell>
          <cell r="E273" t="str">
            <v>PVC</v>
          </cell>
          <cell r="F273" t="str">
            <v>each</v>
          </cell>
          <cell r="G273">
            <v>76.599999999999994</v>
          </cell>
          <cell r="H273">
            <v>76.599999999999994</v>
          </cell>
          <cell r="I273">
            <v>76.599999999999994</v>
          </cell>
        </row>
        <row r="274">
          <cell r="B274" t="str">
            <v>Labour charges for fixing of valve225mmPVC</v>
          </cell>
          <cell r="C274" t="str">
            <v>Labour charges for fixing of valve</v>
          </cell>
          <cell r="D274" t="str">
            <v>225mm</v>
          </cell>
          <cell r="E274" t="str">
            <v>PVC</v>
          </cell>
          <cell r="F274" t="str">
            <v>each</v>
          </cell>
          <cell r="G274">
            <v>76.599999999999994</v>
          </cell>
          <cell r="H274">
            <v>76.599999999999994</v>
          </cell>
          <cell r="I274">
            <v>76.599999999999994</v>
          </cell>
        </row>
        <row r="275">
          <cell r="B275" t="str">
            <v>Labour charges for fixing of valve250mmPVC</v>
          </cell>
          <cell r="C275" t="str">
            <v>Labour charges for fixing of valve</v>
          </cell>
          <cell r="D275" t="str">
            <v>250mm</v>
          </cell>
          <cell r="E275" t="str">
            <v>PVC</v>
          </cell>
          <cell r="F275" t="str">
            <v>each</v>
          </cell>
          <cell r="G275">
            <v>89.8</v>
          </cell>
          <cell r="H275">
            <v>89.8</v>
          </cell>
          <cell r="I275">
            <v>89.8</v>
          </cell>
        </row>
        <row r="276">
          <cell r="B276" t="str">
            <v>Labour charges for fixing of valve280mmPVC</v>
          </cell>
          <cell r="C276" t="str">
            <v>Labour charges for fixing of valve</v>
          </cell>
          <cell r="D276" t="str">
            <v>280mm</v>
          </cell>
          <cell r="E276" t="str">
            <v>PVC</v>
          </cell>
          <cell r="F276" t="str">
            <v>each</v>
          </cell>
          <cell r="G276">
            <v>89.8</v>
          </cell>
          <cell r="H276">
            <v>89.8</v>
          </cell>
          <cell r="I276">
            <v>89.8</v>
          </cell>
        </row>
        <row r="277">
          <cell r="B277" t="str">
            <v>Labour charges for fixing of valve315mmPVC</v>
          </cell>
          <cell r="C277" t="str">
            <v>Labour charges for fixing of valve</v>
          </cell>
          <cell r="D277" t="str">
            <v>315mm</v>
          </cell>
          <cell r="E277" t="str">
            <v>PVC</v>
          </cell>
          <cell r="F277" t="str">
            <v>each</v>
          </cell>
          <cell r="G277">
            <v>89.8</v>
          </cell>
          <cell r="H277">
            <v>89.8</v>
          </cell>
          <cell r="I277">
            <v>89.8</v>
          </cell>
        </row>
        <row r="278">
          <cell r="B278" t="str">
            <v>CI A/F Air Tee80x40mm</v>
          </cell>
          <cell r="C278" t="str">
            <v>CI A/F Air Tee</v>
          </cell>
          <cell r="D278" t="str">
            <v>80x40mm</v>
          </cell>
          <cell r="E278">
            <v>24.5</v>
          </cell>
          <cell r="F278" t="str">
            <v>each</v>
          </cell>
          <cell r="G278">
            <v>814.625</v>
          </cell>
          <cell r="H278">
            <v>1296.05</v>
          </cell>
          <cell r="I278">
            <v>997.15000000000009</v>
          </cell>
        </row>
        <row r="279">
          <cell r="B279" t="str">
            <v>CI A/F Air Tee100x40mm</v>
          </cell>
          <cell r="C279" t="str">
            <v>CI A/F Air Tee</v>
          </cell>
          <cell r="D279" t="str">
            <v>100x40mm</v>
          </cell>
          <cell r="E279">
            <v>29.08</v>
          </cell>
          <cell r="F279" t="str">
            <v>each</v>
          </cell>
          <cell r="G279">
            <v>966.91</v>
          </cell>
          <cell r="H279">
            <v>1538.3319999999999</v>
          </cell>
          <cell r="I279">
            <v>1183.556</v>
          </cell>
        </row>
        <row r="280">
          <cell r="B280" t="str">
            <v>CI A/F Air Tee125x50mm</v>
          </cell>
          <cell r="C280" t="str">
            <v>CI A/F Air Tee</v>
          </cell>
          <cell r="D280" t="str">
            <v>125x50mm</v>
          </cell>
          <cell r="E280">
            <v>36.03</v>
          </cell>
          <cell r="F280" t="str">
            <v>each</v>
          </cell>
          <cell r="G280">
            <v>1197.9974999999999</v>
          </cell>
          <cell r="H280">
            <v>1905.9870000000001</v>
          </cell>
          <cell r="I280">
            <v>1466.421</v>
          </cell>
        </row>
        <row r="281">
          <cell r="B281" t="str">
            <v>CI A/F Air Tee150x50mm</v>
          </cell>
          <cell r="C281" t="str">
            <v>CI A/F Air Tee</v>
          </cell>
          <cell r="D281" t="str">
            <v>150x50mm</v>
          </cell>
          <cell r="E281">
            <v>41.64</v>
          </cell>
          <cell r="F281" t="str">
            <v>each</v>
          </cell>
          <cell r="G281">
            <v>1384.53</v>
          </cell>
          <cell r="H281">
            <v>2202.7559999999999</v>
          </cell>
          <cell r="I281">
            <v>1694.748</v>
          </cell>
        </row>
        <row r="282">
          <cell r="B282" t="str">
            <v>CI A/F Air Tee200x50mm</v>
          </cell>
          <cell r="C282" t="str">
            <v>CI A/F Air Tee</v>
          </cell>
          <cell r="D282" t="str">
            <v>200x50mm</v>
          </cell>
          <cell r="E282">
            <v>58.07</v>
          </cell>
          <cell r="F282" t="str">
            <v>each</v>
          </cell>
          <cell r="G282">
            <v>1930.8275000000001</v>
          </cell>
          <cell r="H282">
            <v>3071.9029999999998</v>
          </cell>
          <cell r="I282">
            <v>2363.4490000000001</v>
          </cell>
        </row>
        <row r="283">
          <cell r="B283" t="str">
            <v>CI A/F Air Tee250x80mm</v>
          </cell>
          <cell r="C283" t="str">
            <v>CI A/F Air Tee</v>
          </cell>
          <cell r="D283" t="str">
            <v>250x80mm</v>
          </cell>
          <cell r="E283">
            <v>78</v>
          </cell>
          <cell r="F283" t="str">
            <v>each</v>
          </cell>
          <cell r="G283">
            <v>2593.5</v>
          </cell>
          <cell r="H283">
            <v>4126.2</v>
          </cell>
          <cell r="I283">
            <v>3174.6000000000004</v>
          </cell>
        </row>
        <row r="284">
          <cell r="B284" t="str">
            <v>CI A/F Air Tee300x80mm</v>
          </cell>
          <cell r="C284" t="str">
            <v>CI A/F Air Tee</v>
          </cell>
          <cell r="D284" t="str">
            <v>300x80mm</v>
          </cell>
          <cell r="E284">
            <v>99.12</v>
          </cell>
          <cell r="F284" t="str">
            <v>each</v>
          </cell>
          <cell r="G284">
            <v>3295.7400000000002</v>
          </cell>
          <cell r="H284">
            <v>5243.4480000000003</v>
          </cell>
          <cell r="I284">
            <v>4034.1840000000007</v>
          </cell>
        </row>
        <row r="285">
          <cell r="B285" t="str">
            <v>HDPE Tail piece80x40mm</v>
          </cell>
          <cell r="C285" t="str">
            <v>HDPE Tail piece</v>
          </cell>
          <cell r="D285" t="str">
            <v>80x40mm</v>
          </cell>
          <cell r="G285">
            <v>48</v>
          </cell>
          <cell r="H285">
            <v>48</v>
          </cell>
          <cell r="I285">
            <v>48</v>
          </cell>
        </row>
        <row r="286">
          <cell r="B286" t="str">
            <v>HDPE Tail piece80x40mm</v>
          </cell>
          <cell r="C286" t="str">
            <v>HDPE Tail piece</v>
          </cell>
          <cell r="D286" t="str">
            <v>80x40mm</v>
          </cell>
          <cell r="G286">
            <v>56</v>
          </cell>
          <cell r="H286">
            <v>56</v>
          </cell>
          <cell r="I286">
            <v>56</v>
          </cell>
        </row>
        <row r="287">
          <cell r="B287" t="str">
            <v>HDPE Tail piece80x40mm</v>
          </cell>
          <cell r="C287" t="str">
            <v>HDPE Tail piece</v>
          </cell>
          <cell r="D287" t="str">
            <v>80x40mm</v>
          </cell>
          <cell r="G287">
            <v>64</v>
          </cell>
          <cell r="H287">
            <v>64</v>
          </cell>
          <cell r="I287">
            <v>64</v>
          </cell>
        </row>
        <row r="288">
          <cell r="B288" t="str">
            <v>HDPE Tail piece100x40mm</v>
          </cell>
          <cell r="C288" t="str">
            <v>HDPE Tail piece</v>
          </cell>
          <cell r="D288" t="str">
            <v>100x40mm</v>
          </cell>
          <cell r="G288">
            <v>82</v>
          </cell>
          <cell r="H288">
            <v>82</v>
          </cell>
          <cell r="I288">
            <v>82</v>
          </cell>
        </row>
        <row r="289">
          <cell r="B289" t="str">
            <v>HDPE Tail piece125x50mm</v>
          </cell>
          <cell r="C289" t="str">
            <v>HDPE Tail piece</v>
          </cell>
          <cell r="D289" t="str">
            <v>125x50mm</v>
          </cell>
          <cell r="G289">
            <v>112</v>
          </cell>
          <cell r="H289">
            <v>112</v>
          </cell>
          <cell r="I289">
            <v>112</v>
          </cell>
        </row>
        <row r="290">
          <cell r="B290" t="str">
            <v>HDPE Tail piece150x50mm</v>
          </cell>
          <cell r="C290" t="str">
            <v>HDPE Tail piece</v>
          </cell>
          <cell r="D290" t="str">
            <v>150x50mm</v>
          </cell>
          <cell r="G290">
            <v>142</v>
          </cell>
          <cell r="H290">
            <v>142</v>
          </cell>
          <cell r="I290">
            <v>142</v>
          </cell>
        </row>
        <row r="291">
          <cell r="B291" t="str">
            <v>HDPE Tail piece150x50mm</v>
          </cell>
          <cell r="C291" t="str">
            <v>HDPE Tail piece</v>
          </cell>
          <cell r="D291" t="str">
            <v>150x50mm</v>
          </cell>
          <cell r="G291">
            <v>155</v>
          </cell>
          <cell r="H291">
            <v>155</v>
          </cell>
          <cell r="I291">
            <v>155</v>
          </cell>
        </row>
        <row r="292">
          <cell r="B292" t="str">
            <v>HDPE Tail piece150x50mm</v>
          </cell>
          <cell r="C292" t="str">
            <v>HDPE Tail piece</v>
          </cell>
          <cell r="D292" t="str">
            <v>150x50mm</v>
          </cell>
          <cell r="G292">
            <v>195</v>
          </cell>
          <cell r="H292">
            <v>195</v>
          </cell>
          <cell r="I292">
            <v>195</v>
          </cell>
        </row>
        <row r="293">
          <cell r="B293" t="str">
            <v>HDPE Tail piece200x50mm</v>
          </cell>
          <cell r="C293" t="str">
            <v>HDPE Tail piece</v>
          </cell>
          <cell r="D293" t="str">
            <v>200x50mm</v>
          </cell>
          <cell r="G293">
            <v>242</v>
          </cell>
          <cell r="H293">
            <v>242</v>
          </cell>
          <cell r="I293">
            <v>242</v>
          </cell>
        </row>
        <row r="294">
          <cell r="B294" t="str">
            <v>HDPE Tail piece200x50mm</v>
          </cell>
          <cell r="C294" t="str">
            <v>HDPE Tail piece</v>
          </cell>
          <cell r="D294" t="str">
            <v>200x50mm</v>
          </cell>
          <cell r="G294">
            <v>279</v>
          </cell>
          <cell r="H294">
            <v>279</v>
          </cell>
          <cell r="I294">
            <v>279</v>
          </cell>
        </row>
        <row r="295">
          <cell r="B295" t="str">
            <v>HDPE Tail piece250x80mm</v>
          </cell>
          <cell r="C295" t="str">
            <v>HDPE Tail piece</v>
          </cell>
          <cell r="D295" t="str">
            <v>250x80mm</v>
          </cell>
          <cell r="G295">
            <v>328</v>
          </cell>
          <cell r="H295">
            <v>328</v>
          </cell>
          <cell r="I295">
            <v>328</v>
          </cell>
        </row>
        <row r="296">
          <cell r="B296" t="str">
            <v>HDPE Tail piece250x80mm</v>
          </cell>
          <cell r="C296" t="str">
            <v>HDPE Tail piece</v>
          </cell>
          <cell r="D296" t="str">
            <v>250x80mm</v>
          </cell>
          <cell r="G296">
            <v>336</v>
          </cell>
          <cell r="H296">
            <v>336</v>
          </cell>
          <cell r="I296">
            <v>336</v>
          </cell>
        </row>
        <row r="297">
          <cell r="B297" t="str">
            <v>HDPE Tail piece300x80mm</v>
          </cell>
          <cell r="C297" t="str">
            <v>HDPE Tail piece</v>
          </cell>
          <cell r="D297" t="str">
            <v>300x80mm</v>
          </cell>
          <cell r="G297">
            <v>342</v>
          </cell>
          <cell r="H297">
            <v>342</v>
          </cell>
          <cell r="I297">
            <v>342</v>
          </cell>
        </row>
        <row r="298">
          <cell r="B298" t="str">
            <v>MS flanges63mm</v>
          </cell>
          <cell r="C298" t="str">
            <v>MS flanges</v>
          </cell>
          <cell r="D298" t="str">
            <v>63mm</v>
          </cell>
          <cell r="G298">
            <v>148</v>
          </cell>
          <cell r="H298">
            <v>148</v>
          </cell>
          <cell r="I298">
            <v>148</v>
          </cell>
        </row>
        <row r="299">
          <cell r="B299" t="str">
            <v>MS flanges75mm</v>
          </cell>
          <cell r="C299" t="str">
            <v>MS flanges</v>
          </cell>
          <cell r="D299" t="str">
            <v>75mm</v>
          </cell>
          <cell r="G299">
            <v>148</v>
          </cell>
          <cell r="H299">
            <v>148</v>
          </cell>
          <cell r="I299">
            <v>148</v>
          </cell>
        </row>
        <row r="300">
          <cell r="B300" t="str">
            <v>MS flanges90mm</v>
          </cell>
          <cell r="C300" t="str">
            <v>MS flanges</v>
          </cell>
          <cell r="D300" t="str">
            <v>90mm</v>
          </cell>
          <cell r="G300">
            <v>148</v>
          </cell>
          <cell r="H300">
            <v>148</v>
          </cell>
          <cell r="I300">
            <v>148</v>
          </cell>
        </row>
        <row r="301">
          <cell r="B301" t="str">
            <v>MS flanges110mm</v>
          </cell>
          <cell r="C301" t="str">
            <v>MS flanges</v>
          </cell>
          <cell r="D301" t="str">
            <v>110mm</v>
          </cell>
          <cell r="G301">
            <v>180</v>
          </cell>
          <cell r="H301">
            <v>180</v>
          </cell>
          <cell r="I301">
            <v>180</v>
          </cell>
        </row>
        <row r="302">
          <cell r="B302" t="str">
            <v>MS flanges125mm</v>
          </cell>
          <cell r="C302" t="str">
            <v>MS flanges</v>
          </cell>
          <cell r="D302" t="str">
            <v>125mm</v>
          </cell>
          <cell r="G302">
            <v>242</v>
          </cell>
          <cell r="H302">
            <v>242</v>
          </cell>
          <cell r="I302">
            <v>242</v>
          </cell>
        </row>
        <row r="303">
          <cell r="B303" t="str">
            <v>MS flanges140mm</v>
          </cell>
          <cell r="C303" t="str">
            <v>MS flanges</v>
          </cell>
          <cell r="D303" t="str">
            <v>140mm</v>
          </cell>
          <cell r="G303">
            <v>282</v>
          </cell>
          <cell r="H303">
            <v>282</v>
          </cell>
          <cell r="I303">
            <v>282</v>
          </cell>
        </row>
        <row r="304">
          <cell r="B304" t="str">
            <v>MS flanges160mm</v>
          </cell>
          <cell r="C304" t="str">
            <v>MS flanges</v>
          </cell>
          <cell r="D304" t="str">
            <v>160mm</v>
          </cell>
          <cell r="G304">
            <v>282</v>
          </cell>
          <cell r="H304">
            <v>282</v>
          </cell>
          <cell r="I304">
            <v>282</v>
          </cell>
        </row>
        <row r="305">
          <cell r="B305" t="str">
            <v>MS flanges180mm</v>
          </cell>
          <cell r="C305" t="str">
            <v>MS flanges</v>
          </cell>
          <cell r="D305" t="str">
            <v>180mm</v>
          </cell>
          <cell r="G305">
            <v>382</v>
          </cell>
          <cell r="H305">
            <v>382</v>
          </cell>
          <cell r="I305">
            <v>382</v>
          </cell>
        </row>
        <row r="306">
          <cell r="B306" t="str">
            <v>MS flanges200mm</v>
          </cell>
          <cell r="C306" t="str">
            <v>MS flanges</v>
          </cell>
          <cell r="D306" t="str">
            <v>200mm</v>
          </cell>
          <cell r="G306">
            <v>382</v>
          </cell>
          <cell r="H306">
            <v>382</v>
          </cell>
          <cell r="I306">
            <v>382</v>
          </cell>
        </row>
        <row r="307">
          <cell r="B307" t="str">
            <v>MS flanges225mm</v>
          </cell>
          <cell r="C307" t="str">
            <v>MS flanges</v>
          </cell>
          <cell r="D307" t="str">
            <v>225mm</v>
          </cell>
          <cell r="G307">
            <v>382</v>
          </cell>
          <cell r="H307">
            <v>382</v>
          </cell>
          <cell r="I307">
            <v>382</v>
          </cell>
        </row>
        <row r="308">
          <cell r="B308" t="str">
            <v>MS flanges250mm</v>
          </cell>
          <cell r="C308" t="str">
            <v>MS flanges</v>
          </cell>
          <cell r="D308" t="str">
            <v>250mm</v>
          </cell>
          <cell r="G308">
            <v>461</v>
          </cell>
          <cell r="H308">
            <v>461</v>
          </cell>
          <cell r="I308">
            <v>461</v>
          </cell>
        </row>
        <row r="309">
          <cell r="B309" t="str">
            <v>MS flanges280mm</v>
          </cell>
          <cell r="C309" t="str">
            <v>MS flanges</v>
          </cell>
          <cell r="D309" t="str">
            <v>280mm</v>
          </cell>
          <cell r="G309">
            <v>470</v>
          </cell>
          <cell r="H309">
            <v>470</v>
          </cell>
          <cell r="I309">
            <v>470</v>
          </cell>
        </row>
        <row r="310">
          <cell r="B310" t="str">
            <v>MS flanges315mm</v>
          </cell>
          <cell r="C310" t="str">
            <v>MS flanges</v>
          </cell>
          <cell r="D310" t="str">
            <v>315mm</v>
          </cell>
          <cell r="G310">
            <v>482</v>
          </cell>
          <cell r="H310">
            <v>482</v>
          </cell>
          <cell r="I310">
            <v>482</v>
          </cell>
        </row>
        <row r="311">
          <cell r="B311" t="str">
            <v>Jiffy Joint80mm diaDI</v>
          </cell>
          <cell r="C311" t="str">
            <v>Jiffy Joint</v>
          </cell>
          <cell r="D311" t="str">
            <v>80mm dia</v>
          </cell>
          <cell r="E311" t="str">
            <v>DI</v>
          </cell>
          <cell r="F311" t="str">
            <v>each</v>
          </cell>
          <cell r="G311">
            <v>458</v>
          </cell>
          <cell r="H311">
            <v>458</v>
          </cell>
          <cell r="I311">
            <v>458</v>
          </cell>
        </row>
        <row r="312">
          <cell r="B312" t="str">
            <v>Jiffy Joint100mm diaDI</v>
          </cell>
          <cell r="C312" t="str">
            <v>Jiffy Joint</v>
          </cell>
          <cell r="D312" t="str">
            <v>100mm dia</v>
          </cell>
          <cell r="E312" t="str">
            <v>DI</v>
          </cell>
          <cell r="F312" t="str">
            <v>each</v>
          </cell>
          <cell r="G312">
            <v>526</v>
          </cell>
          <cell r="H312">
            <v>526</v>
          </cell>
          <cell r="I312">
            <v>526</v>
          </cell>
        </row>
        <row r="313">
          <cell r="B313" t="str">
            <v>Jiffy Joint125mm diaDI</v>
          </cell>
          <cell r="C313" t="str">
            <v>Jiffy Joint</v>
          </cell>
          <cell r="D313" t="str">
            <v>125mm dia</v>
          </cell>
          <cell r="E313" t="str">
            <v>DI</v>
          </cell>
          <cell r="F313" t="str">
            <v>each</v>
          </cell>
          <cell r="G313">
            <v>566</v>
          </cell>
          <cell r="H313">
            <v>566</v>
          </cell>
          <cell r="I313">
            <v>566</v>
          </cell>
        </row>
        <row r="314">
          <cell r="B314" t="str">
            <v>Jiffy Joint150mm diaDI</v>
          </cell>
          <cell r="C314" t="str">
            <v>Jiffy Joint</v>
          </cell>
          <cell r="D314" t="str">
            <v>150mm dia</v>
          </cell>
          <cell r="E314" t="str">
            <v>DI</v>
          </cell>
          <cell r="F314" t="str">
            <v>each</v>
          </cell>
          <cell r="G314">
            <v>899</v>
          </cell>
          <cell r="H314">
            <v>899</v>
          </cell>
          <cell r="I314">
            <v>899</v>
          </cell>
        </row>
        <row r="315">
          <cell r="B315" t="str">
            <v>Jiffy Joint200mm diaDI</v>
          </cell>
          <cell r="C315" t="str">
            <v>Jiffy Joint</v>
          </cell>
          <cell r="D315" t="str">
            <v>200mm dia</v>
          </cell>
          <cell r="E315" t="str">
            <v>DI</v>
          </cell>
          <cell r="F315" t="str">
            <v>each</v>
          </cell>
          <cell r="G315">
            <v>1147</v>
          </cell>
          <cell r="H315">
            <v>1147</v>
          </cell>
          <cell r="I315">
            <v>1147</v>
          </cell>
        </row>
        <row r="316">
          <cell r="B316" t="str">
            <v>Jiffy Joint250mm diaDI</v>
          </cell>
          <cell r="C316" t="str">
            <v>Jiffy Joint</v>
          </cell>
          <cell r="D316" t="str">
            <v>250mm dia</v>
          </cell>
          <cell r="E316" t="str">
            <v>DI</v>
          </cell>
          <cell r="F316" t="str">
            <v>each</v>
          </cell>
          <cell r="G316">
            <v>1813</v>
          </cell>
          <cell r="H316">
            <v>1813</v>
          </cell>
          <cell r="I316">
            <v>1813</v>
          </cell>
        </row>
        <row r="317">
          <cell r="B317" t="str">
            <v>Jiffy Joint300mm diaDI</v>
          </cell>
          <cell r="C317" t="str">
            <v>Jiffy Joint</v>
          </cell>
          <cell r="D317" t="str">
            <v>300mm dia</v>
          </cell>
          <cell r="E317" t="str">
            <v>DI</v>
          </cell>
          <cell r="F317" t="str">
            <v>each</v>
          </cell>
          <cell r="G317">
            <v>2155</v>
          </cell>
          <cell r="H317">
            <v>2155</v>
          </cell>
          <cell r="I317">
            <v>2155</v>
          </cell>
        </row>
        <row r="318">
          <cell r="B318" t="str">
            <v>Jiffy Joint350mm diaDI</v>
          </cell>
          <cell r="C318" t="str">
            <v>Jiffy Joint</v>
          </cell>
          <cell r="D318" t="str">
            <v>350mm dia</v>
          </cell>
          <cell r="E318" t="str">
            <v>DI</v>
          </cell>
          <cell r="F318" t="str">
            <v>each</v>
          </cell>
          <cell r="G318">
            <v>2557</v>
          </cell>
          <cell r="H318">
            <v>2557</v>
          </cell>
          <cell r="I318">
            <v>2557</v>
          </cell>
        </row>
        <row r="319">
          <cell r="B319" t="str">
            <v>Jiffy Joint400mm diaDI</v>
          </cell>
          <cell r="C319" t="str">
            <v>Jiffy Joint</v>
          </cell>
          <cell r="D319" t="str">
            <v>400mm dia</v>
          </cell>
          <cell r="E319" t="str">
            <v>DI</v>
          </cell>
          <cell r="F319" t="str">
            <v>each</v>
          </cell>
          <cell r="G319">
            <v>3430</v>
          </cell>
          <cell r="H319">
            <v>3430</v>
          </cell>
          <cell r="I319">
            <v>3430</v>
          </cell>
        </row>
        <row r="320">
          <cell r="B320" t="str">
            <v>Jiffy Joint450mm diaDI</v>
          </cell>
          <cell r="C320" t="str">
            <v>Jiffy Joint</v>
          </cell>
          <cell r="D320" t="str">
            <v>450mm dia</v>
          </cell>
          <cell r="E320" t="str">
            <v>DI</v>
          </cell>
          <cell r="F320" t="str">
            <v>each</v>
          </cell>
          <cell r="G320">
            <v>3859</v>
          </cell>
          <cell r="H320">
            <v>3859</v>
          </cell>
          <cell r="I320">
            <v>3859</v>
          </cell>
        </row>
        <row r="321">
          <cell r="B321" t="str">
            <v>Jiffy Joint500mm diaDI</v>
          </cell>
          <cell r="C321" t="str">
            <v>Jiffy Joint</v>
          </cell>
          <cell r="D321" t="str">
            <v>500mm dia</v>
          </cell>
          <cell r="E321" t="str">
            <v>DI</v>
          </cell>
          <cell r="F321" t="str">
            <v>each</v>
          </cell>
          <cell r="G321">
            <v>4288</v>
          </cell>
          <cell r="H321">
            <v>4288</v>
          </cell>
          <cell r="I321">
            <v>4288</v>
          </cell>
        </row>
        <row r="322">
          <cell r="B322" t="str">
            <v>Jiffy Joint600mm diaDI</v>
          </cell>
          <cell r="C322" t="str">
            <v>Jiffy Joint</v>
          </cell>
          <cell r="D322" t="str">
            <v>600mm dia</v>
          </cell>
          <cell r="E322" t="str">
            <v>DI</v>
          </cell>
          <cell r="F322" t="str">
            <v>each</v>
          </cell>
          <cell r="G322">
            <v>5146</v>
          </cell>
          <cell r="H322">
            <v>5146</v>
          </cell>
          <cell r="I322">
            <v>5146</v>
          </cell>
        </row>
        <row r="323">
          <cell r="B323" t="str">
            <v>Jiffy Joint700mm diaDI</v>
          </cell>
          <cell r="C323" t="str">
            <v>Jiffy Joint</v>
          </cell>
          <cell r="D323" t="str">
            <v>700mm dia</v>
          </cell>
          <cell r="E323" t="str">
            <v>DI</v>
          </cell>
          <cell r="F323" t="str">
            <v>each</v>
          </cell>
          <cell r="G323">
            <v>6004</v>
          </cell>
          <cell r="H323">
            <v>6004</v>
          </cell>
          <cell r="I323">
            <v>6004</v>
          </cell>
        </row>
        <row r="324">
          <cell r="B324" t="str">
            <v>Jiffy Joint800mm diaDI</v>
          </cell>
          <cell r="C324" t="str">
            <v>Jiffy Joint</v>
          </cell>
          <cell r="D324" t="str">
            <v>800mm dia</v>
          </cell>
          <cell r="E324" t="str">
            <v>DI</v>
          </cell>
          <cell r="F324" t="str">
            <v>each</v>
          </cell>
          <cell r="G324">
            <v>6862</v>
          </cell>
          <cell r="H324">
            <v>6862</v>
          </cell>
          <cell r="I324">
            <v>6862</v>
          </cell>
        </row>
        <row r="325">
          <cell r="B325" t="str">
            <v>Jointing materials- sluive valve80mm diaDI</v>
          </cell>
          <cell r="C325" t="str">
            <v>Jointing materials- sluive valve</v>
          </cell>
          <cell r="D325" t="str">
            <v>80mm dia</v>
          </cell>
          <cell r="E325" t="str">
            <v>DI</v>
          </cell>
          <cell r="F325" t="str">
            <v>each</v>
          </cell>
          <cell r="G325">
            <v>179.60999999999999</v>
          </cell>
          <cell r="H325">
            <v>179.60999999999999</v>
          </cell>
          <cell r="I325">
            <v>179.60999999999999</v>
          </cell>
        </row>
        <row r="326">
          <cell r="B326" t="str">
            <v>Jointing materials- sluive valve100mm diaDI</v>
          </cell>
          <cell r="C326" t="str">
            <v>Jointing materials- sluive valve</v>
          </cell>
          <cell r="D326" t="str">
            <v>100mm dia</v>
          </cell>
          <cell r="E326" t="str">
            <v>DI</v>
          </cell>
          <cell r="F326" t="str">
            <v>each</v>
          </cell>
          <cell r="G326">
            <v>396.54</v>
          </cell>
          <cell r="H326">
            <v>396.54</v>
          </cell>
          <cell r="I326">
            <v>396.54</v>
          </cell>
        </row>
        <row r="327">
          <cell r="B327" t="str">
            <v>Jointing materials- sluive valve125mm diaDI</v>
          </cell>
          <cell r="C327" t="str">
            <v>Jointing materials- sluive valve</v>
          </cell>
          <cell r="D327" t="str">
            <v>125mm dia</v>
          </cell>
          <cell r="E327" t="str">
            <v>DI</v>
          </cell>
          <cell r="F327" t="str">
            <v>each</v>
          </cell>
          <cell r="G327">
            <v>414.75</v>
          </cell>
          <cell r="H327">
            <v>414.75</v>
          </cell>
          <cell r="I327">
            <v>414.75</v>
          </cell>
        </row>
        <row r="328">
          <cell r="B328" t="str">
            <v>Jointing materials- sluive valve150mm diaDI</v>
          </cell>
          <cell r="C328" t="str">
            <v>Jointing materials- sluive valve</v>
          </cell>
          <cell r="D328" t="str">
            <v>150mm dia</v>
          </cell>
          <cell r="E328" t="str">
            <v>DI</v>
          </cell>
          <cell r="F328" t="str">
            <v>each</v>
          </cell>
          <cell r="G328">
            <v>547.41</v>
          </cell>
          <cell r="H328">
            <v>547.41</v>
          </cell>
          <cell r="I328">
            <v>547.41</v>
          </cell>
        </row>
        <row r="329">
          <cell r="B329" t="str">
            <v>Jointing materials- sluive valve200mm diaDI</v>
          </cell>
          <cell r="C329" t="str">
            <v>Jointing materials- sluive valve</v>
          </cell>
          <cell r="D329" t="str">
            <v>200mm dia</v>
          </cell>
          <cell r="E329" t="str">
            <v>DI</v>
          </cell>
          <cell r="F329" t="str">
            <v>each</v>
          </cell>
          <cell r="G329">
            <v>581.81999999999994</v>
          </cell>
          <cell r="H329">
            <v>581.81999999999994</v>
          </cell>
          <cell r="I329">
            <v>581.81999999999994</v>
          </cell>
        </row>
        <row r="330">
          <cell r="B330" t="str">
            <v>Jointing materials- sluive valve250mm diaDI</v>
          </cell>
          <cell r="C330" t="str">
            <v>Jointing materials- sluive valve</v>
          </cell>
          <cell r="D330" t="str">
            <v>250mm dia</v>
          </cell>
          <cell r="E330" t="str">
            <v>DI</v>
          </cell>
          <cell r="F330" t="str">
            <v>each</v>
          </cell>
          <cell r="G330">
            <v>851.46</v>
          </cell>
          <cell r="H330">
            <v>851.46</v>
          </cell>
          <cell r="I330">
            <v>851.46</v>
          </cell>
        </row>
        <row r="331">
          <cell r="B331" t="str">
            <v>Jointing materials- sluive valve300mm diaDI</v>
          </cell>
          <cell r="C331" t="str">
            <v>Jointing materials- sluive valve</v>
          </cell>
          <cell r="D331" t="str">
            <v>300mm dia</v>
          </cell>
          <cell r="E331" t="str">
            <v>DI</v>
          </cell>
          <cell r="F331" t="str">
            <v>each</v>
          </cell>
          <cell r="G331">
            <v>903.12000000000012</v>
          </cell>
          <cell r="H331">
            <v>903.12000000000012</v>
          </cell>
          <cell r="I331">
            <v>903.12000000000012</v>
          </cell>
        </row>
        <row r="332">
          <cell r="B332" t="str">
            <v>Jointing materials- sluive valve350mm diaDI</v>
          </cell>
          <cell r="C332" t="str">
            <v>Jointing materials- sluive valve</v>
          </cell>
          <cell r="D332" t="str">
            <v>350mm dia</v>
          </cell>
          <cell r="E332" t="str">
            <v>DI</v>
          </cell>
          <cell r="F332" t="str">
            <v>each</v>
          </cell>
          <cell r="G332">
            <v>1185.96</v>
          </cell>
          <cell r="H332">
            <v>1185.96</v>
          </cell>
          <cell r="I332">
            <v>1185.96</v>
          </cell>
        </row>
        <row r="333">
          <cell r="B333" t="str">
            <v>Jointing materials- sluive valve400mm diaDI</v>
          </cell>
          <cell r="C333" t="str">
            <v>Jointing materials- sluive valve</v>
          </cell>
          <cell r="D333" t="str">
            <v>400mm dia</v>
          </cell>
          <cell r="E333" t="str">
            <v>DI</v>
          </cell>
          <cell r="F333" t="str">
            <v>each</v>
          </cell>
          <cell r="G333">
            <v>1872.78</v>
          </cell>
          <cell r="H333">
            <v>1872.78</v>
          </cell>
          <cell r="I333">
            <v>1872.78</v>
          </cell>
        </row>
        <row r="334">
          <cell r="B334" t="str">
            <v>Jointing materials- sluive valve450mm diaDI</v>
          </cell>
          <cell r="C334" t="str">
            <v>Jointing materials- sluive valve</v>
          </cell>
          <cell r="D334" t="str">
            <v>450mm dia</v>
          </cell>
          <cell r="E334" t="str">
            <v>DI</v>
          </cell>
          <cell r="F334" t="str">
            <v>each</v>
          </cell>
          <cell r="G334">
            <v>2315.6999999999998</v>
          </cell>
          <cell r="H334">
            <v>2315.6999999999998</v>
          </cell>
          <cell r="I334">
            <v>2315.6999999999998</v>
          </cell>
        </row>
        <row r="335">
          <cell r="B335" t="str">
            <v>Jointing materials- sluive valve500mm diaDI</v>
          </cell>
          <cell r="C335" t="str">
            <v>Jointing materials- sluive valve</v>
          </cell>
          <cell r="D335" t="str">
            <v>500mm dia</v>
          </cell>
          <cell r="E335" t="str">
            <v>DI</v>
          </cell>
          <cell r="F335" t="str">
            <v>each</v>
          </cell>
          <cell r="G335">
            <v>2609.37</v>
          </cell>
          <cell r="H335">
            <v>2609.37</v>
          </cell>
          <cell r="I335">
            <v>2609.37</v>
          </cell>
        </row>
        <row r="336">
          <cell r="B336" t="str">
            <v>Jointing materials- sluive valve600mm diaDI</v>
          </cell>
          <cell r="C336" t="str">
            <v>Jointing materials- sluive valve</v>
          </cell>
          <cell r="D336" t="str">
            <v>600mm dia</v>
          </cell>
          <cell r="E336" t="str">
            <v>DI</v>
          </cell>
          <cell r="F336" t="str">
            <v>each</v>
          </cell>
          <cell r="G336">
            <v>4151.5499999999993</v>
          </cell>
          <cell r="H336">
            <v>4151.5499999999993</v>
          </cell>
          <cell r="I336">
            <v>4151.5499999999993</v>
          </cell>
        </row>
        <row r="337">
          <cell r="B337" t="str">
            <v>Jointing materials- sluive valve700mm diaDI</v>
          </cell>
          <cell r="C337" t="str">
            <v>Jointing materials- sluive valve</v>
          </cell>
          <cell r="D337" t="str">
            <v>700mm dia</v>
          </cell>
          <cell r="E337" t="str">
            <v>DI</v>
          </cell>
          <cell r="F337" t="str">
            <v>each</v>
          </cell>
          <cell r="G337">
            <v>4404.54</v>
          </cell>
          <cell r="H337">
            <v>4404.54</v>
          </cell>
          <cell r="I337">
            <v>4404.54</v>
          </cell>
        </row>
        <row r="338">
          <cell r="B338" t="str">
            <v>Jointing materials- sluive valve800mm diaDI</v>
          </cell>
          <cell r="C338" t="str">
            <v>Jointing materials- sluive valve</v>
          </cell>
          <cell r="D338" t="str">
            <v>800mm dia</v>
          </cell>
          <cell r="E338" t="str">
            <v>DI</v>
          </cell>
          <cell r="F338" t="str">
            <v>each</v>
          </cell>
          <cell r="G338">
            <v>4536.6900000000005</v>
          </cell>
          <cell r="H338">
            <v>4536.6900000000005</v>
          </cell>
          <cell r="I338">
            <v>4536.6900000000005</v>
          </cell>
        </row>
        <row r="339">
          <cell r="B339" t="str">
            <v>Labour charges for flanged joints80mm diaDI</v>
          </cell>
          <cell r="C339" t="str">
            <v>Labour charges for flanged joints</v>
          </cell>
          <cell r="D339" t="str">
            <v>80mm dia</v>
          </cell>
          <cell r="E339" t="str">
            <v>DI</v>
          </cell>
          <cell r="F339" t="str">
            <v>each</v>
          </cell>
          <cell r="G339">
            <v>137.69999999999999</v>
          </cell>
          <cell r="H339">
            <v>137.69999999999999</v>
          </cell>
          <cell r="I339">
            <v>137.69999999999999</v>
          </cell>
        </row>
        <row r="340">
          <cell r="B340" t="str">
            <v>Labour charges for flanged joints100mm diaDI</v>
          </cell>
          <cell r="C340" t="str">
            <v>Labour charges for flanged joints</v>
          </cell>
          <cell r="D340" t="str">
            <v>100mm dia</v>
          </cell>
          <cell r="E340" t="str">
            <v>DI</v>
          </cell>
          <cell r="F340" t="str">
            <v>each</v>
          </cell>
          <cell r="G340">
            <v>176.10000000000002</v>
          </cell>
          <cell r="H340">
            <v>176.10000000000002</v>
          </cell>
          <cell r="I340">
            <v>176.10000000000002</v>
          </cell>
        </row>
        <row r="341">
          <cell r="B341" t="str">
            <v>Labour charges for flanged joints125mm diaDI</v>
          </cell>
          <cell r="C341" t="str">
            <v>Labour charges for flanged joints</v>
          </cell>
          <cell r="D341" t="str">
            <v>125mm dia</v>
          </cell>
          <cell r="E341" t="str">
            <v>DI</v>
          </cell>
          <cell r="F341" t="str">
            <v>each</v>
          </cell>
          <cell r="G341">
            <v>254.39999999999998</v>
          </cell>
          <cell r="H341">
            <v>254.39999999999998</v>
          </cell>
          <cell r="I341">
            <v>254.39999999999998</v>
          </cell>
        </row>
        <row r="342">
          <cell r="B342" t="str">
            <v>Labour charges for flanged joints150mm diaDI</v>
          </cell>
          <cell r="C342" t="str">
            <v>Labour charges for flanged joints</v>
          </cell>
          <cell r="D342" t="str">
            <v>150mm dia</v>
          </cell>
          <cell r="E342" t="str">
            <v>DI</v>
          </cell>
          <cell r="F342" t="str">
            <v>each</v>
          </cell>
          <cell r="G342">
            <v>264.89999999999998</v>
          </cell>
          <cell r="H342">
            <v>264.89999999999998</v>
          </cell>
          <cell r="I342">
            <v>264.89999999999998</v>
          </cell>
        </row>
        <row r="343">
          <cell r="B343" t="str">
            <v>Labour charges for flanged joints200mm diaDI</v>
          </cell>
          <cell r="C343" t="str">
            <v>Labour charges for flanged joints</v>
          </cell>
          <cell r="D343" t="str">
            <v>200mm dia</v>
          </cell>
          <cell r="E343" t="str">
            <v>DI</v>
          </cell>
          <cell r="F343" t="str">
            <v>each</v>
          </cell>
          <cell r="G343">
            <v>349.5</v>
          </cell>
          <cell r="H343">
            <v>349.5</v>
          </cell>
          <cell r="I343">
            <v>349.5</v>
          </cell>
        </row>
        <row r="344">
          <cell r="B344" t="str">
            <v>Labour charges for flanged joints250mm diaDI</v>
          </cell>
          <cell r="C344" t="str">
            <v>Labour charges for flanged joints</v>
          </cell>
          <cell r="D344" t="str">
            <v>250mm dia</v>
          </cell>
          <cell r="E344" t="str">
            <v>DI</v>
          </cell>
          <cell r="F344" t="str">
            <v>each</v>
          </cell>
          <cell r="G344">
            <v>432</v>
          </cell>
          <cell r="H344">
            <v>432</v>
          </cell>
          <cell r="I344">
            <v>432</v>
          </cell>
        </row>
        <row r="345">
          <cell r="B345" t="str">
            <v>Labour charges for flanged joints300mm diaDI</v>
          </cell>
          <cell r="C345" t="str">
            <v>Labour charges for flanged joints</v>
          </cell>
          <cell r="D345" t="str">
            <v>300mm dia</v>
          </cell>
          <cell r="E345" t="str">
            <v>DI</v>
          </cell>
          <cell r="F345" t="str">
            <v>each</v>
          </cell>
          <cell r="G345">
            <v>517.5</v>
          </cell>
          <cell r="H345">
            <v>517.5</v>
          </cell>
          <cell r="I345">
            <v>517.5</v>
          </cell>
        </row>
        <row r="346">
          <cell r="B346" t="str">
            <v>Labour charges for flanged joints350mm diaDI</v>
          </cell>
          <cell r="C346" t="str">
            <v>Labour charges for flanged joints</v>
          </cell>
          <cell r="D346" t="str">
            <v>350mm dia</v>
          </cell>
          <cell r="E346" t="str">
            <v>DI</v>
          </cell>
          <cell r="F346" t="str">
            <v>each</v>
          </cell>
          <cell r="G346">
            <v>566.40000000000009</v>
          </cell>
          <cell r="H346">
            <v>566.40000000000009</v>
          </cell>
          <cell r="I346">
            <v>566.40000000000009</v>
          </cell>
        </row>
        <row r="347">
          <cell r="B347" t="str">
            <v>Labour charges for flanged joints400mm diaDI</v>
          </cell>
          <cell r="C347" t="str">
            <v>Labour charges for flanged joints</v>
          </cell>
          <cell r="D347" t="str">
            <v>400mm dia</v>
          </cell>
          <cell r="E347" t="str">
            <v>DI</v>
          </cell>
          <cell r="F347" t="str">
            <v>each</v>
          </cell>
          <cell r="G347">
            <v>728.7</v>
          </cell>
          <cell r="H347">
            <v>728.7</v>
          </cell>
          <cell r="I347">
            <v>728.7</v>
          </cell>
        </row>
        <row r="348">
          <cell r="B348" t="str">
            <v>Labour charges for flanged joints450mm diaDI</v>
          </cell>
          <cell r="C348" t="str">
            <v>Labour charges for flanged joints</v>
          </cell>
          <cell r="D348" t="str">
            <v>450mm dia</v>
          </cell>
          <cell r="E348" t="str">
            <v>DI</v>
          </cell>
          <cell r="F348" t="str">
            <v>each</v>
          </cell>
          <cell r="G348">
            <v>817.19999999999993</v>
          </cell>
          <cell r="H348">
            <v>817.19999999999993</v>
          </cell>
          <cell r="I348">
            <v>817.19999999999993</v>
          </cell>
        </row>
        <row r="349">
          <cell r="B349" t="str">
            <v>Labour charges for flanged joints500mm diaDI</v>
          </cell>
          <cell r="C349" t="str">
            <v>Labour charges for flanged joints</v>
          </cell>
          <cell r="D349" t="str">
            <v>500mm dia</v>
          </cell>
          <cell r="E349" t="str">
            <v>DI</v>
          </cell>
          <cell r="F349" t="str">
            <v>each</v>
          </cell>
          <cell r="G349">
            <v>858.59999999999991</v>
          </cell>
          <cell r="H349">
            <v>858.59999999999991</v>
          </cell>
          <cell r="I349">
            <v>858.59999999999991</v>
          </cell>
        </row>
        <row r="350">
          <cell r="B350" t="str">
            <v>Labour charges for flanged joints600mm diaDI</v>
          </cell>
          <cell r="C350" t="str">
            <v>Labour charges for flanged joints</v>
          </cell>
          <cell r="D350" t="str">
            <v>600mm dia</v>
          </cell>
          <cell r="E350" t="str">
            <v>DI</v>
          </cell>
          <cell r="F350" t="str">
            <v>each</v>
          </cell>
          <cell r="G350">
            <v>1197.9000000000001</v>
          </cell>
          <cell r="H350">
            <v>1197.9000000000001</v>
          </cell>
          <cell r="I350">
            <v>1197.9000000000001</v>
          </cell>
        </row>
        <row r="351">
          <cell r="B351" t="str">
            <v>Labour charges for flanged joints700mm diaDI</v>
          </cell>
          <cell r="C351" t="str">
            <v>Labour charges for flanged joints</v>
          </cell>
          <cell r="D351" t="str">
            <v>700mm dia</v>
          </cell>
          <cell r="E351" t="str">
            <v>DI</v>
          </cell>
          <cell r="F351" t="str">
            <v>each</v>
          </cell>
          <cell r="G351">
            <v>1217.0999999999999</v>
          </cell>
          <cell r="H351">
            <v>1217.0999999999999</v>
          </cell>
          <cell r="I351">
            <v>1217.0999999999999</v>
          </cell>
        </row>
        <row r="352">
          <cell r="B352" t="str">
            <v>Labour charges for flanged joints800mm diaDI</v>
          </cell>
          <cell r="C352" t="str">
            <v>Labour charges for flanged joints</v>
          </cell>
          <cell r="D352" t="str">
            <v>800mm dia</v>
          </cell>
          <cell r="E352" t="str">
            <v>DI</v>
          </cell>
          <cell r="F352" t="str">
            <v>each</v>
          </cell>
          <cell r="G352">
            <v>1423.1999999999998</v>
          </cell>
          <cell r="H352">
            <v>1423.1999999999998</v>
          </cell>
          <cell r="I352">
            <v>1423.1999999999998</v>
          </cell>
        </row>
        <row r="353">
          <cell r="B353" t="str">
            <v>Lowering of sluice valve80mm diaDI</v>
          </cell>
          <cell r="C353" t="str">
            <v>Lowering of sluice valve</v>
          </cell>
          <cell r="D353" t="str">
            <v>80mm dia</v>
          </cell>
          <cell r="E353" t="str">
            <v>DI</v>
          </cell>
          <cell r="F353" t="str">
            <v>each</v>
          </cell>
          <cell r="G353">
            <v>18.5</v>
          </cell>
          <cell r="H353">
            <v>26.7</v>
          </cell>
          <cell r="I353">
            <v>26.7</v>
          </cell>
        </row>
        <row r="354">
          <cell r="B354" t="str">
            <v>Lowering of sluice valve100mm diaDI</v>
          </cell>
          <cell r="C354" t="str">
            <v>Lowering of sluice valve</v>
          </cell>
          <cell r="D354" t="str">
            <v>100mm dia</v>
          </cell>
          <cell r="E354" t="str">
            <v>DI</v>
          </cell>
          <cell r="F354" t="str">
            <v>each</v>
          </cell>
          <cell r="G354">
            <v>30.6</v>
          </cell>
          <cell r="H354">
            <v>35.200000000000003</v>
          </cell>
          <cell r="I354">
            <v>35.200000000000003</v>
          </cell>
        </row>
        <row r="355">
          <cell r="B355" t="str">
            <v>Lowering of sluice valve125mm diaDI</v>
          </cell>
          <cell r="C355" t="str">
            <v>Lowering of sluice valve</v>
          </cell>
          <cell r="D355" t="str">
            <v>125mm dia</v>
          </cell>
          <cell r="E355" t="str">
            <v>DI</v>
          </cell>
          <cell r="F355" t="str">
            <v>each</v>
          </cell>
          <cell r="G355">
            <v>40.1</v>
          </cell>
          <cell r="H355">
            <v>46.1</v>
          </cell>
          <cell r="I355">
            <v>46.1</v>
          </cell>
        </row>
        <row r="356">
          <cell r="B356" t="str">
            <v>Lowering of sluice valve150mm diaDI</v>
          </cell>
          <cell r="C356" t="str">
            <v>Lowering of sluice valve</v>
          </cell>
          <cell r="D356" t="str">
            <v>150mm dia</v>
          </cell>
          <cell r="E356" t="str">
            <v>DI</v>
          </cell>
          <cell r="F356" t="str">
            <v>each</v>
          </cell>
          <cell r="G356">
            <v>47.4</v>
          </cell>
          <cell r="H356">
            <v>54.5</v>
          </cell>
          <cell r="I356">
            <v>54.5</v>
          </cell>
        </row>
        <row r="357">
          <cell r="B357" t="str">
            <v>Lowering of sluice valve200mm diaDI</v>
          </cell>
          <cell r="C357" t="str">
            <v>Lowering of sluice valve</v>
          </cell>
          <cell r="D357" t="str">
            <v>200mm dia</v>
          </cell>
          <cell r="E357" t="str">
            <v>DI</v>
          </cell>
          <cell r="F357" t="str">
            <v>each</v>
          </cell>
          <cell r="G357">
            <v>87.7</v>
          </cell>
          <cell r="H357">
            <v>100.9</v>
          </cell>
          <cell r="I357">
            <v>100.9</v>
          </cell>
        </row>
        <row r="358">
          <cell r="B358" t="str">
            <v>Lowering of sluice valve250mm diaDI</v>
          </cell>
          <cell r="C358" t="str">
            <v>Lowering of sluice valve</v>
          </cell>
          <cell r="D358" t="str">
            <v>250mm dia</v>
          </cell>
          <cell r="E358" t="str">
            <v>DI</v>
          </cell>
          <cell r="F358" t="str">
            <v>each</v>
          </cell>
          <cell r="G358">
            <v>118.6</v>
          </cell>
          <cell r="H358">
            <v>136.4</v>
          </cell>
          <cell r="I358">
            <v>136.4</v>
          </cell>
        </row>
        <row r="359">
          <cell r="B359" t="str">
            <v>Lowering of sluice valve300mm diaDI</v>
          </cell>
          <cell r="C359" t="str">
            <v>Lowering of sluice valve</v>
          </cell>
          <cell r="D359" t="str">
            <v>300mm dia</v>
          </cell>
          <cell r="E359" t="str">
            <v>DI</v>
          </cell>
          <cell r="F359" t="str">
            <v>each</v>
          </cell>
          <cell r="G359">
            <v>179.6</v>
          </cell>
          <cell r="H359">
            <v>206.5</v>
          </cell>
          <cell r="I359">
            <v>206.5</v>
          </cell>
        </row>
        <row r="360">
          <cell r="B360" t="str">
            <v>Lowering of sluice valve350mm diaDI</v>
          </cell>
          <cell r="C360" t="str">
            <v>Lowering of sluice valve</v>
          </cell>
          <cell r="D360" t="str">
            <v>350mm dia</v>
          </cell>
          <cell r="E360" t="str">
            <v>DI</v>
          </cell>
          <cell r="F360" t="str">
            <v>each</v>
          </cell>
          <cell r="G360">
            <v>309</v>
          </cell>
          <cell r="H360">
            <v>355.4</v>
          </cell>
          <cell r="I360">
            <v>355.4</v>
          </cell>
        </row>
        <row r="361">
          <cell r="B361" t="str">
            <v>Lowering of sluice valve400mm diaDI</v>
          </cell>
          <cell r="C361" t="str">
            <v>Lowering of sluice valve</v>
          </cell>
          <cell r="D361" t="str">
            <v>400mm dia</v>
          </cell>
          <cell r="E361" t="str">
            <v>DI</v>
          </cell>
          <cell r="F361" t="str">
            <v>each</v>
          </cell>
          <cell r="G361">
            <v>379</v>
          </cell>
          <cell r="H361">
            <v>435.9</v>
          </cell>
          <cell r="I361">
            <v>435.9</v>
          </cell>
        </row>
        <row r="362">
          <cell r="B362" t="str">
            <v>Lowering of sluice valve450mm diaDI</v>
          </cell>
          <cell r="C362" t="str">
            <v>Lowering of sluice valve</v>
          </cell>
          <cell r="D362" t="str">
            <v>450mm dia</v>
          </cell>
          <cell r="E362" t="str">
            <v>DI</v>
          </cell>
          <cell r="F362" t="str">
            <v>each</v>
          </cell>
          <cell r="G362">
            <v>496.3</v>
          </cell>
          <cell r="H362">
            <v>570.70000000000005</v>
          </cell>
          <cell r="I362">
            <v>570.70000000000005</v>
          </cell>
        </row>
        <row r="363">
          <cell r="B363" t="str">
            <v>Lowering of sluice valve500mm diaDI</v>
          </cell>
          <cell r="C363" t="str">
            <v>Lowering of sluice valve</v>
          </cell>
          <cell r="D363" t="str">
            <v>500mm dia</v>
          </cell>
          <cell r="E363" t="str">
            <v>DI</v>
          </cell>
          <cell r="F363" t="str">
            <v>each</v>
          </cell>
          <cell r="G363">
            <v>551.44444444444446</v>
          </cell>
        </row>
        <row r="364">
          <cell r="B364" t="str">
            <v>Lowering of sluice valve600mm diaDI</v>
          </cell>
          <cell r="C364" t="str">
            <v>Lowering of sluice valve</v>
          </cell>
          <cell r="D364" t="str">
            <v>600mm dia</v>
          </cell>
          <cell r="E364" t="str">
            <v>DI</v>
          </cell>
          <cell r="F364" t="str">
            <v>each</v>
          </cell>
          <cell r="G364">
            <v>661.73333333333335</v>
          </cell>
        </row>
        <row r="365">
          <cell r="B365" t="str">
            <v>Lowering of sluice valve700mm diaDI</v>
          </cell>
          <cell r="C365" t="str">
            <v>Lowering of sluice valve</v>
          </cell>
          <cell r="D365" t="str">
            <v>700mm dia</v>
          </cell>
          <cell r="E365" t="str">
            <v>DI</v>
          </cell>
          <cell r="F365" t="str">
            <v>each</v>
          </cell>
          <cell r="G365">
            <v>772.02222222222224</v>
          </cell>
        </row>
        <row r="366">
          <cell r="B366" t="str">
            <v>Lowering of sluice valve800mm diaDI</v>
          </cell>
          <cell r="C366" t="str">
            <v>Lowering of sluice valve</v>
          </cell>
          <cell r="D366" t="str">
            <v>800mm dia</v>
          </cell>
          <cell r="E366" t="str">
            <v>DI</v>
          </cell>
          <cell r="F366" t="str">
            <v>each</v>
          </cell>
          <cell r="G366">
            <v>882.31111111111102</v>
          </cell>
        </row>
        <row r="367">
          <cell r="B367" t="str">
            <v/>
          </cell>
        </row>
        <row r="368">
          <cell r="B368" t="str">
            <v/>
          </cell>
        </row>
        <row r="369">
          <cell r="B369" t="str">
            <v/>
          </cell>
        </row>
        <row r="370">
          <cell r="B370" t="str">
            <v/>
          </cell>
        </row>
        <row r="371">
          <cell r="B371" t="str">
            <v/>
          </cell>
        </row>
        <row r="372">
          <cell r="B372" t="str">
            <v/>
          </cell>
        </row>
        <row r="373">
          <cell r="B373" t="str">
            <v/>
          </cell>
        </row>
        <row r="374">
          <cell r="B374" t="str">
            <v/>
          </cell>
        </row>
        <row r="375">
          <cell r="B375" t="str">
            <v/>
          </cell>
        </row>
        <row r="376">
          <cell r="B376" t="str">
            <v/>
          </cell>
        </row>
        <row r="377">
          <cell r="B377" t="str">
            <v/>
          </cell>
        </row>
        <row r="378">
          <cell r="B378" t="str">
            <v/>
          </cell>
        </row>
        <row r="379">
          <cell r="B379" t="str">
            <v/>
          </cell>
        </row>
        <row r="380">
          <cell r="B380" t="str">
            <v/>
          </cell>
        </row>
        <row r="381">
          <cell r="B381" t="str">
            <v/>
          </cell>
        </row>
        <row r="382">
          <cell r="B382" t="str">
            <v/>
          </cell>
        </row>
        <row r="383">
          <cell r="B383" t="str">
            <v/>
          </cell>
        </row>
        <row r="384">
          <cell r="B384" t="str">
            <v/>
          </cell>
        </row>
        <row r="385">
          <cell r="B385" t="str">
            <v/>
          </cell>
        </row>
        <row r="386">
          <cell r="B386" t="str">
            <v/>
          </cell>
        </row>
        <row r="387">
          <cell r="B387" t="str">
            <v/>
          </cell>
        </row>
        <row r="388">
          <cell r="B388" t="str">
            <v/>
          </cell>
        </row>
        <row r="389">
          <cell r="B389" t="str">
            <v/>
          </cell>
        </row>
        <row r="390">
          <cell r="B390" t="str">
            <v/>
          </cell>
        </row>
        <row r="391">
          <cell r="B391" t="str">
            <v/>
          </cell>
        </row>
        <row r="392">
          <cell r="B392" t="str">
            <v/>
          </cell>
        </row>
        <row r="393">
          <cell r="B393" t="str">
            <v/>
          </cell>
        </row>
        <row r="394">
          <cell r="B394" t="str">
            <v/>
          </cell>
        </row>
        <row r="395">
          <cell r="B395" t="str">
            <v/>
          </cell>
        </row>
        <row r="396">
          <cell r="B396" t="str">
            <v/>
          </cell>
        </row>
        <row r="397">
          <cell r="B397" t="str">
            <v/>
          </cell>
        </row>
        <row r="398">
          <cell r="B398" t="str">
            <v/>
          </cell>
        </row>
        <row r="399">
          <cell r="B399" t="str">
            <v/>
          </cell>
        </row>
        <row r="400">
          <cell r="B400" t="str">
            <v/>
          </cell>
        </row>
        <row r="401">
          <cell r="B401" t="str">
            <v/>
          </cell>
        </row>
        <row r="402">
          <cell r="B402" t="str">
            <v/>
          </cell>
        </row>
        <row r="403">
          <cell r="B403" t="str">
            <v/>
          </cell>
        </row>
        <row r="404">
          <cell r="B404" t="str">
            <v/>
          </cell>
        </row>
        <row r="405">
          <cell r="B405" t="str">
            <v/>
          </cell>
        </row>
        <row r="406">
          <cell r="B406" t="str">
            <v/>
          </cell>
        </row>
        <row r="407">
          <cell r="B407" t="str">
            <v/>
          </cell>
        </row>
        <row r="408">
          <cell r="B408" t="str">
            <v/>
          </cell>
        </row>
        <row r="409">
          <cell r="B409" t="str">
            <v/>
          </cell>
        </row>
        <row r="410">
          <cell r="B410" t="str">
            <v/>
          </cell>
        </row>
        <row r="411">
          <cell r="B411" t="str">
            <v/>
          </cell>
        </row>
        <row r="412">
          <cell r="B412" t="str">
            <v/>
          </cell>
        </row>
        <row r="413">
          <cell r="B413" t="str">
            <v/>
          </cell>
        </row>
        <row r="414">
          <cell r="B414" t="str">
            <v/>
          </cell>
        </row>
        <row r="415">
          <cell r="B415" t="str">
            <v/>
          </cell>
        </row>
        <row r="416">
          <cell r="B416" t="str">
            <v/>
          </cell>
        </row>
        <row r="417">
          <cell r="B417" t="str">
            <v/>
          </cell>
        </row>
        <row r="418">
          <cell r="B418" t="str">
            <v/>
          </cell>
        </row>
        <row r="419">
          <cell r="B419" t="str">
            <v/>
          </cell>
        </row>
        <row r="420">
          <cell r="B420" t="str">
            <v/>
          </cell>
        </row>
        <row r="421">
          <cell r="B421" t="str">
            <v/>
          </cell>
        </row>
        <row r="422">
          <cell r="B422" t="str">
            <v/>
          </cell>
        </row>
        <row r="423">
          <cell r="B423" t="str">
            <v/>
          </cell>
        </row>
        <row r="424">
          <cell r="B424" t="str">
            <v/>
          </cell>
        </row>
        <row r="425">
          <cell r="B425" t="str">
            <v/>
          </cell>
        </row>
        <row r="426">
          <cell r="B426" t="str">
            <v/>
          </cell>
        </row>
        <row r="427">
          <cell r="B427" t="str">
            <v/>
          </cell>
        </row>
        <row r="428">
          <cell r="B428" t="str">
            <v/>
          </cell>
        </row>
        <row r="429">
          <cell r="B429" t="str">
            <v/>
          </cell>
        </row>
        <row r="430">
          <cell r="B430" t="str">
            <v/>
          </cell>
        </row>
        <row r="431">
          <cell r="B431" t="str">
            <v/>
          </cell>
        </row>
        <row r="432">
          <cell r="B432" t="str">
            <v/>
          </cell>
        </row>
        <row r="433">
          <cell r="B433" t="str">
            <v/>
          </cell>
        </row>
        <row r="434">
          <cell r="B434" t="str">
            <v/>
          </cell>
        </row>
        <row r="435">
          <cell r="B435" t="str">
            <v/>
          </cell>
        </row>
        <row r="436">
          <cell r="B436" t="str">
            <v/>
          </cell>
        </row>
        <row r="437">
          <cell r="B437" t="str">
            <v/>
          </cell>
        </row>
        <row r="438">
          <cell r="B438" t="str">
            <v/>
          </cell>
        </row>
        <row r="439">
          <cell r="B439" t="str">
            <v/>
          </cell>
        </row>
        <row r="440">
          <cell r="B440" t="str">
            <v/>
          </cell>
        </row>
        <row r="441">
          <cell r="B441" t="str">
            <v/>
          </cell>
        </row>
        <row r="442">
          <cell r="B442" t="str">
            <v/>
          </cell>
        </row>
        <row r="443">
          <cell r="B443" t="str">
            <v/>
          </cell>
        </row>
        <row r="444">
          <cell r="B444" t="str">
            <v/>
          </cell>
        </row>
        <row r="445">
          <cell r="B445" t="str">
            <v/>
          </cell>
        </row>
        <row r="446">
          <cell r="B446" t="str">
            <v/>
          </cell>
        </row>
        <row r="447">
          <cell r="B447" t="str">
            <v/>
          </cell>
        </row>
        <row r="448">
          <cell r="B448" t="str">
            <v/>
          </cell>
        </row>
        <row r="449">
          <cell r="B449" t="str">
            <v/>
          </cell>
        </row>
        <row r="450">
          <cell r="B450" t="str">
            <v/>
          </cell>
        </row>
        <row r="451">
          <cell r="B451" t="str">
            <v/>
          </cell>
        </row>
        <row r="452">
          <cell r="B452" t="str">
            <v/>
          </cell>
        </row>
        <row r="453">
          <cell r="B453" t="str">
            <v/>
          </cell>
        </row>
        <row r="454">
          <cell r="B454" t="str">
            <v/>
          </cell>
        </row>
        <row r="455">
          <cell r="B455" t="str">
            <v/>
          </cell>
        </row>
        <row r="456">
          <cell r="B456" t="str">
            <v/>
          </cell>
        </row>
        <row r="457">
          <cell r="B457" t="str">
            <v/>
          </cell>
        </row>
        <row r="458">
          <cell r="B458" t="str">
            <v/>
          </cell>
        </row>
        <row r="459">
          <cell r="B459" t="str">
            <v/>
          </cell>
        </row>
        <row r="460">
          <cell r="B460" t="str">
            <v/>
          </cell>
        </row>
        <row r="461">
          <cell r="B461" t="str">
            <v/>
          </cell>
        </row>
        <row r="462">
          <cell r="B462" t="str">
            <v/>
          </cell>
        </row>
        <row r="463">
          <cell r="B463" t="str">
            <v/>
          </cell>
        </row>
        <row r="464">
          <cell r="B464" t="str">
            <v/>
          </cell>
        </row>
        <row r="465">
          <cell r="B465" t="str">
            <v/>
          </cell>
        </row>
        <row r="466">
          <cell r="B466" t="str">
            <v/>
          </cell>
        </row>
        <row r="467">
          <cell r="B467" t="str">
            <v/>
          </cell>
        </row>
        <row r="468">
          <cell r="B468" t="str">
            <v/>
          </cell>
        </row>
        <row r="469">
          <cell r="B469" t="str">
            <v/>
          </cell>
        </row>
        <row r="470">
          <cell r="B470" t="str">
            <v/>
          </cell>
        </row>
        <row r="471">
          <cell r="B471" t="str">
            <v/>
          </cell>
        </row>
        <row r="472">
          <cell r="B472" t="str">
            <v/>
          </cell>
        </row>
        <row r="473">
          <cell r="B473" t="str">
            <v/>
          </cell>
        </row>
        <row r="474">
          <cell r="B474" t="str">
            <v/>
          </cell>
        </row>
        <row r="475">
          <cell r="B475" t="str">
            <v/>
          </cell>
        </row>
        <row r="476">
          <cell r="B476" t="str">
            <v/>
          </cell>
        </row>
        <row r="477">
          <cell r="B477" t="str">
            <v/>
          </cell>
        </row>
        <row r="478">
          <cell r="B478" t="str">
            <v/>
          </cell>
        </row>
        <row r="479">
          <cell r="B479" t="str">
            <v/>
          </cell>
        </row>
        <row r="480">
          <cell r="B480" t="str">
            <v/>
          </cell>
        </row>
        <row r="481">
          <cell r="B481" t="str">
            <v/>
          </cell>
        </row>
        <row r="482">
          <cell r="B482" t="str">
            <v/>
          </cell>
        </row>
        <row r="483">
          <cell r="B483" t="str">
            <v/>
          </cell>
        </row>
        <row r="484">
          <cell r="B484" t="str">
            <v/>
          </cell>
        </row>
        <row r="485">
          <cell r="B485" t="str">
            <v/>
          </cell>
        </row>
        <row r="486">
          <cell r="B486" t="str">
            <v/>
          </cell>
        </row>
        <row r="487">
          <cell r="B487" t="str">
            <v/>
          </cell>
        </row>
        <row r="488">
          <cell r="B488" t="str">
            <v/>
          </cell>
        </row>
        <row r="489">
          <cell r="B489" t="str">
            <v/>
          </cell>
        </row>
        <row r="490">
          <cell r="B490" t="str">
            <v/>
          </cell>
        </row>
        <row r="491">
          <cell r="B491" t="str">
            <v/>
          </cell>
        </row>
        <row r="492">
          <cell r="B492" t="str">
            <v/>
          </cell>
        </row>
        <row r="493">
          <cell r="B493" t="str">
            <v/>
          </cell>
        </row>
        <row r="494">
          <cell r="B494" t="str">
            <v/>
          </cell>
        </row>
        <row r="495">
          <cell r="B495" t="str">
            <v/>
          </cell>
        </row>
        <row r="496">
          <cell r="B496" t="str">
            <v/>
          </cell>
        </row>
        <row r="497">
          <cell r="B497" t="str">
            <v/>
          </cell>
        </row>
        <row r="498">
          <cell r="B498" t="str">
            <v/>
          </cell>
        </row>
        <row r="499">
          <cell r="B499" t="str">
            <v/>
          </cell>
        </row>
        <row r="500">
          <cell r="B500" t="str">
            <v/>
          </cell>
        </row>
        <row r="501">
          <cell r="B501" t="str">
            <v/>
          </cell>
        </row>
        <row r="502">
          <cell r="B502" t="str">
            <v/>
          </cell>
        </row>
        <row r="503">
          <cell r="B503" t="str">
            <v/>
          </cell>
        </row>
        <row r="504">
          <cell r="B504" t="str">
            <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DATA-BASE"/>
      <sheetName val="DATA-ABSTRACT"/>
      <sheetName val="Cover"/>
      <sheetName val="data"/>
      <sheetName val="data existing_do not delete"/>
      <sheetName val="GF SB Ok "/>
      <sheetName val="Bitumen trunk"/>
      <sheetName val="Feeder"/>
      <sheetName val="R99 etc"/>
      <sheetName val="Trunk unpaved"/>
      <sheetName val="Design"/>
      <sheetName val="Process"/>
      <sheetName val="Specification report"/>
      <sheetName val="Input"/>
      <sheetName val="concrete"/>
      <sheetName val="m"/>
      <sheetName val="Road data"/>
      <sheetName val="abs road"/>
      <sheetName val="coverpage"/>
      <sheetName val="TS memo"/>
      <sheetName val="Plant &amp;  Machinery"/>
      <sheetName val="Aug,02"/>
      <sheetName val="RMR"/>
      <sheetName val="R_Det"/>
      <sheetName val="Bridge Data 2005-06"/>
      <sheetName val="Detail In Door Stad"/>
      <sheetName val="p&amp;m"/>
      <sheetName val="v"/>
      <sheetName val="Boq (Main Building)"/>
      <sheetName val="t_prsr"/>
      <sheetName val="id"/>
      <sheetName val="r"/>
      <sheetName val="mlead"/>
      <sheetName val="final abstract"/>
      <sheetName val="leads"/>
      <sheetName val="MRATES"/>
      <sheetName val="1000000000000"/>
      <sheetName val="Drains Est"/>
      <sheetName val="Rd.Est"/>
      <sheetName val="Material"/>
      <sheetName val="C.D.Abs.Est."/>
      <sheetName val="MRMECADAMoad data"/>
      <sheetName val="maya"/>
      <sheetName val="RF_DesignCT_Sp@53.0"/>
      <sheetName val="select items_PMW"/>
      <sheetName val="ssr-rates"/>
      <sheetName val="basdat"/>
      <sheetName val="LIST"/>
      <sheetName val="Common "/>
      <sheetName val="dataB"/>
      <sheetName val="C-data"/>
      <sheetName val="banilad"/>
      <sheetName val="Mactan"/>
      <sheetName val="Mandaue"/>
      <sheetName val="BTR"/>
      <sheetName val="GenAbst"/>
      <sheetName val="Rates"/>
      <sheetName val="Compound wall  Ok"/>
      <sheetName val="Data_Base"/>
      <sheetName val="BWSCPlt"/>
      <sheetName val="CI"/>
      <sheetName val="DI"/>
      <sheetName val="G.R.P"/>
      <sheetName val="HDPE"/>
      <sheetName val="PSC REVISED"/>
      <sheetName val="pvc"/>
      <sheetName val="Cover-MEstt_"/>
      <sheetName val="ABST(PART_B)_"/>
      <sheetName val="F6-Gnrl_Abstrt"/>
      <sheetName val="Data_F8_BTR"/>
      <sheetName val="sub-data_-no_full"/>
      <sheetName val="Diff_stmnt_(2)"/>
      <sheetName val="data_existing_do_not_delete"/>
      <sheetName val="GF_SB_Ok_"/>
      <sheetName val="Specification_report"/>
      <sheetName val="Bitumen_trunk"/>
      <sheetName val="R99_etc"/>
      <sheetName val="Trunk_unpaved"/>
      <sheetName val="Road_data"/>
      <sheetName val="abs_road"/>
      <sheetName val="TS_memo"/>
      <sheetName val="Bill-12"/>
      <sheetName val="Summary- Flyovers"/>
      <sheetName val="Work_sheet"/>
      <sheetName val="CONVEYANCE  (2)"/>
      <sheetName val="Road data-TDR"/>
      <sheetName val="MRoad data"/>
      <sheetName val="1V800"/>
      <sheetName val="ABSTRACT ESTIMATE 2013-14"/>
      <sheetName val="lead-st"/>
      <sheetName val="rdamdata"/>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affic Count"/>
      <sheetName val="Crust-D"/>
      <sheetName val="CBR-certi"/>
      <sheetName val="design "/>
      <sheetName val="DPR."/>
      <sheetName val="Cover-MEstt."/>
      <sheetName val="F6-Gnrl Abstrt"/>
      <sheetName val="Lead"/>
      <sheetName val="Data.F8.BTR"/>
      <sheetName val="F6-Estt"/>
      <sheetName val="earth (2)"/>
      <sheetName val="sub-data (2)"/>
      <sheetName val="sub estt"/>
      <sheetName val="Labour"/>
      <sheetName val="Machinery"/>
      <sheetName val="pop"/>
      <sheetName val="SE-InspR"/>
      <sheetName val="Prof-C-Check List"/>
      <sheetName val="F-2a-Pvt-Lyrs (2)"/>
      <sheetName val="F-2b-CDW"/>
      <sheetName val="Prof-B-PacSum."/>
      <sheetName val="F4-DER"/>
      <sheetName val="F1-SumSheet (2)"/>
      <sheetName val="Index"/>
      <sheetName val="certifi"/>
      <sheetName val="Traffic_Count"/>
      <sheetName val="design_"/>
      <sheetName val="DPR_"/>
      <sheetName val="Cover-MEstt_"/>
      <sheetName val="F6-Gnrl_Abstrt"/>
      <sheetName val="Data_F8_BTR"/>
      <sheetName val="earth_(2)"/>
      <sheetName val="sub-data_(2)"/>
      <sheetName val="sub_estt"/>
      <sheetName val="Prof-C-Check_List"/>
      <sheetName val="F-2a-Pvt-Lyrs_(2)"/>
      <sheetName val="Prof-B-PacSum_"/>
      <sheetName val="F1-SumSheet_(2)"/>
      <sheetName val="0000000000000"/>
      <sheetName val="m"/>
      <sheetName val="Specification report"/>
      <sheetName val="data existing_do not delete"/>
      <sheetName val="sup dat"/>
      <sheetName val="Iocount"/>
      <sheetName val="v"/>
      <sheetName val="TBAL9697 -group wise  sdpl"/>
      <sheetName val="Bridge Data 2005-06"/>
      <sheetName val="comp-st(GEN)"/>
      <sheetName val="ssr-rates"/>
      <sheetName val="Weightage-Sub Sht"/>
      <sheetName val="DISCOUNT"/>
      <sheetName val="Common "/>
      <sheetName val="Data"/>
      <sheetName val="MRATES"/>
      <sheetName val="Dormitory"/>
      <sheetName val="Plant &amp;  Machinery"/>
      <sheetName val="Material"/>
      <sheetName val="HDPE"/>
      <sheetName val="DI"/>
      <sheetName val="pvc"/>
      <sheetName val="Lead statement"/>
      <sheetName val="C-data"/>
      <sheetName val="RMR"/>
      <sheetName val="Road data"/>
      <sheetName val="Data o"/>
      <sheetName val="Boq"/>
      <sheetName val="STAFFSCHED "/>
      <sheetName val="quarry"/>
      <sheetName val="Drawing status"/>
      <sheetName val="Sheet2"/>
      <sheetName val="ABS"/>
      <sheetName val="ESTIMATE"/>
      <sheetName val="m1"/>
      <sheetName val="QTY"/>
      <sheetName val="bundqty"/>
      <sheetName val="Pile cap"/>
      <sheetName val="t_prsr"/>
      <sheetName val="PVC_dia"/>
      <sheetName val="wh"/>
      <sheetName val="7 Other Costs"/>
      <sheetName val="OverviewBarmer"/>
      <sheetName val="Traffic_Count1"/>
      <sheetName val="design_1"/>
      <sheetName val="DPR_1"/>
      <sheetName val="Cover-MEstt_1"/>
      <sheetName val="F6-Gnrl_Abstrt1"/>
      <sheetName val="Data_F8_BTR1"/>
      <sheetName val="earth_(2)1"/>
      <sheetName val="sub-data_(2)1"/>
      <sheetName val="sub_estt1"/>
      <sheetName val="Prof-C-Check_List1"/>
      <sheetName val="F-2a-Pvt-Lyrs_(2)1"/>
      <sheetName val="Prof-B-PacSum_1"/>
      <sheetName val="F1-SumSheet_(2)1"/>
      <sheetName val="Specification_report"/>
      <sheetName val="data_existing_do_not_delete"/>
      <sheetName val="sup_dat"/>
      <sheetName val="Bridge_Data_2005-06"/>
      <sheetName val="Estimate "/>
      <sheetName val="Road Detail Est."/>
      <sheetName val="Basic Rates"/>
      <sheetName val="leads"/>
      <sheetName val="MRoad data"/>
      <sheetName val="New33KVSS_E3"/>
      <sheetName val="Prop aug of Ex 33KVSS_E3a"/>
      <sheetName val="GBW"/>
      <sheetName val="COLUMN"/>
      <sheetName val="r"/>
      <sheetName val="Marteru"/>
      <sheetName val="General"/>
      <sheetName val="ELE "/>
      <sheetName val="FIRE ESTIMATE"/>
      <sheetName val="Sheet5"/>
      <sheetName val="Nspt-smp-final-ORIGINAL"/>
      <sheetName val="Data_Bit_I"/>
      <sheetName val="INDIGINEOUS ITEMS "/>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b"/>
      <sheetName val="abst(cd-works)"/>
      <sheetName val="Abstrct "/>
      <sheetName val="Lead"/>
      <sheetName val="Data"/>
      <sheetName val="2vent culvert (2)"/>
      <sheetName val="2vent culvert"/>
      <sheetName val="1vent culvert (2)"/>
      <sheetName val="1vent culvert"/>
      <sheetName val="road dam (2)"/>
      <sheetName val="road dam"/>
      <sheetName val="berole est"/>
      <sheetName val="quarry"/>
      <sheetName val="Road Detail Est."/>
      <sheetName val="Road data"/>
      <sheetName val="Material"/>
      <sheetName val="r"/>
      <sheetName val="Publicbuilding"/>
      <sheetName val="DATA-BASE"/>
      <sheetName val="DATA-ABSTRACT"/>
      <sheetName val="lead-st"/>
      <sheetName val="ssr-rates"/>
      <sheetName val="m"/>
      <sheetName val="Boq"/>
      <sheetName val="COLUMN"/>
      <sheetName val="Data.F8.BTR"/>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b"/>
      <sheetName val="abst(cd-works)"/>
      <sheetName val="Abstrct "/>
      <sheetName val="Lead"/>
      <sheetName val="Data"/>
      <sheetName val="2vent culvert (2)"/>
      <sheetName val="2vent culvert"/>
      <sheetName val="1vent culvert (2)"/>
      <sheetName val="1vent culvert"/>
      <sheetName val="road dam (2)"/>
      <sheetName val="road dam"/>
      <sheetName val="berole est"/>
      <sheetName val="quarry"/>
      <sheetName val="Road Detail Est."/>
      <sheetName val="Road data"/>
      <sheetName val="Material"/>
      <sheetName val="r"/>
      <sheetName val="Publicbuilding"/>
      <sheetName val="DATA-BASE"/>
      <sheetName val="DATA-ABSTRACT"/>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Abs"/>
      <sheetName val="Spfn.Rep"/>
      <sheetName val="DetEstRoad"/>
      <sheetName val="lEADS"/>
      <sheetName val="Data"/>
      <sheetName val="RMR"/>
      <sheetName val="Sheet2"/>
      <sheetName val="EW (2)"/>
      <sheetName val="MEST"/>
      <sheetName val="DATA_ENTRY"/>
      <sheetName val="MRoad data"/>
      <sheetName val="MRATES"/>
      <sheetName val="MBTLead"/>
      <sheetName val="MRMR"/>
      <sheetName val="ssr-rates"/>
      <sheetName val="El Data"/>
      <sheetName val="ABS"/>
      <sheetName val="other rates"/>
      <sheetName val="temp-SDData (2)"/>
      <sheetName val="m"/>
      <sheetName val="Nspt-smp-final-ORIGINAL"/>
      <sheetName val="Lead statement"/>
      <sheetName val="Pile cap"/>
      <sheetName val="Footings"/>
      <sheetName val="Data.F8.BTR"/>
      <sheetName val="Boq"/>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8">
          <cell r="F38">
            <v>206</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Abs"/>
      <sheetName val="Spfn.Rep"/>
      <sheetName val="DetEstRoad"/>
      <sheetName val="lEADS"/>
      <sheetName val="Data"/>
      <sheetName val="RMR"/>
      <sheetName val="Sheet2"/>
      <sheetName val="EW (2)"/>
      <sheetName val="MEST"/>
      <sheetName val="DATA_ENTRY"/>
      <sheetName val="MRoad data"/>
      <sheetName val="MRATES"/>
      <sheetName val="MBTLead"/>
      <sheetName val="MRMR"/>
      <sheetName val="ssr-rates"/>
      <sheetName val="El Data"/>
      <sheetName val="ABS"/>
      <sheetName val="other rates"/>
      <sheetName val="temp-SDData (2)"/>
      <sheetName val="m"/>
      <sheetName val="Nspt-smp-final-ORIGINAL"/>
      <sheetName val="Lead statement"/>
      <sheetName val="Pile cap"/>
      <sheetName val="Footings"/>
      <sheetName val="Data.F8.BTR"/>
      <sheetName val="Boq"/>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8">
          <cell r="F38">
            <v>206</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
      <sheetName val="Internal roads (2)"/>
      <sheetName val="Toilets"/>
      <sheetName val="Truss Data"/>
      <sheetName val="2000mt"/>
      <sheetName val="2000 MT"/>
      <sheetName val="1000mt -AC sheet"/>
      <sheetName val="CC"/>
      <sheetName val="Data"/>
      <sheetName val="Lead statement"/>
      <sheetName val="Conveyance ch"/>
      <sheetName val="SSR 2012-13 Rates"/>
      <sheetName val="Hire charges"/>
      <sheetName val="centering"/>
      <sheetName val="40KL-250KL Estimate &amp; data"/>
      <sheetName val="CI specials for OHSR"/>
      <sheetName val="m"/>
      <sheetName val="ssr-rates"/>
      <sheetName val="Lead"/>
      <sheetName val="Material"/>
      <sheetName val="Plant &amp;  Machinery"/>
      <sheetName val="MRATES"/>
      <sheetName val="Pile cap"/>
      <sheetName val="Data_Base"/>
      <sheetName val="ABS"/>
      <sheetName val="data existing_do not delete"/>
    </sheetNames>
    <sheetDataSet>
      <sheetData sheetId="0"/>
      <sheetData sheetId="1"/>
      <sheetData sheetId="2"/>
      <sheetData sheetId="3"/>
      <sheetData sheetId="4"/>
      <sheetData sheetId="5"/>
      <sheetData sheetId="6"/>
      <sheetData sheetId="7"/>
      <sheetData sheetId="8"/>
      <sheetData sheetId="9"/>
      <sheetData sheetId="10" refreshError="1">
        <row r="7">
          <cell r="P7">
            <v>654.69000000000005</v>
          </cell>
        </row>
      </sheetData>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general abstract"/>
      <sheetName val="leads"/>
      <sheetName val="lead statement"/>
      <sheetName val="door window calculations"/>
      <sheetName val="door window datas"/>
      <sheetName val="electrification data"/>
      <sheetName val="data"/>
      <sheetName val="data existing_do not delete"/>
      <sheetName val="pipe line sub estimate"/>
      <sheetName val="pipe line data"/>
      <sheetName val="estimate"/>
      <sheetName val="hydraulic designs projects"/>
      <sheetName val="hydraulic designs pws schemes"/>
      <sheetName val="hydraulic statement"/>
      <sheetName val="economical pm calculations"/>
      <sheetName val="fp estimate"/>
      <sheetName val="rotary bore well estimate"/>
      <sheetName val="ohsr 40k sub estimate"/>
      <sheetName val="ohsr 40k verticals"/>
      <sheetName val="ohsr 60k sub estimate"/>
      <sheetName val="ohsr 60k verticals"/>
      <sheetName val="ohsr 90k sub estimate"/>
      <sheetName val="ohsr 90k verticals"/>
      <sheetName val="ohsr 120k sub estimate"/>
      <sheetName val="ohsr 120k verticals"/>
      <sheetName val="ohsr 150 sub estimate"/>
      <sheetName val="ohsr 150k verticals"/>
      <sheetName val="ohsr 200k sub estimate"/>
      <sheetName val="ohsr 200k verticals"/>
      <sheetName val="ohsr 250k sub estimate"/>
      <sheetName val="ohsr 250k verticals"/>
      <sheetName val="Sheet1"/>
      <sheetName val="Sheet2"/>
      <sheetName val="Sheet4"/>
      <sheetName val="Sheet5"/>
      <sheetName val="Sheet7"/>
      <sheetName val="Sheet8"/>
      <sheetName val="Sheet9"/>
      <sheetName val="Sheet13"/>
      <sheetName val="Sheet14"/>
      <sheetName val="Sheet15"/>
      <sheetName val="Sheet16"/>
      <sheetName val="Sheet17"/>
      <sheetName val="Sheet18"/>
      <sheetName val="Sheet19"/>
      <sheetName val="Sheet20"/>
      <sheetName val="Sheet21"/>
      <sheetName val="Sheet10"/>
      <sheetName val="Sheet11"/>
      <sheetName val="Sheet12"/>
      <sheetName val="Sheet6"/>
      <sheetName val="Sheet3"/>
      <sheetName val="Material"/>
      <sheetName val="Labour"/>
      <sheetName val="ssr-rates"/>
      <sheetName val="Data_Base"/>
      <sheetName val="r"/>
      <sheetName val="m"/>
      <sheetName val="Plant &amp;  Machinery"/>
      <sheetName val="other rates"/>
      <sheetName val="MRATES"/>
      <sheetName val="Estt"/>
      <sheetName val="Road data"/>
      <sheetName val="Usage"/>
      <sheetName val="ABS"/>
      <sheetName val="Rates SSR 2008-09"/>
      <sheetName val="Pile cap"/>
      <sheetName val="RMR"/>
      <sheetName val="l"/>
      <sheetName val="DATA-BASE"/>
      <sheetName val="DATA-ABSTRACT"/>
      <sheetName val="Boq"/>
      <sheetName val="Footings"/>
      <sheetName val="LEAD"/>
      <sheetName val="Specification"/>
      <sheetName val="MRoad data"/>
      <sheetName val="Sent NHO"/>
      <sheetName val="quarry"/>
      <sheetName val="Data_Renuals"/>
      <sheetName val="sand"/>
      <sheetName val="stone"/>
      <sheetName val="index"/>
      <sheetName val="Data.F8.BTR"/>
      <sheetName val="UT Without Drop"/>
      <sheetName val="data1"/>
      <sheetName val="wordsdata"/>
      <sheetName val="Road Detail Est."/>
      <sheetName val="Part-A"/>
      <sheetName val="v"/>
      <sheetName val="HDPE"/>
      <sheetName val="Sorted"/>
      <sheetName val="G F  (2)"/>
      <sheetName val="7 Other Costs"/>
      <sheetName val="Data_Bit_I"/>
      <sheetName val="pvc_basic"/>
      <sheetName val="LEAD (3)"/>
      <sheetName val="hdpe-rates"/>
      <sheetName val="hdpe weights"/>
      <sheetName val="pvc-rates"/>
      <sheetName val="PVC weights"/>
      <sheetName val="abs road"/>
      <sheetName val="coverpage"/>
      <sheetName val="R_Det"/>
      <sheetName val="mlead"/>
      <sheetName val="int-Dia-hdpe"/>
      <sheetName val="PIpe Pushing"/>
      <sheetName val="cover_page"/>
      <sheetName val="general_abstract"/>
      <sheetName val="lead_statement"/>
      <sheetName val="door_window_calculations"/>
      <sheetName val="door_window_datas"/>
      <sheetName val="electrification_data"/>
      <sheetName val="data_existing_do_not_delete"/>
      <sheetName val="pipe_line_sub_estimate"/>
      <sheetName val="pipe_line_data"/>
      <sheetName val="hydraulic_designs_projects"/>
      <sheetName val="hydraulic_designs_pws_schemes"/>
      <sheetName val="hydraulic_statement"/>
      <sheetName val="economical_pm_calculations"/>
      <sheetName val="fp_estimate"/>
      <sheetName val="rotary_bore_well_estimate"/>
      <sheetName val="ohsr_40k_sub_estimate"/>
      <sheetName val="ohsr_40k_verticals"/>
      <sheetName val="ohsr_60k_sub_estimate"/>
      <sheetName val="ohsr_60k_verticals"/>
      <sheetName val="ohsr_90k_sub_estimate"/>
      <sheetName val="ohsr_90k_verticals"/>
      <sheetName val="ohsr_120k_sub_estimate"/>
      <sheetName val="ohsr_120k_verticals"/>
      <sheetName val="ohsr_150_sub_estimate"/>
      <sheetName val="ohsr_150k_verticals"/>
      <sheetName val="ohsr_200k_sub_estimate"/>
      <sheetName val="ohsr_200k_verticals"/>
      <sheetName val="ohsr_250k_sub_estimate"/>
      <sheetName val="ohsr_250k_verticals"/>
      <sheetName val="other_rates"/>
      <sheetName val="Road_data"/>
      <sheetName val="Rates_SSR_2008-09"/>
      <sheetName val="Plant_&amp;__Machinery"/>
      <sheetName val="Pile_cap"/>
      <sheetName val="MRoad_data"/>
      <sheetName val="estimate "/>
      <sheetName val="sum. loads"/>
      <sheetName val="bASICDATA"/>
      <sheetName val="temp-SDData (2)"/>
      <sheetName val="ewst"/>
      <sheetName val="Lead  RATES"/>
      <sheetName val="select items_PMW"/>
      <sheetName val="C-Drain"/>
      <sheetName val="Summary"/>
      <sheetName val="maya"/>
      <sheetName val="Rates"/>
      <sheetName val="FIRST"/>
    </sheetNames>
    <sheetDataSet>
      <sheetData sheetId="0">
        <row r="2">
          <cell r="I2" t="str">
            <v>Clayey &amp; Loamy soils</v>
          </cell>
        </row>
      </sheetData>
      <sheetData sheetId="1">
        <row r="2">
          <cell r="I2" t="str">
            <v>Clayey &amp; Loamy soils</v>
          </cell>
        </row>
      </sheetData>
      <sheetData sheetId="2"/>
      <sheetData sheetId="3"/>
      <sheetData sheetId="4"/>
      <sheetData sheetId="5"/>
      <sheetData sheetId="6"/>
      <sheetData sheetId="7"/>
      <sheetData sheetId="8" refreshError="1"/>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1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S"/>
      <sheetName val="M_R1"/>
      <sheetName val="M_CD_R"/>
      <sheetName val="Sheet1"/>
      <sheetName val="pvc-pipe-rates"/>
      <sheetName val="MRATES"/>
      <sheetName val="Specification"/>
      <sheetName val="ssr-rates"/>
      <sheetName val="Estimate "/>
      <sheetName val="m"/>
      <sheetName val="Road data"/>
      <sheetName val="v"/>
      <sheetName val="data existing_do not delete"/>
      <sheetName val="temp-SDData (2)"/>
      <sheetName val="Data_Base"/>
      <sheetName val="lead statement"/>
      <sheetName val="Lead"/>
      <sheetName val="Road Detail Est."/>
      <sheetName val="sand"/>
      <sheetName val="stone"/>
      <sheetName val="index"/>
      <sheetName val="0000000000000"/>
      <sheetName val="Material"/>
      <sheetName val="Plant &amp;  Machinery"/>
      <sheetName val="Data"/>
      <sheetName val="HDPE-pipe-rates"/>
      <sheetName val="Nspt-smp-final-ORIGINAL"/>
      <sheetName val="Labour"/>
      <sheetName val="Common "/>
      <sheetName val="lead-st"/>
      <sheetName val="rdamdata"/>
      <sheetName val="DATA_PRG"/>
      <sheetName val="r"/>
      <sheetName val="Sqn-Abs _G+1"/>
      <sheetName val="Sqn_Abs _G_1"/>
      <sheetName val="Pile cap"/>
      <sheetName val="RMR"/>
      <sheetName val="PUMP_DATA"/>
      <sheetName val="DATA-BASE"/>
      <sheetName val="DATA-ABSTRACT"/>
      <sheetName val="Civil Boq"/>
      <sheetName val="maya"/>
      <sheetName val="habs-list"/>
      <sheetName val="nodes"/>
      <sheetName val="scour depth"/>
      <sheetName val="l"/>
      <sheetName val="d-safe DELUXE"/>
      <sheetName val="Estimate_"/>
      <sheetName val="Lead_statement"/>
      <sheetName val="Road_data"/>
      <sheetName val="data_existing_do_not_delete"/>
      <sheetName val="temp-SDData_(2)"/>
      <sheetName val="Road_Detail_Est_"/>
      <sheetName val="Plant_&amp;__Machinery"/>
      <sheetName val="Common_"/>
      <sheetName val="Pile_cap"/>
      <sheetName val="Sqn-Abs__G+1"/>
      <sheetName val="Sqn_Abs__G_1"/>
      <sheetName val="Civil_Boq"/>
      <sheetName val="Usage"/>
      <sheetName val="Variables"/>
      <sheetName val="Main sheet"/>
      <sheetName val="Data.F8.BTR"/>
      <sheetName val="Data_Bit_I"/>
      <sheetName val="R_Det"/>
      <sheetName val="Summary"/>
      <sheetName val="MRoad data"/>
      <sheetName val="SPECS"/>
      <sheetName val="RM"/>
      <sheetName val="data1"/>
      <sheetName val="ABS"/>
    </sheetNames>
    <sheetDataSet>
      <sheetData sheetId="0">
        <row r="1">
          <cell r="AD1" t="str">
            <v>2007-08</v>
          </cell>
        </row>
      </sheetData>
      <sheetData sheetId="1"/>
      <sheetData sheetId="2">
        <row r="1">
          <cell r="AD1" t="str">
            <v>2007-08</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 sheetId="48"/>
      <sheetData sheetId="49"/>
      <sheetData sheetId="50" refreshError="1"/>
      <sheetData sheetId="51" refreshError="1"/>
      <sheetData sheetId="52" refreshError="1"/>
      <sheetData sheetId="53"/>
      <sheetData sheetId="54" refreshError="1"/>
      <sheetData sheetId="55" refreshError="1"/>
      <sheetData sheetId="56"/>
      <sheetData sheetId="57"/>
      <sheetData sheetId="58"/>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russ Data"/>
      <sheetName val="Truss Data (2)"/>
      <sheetName val="C.page (2)"/>
      <sheetName val="Water supp (2)"/>
      <sheetName val="Cattle traps"/>
      <sheetName val="Kitchen"/>
      <sheetName val="Dust bins"/>
      <sheetName val="Shops"/>
      <sheetName val="E.O"/>
      <sheetName val="Toilets"/>
      <sheetName val="Store romm"/>
      <sheetName val="Data"/>
      <sheetName val="Roads"/>
      <sheetName val="Lead statement"/>
      <sheetName val="Conveyance ch"/>
      <sheetName val="SSR 2010-11 Rates"/>
      <sheetName val="Hire charges"/>
      <sheetName val="centering"/>
      <sheetName val="40KL-250KL Estimate &amp; data"/>
      <sheetName val="CI specials for OHSR"/>
      <sheetName val="LEADS"/>
      <sheetName val="MRATES"/>
      <sheetName val="Specification"/>
      <sheetName val="data existing_do not delete"/>
      <sheetName val="Legal Risk Analysis"/>
      <sheetName val="m"/>
      <sheetName val="Material"/>
      <sheetName val="Road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13">
          <cell r="P13">
            <v>1110.08</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itrates"/>
      <sheetName val="unitratedata"/>
      <sheetName val="ssrdata"/>
      <sheetName val="ssr-rates"/>
      <sheetName val="data"/>
      <sheetName val="bricks"/>
      <sheetName val="stone"/>
      <sheetName val="sand"/>
      <sheetName val="earth"/>
      <sheetName val="Reserve"/>
      <sheetName val="index"/>
      <sheetName val="Data.F8.BTR"/>
      <sheetName val="v"/>
      <sheetName val="Road data"/>
      <sheetName val="segments-details"/>
      <sheetName val="pvc-pipe-rates"/>
      <sheetName val="leads"/>
      <sheetName val="Road Detail Est."/>
      <sheetName val="sup dat"/>
      <sheetName val="HDPE"/>
      <sheetName val="DI"/>
      <sheetName val="pvc"/>
      <sheetName val="DATA_PRG"/>
      <sheetName val="Model-ssrData2008"/>
      <sheetName val="Sheet1"/>
      <sheetName val="t_prsr"/>
      <sheetName val="wh"/>
      <sheetName val="Plant &amp;  Machinery"/>
      <sheetName val="sch"/>
      <sheetName val="id"/>
      <sheetName val="hdpe weights"/>
      <sheetName val="PVC weights"/>
      <sheetName val="Specification"/>
      <sheetName val="Lead"/>
      <sheetName val="Sheet1 (2)"/>
      <sheetName val="MRATES"/>
      <sheetName val="m"/>
      <sheetName val="Sheet2"/>
      <sheetName val="Dormitory"/>
      <sheetName val="l"/>
      <sheetName val="Levels"/>
      <sheetName val="PVC_dia"/>
      <sheetName val="detls"/>
      <sheetName val="Lead statement"/>
      <sheetName val="Ward areas"/>
      <sheetName val="sluice-PVC"/>
      <sheetName val="Airvalve-HDPE"/>
      <sheetName val="dbl-airvalve-PVC"/>
      <sheetName val="DFjoints"/>
      <sheetName val="VC rate"/>
      <sheetName val="0000000000000"/>
      <sheetName val="Labour"/>
      <sheetName val="Nspt-smp-final-ORIGINAL"/>
      <sheetName val="WATER-HAMMER"/>
      <sheetName val="input"/>
      <sheetName val="RMR"/>
      <sheetName val="Boq"/>
      <sheetName val="Material"/>
      <sheetName val="Publicbuilding"/>
      <sheetName val="Basic Rates"/>
      <sheetName val="Mahesh"/>
      <sheetName val="Raghuveer"/>
      <sheetName val="Sheet3"/>
      <sheetName val="r"/>
      <sheetName val="sluice-HDPE"/>
      <sheetName val="sluice-DI upto 1000"/>
      <sheetName val="scour-DI-CI"/>
      <sheetName val="Rate"/>
      <sheetName val="Data-ELSR"/>
      <sheetName val="airvalve(AC)"/>
      <sheetName val="Caze Estimate "/>
      <sheetName val="Airvalve-DI"/>
      <sheetName val="CD Data"/>
      <sheetName val="Datas"/>
      <sheetName val="design"/>
      <sheetName val="maya"/>
      <sheetName val="data existing_do not delete"/>
      <sheetName val="Legal Risk Analysis"/>
      <sheetName val="Data-Road "/>
      <sheetName val="other rates"/>
      <sheetName val="Hire"/>
      <sheetName val="rdamdata"/>
      <sheetName val="PUMP_DATA"/>
      <sheetName val="hdpe-rates"/>
      <sheetName val="pvc-rates"/>
      <sheetName val="Rates_PVC"/>
      <sheetName val="int-Dia-pvc"/>
      <sheetName val="SSR"/>
      <sheetName val="water-hammar-strenght"/>
      <sheetName val=" data sheet "/>
      <sheetName val="DFjoints 2.11.17"/>
      <sheetName val="1-Pop Proj"/>
      <sheetName val="Sorted"/>
      <sheetName val="data1"/>
      <sheetName val="Cd"/>
      <sheetName val="Cs"/>
      <sheetName val="CPIPE"/>
      <sheetName val="THK"/>
      <sheetName val="CPIPE 1"/>
      <sheetName val="Main sheet"/>
      <sheetName val="temp-SDData (2)"/>
      <sheetName val="HS (MVS Akumarru)"/>
      <sheetName val="Hydraulic Design (Pipe)"/>
      <sheetName val="Data_F8_BTR"/>
      <sheetName val="Road_data"/>
      <sheetName val="Road_Detail_Est_"/>
      <sheetName val="sup_dat"/>
      <sheetName val="Ward_areas"/>
      <sheetName val="VC_rate"/>
      <sheetName val="Plant_&amp;__Machinery"/>
      <sheetName val="hdpe_weights"/>
      <sheetName val="PVC_weights"/>
      <sheetName val="Sheet1_(2)"/>
      <sheetName val="hdpe_basic"/>
      <sheetName val="clvrt_data"/>
      <sheetName val="Stem "/>
      <sheetName val="VCRate"/>
      <sheetName val="Air-HDPE"/>
      <sheetName val="VC Rate2"/>
      <sheetName val="Sluice-HDPE-16"/>
      <sheetName val="Sluice-DI-16"/>
      <sheetName val="Civil Boq"/>
      <sheetName val="7 Other Costs"/>
      <sheetName val="Longitudinal"/>
      <sheetName val="LOCAL RATES"/>
      <sheetName val="Breakdown"/>
      <sheetName val="SUMMARY"/>
      <sheetName val="Sheet5"/>
      <sheetName val="Estt"/>
      <sheetName val="int-Dia-hdpe"/>
      <sheetName val="dummy"/>
      <sheetName val="DsnConcept"/>
      <sheetName val="Pile cap"/>
      <sheetName val="HT-INTROD"/>
      <sheetName val="FORM7"/>
      <sheetName val="Stn&amp;bldg Abs"/>
      <sheetName val="cubes_M20"/>
      <sheetName val="E1"/>
      <sheetName val="IW-SRD-Rect"/>
      <sheetName val="DISCHARGE"/>
      <sheetName val="Rising Main"/>
      <sheetName val="Data_Base"/>
      <sheetName val="ww-march-02"/>
      <sheetName val="sluice-HDPE- FINAL"/>
      <sheetName val="kintc-airvalve-BWSC&amp;MS"/>
      <sheetName val="sluice-BWSCP-MS"/>
      <sheetName val="kintc-airvalve-DI"/>
      <sheetName val="sluice-DI"/>
      <sheetName val="pop"/>
      <sheetName val="I-CO"/>
      <sheetName val="Abstract"/>
      <sheetName val="Detailed"/>
      <sheetName val="PS1"/>
      <sheetName val="ABS"/>
      <sheetName val="DATA SHEET"/>
      <sheetName val="mlead"/>
      <sheetName val="abs road"/>
      <sheetName val="Abs_CD_2"/>
      <sheetName val="coverpage"/>
      <sheetName val="road est"/>
      <sheetName val="ECV"/>
      <sheetName val="PM&amp;GM"/>
      <sheetName val="quarry"/>
      <sheetName val="lead-st"/>
      <sheetName val="Cover"/>
      <sheetName val="GA"/>
      <sheetName val="Footings"/>
      <sheetName val="mp-team 1"/>
      <sheetName val="BOQ Distribution"/>
      <sheetName val="Lead_statement"/>
      <sheetName val="Basic_Rates"/>
      <sheetName val="sluice-DI_upto_1000"/>
      <sheetName val="Caze_Estimate_"/>
      <sheetName val="CD_Data"/>
      <sheetName val="data_existing_do_not_delete"/>
      <sheetName val="Legal_Risk_Analysis"/>
      <sheetName val="Data-Road_"/>
      <sheetName val="other_rates"/>
      <sheetName val="_data_sheet_"/>
      <sheetName val="DFjoints_2_11_17"/>
      <sheetName val="1-Pop_Proj"/>
      <sheetName val="CPIPE_1"/>
      <sheetName val="HS_(MVS_Akumarru)"/>
      <sheetName val="Main_sheet"/>
      <sheetName val="temp-SDData_(2)"/>
      <sheetName val="Hydraulic_Design_(Pipe)"/>
      <sheetName val="p&amp;m"/>
      <sheetName val="General"/>
      <sheetName val="m1"/>
      <sheetName val="not req 3"/>
      <sheetName val="CF4 (R)"/>
      <sheetName val="IS3370"/>
      <sheetName val="IS456"/>
      <sheetName val="ESTIMATE"/>
      <sheetName val="JAWAHAR-hyd-original"/>
      <sheetName val="HDPE-pipe-rates"/>
      <sheetName val="DATA-BASE"/>
      <sheetName val="DATA-ABSTRACT"/>
      <sheetName val="MS pipe,flange,Dummy"/>
      <sheetName val="Iocount"/>
      <sheetName val="20kL-design-final"/>
      <sheetName val="Pipe line estimate"/>
      <sheetName val="HDPE 2020-21"/>
      <sheetName val="Gate Valves"/>
      <sheetName val="Air-HDPE 2020-21"/>
      <sheetName val="STDDATAS2021-22"/>
      <sheetName val="VALVE CHAMBERS ABS "/>
      <sheetName val="ew OG"/>
      <sheetName val="ew-DiMs 2021-22"/>
      <sheetName val="DI PL "/>
      <sheetName val="DSS Input"/>
      <sheetName val="DSS -PH-Data"/>
      <sheetName val="PH 19.8.2019"/>
      <sheetName val="80mm VC"/>
      <sheetName val="Air-DI"/>
      <sheetName val="scour-pvc-hdpe-psc-DI-bwsc"/>
      <sheetName val="NRV"/>
      <sheetName val="Rates"/>
      <sheetName val="wh_data"/>
      <sheetName val="wh_data_R"/>
      <sheetName val="CPHEEO"/>
      <sheetName val="Chamber"/>
      <sheetName val="Leads Entry"/>
      <sheetName val="Road data.PS"/>
      <sheetName val="Gen.Abs."/>
      <sheetName val="boredetails"/>
      <sheetName val="rsf-5ld"/>
      <sheetName val="#REF"/>
      <sheetName val="RSF"/>
      <sheetName val="Mortars"/>
      <sheetName val="Data 2"/>
      <sheetName val="Valves"/>
      <sheetName val="MS Rates"/>
      <sheetName val="Data- All"/>
      <sheetName val="pvc_basic"/>
      <sheetName val="Sheet9"/>
      <sheetName val="Habcodes"/>
      <sheetName val="HS 1"/>
      <sheetName val="Data_Bit_I"/>
      <sheetName val="conc-foot-gradeslab"/>
      <sheetName val="bASICDATA"/>
      <sheetName val="Road data-TDR"/>
      <sheetName val="MRoad data"/>
      <sheetName val="Road data "/>
      <sheetName val="SPECS"/>
      <sheetName val="Road data  PH"/>
      <sheetName val="WS Data"/>
      <sheetName val="Setup Variables"/>
      <sheetName val="nodes"/>
      <sheetName val="PH"/>
      <sheetName val="PH Sor"/>
    </sheetNames>
    <sheetDataSet>
      <sheetData sheetId="0" refreshError="1"/>
      <sheetData sheetId="1" refreshError="1"/>
      <sheetData sheetId="2" refreshError="1"/>
      <sheetData sheetId="3" refreshError="1"/>
      <sheetData sheetId="4" refreshError="1"/>
      <sheetData sheetId="5" refreshError="1"/>
      <sheetData sheetId="6" refreshError="1">
        <row r="1">
          <cell r="A1" t="str">
            <v>Metal/stone lead cost</v>
          </cell>
          <cell r="B1" t="str">
            <v>1997-1998</v>
          </cell>
          <cell r="C1" t="str">
            <v>1998-1999</v>
          </cell>
          <cell r="D1" t="str">
            <v>1999-2000</v>
          </cell>
          <cell r="E1" t="str">
            <v>2000-2001</v>
          </cell>
          <cell r="F1" t="str">
            <v>2001-2002</v>
          </cell>
          <cell r="G1" t="str">
            <v>2002-2003</v>
          </cell>
          <cell r="H1" t="str">
            <v>2003-2004</v>
          </cell>
          <cell r="I1" t="str">
            <v>2004-2005</v>
          </cell>
          <cell r="J1" t="str">
            <v>2005-2006</v>
          </cell>
          <cell r="K1" t="str">
            <v>2006-2007</v>
          </cell>
          <cell r="L1" t="str">
            <v>2007-2008</v>
          </cell>
          <cell r="M1" t="str">
            <v>2008-2009</v>
          </cell>
          <cell r="N1" t="str">
            <v>2009-2010</v>
          </cell>
        </row>
        <row r="2">
          <cell r="A2">
            <v>0.5</v>
          </cell>
          <cell r="B2">
            <v>46.6</v>
          </cell>
          <cell r="C2">
            <v>51.3</v>
          </cell>
          <cell r="D2">
            <v>56</v>
          </cell>
          <cell r="E2">
            <v>64</v>
          </cell>
          <cell r="F2">
            <v>72</v>
          </cell>
          <cell r="G2">
            <v>75.599999999999994</v>
          </cell>
          <cell r="H2">
            <v>78.5</v>
          </cell>
          <cell r="I2">
            <v>80.900000000000006</v>
          </cell>
          <cell r="J2">
            <v>83.3</v>
          </cell>
          <cell r="K2">
            <v>91.6</v>
          </cell>
        </row>
        <row r="3">
          <cell r="A3">
            <v>1</v>
          </cell>
          <cell r="B3">
            <v>47.9</v>
          </cell>
          <cell r="C3">
            <v>52.7</v>
          </cell>
          <cell r="D3">
            <v>58</v>
          </cell>
          <cell r="E3">
            <v>67</v>
          </cell>
          <cell r="F3">
            <v>75</v>
          </cell>
          <cell r="G3">
            <v>78.75</v>
          </cell>
          <cell r="H3">
            <v>81.7</v>
          </cell>
          <cell r="I3">
            <v>84.2</v>
          </cell>
          <cell r="J3">
            <v>86.7</v>
          </cell>
          <cell r="K3">
            <v>95.4</v>
          </cell>
          <cell r="L3">
            <v>0</v>
          </cell>
        </row>
        <row r="4">
          <cell r="A4">
            <v>2</v>
          </cell>
          <cell r="B4">
            <v>49.9</v>
          </cell>
          <cell r="C4">
            <v>54.9</v>
          </cell>
          <cell r="D4">
            <v>60</v>
          </cell>
          <cell r="E4">
            <v>69</v>
          </cell>
          <cell r="F4">
            <v>77</v>
          </cell>
          <cell r="G4">
            <v>80.849999999999994</v>
          </cell>
          <cell r="H4">
            <v>83.8</v>
          </cell>
          <cell r="I4">
            <v>86.3</v>
          </cell>
          <cell r="J4">
            <v>88.9</v>
          </cell>
          <cell r="K4">
            <v>97.8</v>
          </cell>
          <cell r="L4">
            <v>0</v>
          </cell>
        </row>
        <row r="5">
          <cell r="A5">
            <v>3</v>
          </cell>
          <cell r="B5">
            <v>51.9</v>
          </cell>
          <cell r="C5">
            <v>57.1</v>
          </cell>
          <cell r="D5">
            <v>62.8</v>
          </cell>
          <cell r="E5">
            <v>72</v>
          </cell>
          <cell r="F5">
            <v>81</v>
          </cell>
          <cell r="G5">
            <v>85.05</v>
          </cell>
          <cell r="H5">
            <v>88</v>
          </cell>
          <cell r="I5">
            <v>90.7</v>
          </cell>
          <cell r="J5">
            <v>93.4</v>
          </cell>
          <cell r="K5">
            <v>102.7</v>
          </cell>
          <cell r="L5">
            <v>0</v>
          </cell>
        </row>
        <row r="6">
          <cell r="A6">
            <v>4</v>
          </cell>
          <cell r="B6">
            <v>54.1</v>
          </cell>
          <cell r="C6">
            <v>59.5</v>
          </cell>
          <cell r="D6">
            <v>65</v>
          </cell>
          <cell r="E6">
            <v>75</v>
          </cell>
          <cell r="F6">
            <v>84</v>
          </cell>
          <cell r="G6">
            <v>88.2</v>
          </cell>
          <cell r="H6">
            <v>91.5</v>
          </cell>
          <cell r="I6">
            <v>94.3</v>
          </cell>
          <cell r="J6">
            <v>97.1</v>
          </cell>
          <cell r="K6">
            <v>106.8</v>
          </cell>
          <cell r="L6">
            <v>0</v>
          </cell>
        </row>
        <row r="7">
          <cell r="A7">
            <v>5</v>
          </cell>
          <cell r="B7">
            <v>56.1</v>
          </cell>
          <cell r="C7">
            <v>61.7</v>
          </cell>
          <cell r="D7">
            <v>67.900000000000006</v>
          </cell>
          <cell r="E7">
            <v>78</v>
          </cell>
          <cell r="F7">
            <v>87</v>
          </cell>
          <cell r="G7">
            <v>91.35</v>
          </cell>
          <cell r="H7">
            <v>94.7</v>
          </cell>
          <cell r="I7">
            <v>97.6</v>
          </cell>
          <cell r="J7">
            <v>100.5</v>
          </cell>
          <cell r="K7">
            <v>110.6</v>
          </cell>
          <cell r="L7">
            <v>0</v>
          </cell>
        </row>
        <row r="8">
          <cell r="A8">
            <v>6</v>
          </cell>
          <cell r="B8">
            <v>58.3</v>
          </cell>
          <cell r="C8">
            <v>64.099999999999994</v>
          </cell>
          <cell r="D8">
            <v>70.5</v>
          </cell>
          <cell r="E8">
            <v>82</v>
          </cell>
          <cell r="F8">
            <v>92</v>
          </cell>
          <cell r="G8">
            <v>96.6</v>
          </cell>
          <cell r="H8">
            <v>100.1</v>
          </cell>
          <cell r="I8">
            <v>103.1</v>
          </cell>
          <cell r="J8">
            <v>106.2</v>
          </cell>
          <cell r="K8">
            <v>122.1</v>
          </cell>
          <cell r="L8">
            <v>0</v>
          </cell>
        </row>
        <row r="9">
          <cell r="A9">
            <v>7</v>
          </cell>
          <cell r="B9">
            <v>60.3</v>
          </cell>
          <cell r="C9">
            <v>66.3</v>
          </cell>
          <cell r="D9">
            <v>72.900000000000006</v>
          </cell>
          <cell r="E9">
            <v>84</v>
          </cell>
          <cell r="F9">
            <v>94</v>
          </cell>
          <cell r="G9">
            <v>98.7</v>
          </cell>
          <cell r="H9">
            <v>102.4</v>
          </cell>
          <cell r="I9">
            <v>105.5</v>
          </cell>
          <cell r="J9">
            <v>108.7</v>
          </cell>
          <cell r="K9">
            <v>125</v>
          </cell>
          <cell r="L9">
            <v>0</v>
          </cell>
        </row>
        <row r="10">
          <cell r="A10">
            <v>8</v>
          </cell>
          <cell r="B10">
            <v>62.4</v>
          </cell>
          <cell r="C10">
            <v>68.599999999999994</v>
          </cell>
          <cell r="D10">
            <v>75</v>
          </cell>
          <cell r="E10">
            <v>86</v>
          </cell>
          <cell r="F10">
            <v>96</v>
          </cell>
          <cell r="G10">
            <v>100.8</v>
          </cell>
          <cell r="H10">
            <v>104.5</v>
          </cell>
          <cell r="I10">
            <v>107.6</v>
          </cell>
          <cell r="J10">
            <v>110.8</v>
          </cell>
          <cell r="K10">
            <v>127.4</v>
          </cell>
          <cell r="L10">
            <v>0</v>
          </cell>
        </row>
        <row r="11">
          <cell r="A11">
            <v>9</v>
          </cell>
          <cell r="B11">
            <v>64.8</v>
          </cell>
          <cell r="C11">
            <v>71.3</v>
          </cell>
          <cell r="D11">
            <v>78</v>
          </cell>
          <cell r="E11">
            <v>90</v>
          </cell>
          <cell r="F11">
            <v>101</v>
          </cell>
          <cell r="G11">
            <v>106.05</v>
          </cell>
          <cell r="H11">
            <v>109.9</v>
          </cell>
          <cell r="I11">
            <v>113.2</v>
          </cell>
          <cell r="J11">
            <v>116.6</v>
          </cell>
          <cell r="K11">
            <v>134.1</v>
          </cell>
          <cell r="L11">
            <v>0</v>
          </cell>
        </row>
        <row r="12">
          <cell r="A12">
            <v>10</v>
          </cell>
          <cell r="B12">
            <v>66.599999999999994</v>
          </cell>
          <cell r="C12">
            <v>73.3</v>
          </cell>
          <cell r="D12">
            <v>80</v>
          </cell>
          <cell r="E12">
            <v>92</v>
          </cell>
          <cell r="F12">
            <v>103</v>
          </cell>
          <cell r="G12">
            <v>108.15</v>
          </cell>
          <cell r="H12">
            <v>112.2</v>
          </cell>
          <cell r="I12">
            <v>115.6</v>
          </cell>
          <cell r="J12">
            <v>119.1</v>
          </cell>
          <cell r="K12">
            <v>137</v>
          </cell>
          <cell r="L12">
            <v>0</v>
          </cell>
        </row>
        <row r="13">
          <cell r="A13">
            <v>11</v>
          </cell>
          <cell r="B13">
            <v>69</v>
          </cell>
          <cell r="C13">
            <v>75.900000000000006</v>
          </cell>
          <cell r="D13">
            <v>83</v>
          </cell>
          <cell r="E13">
            <v>95</v>
          </cell>
          <cell r="F13">
            <v>106</v>
          </cell>
          <cell r="G13">
            <v>111.3</v>
          </cell>
          <cell r="H13">
            <v>116.1</v>
          </cell>
          <cell r="I13">
            <v>119.6</v>
          </cell>
          <cell r="J13">
            <v>123.2</v>
          </cell>
          <cell r="K13">
            <v>141.69999999999999</v>
          </cell>
          <cell r="L13">
            <v>0</v>
          </cell>
        </row>
        <row r="14">
          <cell r="A14">
            <v>12</v>
          </cell>
          <cell r="B14">
            <v>70.8</v>
          </cell>
          <cell r="C14">
            <v>77.900000000000006</v>
          </cell>
          <cell r="D14">
            <v>85.7</v>
          </cell>
          <cell r="E14">
            <v>99</v>
          </cell>
          <cell r="F14">
            <v>111</v>
          </cell>
          <cell r="G14">
            <v>116.55</v>
          </cell>
          <cell r="H14">
            <v>120.8</v>
          </cell>
          <cell r="I14">
            <v>124.4</v>
          </cell>
          <cell r="J14">
            <v>128.1</v>
          </cell>
          <cell r="K14">
            <v>147.30000000000001</v>
          </cell>
          <cell r="L14">
            <v>0</v>
          </cell>
        </row>
        <row r="15">
          <cell r="A15">
            <v>13</v>
          </cell>
          <cell r="B15">
            <v>73.3</v>
          </cell>
          <cell r="C15">
            <v>80.599999999999994</v>
          </cell>
          <cell r="D15">
            <v>88.7</v>
          </cell>
          <cell r="E15">
            <v>102</v>
          </cell>
          <cell r="F15">
            <v>114</v>
          </cell>
          <cell r="G15">
            <v>119.7</v>
          </cell>
          <cell r="H15">
            <v>124.1</v>
          </cell>
          <cell r="I15">
            <v>127.8</v>
          </cell>
          <cell r="J15">
            <v>131.6</v>
          </cell>
          <cell r="K15">
            <v>151.30000000000001</v>
          </cell>
          <cell r="L15">
            <v>0</v>
          </cell>
        </row>
        <row r="16">
          <cell r="A16">
            <v>14</v>
          </cell>
          <cell r="B16">
            <v>75</v>
          </cell>
          <cell r="C16">
            <v>82.5</v>
          </cell>
          <cell r="D16">
            <v>90.8</v>
          </cell>
          <cell r="E16">
            <v>105</v>
          </cell>
          <cell r="F16">
            <v>118</v>
          </cell>
          <cell r="G16">
            <v>123.9</v>
          </cell>
          <cell r="H16">
            <v>128.30000000000001</v>
          </cell>
          <cell r="I16">
            <v>132.19999999999999</v>
          </cell>
          <cell r="J16">
            <v>136.19999999999999</v>
          </cell>
          <cell r="K16">
            <v>156.6</v>
          </cell>
          <cell r="L16">
            <v>0</v>
          </cell>
        </row>
        <row r="17">
          <cell r="A17">
            <v>15</v>
          </cell>
          <cell r="B17">
            <v>76.900000000000006</v>
          </cell>
          <cell r="C17">
            <v>84.6</v>
          </cell>
          <cell r="D17">
            <v>93</v>
          </cell>
          <cell r="E17">
            <v>107</v>
          </cell>
          <cell r="F17">
            <v>120</v>
          </cell>
          <cell r="G17">
            <v>126</v>
          </cell>
          <cell r="H17">
            <v>130.6</v>
          </cell>
          <cell r="I17">
            <v>134.5</v>
          </cell>
          <cell r="J17">
            <v>138.5</v>
          </cell>
          <cell r="K17">
            <v>159.30000000000001</v>
          </cell>
          <cell r="L17">
            <v>0</v>
          </cell>
        </row>
        <row r="18">
          <cell r="A18">
            <v>16</v>
          </cell>
          <cell r="B18">
            <v>79.3</v>
          </cell>
          <cell r="C18">
            <v>87.2</v>
          </cell>
          <cell r="D18">
            <v>95.9</v>
          </cell>
          <cell r="E18">
            <v>110</v>
          </cell>
          <cell r="F18">
            <v>123</v>
          </cell>
          <cell r="G18">
            <v>129.15</v>
          </cell>
          <cell r="H18">
            <v>133.9</v>
          </cell>
          <cell r="I18">
            <v>137.9</v>
          </cell>
          <cell r="J18">
            <v>142</v>
          </cell>
          <cell r="K18">
            <v>163.30000000000001</v>
          </cell>
          <cell r="L18">
            <v>0</v>
          </cell>
        </row>
        <row r="19">
          <cell r="A19">
            <v>17</v>
          </cell>
          <cell r="B19">
            <v>81.099999999999994</v>
          </cell>
          <cell r="C19">
            <v>89.2</v>
          </cell>
          <cell r="D19">
            <v>98</v>
          </cell>
          <cell r="E19">
            <v>113</v>
          </cell>
          <cell r="F19">
            <v>127</v>
          </cell>
          <cell r="G19">
            <v>133.35</v>
          </cell>
          <cell r="H19">
            <v>138.1</v>
          </cell>
          <cell r="I19">
            <v>142.30000000000001</v>
          </cell>
          <cell r="J19">
            <v>146.6</v>
          </cell>
          <cell r="K19">
            <v>168.6</v>
          </cell>
          <cell r="L19">
            <v>0</v>
          </cell>
        </row>
        <row r="20">
          <cell r="A20">
            <v>18</v>
          </cell>
          <cell r="B20">
            <v>83.5</v>
          </cell>
          <cell r="C20">
            <v>91.9</v>
          </cell>
          <cell r="D20">
            <v>101</v>
          </cell>
          <cell r="E20">
            <v>116</v>
          </cell>
          <cell r="F20">
            <v>130</v>
          </cell>
          <cell r="G20">
            <v>136.5</v>
          </cell>
          <cell r="H20">
            <v>141.5</v>
          </cell>
          <cell r="I20">
            <v>145.80000000000001</v>
          </cell>
          <cell r="J20">
            <v>150.19999999999999</v>
          </cell>
          <cell r="K20">
            <v>172.7</v>
          </cell>
          <cell r="L20">
            <v>0</v>
          </cell>
        </row>
        <row r="21">
          <cell r="A21">
            <v>19</v>
          </cell>
          <cell r="B21">
            <v>85.4</v>
          </cell>
          <cell r="C21">
            <v>93.9</v>
          </cell>
          <cell r="D21">
            <v>103</v>
          </cell>
          <cell r="E21">
            <v>118</v>
          </cell>
          <cell r="F21">
            <v>132</v>
          </cell>
          <cell r="G21">
            <v>138.6</v>
          </cell>
          <cell r="H21">
            <v>143.69999999999999</v>
          </cell>
          <cell r="I21">
            <v>148</v>
          </cell>
          <cell r="J21">
            <v>152.4</v>
          </cell>
          <cell r="K21">
            <v>175.3</v>
          </cell>
          <cell r="L21">
            <v>0</v>
          </cell>
        </row>
        <row r="22">
          <cell r="A22">
            <v>20</v>
          </cell>
          <cell r="B22">
            <v>87.8</v>
          </cell>
          <cell r="C22">
            <v>96.6</v>
          </cell>
          <cell r="D22">
            <v>106</v>
          </cell>
          <cell r="E22">
            <v>122</v>
          </cell>
          <cell r="F22">
            <v>137</v>
          </cell>
          <cell r="G22">
            <v>143.85</v>
          </cell>
          <cell r="H22">
            <v>149</v>
          </cell>
          <cell r="I22">
            <v>153.5</v>
          </cell>
          <cell r="J22">
            <v>158.1</v>
          </cell>
          <cell r="K22">
            <v>181.8</v>
          </cell>
          <cell r="L22">
            <v>0</v>
          </cell>
        </row>
        <row r="23">
          <cell r="A23">
            <v>21</v>
          </cell>
          <cell r="B23">
            <v>90</v>
          </cell>
          <cell r="C23">
            <v>99</v>
          </cell>
          <cell r="D23">
            <v>108.6</v>
          </cell>
          <cell r="E23">
            <v>125</v>
          </cell>
          <cell r="F23">
            <v>140.4</v>
          </cell>
          <cell r="G23">
            <v>147.4</v>
          </cell>
          <cell r="H23">
            <v>152.69999999999999</v>
          </cell>
          <cell r="I23">
            <v>157.30000000000001</v>
          </cell>
          <cell r="J23">
            <v>162.1</v>
          </cell>
          <cell r="K23">
            <v>186.6</v>
          </cell>
        </row>
        <row r="24">
          <cell r="A24">
            <v>22</v>
          </cell>
          <cell r="B24">
            <v>92.2</v>
          </cell>
          <cell r="C24">
            <v>101.4</v>
          </cell>
          <cell r="D24">
            <v>111.2</v>
          </cell>
          <cell r="E24">
            <v>128</v>
          </cell>
          <cell r="F24">
            <v>143.80000000000001</v>
          </cell>
          <cell r="G24">
            <v>150.94999999999999</v>
          </cell>
          <cell r="H24">
            <v>156.4</v>
          </cell>
          <cell r="I24">
            <v>161.1</v>
          </cell>
          <cell r="J24">
            <v>166.1</v>
          </cell>
          <cell r="K24">
            <v>191.4</v>
          </cell>
        </row>
        <row r="25">
          <cell r="A25">
            <v>23</v>
          </cell>
          <cell r="B25">
            <v>94.4</v>
          </cell>
          <cell r="C25">
            <v>103.8</v>
          </cell>
          <cell r="D25">
            <v>113.8</v>
          </cell>
          <cell r="E25">
            <v>131</v>
          </cell>
          <cell r="F25">
            <v>147.19999999999999</v>
          </cell>
          <cell r="G25">
            <v>154.5</v>
          </cell>
          <cell r="H25">
            <v>160.1</v>
          </cell>
          <cell r="I25">
            <v>164.9</v>
          </cell>
          <cell r="J25">
            <v>170.1</v>
          </cell>
          <cell r="K25">
            <v>196.2</v>
          </cell>
        </row>
        <row r="26">
          <cell r="A26">
            <v>24</v>
          </cell>
          <cell r="B26">
            <v>96.6</v>
          </cell>
          <cell r="C26">
            <v>106.2</v>
          </cell>
          <cell r="D26">
            <v>116.4</v>
          </cell>
          <cell r="E26">
            <v>134</v>
          </cell>
          <cell r="F26">
            <v>150.6</v>
          </cell>
          <cell r="G26">
            <v>158.05000000000001</v>
          </cell>
          <cell r="H26">
            <v>163.80000000000001</v>
          </cell>
          <cell r="I26">
            <v>168.7</v>
          </cell>
          <cell r="J26">
            <v>174.1</v>
          </cell>
          <cell r="K26">
            <v>201</v>
          </cell>
        </row>
        <row r="27">
          <cell r="A27">
            <v>25</v>
          </cell>
          <cell r="B27">
            <v>98.8</v>
          </cell>
          <cell r="C27">
            <v>108.6</v>
          </cell>
          <cell r="D27">
            <v>119</v>
          </cell>
          <cell r="E27">
            <v>137</v>
          </cell>
          <cell r="F27">
            <v>154</v>
          </cell>
          <cell r="G27">
            <v>161.6</v>
          </cell>
          <cell r="H27">
            <v>167.5</v>
          </cell>
          <cell r="I27">
            <v>172.5</v>
          </cell>
          <cell r="J27">
            <v>178.1</v>
          </cell>
          <cell r="K27">
            <v>205.8</v>
          </cell>
        </row>
        <row r="28">
          <cell r="A28">
            <v>26</v>
          </cell>
          <cell r="B28">
            <v>101</v>
          </cell>
          <cell r="C28">
            <v>111</v>
          </cell>
          <cell r="D28">
            <v>121.6</v>
          </cell>
          <cell r="E28">
            <v>140</v>
          </cell>
          <cell r="F28">
            <v>157.4</v>
          </cell>
          <cell r="G28">
            <v>165.15</v>
          </cell>
          <cell r="H28">
            <v>171.2</v>
          </cell>
          <cell r="I28">
            <v>176.3</v>
          </cell>
          <cell r="J28">
            <v>182.1</v>
          </cell>
          <cell r="K28">
            <v>210.6</v>
          </cell>
        </row>
        <row r="29">
          <cell r="A29">
            <v>27</v>
          </cell>
          <cell r="B29">
            <v>103.2</v>
          </cell>
          <cell r="C29">
            <v>113.4</v>
          </cell>
          <cell r="D29">
            <v>124.2</v>
          </cell>
          <cell r="E29">
            <v>143</v>
          </cell>
          <cell r="F29">
            <v>160.80000000000001</v>
          </cell>
          <cell r="G29">
            <v>168.7</v>
          </cell>
          <cell r="H29">
            <v>174.9</v>
          </cell>
          <cell r="I29">
            <v>180.1</v>
          </cell>
          <cell r="J29">
            <v>186.1</v>
          </cell>
          <cell r="K29">
            <v>215.4</v>
          </cell>
        </row>
        <row r="30">
          <cell r="A30">
            <v>28</v>
          </cell>
          <cell r="B30">
            <v>105.4</v>
          </cell>
          <cell r="C30">
            <v>115.8</v>
          </cell>
          <cell r="D30">
            <v>126.8</v>
          </cell>
          <cell r="E30">
            <v>146</v>
          </cell>
          <cell r="F30">
            <v>164.2</v>
          </cell>
          <cell r="G30">
            <v>172.25</v>
          </cell>
          <cell r="H30">
            <v>178.6</v>
          </cell>
          <cell r="I30">
            <v>183.9</v>
          </cell>
          <cell r="J30">
            <v>190.1</v>
          </cell>
          <cell r="K30">
            <v>220.2</v>
          </cell>
        </row>
        <row r="31">
          <cell r="A31">
            <v>29</v>
          </cell>
          <cell r="B31">
            <v>107.6</v>
          </cell>
          <cell r="C31">
            <v>118.2</v>
          </cell>
          <cell r="D31">
            <v>129.4</v>
          </cell>
          <cell r="E31">
            <v>149</v>
          </cell>
          <cell r="F31">
            <v>167.6</v>
          </cell>
          <cell r="G31">
            <v>175.8</v>
          </cell>
          <cell r="H31">
            <v>182.3</v>
          </cell>
          <cell r="I31">
            <v>187.7</v>
          </cell>
          <cell r="J31">
            <v>194.1</v>
          </cell>
          <cell r="K31">
            <v>225</v>
          </cell>
        </row>
        <row r="32">
          <cell r="A32">
            <v>30</v>
          </cell>
          <cell r="B32">
            <v>109.8</v>
          </cell>
          <cell r="C32">
            <v>120.6</v>
          </cell>
          <cell r="D32">
            <v>132</v>
          </cell>
          <cell r="E32">
            <v>152</v>
          </cell>
          <cell r="F32">
            <v>171</v>
          </cell>
          <cell r="G32">
            <v>179.35</v>
          </cell>
          <cell r="H32">
            <v>186</v>
          </cell>
          <cell r="I32">
            <v>191.5</v>
          </cell>
          <cell r="J32">
            <v>198.1</v>
          </cell>
          <cell r="K32">
            <v>229.8</v>
          </cell>
        </row>
        <row r="33">
          <cell r="A33">
            <v>31</v>
          </cell>
          <cell r="B33">
            <v>112</v>
          </cell>
          <cell r="C33">
            <v>123</v>
          </cell>
          <cell r="D33">
            <v>134.6</v>
          </cell>
          <cell r="E33">
            <v>155</v>
          </cell>
          <cell r="F33">
            <v>174.4</v>
          </cell>
          <cell r="G33">
            <v>182.9</v>
          </cell>
          <cell r="H33">
            <v>189.4</v>
          </cell>
          <cell r="I33">
            <v>195</v>
          </cell>
          <cell r="J33">
            <v>201.7</v>
          </cell>
          <cell r="K33">
            <v>234.1</v>
          </cell>
        </row>
        <row r="34">
          <cell r="A34">
            <v>32</v>
          </cell>
          <cell r="B34">
            <v>114.2</v>
          </cell>
          <cell r="C34">
            <v>125.4</v>
          </cell>
          <cell r="D34">
            <v>137.19999999999999</v>
          </cell>
          <cell r="E34">
            <v>158</v>
          </cell>
          <cell r="F34">
            <v>177.8</v>
          </cell>
          <cell r="G34">
            <v>186.45</v>
          </cell>
          <cell r="H34">
            <v>192.8</v>
          </cell>
          <cell r="I34">
            <v>198.5</v>
          </cell>
          <cell r="J34">
            <v>205.3</v>
          </cell>
          <cell r="K34">
            <v>238.4</v>
          </cell>
        </row>
        <row r="35">
          <cell r="A35">
            <v>33</v>
          </cell>
          <cell r="B35">
            <v>116.4</v>
          </cell>
          <cell r="C35">
            <v>127.8</v>
          </cell>
          <cell r="D35">
            <v>139.80000000000001</v>
          </cell>
          <cell r="E35">
            <v>161</v>
          </cell>
          <cell r="F35">
            <v>181.2</v>
          </cell>
          <cell r="G35">
            <v>190</v>
          </cell>
          <cell r="H35">
            <v>196.2</v>
          </cell>
          <cell r="I35">
            <v>202</v>
          </cell>
          <cell r="J35">
            <v>208.9</v>
          </cell>
          <cell r="K35">
            <v>242.7</v>
          </cell>
        </row>
        <row r="36">
          <cell r="A36">
            <v>34</v>
          </cell>
          <cell r="B36">
            <v>118.6</v>
          </cell>
          <cell r="C36">
            <v>130.19999999999999</v>
          </cell>
          <cell r="D36">
            <v>142.4</v>
          </cell>
          <cell r="E36">
            <v>164</v>
          </cell>
          <cell r="F36">
            <v>184.6</v>
          </cell>
          <cell r="G36">
            <v>193.55</v>
          </cell>
          <cell r="H36">
            <v>199.6</v>
          </cell>
          <cell r="I36">
            <v>205.5</v>
          </cell>
          <cell r="J36">
            <v>212.5</v>
          </cell>
          <cell r="K36">
            <v>247</v>
          </cell>
        </row>
        <row r="37">
          <cell r="A37">
            <v>35</v>
          </cell>
          <cell r="B37">
            <v>120.8</v>
          </cell>
          <cell r="C37">
            <v>132.6</v>
          </cell>
          <cell r="D37">
            <v>145</v>
          </cell>
          <cell r="E37">
            <v>167</v>
          </cell>
          <cell r="F37">
            <v>188</v>
          </cell>
          <cell r="G37">
            <v>197.1</v>
          </cell>
          <cell r="H37">
            <v>203</v>
          </cell>
          <cell r="I37">
            <v>209</v>
          </cell>
          <cell r="J37">
            <v>216.1</v>
          </cell>
          <cell r="K37">
            <v>251.3</v>
          </cell>
        </row>
        <row r="38">
          <cell r="A38">
            <v>36</v>
          </cell>
          <cell r="B38">
            <v>123</v>
          </cell>
          <cell r="C38">
            <v>135</v>
          </cell>
          <cell r="D38">
            <v>147.6</v>
          </cell>
          <cell r="E38">
            <v>170</v>
          </cell>
          <cell r="F38">
            <v>191.4</v>
          </cell>
          <cell r="G38">
            <v>200.65</v>
          </cell>
          <cell r="H38">
            <v>206.4</v>
          </cell>
          <cell r="I38">
            <v>212.5</v>
          </cell>
          <cell r="J38">
            <v>219.7</v>
          </cell>
          <cell r="K38">
            <v>255.6</v>
          </cell>
        </row>
        <row r="39">
          <cell r="A39">
            <v>37</v>
          </cell>
          <cell r="B39">
            <v>125.2</v>
          </cell>
          <cell r="C39">
            <v>137.4</v>
          </cell>
          <cell r="D39">
            <v>150.19999999999999</v>
          </cell>
          <cell r="E39">
            <v>173</v>
          </cell>
          <cell r="F39">
            <v>194.8</v>
          </cell>
          <cell r="G39">
            <v>204.2</v>
          </cell>
          <cell r="H39">
            <v>209.8</v>
          </cell>
          <cell r="I39">
            <v>216</v>
          </cell>
          <cell r="J39">
            <v>223.3</v>
          </cell>
          <cell r="K39">
            <v>259.89999999999998</v>
          </cell>
        </row>
        <row r="40">
          <cell r="A40">
            <v>38</v>
          </cell>
          <cell r="B40">
            <v>127.4</v>
          </cell>
          <cell r="C40">
            <v>139.80000000000001</v>
          </cell>
          <cell r="D40">
            <v>152.80000000000001</v>
          </cell>
          <cell r="E40">
            <v>176</v>
          </cell>
          <cell r="F40">
            <v>198.2</v>
          </cell>
          <cell r="G40">
            <v>207.75</v>
          </cell>
          <cell r="H40">
            <v>213.2</v>
          </cell>
          <cell r="I40">
            <v>219.5</v>
          </cell>
          <cell r="J40">
            <v>226.9</v>
          </cell>
          <cell r="K40">
            <v>264.2</v>
          </cell>
        </row>
        <row r="41">
          <cell r="A41">
            <v>39</v>
          </cell>
          <cell r="B41">
            <v>129.6</v>
          </cell>
          <cell r="C41">
            <v>142.19999999999999</v>
          </cell>
          <cell r="D41">
            <v>155.4</v>
          </cell>
          <cell r="E41">
            <v>179</v>
          </cell>
          <cell r="F41">
            <v>201.6</v>
          </cell>
          <cell r="G41">
            <v>211.3</v>
          </cell>
          <cell r="H41">
            <v>216.6</v>
          </cell>
          <cell r="I41">
            <v>223</v>
          </cell>
          <cell r="J41">
            <v>230.5</v>
          </cell>
          <cell r="K41">
            <v>268.5</v>
          </cell>
        </row>
        <row r="42">
          <cell r="A42">
            <v>40</v>
          </cell>
          <cell r="B42">
            <v>131.80000000000001</v>
          </cell>
          <cell r="C42">
            <v>144.6</v>
          </cell>
          <cell r="D42">
            <v>158</v>
          </cell>
          <cell r="E42">
            <v>182</v>
          </cell>
          <cell r="F42">
            <v>205</v>
          </cell>
          <cell r="G42">
            <v>214.85</v>
          </cell>
          <cell r="H42">
            <v>220</v>
          </cell>
          <cell r="I42">
            <v>226.5</v>
          </cell>
          <cell r="J42">
            <v>234.1</v>
          </cell>
          <cell r="K42">
            <v>272.8</v>
          </cell>
        </row>
        <row r="43">
          <cell r="A43">
            <v>41</v>
          </cell>
          <cell r="B43">
            <v>134</v>
          </cell>
          <cell r="C43">
            <v>147</v>
          </cell>
          <cell r="D43">
            <v>160.6</v>
          </cell>
          <cell r="E43">
            <v>185</v>
          </cell>
          <cell r="F43">
            <v>208.4</v>
          </cell>
          <cell r="G43">
            <v>218.4</v>
          </cell>
          <cell r="H43">
            <v>223.4</v>
          </cell>
          <cell r="I43">
            <v>230</v>
          </cell>
          <cell r="J43">
            <v>237.7</v>
          </cell>
          <cell r="K43">
            <v>277.10000000000002</v>
          </cell>
        </row>
        <row r="44">
          <cell r="A44">
            <v>42</v>
          </cell>
          <cell r="B44">
            <v>136.19999999999999</v>
          </cell>
          <cell r="C44">
            <v>149.4</v>
          </cell>
          <cell r="D44">
            <v>163.19999999999999</v>
          </cell>
          <cell r="E44">
            <v>188</v>
          </cell>
          <cell r="F44">
            <v>211.8</v>
          </cell>
          <cell r="G44">
            <v>221.95</v>
          </cell>
          <cell r="H44">
            <v>226.8</v>
          </cell>
          <cell r="I44">
            <v>233.5</v>
          </cell>
          <cell r="J44">
            <v>241.3</v>
          </cell>
          <cell r="K44">
            <v>281.39999999999998</v>
          </cell>
        </row>
        <row r="45">
          <cell r="A45">
            <v>43</v>
          </cell>
          <cell r="B45">
            <v>138.4</v>
          </cell>
          <cell r="C45">
            <v>151.80000000000001</v>
          </cell>
          <cell r="D45">
            <v>165.8</v>
          </cell>
          <cell r="E45">
            <v>191</v>
          </cell>
          <cell r="F45">
            <v>215.2</v>
          </cell>
          <cell r="G45">
            <v>225.5</v>
          </cell>
          <cell r="H45">
            <v>230.2</v>
          </cell>
          <cell r="I45">
            <v>237</v>
          </cell>
          <cell r="J45">
            <v>244.9</v>
          </cell>
          <cell r="K45">
            <v>285.7</v>
          </cell>
        </row>
        <row r="46">
          <cell r="A46">
            <v>44</v>
          </cell>
          <cell r="B46">
            <v>140.6</v>
          </cell>
          <cell r="C46">
            <v>154.19999999999999</v>
          </cell>
          <cell r="D46">
            <v>168.4</v>
          </cell>
          <cell r="E46">
            <v>194</v>
          </cell>
          <cell r="F46">
            <v>218.6</v>
          </cell>
          <cell r="G46">
            <v>229.05</v>
          </cell>
          <cell r="H46">
            <v>233.6</v>
          </cell>
          <cell r="I46">
            <v>240.5</v>
          </cell>
          <cell r="J46">
            <v>248.5</v>
          </cell>
          <cell r="K46">
            <v>290</v>
          </cell>
        </row>
        <row r="47">
          <cell r="A47">
            <v>45</v>
          </cell>
          <cell r="B47">
            <v>142.80000000000001</v>
          </cell>
          <cell r="C47">
            <v>156.6</v>
          </cell>
          <cell r="D47">
            <v>171</v>
          </cell>
          <cell r="E47">
            <v>197</v>
          </cell>
          <cell r="F47">
            <v>222</v>
          </cell>
          <cell r="G47">
            <v>232.6</v>
          </cell>
          <cell r="H47">
            <v>237</v>
          </cell>
          <cell r="I47">
            <v>244</v>
          </cell>
          <cell r="J47">
            <v>252.1</v>
          </cell>
          <cell r="K47">
            <v>294.3</v>
          </cell>
        </row>
        <row r="48">
          <cell r="A48">
            <v>46</v>
          </cell>
          <cell r="B48">
            <v>145</v>
          </cell>
          <cell r="C48">
            <v>159</v>
          </cell>
          <cell r="D48">
            <v>173.6</v>
          </cell>
          <cell r="E48">
            <v>200</v>
          </cell>
          <cell r="F48">
            <v>225.4</v>
          </cell>
          <cell r="G48">
            <v>236.15</v>
          </cell>
          <cell r="H48">
            <v>240.4</v>
          </cell>
          <cell r="I48">
            <v>247.5</v>
          </cell>
          <cell r="J48">
            <v>255.7</v>
          </cell>
          <cell r="K48">
            <v>298.60000000000002</v>
          </cell>
        </row>
        <row r="49">
          <cell r="A49">
            <v>47</v>
          </cell>
          <cell r="B49">
            <v>147.19999999999999</v>
          </cell>
          <cell r="C49">
            <v>161.4</v>
          </cell>
          <cell r="D49">
            <v>176.2</v>
          </cell>
          <cell r="E49">
            <v>203</v>
          </cell>
          <cell r="F49">
            <v>228.8</v>
          </cell>
          <cell r="G49">
            <v>239.7</v>
          </cell>
          <cell r="H49">
            <v>243.8</v>
          </cell>
          <cell r="I49">
            <v>251</v>
          </cell>
          <cell r="J49">
            <v>259.3</v>
          </cell>
          <cell r="K49">
            <v>302.89999999999998</v>
          </cell>
        </row>
        <row r="50">
          <cell r="A50">
            <v>48</v>
          </cell>
          <cell r="B50">
            <v>149.4</v>
          </cell>
          <cell r="C50">
            <v>163.80000000000001</v>
          </cell>
          <cell r="D50">
            <v>178.8</v>
          </cell>
          <cell r="E50">
            <v>206</v>
          </cell>
          <cell r="F50">
            <v>232.2</v>
          </cell>
          <cell r="G50">
            <v>243.25</v>
          </cell>
          <cell r="H50">
            <v>247.2</v>
          </cell>
          <cell r="I50">
            <v>254.5</v>
          </cell>
          <cell r="J50">
            <v>262.89999999999998</v>
          </cell>
          <cell r="K50">
            <v>307.2</v>
          </cell>
        </row>
        <row r="51">
          <cell r="A51">
            <v>49</v>
          </cell>
          <cell r="B51">
            <v>151.6</v>
          </cell>
          <cell r="C51">
            <v>166.2</v>
          </cell>
          <cell r="D51">
            <v>181.4</v>
          </cell>
          <cell r="E51">
            <v>209</v>
          </cell>
          <cell r="F51">
            <v>235.6</v>
          </cell>
          <cell r="G51">
            <v>246.8</v>
          </cell>
          <cell r="H51">
            <v>250.6</v>
          </cell>
          <cell r="I51">
            <v>258</v>
          </cell>
          <cell r="J51">
            <v>266.5</v>
          </cell>
          <cell r="K51">
            <v>311.5</v>
          </cell>
        </row>
        <row r="52">
          <cell r="A52">
            <v>50</v>
          </cell>
          <cell r="B52">
            <v>153.80000000000001</v>
          </cell>
          <cell r="C52">
            <v>168.6</v>
          </cell>
          <cell r="D52">
            <v>184</v>
          </cell>
          <cell r="E52">
            <v>212</v>
          </cell>
          <cell r="F52">
            <v>239</v>
          </cell>
          <cell r="G52">
            <v>250.35</v>
          </cell>
          <cell r="H52">
            <v>254</v>
          </cell>
          <cell r="I52">
            <v>261.5</v>
          </cell>
          <cell r="J52">
            <v>270.10000000000002</v>
          </cell>
          <cell r="K52">
            <v>315.8</v>
          </cell>
        </row>
        <row r="53">
          <cell r="A53">
            <v>51</v>
          </cell>
          <cell r="B53">
            <v>155.4</v>
          </cell>
          <cell r="C53">
            <v>170.4</v>
          </cell>
          <cell r="D53">
            <v>186.4</v>
          </cell>
          <cell r="E53">
            <v>214.8</v>
          </cell>
          <cell r="F53">
            <v>242.1</v>
          </cell>
          <cell r="G53">
            <v>253.6</v>
          </cell>
          <cell r="H53">
            <v>257</v>
          </cell>
          <cell r="I53">
            <v>264.60000000000002</v>
          </cell>
          <cell r="J53">
            <v>273.39999999999998</v>
          </cell>
          <cell r="K53">
            <v>319.8</v>
          </cell>
        </row>
        <row r="54">
          <cell r="A54">
            <v>52</v>
          </cell>
          <cell r="B54">
            <v>157</v>
          </cell>
          <cell r="C54">
            <v>172.2</v>
          </cell>
          <cell r="D54">
            <v>188.8</v>
          </cell>
          <cell r="E54">
            <v>217.6</v>
          </cell>
          <cell r="F54">
            <v>245.2</v>
          </cell>
          <cell r="G54">
            <v>256.85000000000002</v>
          </cell>
          <cell r="H54">
            <v>260</v>
          </cell>
          <cell r="I54">
            <v>267.7</v>
          </cell>
          <cell r="J54">
            <v>276.7</v>
          </cell>
          <cell r="K54">
            <v>323.8</v>
          </cell>
        </row>
        <row r="55">
          <cell r="A55">
            <v>53</v>
          </cell>
          <cell r="B55">
            <v>158.6</v>
          </cell>
          <cell r="C55">
            <v>174</v>
          </cell>
          <cell r="D55">
            <v>191.2</v>
          </cell>
          <cell r="E55">
            <v>220.4</v>
          </cell>
          <cell r="F55">
            <v>248.3</v>
          </cell>
          <cell r="G55">
            <v>260.10000000000002</v>
          </cell>
          <cell r="H55">
            <v>263</v>
          </cell>
          <cell r="I55">
            <v>270.8</v>
          </cell>
          <cell r="J55">
            <v>280</v>
          </cell>
          <cell r="K55">
            <v>327.8</v>
          </cell>
        </row>
        <row r="56">
          <cell r="A56">
            <v>54</v>
          </cell>
          <cell r="B56">
            <v>160.19999999999999</v>
          </cell>
          <cell r="C56">
            <v>175.8</v>
          </cell>
          <cell r="D56">
            <v>193.6</v>
          </cell>
          <cell r="E56">
            <v>223.2</v>
          </cell>
          <cell r="F56">
            <v>251.4</v>
          </cell>
          <cell r="G56">
            <v>263.35000000000002</v>
          </cell>
          <cell r="H56">
            <v>266</v>
          </cell>
          <cell r="I56">
            <v>273.89999999999998</v>
          </cell>
          <cell r="J56">
            <v>283.3</v>
          </cell>
          <cell r="K56">
            <v>331.8</v>
          </cell>
        </row>
        <row r="57">
          <cell r="A57">
            <v>55</v>
          </cell>
          <cell r="B57">
            <v>161.80000000000001</v>
          </cell>
          <cell r="C57">
            <v>177.6</v>
          </cell>
          <cell r="D57">
            <v>196</v>
          </cell>
          <cell r="E57">
            <v>226</v>
          </cell>
          <cell r="F57">
            <v>254.5</v>
          </cell>
          <cell r="G57">
            <v>266.60000000000002</v>
          </cell>
          <cell r="H57">
            <v>269</v>
          </cell>
          <cell r="I57">
            <v>277</v>
          </cell>
          <cell r="J57">
            <v>286.60000000000002</v>
          </cell>
          <cell r="K57">
            <v>335.8</v>
          </cell>
        </row>
        <row r="58">
          <cell r="A58">
            <v>56</v>
          </cell>
          <cell r="B58">
            <v>163.4</v>
          </cell>
          <cell r="C58">
            <v>179.4</v>
          </cell>
          <cell r="D58">
            <v>198.4</v>
          </cell>
          <cell r="E58">
            <v>228.8</v>
          </cell>
          <cell r="F58">
            <v>257.60000000000002</v>
          </cell>
          <cell r="G58">
            <v>269.85000000000002</v>
          </cell>
          <cell r="H58">
            <v>272</v>
          </cell>
          <cell r="I58">
            <v>280.10000000000002</v>
          </cell>
          <cell r="J58">
            <v>289.89999999999998</v>
          </cell>
          <cell r="K58">
            <v>339.8</v>
          </cell>
        </row>
        <row r="59">
          <cell r="A59">
            <v>57</v>
          </cell>
          <cell r="B59">
            <v>165</v>
          </cell>
          <cell r="C59">
            <v>181.2</v>
          </cell>
          <cell r="D59">
            <v>200.8</v>
          </cell>
          <cell r="E59">
            <v>231.6</v>
          </cell>
          <cell r="F59">
            <v>260.7</v>
          </cell>
          <cell r="G59">
            <v>273.10000000000002</v>
          </cell>
          <cell r="H59">
            <v>275</v>
          </cell>
          <cell r="I59">
            <v>283.2</v>
          </cell>
          <cell r="J59">
            <v>293.2</v>
          </cell>
          <cell r="K59">
            <v>285.2</v>
          </cell>
        </row>
        <row r="60">
          <cell r="A60">
            <v>58</v>
          </cell>
          <cell r="B60">
            <v>166.6</v>
          </cell>
          <cell r="C60">
            <v>183</v>
          </cell>
          <cell r="D60">
            <v>203.2</v>
          </cell>
          <cell r="E60">
            <v>234.4</v>
          </cell>
          <cell r="F60">
            <v>263.8</v>
          </cell>
          <cell r="G60">
            <v>276.35000000000002</v>
          </cell>
          <cell r="H60">
            <v>278</v>
          </cell>
          <cell r="I60">
            <v>286.3</v>
          </cell>
          <cell r="J60">
            <v>296.5</v>
          </cell>
          <cell r="K60">
            <v>288.7</v>
          </cell>
        </row>
        <row r="61">
          <cell r="A61">
            <v>59</v>
          </cell>
          <cell r="B61">
            <v>168.2</v>
          </cell>
          <cell r="C61">
            <v>184.8</v>
          </cell>
          <cell r="D61">
            <v>205.6</v>
          </cell>
          <cell r="E61">
            <v>237.2</v>
          </cell>
          <cell r="F61">
            <v>266.89999999999998</v>
          </cell>
          <cell r="G61">
            <v>279.60000000000002</v>
          </cell>
          <cell r="H61">
            <v>281</v>
          </cell>
          <cell r="I61">
            <v>289.39999999999998</v>
          </cell>
          <cell r="J61">
            <v>299.8</v>
          </cell>
          <cell r="K61">
            <v>292.2</v>
          </cell>
        </row>
        <row r="62">
          <cell r="A62">
            <v>60</v>
          </cell>
          <cell r="B62">
            <v>169.8</v>
          </cell>
          <cell r="C62">
            <v>186.6</v>
          </cell>
          <cell r="D62">
            <v>208</v>
          </cell>
          <cell r="E62">
            <v>240</v>
          </cell>
          <cell r="F62">
            <v>270</v>
          </cell>
          <cell r="G62">
            <v>282.85000000000002</v>
          </cell>
          <cell r="H62">
            <v>284</v>
          </cell>
          <cell r="I62">
            <v>292.5</v>
          </cell>
          <cell r="J62">
            <v>303.10000000000002</v>
          </cell>
          <cell r="K62">
            <v>295.7</v>
          </cell>
        </row>
        <row r="63">
          <cell r="A63">
            <v>61</v>
          </cell>
          <cell r="B63">
            <v>171.4</v>
          </cell>
          <cell r="C63">
            <v>188.4</v>
          </cell>
          <cell r="D63">
            <v>210.4</v>
          </cell>
          <cell r="E63">
            <v>242.8</v>
          </cell>
          <cell r="F63">
            <v>273.10000000000002</v>
          </cell>
          <cell r="G63">
            <v>286.10000000000002</v>
          </cell>
          <cell r="H63">
            <v>287</v>
          </cell>
          <cell r="I63">
            <v>295.60000000000002</v>
          </cell>
          <cell r="J63">
            <v>306.39999999999998</v>
          </cell>
          <cell r="K63">
            <v>299.2</v>
          </cell>
        </row>
        <row r="64">
          <cell r="A64">
            <v>62</v>
          </cell>
          <cell r="B64">
            <v>173</v>
          </cell>
          <cell r="C64">
            <v>190.2</v>
          </cell>
          <cell r="D64">
            <v>212.8</v>
          </cell>
          <cell r="E64">
            <v>245.6</v>
          </cell>
          <cell r="F64">
            <v>276.2</v>
          </cell>
          <cell r="G64">
            <v>289.35000000000002</v>
          </cell>
          <cell r="H64">
            <v>290</v>
          </cell>
          <cell r="I64">
            <v>298.7</v>
          </cell>
          <cell r="J64">
            <v>309.7</v>
          </cell>
          <cell r="K64">
            <v>302.7</v>
          </cell>
        </row>
        <row r="65">
          <cell r="A65">
            <v>63</v>
          </cell>
          <cell r="B65">
            <v>174.6</v>
          </cell>
          <cell r="C65">
            <v>192</v>
          </cell>
          <cell r="D65">
            <v>215.2</v>
          </cell>
          <cell r="E65">
            <v>248.4</v>
          </cell>
          <cell r="F65">
            <v>279.3</v>
          </cell>
          <cell r="G65">
            <v>292.60000000000002</v>
          </cell>
          <cell r="H65">
            <v>293</v>
          </cell>
          <cell r="I65">
            <v>301.8</v>
          </cell>
          <cell r="J65">
            <v>313</v>
          </cell>
          <cell r="K65">
            <v>306.2</v>
          </cell>
        </row>
        <row r="66">
          <cell r="A66">
            <v>64</v>
          </cell>
          <cell r="B66">
            <v>176.2</v>
          </cell>
          <cell r="C66">
            <v>193.8</v>
          </cell>
          <cell r="D66">
            <v>217.6</v>
          </cell>
          <cell r="E66">
            <v>251.2</v>
          </cell>
          <cell r="F66">
            <v>282.39999999999998</v>
          </cell>
          <cell r="G66">
            <v>295.85000000000002</v>
          </cell>
          <cell r="H66">
            <v>296</v>
          </cell>
          <cell r="I66">
            <v>304.89999999999998</v>
          </cell>
          <cell r="J66">
            <v>316.3</v>
          </cell>
          <cell r="K66">
            <v>309.7</v>
          </cell>
        </row>
        <row r="67">
          <cell r="A67">
            <v>65</v>
          </cell>
          <cell r="B67">
            <v>177.8</v>
          </cell>
          <cell r="C67">
            <v>195.6</v>
          </cell>
          <cell r="D67">
            <v>220</v>
          </cell>
          <cell r="E67">
            <v>254</v>
          </cell>
          <cell r="F67">
            <v>285.5</v>
          </cell>
          <cell r="G67">
            <v>299.10000000000002</v>
          </cell>
          <cell r="H67">
            <v>299</v>
          </cell>
          <cell r="I67">
            <v>308</v>
          </cell>
          <cell r="J67">
            <v>319.60000000000002</v>
          </cell>
          <cell r="K67">
            <v>313.2</v>
          </cell>
        </row>
        <row r="68">
          <cell r="A68">
            <v>66</v>
          </cell>
          <cell r="B68">
            <v>179.4</v>
          </cell>
          <cell r="C68">
            <v>197.4</v>
          </cell>
          <cell r="D68">
            <v>222.4</v>
          </cell>
          <cell r="E68">
            <v>256.8</v>
          </cell>
          <cell r="F68">
            <v>288.60000000000002</v>
          </cell>
          <cell r="G68">
            <v>302.35000000000002</v>
          </cell>
          <cell r="H68">
            <v>302</v>
          </cell>
          <cell r="I68">
            <v>311.10000000000002</v>
          </cell>
          <cell r="J68">
            <v>322.89999999999998</v>
          </cell>
          <cell r="K68">
            <v>316.7</v>
          </cell>
        </row>
        <row r="69">
          <cell r="A69">
            <v>67</v>
          </cell>
          <cell r="B69">
            <v>181</v>
          </cell>
          <cell r="C69">
            <v>199.2</v>
          </cell>
          <cell r="D69">
            <v>224.8</v>
          </cell>
          <cell r="E69">
            <v>259.60000000000002</v>
          </cell>
          <cell r="F69">
            <v>291.7</v>
          </cell>
          <cell r="G69">
            <v>305.60000000000002</v>
          </cell>
          <cell r="H69">
            <v>305</v>
          </cell>
          <cell r="I69">
            <v>314.2</v>
          </cell>
          <cell r="J69">
            <v>326.2</v>
          </cell>
          <cell r="K69">
            <v>320.2</v>
          </cell>
        </row>
        <row r="70">
          <cell r="A70">
            <v>68</v>
          </cell>
          <cell r="B70">
            <v>182.6</v>
          </cell>
          <cell r="C70">
            <v>201</v>
          </cell>
          <cell r="D70">
            <v>227.2</v>
          </cell>
          <cell r="E70">
            <v>262.39999999999998</v>
          </cell>
          <cell r="F70">
            <v>294.8</v>
          </cell>
          <cell r="G70">
            <v>308.85000000000002</v>
          </cell>
          <cell r="H70">
            <v>308</v>
          </cell>
          <cell r="I70">
            <v>317.3</v>
          </cell>
          <cell r="J70">
            <v>329.5</v>
          </cell>
          <cell r="K70">
            <v>323.7</v>
          </cell>
        </row>
        <row r="71">
          <cell r="A71">
            <v>69</v>
          </cell>
          <cell r="B71">
            <v>184.2</v>
          </cell>
          <cell r="C71">
            <v>202.8</v>
          </cell>
          <cell r="D71">
            <v>229.6</v>
          </cell>
          <cell r="E71">
            <v>265.2</v>
          </cell>
          <cell r="F71">
            <v>297.89999999999998</v>
          </cell>
          <cell r="G71">
            <v>312.10000000000002</v>
          </cell>
          <cell r="H71">
            <v>311</v>
          </cell>
          <cell r="I71">
            <v>320.39999999999998</v>
          </cell>
          <cell r="J71">
            <v>332.8</v>
          </cell>
          <cell r="K71">
            <v>327.2</v>
          </cell>
        </row>
        <row r="72">
          <cell r="A72">
            <v>70</v>
          </cell>
          <cell r="B72">
            <v>185.8</v>
          </cell>
          <cell r="C72">
            <v>204.6</v>
          </cell>
          <cell r="D72">
            <v>232</v>
          </cell>
          <cell r="E72">
            <v>268</v>
          </cell>
          <cell r="F72">
            <v>301</v>
          </cell>
          <cell r="G72">
            <v>315.35000000000002</v>
          </cell>
          <cell r="H72">
            <v>314</v>
          </cell>
          <cell r="I72">
            <v>323.5</v>
          </cell>
          <cell r="J72">
            <v>336.1</v>
          </cell>
          <cell r="K72">
            <v>330.7</v>
          </cell>
        </row>
        <row r="73">
          <cell r="A73">
            <v>71</v>
          </cell>
          <cell r="B73">
            <v>187.4</v>
          </cell>
          <cell r="C73">
            <v>206.4</v>
          </cell>
          <cell r="D73">
            <v>234.4</v>
          </cell>
          <cell r="E73">
            <v>270.8</v>
          </cell>
          <cell r="F73">
            <v>304.10000000000002</v>
          </cell>
          <cell r="G73">
            <v>318.60000000000002</v>
          </cell>
          <cell r="H73">
            <v>317</v>
          </cell>
          <cell r="I73">
            <v>326.60000000000002</v>
          </cell>
          <cell r="J73">
            <v>339.4</v>
          </cell>
          <cell r="K73">
            <v>334.2</v>
          </cell>
        </row>
        <row r="74">
          <cell r="A74">
            <v>72</v>
          </cell>
          <cell r="B74">
            <v>189</v>
          </cell>
          <cell r="C74">
            <v>208.2</v>
          </cell>
          <cell r="D74">
            <v>236.8</v>
          </cell>
          <cell r="E74">
            <v>273.60000000000002</v>
          </cell>
          <cell r="F74">
            <v>307.2</v>
          </cell>
          <cell r="G74">
            <v>321.85000000000002</v>
          </cell>
          <cell r="H74">
            <v>320</v>
          </cell>
          <cell r="I74">
            <v>329.7</v>
          </cell>
          <cell r="J74">
            <v>342.7</v>
          </cell>
          <cell r="K74">
            <v>337.7</v>
          </cell>
        </row>
        <row r="75">
          <cell r="A75">
            <v>73</v>
          </cell>
          <cell r="B75">
            <v>190.6</v>
          </cell>
          <cell r="C75">
            <v>210</v>
          </cell>
          <cell r="D75">
            <v>239.2</v>
          </cell>
          <cell r="E75">
            <v>276.39999999999998</v>
          </cell>
          <cell r="F75">
            <v>310.3</v>
          </cell>
          <cell r="G75">
            <v>325.10000000000002</v>
          </cell>
          <cell r="H75">
            <v>323</v>
          </cell>
          <cell r="I75">
            <v>332.8</v>
          </cell>
          <cell r="J75">
            <v>346</v>
          </cell>
          <cell r="K75">
            <v>341.2</v>
          </cell>
        </row>
        <row r="76">
          <cell r="A76">
            <v>74</v>
          </cell>
          <cell r="B76">
            <v>192.2</v>
          </cell>
          <cell r="C76">
            <v>211.8</v>
          </cell>
          <cell r="D76">
            <v>241.6</v>
          </cell>
          <cell r="E76">
            <v>279.2</v>
          </cell>
          <cell r="F76">
            <v>313.39999999999998</v>
          </cell>
          <cell r="G76">
            <v>328.35</v>
          </cell>
          <cell r="H76">
            <v>326</v>
          </cell>
          <cell r="I76">
            <v>335.9</v>
          </cell>
          <cell r="J76">
            <v>349.3</v>
          </cell>
          <cell r="K76">
            <v>344.7</v>
          </cell>
        </row>
        <row r="77">
          <cell r="A77">
            <v>75</v>
          </cell>
          <cell r="B77">
            <v>193.8</v>
          </cell>
          <cell r="C77">
            <v>213.6</v>
          </cell>
          <cell r="D77">
            <v>244</v>
          </cell>
          <cell r="E77">
            <v>282</v>
          </cell>
          <cell r="F77">
            <v>316.5</v>
          </cell>
          <cell r="G77">
            <v>331.6</v>
          </cell>
          <cell r="H77">
            <v>329</v>
          </cell>
          <cell r="I77">
            <v>339</v>
          </cell>
          <cell r="J77">
            <v>352.6</v>
          </cell>
          <cell r="K77">
            <v>348.2</v>
          </cell>
        </row>
        <row r="78">
          <cell r="A78">
            <v>76</v>
          </cell>
          <cell r="B78">
            <v>195.4</v>
          </cell>
          <cell r="C78">
            <v>215.4</v>
          </cell>
          <cell r="D78">
            <v>246.4</v>
          </cell>
          <cell r="E78">
            <v>284.8</v>
          </cell>
          <cell r="F78">
            <v>319.60000000000002</v>
          </cell>
          <cell r="G78">
            <v>334.85</v>
          </cell>
          <cell r="H78">
            <v>332</v>
          </cell>
          <cell r="I78">
            <v>342.1</v>
          </cell>
          <cell r="J78">
            <v>355.9</v>
          </cell>
          <cell r="K78">
            <v>351.7</v>
          </cell>
        </row>
        <row r="79">
          <cell r="A79">
            <v>77</v>
          </cell>
          <cell r="B79">
            <v>197</v>
          </cell>
          <cell r="C79">
            <v>217.2</v>
          </cell>
          <cell r="D79">
            <v>248.8</v>
          </cell>
          <cell r="E79">
            <v>287.60000000000002</v>
          </cell>
          <cell r="F79">
            <v>322.7</v>
          </cell>
          <cell r="G79">
            <v>338.1</v>
          </cell>
          <cell r="H79">
            <v>335</v>
          </cell>
          <cell r="I79">
            <v>345.2</v>
          </cell>
          <cell r="J79">
            <v>359.2</v>
          </cell>
          <cell r="K79">
            <v>355.2</v>
          </cell>
        </row>
        <row r="80">
          <cell r="A80">
            <v>78</v>
          </cell>
          <cell r="B80">
            <v>198.6</v>
          </cell>
          <cell r="C80">
            <v>219</v>
          </cell>
          <cell r="D80">
            <v>251.2</v>
          </cell>
          <cell r="E80">
            <v>290.39999999999998</v>
          </cell>
          <cell r="F80">
            <v>325.8</v>
          </cell>
          <cell r="G80">
            <v>341.35</v>
          </cell>
          <cell r="H80">
            <v>338</v>
          </cell>
          <cell r="I80">
            <v>348.3</v>
          </cell>
          <cell r="J80">
            <v>362.5</v>
          </cell>
          <cell r="K80">
            <v>358.7</v>
          </cell>
        </row>
        <row r="81">
          <cell r="A81">
            <v>79</v>
          </cell>
          <cell r="B81">
            <v>200.2</v>
          </cell>
          <cell r="C81">
            <v>220.8</v>
          </cell>
          <cell r="D81">
            <v>253.6</v>
          </cell>
          <cell r="E81">
            <v>293.2</v>
          </cell>
          <cell r="F81">
            <v>328.9</v>
          </cell>
          <cell r="G81">
            <v>344.6</v>
          </cell>
          <cell r="H81">
            <v>341</v>
          </cell>
          <cell r="I81">
            <v>351.4</v>
          </cell>
          <cell r="J81">
            <v>365.8</v>
          </cell>
          <cell r="K81">
            <v>362.2</v>
          </cell>
        </row>
        <row r="82">
          <cell r="A82">
            <v>80</v>
          </cell>
          <cell r="B82">
            <v>201.8</v>
          </cell>
          <cell r="C82">
            <v>222.6</v>
          </cell>
          <cell r="D82">
            <v>256</v>
          </cell>
          <cell r="E82">
            <v>296</v>
          </cell>
          <cell r="F82">
            <v>332</v>
          </cell>
          <cell r="G82">
            <v>347.85</v>
          </cell>
          <cell r="H82">
            <v>344</v>
          </cell>
          <cell r="I82">
            <v>354.5</v>
          </cell>
          <cell r="J82">
            <v>369.1</v>
          </cell>
          <cell r="K82">
            <v>365.7</v>
          </cell>
        </row>
        <row r="83">
          <cell r="A83">
            <v>81</v>
          </cell>
          <cell r="B83">
            <v>203.4</v>
          </cell>
          <cell r="C83">
            <v>224.4</v>
          </cell>
          <cell r="D83">
            <v>258.39999999999998</v>
          </cell>
          <cell r="E83">
            <v>298.8</v>
          </cell>
          <cell r="F83">
            <v>335.1</v>
          </cell>
          <cell r="G83">
            <v>351.1</v>
          </cell>
          <cell r="H83">
            <v>346.9</v>
          </cell>
          <cell r="I83">
            <v>357.5</v>
          </cell>
          <cell r="J83">
            <v>372.3</v>
          </cell>
          <cell r="K83">
            <v>369.2</v>
          </cell>
        </row>
        <row r="84">
          <cell r="A84">
            <v>82</v>
          </cell>
          <cell r="B84">
            <v>205</v>
          </cell>
          <cell r="C84">
            <v>226.2</v>
          </cell>
          <cell r="D84">
            <v>260.8</v>
          </cell>
          <cell r="E84">
            <v>301.60000000000002</v>
          </cell>
          <cell r="F84">
            <v>338.2</v>
          </cell>
          <cell r="G84">
            <v>354.35</v>
          </cell>
          <cell r="H84">
            <v>349.8</v>
          </cell>
          <cell r="I84">
            <v>360.5</v>
          </cell>
          <cell r="J84">
            <v>375.5</v>
          </cell>
          <cell r="K84">
            <v>372.7</v>
          </cell>
        </row>
        <row r="85">
          <cell r="A85">
            <v>83</v>
          </cell>
          <cell r="B85">
            <v>206.6</v>
          </cell>
          <cell r="C85">
            <v>228</v>
          </cell>
          <cell r="D85">
            <v>263.2</v>
          </cell>
          <cell r="E85">
            <v>304.39999999999998</v>
          </cell>
          <cell r="F85">
            <v>341.3</v>
          </cell>
          <cell r="G85">
            <v>357.6</v>
          </cell>
          <cell r="H85">
            <v>352.7</v>
          </cell>
          <cell r="I85">
            <v>363.5</v>
          </cell>
          <cell r="J85">
            <v>378.7</v>
          </cell>
          <cell r="K85">
            <v>376.2</v>
          </cell>
        </row>
        <row r="86">
          <cell r="A86">
            <v>84</v>
          </cell>
          <cell r="B86">
            <v>208.2</v>
          </cell>
          <cell r="C86">
            <v>229.8</v>
          </cell>
          <cell r="D86">
            <v>265.60000000000002</v>
          </cell>
          <cell r="E86">
            <v>307.2</v>
          </cell>
          <cell r="F86">
            <v>344.4</v>
          </cell>
          <cell r="G86">
            <v>360.85</v>
          </cell>
          <cell r="H86">
            <v>355.6</v>
          </cell>
          <cell r="I86">
            <v>366.5</v>
          </cell>
          <cell r="J86">
            <v>381.9</v>
          </cell>
          <cell r="K86">
            <v>379.7</v>
          </cell>
        </row>
        <row r="87">
          <cell r="A87">
            <v>85</v>
          </cell>
          <cell r="B87">
            <v>209.8</v>
          </cell>
          <cell r="C87">
            <v>231.6</v>
          </cell>
          <cell r="D87">
            <v>268</v>
          </cell>
          <cell r="E87">
            <v>310</v>
          </cell>
          <cell r="F87">
            <v>347.5</v>
          </cell>
          <cell r="G87">
            <v>364.1</v>
          </cell>
          <cell r="H87">
            <v>358.5</v>
          </cell>
          <cell r="I87">
            <v>369.5</v>
          </cell>
          <cell r="J87">
            <v>385.1</v>
          </cell>
          <cell r="K87">
            <v>383</v>
          </cell>
        </row>
        <row r="88">
          <cell r="A88">
            <v>86</v>
          </cell>
          <cell r="B88">
            <v>211.4</v>
          </cell>
          <cell r="C88">
            <v>233.4</v>
          </cell>
          <cell r="D88">
            <v>270.39999999999998</v>
          </cell>
          <cell r="E88">
            <v>312.8</v>
          </cell>
          <cell r="F88">
            <v>350.6</v>
          </cell>
          <cell r="G88">
            <v>367.35</v>
          </cell>
          <cell r="H88">
            <v>361.4</v>
          </cell>
          <cell r="I88">
            <v>372.5</v>
          </cell>
          <cell r="J88">
            <v>388.3</v>
          </cell>
          <cell r="K88">
            <v>386.3</v>
          </cell>
        </row>
        <row r="89">
          <cell r="A89">
            <v>87</v>
          </cell>
          <cell r="B89">
            <v>213</v>
          </cell>
          <cell r="C89">
            <v>235.2</v>
          </cell>
          <cell r="D89">
            <v>272.8</v>
          </cell>
          <cell r="E89">
            <v>315.60000000000002</v>
          </cell>
          <cell r="F89">
            <v>353.7</v>
          </cell>
          <cell r="G89">
            <v>370.6</v>
          </cell>
          <cell r="H89">
            <v>364.3</v>
          </cell>
          <cell r="I89">
            <v>375.5</v>
          </cell>
          <cell r="J89">
            <v>391.5</v>
          </cell>
          <cell r="K89">
            <v>389.6</v>
          </cell>
        </row>
        <row r="90">
          <cell r="A90">
            <v>88</v>
          </cell>
          <cell r="B90">
            <v>214.6</v>
          </cell>
          <cell r="C90">
            <v>237</v>
          </cell>
          <cell r="D90">
            <v>275.2</v>
          </cell>
          <cell r="E90">
            <v>318.39999999999998</v>
          </cell>
          <cell r="F90">
            <v>356.8</v>
          </cell>
          <cell r="G90">
            <v>373.85</v>
          </cell>
          <cell r="H90">
            <v>367.2</v>
          </cell>
          <cell r="I90">
            <v>378.5</v>
          </cell>
          <cell r="J90">
            <v>394.7</v>
          </cell>
          <cell r="K90">
            <v>392.9</v>
          </cell>
        </row>
        <row r="91">
          <cell r="A91">
            <v>89</v>
          </cell>
          <cell r="B91">
            <v>216.2</v>
          </cell>
          <cell r="C91">
            <v>238.8</v>
          </cell>
          <cell r="D91">
            <v>277.60000000000002</v>
          </cell>
          <cell r="E91">
            <v>321.2</v>
          </cell>
          <cell r="F91">
            <v>359.9</v>
          </cell>
          <cell r="G91">
            <v>377.1</v>
          </cell>
          <cell r="H91">
            <v>370.1</v>
          </cell>
          <cell r="I91">
            <v>381.5</v>
          </cell>
          <cell r="J91">
            <v>397.9</v>
          </cell>
          <cell r="K91">
            <v>396.2</v>
          </cell>
        </row>
        <row r="92">
          <cell r="A92">
            <v>90</v>
          </cell>
          <cell r="B92">
            <v>217.8</v>
          </cell>
          <cell r="C92">
            <v>240.6</v>
          </cell>
          <cell r="D92">
            <v>280</v>
          </cell>
          <cell r="E92">
            <v>324</v>
          </cell>
          <cell r="F92">
            <v>363</v>
          </cell>
          <cell r="G92">
            <v>380.35</v>
          </cell>
          <cell r="H92">
            <v>373</v>
          </cell>
          <cell r="I92">
            <v>384.5</v>
          </cell>
          <cell r="J92">
            <v>401.1</v>
          </cell>
          <cell r="K92">
            <v>399.5</v>
          </cell>
        </row>
        <row r="93">
          <cell r="A93">
            <v>91</v>
          </cell>
          <cell r="B93">
            <v>219.4</v>
          </cell>
          <cell r="C93">
            <v>242.4</v>
          </cell>
          <cell r="D93">
            <v>282.39999999999998</v>
          </cell>
          <cell r="E93">
            <v>326.8</v>
          </cell>
          <cell r="F93">
            <v>366.1</v>
          </cell>
          <cell r="G93">
            <v>383.6</v>
          </cell>
          <cell r="H93">
            <v>375.9</v>
          </cell>
          <cell r="I93">
            <v>387.5</v>
          </cell>
          <cell r="J93">
            <v>404.3</v>
          </cell>
          <cell r="K93">
            <v>402.8</v>
          </cell>
        </row>
        <row r="94">
          <cell r="A94">
            <v>92</v>
          </cell>
          <cell r="B94">
            <v>221</v>
          </cell>
          <cell r="C94">
            <v>244.2</v>
          </cell>
          <cell r="D94">
            <v>284.8</v>
          </cell>
          <cell r="E94">
            <v>329.6</v>
          </cell>
          <cell r="F94">
            <v>369.2</v>
          </cell>
          <cell r="G94">
            <v>386.85</v>
          </cell>
          <cell r="H94">
            <v>378.8</v>
          </cell>
          <cell r="I94">
            <v>390.5</v>
          </cell>
          <cell r="J94">
            <v>407.5</v>
          </cell>
          <cell r="K94">
            <v>406.1</v>
          </cell>
        </row>
        <row r="95">
          <cell r="A95">
            <v>93</v>
          </cell>
          <cell r="B95">
            <v>222.6</v>
          </cell>
          <cell r="C95">
            <v>246</v>
          </cell>
          <cell r="D95">
            <v>287.2</v>
          </cell>
          <cell r="E95">
            <v>332.4</v>
          </cell>
          <cell r="F95">
            <v>372.3</v>
          </cell>
          <cell r="G95">
            <v>390.1</v>
          </cell>
          <cell r="H95">
            <v>381.7</v>
          </cell>
          <cell r="I95">
            <v>393.5</v>
          </cell>
          <cell r="J95">
            <v>410.7</v>
          </cell>
          <cell r="K95">
            <v>409.4</v>
          </cell>
        </row>
        <row r="96">
          <cell r="A96">
            <v>94</v>
          </cell>
          <cell r="B96">
            <v>224.2</v>
          </cell>
          <cell r="C96">
            <v>247.8</v>
          </cell>
          <cell r="D96">
            <v>289.60000000000002</v>
          </cell>
          <cell r="E96">
            <v>335.2</v>
          </cell>
          <cell r="F96">
            <v>375.4</v>
          </cell>
          <cell r="G96">
            <v>393.35</v>
          </cell>
          <cell r="H96">
            <v>384.6</v>
          </cell>
          <cell r="I96">
            <v>396.5</v>
          </cell>
          <cell r="J96">
            <v>413.9</v>
          </cell>
          <cell r="K96">
            <v>412.7</v>
          </cell>
        </row>
        <row r="97">
          <cell r="A97">
            <v>95</v>
          </cell>
          <cell r="B97">
            <v>225.8</v>
          </cell>
          <cell r="C97">
            <v>249.6</v>
          </cell>
          <cell r="D97">
            <v>292</v>
          </cell>
          <cell r="E97">
            <v>338</v>
          </cell>
          <cell r="F97">
            <v>378.5</v>
          </cell>
          <cell r="G97">
            <v>396.6</v>
          </cell>
          <cell r="H97">
            <v>387.5</v>
          </cell>
          <cell r="I97">
            <v>399.5</v>
          </cell>
          <cell r="J97">
            <v>417.1</v>
          </cell>
          <cell r="K97">
            <v>416</v>
          </cell>
        </row>
        <row r="98">
          <cell r="A98">
            <v>96</v>
          </cell>
          <cell r="B98">
            <v>227.4</v>
          </cell>
          <cell r="C98">
            <v>251.4</v>
          </cell>
          <cell r="D98">
            <v>294.39999999999998</v>
          </cell>
          <cell r="E98">
            <v>340.8</v>
          </cell>
          <cell r="F98">
            <v>381.6</v>
          </cell>
          <cell r="G98">
            <v>399.85</v>
          </cell>
          <cell r="H98">
            <v>390.4</v>
          </cell>
          <cell r="I98">
            <v>402.5</v>
          </cell>
          <cell r="J98">
            <v>420.3</v>
          </cell>
          <cell r="K98">
            <v>419.3</v>
          </cell>
        </row>
        <row r="99">
          <cell r="A99">
            <v>97</v>
          </cell>
          <cell r="B99">
            <v>229</v>
          </cell>
          <cell r="C99">
            <v>253.2</v>
          </cell>
          <cell r="D99">
            <v>296.8</v>
          </cell>
          <cell r="E99">
            <v>343.6</v>
          </cell>
          <cell r="F99">
            <v>384.7</v>
          </cell>
          <cell r="G99">
            <v>403.1</v>
          </cell>
          <cell r="H99">
            <v>393.3</v>
          </cell>
          <cell r="I99">
            <v>405.5</v>
          </cell>
          <cell r="J99">
            <v>423.5</v>
          </cell>
          <cell r="K99">
            <v>422.6</v>
          </cell>
        </row>
        <row r="100">
          <cell r="A100">
            <v>98</v>
          </cell>
          <cell r="B100">
            <v>230.6</v>
          </cell>
          <cell r="C100">
            <v>255</v>
          </cell>
          <cell r="D100">
            <v>299.2</v>
          </cell>
          <cell r="E100">
            <v>346.4</v>
          </cell>
          <cell r="F100">
            <v>387.8</v>
          </cell>
          <cell r="G100">
            <v>406.35</v>
          </cell>
          <cell r="H100">
            <v>396.2</v>
          </cell>
          <cell r="I100">
            <v>408.5</v>
          </cell>
          <cell r="J100">
            <v>426.7</v>
          </cell>
          <cell r="K100">
            <v>425.9</v>
          </cell>
        </row>
        <row r="101">
          <cell r="A101">
            <v>99</v>
          </cell>
          <cell r="B101">
            <v>0</v>
          </cell>
          <cell r="C101">
            <v>0</v>
          </cell>
          <cell r="D101">
            <v>0</v>
          </cell>
          <cell r="E101">
            <v>0</v>
          </cell>
          <cell r="F101">
            <v>0</v>
          </cell>
          <cell r="G101">
            <v>0</v>
          </cell>
          <cell r="H101">
            <v>0</v>
          </cell>
          <cell r="I101">
            <v>0</v>
          </cell>
          <cell r="J101">
            <v>364.1</v>
          </cell>
          <cell r="K101">
            <v>429.2</v>
          </cell>
        </row>
        <row r="102">
          <cell r="A102">
            <v>100</v>
          </cell>
          <cell r="B102">
            <v>0</v>
          </cell>
          <cell r="C102">
            <v>0</v>
          </cell>
          <cell r="D102">
            <v>0</v>
          </cell>
          <cell r="E102">
            <v>0</v>
          </cell>
          <cell r="F102">
            <v>0</v>
          </cell>
          <cell r="G102">
            <v>0</v>
          </cell>
          <cell r="H102">
            <v>0</v>
          </cell>
          <cell r="I102">
            <v>0</v>
          </cell>
          <cell r="J102">
            <v>366.9</v>
          </cell>
          <cell r="K102">
            <v>432.5</v>
          </cell>
        </row>
        <row r="103">
          <cell r="A103">
            <v>101</v>
          </cell>
          <cell r="B103">
            <v>0</v>
          </cell>
          <cell r="C103">
            <v>0</v>
          </cell>
          <cell r="D103">
            <v>0</v>
          </cell>
          <cell r="E103">
            <v>0</v>
          </cell>
          <cell r="F103">
            <v>0</v>
          </cell>
          <cell r="G103">
            <v>0</v>
          </cell>
          <cell r="H103">
            <v>0</v>
          </cell>
          <cell r="I103">
            <v>0</v>
          </cell>
          <cell r="J103">
            <v>369.7</v>
          </cell>
          <cell r="K103">
            <v>435.8</v>
          </cell>
        </row>
        <row r="104">
          <cell r="A104">
            <v>102</v>
          </cell>
          <cell r="B104">
            <v>0</v>
          </cell>
          <cell r="C104">
            <v>0</v>
          </cell>
          <cell r="D104">
            <v>0</v>
          </cell>
          <cell r="E104">
            <v>0</v>
          </cell>
          <cell r="F104">
            <v>0</v>
          </cell>
          <cell r="G104">
            <v>0</v>
          </cell>
          <cell r="H104">
            <v>0</v>
          </cell>
          <cell r="I104">
            <v>0</v>
          </cell>
          <cell r="J104">
            <v>372.5</v>
          </cell>
          <cell r="K104">
            <v>439.1</v>
          </cell>
        </row>
        <row r="105">
          <cell r="A105">
            <v>103</v>
          </cell>
          <cell r="B105">
            <v>0</v>
          </cell>
          <cell r="C105">
            <v>0</v>
          </cell>
          <cell r="D105">
            <v>0</v>
          </cell>
          <cell r="E105">
            <v>0</v>
          </cell>
          <cell r="F105">
            <v>0</v>
          </cell>
          <cell r="G105">
            <v>0</v>
          </cell>
          <cell r="H105">
            <v>0</v>
          </cell>
          <cell r="I105">
            <v>0</v>
          </cell>
          <cell r="J105">
            <v>375.3</v>
          </cell>
          <cell r="K105">
            <v>442.4</v>
          </cell>
        </row>
        <row r="106">
          <cell r="A106">
            <v>104</v>
          </cell>
          <cell r="B106">
            <v>0</v>
          </cell>
          <cell r="C106">
            <v>0</v>
          </cell>
          <cell r="D106">
            <v>0</v>
          </cell>
          <cell r="E106">
            <v>0</v>
          </cell>
          <cell r="F106">
            <v>0</v>
          </cell>
          <cell r="G106">
            <v>0</v>
          </cell>
          <cell r="H106">
            <v>0</v>
          </cell>
          <cell r="I106">
            <v>0</v>
          </cell>
          <cell r="J106">
            <v>378.1</v>
          </cell>
          <cell r="K106">
            <v>445.7</v>
          </cell>
        </row>
        <row r="107">
          <cell r="A107">
            <v>105</v>
          </cell>
        </row>
        <row r="108">
          <cell r="A108">
            <v>106</v>
          </cell>
        </row>
        <row r="109">
          <cell r="A109">
            <v>107</v>
          </cell>
        </row>
        <row r="110">
          <cell r="A110">
            <v>108</v>
          </cell>
        </row>
        <row r="111">
          <cell r="A111">
            <v>109</v>
          </cell>
        </row>
        <row r="112">
          <cell r="A112">
            <v>110</v>
          </cell>
        </row>
        <row r="113">
          <cell r="A113">
            <v>111</v>
          </cell>
        </row>
        <row r="114">
          <cell r="A114">
            <v>112</v>
          </cell>
        </row>
        <row r="115">
          <cell r="A115">
            <v>113</v>
          </cell>
        </row>
        <row r="116">
          <cell r="A116">
            <v>114</v>
          </cell>
        </row>
        <row r="117">
          <cell r="A117">
            <v>115</v>
          </cell>
        </row>
        <row r="118">
          <cell r="A118">
            <v>116</v>
          </cell>
        </row>
        <row r="119">
          <cell r="A119">
            <v>117</v>
          </cell>
        </row>
        <row r="120">
          <cell r="A120">
            <v>118</v>
          </cell>
        </row>
        <row r="121">
          <cell r="A121">
            <v>119</v>
          </cell>
        </row>
        <row r="122">
          <cell r="A122">
            <v>120</v>
          </cell>
        </row>
        <row r="123">
          <cell r="A123">
            <v>121</v>
          </cell>
        </row>
        <row r="124">
          <cell r="A124">
            <v>122</v>
          </cell>
        </row>
        <row r="125">
          <cell r="A125">
            <v>123</v>
          </cell>
        </row>
        <row r="126">
          <cell r="A126">
            <v>124</v>
          </cell>
        </row>
        <row r="127">
          <cell r="A127">
            <v>125</v>
          </cell>
        </row>
        <row r="128">
          <cell r="A128">
            <v>126</v>
          </cell>
        </row>
        <row r="129">
          <cell r="A129">
            <v>127</v>
          </cell>
        </row>
        <row r="130">
          <cell r="A130">
            <v>128</v>
          </cell>
        </row>
        <row r="131">
          <cell r="A131">
            <v>129</v>
          </cell>
        </row>
        <row r="132">
          <cell r="A132">
            <v>130</v>
          </cell>
        </row>
        <row r="133">
          <cell r="A133">
            <v>131</v>
          </cell>
        </row>
        <row r="134">
          <cell r="A134">
            <v>132</v>
          </cell>
        </row>
        <row r="135">
          <cell r="A135">
            <v>133</v>
          </cell>
        </row>
        <row r="136">
          <cell r="A136">
            <v>134</v>
          </cell>
        </row>
        <row r="137">
          <cell r="A137">
            <v>135</v>
          </cell>
        </row>
        <row r="138">
          <cell r="A138">
            <v>136</v>
          </cell>
        </row>
        <row r="139">
          <cell r="A139">
            <v>137</v>
          </cell>
        </row>
        <row r="140">
          <cell r="A140">
            <v>138</v>
          </cell>
        </row>
        <row r="141">
          <cell r="A141">
            <v>139</v>
          </cell>
        </row>
        <row r="142">
          <cell r="A142">
            <v>140</v>
          </cell>
        </row>
        <row r="143">
          <cell r="A143">
            <v>141</v>
          </cell>
        </row>
        <row r="144">
          <cell r="A144">
            <v>142</v>
          </cell>
        </row>
        <row r="145">
          <cell r="A145">
            <v>143</v>
          </cell>
        </row>
        <row r="146">
          <cell r="A146">
            <v>144</v>
          </cell>
        </row>
        <row r="147">
          <cell r="A147">
            <v>145</v>
          </cell>
        </row>
        <row r="148">
          <cell r="A148">
            <v>146</v>
          </cell>
        </row>
        <row r="149">
          <cell r="A149">
            <v>147</v>
          </cell>
        </row>
        <row r="150">
          <cell r="A150">
            <v>148</v>
          </cell>
        </row>
        <row r="151">
          <cell r="A151">
            <v>149</v>
          </cell>
        </row>
        <row r="152">
          <cell r="A152">
            <v>150</v>
          </cell>
        </row>
        <row r="153">
          <cell r="A153">
            <v>151</v>
          </cell>
        </row>
        <row r="154">
          <cell r="A154">
            <v>152</v>
          </cell>
        </row>
        <row r="155">
          <cell r="A155">
            <v>153</v>
          </cell>
        </row>
        <row r="156">
          <cell r="A156">
            <v>154</v>
          </cell>
        </row>
        <row r="157">
          <cell r="A157">
            <v>155</v>
          </cell>
        </row>
        <row r="158">
          <cell r="A158">
            <v>156</v>
          </cell>
        </row>
        <row r="159">
          <cell r="A159">
            <v>157</v>
          </cell>
        </row>
        <row r="160">
          <cell r="A160">
            <v>158</v>
          </cell>
        </row>
        <row r="161">
          <cell r="A161">
            <v>159</v>
          </cell>
        </row>
        <row r="162">
          <cell r="A162">
            <v>160</v>
          </cell>
        </row>
        <row r="163">
          <cell r="A163">
            <v>161</v>
          </cell>
        </row>
        <row r="164">
          <cell r="A164">
            <v>162</v>
          </cell>
        </row>
        <row r="165">
          <cell r="A165">
            <v>163</v>
          </cell>
        </row>
        <row r="166">
          <cell r="A166">
            <v>164</v>
          </cell>
        </row>
        <row r="167">
          <cell r="A167">
            <v>165</v>
          </cell>
        </row>
        <row r="168">
          <cell r="A168">
            <v>166</v>
          </cell>
        </row>
        <row r="169">
          <cell r="A169">
            <v>167</v>
          </cell>
        </row>
        <row r="170">
          <cell r="A170">
            <v>168</v>
          </cell>
        </row>
        <row r="171">
          <cell r="A171">
            <v>169</v>
          </cell>
        </row>
        <row r="172">
          <cell r="A172">
            <v>170</v>
          </cell>
        </row>
        <row r="173">
          <cell r="A173">
            <v>171</v>
          </cell>
        </row>
        <row r="174">
          <cell r="A174">
            <v>172</v>
          </cell>
        </row>
        <row r="175">
          <cell r="A175">
            <v>173</v>
          </cell>
        </row>
        <row r="176">
          <cell r="A176">
            <v>174</v>
          </cell>
        </row>
        <row r="177">
          <cell r="A177">
            <v>175</v>
          </cell>
        </row>
        <row r="178">
          <cell r="A178">
            <v>176</v>
          </cell>
        </row>
        <row r="179">
          <cell r="A179">
            <v>177</v>
          </cell>
        </row>
        <row r="180">
          <cell r="A180">
            <v>178</v>
          </cell>
        </row>
        <row r="181">
          <cell r="A181">
            <v>179</v>
          </cell>
        </row>
        <row r="182">
          <cell r="A182">
            <v>180</v>
          </cell>
        </row>
        <row r="183">
          <cell r="A183">
            <v>181</v>
          </cell>
        </row>
        <row r="184">
          <cell r="A184">
            <v>182</v>
          </cell>
        </row>
        <row r="185">
          <cell r="A185">
            <v>183</v>
          </cell>
        </row>
        <row r="186">
          <cell r="A186">
            <v>184</v>
          </cell>
        </row>
        <row r="187">
          <cell r="A187">
            <v>185</v>
          </cell>
        </row>
        <row r="188">
          <cell r="A188">
            <v>186</v>
          </cell>
        </row>
        <row r="189">
          <cell r="A189">
            <v>187</v>
          </cell>
        </row>
        <row r="190">
          <cell r="A190">
            <v>188</v>
          </cell>
        </row>
        <row r="191">
          <cell r="A191">
            <v>189</v>
          </cell>
        </row>
        <row r="192">
          <cell r="A192">
            <v>190</v>
          </cell>
        </row>
        <row r="193">
          <cell r="A193">
            <v>191</v>
          </cell>
        </row>
        <row r="194">
          <cell r="A194">
            <v>192</v>
          </cell>
        </row>
        <row r="195">
          <cell r="A195">
            <v>193</v>
          </cell>
        </row>
        <row r="196">
          <cell r="A196">
            <v>194</v>
          </cell>
        </row>
        <row r="197">
          <cell r="A197">
            <v>195</v>
          </cell>
        </row>
        <row r="198">
          <cell r="A198">
            <v>196</v>
          </cell>
        </row>
        <row r="199">
          <cell r="A199">
            <v>197</v>
          </cell>
        </row>
        <row r="200">
          <cell r="A200">
            <v>198</v>
          </cell>
        </row>
        <row r="201">
          <cell r="A201">
            <v>199</v>
          </cell>
        </row>
        <row r="202">
          <cell r="A202">
            <v>200</v>
          </cell>
        </row>
      </sheetData>
      <sheetData sheetId="7" refreshError="1"/>
      <sheetData sheetId="8" refreshError="1"/>
      <sheetData sheetId="9" refreshError="1"/>
      <sheetData sheetId="10" refreshError="1">
        <row r="1">
          <cell r="A1" t="str">
            <v>1997-1998</v>
          </cell>
          <cell r="B1" t="str">
            <v>1998-1999</v>
          </cell>
          <cell r="C1" t="str">
            <v>1999-2000</v>
          </cell>
          <cell r="D1" t="str">
            <v>2000-2001</v>
          </cell>
          <cell r="E1" t="str">
            <v>2001-2002</v>
          </cell>
          <cell r="F1" t="str">
            <v>2002-2003</v>
          </cell>
          <cell r="G1" t="str">
            <v>2003-2004</v>
          </cell>
          <cell r="H1" t="str">
            <v>2004-2005</v>
          </cell>
          <cell r="I1" t="str">
            <v>2005-2006</v>
          </cell>
          <cell r="J1" t="str">
            <v>2006-2007</v>
          </cell>
          <cell r="K1" t="str">
            <v>2007-2008</v>
          </cell>
          <cell r="L1" t="str">
            <v>2008-2009</v>
          </cell>
          <cell r="M1" t="str">
            <v>2009-2010</v>
          </cell>
        </row>
        <row r="2">
          <cell r="A2">
            <v>2</v>
          </cell>
          <cell r="B2">
            <v>3</v>
          </cell>
          <cell r="C2">
            <v>4</v>
          </cell>
          <cell r="D2">
            <v>5</v>
          </cell>
          <cell r="E2">
            <v>6</v>
          </cell>
          <cell r="F2">
            <v>7</v>
          </cell>
          <cell r="G2">
            <v>8</v>
          </cell>
          <cell r="H2">
            <v>9</v>
          </cell>
          <cell r="I2">
            <v>10</v>
          </cell>
          <cell r="J2">
            <v>11</v>
          </cell>
          <cell r="K2">
            <v>12</v>
          </cell>
          <cell r="L2">
            <v>13</v>
          </cell>
          <cell r="M2">
            <v>14</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sheetData sheetId="168"/>
      <sheetData sheetId="169"/>
      <sheetData sheetId="170"/>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Set>
  </externalBook>
</externalLink>
</file>

<file path=xl/externalLinks/externalLink1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GEN. ABS."/>
      <sheetName val="MRoad data"/>
      <sheetName val="MRATES"/>
      <sheetName val="MBTLead"/>
      <sheetName val="MRMR"/>
      <sheetName val="MRoadMap"/>
      <sheetName val="Lead Chart"/>
      <sheetName val="Quarry Chart"/>
      <sheetName val="Road Est."/>
      <sheetName val="Median"/>
      <sheetName val="Slab Culvert 51.10"/>
      <sheetName val="Slab Wid.52.4"/>
      <sheetName val="Wid.Pipe cul 52.10"/>
      <sheetName val="P.C.Drawing"/>
      <sheetName val="C.S.OF DIVIDER"/>
      <sheetName val="GEN__ABS_"/>
      <sheetName val="MRoad_data"/>
      <sheetName val="Lead_Chart"/>
      <sheetName val="Quarry_Chart"/>
      <sheetName val="Road_Est_"/>
      <sheetName val="Slab_Culvert_51_10"/>
      <sheetName val="Slab_Wid_52_4"/>
      <sheetName val="Wid_Pipe_cul_52_10"/>
      <sheetName val="P_C_Drawing"/>
      <sheetName val="C_S_OF_DIVIDER"/>
      <sheetName val="Road data"/>
      <sheetName val="stone"/>
      <sheetName val="index"/>
      <sheetName val="v"/>
      <sheetName val="sand"/>
      <sheetName val="DATA_PRG"/>
      <sheetName val="Lead"/>
      <sheetName val="Lead statement"/>
      <sheetName val="LEADS"/>
      <sheetName val="Rates SSR 2008-09"/>
      <sheetName val="Legal Risk Analysis"/>
      <sheetName val="Specification"/>
      <sheetName val="SSR _ NSSR Market final"/>
      <sheetName val="WS Data"/>
      <sheetName val="Boq"/>
      <sheetName val="r"/>
      <sheetName val="pvc"/>
      <sheetName val="data"/>
      <sheetName val="Main sheet"/>
      <sheetName val="RMR"/>
      <sheetName val="Summary"/>
      <sheetName val="Note"/>
      <sheetName val="Labour"/>
      <sheetName val="Material"/>
      <sheetName val="Plant &amp;  Machinery"/>
      <sheetName val="Lead statement ss5"/>
      <sheetName val="t_prsr"/>
      <sheetName val="wh"/>
      <sheetName val="mas_hab"/>
      <sheetName val="Basic Rates"/>
      <sheetName val="b asic rates"/>
      <sheetName val="Bitumen trunk"/>
      <sheetName val="Feeder"/>
      <sheetName val="R99 etc"/>
      <sheetName val="Trunk unpaved"/>
      <sheetName val="Sheet2"/>
      <sheetName val="Data.F8.BTR"/>
      <sheetName val=" "/>
      <sheetName val="detls"/>
      <sheetName val="G F  (2)"/>
      <sheetName val="DISCOUNT"/>
      <sheetName val="Global factors"/>
      <sheetName val="Specification report"/>
      <sheetName val="data existing_do not delete"/>
      <sheetName val="m"/>
      <sheetName val="moments-table(tri)"/>
      <sheetName val="Work_sheet"/>
      <sheetName val="maya"/>
      <sheetName val="Suppl-data"/>
      <sheetName val="ssr-rates"/>
      <sheetName val="Estimate "/>
      <sheetName val="GEN__ABS_1"/>
      <sheetName val="MRoad_data1"/>
      <sheetName val="Lead_Chart1"/>
      <sheetName val="Quarry_Chart1"/>
      <sheetName val="Road_Est_1"/>
      <sheetName val="Slab_Culvert_51_101"/>
      <sheetName val="Slab_Wid_52_41"/>
      <sheetName val="Wid_Pipe_cul_52_101"/>
      <sheetName val="P_C_Drawing1"/>
      <sheetName val="C_S_OF_DIVIDER1"/>
      <sheetName val="Road_data"/>
      <sheetName val="Lead_statement"/>
      <sheetName val="Rates_SSR_2008-09"/>
      <sheetName val="Legal_Risk_Analysis"/>
      <sheetName val="SSR___NSSR_Market_final"/>
      <sheetName val="WS_Data"/>
      <sheetName val="Main_sheet"/>
      <sheetName val="Plant_&amp;__Machinery"/>
      <sheetName val="Lead_statement_ss5"/>
      <sheetName val="Basic_Rates"/>
      <sheetName val="Bitumen_trunk"/>
      <sheetName val="R99_etc"/>
      <sheetName val="Trunk_unpaved"/>
      <sheetName val="Common "/>
      <sheetName val="HDPE"/>
      <sheetName val="DI"/>
      <sheetName val="C-Mat"/>
      <sheetName val="labour &amp; Hire-20-21"/>
      <sheetName val="pvc-pipe-rates"/>
      <sheetName val="DATA-ABSTRACT"/>
      <sheetName val="id"/>
      <sheetName val="Data_Base"/>
      <sheetName val="mlead"/>
      <sheetName val="abs road"/>
    </sheetNames>
    <sheetDataSet>
      <sheetData sheetId="0" refreshError="1"/>
      <sheetData sheetId="1" refreshError="1"/>
      <sheetData sheetId="2" refreshError="1"/>
      <sheetData sheetId="3" refreshError="1"/>
      <sheetData sheetId="4"/>
      <sheetData sheetId="5">
        <row r="36">
          <cell r="F36">
            <v>160</v>
          </cell>
        </row>
        <row r="52">
          <cell r="H52">
            <v>6</v>
          </cell>
        </row>
      </sheetData>
      <sheetData sheetId="6"/>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Set>
  </externalBook>
</externalLink>
</file>

<file path=xl/externalLinks/externalLink1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
      <sheetName val="GM"/>
      <sheetName val="SRs"/>
      <sheetName val="SRs-Rev"/>
      <sheetName val="detls"/>
      <sheetName val="Sheet1"/>
      <sheetName val="Global factors"/>
      <sheetName val="id"/>
      <sheetName val="HDPE"/>
      <sheetName val="DI"/>
      <sheetName val="pvc"/>
      <sheetName val="hdpe_basic"/>
      <sheetName val="pvc_basic"/>
      <sheetName val="Dormitory"/>
      <sheetName val="Summary"/>
      <sheetName val="data existing_do not delete"/>
      <sheetName val="m"/>
      <sheetName val="HDPE-pipe-rates"/>
      <sheetName val="pvc-pipe-rates"/>
      <sheetName val="ww-march-02"/>
      <sheetName val="Road data"/>
      <sheetName val="data-WC"/>
      <sheetName val="Labour"/>
      <sheetName val="LEADS"/>
      <sheetName val="General"/>
      <sheetName val="DATA_PRG"/>
      <sheetName val="r"/>
      <sheetName val="MRATES"/>
      <sheetName val="data"/>
      <sheetName val="SSR 2014-15 Rates"/>
      <sheetName val="Lead statement"/>
      <sheetName val="Specification"/>
      <sheetName val="Sheet1 (2)"/>
      <sheetName val="Data_Base"/>
      <sheetName val="Nspt-smp-final-ORIGINAL"/>
      <sheetName val="Lead"/>
      <sheetName val="stone"/>
      <sheetName val="index"/>
      <sheetName val="b asic rates"/>
      <sheetName val="Detailed"/>
      <sheetName val="hdpe weights"/>
      <sheetName val="PVC weights"/>
      <sheetName val="pop"/>
      <sheetName val="ESTIMATE"/>
      <sheetName val="m1"/>
      <sheetName val="Sheet2"/>
      <sheetName val="sectorwise"/>
      <sheetName val="habs-list"/>
      <sheetName val="int-Dia"/>
      <sheetName val="nodes"/>
      <sheetName val="Material"/>
      <sheetName val="Sheet6"/>
      <sheetName val="0000000000000"/>
      <sheetName val="Abs"/>
      <sheetName val="Rates"/>
      <sheetName val="ewst"/>
      <sheetName val="Suppl-data"/>
      <sheetName val="Rate"/>
      <sheetName val="BOQ"/>
      <sheetName val="water-hammar-strenght"/>
      <sheetName val="Sheet5"/>
      <sheetName val="economic PM"/>
      <sheetName val="WATER-HAMMER"/>
      <sheetName val="hdpe-rates"/>
      <sheetName val="pvc-rates"/>
      <sheetName val="Data rough"/>
      <sheetName val="mlead"/>
      <sheetName val="Plant &amp;  Machinery"/>
      <sheetName val="SSR 2015-16 Rates"/>
      <sheetName val="G F  (2)"/>
      <sheetName val="Main sheet"/>
      <sheetName val="v"/>
      <sheetName val="Note"/>
      <sheetName val="SUMP1420KL@HW"/>
      <sheetName val="Det Est"/>
      <sheetName val="civ data"/>
      <sheetName val="9 Col"/>
      <sheetName val="ssr-rates"/>
      <sheetName val="cpheeo"/>
      <sheetName val="wh_data_r"/>
      <sheetName val="_5wgdhabfinal00_01"/>
      <sheetName val="AV-HDPE"/>
      <sheetName val="Di_gate-HDPE"/>
      <sheetName val="Rising Main"/>
      <sheetName val="MRoad data"/>
      <sheetName val="New33KVSS_E3"/>
      <sheetName val="Prop aug of Ex 33KVSS_E3a"/>
      <sheetName val="maya"/>
      <sheetName val="Lead  RATES"/>
      <sheetName val="quarry"/>
      <sheetName val="rdamdata"/>
      <sheetName val="beam-reinft"/>
      <sheetName val="Work_sheet"/>
      <sheetName val="RMR"/>
      <sheetName val="l"/>
      <sheetName val="THK"/>
      <sheetName val="BWSCPlt"/>
      <sheetName val="CI"/>
      <sheetName val="Data.F8.BTR"/>
      <sheetName val="G.R.P"/>
      <sheetName val="BM-HOOP"/>
      <sheetName val="PSC REVISED"/>
      <sheetName val="Bitumen trunk"/>
      <sheetName val="Feeder"/>
      <sheetName val="R99 etc"/>
      <sheetName val="Trunk unpaved"/>
      <sheetName val="LEAD (2)"/>
      <sheetName val="t_prsr"/>
      <sheetName val="wh"/>
      <sheetName val="HS 30.04.2015.Final"/>
      <sheetName val="bom"/>
      <sheetName val="FORM7"/>
      <sheetName val="Levels"/>
      <sheetName val="int-Dia-hdpe"/>
      <sheetName val="int-Dia-pvc"/>
      <sheetName val="Set"/>
      <sheetName val="Relig-place"/>
      <sheetName val="Code"/>
      <sheetName val="D2_CO"/>
      <sheetName val="Z1_DATA"/>
      <sheetName val="MHNO_LEV"/>
      <sheetName val="C-data for paint"/>
      <sheetName val="C-data"/>
      <sheetName val="Civil Boq"/>
      <sheetName val="Footings"/>
      <sheetName val="Global_factors"/>
      <sheetName val="457 COMP"/>
      <sheetName val="R_Det"/>
      <sheetName val="DATA-BASE"/>
      <sheetName val="DATA-ABSTRACT"/>
      <sheetName val="lead-st"/>
      <sheetName val="Habcodes"/>
      <sheetName val="RAFT"/>
      <sheetName val="Data o"/>
      <sheetName val="C.D.Abs.Est."/>
      <sheetName val=" data sheet "/>
      <sheetName val="labour rates"/>
      <sheetName val="input"/>
      <sheetName val="zone-2"/>
      <sheetName val="Iocount"/>
      <sheetName val="Rates SSR 2008-09"/>
      <sheetName val="sand"/>
      <sheetName val="GN-ST-10"/>
      <sheetName val="Road Detail Est."/>
      <sheetName val="Gen.Abs."/>
      <sheetName val="Amortization Table"/>
      <sheetName val="Usage"/>
    </sheetNames>
    <sheetDataSet>
      <sheetData sheetId="0">
        <row r="3">
          <cell r="B3">
            <v>2.5</v>
          </cell>
        </row>
      </sheetData>
      <sheetData sheetId="1">
        <row r="3">
          <cell r="B3">
            <v>2.5</v>
          </cell>
        </row>
      </sheetData>
      <sheetData sheetId="2"/>
      <sheetData sheetId="3"/>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Set>
  </externalBook>
</externalLink>
</file>

<file path=xl/externalLinks/externalLink1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v"/>
      <sheetName val="stone"/>
      <sheetName val="index"/>
      <sheetName val="detls"/>
      <sheetName val="Summary"/>
      <sheetName val="MRATES"/>
      <sheetName val="Lead statement"/>
      <sheetName val="Labour"/>
      <sheetName val="Usage"/>
      <sheetName val="data-WC"/>
      <sheetName val="wordsdata"/>
      <sheetName val="Footings"/>
      <sheetName val="Nspt-smp-final-ORIGINAL"/>
      <sheetName val="Road data"/>
      <sheetName val="sand"/>
      <sheetName val="Plant &amp;  Machinery"/>
      <sheetName val="RA-markate"/>
      <sheetName val="Note"/>
      <sheetName val="Road Detail Est."/>
      <sheetName val="Suppl-data"/>
      <sheetName val="Data_Base"/>
      <sheetName val="Material"/>
      <sheetName val="Cover"/>
      <sheetName val="pvc_basic"/>
      <sheetName val="maya"/>
      <sheetName val="BTR (2)"/>
      <sheetName val="b asic rates"/>
      <sheetName val="Civil Boq"/>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1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etls"/>
      <sheetName val="Specification report"/>
      <sheetName val="maya"/>
      <sheetName val="leads"/>
      <sheetName val="hdpe-rates"/>
      <sheetName val="hdpe weights"/>
      <sheetName val="ssr-rates"/>
      <sheetName val="pvc-rates"/>
      <sheetName val="PVC weights"/>
      <sheetName val="r"/>
      <sheetName val="_x0000_V_x0000_O_x0000_I_x0000_L_x0000_S_x0000_I_x0000_N_x0000_G_x0000_R_x0000_A_x0000_M_x0000_._x0000_X_x0000_L_x0000_S_x0000_"/>
      <sheetName val="Nspt-smp-final-ORIGINAL"/>
      <sheetName val="v"/>
      <sheetName val="Lead"/>
      <sheetName val="sand"/>
      <sheetName val="stone"/>
      <sheetName val="Road Detail Est."/>
      <sheetName val="Road data"/>
      <sheetName val="Plant &amp;  Machinery"/>
      <sheetName val="?V?O?I?L?S?I?N?G?R?A?M?.?X?L?S?"/>
      <sheetName val=""/>
      <sheetName val="ABS"/>
      <sheetName val="LEAD STATEMENT"/>
      <sheetName val="SSR 2014-15 Rates"/>
      <sheetName val="Summary"/>
      <sheetName val="GF SB Ok "/>
      <sheetName val="Data"/>
      <sheetName val="TBAL9697 -group wise  sdpl"/>
      <sheetName val="ABS.C.D."/>
      <sheetName val="Sheet1"/>
      <sheetName val="Material"/>
      <sheetName val="Labour"/>
      <sheetName val="RMR"/>
      <sheetName val="Rates"/>
      <sheetName val="Line"/>
      <sheetName val="com_st_PM1"/>
      <sheetName val="comst_GM1"/>
      <sheetName val="G_R_P1"/>
      <sheetName val="com_st_PM5"/>
      <sheetName val="comst_GM5"/>
      <sheetName val="G_R_P5"/>
      <sheetName val="Specification_report2"/>
      <sheetName val="com_st_PM3"/>
      <sheetName val="comst_GM3"/>
      <sheetName val="G_R_P3"/>
      <sheetName val="com_st_PM2"/>
      <sheetName val="comst_GM2"/>
      <sheetName val="G_R_P2"/>
      <sheetName val="Specification_report"/>
      <sheetName val="com_st_PM4"/>
      <sheetName val="comst_GM4"/>
      <sheetName val="G_R_P4"/>
      <sheetName val="Specification_report1"/>
      <sheetName val="rdamdata"/>
      <sheetName val="lead-st"/>
      <sheetName val="0000000000000"/>
      <sheetName val="BWSCPlt"/>
      <sheetName val="PSC REVISED"/>
      <sheetName val="Work_sheet"/>
      <sheetName val="data existing_do not delete"/>
      <sheetName val="m1"/>
      <sheetName val="DATA_PRG"/>
      <sheetName val="wh_data"/>
      <sheetName val="wh_data_R"/>
      <sheetName val="CPHEEO"/>
      <sheetName val="input"/>
      <sheetName val="mlead"/>
      <sheetName val="abs road"/>
      <sheetName val="coverpage"/>
      <sheetName val="R_Det"/>
      <sheetName val="final abstract"/>
      <sheetName val="HDPE-pipe-rates"/>
      <sheetName val="pvc-pipe-rates"/>
      <sheetName val="C-data"/>
      <sheetName val="_V_O_I_L_S_I_N_G_R_A_M_._X_L_S_"/>
      <sheetName val="Sheet2"/>
      <sheetName val="Flight-1"/>
      <sheetName val="RAM"/>
      <sheetName val="Shaft type"/>
      <sheetName val="SSR"/>
      <sheetName val="m"/>
      <sheetName val="SPT vs PHI"/>
      <sheetName val="_x005f_x0000_V_x005f_x0000_O_x005f_x0000_I_x005f_x0000_"/>
      <sheetName val="Bitumen trunk"/>
      <sheetName val="Feeder"/>
      <sheetName val="R99 etc"/>
      <sheetName val="Trunk unpaved"/>
      <sheetName val="wh"/>
      <sheetName val="EDWise"/>
      <sheetName val="ESTIMATE"/>
      <sheetName val="FF WRK"/>
      <sheetName val="2A_2008_09_ABST_GENSCST"/>
      <sheetName val="_x0000_V_x0000_O_x0000_I_x0000_"/>
      <sheetName val="Data_Renuals"/>
      <sheetName val="Proforma -II "/>
      <sheetName val=" Estt."/>
      <sheetName val="Cover"/>
      <sheetName val="_V_O_I_L_S_I_N_G_R_A_M___X_L__2"/>
      <sheetName val="COLUMN"/>
      <sheetName val="STRIP Sizing"/>
      <sheetName val="upa"/>
      <sheetName val="SC Cost FEB 03"/>
      <sheetName val="Tees"/>
      <sheetName val="water-hammar-strenght"/>
      <sheetName val="Iocount"/>
      <sheetName val="Main sheet"/>
      <sheetName val="CS "/>
      <sheetName val="Data.F8.BTR"/>
      <sheetName val="_V_O_I_L_S_I_N_G_R_A_M___X_L__3"/>
      <sheetName val="MRATES"/>
      <sheetName val="com_st_PM6"/>
      <sheetName val="comst_GM6"/>
      <sheetName val="G_R_P6"/>
      <sheetName val="Specification_report3"/>
      <sheetName val="id"/>
      <sheetName val="hdpe_weights"/>
      <sheetName val="PVC_weights"/>
      <sheetName val="VOILSINGRAM_XLS"/>
      <sheetName val="Road_Detail_Est_"/>
      <sheetName val="Road_data"/>
      <sheetName val="Plant_&amp;__Machinery"/>
      <sheetName val="GF_SB_Ok_"/>
      <sheetName val="TBAL9697_-group_wise__sdpl"/>
      <sheetName val="LEAD_STATEMENT"/>
      <sheetName val="SSR_2014-15_Rates"/>
      <sheetName val="?V?O?I?L?S?I?N?G?R?A?M?_?X?L?S?"/>
      <sheetName val="ABS_C_D_"/>
      <sheetName val="Wordsdata"/>
      <sheetName val="_x005f_x005f_x005f_x0000_V_x005f_x005f_x005f_x0000_O_x0"/>
      <sheetName val="Sheet9"/>
      <sheetName val="_V_O_I_L_S_I_N_G_R_A_M___X_L__4"/>
      <sheetName val="Sheet3"/>
      <sheetName val="Sheet1 (2)"/>
      <sheetName val="bundqty"/>
      <sheetName val="Levels"/>
      <sheetName val="Lead- Input sheet "/>
      <sheetName val="CONST"/>
      <sheetName val="Leads Entry"/>
      <sheetName val="MRMECADAMoad data"/>
      <sheetName val="Staff Acco."/>
      <sheetName val="t_prsr"/>
      <sheetName val="estimate "/>
      <sheetName val="MRoad data"/>
      <sheetName val="labour coeff"/>
      <sheetName val="clvrt_data"/>
      <sheetName val="l"/>
      <sheetName val="_V_O_I_L_S_I_N_G_R_A_M___X_L_S_"/>
    </sheetNames>
    <sheetDataSet>
      <sheetData sheetId="0">
        <row r="14">
          <cell r="G14">
            <v>35.35</v>
          </cell>
        </row>
      </sheetData>
      <sheetData sheetId="1">
        <row r="37">
          <cell r="G37">
            <v>730.74</v>
          </cell>
        </row>
      </sheetData>
      <sheetData sheetId="2"/>
      <sheetData sheetId="3"/>
      <sheetData sheetId="4"/>
      <sheetData sheetId="5" refreshError="1">
        <row r="14">
          <cell r="G14">
            <v>35.35</v>
          </cell>
        </row>
        <row r="41">
          <cell r="G41">
            <v>54.3</v>
          </cell>
        </row>
      </sheetData>
      <sheetData sheetId="6" refreshError="1"/>
      <sheetData sheetId="7" refreshError="1"/>
      <sheetData sheetId="8" refreshError="1"/>
      <sheetData sheetId="9" refreshError="1"/>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Set>
  </externalBook>
</externalLink>
</file>

<file path=xl/externalLinks/externalLink1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v"/>
      <sheetName val="MRATES"/>
      <sheetName val="wordsdata"/>
      <sheetName val="pvc_basic"/>
      <sheetName val="Cover"/>
      <sheetName val="detls"/>
      <sheetName val="Suppl-data"/>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1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見積書 8月５日提出"/>
      <sheetName val="見積書 8月７日変更"/>
      <sheetName val="表紙"/>
      <sheetName val="表紙 (2)"/>
      <sheetName val="見積書 11月20日"/>
      <sheetName val="細目"/>
      <sheetName val="見積書 11月20日 連動"/>
      <sheetName val="ドル移行"/>
      <sheetName val="準備期間経費"/>
      <sheetName val="見積金額一覧表"/>
      <sheetName val="p&amp;m"/>
      <sheetName val="0000000000000"/>
      <sheetName val="Suppl-data"/>
      <sheetName val="input"/>
      <sheetName val="Material"/>
      <sheetName val="Civil-SOR"/>
      <sheetName val="Data"/>
      <sheetName val="Cover"/>
      <sheetName val="MRoad data"/>
      <sheetName val="DATA_PRG"/>
      <sheetName val="MRATES"/>
      <sheetName val="detl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yance"/>
      <sheetName val="Civil-SOR"/>
      <sheetName val="WS-SOR"/>
      <sheetName val="Input"/>
      <sheetName val="LEAD"/>
      <sheetName val="C-data"/>
      <sheetName val="Joinery"/>
      <sheetName val="WS Data"/>
      <sheetName val="GA"/>
      <sheetName val="Civil-D"/>
      <sheetName val="WS Estimate"/>
      <sheetName val="Civil SoR"/>
      <sheetName val="WS SoR"/>
      <sheetName val="Checklist"/>
      <sheetName val="OT Joinery"/>
      <sheetName val="Demand"/>
      <sheetName val="Sheet2"/>
      <sheetName val="Water Demand"/>
    </sheetNames>
    <sheetDataSet>
      <sheetData sheetId="0"/>
      <sheetData sheetId="1"/>
      <sheetData sheetId="2"/>
      <sheetData sheetId="3"/>
      <sheetData sheetId="4"/>
      <sheetData sheetId="5">
        <row r="52">
          <cell r="I52">
            <v>4036</v>
          </cell>
        </row>
        <row r="65">
          <cell r="I65">
            <v>4424</v>
          </cell>
        </row>
      </sheetData>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tes"/>
      <sheetName val="conveyance"/>
      <sheetName val="Input"/>
      <sheetName val="GA1"/>
      <sheetName val="Oxygen pipe line"/>
      <sheetName val="Civil-SOR"/>
      <sheetName val="WS Estimate"/>
      <sheetName val="SP"/>
      <sheetName val="Civil Estimate"/>
      <sheetName val="Elec Est"/>
      <sheetName val="LEAD"/>
      <sheetName val="data-WS "/>
      <sheetName val="Valves"/>
      <sheetName val="Trust blocks-350mm"/>
      <sheetName val="data-HDPE &amp; PVC pipes"/>
      <sheetName val="Pipes data"/>
      <sheetName val="1500 mm 600 pipe (2-3)"/>
      <sheetName val="1500 MH 450 pipe (2-3)"/>
      <sheetName val="1500 MH  300 pipe (2-3)"/>
      <sheetName val="1200 MH 300 pipe (0-2)"/>
      <sheetName val="EW Sew Ws r2"/>
      <sheetName val="GA"/>
      <sheetName val="C-data"/>
      <sheetName val="Joinery"/>
      <sheetName val="E-Data"/>
      <sheetName val="WS-SOR"/>
      <sheetName val="E-Data RE"/>
      <sheetName val="WS Data"/>
      <sheetName val="Qualification"/>
      <sheetName val="CIVIL-DIV"/>
      <sheetName val="WS-DIV"/>
      <sheetName val="Sheet1"/>
      <sheetName val="All E-Data 21-22"/>
      <sheetName val="GA(RE)"/>
      <sheetName val="RE"/>
      <sheetName val="Specification Report"/>
      <sheetName val="Sheet2"/>
    </sheetNames>
    <sheetDataSet>
      <sheetData sheetId="0" refreshError="1"/>
      <sheetData sheetId="1" refreshError="1"/>
      <sheetData sheetId="2" refreshError="1">
        <row r="49">
          <cell r="C49" t="str">
            <v>Add for MA @ 40%</v>
          </cell>
        </row>
        <row r="50">
          <cell r="C50" t="str">
            <v>Overheads &amp; Contractors Profit @ 13.615%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veyance"/>
      <sheetName val="Civil-SOR"/>
      <sheetName val="WS-SOR"/>
      <sheetName val="Input"/>
      <sheetName val="LEAD"/>
      <sheetName val="C-data"/>
      <sheetName val="Joinery"/>
      <sheetName val="WS Data"/>
      <sheetName val="GA"/>
      <sheetName val="Civil-D"/>
      <sheetName val="WS Estimate"/>
      <sheetName val="Civil SoR"/>
      <sheetName val="WS SoR"/>
      <sheetName val="Checklist"/>
      <sheetName val="OT Joinery"/>
      <sheetName val="Demand"/>
      <sheetName val="Sheet2"/>
      <sheetName val="Water Demand"/>
    </sheetNames>
    <sheetDataSet>
      <sheetData sheetId="0">
        <row r="12">
          <cell r="D12">
            <v>113.6</v>
          </cell>
        </row>
        <row r="13">
          <cell r="D13">
            <v>17</v>
          </cell>
        </row>
      </sheetData>
      <sheetData sheetId="1">
        <row r="14">
          <cell r="G14">
            <v>1182</v>
          </cell>
        </row>
        <row r="16">
          <cell r="G16">
            <v>315</v>
          </cell>
        </row>
        <row r="17">
          <cell r="G17">
            <v>326</v>
          </cell>
        </row>
        <row r="18">
          <cell r="G18">
            <v>443</v>
          </cell>
        </row>
        <row r="19">
          <cell r="G19">
            <v>443</v>
          </cell>
        </row>
        <row r="20">
          <cell r="G20">
            <v>578</v>
          </cell>
        </row>
        <row r="21">
          <cell r="G21">
            <v>504</v>
          </cell>
        </row>
        <row r="22">
          <cell r="G22">
            <v>750</v>
          </cell>
        </row>
        <row r="23">
          <cell r="G23">
            <v>288</v>
          </cell>
        </row>
        <row r="25">
          <cell r="G25">
            <v>82331</v>
          </cell>
        </row>
        <row r="26">
          <cell r="G26">
            <v>91479</v>
          </cell>
        </row>
        <row r="29">
          <cell r="G29">
            <v>141792</v>
          </cell>
        </row>
        <row r="30">
          <cell r="G30">
            <v>150940</v>
          </cell>
        </row>
        <row r="35">
          <cell r="G35">
            <v>68</v>
          </cell>
        </row>
        <row r="36">
          <cell r="G36">
            <v>434</v>
          </cell>
        </row>
        <row r="37">
          <cell r="G37">
            <v>8</v>
          </cell>
        </row>
        <row r="38">
          <cell r="G38">
            <v>12</v>
          </cell>
        </row>
        <row r="40">
          <cell r="G40">
            <v>4</v>
          </cell>
        </row>
        <row r="41">
          <cell r="G41">
            <v>4</v>
          </cell>
        </row>
        <row r="43">
          <cell r="G43">
            <v>4431</v>
          </cell>
        </row>
        <row r="44">
          <cell r="G44">
            <v>3876</v>
          </cell>
        </row>
        <row r="45">
          <cell r="G45">
            <v>22</v>
          </cell>
        </row>
        <row r="46">
          <cell r="G46">
            <v>75</v>
          </cell>
        </row>
        <row r="47">
          <cell r="G47">
            <v>434</v>
          </cell>
        </row>
        <row r="49">
          <cell r="G49">
            <v>568</v>
          </cell>
        </row>
        <row r="50">
          <cell r="G50">
            <v>1194</v>
          </cell>
        </row>
        <row r="51">
          <cell r="G51">
            <v>336</v>
          </cell>
        </row>
        <row r="52">
          <cell r="G52">
            <v>1569</v>
          </cell>
        </row>
        <row r="53">
          <cell r="G53">
            <v>759</v>
          </cell>
        </row>
        <row r="55">
          <cell r="G55">
            <v>173</v>
          </cell>
        </row>
        <row r="56">
          <cell r="G56">
            <v>221</v>
          </cell>
        </row>
        <row r="57">
          <cell r="G57">
            <v>41</v>
          </cell>
          <cell r="H57">
            <v>1</v>
          </cell>
        </row>
        <row r="58">
          <cell r="G58">
            <v>149</v>
          </cell>
        </row>
        <row r="59">
          <cell r="G59">
            <v>236</v>
          </cell>
        </row>
        <row r="60">
          <cell r="G60">
            <v>167</v>
          </cell>
        </row>
        <row r="61">
          <cell r="G61">
            <v>167</v>
          </cell>
        </row>
        <row r="62">
          <cell r="G62">
            <v>118</v>
          </cell>
        </row>
        <row r="64">
          <cell r="G64">
            <v>154</v>
          </cell>
        </row>
        <row r="65">
          <cell r="G65">
            <v>217</v>
          </cell>
        </row>
        <row r="66">
          <cell r="G66">
            <v>63</v>
          </cell>
        </row>
        <row r="67">
          <cell r="G67">
            <v>60</v>
          </cell>
        </row>
        <row r="68">
          <cell r="G68">
            <v>225</v>
          </cell>
        </row>
        <row r="69">
          <cell r="G69">
            <v>236</v>
          </cell>
        </row>
        <row r="70">
          <cell r="G70">
            <v>289</v>
          </cell>
        </row>
        <row r="71">
          <cell r="G71">
            <v>221</v>
          </cell>
        </row>
        <row r="72">
          <cell r="G72">
            <v>43</v>
          </cell>
          <cell r="H72">
            <v>1</v>
          </cell>
        </row>
        <row r="74">
          <cell r="G74">
            <v>365</v>
          </cell>
        </row>
        <row r="75">
          <cell r="G75">
            <v>743</v>
          </cell>
        </row>
        <row r="78">
          <cell r="G78">
            <v>877</v>
          </cell>
        </row>
        <row r="79">
          <cell r="G79">
            <v>886</v>
          </cell>
        </row>
        <row r="81">
          <cell r="G81">
            <v>286</v>
          </cell>
        </row>
        <row r="82">
          <cell r="G82">
            <v>253</v>
          </cell>
        </row>
        <row r="84">
          <cell r="G84">
            <v>599</v>
          </cell>
        </row>
        <row r="86">
          <cell r="G86">
            <v>28</v>
          </cell>
        </row>
        <row r="87">
          <cell r="G87">
            <v>76</v>
          </cell>
        </row>
        <row r="88">
          <cell r="G88">
            <v>88</v>
          </cell>
        </row>
        <row r="89">
          <cell r="G89">
            <v>87</v>
          </cell>
        </row>
        <row r="90">
          <cell r="G90">
            <v>76</v>
          </cell>
        </row>
        <row r="91">
          <cell r="G91">
            <v>43</v>
          </cell>
        </row>
        <row r="92">
          <cell r="G92">
            <v>57</v>
          </cell>
        </row>
        <row r="93">
          <cell r="G93">
            <v>42</v>
          </cell>
        </row>
        <row r="94">
          <cell r="G94">
            <v>52</v>
          </cell>
        </row>
        <row r="96">
          <cell r="G96">
            <v>48</v>
          </cell>
        </row>
        <row r="97">
          <cell r="G97">
            <v>29</v>
          </cell>
        </row>
        <row r="98">
          <cell r="G98">
            <v>36</v>
          </cell>
        </row>
        <row r="99">
          <cell r="G99">
            <v>5</v>
          </cell>
        </row>
        <row r="100">
          <cell r="G100">
            <v>5</v>
          </cell>
        </row>
        <row r="101">
          <cell r="G101">
            <v>5</v>
          </cell>
        </row>
        <row r="102">
          <cell r="G102">
            <v>5</v>
          </cell>
        </row>
        <row r="103">
          <cell r="G103">
            <v>5</v>
          </cell>
        </row>
        <row r="104">
          <cell r="G104">
            <v>31</v>
          </cell>
        </row>
        <row r="105">
          <cell r="G105">
            <v>7</v>
          </cell>
        </row>
        <row r="106">
          <cell r="G106">
            <v>145</v>
          </cell>
        </row>
        <row r="107">
          <cell r="G107">
            <v>5</v>
          </cell>
        </row>
        <row r="108">
          <cell r="G108">
            <v>13</v>
          </cell>
        </row>
        <row r="109">
          <cell r="G109">
            <v>12</v>
          </cell>
        </row>
        <row r="110">
          <cell r="G110">
            <v>4030</v>
          </cell>
        </row>
        <row r="114">
          <cell r="G114">
            <v>1334</v>
          </cell>
        </row>
        <row r="115">
          <cell r="G115">
            <v>1509</v>
          </cell>
        </row>
        <row r="117">
          <cell r="G117">
            <v>7538</v>
          </cell>
        </row>
        <row r="118">
          <cell r="G118">
            <v>8544</v>
          </cell>
        </row>
        <row r="119">
          <cell r="G119">
            <v>11680</v>
          </cell>
        </row>
        <row r="120">
          <cell r="G120">
            <v>12459</v>
          </cell>
        </row>
        <row r="124">
          <cell r="G124">
            <v>7696</v>
          </cell>
        </row>
        <row r="125">
          <cell r="G125">
            <v>6858</v>
          </cell>
        </row>
        <row r="128">
          <cell r="G128">
            <v>9106</v>
          </cell>
        </row>
        <row r="129">
          <cell r="G129">
            <v>8280</v>
          </cell>
        </row>
        <row r="130">
          <cell r="G130">
            <v>7244</v>
          </cell>
        </row>
        <row r="131">
          <cell r="G131">
            <v>7521</v>
          </cell>
        </row>
        <row r="132">
          <cell r="G132">
            <v>7813</v>
          </cell>
        </row>
        <row r="133">
          <cell r="G133">
            <v>6818</v>
          </cell>
        </row>
        <row r="134">
          <cell r="G134">
            <v>7119</v>
          </cell>
        </row>
        <row r="135">
          <cell r="G135">
            <v>8638</v>
          </cell>
        </row>
        <row r="137">
          <cell r="G137">
            <v>7978</v>
          </cell>
        </row>
        <row r="138">
          <cell r="G138">
            <v>5457</v>
          </cell>
        </row>
        <row r="140">
          <cell r="G140">
            <v>6407</v>
          </cell>
        </row>
        <row r="141">
          <cell r="G141">
            <v>9014</v>
          </cell>
        </row>
        <row r="144">
          <cell r="G144">
            <v>6926</v>
          </cell>
        </row>
        <row r="145">
          <cell r="G145">
            <v>5877</v>
          </cell>
        </row>
        <row r="146">
          <cell r="G146">
            <v>3756</v>
          </cell>
        </row>
        <row r="147">
          <cell r="G147">
            <v>8280</v>
          </cell>
        </row>
        <row r="148">
          <cell r="G148">
            <v>6785</v>
          </cell>
        </row>
        <row r="150">
          <cell r="G150">
            <v>268</v>
          </cell>
        </row>
        <row r="151">
          <cell r="G151">
            <v>358</v>
          </cell>
        </row>
        <row r="152">
          <cell r="G152">
            <v>76</v>
          </cell>
        </row>
        <row r="153">
          <cell r="G153">
            <v>90</v>
          </cell>
        </row>
        <row r="154">
          <cell r="G154">
            <v>125</v>
          </cell>
        </row>
        <row r="155">
          <cell r="G155">
            <v>28</v>
          </cell>
        </row>
        <row r="156">
          <cell r="G156">
            <v>40</v>
          </cell>
        </row>
        <row r="158">
          <cell r="G158">
            <v>396</v>
          </cell>
        </row>
        <row r="159">
          <cell r="G159">
            <v>106</v>
          </cell>
        </row>
        <row r="160">
          <cell r="G160">
            <v>25</v>
          </cell>
        </row>
        <row r="161">
          <cell r="G161">
            <v>45</v>
          </cell>
        </row>
        <row r="162">
          <cell r="G162">
            <v>239</v>
          </cell>
        </row>
        <row r="163">
          <cell r="G163">
            <v>85</v>
          </cell>
        </row>
        <row r="164">
          <cell r="G164">
            <v>100</v>
          </cell>
        </row>
        <row r="166">
          <cell r="G166">
            <v>52</v>
          </cell>
        </row>
        <row r="167">
          <cell r="G167">
            <v>346</v>
          </cell>
        </row>
        <row r="168">
          <cell r="G168">
            <v>1683</v>
          </cell>
        </row>
        <row r="169">
          <cell r="G169">
            <v>1321</v>
          </cell>
        </row>
        <row r="170">
          <cell r="G170">
            <v>3622</v>
          </cell>
        </row>
        <row r="171">
          <cell r="G171">
            <v>219</v>
          </cell>
        </row>
        <row r="172">
          <cell r="G172">
            <v>239</v>
          </cell>
        </row>
        <row r="173">
          <cell r="G173">
            <v>154</v>
          </cell>
        </row>
        <row r="174">
          <cell r="G174">
            <v>185</v>
          </cell>
        </row>
        <row r="175">
          <cell r="G175">
            <v>3967</v>
          </cell>
        </row>
        <row r="176">
          <cell r="G176">
            <v>205</v>
          </cell>
        </row>
        <row r="178">
          <cell r="G178">
            <v>66</v>
          </cell>
        </row>
        <row r="180">
          <cell r="G180">
            <v>215</v>
          </cell>
        </row>
        <row r="182">
          <cell r="G182">
            <v>139</v>
          </cell>
        </row>
        <row r="183">
          <cell r="G183">
            <v>410</v>
          </cell>
        </row>
        <row r="185">
          <cell r="G185">
            <v>34</v>
          </cell>
          <cell r="H185">
            <v>1</v>
          </cell>
        </row>
        <row r="186">
          <cell r="G186">
            <v>332</v>
          </cell>
        </row>
        <row r="187">
          <cell r="G187">
            <v>5</v>
          </cell>
        </row>
        <row r="188">
          <cell r="G188">
            <v>2955</v>
          </cell>
        </row>
        <row r="189">
          <cell r="G189">
            <v>3313</v>
          </cell>
        </row>
        <row r="190">
          <cell r="G190">
            <v>641</v>
          </cell>
        </row>
        <row r="191">
          <cell r="G191">
            <v>311</v>
          </cell>
        </row>
        <row r="192">
          <cell r="G192">
            <v>1145</v>
          </cell>
        </row>
        <row r="194">
          <cell r="G194">
            <v>146</v>
          </cell>
        </row>
        <row r="195">
          <cell r="G195">
            <v>137</v>
          </cell>
        </row>
        <row r="198">
          <cell r="G198">
            <v>456</v>
          </cell>
        </row>
        <row r="200">
          <cell r="G200">
            <v>24</v>
          </cell>
        </row>
        <row r="201">
          <cell r="G201">
            <v>73</v>
          </cell>
        </row>
        <row r="202">
          <cell r="G202">
            <v>37</v>
          </cell>
        </row>
        <row r="203">
          <cell r="G203">
            <v>6</v>
          </cell>
        </row>
        <row r="204">
          <cell r="G204">
            <v>188</v>
          </cell>
        </row>
        <row r="205">
          <cell r="G205">
            <v>1369</v>
          </cell>
        </row>
        <row r="206">
          <cell r="G206">
            <v>550</v>
          </cell>
        </row>
        <row r="207">
          <cell r="G207">
            <v>410</v>
          </cell>
        </row>
        <row r="210">
          <cell r="G210">
            <v>571</v>
          </cell>
        </row>
        <row r="211">
          <cell r="G211">
            <v>22</v>
          </cell>
        </row>
        <row r="212">
          <cell r="G212">
            <v>20</v>
          </cell>
        </row>
        <row r="213">
          <cell r="G213">
            <v>297</v>
          </cell>
        </row>
        <row r="214">
          <cell r="G214">
            <v>7</v>
          </cell>
        </row>
        <row r="215">
          <cell r="G215">
            <v>7</v>
          </cell>
        </row>
        <row r="216">
          <cell r="G216">
            <v>11</v>
          </cell>
        </row>
        <row r="217">
          <cell r="G217">
            <v>7</v>
          </cell>
        </row>
        <row r="218">
          <cell r="G218">
            <v>8</v>
          </cell>
        </row>
        <row r="222">
          <cell r="F222">
            <v>11.66</v>
          </cell>
          <cell r="G222">
            <v>94.29</v>
          </cell>
        </row>
        <row r="223">
          <cell r="F223">
            <v>11.66</v>
          </cell>
          <cell r="G223">
            <v>135.61000000000001</v>
          </cell>
        </row>
        <row r="224">
          <cell r="F224">
            <v>11.66</v>
          </cell>
          <cell r="G224">
            <v>176.93</v>
          </cell>
        </row>
        <row r="225">
          <cell r="F225">
            <v>11.66</v>
          </cell>
          <cell r="G225">
            <v>218.25</v>
          </cell>
        </row>
        <row r="226">
          <cell r="G226">
            <v>259.57</v>
          </cell>
        </row>
        <row r="227">
          <cell r="G227">
            <v>300.89</v>
          </cell>
        </row>
        <row r="228">
          <cell r="G228">
            <v>342.42</v>
          </cell>
        </row>
        <row r="229">
          <cell r="G229">
            <v>383.52</v>
          </cell>
        </row>
        <row r="230">
          <cell r="G230">
            <v>424.84</v>
          </cell>
        </row>
        <row r="233">
          <cell r="F233">
            <v>1.17</v>
          </cell>
          <cell r="G233">
            <v>9.43</v>
          </cell>
        </row>
        <row r="234">
          <cell r="F234">
            <v>1.17</v>
          </cell>
          <cell r="G234">
            <v>13.56</v>
          </cell>
        </row>
        <row r="235">
          <cell r="F235">
            <v>1.17</v>
          </cell>
          <cell r="G235">
            <v>17.690000000000001</v>
          </cell>
        </row>
        <row r="236">
          <cell r="F236">
            <v>1.17</v>
          </cell>
          <cell r="G236">
            <v>21.82</v>
          </cell>
        </row>
        <row r="237">
          <cell r="G237">
            <v>25.96</v>
          </cell>
        </row>
        <row r="238">
          <cell r="G238">
            <v>30.09</v>
          </cell>
        </row>
        <row r="239">
          <cell r="G239">
            <v>34.22</v>
          </cell>
        </row>
        <row r="240">
          <cell r="G240">
            <v>38.35</v>
          </cell>
        </row>
        <row r="241">
          <cell r="G241">
            <v>42.48</v>
          </cell>
        </row>
        <row r="245">
          <cell r="F245">
            <v>2.78</v>
          </cell>
          <cell r="G245">
            <v>18.940000000000001</v>
          </cell>
        </row>
        <row r="246">
          <cell r="F246">
            <v>2.78</v>
          </cell>
          <cell r="G246">
            <v>27.03</v>
          </cell>
        </row>
        <row r="247">
          <cell r="F247">
            <v>2.78</v>
          </cell>
          <cell r="G247">
            <v>35.11</v>
          </cell>
        </row>
        <row r="248">
          <cell r="F248">
            <v>2.78</v>
          </cell>
          <cell r="G248">
            <v>43.2</v>
          </cell>
        </row>
        <row r="249">
          <cell r="G249">
            <v>51.28</v>
          </cell>
        </row>
        <row r="250">
          <cell r="G250">
            <v>59.37</v>
          </cell>
        </row>
        <row r="251">
          <cell r="G251">
            <v>67.45</v>
          </cell>
        </row>
        <row r="252">
          <cell r="G252">
            <v>75.540000000000006</v>
          </cell>
        </row>
        <row r="253">
          <cell r="G253">
            <v>83.62</v>
          </cell>
        </row>
        <row r="257">
          <cell r="F257">
            <v>325</v>
          </cell>
          <cell r="G257">
            <v>760</v>
          </cell>
        </row>
        <row r="258">
          <cell r="F258">
            <v>72</v>
          </cell>
          <cell r="G258">
            <v>392</v>
          </cell>
          <cell r="H258">
            <v>431.20000000000005</v>
          </cell>
          <cell r="I258">
            <v>470.4</v>
          </cell>
          <cell r="J258">
            <v>509.6</v>
          </cell>
          <cell r="K258">
            <v>548.79999999999995</v>
          </cell>
          <cell r="L258">
            <v>588</v>
          </cell>
          <cell r="M258">
            <v>627.20000000000005</v>
          </cell>
          <cell r="N258">
            <v>666.4</v>
          </cell>
          <cell r="O258">
            <v>705.6</v>
          </cell>
        </row>
        <row r="259">
          <cell r="F259">
            <v>369</v>
          </cell>
          <cell r="G259">
            <v>1209</v>
          </cell>
        </row>
        <row r="260">
          <cell r="F260">
            <v>1566</v>
          </cell>
          <cell r="G260">
            <v>1833</v>
          </cell>
        </row>
        <row r="267">
          <cell r="F267">
            <v>400</v>
          </cell>
          <cell r="G267">
            <v>2732</v>
          </cell>
          <cell r="H267">
            <v>3005</v>
          </cell>
          <cell r="I267">
            <v>3278</v>
          </cell>
          <cell r="J267">
            <v>3552</v>
          </cell>
          <cell r="K267">
            <v>3825</v>
          </cell>
          <cell r="L267">
            <v>4098</v>
          </cell>
        </row>
        <row r="268">
          <cell r="F268">
            <v>2349</v>
          </cell>
          <cell r="G268">
            <v>2291</v>
          </cell>
          <cell r="H268">
            <v>2520</v>
          </cell>
          <cell r="I268">
            <v>2749</v>
          </cell>
          <cell r="J268">
            <v>2978</v>
          </cell>
          <cell r="K268">
            <v>3207</v>
          </cell>
          <cell r="L268">
            <v>3437</v>
          </cell>
          <cell r="M268">
            <v>3666</v>
          </cell>
          <cell r="N268">
            <v>3895</v>
          </cell>
          <cell r="O268">
            <v>4124</v>
          </cell>
        </row>
        <row r="269">
          <cell r="F269">
            <v>266</v>
          </cell>
          <cell r="G269">
            <v>260</v>
          </cell>
          <cell r="H269">
            <v>286</v>
          </cell>
          <cell r="I269">
            <v>312</v>
          </cell>
          <cell r="J269">
            <v>338</v>
          </cell>
          <cell r="K269">
            <v>364</v>
          </cell>
          <cell r="L269">
            <v>390</v>
          </cell>
          <cell r="M269">
            <v>416</v>
          </cell>
          <cell r="N269">
            <v>442</v>
          </cell>
          <cell r="O269">
            <v>468</v>
          </cell>
        </row>
        <row r="270">
          <cell r="F270">
            <v>274</v>
          </cell>
          <cell r="G270">
            <v>267</v>
          </cell>
          <cell r="H270">
            <v>294</v>
          </cell>
          <cell r="I270">
            <v>320</v>
          </cell>
          <cell r="J270">
            <v>347</v>
          </cell>
          <cell r="K270">
            <v>374</v>
          </cell>
          <cell r="L270">
            <v>401</v>
          </cell>
          <cell r="M270">
            <v>427</v>
          </cell>
          <cell r="N270">
            <v>454</v>
          </cell>
          <cell r="O270">
            <v>481</v>
          </cell>
        </row>
        <row r="276">
          <cell r="F276">
            <v>886</v>
          </cell>
          <cell r="G276">
            <v>1489</v>
          </cell>
          <cell r="H276">
            <v>1638</v>
          </cell>
          <cell r="I276">
            <v>1787</v>
          </cell>
          <cell r="J276">
            <v>1936</v>
          </cell>
          <cell r="K276">
            <v>2085</v>
          </cell>
          <cell r="L276">
            <v>2234</v>
          </cell>
          <cell r="M276">
            <v>2382</v>
          </cell>
          <cell r="N276">
            <v>2531</v>
          </cell>
          <cell r="O276">
            <v>2680</v>
          </cell>
        </row>
        <row r="277">
          <cell r="F277">
            <v>175</v>
          </cell>
          <cell r="G277">
            <v>229</v>
          </cell>
          <cell r="H277">
            <v>252</v>
          </cell>
          <cell r="I277">
            <v>275</v>
          </cell>
          <cell r="J277">
            <v>298</v>
          </cell>
          <cell r="K277">
            <v>321</v>
          </cell>
          <cell r="L277">
            <v>344</v>
          </cell>
          <cell r="M277">
            <v>366</v>
          </cell>
          <cell r="N277">
            <v>389</v>
          </cell>
          <cell r="O277">
            <v>412</v>
          </cell>
        </row>
        <row r="278">
          <cell r="F278">
            <v>267</v>
          </cell>
          <cell r="G278">
            <v>2091</v>
          </cell>
          <cell r="H278">
            <v>2300</v>
          </cell>
          <cell r="I278">
            <v>2509</v>
          </cell>
          <cell r="J278">
            <v>2718</v>
          </cell>
          <cell r="K278">
            <v>2927</v>
          </cell>
          <cell r="L278">
            <v>3137</v>
          </cell>
          <cell r="M278">
            <v>3346</v>
          </cell>
          <cell r="N278">
            <v>3555</v>
          </cell>
          <cell r="O278">
            <v>3764</v>
          </cell>
        </row>
        <row r="279">
          <cell r="F279">
            <v>1566</v>
          </cell>
          <cell r="G279">
            <v>1753</v>
          </cell>
          <cell r="H279">
            <v>1928</v>
          </cell>
          <cell r="I279">
            <v>2104</v>
          </cell>
          <cell r="J279">
            <v>2279</v>
          </cell>
          <cell r="K279">
            <v>2454</v>
          </cell>
          <cell r="L279">
            <v>2630</v>
          </cell>
          <cell r="M279">
            <v>2805</v>
          </cell>
          <cell r="N279">
            <v>2980</v>
          </cell>
          <cell r="O279">
            <v>3155</v>
          </cell>
        </row>
        <row r="280">
          <cell r="F280">
            <v>177</v>
          </cell>
          <cell r="G280">
            <v>199</v>
          </cell>
          <cell r="H280">
            <v>219</v>
          </cell>
          <cell r="I280">
            <v>239</v>
          </cell>
          <cell r="J280">
            <v>259</v>
          </cell>
          <cell r="K280">
            <v>279</v>
          </cell>
          <cell r="L280">
            <v>299</v>
          </cell>
          <cell r="M280">
            <v>318</v>
          </cell>
          <cell r="N280">
            <v>338</v>
          </cell>
          <cell r="O280">
            <v>358</v>
          </cell>
        </row>
        <row r="281">
          <cell r="F281">
            <v>183</v>
          </cell>
          <cell r="G281">
            <v>204</v>
          </cell>
          <cell r="H281">
            <v>224</v>
          </cell>
          <cell r="I281">
            <v>245</v>
          </cell>
          <cell r="J281">
            <v>265</v>
          </cell>
          <cell r="K281">
            <v>286</v>
          </cell>
          <cell r="L281">
            <v>306</v>
          </cell>
          <cell r="M281">
            <v>326</v>
          </cell>
          <cell r="N281">
            <v>347</v>
          </cell>
          <cell r="O281">
            <v>367</v>
          </cell>
        </row>
        <row r="282">
          <cell r="F282">
            <v>1183</v>
          </cell>
          <cell r="H282"/>
          <cell r="I282"/>
          <cell r="J282"/>
          <cell r="K282"/>
          <cell r="M282"/>
        </row>
        <row r="283">
          <cell r="G283">
            <v>21</v>
          </cell>
        </row>
        <row r="284">
          <cell r="G284">
            <v>41</v>
          </cell>
        </row>
        <row r="288">
          <cell r="G288">
            <v>685</v>
          </cell>
        </row>
        <row r="289">
          <cell r="G289">
            <v>575</v>
          </cell>
        </row>
        <row r="290">
          <cell r="G290">
            <v>685</v>
          </cell>
        </row>
        <row r="291">
          <cell r="G291">
            <v>685</v>
          </cell>
        </row>
        <row r="292">
          <cell r="G292">
            <v>685</v>
          </cell>
        </row>
        <row r="293">
          <cell r="G293">
            <v>580</v>
          </cell>
        </row>
        <row r="294">
          <cell r="G294">
            <v>615</v>
          </cell>
        </row>
        <row r="295">
          <cell r="G295">
            <v>605</v>
          </cell>
        </row>
        <row r="296">
          <cell r="G296">
            <v>665</v>
          </cell>
        </row>
        <row r="297">
          <cell r="G297">
            <v>675</v>
          </cell>
        </row>
        <row r="299">
          <cell r="G299">
            <v>550</v>
          </cell>
        </row>
        <row r="300">
          <cell r="G300">
            <v>550</v>
          </cell>
        </row>
        <row r="302">
          <cell r="G302">
            <v>550</v>
          </cell>
        </row>
        <row r="303">
          <cell r="G303">
            <v>550</v>
          </cell>
        </row>
        <row r="304">
          <cell r="G304">
            <v>550</v>
          </cell>
        </row>
        <row r="305">
          <cell r="G305">
            <v>550</v>
          </cell>
        </row>
        <row r="307">
          <cell r="G307">
            <v>520</v>
          </cell>
        </row>
        <row r="309">
          <cell r="G309">
            <v>71</v>
          </cell>
        </row>
        <row r="310">
          <cell r="G310">
            <v>12</v>
          </cell>
        </row>
        <row r="314">
          <cell r="H314">
            <v>1</v>
          </cell>
        </row>
        <row r="321">
          <cell r="G321">
            <v>73</v>
          </cell>
        </row>
        <row r="324">
          <cell r="G324">
            <v>227</v>
          </cell>
          <cell r="H324">
            <v>1</v>
          </cell>
        </row>
        <row r="325">
          <cell r="G325">
            <v>483</v>
          </cell>
        </row>
        <row r="328">
          <cell r="G328">
            <v>1458</v>
          </cell>
          <cell r="J328">
            <v>288.3</v>
          </cell>
        </row>
        <row r="329">
          <cell r="G329">
            <v>265.79999999999995</v>
          </cell>
          <cell r="J329">
            <v>454.8</v>
          </cell>
        </row>
        <row r="330">
          <cell r="G330">
            <v>192.9</v>
          </cell>
          <cell r="J330">
            <v>302.89999999999998</v>
          </cell>
        </row>
        <row r="331">
          <cell r="G331">
            <v>21.4</v>
          </cell>
          <cell r="J331">
            <v>450.5</v>
          </cell>
        </row>
        <row r="332">
          <cell r="G332">
            <v>36.5</v>
          </cell>
          <cell r="J332">
            <v>218</v>
          </cell>
        </row>
        <row r="333">
          <cell r="G333">
            <v>3185.7</v>
          </cell>
          <cell r="J333">
            <v>317.2</v>
          </cell>
        </row>
        <row r="334">
          <cell r="G334">
            <v>378.70000000000005</v>
          </cell>
          <cell r="J334">
            <v>360.4</v>
          </cell>
        </row>
        <row r="348">
          <cell r="G348">
            <v>136</v>
          </cell>
        </row>
        <row r="355">
          <cell r="G355">
            <v>1934</v>
          </cell>
        </row>
        <row r="356">
          <cell r="G356">
            <v>3475.2</v>
          </cell>
        </row>
        <row r="357">
          <cell r="G357">
            <v>769</v>
          </cell>
        </row>
        <row r="358">
          <cell r="G358">
            <v>520</v>
          </cell>
        </row>
        <row r="359">
          <cell r="G359">
            <v>520</v>
          </cell>
        </row>
        <row r="360">
          <cell r="G360">
            <v>3962</v>
          </cell>
        </row>
        <row r="361">
          <cell r="G361">
            <v>2028</v>
          </cell>
        </row>
        <row r="362">
          <cell r="G362">
            <v>2028</v>
          </cell>
        </row>
        <row r="364">
          <cell r="G364">
            <v>1626</v>
          </cell>
        </row>
        <row r="365">
          <cell r="G365">
            <v>2771</v>
          </cell>
        </row>
        <row r="379">
          <cell r="G379">
            <v>100</v>
          </cell>
        </row>
        <row r="380">
          <cell r="G380">
            <v>40</v>
          </cell>
        </row>
        <row r="381">
          <cell r="G381">
            <v>20</v>
          </cell>
        </row>
        <row r="382">
          <cell r="G382">
            <v>26</v>
          </cell>
        </row>
        <row r="383">
          <cell r="G383">
            <v>32</v>
          </cell>
        </row>
        <row r="384">
          <cell r="G384">
            <v>600</v>
          </cell>
        </row>
        <row r="385">
          <cell r="G385">
            <v>37</v>
          </cell>
        </row>
        <row r="386">
          <cell r="G386">
            <v>12</v>
          </cell>
        </row>
        <row r="387">
          <cell r="G387">
            <v>170</v>
          </cell>
        </row>
        <row r="388">
          <cell r="G388">
            <v>80</v>
          </cell>
        </row>
        <row r="390">
          <cell r="G390">
            <v>100</v>
          </cell>
        </row>
        <row r="391">
          <cell r="G391">
            <v>30</v>
          </cell>
        </row>
        <row r="392">
          <cell r="G392">
            <v>30</v>
          </cell>
        </row>
        <row r="393">
          <cell r="G393">
            <v>769</v>
          </cell>
        </row>
        <row r="394">
          <cell r="G394">
            <v>800</v>
          </cell>
        </row>
        <row r="395">
          <cell r="G395">
            <v>100</v>
          </cell>
        </row>
        <row r="396">
          <cell r="G396">
            <v>75</v>
          </cell>
        </row>
        <row r="397">
          <cell r="G397">
            <v>195</v>
          </cell>
        </row>
      </sheetData>
      <sheetData sheetId="2">
        <row r="53">
          <cell r="G53">
            <v>527</v>
          </cell>
        </row>
        <row r="83">
          <cell r="H83">
            <v>99</v>
          </cell>
        </row>
      </sheetData>
      <sheetData sheetId="3">
        <row r="1">
          <cell r="C1" t="str">
            <v>Name of Work:- Repairs and Rennovation of Animal House at Ground Floor at Gandhi Medical College, Secunderabad</v>
          </cell>
        </row>
        <row r="47">
          <cell r="C47" t="str">
            <v>Add for MA @ 40%</v>
          </cell>
          <cell r="D47">
            <v>0.4</v>
          </cell>
        </row>
        <row r="48">
          <cell r="C48" t="str">
            <v>Overheads &amp; Contractors Profit @ 13.615%</v>
          </cell>
          <cell r="D48">
            <v>0.13614999999999999</v>
          </cell>
        </row>
        <row r="53">
          <cell r="D53">
            <v>108</v>
          </cell>
        </row>
      </sheetData>
      <sheetData sheetId="4">
        <row r="6">
          <cell r="N6">
            <v>5200</v>
          </cell>
        </row>
        <row r="7">
          <cell r="N7">
            <v>60000</v>
          </cell>
        </row>
        <row r="9">
          <cell r="N9">
            <v>61000</v>
          </cell>
        </row>
        <row r="10">
          <cell r="N10">
            <v>61000</v>
          </cell>
        </row>
        <row r="11">
          <cell r="N11">
            <v>62000</v>
          </cell>
        </row>
        <row r="12">
          <cell r="N12">
            <v>2253.91</v>
          </cell>
        </row>
        <row r="13">
          <cell r="N13">
            <v>2453.91</v>
          </cell>
        </row>
        <row r="14">
          <cell r="N14">
            <v>916.94</v>
          </cell>
        </row>
        <row r="15">
          <cell r="N15">
            <v>9136.41</v>
          </cell>
        </row>
        <row r="16">
          <cell r="N16">
            <v>32000</v>
          </cell>
        </row>
        <row r="17">
          <cell r="N17">
            <v>14000</v>
          </cell>
        </row>
        <row r="18">
          <cell r="N18">
            <v>1310.96</v>
          </cell>
        </row>
        <row r="19">
          <cell r="N19">
            <v>1507.96</v>
          </cell>
        </row>
        <row r="20">
          <cell r="N20">
            <v>1457.96</v>
          </cell>
        </row>
        <row r="21">
          <cell r="N21">
            <v>1357.96</v>
          </cell>
        </row>
        <row r="22">
          <cell r="N22">
            <v>1207.96</v>
          </cell>
        </row>
        <row r="23">
          <cell r="N23">
            <v>574.96</v>
          </cell>
        </row>
        <row r="24">
          <cell r="N24">
            <v>760.96</v>
          </cell>
        </row>
        <row r="25">
          <cell r="N25">
            <v>215.39</v>
          </cell>
        </row>
        <row r="26">
          <cell r="N26">
            <v>2705.69</v>
          </cell>
        </row>
        <row r="27">
          <cell r="N27">
            <v>1545.69</v>
          </cell>
        </row>
        <row r="28">
          <cell r="N28">
            <v>3030</v>
          </cell>
        </row>
        <row r="29">
          <cell r="N29">
            <v>2576</v>
          </cell>
        </row>
        <row r="31">
          <cell r="N31">
            <v>918.48</v>
          </cell>
        </row>
        <row r="32">
          <cell r="N32">
            <v>1255.98</v>
          </cell>
        </row>
        <row r="33">
          <cell r="N33">
            <v>1504.21</v>
          </cell>
        </row>
        <row r="34">
          <cell r="N34">
            <v>1352.96</v>
          </cell>
        </row>
        <row r="35">
          <cell r="N35">
            <v>1252.96</v>
          </cell>
        </row>
        <row r="36">
          <cell r="N36">
            <v>1084.21</v>
          </cell>
        </row>
        <row r="37">
          <cell r="N37">
            <v>1084.21</v>
          </cell>
        </row>
        <row r="38">
          <cell r="N38">
            <v>931.96</v>
          </cell>
        </row>
      </sheetData>
      <sheetData sheetId="5">
        <row r="52">
          <cell r="I52">
            <v>4036</v>
          </cell>
        </row>
      </sheetData>
      <sheetData sheetId="6">
        <row r="1242">
          <cell r="A1242">
            <v>12</v>
          </cell>
        </row>
      </sheetData>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yance"/>
      <sheetName val="LEAD"/>
      <sheetName val="BOQ-CIVIL"/>
      <sheetName val="BOQ-WS"/>
      <sheetName val="BOQ-ELE"/>
      <sheetName val="sum-IP &amp; OP"/>
      <sheetName val="CIVL-IPD Hospital"/>
      <sheetName val="WS-Abs IPD"/>
      <sheetName val="Elect"/>
      <sheetName val="Hospital -Ground Floor "/>
      <sheetName val="Hospital -First Floor"/>
      <sheetName val="Hospital -Second Floor"/>
      <sheetName val="Hospital -Third Floor"/>
      <sheetName val="Hospital -Fourth Floor"/>
      <sheetName val="Hospital -Fifth Floor"/>
      <sheetName val="Hospital -Sixth Floor"/>
      <sheetName val="Hospital -Seventh Floor"/>
      <sheetName val="IPD -WS-Det   "/>
      <sheetName val="Input"/>
      <sheetName val="Civil SSR"/>
      <sheetName val="Joinery"/>
      <sheetName val="WS SSR"/>
      <sheetName val="WS Data"/>
      <sheetName val="C-data"/>
      <sheetName val="WE-1"/>
      <sheetName val="GA"/>
      <sheetName val="WE-2"/>
      <sheetName val="WE-RE(D)"/>
      <sheetName val="GA(2)"/>
      <sheetName val="Supp-Data"/>
      <sheetName val="Sheet1"/>
      <sheetName val="GA(WE-RE)"/>
      <sheetName val="WE.2(F)"/>
      <sheetName val="GA-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37">
          <cell r="C37" t="str">
            <v>Overheads&amp;Contractors Profit @14%</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06945-B8B8-4BF3-BD06-69CA84987E28}">
  <sheetPr codeName="Sheet15">
    <pageSetUpPr fitToPage="1"/>
  </sheetPr>
  <dimension ref="B1:AG46"/>
  <sheetViews>
    <sheetView zoomScale="85" zoomScaleNormal="85" zoomScaleSheetLayoutView="85" workbookViewId="0">
      <pane xSplit="1" ySplit="3" topLeftCell="B16" activePane="bottomRight" state="frozen"/>
      <selection pane="topRight" activeCell="B1" sqref="B1"/>
      <selection pane="bottomLeft" activeCell="A4" sqref="A4"/>
      <selection pane="bottomRight" activeCell="M28" sqref="M28"/>
    </sheetView>
  </sheetViews>
  <sheetFormatPr defaultColWidth="9.296875" defaultRowHeight="14.5"/>
  <cols>
    <col min="1" max="1" width="9.296875" style="974"/>
    <col min="2" max="2" width="6.69921875" style="974" customWidth="1"/>
    <col min="3" max="3" width="6.19921875" style="974" customWidth="1"/>
    <col min="4" max="4" width="9.69921875" style="974" bestFit="1" customWidth="1"/>
    <col min="5" max="5" width="58" style="974" customWidth="1"/>
    <col min="6" max="6" width="7.69921875" style="974" bestFit="1" customWidth="1"/>
    <col min="7" max="9" width="9.296875" style="974"/>
    <col min="10" max="10" width="11.296875" style="974" bestFit="1" customWidth="1"/>
    <col min="11" max="16" width="9.296875" style="974"/>
    <col min="17" max="17" width="10.69921875" style="974" bestFit="1" customWidth="1"/>
    <col min="18" max="18" width="13.19921875" style="974" bestFit="1" customWidth="1"/>
    <col min="19" max="19" width="10.69921875" style="974" bestFit="1" customWidth="1"/>
    <col min="20" max="20" width="23.69921875" style="974" customWidth="1"/>
    <col min="21" max="16384" width="9.296875" style="974"/>
  </cols>
  <sheetData>
    <row r="1" spans="2:33" ht="23.5" customHeight="1" thickBot="1">
      <c r="B1" s="1224" t="s">
        <v>387</v>
      </c>
      <c r="C1" s="1224" t="s">
        <v>471</v>
      </c>
      <c r="D1" s="1224" t="s">
        <v>472</v>
      </c>
      <c r="E1" s="1224" t="s">
        <v>473</v>
      </c>
      <c r="F1" s="1224" t="s">
        <v>374</v>
      </c>
      <c r="G1" s="1223" t="s">
        <v>263</v>
      </c>
      <c r="H1" s="1222" t="s">
        <v>263</v>
      </c>
      <c r="I1" s="1222"/>
      <c r="J1" s="1222"/>
      <c r="K1" s="1222" t="s">
        <v>474</v>
      </c>
      <c r="L1" s="1222"/>
      <c r="M1" s="1222"/>
      <c r="N1" s="1222" t="s">
        <v>475</v>
      </c>
      <c r="O1" s="1222"/>
      <c r="P1" s="1222"/>
      <c r="Q1" s="1222" t="s">
        <v>476</v>
      </c>
      <c r="R1" s="1222"/>
      <c r="S1" s="1222"/>
      <c r="T1" s="1222" t="s">
        <v>477</v>
      </c>
    </row>
    <row r="2" spans="2:33" ht="14.5" customHeight="1" thickBot="1">
      <c r="B2" s="1224"/>
      <c r="C2" s="1224"/>
      <c r="D2" s="1224"/>
      <c r="E2" s="1224"/>
      <c r="F2" s="1224"/>
      <c r="G2" s="1223"/>
      <c r="H2" s="1226" t="s">
        <v>478</v>
      </c>
      <c r="I2" s="1226" t="s">
        <v>479</v>
      </c>
      <c r="J2" s="1226" t="s">
        <v>480</v>
      </c>
      <c r="K2" s="1226" t="s">
        <v>481</v>
      </c>
      <c r="L2" s="1226" t="s">
        <v>482</v>
      </c>
      <c r="M2" s="1226" t="s">
        <v>483</v>
      </c>
      <c r="N2" s="1226" t="s">
        <v>484</v>
      </c>
      <c r="O2" s="1226" t="s">
        <v>485</v>
      </c>
      <c r="P2" s="1226" t="s">
        <v>486</v>
      </c>
      <c r="Q2" s="1226" t="s">
        <v>487</v>
      </c>
      <c r="R2" s="1226" t="s">
        <v>488</v>
      </c>
      <c r="S2" s="1226" t="s">
        <v>489</v>
      </c>
      <c r="T2" s="1222"/>
    </row>
    <row r="3" spans="2:33" ht="26.5" customHeight="1" thickBot="1">
      <c r="B3" s="1224"/>
      <c r="C3" s="1224"/>
      <c r="D3" s="1225"/>
      <c r="E3" s="1224"/>
      <c r="F3" s="1224"/>
      <c r="G3" s="1223"/>
      <c r="H3" s="1226"/>
      <c r="I3" s="1226"/>
      <c r="J3" s="1226"/>
      <c r="K3" s="1226"/>
      <c r="L3" s="1226"/>
      <c r="M3" s="1226"/>
      <c r="N3" s="1226"/>
      <c r="O3" s="1226"/>
      <c r="P3" s="1226"/>
      <c r="Q3" s="1226"/>
      <c r="R3" s="1226"/>
      <c r="S3" s="1226"/>
      <c r="T3" s="1222"/>
    </row>
    <row r="4" spans="2:33" ht="108.5">
      <c r="B4" s="975">
        <v>1</v>
      </c>
      <c r="C4" s="64">
        <v>49</v>
      </c>
      <c r="D4" s="976" t="s">
        <v>490</v>
      </c>
      <c r="E4" s="1" t="s">
        <v>115</v>
      </c>
      <c r="F4" s="2" t="s">
        <v>57</v>
      </c>
      <c r="G4" s="77">
        <v>32.677</v>
      </c>
      <c r="H4" s="77"/>
      <c r="I4" s="977"/>
      <c r="J4" s="977"/>
      <c r="K4" s="978">
        <v>0.4</v>
      </c>
      <c r="L4" s="978">
        <v>0.8</v>
      </c>
      <c r="M4" s="978">
        <v>0.51200000000000001</v>
      </c>
      <c r="N4" s="979">
        <v>44</v>
      </c>
      <c r="O4" s="979">
        <v>75</v>
      </c>
      <c r="P4" s="979">
        <f>60/1000</f>
        <v>0.06</v>
      </c>
      <c r="Q4" s="980">
        <f>H4*K4*N4</f>
        <v>0</v>
      </c>
      <c r="R4" s="980">
        <f>I4*L4*O4</f>
        <v>0</v>
      </c>
      <c r="S4" s="980">
        <f>J4*M4*P4</f>
        <v>0</v>
      </c>
      <c r="T4" s="980">
        <f>SUM(Q4:S4)</f>
        <v>0</v>
      </c>
    </row>
    <row r="5" spans="2:33" ht="108.5">
      <c r="B5" s="981">
        <v>2</v>
      </c>
      <c r="C5" s="64">
        <v>50</v>
      </c>
      <c r="D5" s="976" t="s">
        <v>491</v>
      </c>
      <c r="E5" s="1" t="s">
        <v>116</v>
      </c>
      <c r="F5" s="2" t="s">
        <v>66</v>
      </c>
      <c r="G5" s="77">
        <v>2</v>
      </c>
      <c r="H5" s="77"/>
      <c r="I5" s="982"/>
      <c r="J5" s="982"/>
      <c r="K5" s="983">
        <v>0.4</v>
      </c>
      <c r="L5" s="983">
        <v>0.8</v>
      </c>
      <c r="M5" s="983">
        <v>0.51200000000000001</v>
      </c>
      <c r="N5" s="984">
        <v>44</v>
      </c>
      <c r="O5" s="984">
        <v>75</v>
      </c>
      <c r="P5" s="984">
        <f t="shared" ref="P5:P17" si="0">60/1000</f>
        <v>0.06</v>
      </c>
      <c r="Q5" s="985">
        <f t="shared" ref="Q5:S17" si="1">H5*K5*N5</f>
        <v>0</v>
      </c>
      <c r="R5" s="985">
        <f t="shared" si="1"/>
        <v>0</v>
      </c>
      <c r="S5" s="985">
        <f t="shared" si="1"/>
        <v>0</v>
      </c>
      <c r="T5" s="985">
        <f t="shared" ref="T5:T17" si="2">SUM(Q5:S5)</f>
        <v>0</v>
      </c>
    </row>
    <row r="6" spans="2:33" ht="108.5">
      <c r="B6" s="981">
        <v>3</v>
      </c>
      <c r="C6" s="64">
        <v>51</v>
      </c>
      <c r="D6" s="976" t="s">
        <v>492</v>
      </c>
      <c r="E6" s="1" t="s">
        <v>117</v>
      </c>
      <c r="F6" s="2" t="s">
        <v>66</v>
      </c>
      <c r="G6" s="77">
        <v>5</v>
      </c>
      <c r="H6" s="77"/>
      <c r="I6" s="982"/>
      <c r="J6" s="982"/>
      <c r="K6" s="983">
        <v>0.4</v>
      </c>
      <c r="L6" s="983">
        <v>0.8</v>
      </c>
      <c r="M6" s="983">
        <v>0.51200000000000001</v>
      </c>
      <c r="N6" s="984">
        <v>44</v>
      </c>
      <c r="O6" s="984">
        <v>75</v>
      </c>
      <c r="P6" s="984">
        <f t="shared" si="0"/>
        <v>0.06</v>
      </c>
      <c r="Q6" s="985">
        <f t="shared" si="1"/>
        <v>0</v>
      </c>
      <c r="R6" s="985">
        <f t="shared" si="1"/>
        <v>0</v>
      </c>
      <c r="S6" s="985">
        <f t="shared" si="1"/>
        <v>0</v>
      </c>
      <c r="T6" s="985">
        <f t="shared" si="2"/>
        <v>0</v>
      </c>
    </row>
    <row r="7" spans="2:33" ht="78" customHeight="1">
      <c r="B7" s="981">
        <v>4</v>
      </c>
      <c r="C7" s="64">
        <v>52</v>
      </c>
      <c r="D7" s="976" t="s">
        <v>493</v>
      </c>
      <c r="E7" s="1" t="s">
        <v>118</v>
      </c>
      <c r="F7" s="2" t="s">
        <v>57</v>
      </c>
      <c r="G7" s="77">
        <v>48.7</v>
      </c>
      <c r="H7" s="77"/>
      <c r="I7" s="982"/>
      <c r="J7" s="982"/>
      <c r="K7" s="983">
        <v>0.4</v>
      </c>
      <c r="L7" s="983">
        <v>0.8</v>
      </c>
      <c r="M7" s="983">
        <v>0.51200000000000001</v>
      </c>
      <c r="N7" s="984">
        <v>44</v>
      </c>
      <c r="O7" s="984">
        <v>75</v>
      </c>
      <c r="P7" s="984">
        <f t="shared" si="0"/>
        <v>0.06</v>
      </c>
      <c r="Q7" s="985">
        <f t="shared" si="1"/>
        <v>0</v>
      </c>
      <c r="R7" s="985">
        <f t="shared" si="1"/>
        <v>0</v>
      </c>
      <c r="S7" s="985">
        <f t="shared" si="1"/>
        <v>0</v>
      </c>
      <c r="T7" s="985">
        <f t="shared" si="2"/>
        <v>0</v>
      </c>
    </row>
    <row r="8" spans="2:33" ht="170.5">
      <c r="B8" s="981">
        <v>5</v>
      </c>
      <c r="C8" s="64">
        <v>53</v>
      </c>
      <c r="D8" s="976" t="s">
        <v>494</v>
      </c>
      <c r="E8" s="1" t="s">
        <v>119</v>
      </c>
      <c r="F8" s="2" t="s">
        <v>57</v>
      </c>
      <c r="G8" s="70">
        <v>15.27</v>
      </c>
      <c r="H8" s="70">
        <v>2.67</v>
      </c>
      <c r="I8" s="982"/>
      <c r="J8" s="982">
        <v>1084</v>
      </c>
      <c r="K8" s="983">
        <v>0.4</v>
      </c>
      <c r="L8" s="983">
        <v>0.8</v>
      </c>
      <c r="M8" s="983">
        <v>0.51200000000000001</v>
      </c>
      <c r="N8" s="984">
        <v>44</v>
      </c>
      <c r="O8" s="984">
        <v>75</v>
      </c>
      <c r="P8" s="984">
        <f t="shared" si="0"/>
        <v>0.06</v>
      </c>
      <c r="Q8" s="985">
        <f t="shared" si="1"/>
        <v>46.992000000000004</v>
      </c>
      <c r="R8" s="985">
        <f t="shared" si="1"/>
        <v>0</v>
      </c>
      <c r="S8" s="985">
        <f t="shared" si="1"/>
        <v>33.30048</v>
      </c>
      <c r="T8" s="985">
        <f t="shared" si="2"/>
        <v>80.292480000000012</v>
      </c>
    </row>
    <row r="9" spans="2:33" ht="217">
      <c r="B9" s="981">
        <v>7</v>
      </c>
      <c r="C9" s="64">
        <v>54</v>
      </c>
      <c r="D9" s="976" t="s">
        <v>495</v>
      </c>
      <c r="E9" s="4" t="s">
        <v>120</v>
      </c>
      <c r="F9" s="2" t="s">
        <v>62</v>
      </c>
      <c r="G9" s="70">
        <v>191.03</v>
      </c>
      <c r="H9" s="70">
        <v>3.01</v>
      </c>
      <c r="I9" s="982"/>
      <c r="J9" s="982">
        <v>1356</v>
      </c>
      <c r="K9" s="983">
        <v>0.4</v>
      </c>
      <c r="L9" s="983">
        <v>0.8</v>
      </c>
      <c r="M9" s="983">
        <v>0.51200000000000001</v>
      </c>
      <c r="N9" s="984">
        <v>44</v>
      </c>
      <c r="O9" s="984">
        <v>75</v>
      </c>
      <c r="P9" s="984">
        <f t="shared" si="0"/>
        <v>0.06</v>
      </c>
      <c r="Q9" s="985">
        <f t="shared" si="1"/>
        <v>52.975999999999999</v>
      </c>
      <c r="R9" s="985">
        <f t="shared" si="1"/>
        <v>0</v>
      </c>
      <c r="S9" s="985">
        <f t="shared" si="1"/>
        <v>41.656320000000001</v>
      </c>
      <c r="T9" s="985">
        <f t="shared" si="2"/>
        <v>94.632319999999993</v>
      </c>
    </row>
    <row r="10" spans="2:33" ht="232.5">
      <c r="B10" s="981">
        <v>8</v>
      </c>
      <c r="C10" s="64">
        <v>55</v>
      </c>
      <c r="D10" s="976" t="s">
        <v>496</v>
      </c>
      <c r="E10" s="1" t="s">
        <v>121</v>
      </c>
      <c r="F10" s="2" t="s">
        <v>122</v>
      </c>
      <c r="G10" s="70">
        <v>0.1</v>
      </c>
      <c r="H10" s="70"/>
      <c r="I10" s="982"/>
      <c r="J10" s="982"/>
      <c r="K10" s="983">
        <v>0.4</v>
      </c>
      <c r="L10" s="983">
        <v>0.8</v>
      </c>
      <c r="M10" s="983">
        <v>0.51200000000000001</v>
      </c>
      <c r="N10" s="984">
        <v>44</v>
      </c>
      <c r="O10" s="984">
        <v>75</v>
      </c>
      <c r="P10" s="984">
        <f t="shared" si="0"/>
        <v>0.06</v>
      </c>
      <c r="Q10" s="985">
        <f t="shared" si="1"/>
        <v>0</v>
      </c>
      <c r="R10" s="985">
        <f t="shared" si="1"/>
        <v>0</v>
      </c>
      <c r="S10" s="985">
        <f t="shared" si="1"/>
        <v>0</v>
      </c>
      <c r="T10" s="985">
        <f t="shared" si="2"/>
        <v>0</v>
      </c>
    </row>
    <row r="11" spans="2:33" ht="186">
      <c r="B11" s="981">
        <v>9</v>
      </c>
      <c r="C11" s="64">
        <v>56</v>
      </c>
      <c r="D11" s="976" t="s">
        <v>497</v>
      </c>
      <c r="E11" s="1" t="s">
        <v>123</v>
      </c>
      <c r="F11" s="2" t="s">
        <v>62</v>
      </c>
      <c r="G11" s="70">
        <v>11.04</v>
      </c>
      <c r="H11" s="70">
        <v>0.248</v>
      </c>
      <c r="I11" s="982"/>
      <c r="J11" s="982"/>
      <c r="K11" s="983">
        <v>0.4</v>
      </c>
      <c r="L11" s="983">
        <v>0.8</v>
      </c>
      <c r="M11" s="983">
        <v>0.51200000000000001</v>
      </c>
      <c r="N11" s="984">
        <v>44</v>
      </c>
      <c r="O11" s="984">
        <v>75</v>
      </c>
      <c r="P11" s="984">
        <f t="shared" si="0"/>
        <v>0.06</v>
      </c>
      <c r="Q11" s="985">
        <f t="shared" si="1"/>
        <v>4.3648000000000007</v>
      </c>
      <c r="R11" s="985">
        <f t="shared" si="1"/>
        <v>0</v>
      </c>
      <c r="S11" s="985">
        <f t="shared" si="1"/>
        <v>0</v>
      </c>
      <c r="T11" s="985">
        <f t="shared" si="2"/>
        <v>4.3648000000000007</v>
      </c>
    </row>
    <row r="12" spans="2:33" ht="186">
      <c r="B12" s="981">
        <v>10</v>
      </c>
      <c r="C12" s="64">
        <v>57</v>
      </c>
      <c r="D12" s="976" t="s">
        <v>498</v>
      </c>
      <c r="E12" s="1" t="s">
        <v>124</v>
      </c>
      <c r="F12" s="2" t="s">
        <v>62</v>
      </c>
      <c r="G12" s="70">
        <v>547.15</v>
      </c>
      <c r="H12" s="70">
        <v>7.31</v>
      </c>
      <c r="I12" s="982"/>
      <c r="J12" s="982"/>
      <c r="K12" s="983">
        <v>0.4</v>
      </c>
      <c r="L12" s="983">
        <v>0.8</v>
      </c>
      <c r="M12" s="983">
        <v>0.51200000000000001</v>
      </c>
      <c r="N12" s="984">
        <v>44</v>
      </c>
      <c r="O12" s="984">
        <v>75</v>
      </c>
      <c r="P12" s="984">
        <f t="shared" si="0"/>
        <v>0.06</v>
      </c>
      <c r="Q12" s="985">
        <f t="shared" si="1"/>
        <v>128.65600000000001</v>
      </c>
      <c r="R12" s="985">
        <f t="shared" si="1"/>
        <v>0</v>
      </c>
      <c r="S12" s="985">
        <f t="shared" si="1"/>
        <v>0</v>
      </c>
      <c r="T12" s="985">
        <f t="shared" si="2"/>
        <v>128.65600000000001</v>
      </c>
    </row>
    <row r="13" spans="2:33" ht="93">
      <c r="B13" s="981">
        <v>12</v>
      </c>
      <c r="C13" s="64">
        <v>59</v>
      </c>
      <c r="D13" s="976" t="s">
        <v>499</v>
      </c>
      <c r="E13" s="1" t="s">
        <v>126</v>
      </c>
      <c r="F13" s="2" t="s">
        <v>57</v>
      </c>
      <c r="G13" s="70">
        <v>0</v>
      </c>
      <c r="H13" s="70"/>
      <c r="I13" s="982"/>
      <c r="J13" s="982"/>
      <c r="K13" s="983">
        <v>0.4</v>
      </c>
      <c r="L13" s="983">
        <v>0.8</v>
      </c>
      <c r="M13" s="983">
        <v>0.51200000000000001</v>
      </c>
      <c r="N13" s="984">
        <v>44</v>
      </c>
      <c r="O13" s="984">
        <v>75</v>
      </c>
      <c r="P13" s="984">
        <f t="shared" si="0"/>
        <v>0.06</v>
      </c>
      <c r="Q13" s="985">
        <f t="shared" si="1"/>
        <v>0</v>
      </c>
      <c r="R13" s="985">
        <f t="shared" si="1"/>
        <v>0</v>
      </c>
      <c r="S13" s="985">
        <f t="shared" si="1"/>
        <v>0</v>
      </c>
      <c r="T13" s="985">
        <f t="shared" si="2"/>
        <v>0</v>
      </c>
    </row>
    <row r="14" spans="2:33" ht="121.5" customHeight="1">
      <c r="B14" s="981">
        <v>39</v>
      </c>
      <c r="C14" s="7">
        <v>15</v>
      </c>
      <c r="D14" s="976" t="s">
        <v>500</v>
      </c>
      <c r="E14" s="90" t="s">
        <v>317</v>
      </c>
      <c r="F14" s="190"/>
      <c r="G14" s="190"/>
      <c r="H14" s="986"/>
      <c r="I14" s="982"/>
      <c r="J14" s="982"/>
      <c r="K14" s="983">
        <v>0.4</v>
      </c>
      <c r="L14" s="983">
        <v>0.8</v>
      </c>
      <c r="M14" s="983">
        <v>0.51200000000000001</v>
      </c>
      <c r="N14" s="984">
        <v>44</v>
      </c>
      <c r="O14" s="984">
        <v>75</v>
      </c>
      <c r="P14" s="984">
        <f t="shared" si="0"/>
        <v>0.06</v>
      </c>
      <c r="Q14" s="985">
        <f t="shared" si="1"/>
        <v>0</v>
      </c>
      <c r="R14" s="985">
        <f t="shared" si="1"/>
        <v>0</v>
      </c>
      <c r="S14" s="985">
        <f t="shared" si="1"/>
        <v>0</v>
      </c>
      <c r="T14" s="985">
        <f t="shared" si="2"/>
        <v>0</v>
      </c>
    </row>
    <row r="15" spans="2:33" ht="108.5">
      <c r="B15" s="981">
        <v>40</v>
      </c>
      <c r="C15" s="64">
        <v>16</v>
      </c>
      <c r="D15" s="976" t="s">
        <v>501</v>
      </c>
      <c r="E15" s="90" t="s">
        <v>318</v>
      </c>
      <c r="F15" s="7"/>
      <c r="G15" s="7"/>
      <c r="H15" s="77"/>
      <c r="I15" s="982"/>
      <c r="J15" s="982"/>
      <c r="K15" s="983">
        <v>0.4</v>
      </c>
      <c r="L15" s="983">
        <v>0.8</v>
      </c>
      <c r="M15" s="983">
        <v>0.51200000000000001</v>
      </c>
      <c r="N15" s="984">
        <v>44</v>
      </c>
      <c r="O15" s="984">
        <v>75</v>
      </c>
      <c r="P15" s="984">
        <f t="shared" si="0"/>
        <v>0.06</v>
      </c>
      <c r="Q15" s="985">
        <f t="shared" si="1"/>
        <v>0</v>
      </c>
      <c r="R15" s="985">
        <f t="shared" si="1"/>
        <v>0</v>
      </c>
      <c r="S15" s="985">
        <f t="shared" si="1"/>
        <v>0</v>
      </c>
      <c r="T15" s="985">
        <f t="shared" si="2"/>
        <v>0</v>
      </c>
    </row>
    <row r="16" spans="2:33" ht="104.5" customHeight="1">
      <c r="B16" s="981">
        <v>41</v>
      </c>
      <c r="C16" s="7">
        <v>17</v>
      </c>
      <c r="D16" s="976" t="s">
        <v>502</v>
      </c>
      <c r="E16" s="90" t="s">
        <v>319</v>
      </c>
      <c r="F16" s="191"/>
      <c r="G16" s="191"/>
      <c r="H16" s="987"/>
      <c r="I16" s="982"/>
      <c r="J16" s="982"/>
      <c r="K16" s="983">
        <v>0.4</v>
      </c>
      <c r="L16" s="983">
        <v>0.8</v>
      </c>
      <c r="M16" s="983">
        <v>0.51200000000000001</v>
      </c>
      <c r="N16" s="984">
        <v>44</v>
      </c>
      <c r="O16" s="984">
        <v>75</v>
      </c>
      <c r="P16" s="984">
        <f t="shared" si="0"/>
        <v>0.06</v>
      </c>
      <c r="Q16" s="985">
        <f t="shared" si="1"/>
        <v>0</v>
      </c>
      <c r="R16" s="985">
        <f t="shared" si="1"/>
        <v>0</v>
      </c>
      <c r="S16" s="985">
        <f t="shared" si="1"/>
        <v>0</v>
      </c>
      <c r="T16" s="985">
        <f t="shared" si="2"/>
        <v>0</v>
      </c>
      <c r="X16" s="988"/>
      <c r="Y16" s="989"/>
      <c r="Z16" s="990"/>
      <c r="AA16" s="991"/>
      <c r="AB16" s="991"/>
      <c r="AC16" s="992"/>
      <c r="AD16" s="993"/>
      <c r="AG16" s="994"/>
    </row>
    <row r="17" spans="2:33" ht="143.5" customHeight="1">
      <c r="B17" s="981">
        <v>42</v>
      </c>
      <c r="C17" s="64">
        <v>18</v>
      </c>
      <c r="D17" s="976" t="s">
        <v>503</v>
      </c>
      <c r="E17" s="61" t="s">
        <v>295</v>
      </c>
      <c r="F17" s="7"/>
      <c r="G17" s="7"/>
      <c r="H17" s="77"/>
      <c r="I17" s="982"/>
      <c r="J17" s="982"/>
      <c r="K17" s="983">
        <v>0.4</v>
      </c>
      <c r="L17" s="983">
        <v>0.8</v>
      </c>
      <c r="M17" s="983">
        <v>0.51200000000000001</v>
      </c>
      <c r="N17" s="984">
        <v>44</v>
      </c>
      <c r="O17" s="984">
        <v>75</v>
      </c>
      <c r="P17" s="984">
        <f t="shared" si="0"/>
        <v>0.06</v>
      </c>
      <c r="Q17" s="985">
        <f t="shared" si="1"/>
        <v>0</v>
      </c>
      <c r="R17" s="985">
        <f t="shared" si="1"/>
        <v>0</v>
      </c>
      <c r="S17" s="985">
        <f t="shared" si="1"/>
        <v>0</v>
      </c>
      <c r="T17" s="985">
        <f t="shared" si="2"/>
        <v>0</v>
      </c>
      <c r="X17" s="988"/>
      <c r="Y17" s="989"/>
      <c r="Z17" s="990"/>
      <c r="AA17" s="991"/>
      <c r="AB17" s="991"/>
      <c r="AC17" s="992"/>
      <c r="AD17" s="993"/>
      <c r="AG17" s="994"/>
    </row>
    <row r="18" spans="2:33">
      <c r="T18" s="995">
        <f>SUM(T4:T17)</f>
        <v>307.94560000000001</v>
      </c>
    </row>
    <row r="26" spans="2:33">
      <c r="H26" s="996" t="s">
        <v>513</v>
      </c>
      <c r="I26" s="996"/>
      <c r="J26" s="997" t="s">
        <v>2384</v>
      </c>
      <c r="K26" s="997"/>
      <c r="L26" s="996" t="s">
        <v>2385</v>
      </c>
      <c r="M26" s="996"/>
      <c r="N26" s="998" t="s">
        <v>2386</v>
      </c>
      <c r="O26" s="998"/>
    </row>
    <row r="27" spans="2:33">
      <c r="H27" s="974" t="s">
        <v>506</v>
      </c>
      <c r="I27" s="999">
        <v>4.7222222222222221E-2</v>
      </c>
      <c r="J27" s="1000"/>
      <c r="K27" s="974">
        <v>191.03</v>
      </c>
      <c r="L27" s="1000" t="s">
        <v>263</v>
      </c>
      <c r="M27" s="974">
        <v>11.04</v>
      </c>
      <c r="N27" s="1000" t="s">
        <v>551</v>
      </c>
      <c r="O27" s="974">
        <v>547.15</v>
      </c>
    </row>
    <row r="28" spans="2:33">
      <c r="H28" s="974" t="s">
        <v>263</v>
      </c>
      <c r="I28" s="974">
        <v>15.27</v>
      </c>
      <c r="J28" s="1000" t="s">
        <v>263</v>
      </c>
      <c r="K28" s="974">
        <f>K27*0.1</f>
        <v>19.103000000000002</v>
      </c>
      <c r="L28" s="1000"/>
      <c r="M28" s="974">
        <f>M27*0.016</f>
        <v>0.17663999999999999</v>
      </c>
      <c r="N28" s="1000"/>
      <c r="O28" s="974">
        <f>O27*0.008</f>
        <v>4.3772000000000002</v>
      </c>
    </row>
    <row r="29" spans="2:33">
      <c r="H29" s="974" t="s">
        <v>507</v>
      </c>
      <c r="I29" s="974">
        <f>0.61*0.21*0.11</f>
        <v>1.4090999999999999E-2</v>
      </c>
      <c r="J29" s="1000" t="s">
        <v>2387</v>
      </c>
      <c r="K29" s="999">
        <v>4.4444444444444446E-2</v>
      </c>
      <c r="L29" s="1000" t="s">
        <v>512</v>
      </c>
      <c r="M29" s="974">
        <f>M28*1.33</f>
        <v>0.23493120000000001</v>
      </c>
      <c r="N29" s="1000" t="s">
        <v>512</v>
      </c>
      <c r="O29" s="974">
        <f>O28*1.33</f>
        <v>5.821676000000001</v>
      </c>
    </row>
    <row r="30" spans="2:33">
      <c r="H30" s="974" t="s">
        <v>508</v>
      </c>
      <c r="I30" s="1001">
        <f>I28/I29</f>
        <v>1083.670427932723</v>
      </c>
      <c r="J30" s="1000" t="s">
        <v>507</v>
      </c>
      <c r="K30" s="974">
        <f>0.61*0.21*0.11</f>
        <v>1.4090999999999999E-2</v>
      </c>
      <c r="L30" s="1000" t="s">
        <v>2387</v>
      </c>
      <c r="M30" s="999">
        <v>4.5833333333333337E-2</v>
      </c>
      <c r="N30" s="1000" t="s">
        <v>2387</v>
      </c>
      <c r="O30" s="999">
        <v>4.5833333333333337E-2</v>
      </c>
    </row>
    <row r="31" spans="2:33">
      <c r="H31" s="974" t="s">
        <v>509</v>
      </c>
      <c r="I31" s="974">
        <f>0.6*0.2*0.1</f>
        <v>1.2E-2</v>
      </c>
      <c r="J31" s="1000" t="s">
        <v>508</v>
      </c>
      <c r="K31" s="1001">
        <f>K28/K30</f>
        <v>1355.6880278191754</v>
      </c>
      <c r="L31" s="1000" t="s">
        <v>2388</v>
      </c>
      <c r="M31" s="974">
        <f>(1/7)*M29</f>
        <v>3.3561599999999997E-2</v>
      </c>
      <c r="N31" s="1000" t="s">
        <v>2388</v>
      </c>
      <c r="O31" s="974">
        <f>(1/7)*O29</f>
        <v>0.83166800000000007</v>
      </c>
    </row>
    <row r="32" spans="2:33">
      <c r="H32" s="974" t="s">
        <v>510</v>
      </c>
      <c r="I32" s="974">
        <f>I30*I31</f>
        <v>13.004045135192676</v>
      </c>
      <c r="J32" s="1000" t="s">
        <v>509</v>
      </c>
      <c r="K32" s="974">
        <f>0.6*0.2*0.1</f>
        <v>1.2E-2</v>
      </c>
      <c r="L32" s="1000" t="s">
        <v>2389</v>
      </c>
      <c r="M32" s="1002">
        <f>(6/7)*M29</f>
        <v>0.20136959999999998</v>
      </c>
      <c r="N32" s="1000" t="s">
        <v>2389</v>
      </c>
      <c r="O32" s="1002">
        <f>(6/7)*O29</f>
        <v>4.9900080000000004</v>
      </c>
    </row>
    <row r="33" spans="7:22">
      <c r="H33" s="974" t="s">
        <v>511</v>
      </c>
      <c r="I33" s="974">
        <f>I28-I32</f>
        <v>2.2659548648073233</v>
      </c>
      <c r="J33" s="1000" t="s">
        <v>510</v>
      </c>
      <c r="K33" s="974">
        <f>K32*K31</f>
        <v>16.268256333830106</v>
      </c>
      <c r="L33" s="1000" t="s">
        <v>2387</v>
      </c>
      <c r="M33" s="999">
        <v>4.4444444444444446E-2</v>
      </c>
      <c r="N33" s="1000" t="s">
        <v>2387</v>
      </c>
      <c r="O33" s="999">
        <v>4.4444444444444446E-2</v>
      </c>
    </row>
    <row r="34" spans="7:22">
      <c r="H34" s="974" t="s">
        <v>512</v>
      </c>
      <c r="I34" s="974">
        <f>I33*1.33</f>
        <v>3.01371997019374</v>
      </c>
      <c r="J34" s="1000" t="s">
        <v>511</v>
      </c>
      <c r="K34" s="974">
        <f>K28-K33</f>
        <v>2.8347436661698957</v>
      </c>
      <c r="L34" s="1000"/>
      <c r="M34" s="974">
        <f>M27*0.004</f>
        <v>4.4159999999999998E-2</v>
      </c>
      <c r="N34" s="1000"/>
      <c r="O34" s="974">
        <f>O27*0.004</f>
        <v>2.1886000000000001</v>
      </c>
    </row>
    <row r="35" spans="7:22">
      <c r="H35" s="974" t="s">
        <v>504</v>
      </c>
      <c r="I35" s="974">
        <f>(1/9)*I34</f>
        <v>0.33485777446597109</v>
      </c>
      <c r="J35" s="1000" t="s">
        <v>512</v>
      </c>
      <c r="K35" s="974">
        <f>K34*1.33</f>
        <v>3.7702090760059614</v>
      </c>
      <c r="L35" s="974" t="s">
        <v>512</v>
      </c>
      <c r="M35" s="974">
        <f>M34*1.33</f>
        <v>5.8732800000000002E-2</v>
      </c>
      <c r="N35" s="1000" t="s">
        <v>512</v>
      </c>
      <c r="O35" s="974">
        <f>O34*1.33</f>
        <v>2.9108380000000005</v>
      </c>
    </row>
    <row r="36" spans="7:22">
      <c r="H36" s="974" t="s">
        <v>505</v>
      </c>
      <c r="I36" s="1001">
        <f>(8/9)*I34</f>
        <v>2.6788621957277687</v>
      </c>
      <c r="J36" s="1000" t="s">
        <v>504</v>
      </c>
      <c r="K36" s="974">
        <f>(1/5)*K35</f>
        <v>0.75404181520119229</v>
      </c>
      <c r="L36" s="1000" t="s">
        <v>2388</v>
      </c>
      <c r="M36" s="974">
        <f>M35*(1/5)</f>
        <v>1.1746560000000001E-2</v>
      </c>
      <c r="N36" s="1000" t="s">
        <v>2388</v>
      </c>
      <c r="O36" s="974">
        <f>(1/5)*O35</f>
        <v>0.58216760000000012</v>
      </c>
    </row>
    <row r="37" spans="7:22">
      <c r="J37" s="1000" t="s">
        <v>505</v>
      </c>
      <c r="K37" s="1001">
        <f>(4/5)*K35</f>
        <v>3.0161672608047692</v>
      </c>
      <c r="L37" s="1000" t="s">
        <v>2389</v>
      </c>
      <c r="M37" s="1002">
        <f>(4/5)*M35</f>
        <v>4.6986240000000006E-2</v>
      </c>
      <c r="N37" s="1000" t="s">
        <v>2389</v>
      </c>
      <c r="O37" s="1002">
        <f>(4/5)*O35</f>
        <v>2.3286704000000005</v>
      </c>
    </row>
    <row r="38" spans="7:22">
      <c r="L38" s="974" t="s">
        <v>2390</v>
      </c>
      <c r="M38" s="1001">
        <f>M37+M32</f>
        <v>0.24835583999999999</v>
      </c>
      <c r="N38" s="1000" t="s">
        <v>2390</v>
      </c>
      <c r="O38" s="1001">
        <f>O37+O32</f>
        <v>7.3186784000000014</v>
      </c>
    </row>
    <row r="39" spans="7:22">
      <c r="V39" s="999"/>
    </row>
    <row r="46" spans="7:22">
      <c r="G46" s="974">
        <f>15*37</f>
        <v>555</v>
      </c>
    </row>
  </sheetData>
  <mergeCells count="23">
    <mergeCell ref="Q1:S1"/>
    <mergeCell ref="T1:T3"/>
    <mergeCell ref="H2:H3"/>
    <mergeCell ref="I2:I3"/>
    <mergeCell ref="J2:J3"/>
    <mergeCell ref="K2:K3"/>
    <mergeCell ref="L2:L3"/>
    <mergeCell ref="S2:S3"/>
    <mergeCell ref="M2:M3"/>
    <mergeCell ref="N2:N3"/>
    <mergeCell ref="O2:O3"/>
    <mergeCell ref="P2:P3"/>
    <mergeCell ref="Q2:Q3"/>
    <mergeCell ref="R2:R3"/>
    <mergeCell ref="H1:J1"/>
    <mergeCell ref="K1:M1"/>
    <mergeCell ref="N1:P1"/>
    <mergeCell ref="G1:G3"/>
    <mergeCell ref="B1:B3"/>
    <mergeCell ref="C1:C3"/>
    <mergeCell ref="D1:D3"/>
    <mergeCell ref="E1:E3"/>
    <mergeCell ref="F1:F3"/>
  </mergeCells>
  <pageMargins left="0.39370078740157483" right="0.31496062992125984" top="0.55118110236220474" bottom="0.35433070866141736" header="0.31496062992125984" footer="0.31496062992125984"/>
  <pageSetup paperSize="9" scale="65" fitToHeight="6"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E655"/>
  <sheetViews>
    <sheetView view="pageBreakPreview" zoomScale="89" zoomScaleNormal="106" zoomScaleSheetLayoutView="89" workbookViewId="0">
      <pane ySplit="4" topLeftCell="A561" activePane="bottomLeft" state="frozen"/>
      <selection pane="bottomLeft" activeCell="F383" sqref="F383"/>
    </sheetView>
  </sheetViews>
  <sheetFormatPr defaultColWidth="8.796875" defaultRowHeight="15.5"/>
  <cols>
    <col min="1" max="1" width="4.796875" style="3" customWidth="1"/>
    <col min="2" max="2" width="10.19921875" style="3" customWidth="1"/>
    <col min="3" max="3" width="75.19921875" style="21" customWidth="1"/>
    <col min="4" max="4" width="6.5" style="3" bestFit="1" customWidth="1"/>
    <col min="5" max="5" width="7.69921875" style="3" bestFit="1" customWidth="1"/>
    <col min="6" max="6" width="16.19921875" style="3" bestFit="1" customWidth="1"/>
    <col min="7" max="7" width="15.296875" style="3" bestFit="1" customWidth="1"/>
    <col min="8" max="8" width="10.5" style="79" bestFit="1" customWidth="1"/>
    <col min="9" max="9" width="7.69921875" style="3" bestFit="1" customWidth="1"/>
    <col min="10" max="11" width="15.296875" style="3" bestFit="1" customWidth="1"/>
    <col min="12" max="12" width="14" style="22" bestFit="1" customWidth="1"/>
    <col min="13" max="13" width="14" style="3" bestFit="1" customWidth="1"/>
    <col min="14" max="14" width="15" style="3" bestFit="1" customWidth="1"/>
    <col min="15" max="18" width="8" style="3" customWidth="1"/>
    <col min="19" max="19" width="15.5" style="10" bestFit="1" customWidth="1"/>
    <col min="20" max="20" width="23.19921875" style="3" hidden="1" customWidth="1"/>
    <col min="21" max="21" width="26.796875" style="3" hidden="1" customWidth="1"/>
    <col min="22" max="22" width="21.796875" style="3" hidden="1" customWidth="1"/>
    <col min="23" max="16384" width="8.796875" style="3"/>
  </cols>
  <sheetData>
    <row r="1" spans="2:31" s="8" customFormat="1">
      <c r="B1" s="4"/>
      <c r="C1" s="4"/>
      <c r="D1" s="4"/>
      <c r="E1" s="4"/>
      <c r="F1" s="4"/>
      <c r="G1" s="4"/>
      <c r="H1" s="73"/>
      <c r="I1" s="4"/>
      <c r="J1" s="4"/>
      <c r="K1" s="4"/>
      <c r="L1" s="7"/>
      <c r="M1" s="4"/>
      <c r="N1" s="4"/>
      <c r="S1" s="9"/>
      <c r="AD1" s="3"/>
      <c r="AE1" s="40"/>
    </row>
    <row r="2" spans="2:31" s="8" customFormat="1" ht="28.9" customHeight="1">
      <c r="B2" s="1227" t="s">
        <v>309</v>
      </c>
      <c r="C2" s="1227"/>
      <c r="D2" s="1227"/>
      <c r="E2" s="1227"/>
      <c r="F2" s="1227"/>
      <c r="G2" s="1227"/>
      <c r="H2" s="1227"/>
      <c r="I2" s="1227"/>
      <c r="J2" s="1227"/>
      <c r="K2" s="1227"/>
      <c r="L2" s="1227"/>
      <c r="M2" s="1227"/>
      <c r="N2" s="1227"/>
      <c r="O2" s="40"/>
      <c r="S2" s="9"/>
      <c r="AD2" s="3"/>
      <c r="AE2" s="40"/>
    </row>
    <row r="3" spans="2:31" ht="27.75" customHeight="1">
      <c r="B3" s="1228" t="s">
        <v>272</v>
      </c>
      <c r="C3" s="1231" t="s">
        <v>64</v>
      </c>
      <c r="D3" s="1230" t="s">
        <v>261</v>
      </c>
      <c r="E3" s="1230"/>
      <c r="F3" s="1230"/>
      <c r="G3" s="1230"/>
      <c r="H3" s="1230" t="s">
        <v>262</v>
      </c>
      <c r="I3" s="1230"/>
      <c r="J3" s="1230"/>
      <c r="K3" s="1230"/>
      <c r="L3" s="1229" t="s">
        <v>269</v>
      </c>
      <c r="M3" s="1229" t="s">
        <v>270</v>
      </c>
      <c r="N3" s="1229" t="s">
        <v>271</v>
      </c>
      <c r="O3" s="86"/>
      <c r="P3" s="43"/>
      <c r="Q3" s="43"/>
      <c r="R3" s="43"/>
      <c r="S3" s="43"/>
      <c r="W3" s="44"/>
      <c r="X3" s="44"/>
      <c r="Y3" s="44"/>
      <c r="Z3" s="44"/>
      <c r="AA3" s="44"/>
      <c r="AB3" s="44"/>
      <c r="AC3" s="44"/>
    </row>
    <row r="4" spans="2:31" ht="30">
      <c r="B4" s="1228"/>
      <c r="C4" s="1231"/>
      <c r="D4" s="20" t="s">
        <v>263</v>
      </c>
      <c r="E4" s="20" t="s">
        <v>264</v>
      </c>
      <c r="F4" s="20" t="s">
        <v>265</v>
      </c>
      <c r="G4" s="20" t="s">
        <v>266</v>
      </c>
      <c r="H4" s="74" t="s">
        <v>263</v>
      </c>
      <c r="I4" s="20" t="s">
        <v>264</v>
      </c>
      <c r="J4" s="20" t="s">
        <v>265</v>
      </c>
      <c r="K4" s="20" t="s">
        <v>266</v>
      </c>
      <c r="L4" s="1229"/>
      <c r="M4" s="1229"/>
      <c r="N4" s="1229"/>
      <c r="O4" s="87"/>
      <c r="P4" s="20"/>
      <c r="Q4" s="20"/>
      <c r="R4" s="20"/>
      <c r="S4" s="13"/>
      <c r="T4" s="38" t="s">
        <v>19</v>
      </c>
      <c r="U4" s="15" t="s">
        <v>21</v>
      </c>
      <c r="V4" s="41" t="s">
        <v>20</v>
      </c>
      <c r="W4" s="8"/>
      <c r="X4" s="8"/>
      <c r="Y4" s="8"/>
      <c r="Z4" s="8"/>
      <c r="AA4" s="8"/>
      <c r="AB4" s="8"/>
      <c r="AC4" s="8"/>
    </row>
    <row r="5" spans="2:31" ht="20.5">
      <c r="B5" s="24"/>
      <c r="C5" s="20" t="s">
        <v>275</v>
      </c>
      <c r="D5" s="20"/>
      <c r="E5" s="20"/>
      <c r="F5" s="20"/>
      <c r="G5" s="20"/>
      <c r="H5" s="74"/>
      <c r="I5" s="20"/>
      <c r="J5" s="20"/>
      <c r="K5" s="20"/>
      <c r="L5" s="20"/>
      <c r="M5" s="20"/>
      <c r="N5" s="20"/>
      <c r="O5" s="87"/>
      <c r="P5" s="20"/>
      <c r="Q5" s="20"/>
      <c r="R5" s="20"/>
      <c r="S5" s="13"/>
      <c r="T5" s="38"/>
      <c r="U5" s="15"/>
      <c r="V5" s="41"/>
      <c r="W5" s="8"/>
      <c r="X5" s="8"/>
      <c r="Y5" s="8"/>
      <c r="Z5" s="8"/>
      <c r="AA5" s="8"/>
      <c r="AB5" s="8"/>
      <c r="AC5" s="8"/>
    </row>
    <row r="6" spans="2:31" ht="18.75" customHeight="1">
      <c r="B6" s="64">
        <v>1</v>
      </c>
      <c r="C6" s="1" t="s">
        <v>65</v>
      </c>
      <c r="D6" s="64">
        <v>2</v>
      </c>
      <c r="E6" s="2" t="s">
        <v>66</v>
      </c>
      <c r="F6" s="25">
        <v>240000</v>
      </c>
      <c r="G6" s="65">
        <f>ROUND(D6*F6,0)</f>
        <v>480000</v>
      </c>
      <c r="H6" s="70">
        <f>D6</f>
        <v>2</v>
      </c>
      <c r="I6" s="64" t="str">
        <f>E6</f>
        <v>No</v>
      </c>
      <c r="J6" s="65">
        <f>F6</f>
        <v>240000</v>
      </c>
      <c r="K6" s="65">
        <f>ROUND(H6*J6,0)</f>
        <v>480000</v>
      </c>
      <c r="L6" s="66">
        <f>IF(K6&gt;G6,K6-G6,0)</f>
        <v>0</v>
      </c>
      <c r="M6" s="65">
        <f>IF(G6&gt;K6,G6-K6,0)</f>
        <v>0</v>
      </c>
      <c r="N6" s="4"/>
      <c r="O6" s="40"/>
      <c r="P6" s="8"/>
      <c r="Q6" s="8"/>
      <c r="R6" s="8"/>
      <c r="S6" s="8"/>
      <c r="T6" s="39">
        <f t="shared" ref="T6:T53" si="0">D6*F6</f>
        <v>480000</v>
      </c>
      <c r="U6" s="5">
        <f t="shared" ref="U6:U53" si="1">H6*F6</f>
        <v>480000</v>
      </c>
      <c r="V6" s="42">
        <f t="shared" ref="V6" si="2">U6-T6</f>
        <v>0</v>
      </c>
      <c r="W6" s="8"/>
      <c r="X6" s="8"/>
      <c r="Y6" s="8"/>
      <c r="Z6" s="8"/>
      <c r="AA6" s="8"/>
      <c r="AB6" s="8"/>
      <c r="AC6" s="8"/>
    </row>
    <row r="7" spans="2:31" ht="17.25" customHeight="1">
      <c r="B7" s="7"/>
      <c r="C7" s="4"/>
      <c r="D7" s="63"/>
      <c r="E7" s="63"/>
      <c r="F7" s="63"/>
      <c r="G7" s="63"/>
      <c r="H7" s="75"/>
      <c r="I7" s="63"/>
      <c r="J7" s="63"/>
      <c r="K7" s="63"/>
      <c r="L7" s="7"/>
      <c r="M7" s="63"/>
      <c r="N7" s="63"/>
      <c r="O7" s="17"/>
      <c r="P7" s="12"/>
      <c r="Q7" s="12"/>
      <c r="R7" s="8"/>
      <c r="S7" s="8"/>
      <c r="T7" s="39">
        <f t="shared" si="0"/>
        <v>0</v>
      </c>
      <c r="U7" s="5">
        <f t="shared" si="1"/>
        <v>0</v>
      </c>
      <c r="V7" s="42">
        <f t="shared" ref="V7:V53" si="3">U7-T7</f>
        <v>0</v>
      </c>
      <c r="W7" s="8"/>
      <c r="X7" s="8"/>
      <c r="Y7" s="8"/>
      <c r="Z7" s="8"/>
      <c r="AA7" s="8"/>
      <c r="AB7" s="8"/>
      <c r="AC7" s="8"/>
    </row>
    <row r="8" spans="2:31">
      <c r="B8" s="64">
        <v>2</v>
      </c>
      <c r="C8" s="1" t="s">
        <v>67</v>
      </c>
      <c r="D8" s="64">
        <v>2</v>
      </c>
      <c r="E8" s="2" t="s">
        <v>66</v>
      </c>
      <c r="F8" s="25">
        <v>49500</v>
      </c>
      <c r="G8" s="65">
        <f>ROUND(D8*F8,0)</f>
        <v>99000</v>
      </c>
      <c r="H8" s="70">
        <f>D8</f>
        <v>2</v>
      </c>
      <c r="I8" s="64" t="str">
        <f>E8</f>
        <v>No</v>
      </c>
      <c r="J8" s="65">
        <f>F8</f>
        <v>49500</v>
      </c>
      <c r="K8" s="65">
        <f>ROUND(H8*J8,0)</f>
        <v>99000</v>
      </c>
      <c r="L8" s="66">
        <f>IF(K8&gt;G8,K8-G8,0)</f>
        <v>0</v>
      </c>
      <c r="M8" s="65">
        <f>IF(G8&gt;K8,G8-K8,0)</f>
        <v>0</v>
      </c>
      <c r="N8" s="4"/>
      <c r="O8" s="40"/>
      <c r="P8" s="8"/>
      <c r="Q8" s="8"/>
      <c r="R8" s="8"/>
      <c r="S8" s="8"/>
      <c r="T8" s="39">
        <f t="shared" si="0"/>
        <v>99000</v>
      </c>
      <c r="U8" s="5">
        <f t="shared" si="1"/>
        <v>99000</v>
      </c>
      <c r="V8" s="42">
        <f t="shared" si="3"/>
        <v>0</v>
      </c>
      <c r="W8" s="8"/>
      <c r="X8" s="8"/>
      <c r="Y8" s="8"/>
      <c r="Z8" s="8"/>
      <c r="AA8" s="8"/>
      <c r="AB8" s="8"/>
      <c r="AC8" s="8"/>
    </row>
    <row r="9" spans="2:31" ht="17.25" customHeight="1">
      <c r="B9" s="7"/>
      <c r="C9" s="4"/>
      <c r="D9" s="63"/>
      <c r="E9" s="63"/>
      <c r="F9" s="63"/>
      <c r="G9" s="63"/>
      <c r="H9" s="75"/>
      <c r="I9" s="63"/>
      <c r="J9" s="63"/>
      <c r="K9" s="63"/>
      <c r="L9" s="7"/>
      <c r="M9" s="63"/>
      <c r="N9" s="63"/>
      <c r="O9" s="17"/>
      <c r="P9" s="12"/>
      <c r="Q9" s="12"/>
      <c r="R9" s="8"/>
      <c r="S9" s="8"/>
      <c r="T9" s="39">
        <f t="shared" si="0"/>
        <v>0</v>
      </c>
      <c r="U9" s="5">
        <f t="shared" si="1"/>
        <v>0</v>
      </c>
      <c r="V9" s="42">
        <f t="shared" si="3"/>
        <v>0</v>
      </c>
      <c r="W9" s="8"/>
      <c r="X9" s="8"/>
      <c r="Y9" s="8"/>
      <c r="Z9" s="8"/>
      <c r="AA9" s="8"/>
      <c r="AB9" s="8"/>
      <c r="AC9" s="8"/>
    </row>
    <row r="10" spans="2:31" ht="17.25" customHeight="1">
      <c r="B10" s="64">
        <v>3</v>
      </c>
      <c r="C10" s="1" t="s">
        <v>68</v>
      </c>
      <c r="D10" s="64">
        <v>2</v>
      </c>
      <c r="E10" s="2" t="s">
        <v>66</v>
      </c>
      <c r="F10" s="25">
        <v>1365000</v>
      </c>
      <c r="G10" s="65">
        <f>ROUND(D10*F10,0)</f>
        <v>2730000</v>
      </c>
      <c r="H10" s="70">
        <f>D10</f>
        <v>2</v>
      </c>
      <c r="I10" s="64" t="str">
        <f>E10</f>
        <v>No</v>
      </c>
      <c r="J10" s="65">
        <f>F10</f>
        <v>1365000</v>
      </c>
      <c r="K10" s="65">
        <f>ROUND(H10*J10,0)</f>
        <v>2730000</v>
      </c>
      <c r="L10" s="66">
        <f>IF(K10&gt;G10,K10-G10,0)</f>
        <v>0</v>
      </c>
      <c r="M10" s="65">
        <f>IF(G10&gt;K10,G10-K10,0)</f>
        <v>0</v>
      </c>
      <c r="N10" s="4"/>
      <c r="O10" s="40"/>
      <c r="P10" s="8"/>
      <c r="Q10" s="8"/>
      <c r="R10" s="8"/>
      <c r="S10" s="8"/>
      <c r="T10" s="39">
        <f t="shared" si="0"/>
        <v>2730000</v>
      </c>
      <c r="U10" s="5">
        <f t="shared" si="1"/>
        <v>2730000</v>
      </c>
      <c r="V10" s="42">
        <f t="shared" si="3"/>
        <v>0</v>
      </c>
      <c r="W10" s="8"/>
      <c r="X10" s="8"/>
      <c r="Y10" s="8"/>
      <c r="Z10" s="8"/>
      <c r="AA10" s="8"/>
      <c r="AB10" s="8"/>
      <c r="AC10" s="8"/>
    </row>
    <row r="11" spans="2:31" ht="17.25" customHeight="1">
      <c r="B11" s="7"/>
      <c r="C11" s="4"/>
      <c r="D11" s="63"/>
      <c r="E11" s="63"/>
      <c r="F11" s="63"/>
      <c r="G11" s="63"/>
      <c r="H11" s="75"/>
      <c r="I11" s="63"/>
      <c r="J11" s="63"/>
      <c r="K11" s="63"/>
      <c r="L11" s="7"/>
      <c r="M11" s="63"/>
      <c r="N11" s="63"/>
      <c r="O11" s="17"/>
      <c r="P11" s="12"/>
      <c r="Q11" s="12"/>
      <c r="R11" s="8"/>
      <c r="S11" s="8"/>
      <c r="T11" s="39">
        <f t="shared" si="0"/>
        <v>0</v>
      </c>
      <c r="U11" s="5">
        <f t="shared" si="1"/>
        <v>0</v>
      </c>
      <c r="V11" s="42">
        <f t="shared" si="3"/>
        <v>0</v>
      </c>
      <c r="W11" s="8"/>
      <c r="X11" s="8"/>
      <c r="Y11" s="8"/>
      <c r="Z11" s="8"/>
      <c r="AA11" s="8"/>
      <c r="AB11" s="8"/>
      <c r="AC11" s="8"/>
    </row>
    <row r="12" spans="2:31" ht="17.25" customHeight="1">
      <c r="B12" s="64">
        <v>4</v>
      </c>
      <c r="C12" s="1" t="s">
        <v>69</v>
      </c>
      <c r="D12" s="64">
        <v>1</v>
      </c>
      <c r="E12" s="2" t="s">
        <v>66</v>
      </c>
      <c r="F12" s="25">
        <v>563750</v>
      </c>
      <c r="G12" s="65">
        <f>ROUND(D12*F12,0)</f>
        <v>563750</v>
      </c>
      <c r="H12" s="70">
        <v>1</v>
      </c>
      <c r="I12" s="64" t="str">
        <f>E12</f>
        <v>No</v>
      </c>
      <c r="J12" s="65">
        <f>F12</f>
        <v>563750</v>
      </c>
      <c r="K12" s="65">
        <f>ROUND(H12*J12,0)</f>
        <v>563750</v>
      </c>
      <c r="L12" s="66">
        <f>IF(K12&gt;G12,K12-G12,0)</f>
        <v>0</v>
      </c>
      <c r="M12" s="65">
        <f>IF(G12&gt;K12,G12-K12,0)</f>
        <v>0</v>
      </c>
      <c r="N12" s="4"/>
      <c r="O12" s="40"/>
      <c r="P12" s="8"/>
      <c r="Q12" s="8"/>
      <c r="R12" s="8"/>
      <c r="S12" s="8"/>
      <c r="T12" s="39">
        <f t="shared" si="0"/>
        <v>563750</v>
      </c>
      <c r="U12" s="5">
        <f t="shared" si="1"/>
        <v>563750</v>
      </c>
      <c r="V12" s="42">
        <f t="shared" si="3"/>
        <v>0</v>
      </c>
      <c r="W12" s="8"/>
      <c r="X12" s="8"/>
      <c r="Y12" s="8"/>
      <c r="Z12" s="8"/>
      <c r="AA12" s="8"/>
      <c r="AB12" s="8"/>
      <c r="AC12" s="8"/>
    </row>
    <row r="13" spans="2:31">
      <c r="B13" s="7"/>
      <c r="C13" s="72"/>
      <c r="D13" s="63"/>
      <c r="E13" s="63"/>
      <c r="F13" s="63"/>
      <c r="G13" s="63"/>
      <c r="H13" s="75"/>
      <c r="I13" s="64"/>
      <c r="J13" s="114"/>
      <c r="K13" s="65"/>
      <c r="L13" s="66"/>
      <c r="M13" s="65"/>
      <c r="N13" s="63"/>
      <c r="O13" s="17"/>
      <c r="P13" s="12"/>
      <c r="Q13" s="12"/>
      <c r="R13" s="8"/>
      <c r="S13" s="8"/>
      <c r="T13" s="39">
        <f t="shared" si="0"/>
        <v>0</v>
      </c>
      <c r="U13" s="5">
        <f t="shared" si="1"/>
        <v>0</v>
      </c>
      <c r="V13" s="42">
        <f t="shared" si="3"/>
        <v>0</v>
      </c>
      <c r="W13" s="8"/>
      <c r="X13" s="8"/>
      <c r="Y13" s="8"/>
      <c r="Z13" s="8"/>
      <c r="AA13" s="8"/>
      <c r="AB13" s="8"/>
      <c r="AC13" s="8"/>
    </row>
    <row r="14" spans="2:31" ht="17.25" customHeight="1">
      <c r="B14" s="64">
        <v>5</v>
      </c>
      <c r="C14" s="1" t="s">
        <v>70</v>
      </c>
      <c r="D14" s="64">
        <v>1</v>
      </c>
      <c r="E14" s="2" t="s">
        <v>66</v>
      </c>
      <c r="F14" s="25">
        <v>312500</v>
      </c>
      <c r="G14" s="65">
        <f>ROUND(D14*F14,0)</f>
        <v>312500</v>
      </c>
      <c r="H14" s="70">
        <f>D14</f>
        <v>1</v>
      </c>
      <c r="I14" s="64" t="str">
        <f>E14</f>
        <v>No</v>
      </c>
      <c r="J14" s="65">
        <f>F14</f>
        <v>312500</v>
      </c>
      <c r="K14" s="65">
        <f>ROUND(H14*J14,0)</f>
        <v>312500</v>
      </c>
      <c r="L14" s="66">
        <f>IF(K14&gt;G14,K14-G14,0)</f>
        <v>0</v>
      </c>
      <c r="M14" s="65">
        <f>IF(G14&gt;K14,G14-K14,0)</f>
        <v>0</v>
      </c>
      <c r="N14" s="4"/>
      <c r="O14" s="40"/>
      <c r="P14" s="8"/>
      <c r="Q14" s="8"/>
      <c r="R14" s="8"/>
      <c r="S14" s="8"/>
      <c r="T14" s="39">
        <f t="shared" si="0"/>
        <v>312500</v>
      </c>
      <c r="U14" s="5">
        <f t="shared" si="1"/>
        <v>312500</v>
      </c>
      <c r="V14" s="42">
        <f t="shared" si="3"/>
        <v>0</v>
      </c>
      <c r="W14" s="8"/>
      <c r="X14" s="8"/>
      <c r="Y14" s="8"/>
      <c r="Z14" s="8"/>
      <c r="AA14" s="8"/>
      <c r="AB14" s="8"/>
      <c r="AC14" s="8"/>
    </row>
    <row r="15" spans="2:31" ht="17.25" customHeight="1">
      <c r="B15" s="7"/>
      <c r="C15" s="4"/>
      <c r="D15" s="63"/>
      <c r="E15" s="63"/>
      <c r="F15" s="63"/>
      <c r="G15" s="63"/>
      <c r="H15" s="75"/>
      <c r="I15" s="63"/>
      <c r="J15" s="63"/>
      <c r="K15" s="63"/>
      <c r="L15" s="7"/>
      <c r="M15" s="63"/>
      <c r="N15" s="63"/>
      <c r="O15" s="17"/>
      <c r="P15" s="12"/>
      <c r="Q15" s="12"/>
      <c r="R15" s="8"/>
      <c r="S15" s="8"/>
      <c r="T15" s="39">
        <f t="shared" si="0"/>
        <v>0</v>
      </c>
      <c r="U15" s="5">
        <f t="shared" si="1"/>
        <v>0</v>
      </c>
      <c r="V15" s="42">
        <f t="shared" si="3"/>
        <v>0</v>
      </c>
      <c r="W15" s="8"/>
      <c r="X15" s="8"/>
      <c r="Y15" s="8"/>
      <c r="Z15" s="8"/>
      <c r="AA15" s="8"/>
      <c r="AB15" s="8"/>
      <c r="AC15" s="8"/>
    </row>
    <row r="16" spans="2:31">
      <c r="B16" s="64">
        <v>6</v>
      </c>
      <c r="C16" s="1" t="s">
        <v>71</v>
      </c>
      <c r="D16" s="64">
        <v>1</v>
      </c>
      <c r="E16" s="2" t="s">
        <v>66</v>
      </c>
      <c r="F16" s="25">
        <v>187500</v>
      </c>
      <c r="G16" s="65">
        <f>ROUND(D16*F16,0)</f>
        <v>187500</v>
      </c>
      <c r="H16" s="70">
        <f>D16</f>
        <v>1</v>
      </c>
      <c r="I16" s="64" t="str">
        <f>E16</f>
        <v>No</v>
      </c>
      <c r="J16" s="65">
        <f>F16</f>
        <v>187500</v>
      </c>
      <c r="K16" s="65">
        <f>ROUND(H16*J16,0)</f>
        <v>187500</v>
      </c>
      <c r="L16" s="66">
        <f>IF(K16&gt;G16,K16-G16,0)</f>
        <v>0</v>
      </c>
      <c r="M16" s="65">
        <f>IF(G16&gt;K16,G16-K16,0)</f>
        <v>0</v>
      </c>
      <c r="N16" s="4"/>
      <c r="O16" s="40"/>
      <c r="P16" s="8"/>
      <c r="Q16" s="8"/>
      <c r="R16" s="8"/>
      <c r="S16" s="8"/>
      <c r="T16" s="39">
        <f t="shared" si="0"/>
        <v>187500</v>
      </c>
      <c r="U16" s="5">
        <f t="shared" si="1"/>
        <v>187500</v>
      </c>
      <c r="V16" s="42">
        <f t="shared" si="3"/>
        <v>0</v>
      </c>
      <c r="W16" s="8"/>
      <c r="X16" s="8"/>
      <c r="Y16" s="8"/>
      <c r="Z16" s="8"/>
      <c r="AA16" s="8"/>
      <c r="AB16" s="8"/>
      <c r="AC16" s="8"/>
    </row>
    <row r="17" spans="2:29">
      <c r="B17" s="7"/>
      <c r="C17" s="4"/>
      <c r="D17" s="63"/>
      <c r="E17" s="63"/>
      <c r="F17" s="63"/>
      <c r="G17" s="63"/>
      <c r="H17" s="75"/>
      <c r="I17" s="63"/>
      <c r="J17" s="63"/>
      <c r="K17" s="63"/>
      <c r="L17" s="7"/>
      <c r="M17" s="63"/>
      <c r="N17" s="63"/>
      <c r="O17" s="17"/>
      <c r="P17" s="12"/>
      <c r="Q17" s="12"/>
      <c r="R17" s="8"/>
      <c r="S17" s="8"/>
      <c r="T17" s="39">
        <f t="shared" si="0"/>
        <v>0</v>
      </c>
      <c r="U17" s="5">
        <f t="shared" si="1"/>
        <v>0</v>
      </c>
      <c r="V17" s="42">
        <f t="shared" si="3"/>
        <v>0</v>
      </c>
      <c r="W17" s="8"/>
      <c r="X17" s="8"/>
      <c r="Y17" s="8"/>
      <c r="Z17" s="8"/>
      <c r="AA17" s="8"/>
      <c r="AB17" s="8"/>
      <c r="AC17" s="8"/>
    </row>
    <row r="18" spans="2:29" ht="17.25" customHeight="1">
      <c r="B18" s="64">
        <v>7</v>
      </c>
      <c r="C18" s="1" t="s">
        <v>72</v>
      </c>
      <c r="D18" s="64">
        <v>1</v>
      </c>
      <c r="E18" s="2" t="s">
        <v>66</v>
      </c>
      <c r="F18" s="25">
        <v>687500</v>
      </c>
      <c r="G18" s="65">
        <f>ROUND(D18*F18,0)</f>
        <v>687500</v>
      </c>
      <c r="H18" s="70">
        <f>D18</f>
        <v>1</v>
      </c>
      <c r="I18" s="64" t="str">
        <f>E18</f>
        <v>No</v>
      </c>
      <c r="J18" s="65">
        <f>F18</f>
        <v>687500</v>
      </c>
      <c r="K18" s="65">
        <f>ROUND(H18*J18,0)</f>
        <v>687500</v>
      </c>
      <c r="L18" s="66">
        <f>IF(K18&gt;G18,K18-G18,0)</f>
        <v>0</v>
      </c>
      <c r="M18" s="65">
        <f>IF(G18&gt;K18,G18-K18,0)</f>
        <v>0</v>
      </c>
      <c r="N18" s="4"/>
      <c r="O18" s="40"/>
      <c r="P18" s="8"/>
      <c r="Q18" s="8"/>
      <c r="R18" s="8"/>
      <c r="S18" s="8"/>
      <c r="T18" s="39">
        <f t="shared" si="0"/>
        <v>687500</v>
      </c>
      <c r="U18" s="5">
        <f t="shared" si="1"/>
        <v>687500</v>
      </c>
      <c r="V18" s="42">
        <f t="shared" si="3"/>
        <v>0</v>
      </c>
      <c r="W18" s="8"/>
      <c r="X18" s="8"/>
      <c r="Y18" s="8"/>
      <c r="Z18" s="8"/>
      <c r="AA18" s="8"/>
      <c r="AB18" s="8"/>
      <c r="AC18" s="8"/>
    </row>
    <row r="19" spans="2:29" ht="17.25" customHeight="1">
      <c r="B19" s="7"/>
      <c r="C19" s="4"/>
      <c r="D19" s="63"/>
      <c r="E19" s="63"/>
      <c r="F19" s="63"/>
      <c r="G19" s="63"/>
      <c r="H19" s="75"/>
      <c r="I19" s="63"/>
      <c r="J19" s="63"/>
      <c r="K19" s="63"/>
      <c r="L19" s="7"/>
      <c r="M19" s="63"/>
      <c r="N19" s="63"/>
      <c r="O19" s="17"/>
      <c r="P19" s="12"/>
      <c r="Q19" s="12"/>
      <c r="R19" s="8"/>
      <c r="S19" s="8"/>
      <c r="T19" s="39">
        <f t="shared" si="0"/>
        <v>0</v>
      </c>
      <c r="U19" s="5">
        <f t="shared" si="1"/>
        <v>0</v>
      </c>
      <c r="V19" s="42">
        <f t="shared" si="3"/>
        <v>0</v>
      </c>
      <c r="W19" s="8"/>
      <c r="X19" s="8"/>
      <c r="Y19" s="8"/>
      <c r="Z19" s="8"/>
      <c r="AA19" s="8"/>
      <c r="AB19" s="8"/>
      <c r="AC19" s="8"/>
    </row>
    <row r="20" spans="2:29" ht="17.25" customHeight="1">
      <c r="B20" s="64">
        <v>8</v>
      </c>
      <c r="C20" s="1" t="s">
        <v>73</v>
      </c>
      <c r="D20" s="64">
        <v>1</v>
      </c>
      <c r="E20" s="2" t="s">
        <v>66</v>
      </c>
      <c r="F20" s="25">
        <v>96250</v>
      </c>
      <c r="G20" s="65">
        <f>ROUND(D20*F20,0)</f>
        <v>96250</v>
      </c>
      <c r="H20" s="70">
        <f>D20</f>
        <v>1</v>
      </c>
      <c r="I20" s="64" t="str">
        <f>E20</f>
        <v>No</v>
      </c>
      <c r="J20" s="65">
        <f>F20</f>
        <v>96250</v>
      </c>
      <c r="K20" s="65">
        <f>ROUND(H20*J20,0)</f>
        <v>96250</v>
      </c>
      <c r="L20" s="66">
        <f>IF(K20&gt;G20,K20-G20,0)</f>
        <v>0</v>
      </c>
      <c r="M20" s="65">
        <f>IF(G20&gt;K20,G20-K20,0)</f>
        <v>0</v>
      </c>
      <c r="N20" s="4"/>
      <c r="O20" s="40"/>
      <c r="P20" s="8"/>
      <c r="Q20" s="8"/>
      <c r="R20" s="8"/>
      <c r="S20" s="8"/>
      <c r="T20" s="39">
        <f t="shared" si="0"/>
        <v>96250</v>
      </c>
      <c r="U20" s="5">
        <f t="shared" si="1"/>
        <v>96250</v>
      </c>
      <c r="V20" s="42">
        <f t="shared" si="3"/>
        <v>0</v>
      </c>
      <c r="W20" s="8"/>
      <c r="X20" s="8"/>
      <c r="Y20" s="8"/>
      <c r="Z20" s="8"/>
      <c r="AA20" s="8"/>
      <c r="AB20" s="8"/>
      <c r="AC20" s="8"/>
    </row>
    <row r="21" spans="2:29" ht="17.25" customHeight="1">
      <c r="B21" s="7"/>
      <c r="C21" s="4"/>
      <c r="D21" s="63"/>
      <c r="E21" s="63"/>
      <c r="F21" s="63"/>
      <c r="G21" s="63"/>
      <c r="H21" s="75"/>
      <c r="I21" s="63"/>
      <c r="J21" s="63"/>
      <c r="K21" s="63"/>
      <c r="L21" s="7"/>
      <c r="M21" s="63"/>
      <c r="N21" s="63"/>
      <c r="O21" s="17"/>
      <c r="P21" s="12"/>
      <c r="Q21" s="12"/>
      <c r="R21" s="8"/>
      <c r="S21" s="8"/>
      <c r="T21" s="39">
        <f t="shared" si="0"/>
        <v>0</v>
      </c>
      <c r="U21" s="5">
        <f t="shared" si="1"/>
        <v>0</v>
      </c>
      <c r="V21" s="42">
        <f t="shared" si="3"/>
        <v>0</v>
      </c>
      <c r="W21" s="8"/>
      <c r="X21" s="8"/>
      <c r="Y21" s="8"/>
      <c r="Z21" s="8"/>
      <c r="AA21" s="8"/>
      <c r="AB21" s="8"/>
      <c r="AC21" s="8"/>
    </row>
    <row r="22" spans="2:29" ht="17.25" customHeight="1">
      <c r="B22" s="64">
        <v>9</v>
      </c>
      <c r="C22" s="1" t="s">
        <v>74</v>
      </c>
      <c r="D22" s="64">
        <v>2</v>
      </c>
      <c r="E22" s="2" t="s">
        <v>66</v>
      </c>
      <c r="F22" s="25">
        <v>825000</v>
      </c>
      <c r="G22" s="65">
        <f>ROUND(D22*F22,0)</f>
        <v>1650000</v>
      </c>
      <c r="H22" s="70">
        <f>D22</f>
        <v>2</v>
      </c>
      <c r="I22" s="64" t="str">
        <f>E22</f>
        <v>No</v>
      </c>
      <c r="J22" s="65">
        <f>F22</f>
        <v>825000</v>
      </c>
      <c r="K22" s="65">
        <f>ROUND(H22*J22,0)</f>
        <v>1650000</v>
      </c>
      <c r="L22" s="66">
        <f>IF(K22&gt;G22,K22-G22,0)</f>
        <v>0</v>
      </c>
      <c r="M22" s="65">
        <f>IF(G22&gt;K22,G22-K22,0)</f>
        <v>0</v>
      </c>
      <c r="N22" s="4"/>
      <c r="O22" s="40"/>
      <c r="P22" s="8"/>
      <c r="Q22" s="8"/>
      <c r="R22" s="8"/>
      <c r="S22" s="8"/>
      <c r="T22" s="39">
        <f t="shared" si="0"/>
        <v>1650000</v>
      </c>
      <c r="U22" s="5">
        <f t="shared" si="1"/>
        <v>1650000</v>
      </c>
      <c r="V22" s="42">
        <f t="shared" si="3"/>
        <v>0</v>
      </c>
      <c r="W22" s="8"/>
      <c r="X22" s="8"/>
      <c r="Y22" s="8"/>
      <c r="Z22" s="8"/>
      <c r="AA22" s="8"/>
      <c r="AB22" s="8"/>
      <c r="AC22" s="8"/>
    </row>
    <row r="23" spans="2:29" ht="17.25" customHeight="1">
      <c r="B23" s="7"/>
      <c r="C23" s="4"/>
      <c r="D23" s="63"/>
      <c r="E23" s="63"/>
      <c r="F23" s="63"/>
      <c r="G23" s="63"/>
      <c r="H23" s="75"/>
      <c r="I23" s="63"/>
      <c r="J23" s="63"/>
      <c r="K23" s="63"/>
      <c r="L23" s="7"/>
      <c r="M23" s="63"/>
      <c r="N23" s="63"/>
      <c r="O23" s="17"/>
      <c r="P23" s="12"/>
      <c r="Q23" s="12"/>
      <c r="R23" s="8"/>
      <c r="S23" s="8"/>
      <c r="T23" s="39">
        <f t="shared" si="0"/>
        <v>0</v>
      </c>
      <c r="U23" s="5">
        <f t="shared" si="1"/>
        <v>0</v>
      </c>
      <c r="V23" s="42">
        <f t="shared" si="3"/>
        <v>0</v>
      </c>
      <c r="W23" s="8"/>
      <c r="X23" s="8"/>
      <c r="Y23" s="8"/>
      <c r="Z23" s="8"/>
      <c r="AA23" s="8"/>
      <c r="AB23" s="8"/>
      <c r="AC23" s="8"/>
    </row>
    <row r="24" spans="2:29" ht="17.25" customHeight="1">
      <c r="B24" s="64">
        <v>10</v>
      </c>
      <c r="C24" s="1" t="s">
        <v>75</v>
      </c>
      <c r="D24" s="64">
        <v>1</v>
      </c>
      <c r="E24" s="2" t="s">
        <v>66</v>
      </c>
      <c r="F24" s="25">
        <v>825000</v>
      </c>
      <c r="G24" s="65">
        <f>ROUND(D24*F24,0)</f>
        <v>825000</v>
      </c>
      <c r="H24" s="70">
        <f>D24</f>
        <v>1</v>
      </c>
      <c r="I24" s="64" t="str">
        <f>E24</f>
        <v>No</v>
      </c>
      <c r="J24" s="65">
        <f>F24</f>
        <v>825000</v>
      </c>
      <c r="K24" s="65">
        <f>ROUND(H24*J24,0)</f>
        <v>825000</v>
      </c>
      <c r="L24" s="66">
        <f>IF(K24&gt;G24,K24-G24,0)</f>
        <v>0</v>
      </c>
      <c r="M24" s="65">
        <f>IF(G24&gt;K24,G24-K24,0)</f>
        <v>0</v>
      </c>
      <c r="N24" s="4"/>
      <c r="O24" s="40"/>
      <c r="P24" s="8"/>
      <c r="Q24" s="8"/>
      <c r="R24" s="8"/>
      <c r="S24" s="8"/>
      <c r="T24" s="39">
        <f t="shared" si="0"/>
        <v>825000</v>
      </c>
      <c r="U24" s="5">
        <f t="shared" si="1"/>
        <v>825000</v>
      </c>
      <c r="V24" s="42">
        <f t="shared" si="3"/>
        <v>0</v>
      </c>
      <c r="W24" s="8"/>
      <c r="X24" s="8"/>
      <c r="Y24" s="8"/>
      <c r="Z24" s="8"/>
      <c r="AA24" s="8"/>
      <c r="AB24" s="8"/>
      <c r="AC24" s="8"/>
    </row>
    <row r="25" spans="2:29" ht="17.25" customHeight="1">
      <c r="B25" s="7"/>
      <c r="C25" s="4"/>
      <c r="D25" s="63"/>
      <c r="E25" s="63"/>
      <c r="F25" s="63"/>
      <c r="G25" s="63"/>
      <c r="H25" s="75"/>
      <c r="I25" s="63"/>
      <c r="J25" s="63"/>
      <c r="K25" s="63"/>
      <c r="L25" s="7"/>
      <c r="M25" s="63"/>
      <c r="N25" s="63"/>
      <c r="O25" s="17"/>
      <c r="P25" s="12"/>
      <c r="Q25" s="12"/>
      <c r="R25" s="8"/>
      <c r="S25" s="8"/>
      <c r="T25" s="39">
        <f t="shared" si="0"/>
        <v>0</v>
      </c>
      <c r="U25" s="5">
        <f t="shared" si="1"/>
        <v>0</v>
      </c>
      <c r="V25" s="42">
        <f t="shared" si="3"/>
        <v>0</v>
      </c>
      <c r="W25" s="8"/>
      <c r="X25" s="8"/>
      <c r="Y25" s="8"/>
      <c r="Z25" s="8"/>
      <c r="AA25" s="8"/>
      <c r="AB25" s="8"/>
      <c r="AC25" s="8"/>
    </row>
    <row r="26" spans="2:29" ht="17.25" customHeight="1">
      <c r="B26" s="64">
        <v>11</v>
      </c>
      <c r="C26" s="1" t="s">
        <v>76</v>
      </c>
      <c r="D26" s="64">
        <v>1</v>
      </c>
      <c r="E26" s="2" t="s">
        <v>66</v>
      </c>
      <c r="F26" s="25">
        <v>309000</v>
      </c>
      <c r="G26" s="65">
        <f>ROUND(D26*F26,0)</f>
        <v>309000</v>
      </c>
      <c r="H26" s="70">
        <f>D26</f>
        <v>1</v>
      </c>
      <c r="I26" s="64" t="str">
        <f>E26</f>
        <v>No</v>
      </c>
      <c r="J26" s="65">
        <f>F26</f>
        <v>309000</v>
      </c>
      <c r="K26" s="65">
        <f>ROUND(H26*J26,0)</f>
        <v>309000</v>
      </c>
      <c r="L26" s="66">
        <f>IF(K26&gt;G26,K26-G26,0)</f>
        <v>0</v>
      </c>
      <c r="M26" s="65">
        <f>IF(G26&gt;K26,G26-K26,0)</f>
        <v>0</v>
      </c>
      <c r="N26" s="4"/>
      <c r="O26" s="40"/>
      <c r="P26" s="8"/>
      <c r="Q26" s="8"/>
      <c r="R26" s="8"/>
      <c r="S26" s="8"/>
      <c r="T26" s="39">
        <f t="shared" si="0"/>
        <v>309000</v>
      </c>
      <c r="U26" s="5">
        <f t="shared" si="1"/>
        <v>309000</v>
      </c>
      <c r="V26" s="42">
        <f t="shared" si="3"/>
        <v>0</v>
      </c>
      <c r="W26" s="8"/>
      <c r="X26" s="8"/>
      <c r="Y26" s="8"/>
      <c r="Z26" s="8"/>
      <c r="AA26" s="8"/>
      <c r="AB26" s="8"/>
      <c r="AC26" s="8"/>
    </row>
    <row r="27" spans="2:29" ht="17.25" customHeight="1">
      <c r="B27" s="7"/>
      <c r="C27" s="4"/>
      <c r="D27" s="63"/>
      <c r="E27" s="63"/>
      <c r="F27" s="63"/>
      <c r="G27" s="63"/>
      <c r="H27" s="75"/>
      <c r="I27" s="63"/>
      <c r="J27" s="63"/>
      <c r="K27" s="63"/>
      <c r="L27" s="7"/>
      <c r="M27" s="63"/>
      <c r="N27" s="63"/>
      <c r="O27" s="17"/>
      <c r="P27" s="12"/>
      <c r="Q27" s="12"/>
      <c r="R27" s="8"/>
      <c r="S27" s="8"/>
      <c r="T27" s="39">
        <f t="shared" si="0"/>
        <v>0</v>
      </c>
      <c r="U27" s="5">
        <f t="shared" si="1"/>
        <v>0</v>
      </c>
      <c r="V27" s="42">
        <f t="shared" si="3"/>
        <v>0</v>
      </c>
      <c r="W27" s="8"/>
      <c r="X27" s="8"/>
      <c r="Y27" s="8"/>
      <c r="Z27" s="8"/>
      <c r="AA27" s="8"/>
      <c r="AB27" s="8"/>
      <c r="AC27" s="8"/>
    </row>
    <row r="28" spans="2:29" ht="17.25" customHeight="1">
      <c r="B28" s="64">
        <v>12</v>
      </c>
      <c r="C28" s="1" t="s">
        <v>77</v>
      </c>
      <c r="D28" s="64">
        <v>1</v>
      </c>
      <c r="E28" s="2" t="s">
        <v>66</v>
      </c>
      <c r="F28" s="25">
        <v>2625000</v>
      </c>
      <c r="G28" s="65">
        <f>ROUND(D28*F28,0)</f>
        <v>2625000</v>
      </c>
      <c r="H28" s="70">
        <f>D28</f>
        <v>1</v>
      </c>
      <c r="I28" s="64" t="str">
        <f>E28</f>
        <v>No</v>
      </c>
      <c r="J28" s="65">
        <f>F28</f>
        <v>2625000</v>
      </c>
      <c r="K28" s="65">
        <f>ROUND(H28*J28,0)</f>
        <v>2625000</v>
      </c>
      <c r="L28" s="66">
        <f>IF(K28&gt;G28,K28-G28,0)</f>
        <v>0</v>
      </c>
      <c r="M28" s="65">
        <f>IF(G28&gt;K28,G28-K28,0)</f>
        <v>0</v>
      </c>
      <c r="N28" s="4"/>
      <c r="O28" s="40"/>
      <c r="P28" s="8"/>
      <c r="Q28" s="8"/>
      <c r="R28" s="8"/>
      <c r="S28" s="8"/>
      <c r="T28" s="39">
        <f t="shared" si="0"/>
        <v>2625000</v>
      </c>
      <c r="U28" s="5">
        <f t="shared" si="1"/>
        <v>2625000</v>
      </c>
      <c r="V28" s="42">
        <f t="shared" si="3"/>
        <v>0</v>
      </c>
      <c r="W28" s="8"/>
      <c r="X28" s="8"/>
      <c r="Y28" s="8"/>
      <c r="Z28" s="8"/>
      <c r="AA28" s="8"/>
      <c r="AB28" s="8"/>
      <c r="AC28" s="8"/>
    </row>
    <row r="29" spans="2:29" ht="17.25" customHeight="1">
      <c r="B29" s="7"/>
      <c r="C29" s="4"/>
      <c r="D29" s="63"/>
      <c r="E29" s="63"/>
      <c r="F29" s="63"/>
      <c r="G29" s="63"/>
      <c r="H29" s="75"/>
      <c r="I29" s="63"/>
      <c r="J29" s="63"/>
      <c r="K29" s="63"/>
      <c r="L29" s="7"/>
      <c r="M29" s="63"/>
      <c r="N29" s="63"/>
      <c r="O29" s="17"/>
      <c r="P29" s="12"/>
      <c r="Q29" s="12"/>
      <c r="R29" s="8"/>
      <c r="S29" s="8"/>
      <c r="T29" s="39">
        <f t="shared" si="0"/>
        <v>0</v>
      </c>
      <c r="U29" s="5">
        <f t="shared" si="1"/>
        <v>0</v>
      </c>
      <c r="V29" s="42">
        <f t="shared" si="3"/>
        <v>0</v>
      </c>
      <c r="W29" s="8"/>
      <c r="X29" s="8"/>
      <c r="Y29" s="8"/>
      <c r="Z29" s="8"/>
      <c r="AA29" s="8"/>
      <c r="AB29" s="8"/>
      <c r="AC29" s="8"/>
    </row>
    <row r="30" spans="2:29" ht="17.25" customHeight="1">
      <c r="B30" s="64">
        <v>13</v>
      </c>
      <c r="C30" s="1" t="s">
        <v>78</v>
      </c>
      <c r="D30" s="64">
        <v>1</v>
      </c>
      <c r="E30" s="2" t="s">
        <v>66</v>
      </c>
      <c r="F30" s="25">
        <v>2560000</v>
      </c>
      <c r="G30" s="65">
        <f>ROUND(D30*F30,0)</f>
        <v>2560000</v>
      </c>
      <c r="H30" s="70">
        <f>D30</f>
        <v>1</v>
      </c>
      <c r="I30" s="64" t="str">
        <f>E30</f>
        <v>No</v>
      </c>
      <c r="J30" s="65">
        <f>F30</f>
        <v>2560000</v>
      </c>
      <c r="K30" s="65">
        <f>ROUND(H30*J30,0)</f>
        <v>2560000</v>
      </c>
      <c r="L30" s="66">
        <f>IF(K30&gt;G30,K30-G30,0)</f>
        <v>0</v>
      </c>
      <c r="M30" s="65">
        <f>IF(G30&gt;K30,G30-K30,0)</f>
        <v>0</v>
      </c>
      <c r="N30" s="4"/>
      <c r="O30" s="40"/>
      <c r="P30" s="8"/>
      <c r="Q30" s="8"/>
      <c r="R30" s="8"/>
      <c r="S30" s="8"/>
      <c r="T30" s="39">
        <f t="shared" si="0"/>
        <v>2560000</v>
      </c>
      <c r="U30" s="5">
        <f t="shared" si="1"/>
        <v>2560000</v>
      </c>
      <c r="V30" s="42">
        <f t="shared" si="3"/>
        <v>0</v>
      </c>
      <c r="W30" s="8"/>
      <c r="X30" s="8"/>
      <c r="Y30" s="8"/>
      <c r="Z30" s="8"/>
      <c r="AA30" s="8"/>
      <c r="AB30" s="8"/>
      <c r="AC30" s="8"/>
    </row>
    <row r="31" spans="2:29">
      <c r="B31" s="7"/>
      <c r="C31" s="4"/>
      <c r="D31" s="63"/>
      <c r="E31" s="63"/>
      <c r="F31" s="63"/>
      <c r="G31" s="63"/>
      <c r="H31" s="75"/>
      <c r="I31" s="63"/>
      <c r="J31" s="63"/>
      <c r="K31" s="63"/>
      <c r="L31" s="7"/>
      <c r="M31" s="63"/>
      <c r="N31" s="63"/>
      <c r="O31" s="17"/>
      <c r="P31" s="12"/>
      <c r="Q31" s="12"/>
      <c r="R31" s="8"/>
      <c r="S31" s="8"/>
      <c r="T31" s="39">
        <f t="shared" si="0"/>
        <v>0</v>
      </c>
      <c r="U31" s="5">
        <f t="shared" si="1"/>
        <v>0</v>
      </c>
      <c r="V31" s="42">
        <f t="shared" si="3"/>
        <v>0</v>
      </c>
      <c r="W31" s="8"/>
      <c r="X31" s="8"/>
      <c r="Y31" s="8"/>
      <c r="Z31" s="8"/>
      <c r="AA31" s="8"/>
      <c r="AB31" s="8"/>
      <c r="AC31" s="8"/>
    </row>
    <row r="32" spans="2:29">
      <c r="B32" s="64">
        <v>14</v>
      </c>
      <c r="C32" s="1" t="s">
        <v>79</v>
      </c>
      <c r="D32" s="64">
        <v>1</v>
      </c>
      <c r="E32" s="2" t="s">
        <v>66</v>
      </c>
      <c r="F32" s="25">
        <v>61875</v>
      </c>
      <c r="G32" s="65">
        <f>ROUND(D32*F32,0)</f>
        <v>61875</v>
      </c>
      <c r="H32" s="70">
        <f>D32</f>
        <v>1</v>
      </c>
      <c r="I32" s="64" t="str">
        <f>E32</f>
        <v>No</v>
      </c>
      <c r="J32" s="65">
        <f>F32</f>
        <v>61875</v>
      </c>
      <c r="K32" s="65">
        <f>ROUND(H32*J32,0)</f>
        <v>61875</v>
      </c>
      <c r="L32" s="66">
        <f>IF(K32&gt;G32,K32-G32,0)</f>
        <v>0</v>
      </c>
      <c r="M32" s="65">
        <f>IF(G32&gt;K32,G32-K32,0)</f>
        <v>0</v>
      </c>
      <c r="N32" s="4"/>
      <c r="O32" s="40"/>
      <c r="P32" s="8"/>
      <c r="Q32" s="8"/>
      <c r="R32" s="8"/>
      <c r="S32" s="8"/>
      <c r="T32" s="39">
        <f t="shared" si="0"/>
        <v>61875</v>
      </c>
      <c r="U32" s="5">
        <f t="shared" si="1"/>
        <v>61875</v>
      </c>
      <c r="V32" s="42">
        <f t="shared" si="3"/>
        <v>0</v>
      </c>
      <c r="W32" s="8"/>
      <c r="X32" s="8"/>
      <c r="Y32" s="8"/>
      <c r="Z32" s="8"/>
      <c r="AA32" s="8"/>
      <c r="AB32" s="8"/>
      <c r="AC32" s="8"/>
    </row>
    <row r="33" spans="2:29">
      <c r="B33" s="7"/>
      <c r="C33" s="4"/>
      <c r="D33" s="63"/>
      <c r="E33" s="63"/>
      <c r="F33" s="63"/>
      <c r="G33" s="63"/>
      <c r="H33" s="75"/>
      <c r="I33" s="63"/>
      <c r="J33" s="63"/>
      <c r="K33" s="63"/>
      <c r="L33" s="7"/>
      <c r="M33" s="63"/>
      <c r="N33" s="63"/>
      <c r="O33" s="17"/>
      <c r="P33" s="12"/>
      <c r="Q33" s="12"/>
      <c r="R33" s="8"/>
      <c r="S33" s="8"/>
      <c r="T33" s="39">
        <f t="shared" si="0"/>
        <v>0</v>
      </c>
      <c r="U33" s="5">
        <f t="shared" si="1"/>
        <v>0</v>
      </c>
      <c r="V33" s="42">
        <f t="shared" si="3"/>
        <v>0</v>
      </c>
      <c r="W33" s="8"/>
      <c r="X33" s="8"/>
      <c r="Y33" s="8"/>
      <c r="Z33" s="8"/>
      <c r="AA33" s="8"/>
      <c r="AB33" s="8"/>
      <c r="AC33" s="8"/>
    </row>
    <row r="34" spans="2:29">
      <c r="B34" s="64">
        <v>15</v>
      </c>
      <c r="C34" s="1" t="s">
        <v>80</v>
      </c>
      <c r="D34" s="64">
        <v>2</v>
      </c>
      <c r="E34" s="2" t="s">
        <v>66</v>
      </c>
      <c r="F34" s="25">
        <v>50000</v>
      </c>
      <c r="G34" s="65">
        <f>ROUND(D34*F34,0)</f>
        <v>100000</v>
      </c>
      <c r="H34" s="70">
        <f>D34</f>
        <v>2</v>
      </c>
      <c r="I34" s="64" t="str">
        <f>E34</f>
        <v>No</v>
      </c>
      <c r="J34" s="65">
        <f>F34</f>
        <v>50000</v>
      </c>
      <c r="K34" s="65">
        <f>ROUND(H34*J34,0)</f>
        <v>100000</v>
      </c>
      <c r="L34" s="66">
        <f>IF(K34&gt;G34,K34-G34,0)</f>
        <v>0</v>
      </c>
      <c r="M34" s="65">
        <f>IF(G34&gt;K34,G34-K34,0)</f>
        <v>0</v>
      </c>
      <c r="N34" s="4"/>
      <c r="O34" s="40"/>
      <c r="P34" s="8"/>
      <c r="Q34" s="8"/>
      <c r="R34" s="8"/>
      <c r="S34" s="8"/>
      <c r="T34" s="39">
        <f t="shared" si="0"/>
        <v>100000</v>
      </c>
      <c r="U34" s="5">
        <f t="shared" si="1"/>
        <v>100000</v>
      </c>
      <c r="V34" s="42">
        <f t="shared" si="3"/>
        <v>0</v>
      </c>
      <c r="W34" s="8"/>
      <c r="X34" s="8"/>
      <c r="Y34" s="8"/>
      <c r="Z34" s="8"/>
      <c r="AA34" s="8"/>
      <c r="AB34" s="8"/>
      <c r="AC34" s="8"/>
    </row>
    <row r="35" spans="2:29">
      <c r="B35" s="7"/>
      <c r="C35" s="4"/>
      <c r="D35" s="63"/>
      <c r="E35" s="63"/>
      <c r="F35" s="63"/>
      <c r="G35" s="63"/>
      <c r="H35" s="75"/>
      <c r="I35" s="63"/>
      <c r="J35" s="63"/>
      <c r="K35" s="63"/>
      <c r="L35" s="7"/>
      <c r="M35" s="63"/>
      <c r="N35" s="63"/>
      <c r="O35" s="17"/>
      <c r="P35" s="12"/>
      <c r="Q35" s="12"/>
      <c r="R35" s="8"/>
      <c r="S35" s="8"/>
      <c r="T35" s="39">
        <f t="shared" si="0"/>
        <v>0</v>
      </c>
      <c r="U35" s="5">
        <f t="shared" si="1"/>
        <v>0</v>
      </c>
      <c r="V35" s="42">
        <f t="shared" si="3"/>
        <v>0</v>
      </c>
      <c r="W35" s="8"/>
      <c r="X35" s="8"/>
      <c r="Y35" s="8"/>
      <c r="Z35" s="8"/>
      <c r="AA35" s="8"/>
      <c r="AB35" s="8"/>
      <c r="AC35" s="8"/>
    </row>
    <row r="36" spans="2:29">
      <c r="B36" s="64">
        <v>16</v>
      </c>
      <c r="C36" s="1" t="s">
        <v>81</v>
      </c>
      <c r="D36" s="64">
        <v>1</v>
      </c>
      <c r="E36" s="2" t="s">
        <v>66</v>
      </c>
      <c r="F36" s="25">
        <v>378000</v>
      </c>
      <c r="G36" s="65">
        <f>ROUND(D36*F36,0)</f>
        <v>378000</v>
      </c>
      <c r="H36" s="70">
        <f>D36</f>
        <v>1</v>
      </c>
      <c r="I36" s="64" t="str">
        <f>E36</f>
        <v>No</v>
      </c>
      <c r="J36" s="65">
        <f>F36</f>
        <v>378000</v>
      </c>
      <c r="K36" s="65">
        <f>ROUND(H36*J36,0)</f>
        <v>378000</v>
      </c>
      <c r="L36" s="66">
        <f>IF(K36&gt;G36,K36-G36,0)</f>
        <v>0</v>
      </c>
      <c r="M36" s="65">
        <f>IF(G36&gt;K36,G36-K36,0)</f>
        <v>0</v>
      </c>
      <c r="N36" s="4"/>
      <c r="O36" s="40"/>
      <c r="P36" s="8"/>
      <c r="Q36" s="8"/>
      <c r="R36" s="8"/>
      <c r="S36" s="8"/>
      <c r="T36" s="39">
        <f t="shared" si="0"/>
        <v>378000</v>
      </c>
      <c r="U36" s="5">
        <f t="shared" si="1"/>
        <v>378000</v>
      </c>
      <c r="V36" s="42">
        <f t="shared" si="3"/>
        <v>0</v>
      </c>
      <c r="W36" s="8"/>
      <c r="X36" s="8"/>
      <c r="Y36" s="8"/>
      <c r="Z36" s="8"/>
      <c r="AA36" s="8"/>
      <c r="AB36" s="8"/>
      <c r="AC36" s="8"/>
    </row>
    <row r="37" spans="2:29">
      <c r="B37" s="7"/>
      <c r="C37" s="4"/>
      <c r="D37" s="63"/>
      <c r="E37" s="63"/>
      <c r="F37" s="63"/>
      <c r="G37" s="63"/>
      <c r="H37" s="75"/>
      <c r="I37" s="63"/>
      <c r="J37" s="63"/>
      <c r="K37" s="63"/>
      <c r="L37" s="7"/>
      <c r="M37" s="63"/>
      <c r="N37" s="63"/>
      <c r="O37" s="17"/>
      <c r="P37" s="12"/>
      <c r="Q37" s="12"/>
      <c r="R37" s="8"/>
      <c r="S37" s="8"/>
      <c r="T37" s="39">
        <f t="shared" si="0"/>
        <v>0</v>
      </c>
      <c r="U37" s="5">
        <f t="shared" si="1"/>
        <v>0</v>
      </c>
      <c r="V37" s="42">
        <f t="shared" si="3"/>
        <v>0</v>
      </c>
      <c r="W37" s="8"/>
      <c r="X37" s="8"/>
      <c r="Y37" s="8"/>
      <c r="Z37" s="8"/>
      <c r="AA37" s="8"/>
      <c r="AB37" s="8"/>
      <c r="AC37" s="8"/>
    </row>
    <row r="38" spans="2:29">
      <c r="B38" s="64">
        <v>17</v>
      </c>
      <c r="C38" s="1" t="s">
        <v>82</v>
      </c>
      <c r="D38" s="64">
        <v>1</v>
      </c>
      <c r="E38" s="2" t="s">
        <v>66</v>
      </c>
      <c r="F38" s="25">
        <v>93750</v>
      </c>
      <c r="G38" s="65">
        <f>ROUND(D38*F38,0)</f>
        <v>93750</v>
      </c>
      <c r="H38" s="70">
        <f>D38</f>
        <v>1</v>
      </c>
      <c r="I38" s="64" t="str">
        <f>E38</f>
        <v>No</v>
      </c>
      <c r="J38" s="65">
        <f>F38</f>
        <v>93750</v>
      </c>
      <c r="K38" s="65">
        <f>ROUND(H38*J38,0)</f>
        <v>93750</v>
      </c>
      <c r="L38" s="66">
        <f>IF(K38&gt;G38,K38-G38,0)</f>
        <v>0</v>
      </c>
      <c r="M38" s="65">
        <f>IF(G38&gt;K38,G38-K38,0)</f>
        <v>0</v>
      </c>
      <c r="N38" s="4"/>
      <c r="O38" s="40"/>
      <c r="P38" s="8"/>
      <c r="Q38" s="8"/>
      <c r="R38" s="8"/>
      <c r="S38" s="8"/>
      <c r="T38" s="39">
        <f t="shared" si="0"/>
        <v>93750</v>
      </c>
      <c r="U38" s="5">
        <f t="shared" si="1"/>
        <v>93750</v>
      </c>
      <c r="V38" s="42">
        <f t="shared" si="3"/>
        <v>0</v>
      </c>
      <c r="W38" s="8"/>
      <c r="X38" s="8"/>
      <c r="Y38" s="8"/>
      <c r="Z38" s="8"/>
      <c r="AA38" s="8"/>
      <c r="AB38" s="8"/>
      <c r="AC38" s="8"/>
    </row>
    <row r="39" spans="2:29">
      <c r="B39" s="7"/>
      <c r="C39" s="4"/>
      <c r="D39" s="63"/>
      <c r="E39" s="63"/>
      <c r="F39" s="63"/>
      <c r="G39" s="63"/>
      <c r="H39" s="75"/>
      <c r="I39" s="63"/>
      <c r="J39" s="63"/>
      <c r="K39" s="63"/>
      <c r="L39" s="7"/>
      <c r="M39" s="63"/>
      <c r="N39" s="63"/>
      <c r="O39" s="17"/>
      <c r="P39" s="12"/>
      <c r="Q39" s="12"/>
      <c r="R39" s="8"/>
      <c r="S39" s="8"/>
      <c r="T39" s="39">
        <f t="shared" si="0"/>
        <v>0</v>
      </c>
      <c r="U39" s="5">
        <f t="shared" si="1"/>
        <v>0</v>
      </c>
      <c r="V39" s="42">
        <f t="shared" si="3"/>
        <v>0</v>
      </c>
      <c r="W39" s="8"/>
      <c r="X39" s="8"/>
      <c r="Y39" s="8"/>
      <c r="Z39" s="8"/>
      <c r="AA39" s="8"/>
      <c r="AB39" s="8"/>
      <c r="AC39" s="8"/>
    </row>
    <row r="40" spans="2:29">
      <c r="B40" s="64">
        <v>18</v>
      </c>
      <c r="C40" s="1" t="s">
        <v>83</v>
      </c>
      <c r="D40" s="64">
        <v>1</v>
      </c>
      <c r="E40" s="2" t="s">
        <v>66</v>
      </c>
      <c r="F40" s="25">
        <v>731250</v>
      </c>
      <c r="G40" s="65">
        <f>ROUND(D40*F40,0)</f>
        <v>731250</v>
      </c>
      <c r="H40" s="70">
        <f>D40</f>
        <v>1</v>
      </c>
      <c r="I40" s="64" t="str">
        <f>E40</f>
        <v>No</v>
      </c>
      <c r="J40" s="65">
        <f>F40</f>
        <v>731250</v>
      </c>
      <c r="K40" s="65">
        <f>ROUND(H40*J40,0)</f>
        <v>731250</v>
      </c>
      <c r="L40" s="66">
        <f>IF(K40&gt;G40,K40-G40,0)</f>
        <v>0</v>
      </c>
      <c r="M40" s="65">
        <f>IF(G40&gt;K40,G40-K40,0)</f>
        <v>0</v>
      </c>
      <c r="N40" s="4"/>
      <c r="O40" s="40"/>
      <c r="P40" s="8"/>
      <c r="Q40" s="8"/>
      <c r="R40" s="8"/>
      <c r="S40" s="8"/>
      <c r="T40" s="39">
        <f t="shared" si="0"/>
        <v>731250</v>
      </c>
      <c r="U40" s="5">
        <f t="shared" si="1"/>
        <v>731250</v>
      </c>
      <c r="V40" s="42">
        <f t="shared" si="3"/>
        <v>0</v>
      </c>
      <c r="W40" s="8"/>
      <c r="X40" s="8"/>
      <c r="Y40" s="8"/>
      <c r="Z40" s="8"/>
      <c r="AA40" s="8"/>
      <c r="AB40" s="8"/>
      <c r="AC40" s="8"/>
    </row>
    <row r="41" spans="2:29">
      <c r="B41" s="7"/>
      <c r="C41" s="4"/>
      <c r="D41" s="63"/>
      <c r="E41" s="63"/>
      <c r="F41" s="63"/>
      <c r="G41" s="63"/>
      <c r="H41" s="75"/>
      <c r="I41" s="63"/>
      <c r="J41" s="63"/>
      <c r="K41" s="63"/>
      <c r="L41" s="7"/>
      <c r="M41" s="63"/>
      <c r="N41" s="63"/>
      <c r="O41" s="17"/>
      <c r="P41" s="12"/>
      <c r="Q41" s="12"/>
      <c r="R41" s="8"/>
      <c r="S41" s="8"/>
      <c r="T41" s="39">
        <f t="shared" si="0"/>
        <v>0</v>
      </c>
      <c r="U41" s="5">
        <f t="shared" si="1"/>
        <v>0</v>
      </c>
      <c r="V41" s="42">
        <f t="shared" si="3"/>
        <v>0</v>
      </c>
      <c r="W41" s="8"/>
      <c r="X41" s="8"/>
      <c r="Y41" s="8"/>
      <c r="Z41" s="8"/>
      <c r="AA41" s="8"/>
      <c r="AB41" s="8"/>
      <c r="AC41" s="8"/>
    </row>
    <row r="42" spans="2:29">
      <c r="B42" s="64">
        <v>19</v>
      </c>
      <c r="C42" s="1" t="s">
        <v>84</v>
      </c>
      <c r="D42" s="64">
        <v>1</v>
      </c>
      <c r="E42" s="2" t="s">
        <v>66</v>
      </c>
      <c r="F42" s="25">
        <v>75625</v>
      </c>
      <c r="G42" s="65">
        <f>ROUND(D42*F42,0)</f>
        <v>75625</v>
      </c>
      <c r="H42" s="70">
        <f>D42</f>
        <v>1</v>
      </c>
      <c r="I42" s="64" t="str">
        <f>E42</f>
        <v>No</v>
      </c>
      <c r="J42" s="65">
        <f>F42</f>
        <v>75625</v>
      </c>
      <c r="K42" s="65">
        <f>ROUND(H42*J42,0)</f>
        <v>75625</v>
      </c>
      <c r="L42" s="66">
        <f>IF(K42&gt;G42,K42-G42,0)</f>
        <v>0</v>
      </c>
      <c r="M42" s="65">
        <f>IF(G42&gt;K42,G42-K42,0)</f>
        <v>0</v>
      </c>
      <c r="N42" s="4"/>
      <c r="O42" s="40"/>
      <c r="P42" s="8"/>
      <c r="Q42" s="8"/>
      <c r="R42" s="8"/>
      <c r="S42" s="8"/>
      <c r="T42" s="39">
        <f t="shared" si="0"/>
        <v>75625</v>
      </c>
      <c r="U42" s="5">
        <f t="shared" si="1"/>
        <v>75625</v>
      </c>
      <c r="V42" s="42">
        <f t="shared" si="3"/>
        <v>0</v>
      </c>
      <c r="W42" s="8"/>
      <c r="X42" s="8"/>
      <c r="Y42" s="8"/>
      <c r="Z42" s="8"/>
      <c r="AA42" s="8"/>
      <c r="AB42" s="8"/>
      <c r="AC42" s="8"/>
    </row>
    <row r="43" spans="2:29">
      <c r="B43" s="7"/>
      <c r="C43" s="4"/>
      <c r="D43" s="63"/>
      <c r="E43" s="63"/>
      <c r="F43" s="63"/>
      <c r="G43" s="63"/>
      <c r="H43" s="75"/>
      <c r="I43" s="63"/>
      <c r="J43" s="63"/>
      <c r="K43" s="63"/>
      <c r="L43" s="7"/>
      <c r="M43" s="63"/>
      <c r="N43" s="63"/>
      <c r="O43" s="17"/>
      <c r="P43" s="12"/>
      <c r="Q43" s="12"/>
      <c r="R43" s="8"/>
      <c r="S43" s="8"/>
      <c r="T43" s="39">
        <f t="shared" si="0"/>
        <v>0</v>
      </c>
      <c r="U43" s="5">
        <f t="shared" si="1"/>
        <v>0</v>
      </c>
      <c r="V43" s="42">
        <f t="shared" si="3"/>
        <v>0</v>
      </c>
      <c r="W43" s="8"/>
      <c r="X43" s="8"/>
      <c r="Y43" s="8"/>
      <c r="Z43" s="8"/>
      <c r="AA43" s="8"/>
      <c r="AB43" s="8"/>
      <c r="AC43" s="8"/>
    </row>
    <row r="44" spans="2:29">
      <c r="B44" s="64">
        <v>20</v>
      </c>
      <c r="C44" s="1" t="s">
        <v>85</v>
      </c>
      <c r="D44" s="64">
        <v>1</v>
      </c>
      <c r="E44" s="2" t="s">
        <v>66</v>
      </c>
      <c r="F44" s="25">
        <v>41250</v>
      </c>
      <c r="G44" s="65">
        <f>ROUND(D44*F44,0)</f>
        <v>41250</v>
      </c>
      <c r="H44" s="70">
        <f>D44</f>
        <v>1</v>
      </c>
      <c r="I44" s="64" t="str">
        <f>E44</f>
        <v>No</v>
      </c>
      <c r="J44" s="65">
        <f>F44</f>
        <v>41250</v>
      </c>
      <c r="K44" s="65">
        <f>ROUND(H44*J44,0)</f>
        <v>41250</v>
      </c>
      <c r="L44" s="66">
        <f>IF(K44&gt;G44,K44-G44,0)</f>
        <v>0</v>
      </c>
      <c r="M44" s="65">
        <f>IF(G44&gt;K44,G44-K44,0)</f>
        <v>0</v>
      </c>
      <c r="N44" s="4"/>
      <c r="O44" s="40"/>
      <c r="P44" s="8"/>
      <c r="Q44" s="8"/>
      <c r="R44" s="8"/>
      <c r="S44" s="8"/>
      <c r="T44" s="39">
        <f t="shared" si="0"/>
        <v>41250</v>
      </c>
      <c r="U44" s="5">
        <f t="shared" si="1"/>
        <v>41250</v>
      </c>
      <c r="V44" s="42">
        <f t="shared" si="3"/>
        <v>0</v>
      </c>
      <c r="W44" s="8"/>
      <c r="X44" s="8"/>
      <c r="Y44" s="8"/>
      <c r="Z44" s="8"/>
      <c r="AA44" s="8"/>
      <c r="AB44" s="8"/>
      <c r="AC44" s="8"/>
    </row>
    <row r="45" spans="2:29">
      <c r="B45" s="7"/>
      <c r="C45" s="4"/>
      <c r="D45" s="63"/>
      <c r="E45" s="63"/>
      <c r="F45" s="63"/>
      <c r="G45" s="63"/>
      <c r="H45" s="75"/>
      <c r="I45" s="63"/>
      <c r="J45" s="63"/>
      <c r="K45" s="63"/>
      <c r="L45" s="7"/>
      <c r="M45" s="63"/>
      <c r="N45" s="63"/>
      <c r="O45" s="17"/>
      <c r="P45" s="12"/>
      <c r="Q45" s="12"/>
      <c r="R45" s="8"/>
      <c r="S45" s="8"/>
      <c r="T45" s="39">
        <f t="shared" si="0"/>
        <v>0</v>
      </c>
      <c r="U45" s="5">
        <f t="shared" si="1"/>
        <v>0</v>
      </c>
      <c r="V45" s="42">
        <f t="shared" si="3"/>
        <v>0</v>
      </c>
      <c r="W45" s="8"/>
      <c r="X45" s="8"/>
      <c r="Y45" s="8"/>
      <c r="Z45" s="8"/>
      <c r="AA45" s="8"/>
      <c r="AB45" s="8"/>
      <c r="AC45" s="8"/>
    </row>
    <row r="46" spans="2:29">
      <c r="B46" s="64">
        <v>21</v>
      </c>
      <c r="C46" s="1" t="s">
        <v>86</v>
      </c>
      <c r="D46" s="64">
        <v>1</v>
      </c>
      <c r="E46" s="2" t="s">
        <v>66</v>
      </c>
      <c r="F46" s="25">
        <v>250000</v>
      </c>
      <c r="G46" s="65">
        <f>ROUND(D46*F46,0)</f>
        <v>250000</v>
      </c>
      <c r="H46" s="70">
        <f>D46</f>
        <v>1</v>
      </c>
      <c r="I46" s="64" t="str">
        <f>E46</f>
        <v>No</v>
      </c>
      <c r="J46" s="65">
        <f>F46</f>
        <v>250000</v>
      </c>
      <c r="K46" s="65">
        <f>ROUND(H46*J46,0)</f>
        <v>250000</v>
      </c>
      <c r="L46" s="66">
        <f>IF(K46&gt;G46,K46-G46,0)</f>
        <v>0</v>
      </c>
      <c r="M46" s="65">
        <f>IF(G46&gt;K46,G46-K46,0)</f>
        <v>0</v>
      </c>
      <c r="N46" s="4"/>
      <c r="O46" s="40"/>
      <c r="P46" s="8"/>
      <c r="Q46" s="8"/>
      <c r="R46" s="8"/>
      <c r="S46" s="8"/>
      <c r="T46" s="39">
        <f t="shared" si="0"/>
        <v>250000</v>
      </c>
      <c r="U46" s="5">
        <f t="shared" si="1"/>
        <v>250000</v>
      </c>
      <c r="V46" s="42">
        <f t="shared" si="3"/>
        <v>0</v>
      </c>
      <c r="W46" s="8"/>
      <c r="X46" s="8"/>
      <c r="Y46" s="8"/>
      <c r="Z46" s="8"/>
      <c r="AA46" s="8"/>
      <c r="AB46" s="8"/>
      <c r="AC46" s="8"/>
    </row>
    <row r="47" spans="2:29">
      <c r="B47" s="7"/>
      <c r="C47" s="4"/>
      <c r="D47" s="63"/>
      <c r="E47" s="63"/>
      <c r="F47" s="63"/>
      <c r="G47" s="63"/>
      <c r="H47" s="75"/>
      <c r="I47" s="63"/>
      <c r="J47" s="63"/>
      <c r="K47" s="63"/>
      <c r="L47" s="7"/>
      <c r="M47" s="63"/>
      <c r="N47" s="63"/>
      <c r="O47" s="17"/>
      <c r="P47" s="12"/>
      <c r="Q47" s="12"/>
      <c r="R47" s="8"/>
      <c r="S47" s="8"/>
      <c r="T47" s="39">
        <f t="shared" si="0"/>
        <v>0</v>
      </c>
      <c r="U47" s="5">
        <f t="shared" si="1"/>
        <v>0</v>
      </c>
      <c r="V47" s="42">
        <f t="shared" si="3"/>
        <v>0</v>
      </c>
      <c r="W47" s="8"/>
      <c r="X47" s="8"/>
      <c r="Y47" s="8"/>
      <c r="Z47" s="8"/>
      <c r="AA47" s="8"/>
      <c r="AB47" s="8"/>
      <c r="AC47" s="8"/>
    </row>
    <row r="48" spans="2:29">
      <c r="B48" s="64">
        <v>22</v>
      </c>
      <c r="C48" s="1" t="s">
        <v>87</v>
      </c>
      <c r="D48" s="64">
        <v>1</v>
      </c>
      <c r="E48" s="2" t="s">
        <v>66</v>
      </c>
      <c r="F48" s="25">
        <v>34500</v>
      </c>
      <c r="G48" s="65">
        <f>ROUND(D48*F48,0)</f>
        <v>34500</v>
      </c>
      <c r="H48" s="70">
        <f>D48</f>
        <v>1</v>
      </c>
      <c r="I48" s="64" t="str">
        <f>E48</f>
        <v>No</v>
      </c>
      <c r="J48" s="65">
        <f>F48</f>
        <v>34500</v>
      </c>
      <c r="K48" s="65">
        <f>ROUND(H48*J48,0)</f>
        <v>34500</v>
      </c>
      <c r="L48" s="66">
        <f>IF(K48&gt;G48,K48-G48,0)</f>
        <v>0</v>
      </c>
      <c r="M48" s="65">
        <f>IF(G48&gt;K48,G48-K48,0)</f>
        <v>0</v>
      </c>
      <c r="N48" s="4"/>
      <c r="O48" s="40"/>
      <c r="P48" s="8"/>
      <c r="Q48" s="8"/>
      <c r="R48" s="8"/>
      <c r="S48" s="8"/>
      <c r="T48" s="39">
        <f t="shared" si="0"/>
        <v>34500</v>
      </c>
      <c r="U48" s="5">
        <f t="shared" si="1"/>
        <v>34500</v>
      </c>
      <c r="V48" s="42">
        <f t="shared" si="3"/>
        <v>0</v>
      </c>
      <c r="W48" s="8"/>
      <c r="X48" s="8"/>
      <c r="Y48" s="8"/>
      <c r="Z48" s="8"/>
      <c r="AA48" s="8"/>
      <c r="AB48" s="8"/>
      <c r="AC48" s="8"/>
    </row>
    <row r="49" spans="2:29">
      <c r="B49" s="7"/>
      <c r="C49" s="4"/>
      <c r="D49" s="4"/>
      <c r="E49" s="4"/>
      <c r="F49" s="4"/>
      <c r="G49" s="4"/>
      <c r="H49" s="73"/>
      <c r="I49" s="4"/>
      <c r="J49" s="4"/>
      <c r="K49" s="4"/>
      <c r="L49" s="7"/>
      <c r="M49" s="4"/>
      <c r="N49" s="4"/>
      <c r="O49" s="40"/>
      <c r="P49" s="8"/>
      <c r="Q49" s="8"/>
      <c r="R49" s="8"/>
      <c r="S49" s="8"/>
      <c r="T49" s="39">
        <f t="shared" si="0"/>
        <v>0</v>
      </c>
      <c r="U49" s="5">
        <f t="shared" si="1"/>
        <v>0</v>
      </c>
      <c r="V49" s="42">
        <f t="shared" si="3"/>
        <v>0</v>
      </c>
      <c r="W49" s="8"/>
      <c r="X49" s="8"/>
      <c r="Y49" s="8"/>
      <c r="Z49" s="8"/>
      <c r="AA49" s="8"/>
      <c r="AB49" s="8"/>
      <c r="AC49" s="8"/>
    </row>
    <row r="50" spans="2:29">
      <c r="B50" s="64">
        <v>23</v>
      </c>
      <c r="C50" s="1" t="s">
        <v>88</v>
      </c>
      <c r="D50" s="64">
        <v>1</v>
      </c>
      <c r="E50" s="2" t="s">
        <v>66</v>
      </c>
      <c r="F50" s="25">
        <v>563750</v>
      </c>
      <c r="G50" s="65">
        <f>ROUND(D50*F50,0)</f>
        <v>563750</v>
      </c>
      <c r="H50" s="70">
        <f>D50</f>
        <v>1</v>
      </c>
      <c r="I50" s="64" t="str">
        <f>E50</f>
        <v>No</v>
      </c>
      <c r="J50" s="65">
        <f>F50</f>
        <v>563750</v>
      </c>
      <c r="K50" s="65">
        <f>ROUND(H50*J50,0)</f>
        <v>563750</v>
      </c>
      <c r="L50" s="66">
        <f>IF(K50&gt;G50,K50-G50,0)</f>
        <v>0</v>
      </c>
      <c r="M50" s="65">
        <f>IF(G50&gt;K50,G50-K50,0)</f>
        <v>0</v>
      </c>
      <c r="N50" s="4"/>
      <c r="O50" s="40"/>
      <c r="P50" s="8"/>
      <c r="Q50" s="8"/>
      <c r="R50" s="8"/>
      <c r="S50" s="8"/>
      <c r="T50" s="39">
        <f t="shared" si="0"/>
        <v>563750</v>
      </c>
      <c r="U50" s="5">
        <f t="shared" si="1"/>
        <v>563750</v>
      </c>
      <c r="V50" s="42">
        <f t="shared" si="3"/>
        <v>0</v>
      </c>
      <c r="W50" s="8"/>
      <c r="X50" s="8"/>
      <c r="Y50" s="8"/>
      <c r="Z50" s="8"/>
      <c r="AA50" s="8"/>
      <c r="AB50" s="8"/>
      <c r="AC50" s="8"/>
    </row>
    <row r="51" spans="2:29">
      <c r="B51" s="7"/>
      <c r="C51" s="4"/>
      <c r="D51" s="4"/>
      <c r="E51" s="4"/>
      <c r="F51" s="4"/>
      <c r="G51" s="4"/>
      <c r="H51" s="73"/>
      <c r="I51" s="4"/>
      <c r="J51" s="4"/>
      <c r="K51" s="4"/>
      <c r="L51" s="7"/>
      <c r="M51" s="4"/>
      <c r="N51" s="4"/>
      <c r="O51" s="40"/>
      <c r="P51" s="8"/>
      <c r="Q51" s="8"/>
      <c r="R51" s="8"/>
      <c r="S51" s="8"/>
      <c r="T51" s="39">
        <f t="shared" si="0"/>
        <v>0</v>
      </c>
      <c r="U51" s="5">
        <f t="shared" si="1"/>
        <v>0</v>
      </c>
      <c r="V51" s="42">
        <f t="shared" si="3"/>
        <v>0</v>
      </c>
      <c r="W51" s="8"/>
      <c r="X51" s="8"/>
      <c r="Y51" s="8"/>
      <c r="Z51" s="8"/>
      <c r="AA51" s="8"/>
      <c r="AB51" s="8"/>
      <c r="AC51" s="8"/>
    </row>
    <row r="52" spans="2:29" s="29" customFormat="1" ht="17.25" customHeight="1">
      <c r="B52" s="64">
        <v>24</v>
      </c>
      <c r="C52" s="1" t="s">
        <v>89</v>
      </c>
      <c r="D52" s="64">
        <v>1</v>
      </c>
      <c r="E52" s="2" t="s">
        <v>66</v>
      </c>
      <c r="F52" s="25">
        <v>103125</v>
      </c>
      <c r="G52" s="65">
        <f>ROUND(D52*F52,0)</f>
        <v>103125</v>
      </c>
      <c r="H52" s="70">
        <f>D52</f>
        <v>1</v>
      </c>
      <c r="I52" s="64" t="str">
        <f>E52</f>
        <v>No</v>
      </c>
      <c r="J52" s="65">
        <f>F52</f>
        <v>103125</v>
      </c>
      <c r="K52" s="65">
        <f>ROUND(H52*J52,0)</f>
        <v>103125</v>
      </c>
      <c r="L52" s="66">
        <f>IF(K52&gt;G52,K52-G52,0)</f>
        <v>0</v>
      </c>
      <c r="M52" s="65">
        <f>IF(G52&gt;K52,G52-K52,0)</f>
        <v>0</v>
      </c>
      <c r="N52" s="4"/>
      <c r="O52" s="40"/>
      <c r="P52" s="8"/>
      <c r="Q52" s="8"/>
      <c r="R52" s="18"/>
      <c r="S52" s="18"/>
      <c r="T52" s="45">
        <f t="shared" si="0"/>
        <v>103125</v>
      </c>
      <c r="U52" s="46">
        <f t="shared" si="1"/>
        <v>103125</v>
      </c>
      <c r="V52" s="47">
        <f t="shared" si="3"/>
        <v>0</v>
      </c>
      <c r="W52" s="18"/>
      <c r="X52" s="18"/>
      <c r="Y52" s="18"/>
      <c r="Z52" s="18"/>
      <c r="AA52" s="18"/>
      <c r="AB52" s="18"/>
      <c r="AC52" s="18"/>
    </row>
    <row r="53" spans="2:29">
      <c r="B53" s="7"/>
      <c r="C53" s="4"/>
      <c r="D53" s="4"/>
      <c r="E53" s="4"/>
      <c r="F53" s="4"/>
      <c r="G53" s="4"/>
      <c r="H53" s="73"/>
      <c r="I53" s="4"/>
      <c r="J53" s="4"/>
      <c r="K53" s="4"/>
      <c r="L53" s="7"/>
      <c r="M53" s="4"/>
      <c r="N53" s="4"/>
      <c r="O53" s="40"/>
      <c r="P53" s="8"/>
      <c r="Q53" s="8"/>
      <c r="R53" s="8"/>
      <c r="S53" s="8"/>
      <c r="T53" s="39">
        <f t="shared" si="0"/>
        <v>0</v>
      </c>
      <c r="U53" s="5">
        <f t="shared" si="1"/>
        <v>0</v>
      </c>
      <c r="V53" s="42">
        <f t="shared" si="3"/>
        <v>0</v>
      </c>
      <c r="W53" s="8"/>
      <c r="X53" s="8"/>
      <c r="Y53" s="8"/>
      <c r="Z53" s="8"/>
      <c r="AA53" s="8"/>
      <c r="AB53" s="8"/>
      <c r="AC53" s="8"/>
    </row>
    <row r="54" spans="2:29">
      <c r="B54" s="64">
        <v>25</v>
      </c>
      <c r="C54" s="1" t="s">
        <v>90</v>
      </c>
      <c r="D54" s="64">
        <v>1</v>
      </c>
      <c r="E54" s="2" t="s">
        <v>66</v>
      </c>
      <c r="F54" s="25">
        <v>225000</v>
      </c>
      <c r="G54" s="65">
        <f>ROUND(D54*F54,0)</f>
        <v>225000</v>
      </c>
      <c r="H54" s="70">
        <f>D54</f>
        <v>1</v>
      </c>
      <c r="I54" s="64" t="str">
        <f>E54</f>
        <v>No</v>
      </c>
      <c r="J54" s="65">
        <f>F54</f>
        <v>225000</v>
      </c>
      <c r="K54" s="65">
        <f>ROUND(H54*J54,0)</f>
        <v>225000</v>
      </c>
      <c r="L54" s="66">
        <f>IF(K54&gt;G54,K54-G54,0)</f>
        <v>0</v>
      </c>
      <c r="M54" s="65">
        <f>IF(G54&gt;K54,G54-K54,0)</f>
        <v>0</v>
      </c>
      <c r="N54" s="4"/>
      <c r="O54" s="40"/>
      <c r="P54" s="8"/>
      <c r="Q54" s="8"/>
      <c r="R54" s="8"/>
      <c r="S54" s="8"/>
      <c r="T54" s="39"/>
      <c r="U54" s="5"/>
      <c r="V54" s="42"/>
      <c r="W54" s="8"/>
      <c r="X54" s="8"/>
      <c r="Y54" s="8"/>
      <c r="Z54" s="8"/>
      <c r="AA54" s="8"/>
      <c r="AB54" s="8"/>
      <c r="AC54" s="8"/>
    </row>
    <row r="55" spans="2:29">
      <c r="B55" s="7"/>
      <c r="C55" s="4"/>
      <c r="D55" s="4"/>
      <c r="E55" s="4"/>
      <c r="F55" s="4"/>
      <c r="G55" s="4"/>
      <c r="H55" s="73"/>
      <c r="I55" s="4"/>
      <c r="J55" s="4"/>
      <c r="K55" s="4"/>
      <c r="L55" s="7"/>
      <c r="M55" s="4"/>
      <c r="N55" s="4"/>
      <c r="O55" s="40"/>
      <c r="P55" s="8"/>
      <c r="Q55" s="8"/>
      <c r="R55" s="8"/>
      <c r="S55" s="8"/>
      <c r="T55" s="39">
        <f t="shared" ref="T55:T78" si="4">D55*F55</f>
        <v>0</v>
      </c>
      <c r="U55" s="5">
        <f t="shared" ref="U55:U78" si="5">H55*F55</f>
        <v>0</v>
      </c>
      <c r="V55" s="42">
        <f t="shared" ref="V55:V78" si="6">U55-T55</f>
        <v>0</v>
      </c>
      <c r="W55" s="8"/>
      <c r="X55" s="8"/>
      <c r="Y55" s="8"/>
      <c r="Z55" s="8"/>
      <c r="AA55" s="8"/>
      <c r="AB55" s="8"/>
      <c r="AC55" s="8"/>
    </row>
    <row r="56" spans="2:29">
      <c r="B56" s="64">
        <v>26</v>
      </c>
      <c r="C56" s="1" t="s">
        <v>91</v>
      </c>
      <c r="D56" s="64">
        <v>2</v>
      </c>
      <c r="E56" s="2" t="s">
        <v>66</v>
      </c>
      <c r="F56" s="25">
        <v>61875</v>
      </c>
      <c r="G56" s="65">
        <f>ROUND(D56*F56,0)</f>
        <v>123750</v>
      </c>
      <c r="H56" s="70">
        <f>D56</f>
        <v>2</v>
      </c>
      <c r="I56" s="64" t="str">
        <f>E56</f>
        <v>No</v>
      </c>
      <c r="J56" s="65">
        <f>F56</f>
        <v>61875</v>
      </c>
      <c r="K56" s="65">
        <f>ROUND(H56*J56,0)</f>
        <v>123750</v>
      </c>
      <c r="L56" s="66">
        <f>IF(K56&gt;G56,K56-G56,0)</f>
        <v>0</v>
      </c>
      <c r="M56" s="65">
        <f>IF(G56&gt;K56,G56-K56,0)</f>
        <v>0</v>
      </c>
      <c r="N56" s="4"/>
      <c r="O56" s="40"/>
      <c r="P56" s="8"/>
      <c r="Q56" s="8"/>
      <c r="R56" s="8"/>
      <c r="S56" s="8"/>
      <c r="T56" s="39">
        <f t="shared" si="4"/>
        <v>123750</v>
      </c>
      <c r="U56" s="5">
        <f t="shared" si="5"/>
        <v>123750</v>
      </c>
      <c r="V56" s="42">
        <f t="shared" si="6"/>
        <v>0</v>
      </c>
      <c r="W56" s="8"/>
      <c r="X56" s="8"/>
      <c r="Y56" s="8"/>
      <c r="Z56" s="8"/>
      <c r="AA56" s="8"/>
      <c r="AB56" s="8"/>
      <c r="AC56" s="8"/>
    </row>
    <row r="57" spans="2:29">
      <c r="B57" s="7"/>
      <c r="C57" s="4"/>
      <c r="D57" s="4"/>
      <c r="E57" s="4"/>
      <c r="F57" s="4"/>
      <c r="G57" s="4"/>
      <c r="H57" s="73"/>
      <c r="I57" s="4"/>
      <c r="J57" s="4"/>
      <c r="K57" s="4"/>
      <c r="L57" s="7"/>
      <c r="M57" s="4"/>
      <c r="N57" s="4"/>
      <c r="O57" s="40"/>
      <c r="P57" s="8"/>
      <c r="Q57" s="8"/>
      <c r="R57" s="8"/>
      <c r="S57" s="8"/>
      <c r="T57" s="39">
        <f t="shared" si="4"/>
        <v>0</v>
      </c>
      <c r="U57" s="5">
        <f t="shared" si="5"/>
        <v>0</v>
      </c>
      <c r="V57" s="42">
        <f t="shared" si="6"/>
        <v>0</v>
      </c>
      <c r="W57" s="8"/>
      <c r="X57" s="8"/>
      <c r="Y57" s="8"/>
      <c r="Z57" s="8"/>
      <c r="AA57" s="8"/>
      <c r="AB57" s="8"/>
      <c r="AC57" s="8"/>
    </row>
    <row r="58" spans="2:29" s="29" customFormat="1">
      <c r="B58" s="64">
        <v>27</v>
      </c>
      <c r="C58" s="1" t="s">
        <v>92</v>
      </c>
      <c r="D58" s="64">
        <v>1</v>
      </c>
      <c r="E58" s="2" t="s">
        <v>66</v>
      </c>
      <c r="F58" s="25">
        <v>312500</v>
      </c>
      <c r="G58" s="65">
        <f>ROUND(D58*F58,0)</f>
        <v>312500</v>
      </c>
      <c r="H58" s="70">
        <f>D58</f>
        <v>1</v>
      </c>
      <c r="I58" s="64" t="str">
        <f>E58</f>
        <v>No</v>
      </c>
      <c r="J58" s="65">
        <f>F58</f>
        <v>312500</v>
      </c>
      <c r="K58" s="65">
        <f>ROUND(H58*J58,0)</f>
        <v>312500</v>
      </c>
      <c r="L58" s="66">
        <f>IF(K58&gt;G58,K58-G58,0)</f>
        <v>0</v>
      </c>
      <c r="M58" s="65">
        <f>IF(G58&gt;K58,G58-K58,0)</f>
        <v>0</v>
      </c>
      <c r="N58" s="4"/>
      <c r="O58" s="40"/>
      <c r="P58" s="8"/>
      <c r="Q58" s="8"/>
      <c r="R58" s="18"/>
      <c r="S58" s="18"/>
      <c r="T58" s="45">
        <f t="shared" si="4"/>
        <v>312500</v>
      </c>
      <c r="U58" s="46">
        <f t="shared" si="5"/>
        <v>312500</v>
      </c>
      <c r="V58" s="47">
        <f t="shared" si="6"/>
        <v>0</v>
      </c>
      <c r="W58" s="18"/>
      <c r="X58" s="18"/>
      <c r="Y58" s="18"/>
      <c r="Z58" s="18"/>
      <c r="AA58" s="18"/>
      <c r="AB58" s="18"/>
      <c r="AC58" s="18"/>
    </row>
    <row r="59" spans="2:29">
      <c r="B59" s="7"/>
      <c r="C59" s="4"/>
      <c r="D59" s="4"/>
      <c r="E59" s="4"/>
      <c r="F59" s="4"/>
      <c r="G59" s="4"/>
      <c r="H59" s="73"/>
      <c r="I59" s="4"/>
      <c r="J59" s="4"/>
      <c r="K59" s="4"/>
      <c r="L59" s="7"/>
      <c r="M59" s="4"/>
      <c r="N59" s="4"/>
      <c r="O59" s="40"/>
      <c r="P59" s="8"/>
      <c r="Q59" s="8"/>
      <c r="R59" s="8"/>
      <c r="S59" s="8"/>
      <c r="T59" s="39">
        <f t="shared" si="4"/>
        <v>0</v>
      </c>
      <c r="U59" s="5">
        <f t="shared" si="5"/>
        <v>0</v>
      </c>
      <c r="V59" s="42">
        <f t="shared" si="6"/>
        <v>0</v>
      </c>
      <c r="W59" s="8"/>
      <c r="X59" s="8"/>
      <c r="Y59" s="8"/>
      <c r="Z59" s="8"/>
      <c r="AA59" s="8"/>
      <c r="AB59" s="8"/>
      <c r="AC59" s="8"/>
    </row>
    <row r="60" spans="2:29">
      <c r="B60" s="64">
        <v>28</v>
      </c>
      <c r="C60" s="1" t="s">
        <v>93</v>
      </c>
      <c r="D60" s="64">
        <v>2</v>
      </c>
      <c r="E60" s="2" t="s">
        <v>66</v>
      </c>
      <c r="F60" s="25">
        <v>280000</v>
      </c>
      <c r="G60" s="65">
        <f>ROUND(D60*F60,0)</f>
        <v>560000</v>
      </c>
      <c r="H60" s="70">
        <f>D60</f>
        <v>2</v>
      </c>
      <c r="I60" s="64" t="str">
        <f>E60</f>
        <v>No</v>
      </c>
      <c r="J60" s="65">
        <f>F60</f>
        <v>280000</v>
      </c>
      <c r="K60" s="65">
        <f>ROUND(H60*J60,0)</f>
        <v>560000</v>
      </c>
      <c r="L60" s="66">
        <f>IF(K60&gt;G60,K60-G60,0)</f>
        <v>0</v>
      </c>
      <c r="M60" s="65">
        <f>IF(G60&gt;K60,G60-K60,0)</f>
        <v>0</v>
      </c>
      <c r="N60" s="4"/>
      <c r="O60" s="40"/>
      <c r="P60" s="8"/>
      <c r="Q60" s="8"/>
      <c r="R60" s="8"/>
      <c r="S60" s="8"/>
      <c r="T60" s="39">
        <f t="shared" si="4"/>
        <v>560000</v>
      </c>
      <c r="U60" s="5">
        <f t="shared" si="5"/>
        <v>560000</v>
      </c>
      <c r="V60" s="42">
        <f t="shared" si="6"/>
        <v>0</v>
      </c>
      <c r="W60" s="8"/>
      <c r="X60" s="8"/>
      <c r="Y60" s="8"/>
      <c r="Z60" s="8"/>
      <c r="AA60" s="8"/>
      <c r="AB60" s="8"/>
      <c r="AC60" s="8"/>
    </row>
    <row r="61" spans="2:29">
      <c r="B61" s="7"/>
      <c r="C61" s="4"/>
      <c r="D61" s="4"/>
      <c r="E61" s="4"/>
      <c r="F61" s="4"/>
      <c r="G61" s="4"/>
      <c r="H61" s="73"/>
      <c r="I61" s="4"/>
      <c r="J61" s="4"/>
      <c r="K61" s="4"/>
      <c r="L61" s="7"/>
      <c r="M61" s="4"/>
      <c r="N61" s="4"/>
      <c r="O61" s="40"/>
      <c r="P61" s="8"/>
      <c r="Q61" s="8"/>
      <c r="R61" s="8"/>
      <c r="S61" s="8"/>
      <c r="T61" s="39">
        <f t="shared" si="4"/>
        <v>0</v>
      </c>
      <c r="U61" s="5">
        <f t="shared" si="5"/>
        <v>0</v>
      </c>
      <c r="V61" s="42">
        <f t="shared" si="6"/>
        <v>0</v>
      </c>
      <c r="W61" s="8"/>
      <c r="X61" s="8"/>
      <c r="Y61" s="8"/>
      <c r="Z61" s="8"/>
      <c r="AA61" s="8"/>
      <c r="AB61" s="8"/>
      <c r="AC61" s="8"/>
    </row>
    <row r="62" spans="2:29">
      <c r="B62" s="64">
        <v>29</v>
      </c>
      <c r="C62" s="1" t="s">
        <v>94</v>
      </c>
      <c r="D62" s="64">
        <v>1</v>
      </c>
      <c r="E62" s="2" t="s">
        <v>66</v>
      </c>
      <c r="F62" s="25">
        <v>49500</v>
      </c>
      <c r="G62" s="65">
        <f>ROUND(D62*F62,0)</f>
        <v>49500</v>
      </c>
      <c r="H62" s="70">
        <f>D62</f>
        <v>1</v>
      </c>
      <c r="I62" s="64" t="str">
        <f>E62</f>
        <v>No</v>
      </c>
      <c r="J62" s="65">
        <f>F62</f>
        <v>49500</v>
      </c>
      <c r="K62" s="65">
        <f>ROUND(H62*J62,0)</f>
        <v>49500</v>
      </c>
      <c r="L62" s="66">
        <f>IF(K62&gt;G62,K62-G62,0)</f>
        <v>0</v>
      </c>
      <c r="M62" s="65">
        <f>IF(G62&gt;K62,G62-K62,0)</f>
        <v>0</v>
      </c>
      <c r="N62" s="4"/>
      <c r="O62" s="40"/>
      <c r="P62" s="8"/>
      <c r="Q62" s="8"/>
      <c r="R62" s="8"/>
      <c r="S62" s="8"/>
      <c r="T62" s="39">
        <f t="shared" si="4"/>
        <v>49500</v>
      </c>
      <c r="U62" s="5">
        <f t="shared" si="5"/>
        <v>49500</v>
      </c>
      <c r="V62" s="42">
        <f t="shared" si="6"/>
        <v>0</v>
      </c>
      <c r="W62" s="8"/>
      <c r="X62" s="8"/>
      <c r="Y62" s="8"/>
      <c r="Z62" s="8"/>
      <c r="AA62" s="8"/>
      <c r="AB62" s="8"/>
      <c r="AC62" s="8"/>
    </row>
    <row r="63" spans="2:29">
      <c r="B63" s="7"/>
      <c r="C63" s="4"/>
      <c r="D63" s="4"/>
      <c r="E63" s="4"/>
      <c r="F63" s="4"/>
      <c r="G63" s="4"/>
      <c r="H63" s="73"/>
      <c r="I63" s="4"/>
      <c r="J63" s="4"/>
      <c r="K63" s="4"/>
      <c r="L63" s="7"/>
      <c r="M63" s="4"/>
      <c r="N63" s="4"/>
      <c r="O63" s="40"/>
      <c r="P63" s="8"/>
      <c r="Q63" s="8"/>
      <c r="R63" s="8"/>
      <c r="S63" s="8"/>
      <c r="T63" s="39">
        <f t="shared" si="4"/>
        <v>0</v>
      </c>
      <c r="U63" s="5">
        <f t="shared" si="5"/>
        <v>0</v>
      </c>
      <c r="V63" s="42">
        <f t="shared" si="6"/>
        <v>0</v>
      </c>
      <c r="W63" s="8"/>
      <c r="X63" s="8"/>
      <c r="Y63" s="8"/>
      <c r="Z63" s="8"/>
      <c r="AA63" s="8"/>
      <c r="AB63" s="8"/>
      <c r="AC63" s="8"/>
    </row>
    <row r="64" spans="2:29">
      <c r="B64" s="64">
        <v>30</v>
      </c>
      <c r="C64" s="1" t="s">
        <v>95</v>
      </c>
      <c r="D64" s="64">
        <v>1</v>
      </c>
      <c r="E64" s="2" t="s">
        <v>66</v>
      </c>
      <c r="F64" s="25">
        <v>937500</v>
      </c>
      <c r="G64" s="65">
        <f>ROUND(D64*F64,0)</f>
        <v>937500</v>
      </c>
      <c r="H64" s="70">
        <f>D64</f>
        <v>1</v>
      </c>
      <c r="I64" s="64" t="str">
        <f>E64</f>
        <v>No</v>
      </c>
      <c r="J64" s="65">
        <f>F64</f>
        <v>937500</v>
      </c>
      <c r="K64" s="65">
        <f>ROUND(H64*J64,0)</f>
        <v>937500</v>
      </c>
      <c r="L64" s="66">
        <f>IF(K64&gt;G64,K64-G64,0)</f>
        <v>0</v>
      </c>
      <c r="M64" s="65">
        <f>IF(G64&gt;K64,G64-K64,0)</f>
        <v>0</v>
      </c>
      <c r="N64" s="4"/>
      <c r="O64" s="40"/>
      <c r="P64" s="8"/>
      <c r="Q64" s="8"/>
      <c r="R64" s="8"/>
      <c r="S64" s="8"/>
      <c r="T64" s="39">
        <f t="shared" si="4"/>
        <v>937500</v>
      </c>
      <c r="U64" s="5">
        <f t="shared" si="5"/>
        <v>937500</v>
      </c>
      <c r="V64" s="42">
        <f t="shared" si="6"/>
        <v>0</v>
      </c>
      <c r="W64" s="8"/>
      <c r="X64" s="8"/>
      <c r="Y64" s="8"/>
      <c r="Z64" s="8"/>
      <c r="AA64" s="8"/>
      <c r="AB64" s="8"/>
      <c r="AC64" s="8"/>
    </row>
    <row r="65" spans="2:29" s="29" customFormat="1">
      <c r="B65" s="7"/>
      <c r="C65" s="4"/>
      <c r="D65" s="4"/>
      <c r="E65" s="4"/>
      <c r="F65" s="4"/>
      <c r="G65" s="4"/>
      <c r="H65" s="73"/>
      <c r="I65" s="4"/>
      <c r="J65" s="4"/>
      <c r="K65" s="4"/>
      <c r="L65" s="7"/>
      <c r="M65" s="4"/>
      <c r="N65" s="4"/>
      <c r="O65" s="40"/>
      <c r="P65" s="8"/>
      <c r="Q65" s="8"/>
      <c r="R65" s="18"/>
      <c r="S65" s="18"/>
      <c r="T65" s="45">
        <f t="shared" si="4"/>
        <v>0</v>
      </c>
      <c r="U65" s="46">
        <f t="shared" si="5"/>
        <v>0</v>
      </c>
      <c r="V65" s="47">
        <f t="shared" si="6"/>
        <v>0</v>
      </c>
      <c r="W65" s="18"/>
      <c r="X65" s="18"/>
      <c r="Y65" s="18"/>
      <c r="Z65" s="18"/>
      <c r="AA65" s="18"/>
      <c r="AB65" s="18"/>
      <c r="AC65" s="18"/>
    </row>
    <row r="66" spans="2:29">
      <c r="B66" s="64">
        <v>31</v>
      </c>
      <c r="C66" s="1" t="s">
        <v>96</v>
      </c>
      <c r="D66" s="64">
        <v>1</v>
      </c>
      <c r="E66" s="2" t="s">
        <v>66</v>
      </c>
      <c r="F66" s="25">
        <v>562500</v>
      </c>
      <c r="G66" s="65">
        <f>ROUND(D66*F66,0)</f>
        <v>562500</v>
      </c>
      <c r="H66" s="70">
        <f>D66</f>
        <v>1</v>
      </c>
      <c r="I66" s="64" t="str">
        <f>E66</f>
        <v>No</v>
      </c>
      <c r="J66" s="65">
        <f>F66</f>
        <v>562500</v>
      </c>
      <c r="K66" s="65">
        <f>ROUND(H66*J66,0)</f>
        <v>562500</v>
      </c>
      <c r="L66" s="66">
        <f>IF(K66&gt;G66,K66-G66,0)</f>
        <v>0</v>
      </c>
      <c r="M66" s="65">
        <f>IF(G66&gt;K66,G66-K66,0)</f>
        <v>0</v>
      </c>
      <c r="N66" s="4"/>
      <c r="O66" s="40"/>
      <c r="P66" s="8"/>
      <c r="Q66" s="8"/>
      <c r="R66" s="8"/>
      <c r="S66" s="8"/>
      <c r="T66" s="39">
        <f t="shared" si="4"/>
        <v>562500</v>
      </c>
      <c r="U66" s="5">
        <f t="shared" si="5"/>
        <v>562500</v>
      </c>
      <c r="V66" s="42">
        <f t="shared" si="6"/>
        <v>0</v>
      </c>
      <c r="W66" s="8"/>
      <c r="X66" s="8"/>
      <c r="Y66" s="8"/>
      <c r="Z66" s="8"/>
      <c r="AA66" s="8"/>
      <c r="AB66" s="8"/>
      <c r="AC66" s="8"/>
    </row>
    <row r="67" spans="2:29">
      <c r="B67" s="7"/>
      <c r="C67" s="4"/>
      <c r="D67" s="4"/>
      <c r="E67" s="4"/>
      <c r="F67" s="4"/>
      <c r="G67" s="4"/>
      <c r="H67" s="73"/>
      <c r="I67" s="4"/>
      <c r="J67" s="4"/>
      <c r="K67" s="4"/>
      <c r="L67" s="7"/>
      <c r="M67" s="4"/>
      <c r="N67" s="4"/>
      <c r="O67" s="40"/>
      <c r="P67" s="8"/>
      <c r="Q67" s="8"/>
      <c r="R67" s="8"/>
      <c r="S67" s="8"/>
      <c r="T67" s="39">
        <f t="shared" si="4"/>
        <v>0</v>
      </c>
      <c r="U67" s="5">
        <f t="shared" si="5"/>
        <v>0</v>
      </c>
      <c r="V67" s="42">
        <f t="shared" si="6"/>
        <v>0</v>
      </c>
      <c r="W67" s="8"/>
      <c r="X67" s="8"/>
      <c r="Y67" s="8"/>
      <c r="Z67" s="8"/>
      <c r="AA67" s="8"/>
      <c r="AB67" s="8"/>
      <c r="AC67" s="8"/>
    </row>
    <row r="68" spans="2:29">
      <c r="B68" s="64">
        <v>32</v>
      </c>
      <c r="C68" s="1" t="s">
        <v>97</v>
      </c>
      <c r="D68" s="64">
        <v>1</v>
      </c>
      <c r="E68" s="2" t="s">
        <v>66</v>
      </c>
      <c r="F68" s="25">
        <v>2125000</v>
      </c>
      <c r="G68" s="65">
        <f>ROUND(D68*F68,0)</f>
        <v>2125000</v>
      </c>
      <c r="H68" s="70">
        <f>D68</f>
        <v>1</v>
      </c>
      <c r="I68" s="64" t="str">
        <f>E68</f>
        <v>No</v>
      </c>
      <c r="J68" s="65">
        <f>F68</f>
        <v>2125000</v>
      </c>
      <c r="K68" s="65">
        <f>ROUND(H68*J68,0)</f>
        <v>2125000</v>
      </c>
      <c r="L68" s="66">
        <f>IF(K68&gt;G68,K68-G68,0)</f>
        <v>0</v>
      </c>
      <c r="M68" s="65">
        <f>IF(G68&gt;K68,G68-K68,0)</f>
        <v>0</v>
      </c>
      <c r="N68" s="4"/>
      <c r="O68" s="40"/>
      <c r="P68" s="8"/>
      <c r="Q68" s="8"/>
      <c r="R68" s="8"/>
      <c r="S68" s="8"/>
      <c r="T68" s="39">
        <f t="shared" si="4"/>
        <v>2125000</v>
      </c>
      <c r="U68" s="5">
        <f t="shared" si="5"/>
        <v>2125000</v>
      </c>
      <c r="V68" s="42">
        <f t="shared" si="6"/>
        <v>0</v>
      </c>
      <c r="W68" s="8"/>
      <c r="X68" s="8"/>
      <c r="Y68" s="8"/>
      <c r="Z68" s="8"/>
      <c r="AA68" s="8"/>
      <c r="AB68" s="8"/>
      <c r="AC68" s="8"/>
    </row>
    <row r="69" spans="2:29">
      <c r="B69" s="7"/>
      <c r="C69" s="4"/>
      <c r="D69" s="4"/>
      <c r="E69" s="4"/>
      <c r="F69" s="4"/>
      <c r="G69" s="4"/>
      <c r="H69" s="73"/>
      <c r="I69" s="4"/>
      <c r="J69" s="4"/>
      <c r="K69" s="4"/>
      <c r="L69" s="7"/>
      <c r="M69" s="4"/>
      <c r="N69" s="4"/>
      <c r="O69" s="40"/>
      <c r="P69" s="8"/>
      <c r="Q69" s="8"/>
      <c r="R69" s="8"/>
      <c r="S69" s="8"/>
      <c r="T69" s="39">
        <f t="shared" si="4"/>
        <v>0</v>
      </c>
      <c r="U69" s="5">
        <f t="shared" si="5"/>
        <v>0</v>
      </c>
      <c r="V69" s="42">
        <f t="shared" si="6"/>
        <v>0</v>
      </c>
      <c r="W69" s="8"/>
      <c r="X69" s="8"/>
      <c r="Y69" s="8"/>
      <c r="Z69" s="8"/>
      <c r="AA69" s="8"/>
      <c r="AB69" s="8"/>
      <c r="AC69" s="8"/>
    </row>
    <row r="70" spans="2:29">
      <c r="B70" s="64">
        <v>33</v>
      </c>
      <c r="C70" s="1" t="s">
        <v>98</v>
      </c>
      <c r="D70" s="64">
        <v>1</v>
      </c>
      <c r="E70" s="2" t="s">
        <v>66</v>
      </c>
      <c r="F70" s="25">
        <v>4200000</v>
      </c>
      <c r="G70" s="65">
        <f>ROUND(D70*F70,0)</f>
        <v>4200000</v>
      </c>
      <c r="H70" s="70">
        <f>D70</f>
        <v>1</v>
      </c>
      <c r="I70" s="64" t="str">
        <f>E70</f>
        <v>No</v>
      </c>
      <c r="J70" s="65">
        <f>F70</f>
        <v>4200000</v>
      </c>
      <c r="K70" s="65">
        <f>ROUND(H70*J70,0)</f>
        <v>4200000</v>
      </c>
      <c r="L70" s="66">
        <f>IF(K70&gt;G70,K70-G70,0)</f>
        <v>0</v>
      </c>
      <c r="M70" s="65">
        <f>IF(G70&gt;K70,G70-K70,0)</f>
        <v>0</v>
      </c>
      <c r="N70" s="4"/>
      <c r="O70" s="40"/>
      <c r="P70" s="8"/>
      <c r="Q70" s="8"/>
      <c r="R70" s="8"/>
      <c r="S70" s="8"/>
      <c r="T70" s="39">
        <f t="shared" si="4"/>
        <v>4200000</v>
      </c>
      <c r="U70" s="5">
        <f t="shared" si="5"/>
        <v>4200000</v>
      </c>
      <c r="V70" s="42">
        <f t="shared" si="6"/>
        <v>0</v>
      </c>
      <c r="W70" s="8"/>
      <c r="X70" s="8"/>
      <c r="Y70" s="8"/>
      <c r="Z70" s="8"/>
      <c r="AA70" s="8"/>
      <c r="AB70" s="8"/>
      <c r="AC70" s="8"/>
    </row>
    <row r="71" spans="2:29">
      <c r="B71" s="7"/>
      <c r="C71" s="4"/>
      <c r="D71" s="4"/>
      <c r="E71" s="4"/>
      <c r="F71" s="4"/>
      <c r="G71" s="4"/>
      <c r="H71" s="73"/>
      <c r="I71" s="4"/>
      <c r="J71" s="4"/>
      <c r="K71" s="4"/>
      <c r="L71" s="7"/>
      <c r="M71" s="4"/>
      <c r="N71" s="4"/>
      <c r="O71" s="40"/>
      <c r="P71" s="8"/>
      <c r="Q71" s="8"/>
      <c r="R71" s="8"/>
      <c r="S71" s="8"/>
      <c r="T71" s="39">
        <f t="shared" si="4"/>
        <v>0</v>
      </c>
      <c r="U71" s="5">
        <f t="shared" si="5"/>
        <v>0</v>
      </c>
      <c r="V71" s="42">
        <f t="shared" si="6"/>
        <v>0</v>
      </c>
      <c r="W71" s="8"/>
      <c r="X71" s="8"/>
      <c r="Y71" s="8"/>
      <c r="Z71" s="8"/>
      <c r="AA71" s="8"/>
      <c r="AB71" s="8"/>
      <c r="AC71" s="8"/>
    </row>
    <row r="72" spans="2:29">
      <c r="B72" s="64">
        <v>34</v>
      </c>
      <c r="C72" s="1" t="s">
        <v>99</v>
      </c>
      <c r="D72" s="64">
        <v>1</v>
      </c>
      <c r="E72" s="2" t="s">
        <v>66</v>
      </c>
      <c r="F72" s="25">
        <v>43750</v>
      </c>
      <c r="G72" s="65">
        <f>ROUND(D72*F72,0)</f>
        <v>43750</v>
      </c>
      <c r="H72" s="70">
        <f>D72</f>
        <v>1</v>
      </c>
      <c r="I72" s="64" t="str">
        <f>E72</f>
        <v>No</v>
      </c>
      <c r="J72" s="65">
        <f>F72</f>
        <v>43750</v>
      </c>
      <c r="K72" s="65">
        <f>ROUND(H72*J72,0)</f>
        <v>43750</v>
      </c>
      <c r="L72" s="66">
        <f>IF(K72&gt;G72,K72-G72,0)</f>
        <v>0</v>
      </c>
      <c r="M72" s="65">
        <f>IF(G72&gt;K72,G72-K72,0)</f>
        <v>0</v>
      </c>
      <c r="N72" s="4"/>
      <c r="O72" s="40"/>
      <c r="P72" s="8"/>
      <c r="Q72" s="8"/>
      <c r="R72" s="8"/>
      <c r="S72" s="8"/>
      <c r="T72" s="39">
        <f t="shared" si="4"/>
        <v>43750</v>
      </c>
      <c r="U72" s="5">
        <f t="shared" si="5"/>
        <v>43750</v>
      </c>
      <c r="V72" s="42">
        <f t="shared" si="6"/>
        <v>0</v>
      </c>
      <c r="W72" s="8"/>
      <c r="X72" s="8"/>
      <c r="Y72" s="8"/>
      <c r="Z72" s="8"/>
      <c r="AA72" s="8"/>
      <c r="AB72" s="8"/>
      <c r="AC72" s="8"/>
    </row>
    <row r="73" spans="2:29">
      <c r="B73" s="7"/>
      <c r="C73" s="4"/>
      <c r="D73" s="4"/>
      <c r="E73" s="4"/>
      <c r="F73" s="4"/>
      <c r="G73" s="4"/>
      <c r="H73" s="73"/>
      <c r="I73" s="4"/>
      <c r="J73" s="4"/>
      <c r="K73" s="4"/>
      <c r="L73" s="7"/>
      <c r="M73" s="4"/>
      <c r="N73" s="4"/>
      <c r="O73" s="40"/>
      <c r="P73" s="8"/>
      <c r="Q73" s="8"/>
      <c r="R73" s="8"/>
      <c r="S73" s="8"/>
      <c r="T73" s="39">
        <f t="shared" si="4"/>
        <v>0</v>
      </c>
      <c r="U73" s="5">
        <f t="shared" si="5"/>
        <v>0</v>
      </c>
      <c r="V73" s="42">
        <f t="shared" si="6"/>
        <v>0</v>
      </c>
      <c r="W73" s="8"/>
      <c r="X73" s="8"/>
      <c r="Y73" s="8"/>
      <c r="Z73" s="8"/>
      <c r="AA73" s="8"/>
      <c r="AB73" s="8"/>
      <c r="AC73" s="8"/>
    </row>
    <row r="74" spans="2:29">
      <c r="B74" s="64">
        <v>35</v>
      </c>
      <c r="C74" s="1" t="s">
        <v>100</v>
      </c>
      <c r="D74" s="64">
        <v>1</v>
      </c>
      <c r="E74" s="2" t="s">
        <v>66</v>
      </c>
      <c r="F74" s="25">
        <v>81250</v>
      </c>
      <c r="G74" s="65">
        <f>ROUND(D74*F74,0)</f>
        <v>81250</v>
      </c>
      <c r="H74" s="70">
        <f>D74</f>
        <v>1</v>
      </c>
      <c r="I74" s="64" t="str">
        <f>E74</f>
        <v>No</v>
      </c>
      <c r="J74" s="65">
        <f>F74</f>
        <v>81250</v>
      </c>
      <c r="K74" s="65">
        <f>ROUND(H74*J74,0)</f>
        <v>81250</v>
      </c>
      <c r="L74" s="66">
        <f>IF(K74&gt;G74,K74-G74,0)</f>
        <v>0</v>
      </c>
      <c r="M74" s="65">
        <f>IF(G74&gt;K74,G74-K74,0)</f>
        <v>0</v>
      </c>
      <c r="N74" s="4"/>
      <c r="O74" s="40"/>
      <c r="P74" s="8"/>
      <c r="Q74" s="8"/>
      <c r="R74" s="8"/>
      <c r="S74" s="8"/>
      <c r="T74" s="39">
        <f t="shared" si="4"/>
        <v>81250</v>
      </c>
      <c r="U74" s="5">
        <f t="shared" si="5"/>
        <v>81250</v>
      </c>
      <c r="V74" s="42">
        <f t="shared" si="6"/>
        <v>0</v>
      </c>
      <c r="W74" s="8"/>
      <c r="X74" s="8"/>
      <c r="Y74" s="8"/>
      <c r="Z74" s="8"/>
      <c r="AA74" s="8"/>
      <c r="AB74" s="8"/>
      <c r="AC74" s="8"/>
    </row>
    <row r="75" spans="2:29">
      <c r="B75" s="7"/>
      <c r="C75" s="4"/>
      <c r="D75" s="4"/>
      <c r="E75" s="4"/>
      <c r="F75" s="4"/>
      <c r="G75" s="4"/>
      <c r="H75" s="73"/>
      <c r="I75" s="4"/>
      <c r="J75" s="4"/>
      <c r="K75" s="4"/>
      <c r="L75" s="7"/>
      <c r="M75" s="4"/>
      <c r="N75" s="4"/>
      <c r="O75" s="40"/>
      <c r="P75" s="8"/>
      <c r="Q75" s="8"/>
      <c r="R75" s="8"/>
      <c r="S75" s="8"/>
      <c r="T75" s="39">
        <f t="shared" si="4"/>
        <v>0</v>
      </c>
      <c r="U75" s="5">
        <f t="shared" si="5"/>
        <v>0</v>
      </c>
      <c r="V75" s="42">
        <f t="shared" si="6"/>
        <v>0</v>
      </c>
      <c r="W75" s="8"/>
      <c r="X75" s="8"/>
      <c r="Y75" s="8"/>
      <c r="Z75" s="8"/>
      <c r="AA75" s="8"/>
      <c r="AB75" s="8"/>
      <c r="AC75" s="8"/>
    </row>
    <row r="76" spans="2:29">
      <c r="B76" s="64">
        <v>36</v>
      </c>
      <c r="C76" s="1" t="s">
        <v>101</v>
      </c>
      <c r="D76" s="64">
        <v>1</v>
      </c>
      <c r="E76" s="2" t="s">
        <v>66</v>
      </c>
      <c r="F76" s="25">
        <v>1</v>
      </c>
      <c r="G76" s="65">
        <f>ROUND(D76*F76,0)</f>
        <v>1</v>
      </c>
      <c r="H76" s="70">
        <f>D76</f>
        <v>1</v>
      </c>
      <c r="I76" s="64" t="str">
        <f>E76</f>
        <v>No</v>
      </c>
      <c r="J76" s="65">
        <f>F76</f>
        <v>1</v>
      </c>
      <c r="K76" s="65">
        <f>ROUND(H76*J76,0)</f>
        <v>1</v>
      </c>
      <c r="L76" s="66">
        <f>IF(K76&gt;G76,K76-G76,0)</f>
        <v>0</v>
      </c>
      <c r="M76" s="65">
        <f>IF(G76&gt;K76,G76-K76,0)</f>
        <v>0</v>
      </c>
      <c r="N76" s="4"/>
      <c r="O76" s="40"/>
      <c r="P76" s="8"/>
      <c r="Q76" s="8"/>
      <c r="R76" s="8"/>
      <c r="S76" s="8"/>
      <c r="T76" s="39">
        <f t="shared" si="4"/>
        <v>1</v>
      </c>
      <c r="U76" s="5">
        <f t="shared" si="5"/>
        <v>1</v>
      </c>
      <c r="V76" s="42">
        <f t="shared" si="6"/>
        <v>0</v>
      </c>
      <c r="W76" s="8"/>
      <c r="X76" s="8"/>
      <c r="Y76" s="8"/>
      <c r="Z76" s="8"/>
      <c r="AA76" s="8"/>
      <c r="AB76" s="8"/>
      <c r="AC76" s="8"/>
    </row>
    <row r="77" spans="2:29">
      <c r="B77" s="7"/>
      <c r="C77" s="4"/>
      <c r="D77" s="4"/>
      <c r="E77" s="4"/>
      <c r="F77" s="4"/>
      <c r="G77" s="4"/>
      <c r="H77" s="73"/>
      <c r="I77" s="4"/>
      <c r="J77" s="4"/>
      <c r="K77" s="4"/>
      <c r="L77" s="7"/>
      <c r="M77" s="4"/>
      <c r="N77" s="4"/>
      <c r="O77" s="40"/>
      <c r="P77" s="8"/>
      <c r="Q77" s="8"/>
      <c r="R77" s="8"/>
      <c r="S77" s="8"/>
      <c r="T77" s="39">
        <f t="shared" si="4"/>
        <v>0</v>
      </c>
      <c r="U77" s="5">
        <f t="shared" si="5"/>
        <v>0</v>
      </c>
      <c r="V77" s="42">
        <f t="shared" si="6"/>
        <v>0</v>
      </c>
      <c r="W77" s="8"/>
      <c r="X77" s="8"/>
      <c r="Y77" s="8"/>
      <c r="Z77" s="8"/>
      <c r="AA77" s="8"/>
      <c r="AB77" s="8"/>
      <c r="AC77" s="8"/>
    </row>
    <row r="78" spans="2:29">
      <c r="B78" s="64">
        <v>37</v>
      </c>
      <c r="C78" s="1" t="s">
        <v>102</v>
      </c>
      <c r="D78" s="64">
        <v>2</v>
      </c>
      <c r="E78" s="2" t="s">
        <v>66</v>
      </c>
      <c r="F78" s="25">
        <v>115000</v>
      </c>
      <c r="G78" s="65">
        <f>ROUND(D78*F78,0)</f>
        <v>230000</v>
      </c>
      <c r="H78" s="70">
        <f>D78</f>
        <v>2</v>
      </c>
      <c r="I78" s="64" t="str">
        <f>E78</f>
        <v>No</v>
      </c>
      <c r="J78" s="65">
        <f>F78</f>
        <v>115000</v>
      </c>
      <c r="K78" s="65">
        <f>ROUND(H78*J78,0)</f>
        <v>230000</v>
      </c>
      <c r="L78" s="66">
        <f>IF(K78&gt;G78,K78-G78,0)</f>
        <v>0</v>
      </c>
      <c r="M78" s="65">
        <f>IF(G78&gt;K78,G78-K78,0)</f>
        <v>0</v>
      </c>
      <c r="N78" s="4"/>
      <c r="O78" s="40"/>
      <c r="P78" s="8"/>
      <c r="Q78" s="8"/>
      <c r="R78" s="8"/>
      <c r="S78" s="8"/>
      <c r="T78" s="39">
        <f t="shared" si="4"/>
        <v>230000</v>
      </c>
      <c r="U78" s="5">
        <f t="shared" si="5"/>
        <v>230000</v>
      </c>
      <c r="V78" s="42">
        <f t="shared" si="6"/>
        <v>0</v>
      </c>
      <c r="W78" s="8"/>
      <c r="X78" s="8"/>
      <c r="Y78" s="8"/>
      <c r="Z78" s="8"/>
      <c r="AA78" s="8"/>
      <c r="AB78" s="8"/>
      <c r="AC78" s="8"/>
    </row>
    <row r="79" spans="2:29">
      <c r="B79" s="7"/>
      <c r="C79" s="4"/>
      <c r="D79" s="4"/>
      <c r="E79" s="4"/>
      <c r="F79" s="4"/>
      <c r="G79" s="4"/>
      <c r="H79" s="73"/>
      <c r="I79" s="4"/>
      <c r="J79" s="4"/>
      <c r="K79" s="4"/>
      <c r="L79" s="7"/>
      <c r="M79" s="4"/>
      <c r="N79" s="4"/>
      <c r="O79" s="40"/>
      <c r="P79" s="8"/>
      <c r="Q79" s="8"/>
      <c r="R79" s="8"/>
      <c r="S79" s="8"/>
      <c r="T79" s="39">
        <f t="shared" ref="T79:T89" si="7">D79*F79</f>
        <v>0</v>
      </c>
      <c r="U79" s="5">
        <f t="shared" ref="U79:U89" si="8">H79*F79</f>
        <v>0</v>
      </c>
      <c r="V79" s="42">
        <f t="shared" ref="V79:V89" si="9">U79-T79</f>
        <v>0</v>
      </c>
      <c r="W79" s="8"/>
      <c r="X79" s="8"/>
      <c r="Y79" s="8"/>
      <c r="Z79" s="8"/>
      <c r="AA79" s="8"/>
      <c r="AB79" s="8"/>
      <c r="AC79" s="8"/>
    </row>
    <row r="80" spans="2:29">
      <c r="B80" s="64">
        <v>38</v>
      </c>
      <c r="C80" s="19" t="s">
        <v>103</v>
      </c>
      <c r="D80" s="64">
        <v>1</v>
      </c>
      <c r="E80" s="2" t="s">
        <v>66</v>
      </c>
      <c r="F80" s="25">
        <v>110000</v>
      </c>
      <c r="G80" s="65">
        <f>ROUND(D80*F80,0)</f>
        <v>110000</v>
      </c>
      <c r="H80" s="70">
        <v>0</v>
      </c>
      <c r="I80" s="64" t="str">
        <f>E80</f>
        <v>No</v>
      </c>
      <c r="J80" s="65">
        <f>F80</f>
        <v>110000</v>
      </c>
      <c r="K80" s="65">
        <f>ROUND(H80*J80,0)</f>
        <v>0</v>
      </c>
      <c r="L80" s="66">
        <f>IF(K80&gt;G80,K80-G80,0)</f>
        <v>0</v>
      </c>
      <c r="M80" s="65">
        <f>IF(G80&gt;K80,G80-K80,0)</f>
        <v>110000</v>
      </c>
      <c r="N80" s="4"/>
      <c r="O80" s="40"/>
      <c r="P80" s="8"/>
      <c r="Q80" s="8"/>
      <c r="R80" s="8"/>
      <c r="S80" s="8"/>
      <c r="T80" s="39">
        <f t="shared" si="7"/>
        <v>110000</v>
      </c>
      <c r="U80" s="5">
        <f t="shared" si="8"/>
        <v>0</v>
      </c>
      <c r="V80" s="42">
        <f t="shared" si="9"/>
        <v>-110000</v>
      </c>
      <c r="W80" s="8"/>
      <c r="X80" s="8"/>
      <c r="Y80" s="8"/>
      <c r="Z80" s="8"/>
      <c r="AA80" s="8"/>
      <c r="AB80" s="8"/>
      <c r="AC80" s="8"/>
    </row>
    <row r="81" spans="2:29">
      <c r="B81" s="7"/>
      <c r="C81" s="4"/>
      <c r="D81" s="4"/>
      <c r="E81" s="4"/>
      <c r="F81" s="4"/>
      <c r="G81" s="4"/>
      <c r="H81" s="73"/>
      <c r="I81" s="4"/>
      <c r="J81" s="4"/>
      <c r="K81" s="4"/>
      <c r="L81" s="7"/>
      <c r="M81" s="4"/>
      <c r="N81" s="4"/>
      <c r="O81" s="40"/>
      <c r="P81" s="8"/>
      <c r="Q81" s="8"/>
      <c r="R81" s="8"/>
      <c r="S81" s="8"/>
      <c r="T81" s="39">
        <f t="shared" si="7"/>
        <v>0</v>
      </c>
      <c r="U81" s="5">
        <f t="shared" si="8"/>
        <v>0</v>
      </c>
      <c r="V81" s="42">
        <f t="shared" si="9"/>
        <v>0</v>
      </c>
      <c r="W81" s="8"/>
      <c r="X81" s="8"/>
      <c r="Y81" s="8"/>
      <c r="Z81" s="8"/>
      <c r="AA81" s="8"/>
      <c r="AB81" s="8"/>
      <c r="AC81" s="8"/>
    </row>
    <row r="82" spans="2:29">
      <c r="B82" s="64">
        <v>39</v>
      </c>
      <c r="C82" s="1" t="s">
        <v>104</v>
      </c>
      <c r="D82" s="64">
        <v>2</v>
      </c>
      <c r="E82" s="2" t="s">
        <v>66</v>
      </c>
      <c r="F82" s="25">
        <v>34500</v>
      </c>
      <c r="G82" s="65">
        <f>ROUND(D82*F82,0)</f>
        <v>69000</v>
      </c>
      <c r="H82" s="70">
        <f>D82</f>
        <v>2</v>
      </c>
      <c r="I82" s="64" t="str">
        <f>E82</f>
        <v>No</v>
      </c>
      <c r="J82" s="65">
        <f>F82</f>
        <v>34500</v>
      </c>
      <c r="K82" s="65">
        <f>ROUND(H82*J82,0)</f>
        <v>69000</v>
      </c>
      <c r="L82" s="66">
        <f>IF(K82&gt;G82,K82-G82,0)</f>
        <v>0</v>
      </c>
      <c r="M82" s="65">
        <f>IF(G82&gt;K82,G82-K82,0)</f>
        <v>0</v>
      </c>
      <c r="N82" s="4"/>
      <c r="O82" s="40"/>
      <c r="P82" s="8"/>
      <c r="Q82" s="8"/>
      <c r="R82" s="8"/>
      <c r="S82" s="8"/>
      <c r="T82" s="39">
        <f t="shared" si="7"/>
        <v>69000</v>
      </c>
      <c r="U82" s="5">
        <f t="shared" si="8"/>
        <v>69000</v>
      </c>
      <c r="V82" s="42">
        <f t="shared" si="9"/>
        <v>0</v>
      </c>
      <c r="W82" s="8"/>
      <c r="X82" s="8"/>
      <c r="Y82" s="8"/>
      <c r="Z82" s="8"/>
      <c r="AA82" s="8"/>
      <c r="AB82" s="8"/>
      <c r="AC82" s="8"/>
    </row>
    <row r="83" spans="2:29">
      <c r="B83" s="7"/>
      <c r="C83" s="4"/>
      <c r="D83" s="4"/>
      <c r="E83" s="4"/>
      <c r="F83" s="4"/>
      <c r="G83" s="4"/>
      <c r="H83" s="73"/>
      <c r="I83" s="4"/>
      <c r="J83" s="4"/>
      <c r="K83" s="4"/>
      <c r="L83" s="7"/>
      <c r="M83" s="4"/>
      <c r="N83" s="4"/>
      <c r="O83" s="40"/>
      <c r="P83" s="8"/>
      <c r="Q83" s="8"/>
      <c r="R83" s="8"/>
      <c r="S83" s="8"/>
      <c r="T83" s="39">
        <f t="shared" si="7"/>
        <v>0</v>
      </c>
      <c r="U83" s="5">
        <f t="shared" si="8"/>
        <v>0</v>
      </c>
      <c r="V83" s="42">
        <f t="shared" si="9"/>
        <v>0</v>
      </c>
      <c r="W83" s="8"/>
      <c r="X83" s="8"/>
      <c r="Y83" s="8"/>
      <c r="Z83" s="8"/>
      <c r="AA83" s="8"/>
      <c r="AB83" s="8"/>
      <c r="AC83" s="8"/>
    </row>
    <row r="84" spans="2:29">
      <c r="B84" s="64">
        <v>40</v>
      </c>
      <c r="C84" s="19" t="s">
        <v>105</v>
      </c>
      <c r="D84" s="64">
        <v>2</v>
      </c>
      <c r="E84" s="2" t="s">
        <v>66</v>
      </c>
      <c r="F84" s="25">
        <v>34500</v>
      </c>
      <c r="G84" s="65">
        <f>ROUND(D84*F84,0)</f>
        <v>69000</v>
      </c>
      <c r="H84" s="70">
        <v>0</v>
      </c>
      <c r="I84" s="64" t="str">
        <f>E84</f>
        <v>No</v>
      </c>
      <c r="J84" s="65">
        <f>F84</f>
        <v>34500</v>
      </c>
      <c r="K84" s="65">
        <f>ROUND(H84*J84,0)</f>
        <v>0</v>
      </c>
      <c r="L84" s="66">
        <f>IF(K84&gt;G84,K84-G84,0)</f>
        <v>0</v>
      </c>
      <c r="M84" s="65">
        <f>IF(G84&gt;K84,G84-K84,0)</f>
        <v>69000</v>
      </c>
      <c r="N84" s="4"/>
      <c r="O84" s="40"/>
      <c r="P84" s="8"/>
      <c r="Q84" s="8"/>
      <c r="R84" s="8"/>
      <c r="S84" s="8"/>
      <c r="T84" s="39">
        <f t="shared" si="7"/>
        <v>69000</v>
      </c>
      <c r="U84" s="5">
        <f t="shared" si="8"/>
        <v>0</v>
      </c>
      <c r="V84" s="42">
        <f t="shared" si="9"/>
        <v>-69000</v>
      </c>
      <c r="W84" s="8"/>
      <c r="X84" s="8"/>
      <c r="Y84" s="8"/>
      <c r="Z84" s="8"/>
      <c r="AA84" s="8"/>
      <c r="AB84" s="8"/>
      <c r="AC84" s="8"/>
    </row>
    <row r="85" spans="2:29">
      <c r="B85" s="7"/>
      <c r="C85" s="4"/>
      <c r="D85" s="4"/>
      <c r="E85" s="4"/>
      <c r="F85" s="4"/>
      <c r="G85" s="4"/>
      <c r="H85" s="73"/>
      <c r="I85" s="4"/>
      <c r="J85" s="4"/>
      <c r="K85" s="4"/>
      <c r="L85" s="7"/>
      <c r="M85" s="4"/>
      <c r="N85" s="4"/>
      <c r="O85" s="40"/>
      <c r="P85" s="8"/>
      <c r="Q85" s="8"/>
      <c r="R85" s="8"/>
      <c r="S85" s="8"/>
      <c r="T85" s="39">
        <f t="shared" si="7"/>
        <v>0</v>
      </c>
      <c r="U85" s="5">
        <f t="shared" si="8"/>
        <v>0</v>
      </c>
      <c r="V85" s="42">
        <f t="shared" si="9"/>
        <v>0</v>
      </c>
      <c r="W85" s="8"/>
      <c r="X85" s="8"/>
      <c r="Y85" s="8"/>
      <c r="Z85" s="8"/>
      <c r="AA85" s="8"/>
      <c r="AB85" s="8"/>
      <c r="AC85" s="8"/>
    </row>
    <row r="86" spans="2:29">
      <c r="B86" s="64">
        <v>41</v>
      </c>
      <c r="C86" s="19" t="s">
        <v>106</v>
      </c>
      <c r="D86" s="64">
        <v>3</v>
      </c>
      <c r="E86" s="2" t="s">
        <v>66</v>
      </c>
      <c r="F86" s="25">
        <v>38500</v>
      </c>
      <c r="G86" s="65">
        <f>ROUND(D86*F86,0)</f>
        <v>115500</v>
      </c>
      <c r="H86" s="70">
        <v>0</v>
      </c>
      <c r="I86" s="64" t="str">
        <f>E86</f>
        <v>No</v>
      </c>
      <c r="J86" s="65">
        <f>F86</f>
        <v>38500</v>
      </c>
      <c r="K86" s="65">
        <f>ROUND(H86*J86,0)</f>
        <v>0</v>
      </c>
      <c r="L86" s="66">
        <f>IF(K86&gt;G86,K86-G86,0)</f>
        <v>0</v>
      </c>
      <c r="M86" s="65">
        <f>IF(G86&gt;K86,G86-K86,0)</f>
        <v>115500</v>
      </c>
      <c r="N86" s="4"/>
      <c r="O86" s="40"/>
      <c r="P86" s="8"/>
      <c r="Q86" s="8"/>
      <c r="R86" s="8"/>
      <c r="S86" s="8"/>
      <c r="T86" s="39">
        <f t="shared" si="7"/>
        <v>115500</v>
      </c>
      <c r="U86" s="5">
        <f t="shared" si="8"/>
        <v>0</v>
      </c>
      <c r="V86" s="42">
        <f t="shared" si="9"/>
        <v>-115500</v>
      </c>
      <c r="W86" s="8"/>
      <c r="X86" s="8"/>
      <c r="Y86" s="8"/>
      <c r="Z86" s="8"/>
      <c r="AA86" s="8"/>
      <c r="AB86" s="8"/>
      <c r="AC86" s="8"/>
    </row>
    <row r="87" spans="2:29">
      <c r="B87" s="7"/>
      <c r="C87" s="4"/>
      <c r="D87" s="4"/>
      <c r="E87" s="4"/>
      <c r="F87" s="4"/>
      <c r="G87" s="4"/>
      <c r="H87" s="73"/>
      <c r="I87" s="4"/>
      <c r="J87" s="4"/>
      <c r="K87" s="4"/>
      <c r="L87" s="7"/>
      <c r="M87" s="4"/>
      <c r="N87" s="4"/>
      <c r="O87" s="40"/>
      <c r="P87" s="8"/>
      <c r="Q87" s="8"/>
      <c r="R87" s="8"/>
      <c r="S87" s="8"/>
      <c r="T87" s="39">
        <f t="shared" si="7"/>
        <v>0</v>
      </c>
      <c r="U87" s="5">
        <f t="shared" si="8"/>
        <v>0</v>
      </c>
      <c r="V87" s="42">
        <f t="shared" si="9"/>
        <v>0</v>
      </c>
      <c r="W87" s="8"/>
      <c r="X87" s="8"/>
      <c r="Y87" s="8"/>
      <c r="Z87" s="8"/>
      <c r="AA87" s="8"/>
      <c r="AB87" s="8"/>
      <c r="AC87" s="8"/>
    </row>
    <row r="88" spans="2:29">
      <c r="B88" s="64">
        <v>42</v>
      </c>
      <c r="C88" s="1" t="s">
        <v>107</v>
      </c>
      <c r="D88" s="64">
        <v>3</v>
      </c>
      <c r="E88" s="2" t="s">
        <v>66</v>
      </c>
      <c r="F88" s="25">
        <v>19250</v>
      </c>
      <c r="G88" s="65">
        <f>ROUND(D88*F88,0)</f>
        <v>57750</v>
      </c>
      <c r="H88" s="70">
        <f>D88</f>
        <v>3</v>
      </c>
      <c r="I88" s="64" t="str">
        <f>E88</f>
        <v>No</v>
      </c>
      <c r="J88" s="65">
        <f>F88</f>
        <v>19250</v>
      </c>
      <c r="K88" s="65">
        <f>ROUND(H88*J88,0)</f>
        <v>57750</v>
      </c>
      <c r="L88" s="66">
        <f>IF(K88&gt;G88,K88-G88,0)</f>
        <v>0</v>
      </c>
      <c r="M88" s="65">
        <f>IF(G88&gt;K88,G88-K88,0)</f>
        <v>0</v>
      </c>
      <c r="N88" s="4"/>
      <c r="O88" s="40"/>
      <c r="P88" s="8"/>
      <c r="Q88" s="8"/>
      <c r="R88" s="8"/>
      <c r="S88" s="8"/>
      <c r="T88" s="39"/>
      <c r="U88" s="5"/>
      <c r="V88" s="42"/>
      <c r="W88" s="8"/>
      <c r="X88" s="8"/>
      <c r="Y88" s="8"/>
      <c r="Z88" s="8"/>
      <c r="AA88" s="8"/>
      <c r="AB88" s="8"/>
      <c r="AC88" s="8"/>
    </row>
    <row r="89" spans="2:29">
      <c r="B89" s="7"/>
      <c r="C89" s="4"/>
      <c r="D89" s="4"/>
      <c r="E89" s="4"/>
      <c r="F89" s="4"/>
      <c r="G89" s="4"/>
      <c r="H89" s="73"/>
      <c r="I89" s="4"/>
      <c r="J89" s="4"/>
      <c r="K89" s="4"/>
      <c r="L89" s="7"/>
      <c r="M89" s="4"/>
      <c r="N89" s="4"/>
      <c r="O89" s="40"/>
      <c r="P89" s="8"/>
      <c r="Q89" s="8"/>
      <c r="R89" s="8"/>
      <c r="S89" s="8"/>
      <c r="T89" s="39">
        <f t="shared" si="7"/>
        <v>0</v>
      </c>
      <c r="U89" s="5">
        <f t="shared" si="8"/>
        <v>0</v>
      </c>
      <c r="V89" s="42">
        <f t="shared" si="9"/>
        <v>0</v>
      </c>
      <c r="W89" s="8"/>
      <c r="X89" s="8"/>
      <c r="Y89" s="8"/>
      <c r="Z89" s="8"/>
      <c r="AA89" s="8"/>
      <c r="AB89" s="8"/>
      <c r="AC89" s="8"/>
    </row>
    <row r="90" spans="2:29">
      <c r="B90" s="64">
        <v>43</v>
      </c>
      <c r="C90" s="1" t="s">
        <v>108</v>
      </c>
      <c r="D90" s="64">
        <v>6</v>
      </c>
      <c r="E90" s="2" t="s">
        <v>66</v>
      </c>
      <c r="F90" s="25">
        <v>13750</v>
      </c>
      <c r="G90" s="65">
        <f>ROUND(D90*F90,0)</f>
        <v>82500</v>
      </c>
      <c r="H90" s="70">
        <f>D90</f>
        <v>6</v>
      </c>
      <c r="I90" s="64" t="str">
        <f>E90</f>
        <v>No</v>
      </c>
      <c r="J90" s="65">
        <f>F90</f>
        <v>13750</v>
      </c>
      <c r="K90" s="65">
        <f>ROUND(H90*J90,0)</f>
        <v>82500</v>
      </c>
      <c r="L90" s="66">
        <f>IF(K90&gt;G90,K90-G90,0)</f>
        <v>0</v>
      </c>
      <c r="M90" s="65">
        <f>IF(G90&gt;K90,G90-K90,0)</f>
        <v>0</v>
      </c>
      <c r="N90" s="4"/>
      <c r="O90" s="40"/>
      <c r="P90" s="8"/>
      <c r="Q90" s="8"/>
      <c r="R90" s="8"/>
      <c r="S90" s="8"/>
      <c r="T90" s="39"/>
      <c r="U90" s="5"/>
      <c r="V90" s="42"/>
      <c r="W90" s="8"/>
      <c r="X90" s="8"/>
      <c r="Y90" s="8"/>
      <c r="Z90" s="8"/>
      <c r="AA90" s="8"/>
      <c r="AB90" s="8"/>
      <c r="AC90" s="8"/>
    </row>
    <row r="91" spans="2:29">
      <c r="B91" s="7"/>
      <c r="C91" s="4"/>
      <c r="D91" s="4"/>
      <c r="E91" s="4"/>
      <c r="F91" s="4"/>
      <c r="G91" s="4"/>
      <c r="H91" s="73"/>
      <c r="I91" s="4"/>
      <c r="J91" s="4"/>
      <c r="K91" s="4"/>
      <c r="L91" s="7"/>
      <c r="M91" s="4"/>
      <c r="N91" s="4"/>
      <c r="O91" s="40"/>
      <c r="P91" s="8"/>
      <c r="Q91" s="8"/>
      <c r="R91" s="8"/>
      <c r="S91" s="8"/>
      <c r="T91" s="39">
        <f t="shared" ref="T91:T137" si="10">D91*F91</f>
        <v>0</v>
      </c>
      <c r="U91" s="5">
        <f t="shared" ref="U91:U137" si="11">H91*F91</f>
        <v>0</v>
      </c>
      <c r="V91" s="42">
        <f t="shared" ref="V91:V137" si="12">U91-T91</f>
        <v>0</v>
      </c>
      <c r="W91" s="8"/>
      <c r="X91" s="8"/>
      <c r="Y91" s="8"/>
      <c r="Z91" s="8"/>
      <c r="AA91" s="8"/>
      <c r="AB91" s="8"/>
      <c r="AC91" s="8"/>
    </row>
    <row r="92" spans="2:29">
      <c r="B92" s="64">
        <v>44</v>
      </c>
      <c r="C92" s="1" t="s">
        <v>109</v>
      </c>
      <c r="D92" s="64">
        <v>3</v>
      </c>
      <c r="E92" s="2" t="s">
        <v>66</v>
      </c>
      <c r="F92" s="25">
        <v>39200</v>
      </c>
      <c r="G92" s="65">
        <f>ROUND(D92*F92,0)</f>
        <v>117600</v>
      </c>
      <c r="H92" s="70">
        <f>D92</f>
        <v>3</v>
      </c>
      <c r="I92" s="64" t="str">
        <f>E92</f>
        <v>No</v>
      </c>
      <c r="J92" s="65">
        <f>F92</f>
        <v>39200</v>
      </c>
      <c r="K92" s="65">
        <f>ROUND(H92*J92,0)</f>
        <v>117600</v>
      </c>
      <c r="L92" s="66">
        <f>IF(K92&gt;G92,K92-G92,0)</f>
        <v>0</v>
      </c>
      <c r="M92" s="65">
        <f>IF(G92&gt;K92,G92-K92,0)</f>
        <v>0</v>
      </c>
      <c r="N92" s="4"/>
      <c r="O92" s="40"/>
      <c r="P92" s="8"/>
      <c r="Q92" s="8"/>
      <c r="R92" s="8"/>
      <c r="S92" s="8"/>
      <c r="T92" s="39">
        <f t="shared" si="10"/>
        <v>117600</v>
      </c>
      <c r="U92" s="5">
        <f t="shared" si="11"/>
        <v>117600</v>
      </c>
      <c r="V92" s="42">
        <f t="shared" si="12"/>
        <v>0</v>
      </c>
      <c r="W92" s="8"/>
      <c r="X92" s="8"/>
      <c r="Y92" s="8"/>
      <c r="Z92" s="8"/>
      <c r="AA92" s="8"/>
      <c r="AB92" s="8"/>
      <c r="AC92" s="8"/>
    </row>
    <row r="93" spans="2:29">
      <c r="B93" s="7"/>
      <c r="C93" s="4"/>
      <c r="D93" s="4"/>
      <c r="E93" s="4"/>
      <c r="F93" s="4"/>
      <c r="G93" s="4"/>
      <c r="H93" s="73"/>
      <c r="I93" s="4"/>
      <c r="J93" s="4"/>
      <c r="K93" s="4"/>
      <c r="L93" s="7"/>
      <c r="M93" s="4"/>
      <c r="N93" s="4"/>
      <c r="O93" s="40"/>
      <c r="P93" s="8"/>
      <c r="Q93" s="8"/>
      <c r="R93" s="8"/>
      <c r="S93" s="8"/>
      <c r="T93" s="39">
        <f t="shared" si="10"/>
        <v>0</v>
      </c>
      <c r="U93" s="5">
        <f t="shared" si="11"/>
        <v>0</v>
      </c>
      <c r="V93" s="42">
        <f t="shared" si="12"/>
        <v>0</v>
      </c>
      <c r="W93" s="8"/>
      <c r="X93" s="8"/>
      <c r="Y93" s="8"/>
      <c r="Z93" s="8"/>
      <c r="AA93" s="8"/>
      <c r="AB93" s="8"/>
      <c r="AC93" s="8"/>
    </row>
    <row r="94" spans="2:29">
      <c r="B94" s="64">
        <v>45</v>
      </c>
      <c r="C94" s="1" t="s">
        <v>110</v>
      </c>
      <c r="D94" s="64">
        <v>3</v>
      </c>
      <c r="E94" s="2" t="s">
        <v>66</v>
      </c>
      <c r="F94" s="25">
        <v>62500</v>
      </c>
      <c r="G94" s="65">
        <f>ROUND(D94*F94,0)</f>
        <v>187500</v>
      </c>
      <c r="H94" s="70">
        <f>D94</f>
        <v>3</v>
      </c>
      <c r="I94" s="64" t="str">
        <f>E94</f>
        <v>No</v>
      </c>
      <c r="J94" s="65">
        <f>F94</f>
        <v>62500</v>
      </c>
      <c r="K94" s="65">
        <f>ROUND(H94*J94,0)</f>
        <v>187500</v>
      </c>
      <c r="L94" s="66">
        <f>IF(K94&gt;G94,K94-G94,0)</f>
        <v>0</v>
      </c>
      <c r="M94" s="65">
        <f>IF(G94&gt;K94,G94-K94,0)</f>
        <v>0</v>
      </c>
      <c r="N94" s="4"/>
      <c r="O94" s="40"/>
      <c r="P94" s="8"/>
      <c r="Q94" s="8"/>
      <c r="R94" s="8"/>
      <c r="S94" s="8"/>
      <c r="T94" s="39">
        <f t="shared" si="10"/>
        <v>187500</v>
      </c>
      <c r="U94" s="5">
        <f t="shared" si="11"/>
        <v>187500</v>
      </c>
      <c r="V94" s="42">
        <f t="shared" si="12"/>
        <v>0</v>
      </c>
      <c r="W94" s="8"/>
      <c r="X94" s="8"/>
      <c r="Y94" s="8"/>
      <c r="Z94" s="8"/>
      <c r="AA94" s="8"/>
      <c r="AB94" s="8"/>
      <c r="AC94" s="8"/>
    </row>
    <row r="95" spans="2:29">
      <c r="B95" s="7"/>
      <c r="C95" s="4"/>
      <c r="D95" s="4"/>
      <c r="E95" s="4"/>
      <c r="F95" s="4"/>
      <c r="G95" s="4"/>
      <c r="H95" s="73"/>
      <c r="I95" s="4"/>
      <c r="J95" s="4"/>
      <c r="K95" s="4"/>
      <c r="L95" s="7"/>
      <c r="M95" s="4"/>
      <c r="N95" s="4"/>
      <c r="O95" s="40"/>
      <c r="P95" s="8"/>
      <c r="Q95" s="8"/>
      <c r="R95" s="8"/>
      <c r="S95" s="8"/>
      <c r="T95" s="39">
        <f t="shared" si="10"/>
        <v>0</v>
      </c>
      <c r="U95" s="5">
        <f t="shared" si="11"/>
        <v>0</v>
      </c>
      <c r="V95" s="42">
        <f t="shared" si="12"/>
        <v>0</v>
      </c>
      <c r="W95" s="8"/>
      <c r="X95" s="8"/>
      <c r="Y95" s="8"/>
      <c r="Z95" s="8"/>
      <c r="AA95" s="8"/>
      <c r="AB95" s="8"/>
      <c r="AC95" s="8"/>
    </row>
    <row r="96" spans="2:29">
      <c r="B96" s="64">
        <v>46</v>
      </c>
      <c r="C96" s="1" t="s">
        <v>111</v>
      </c>
      <c r="D96" s="64">
        <v>8</v>
      </c>
      <c r="E96" s="2" t="s">
        <v>66</v>
      </c>
      <c r="F96" s="25">
        <v>17500</v>
      </c>
      <c r="G96" s="65">
        <f>ROUND(D96*F96,0)</f>
        <v>140000</v>
      </c>
      <c r="H96" s="70">
        <f>D96</f>
        <v>8</v>
      </c>
      <c r="I96" s="64" t="str">
        <f>E96</f>
        <v>No</v>
      </c>
      <c r="J96" s="65">
        <f>F96</f>
        <v>17500</v>
      </c>
      <c r="K96" s="65">
        <f>ROUND(H96*J96,0)</f>
        <v>140000</v>
      </c>
      <c r="L96" s="66">
        <f>IF(K96&gt;G96,K96-G96,0)</f>
        <v>0</v>
      </c>
      <c r="M96" s="65">
        <f>IF(G96&gt;K96,G96-K96,0)</f>
        <v>0</v>
      </c>
      <c r="N96" s="4"/>
      <c r="O96" s="40"/>
      <c r="P96" s="8"/>
      <c r="Q96" s="8"/>
      <c r="R96" s="8"/>
      <c r="S96" s="8"/>
      <c r="T96" s="39">
        <f t="shared" si="10"/>
        <v>140000</v>
      </c>
      <c r="U96" s="5">
        <f t="shared" si="11"/>
        <v>140000</v>
      </c>
      <c r="V96" s="42">
        <f t="shared" si="12"/>
        <v>0</v>
      </c>
      <c r="W96" s="8"/>
      <c r="X96" s="8"/>
      <c r="Y96" s="8"/>
      <c r="Z96" s="8"/>
      <c r="AA96" s="8"/>
      <c r="AB96" s="8"/>
      <c r="AC96" s="8"/>
    </row>
    <row r="97" spans="2:29">
      <c r="B97" s="7"/>
      <c r="C97" s="4"/>
      <c r="D97" s="4"/>
      <c r="E97" s="4"/>
      <c r="F97" s="4"/>
      <c r="G97" s="4"/>
      <c r="H97" s="73"/>
      <c r="I97" s="4"/>
      <c r="J97" s="4"/>
      <c r="K97" s="4"/>
      <c r="L97" s="7"/>
      <c r="M97" s="4"/>
      <c r="N97" s="4"/>
      <c r="O97" s="40"/>
      <c r="P97" s="8"/>
      <c r="Q97" s="8"/>
      <c r="R97" s="8"/>
      <c r="S97" s="8"/>
      <c r="T97" s="39">
        <f t="shared" si="10"/>
        <v>0</v>
      </c>
      <c r="U97" s="5">
        <f t="shared" si="11"/>
        <v>0</v>
      </c>
      <c r="V97" s="42">
        <f t="shared" si="12"/>
        <v>0</v>
      </c>
      <c r="W97" s="8"/>
      <c r="X97" s="8"/>
      <c r="Y97" s="8"/>
      <c r="Z97" s="8"/>
      <c r="AA97" s="8"/>
      <c r="AB97" s="8"/>
      <c r="AC97" s="8"/>
    </row>
    <row r="98" spans="2:29">
      <c r="B98" s="67">
        <v>47</v>
      </c>
      <c r="C98" s="26" t="s">
        <v>112</v>
      </c>
      <c r="D98" s="67">
        <v>3</v>
      </c>
      <c r="E98" s="27" t="s">
        <v>66</v>
      </c>
      <c r="F98" s="28">
        <v>20000</v>
      </c>
      <c r="G98" s="68">
        <f>ROUND(D98*F98,0)</f>
        <v>60000</v>
      </c>
      <c r="H98" s="76">
        <f>D98</f>
        <v>3</v>
      </c>
      <c r="I98" s="67" t="str">
        <f>E98</f>
        <v>No</v>
      </c>
      <c r="J98" s="68">
        <f>F98</f>
        <v>20000</v>
      </c>
      <c r="K98" s="68">
        <f>ROUND(H98*J98,0)</f>
        <v>60000</v>
      </c>
      <c r="L98" s="69">
        <f>IF(K98&gt;G98,K98-G98,0)</f>
        <v>0</v>
      </c>
      <c r="M98" s="68">
        <f>IF(G98&gt;K98,G98-K98,0)</f>
        <v>0</v>
      </c>
      <c r="N98" s="60"/>
      <c r="O98" s="88"/>
      <c r="P98" s="18"/>
      <c r="Q98" s="18"/>
      <c r="R98" s="8"/>
      <c r="S98" s="8"/>
      <c r="T98" s="39">
        <f t="shared" si="10"/>
        <v>60000</v>
      </c>
      <c r="U98" s="5">
        <f t="shared" si="11"/>
        <v>60000</v>
      </c>
      <c r="V98" s="42">
        <f t="shared" si="12"/>
        <v>0</v>
      </c>
      <c r="W98" s="8"/>
      <c r="X98" s="8"/>
      <c r="Y98" s="8"/>
      <c r="Z98" s="8"/>
      <c r="AA98" s="8"/>
      <c r="AB98" s="8"/>
      <c r="AC98" s="8"/>
    </row>
    <row r="99" spans="2:29">
      <c r="B99" s="7"/>
      <c r="C99" s="4"/>
      <c r="D99" s="4"/>
      <c r="E99" s="4"/>
      <c r="F99" s="4"/>
      <c r="G99" s="4"/>
      <c r="H99" s="73"/>
      <c r="I99" s="4"/>
      <c r="J99" s="4"/>
      <c r="K99" s="4"/>
      <c r="L99" s="7"/>
      <c r="M99" s="4"/>
      <c r="N99" s="4"/>
      <c r="O99" s="40"/>
      <c r="P99" s="8"/>
      <c r="Q99" s="8"/>
      <c r="R99" s="8"/>
      <c r="S99" s="8"/>
      <c r="T99" s="39">
        <f t="shared" si="10"/>
        <v>0</v>
      </c>
      <c r="U99" s="5">
        <f t="shared" si="11"/>
        <v>0</v>
      </c>
      <c r="V99" s="42">
        <f t="shared" si="12"/>
        <v>0</v>
      </c>
      <c r="W99" s="8"/>
      <c r="X99" s="8"/>
      <c r="Y99" s="8"/>
      <c r="Z99" s="8"/>
      <c r="AA99" s="8"/>
      <c r="AB99" s="8"/>
      <c r="AC99" s="8"/>
    </row>
    <row r="100" spans="2:29">
      <c r="B100" s="64">
        <v>48</v>
      </c>
      <c r="C100" s="1" t="s">
        <v>113</v>
      </c>
      <c r="D100" s="64">
        <v>1</v>
      </c>
      <c r="E100" s="2" t="s">
        <v>114</v>
      </c>
      <c r="F100" s="66"/>
      <c r="G100" s="65">
        <f>ROUND(D100*F100,0)</f>
        <v>0</v>
      </c>
      <c r="H100" s="70">
        <f>D100</f>
        <v>1</v>
      </c>
      <c r="I100" s="64" t="str">
        <f>E100</f>
        <v>Lot</v>
      </c>
      <c r="J100" s="65">
        <f>F100</f>
        <v>0</v>
      </c>
      <c r="K100" s="65">
        <f>ROUND(H100*J100,0)</f>
        <v>0</v>
      </c>
      <c r="L100" s="66">
        <f>IF(K100&gt;G100,K100-G100,0)</f>
        <v>0</v>
      </c>
      <c r="M100" s="65">
        <f>IF(G100&gt;K100,G100-K100,0)</f>
        <v>0</v>
      </c>
      <c r="N100" s="4"/>
      <c r="O100" s="40"/>
      <c r="P100" s="8"/>
      <c r="Q100" s="8"/>
      <c r="R100" s="8"/>
      <c r="S100" s="8"/>
      <c r="T100" s="39">
        <f t="shared" si="10"/>
        <v>0</v>
      </c>
      <c r="U100" s="5">
        <f t="shared" si="11"/>
        <v>0</v>
      </c>
      <c r="V100" s="42">
        <f t="shared" si="12"/>
        <v>0</v>
      </c>
      <c r="W100" s="8"/>
      <c r="X100" s="8"/>
      <c r="Y100" s="8"/>
      <c r="Z100" s="8"/>
      <c r="AA100" s="8"/>
      <c r="AB100" s="8"/>
      <c r="AC100" s="8"/>
    </row>
    <row r="101" spans="2:29">
      <c r="B101" s="64"/>
      <c r="C101" s="1"/>
      <c r="D101" s="64"/>
      <c r="E101" s="2"/>
      <c r="F101" s="66"/>
      <c r="G101" s="65"/>
      <c r="H101" s="70"/>
      <c r="I101" s="64"/>
      <c r="J101" s="65"/>
      <c r="K101" s="65"/>
      <c r="L101" s="66"/>
      <c r="M101" s="65"/>
      <c r="N101" s="4"/>
      <c r="O101" s="40"/>
      <c r="P101" s="8"/>
      <c r="Q101" s="8"/>
      <c r="R101" s="8"/>
      <c r="S101" s="8"/>
      <c r="T101" s="39"/>
      <c r="U101" s="5"/>
      <c r="V101" s="42"/>
      <c r="W101" s="8"/>
      <c r="X101" s="8"/>
      <c r="Y101" s="8"/>
      <c r="Z101" s="8"/>
      <c r="AA101" s="8"/>
      <c r="AB101" s="8"/>
      <c r="AC101" s="8"/>
    </row>
    <row r="102" spans="2:29" ht="33.65" customHeight="1">
      <c r="B102" s="64"/>
      <c r="C102" s="82" t="s">
        <v>305</v>
      </c>
      <c r="D102" s="64"/>
      <c r="E102" s="2"/>
      <c r="F102" s="66"/>
      <c r="G102" s="65"/>
      <c r="H102" s="70"/>
      <c r="I102" s="64"/>
      <c r="J102" s="65"/>
      <c r="K102" s="65"/>
      <c r="L102" s="66"/>
      <c r="M102" s="65"/>
      <c r="N102" s="4"/>
      <c r="O102" s="40"/>
      <c r="P102" s="8"/>
      <c r="Q102" s="8"/>
      <c r="R102" s="8"/>
      <c r="S102" s="8"/>
      <c r="T102" s="39"/>
      <c r="U102" s="5"/>
      <c r="V102" s="42"/>
      <c r="W102" s="8"/>
      <c r="X102" s="8"/>
      <c r="Y102" s="8"/>
      <c r="Z102" s="8"/>
      <c r="AA102" s="8"/>
      <c r="AB102" s="8"/>
      <c r="AC102" s="8"/>
    </row>
    <row r="103" spans="2:29">
      <c r="B103" s="64"/>
      <c r="C103" s="1" t="s">
        <v>329</v>
      </c>
      <c r="D103" s="64">
        <v>0</v>
      </c>
      <c r="E103" s="2" t="s">
        <v>14</v>
      </c>
      <c r="F103" s="66"/>
      <c r="G103" s="65"/>
      <c r="H103" s="70">
        <v>5</v>
      </c>
      <c r="I103" s="64" t="s">
        <v>14</v>
      </c>
      <c r="J103" s="65"/>
      <c r="K103" s="65"/>
      <c r="L103" s="66"/>
      <c r="M103" s="65"/>
      <c r="N103" s="4"/>
      <c r="O103" s="40"/>
      <c r="P103" s="8"/>
      <c r="Q103" s="8"/>
      <c r="R103" s="8"/>
      <c r="S103" s="8"/>
      <c r="T103" s="39"/>
      <c r="U103" s="5"/>
      <c r="V103" s="42"/>
      <c r="W103" s="8"/>
      <c r="X103" s="8"/>
      <c r="Y103" s="8"/>
      <c r="Z103" s="8"/>
      <c r="AA103" s="8"/>
      <c r="AB103" s="8"/>
      <c r="AC103" s="8"/>
    </row>
    <row r="104" spans="2:29">
      <c r="B104" s="64"/>
      <c r="C104" s="1" t="s">
        <v>330</v>
      </c>
      <c r="D104" s="64">
        <v>0</v>
      </c>
      <c r="E104" s="2" t="s">
        <v>14</v>
      </c>
      <c r="F104" s="66"/>
      <c r="G104" s="65"/>
      <c r="H104" s="70">
        <v>5</v>
      </c>
      <c r="I104" s="64" t="s">
        <v>14</v>
      </c>
      <c r="J104" s="65"/>
      <c r="K104" s="65"/>
      <c r="L104" s="66"/>
      <c r="M104" s="65"/>
      <c r="N104" s="4"/>
      <c r="O104" s="40"/>
      <c r="P104" s="8"/>
      <c r="Q104" s="8"/>
      <c r="R104" s="8"/>
      <c r="S104" s="8"/>
      <c r="T104" s="39"/>
      <c r="U104" s="5"/>
      <c r="V104" s="42"/>
      <c r="W104" s="8"/>
      <c r="X104" s="8"/>
      <c r="Y104" s="8"/>
      <c r="Z104" s="8"/>
      <c r="AA104" s="8"/>
      <c r="AB104" s="8"/>
      <c r="AC104" s="8"/>
    </row>
    <row r="105" spans="2:29">
      <c r="B105" s="64"/>
      <c r="C105" s="1" t="s">
        <v>316</v>
      </c>
      <c r="D105" s="64">
        <v>0</v>
      </c>
      <c r="E105" s="2" t="s">
        <v>14</v>
      </c>
      <c r="F105" s="66"/>
      <c r="G105" s="65"/>
      <c r="H105" s="70">
        <v>1</v>
      </c>
      <c r="I105" s="64" t="s">
        <v>14</v>
      </c>
      <c r="J105" s="65"/>
      <c r="K105" s="65"/>
      <c r="L105" s="66"/>
      <c r="M105" s="65"/>
      <c r="N105" s="4"/>
      <c r="O105" s="40"/>
      <c r="P105" s="8"/>
      <c r="Q105" s="8"/>
      <c r="R105" s="8"/>
      <c r="S105" s="8"/>
      <c r="T105" s="39"/>
      <c r="U105" s="5"/>
      <c r="V105" s="42"/>
      <c r="W105" s="8"/>
      <c r="X105" s="8"/>
      <c r="Y105" s="8"/>
      <c r="Z105" s="8"/>
      <c r="AA105" s="8"/>
      <c r="AB105" s="8"/>
      <c r="AC105" s="8"/>
    </row>
    <row r="106" spans="2:29">
      <c r="B106" s="64"/>
      <c r="C106" s="1" t="s">
        <v>331</v>
      </c>
      <c r="D106" s="64">
        <v>0</v>
      </c>
      <c r="E106" s="2" t="s">
        <v>14</v>
      </c>
      <c r="F106" s="66"/>
      <c r="G106" s="65"/>
      <c r="H106" s="70">
        <v>1</v>
      </c>
      <c r="I106" s="64" t="s">
        <v>14</v>
      </c>
      <c r="J106" s="65"/>
      <c r="K106" s="65"/>
      <c r="L106" s="66"/>
      <c r="M106" s="65"/>
      <c r="N106" s="4"/>
      <c r="O106" s="40"/>
      <c r="P106" s="8"/>
      <c r="Q106" s="8"/>
      <c r="R106" s="8"/>
      <c r="S106" s="8"/>
      <c r="T106" s="39"/>
      <c r="U106" s="5"/>
      <c r="V106" s="42"/>
      <c r="W106" s="8"/>
      <c r="X106" s="8"/>
      <c r="Y106" s="8"/>
      <c r="Z106" s="8"/>
      <c r="AA106" s="8"/>
      <c r="AB106" s="8"/>
      <c r="AC106" s="8"/>
    </row>
    <row r="107" spans="2:29">
      <c r="B107" s="64"/>
      <c r="C107" s="1" t="s">
        <v>332</v>
      </c>
      <c r="D107" s="64">
        <v>0</v>
      </c>
      <c r="E107" s="2" t="s">
        <v>14</v>
      </c>
      <c r="F107" s="66"/>
      <c r="G107" s="65"/>
      <c r="H107" s="70">
        <v>1</v>
      </c>
      <c r="I107" s="64" t="s">
        <v>14</v>
      </c>
      <c r="J107" s="65"/>
      <c r="K107" s="65"/>
      <c r="L107" s="66"/>
      <c r="M107" s="65"/>
      <c r="N107" s="4"/>
      <c r="O107" s="40"/>
      <c r="P107" s="8"/>
      <c r="Q107" s="8"/>
      <c r="R107" s="8"/>
      <c r="S107" s="8"/>
      <c r="T107" s="39"/>
      <c r="U107" s="5"/>
      <c r="V107" s="42"/>
      <c r="W107" s="8"/>
      <c r="X107" s="8"/>
      <c r="Y107" s="8"/>
      <c r="Z107" s="8"/>
      <c r="AA107" s="8"/>
      <c r="AB107" s="8"/>
      <c r="AC107" s="8"/>
    </row>
    <row r="108" spans="2:29">
      <c r="B108" s="64"/>
      <c r="C108" s="1" t="s">
        <v>32</v>
      </c>
      <c r="D108" s="64">
        <v>0</v>
      </c>
      <c r="E108" s="2" t="s">
        <v>14</v>
      </c>
      <c r="F108" s="66"/>
      <c r="G108" s="65"/>
      <c r="H108" s="70">
        <v>1</v>
      </c>
      <c r="I108" s="64" t="s">
        <v>14</v>
      </c>
      <c r="J108" s="65"/>
      <c r="K108" s="65"/>
      <c r="L108" s="66"/>
      <c r="M108" s="65"/>
      <c r="N108" s="4"/>
      <c r="O108" s="40"/>
      <c r="P108" s="8"/>
      <c r="Q108" s="8"/>
      <c r="R108" s="8"/>
      <c r="S108" s="8"/>
      <c r="T108" s="39"/>
      <c r="U108" s="5"/>
      <c r="V108" s="42"/>
      <c r="W108" s="8"/>
      <c r="X108" s="8"/>
      <c r="Y108" s="8"/>
      <c r="Z108" s="8"/>
      <c r="AA108" s="8"/>
      <c r="AB108" s="8"/>
      <c r="AC108" s="8"/>
    </row>
    <row r="109" spans="2:29">
      <c r="B109" s="64"/>
      <c r="C109" s="1" t="s">
        <v>333</v>
      </c>
      <c r="D109" s="64">
        <v>0</v>
      </c>
      <c r="E109" s="2" t="s">
        <v>14</v>
      </c>
      <c r="F109" s="66"/>
      <c r="G109" s="65"/>
      <c r="H109" s="70">
        <v>1</v>
      </c>
      <c r="I109" s="64" t="s">
        <v>14</v>
      </c>
      <c r="J109" s="65"/>
      <c r="K109" s="65"/>
      <c r="L109" s="66"/>
      <c r="M109" s="65"/>
      <c r="N109" s="4"/>
      <c r="O109" s="40"/>
      <c r="P109" s="8"/>
      <c r="Q109" s="8"/>
      <c r="R109" s="8"/>
      <c r="S109" s="8"/>
      <c r="T109" s="39"/>
      <c r="U109" s="5"/>
      <c r="V109" s="42"/>
      <c r="W109" s="8"/>
      <c r="X109" s="8"/>
      <c r="Y109" s="8"/>
      <c r="Z109" s="8"/>
      <c r="AA109" s="8"/>
      <c r="AB109" s="8"/>
      <c r="AC109" s="8"/>
    </row>
    <row r="110" spans="2:29">
      <c r="B110" s="64"/>
      <c r="C110" s="1" t="s">
        <v>334</v>
      </c>
      <c r="D110" s="64">
        <v>0</v>
      </c>
      <c r="E110" s="2" t="s">
        <v>14</v>
      </c>
      <c r="F110" s="66"/>
      <c r="G110" s="65"/>
      <c r="H110" s="70">
        <v>1</v>
      </c>
      <c r="I110" s="64" t="s">
        <v>14</v>
      </c>
      <c r="J110" s="65"/>
      <c r="K110" s="65"/>
      <c r="L110" s="66"/>
      <c r="M110" s="65"/>
      <c r="N110" s="4"/>
      <c r="O110" s="40"/>
      <c r="P110" s="8"/>
      <c r="Q110" s="8"/>
      <c r="R110" s="8"/>
      <c r="S110" s="8"/>
      <c r="T110" s="39"/>
      <c r="U110" s="5"/>
      <c r="V110" s="42"/>
      <c r="W110" s="8"/>
      <c r="X110" s="8"/>
      <c r="Y110" s="8"/>
      <c r="Z110" s="8"/>
      <c r="AA110" s="8"/>
      <c r="AB110" s="8"/>
      <c r="AC110" s="8"/>
    </row>
    <row r="111" spans="2:29">
      <c r="B111" s="64"/>
      <c r="C111" s="1" t="s">
        <v>335</v>
      </c>
      <c r="D111" s="64">
        <v>0</v>
      </c>
      <c r="E111" s="2" t="s">
        <v>14</v>
      </c>
      <c r="F111" s="66"/>
      <c r="G111" s="65"/>
      <c r="H111" s="70">
        <v>1</v>
      </c>
      <c r="I111" s="64" t="s">
        <v>14</v>
      </c>
      <c r="J111" s="65"/>
      <c r="K111" s="65"/>
      <c r="L111" s="66"/>
      <c r="M111" s="65"/>
      <c r="N111" s="4"/>
      <c r="O111" s="40"/>
      <c r="P111" s="8"/>
      <c r="Q111" s="8"/>
      <c r="R111" s="8"/>
      <c r="S111" s="8"/>
      <c r="T111" s="39"/>
      <c r="U111" s="5"/>
      <c r="V111" s="42"/>
      <c r="W111" s="8"/>
      <c r="X111" s="8"/>
      <c r="Y111" s="8"/>
      <c r="Z111" s="8"/>
      <c r="AA111" s="8"/>
      <c r="AB111" s="8"/>
      <c r="AC111" s="8"/>
    </row>
    <row r="112" spans="2:29">
      <c r="B112" s="64"/>
      <c r="C112" s="1" t="s">
        <v>336</v>
      </c>
      <c r="D112" s="64">
        <v>0</v>
      </c>
      <c r="E112" s="2" t="s">
        <v>14</v>
      </c>
      <c r="F112" s="66"/>
      <c r="G112" s="65"/>
      <c r="H112" s="70">
        <v>2</v>
      </c>
      <c r="I112" s="64" t="s">
        <v>14</v>
      </c>
      <c r="J112" s="65"/>
      <c r="K112" s="65"/>
      <c r="L112" s="66"/>
      <c r="M112" s="65"/>
      <c r="N112" s="4"/>
      <c r="O112" s="40"/>
      <c r="P112" s="8"/>
      <c r="Q112" s="8"/>
      <c r="R112" s="8"/>
      <c r="S112" s="8"/>
      <c r="T112" s="39"/>
      <c r="U112" s="5"/>
      <c r="V112" s="42"/>
      <c r="W112" s="8"/>
      <c r="X112" s="8"/>
      <c r="Y112" s="8"/>
      <c r="Z112" s="8"/>
      <c r="AA112" s="8"/>
      <c r="AB112" s="8"/>
      <c r="AC112" s="8"/>
    </row>
    <row r="113" spans="2:29">
      <c r="B113" s="64"/>
      <c r="C113" s="1" t="s">
        <v>337</v>
      </c>
      <c r="D113" s="64">
        <v>0</v>
      </c>
      <c r="E113" s="2" t="s">
        <v>14</v>
      </c>
      <c r="F113" s="66"/>
      <c r="G113" s="65"/>
      <c r="H113" s="70">
        <v>2</v>
      </c>
      <c r="I113" s="64" t="s">
        <v>14</v>
      </c>
      <c r="J113" s="65"/>
      <c r="K113" s="65"/>
      <c r="L113" s="66"/>
      <c r="M113" s="65"/>
      <c r="N113" s="4"/>
      <c r="O113" s="40"/>
      <c r="P113" s="8"/>
      <c r="Q113" s="8"/>
      <c r="R113" s="8"/>
      <c r="S113" s="8"/>
      <c r="T113" s="39"/>
      <c r="U113" s="5"/>
      <c r="V113" s="42"/>
      <c r="W113" s="8"/>
      <c r="X113" s="8"/>
      <c r="Y113" s="8"/>
      <c r="Z113" s="8"/>
      <c r="AA113" s="8"/>
      <c r="AB113" s="8"/>
      <c r="AC113" s="8"/>
    </row>
    <row r="114" spans="2:29">
      <c r="B114" s="64"/>
      <c r="C114" s="1" t="s">
        <v>338</v>
      </c>
      <c r="D114" s="64">
        <v>0</v>
      </c>
      <c r="E114" s="2" t="s">
        <v>14</v>
      </c>
      <c r="F114" s="66"/>
      <c r="G114" s="65"/>
      <c r="H114" s="70">
        <v>2</v>
      </c>
      <c r="I114" s="64" t="s">
        <v>14</v>
      </c>
      <c r="J114" s="65"/>
      <c r="K114" s="65"/>
      <c r="L114" s="66"/>
      <c r="M114" s="65"/>
      <c r="N114" s="4"/>
      <c r="O114" s="40"/>
      <c r="P114" s="8"/>
      <c r="Q114" s="8"/>
      <c r="R114" s="8"/>
      <c r="S114" s="8"/>
      <c r="T114" s="39"/>
      <c r="U114" s="5"/>
      <c r="V114" s="42"/>
      <c r="W114" s="8"/>
      <c r="X114" s="8"/>
      <c r="Y114" s="8"/>
      <c r="Z114" s="8"/>
      <c r="AA114" s="8"/>
      <c r="AB114" s="8"/>
      <c r="AC114" s="8"/>
    </row>
    <row r="115" spans="2:29">
      <c r="B115" s="64"/>
      <c r="C115" s="4" t="s">
        <v>342</v>
      </c>
      <c r="D115" s="64">
        <v>0</v>
      </c>
      <c r="E115" s="2" t="s">
        <v>14</v>
      </c>
      <c r="F115" s="8"/>
      <c r="G115" s="8"/>
      <c r="H115" s="16">
        <v>5</v>
      </c>
      <c r="I115" s="64" t="s">
        <v>14</v>
      </c>
      <c r="J115" s="65"/>
      <c r="K115" s="65"/>
      <c r="L115" s="66"/>
      <c r="M115" s="65"/>
      <c r="N115" s="4"/>
      <c r="O115" s="40"/>
      <c r="P115" s="8"/>
      <c r="Q115" s="8"/>
      <c r="R115" s="8"/>
      <c r="S115" s="8"/>
      <c r="T115" s="39"/>
      <c r="U115" s="5"/>
      <c r="V115" s="42"/>
      <c r="W115" s="8"/>
      <c r="X115" s="8"/>
      <c r="Y115" s="8"/>
      <c r="Z115" s="8"/>
      <c r="AA115" s="8"/>
      <c r="AB115" s="8"/>
      <c r="AC115" s="8"/>
    </row>
    <row r="116" spans="2:29">
      <c r="B116" s="64"/>
      <c r="C116" s="4"/>
      <c r="D116" s="8"/>
      <c r="E116" s="8"/>
      <c r="F116" s="8"/>
      <c r="G116" s="8"/>
      <c r="H116" s="110"/>
      <c r="I116" s="8"/>
      <c r="J116" s="65"/>
      <c r="K116" s="65"/>
      <c r="L116" s="66"/>
      <c r="M116" s="65"/>
      <c r="N116" s="4"/>
      <c r="O116" s="40"/>
      <c r="P116" s="8"/>
      <c r="Q116" s="8"/>
      <c r="R116" s="8"/>
      <c r="S116" s="8"/>
      <c r="T116" s="39"/>
      <c r="U116" s="5"/>
      <c r="V116" s="42"/>
      <c r="W116" s="8"/>
      <c r="X116" s="8"/>
      <c r="Y116" s="8"/>
      <c r="Z116" s="8"/>
      <c r="AA116" s="8"/>
      <c r="AB116" s="8"/>
      <c r="AC116" s="8"/>
    </row>
    <row r="117" spans="2:29">
      <c r="B117" s="64"/>
      <c r="C117" s="4"/>
      <c r="D117" s="8"/>
      <c r="E117" s="8"/>
      <c r="F117" s="8"/>
      <c r="G117" s="8"/>
      <c r="H117" s="110"/>
      <c r="I117" s="8"/>
      <c r="J117" s="65"/>
      <c r="K117" s="65"/>
      <c r="L117" s="66"/>
      <c r="M117" s="65"/>
      <c r="N117" s="4"/>
      <c r="O117" s="40"/>
      <c r="P117" s="8"/>
      <c r="Q117" s="8"/>
      <c r="R117" s="8"/>
      <c r="S117" s="8"/>
      <c r="T117" s="39"/>
      <c r="U117" s="5"/>
      <c r="V117" s="42"/>
      <c r="W117" s="8"/>
      <c r="X117" s="8"/>
      <c r="Y117" s="8"/>
      <c r="Z117" s="8"/>
      <c r="AA117" s="8"/>
      <c r="AB117" s="8"/>
      <c r="AC117" s="8"/>
    </row>
    <row r="118" spans="2:29">
      <c r="B118" s="64"/>
      <c r="C118" s="4"/>
      <c r="D118" s="8"/>
      <c r="E118" s="8"/>
      <c r="F118" s="8"/>
      <c r="G118" s="8"/>
      <c r="H118" s="110"/>
      <c r="I118" s="8"/>
      <c r="J118" s="65"/>
      <c r="K118" s="65"/>
      <c r="L118" s="66"/>
      <c r="M118" s="65"/>
      <c r="N118" s="4"/>
      <c r="O118" s="40"/>
      <c r="P118" s="8"/>
      <c r="Q118" s="8"/>
      <c r="R118" s="8"/>
      <c r="S118" s="8"/>
      <c r="T118" s="39"/>
      <c r="U118" s="5"/>
      <c r="V118" s="42"/>
      <c r="W118" s="8"/>
      <c r="X118" s="8"/>
      <c r="Y118" s="8"/>
      <c r="Z118" s="8"/>
      <c r="AA118" s="8"/>
      <c r="AB118" s="8"/>
      <c r="AC118" s="8"/>
    </row>
    <row r="119" spans="2:29">
      <c r="B119" s="64"/>
      <c r="C119" s="1"/>
      <c r="D119" s="64"/>
      <c r="E119" s="2"/>
      <c r="F119" s="66"/>
      <c r="G119" s="65"/>
      <c r="H119" s="70"/>
      <c r="I119" s="64"/>
      <c r="J119" s="65"/>
      <c r="K119" s="65"/>
      <c r="L119" s="66"/>
      <c r="M119" s="65"/>
      <c r="N119" s="4"/>
      <c r="O119" s="40"/>
      <c r="P119" s="8"/>
      <c r="Q119" s="8"/>
      <c r="R119" s="8"/>
      <c r="S119" s="8"/>
      <c r="T119" s="39"/>
      <c r="U119" s="5"/>
      <c r="V119" s="42"/>
      <c r="W119" s="8"/>
      <c r="X119" s="8"/>
      <c r="Y119" s="8"/>
      <c r="Z119" s="8"/>
      <c r="AA119" s="8"/>
      <c r="AB119" s="8"/>
      <c r="AC119" s="8"/>
    </row>
    <row r="120" spans="2:29">
      <c r="B120" s="64"/>
      <c r="C120" s="1"/>
      <c r="D120" s="64"/>
      <c r="E120" s="2"/>
      <c r="F120" s="66"/>
      <c r="G120" s="65"/>
      <c r="H120" s="70"/>
      <c r="I120" s="64"/>
      <c r="J120" s="65"/>
      <c r="K120" s="65"/>
      <c r="L120" s="66"/>
      <c r="M120" s="65"/>
      <c r="N120" s="4"/>
      <c r="O120" s="40"/>
      <c r="P120" s="8"/>
      <c r="Q120" s="8"/>
      <c r="R120" s="8"/>
      <c r="S120" s="8"/>
      <c r="T120" s="39"/>
      <c r="U120" s="5"/>
      <c r="V120" s="42"/>
      <c r="W120" s="8"/>
      <c r="X120" s="8"/>
      <c r="Y120" s="8"/>
      <c r="Z120" s="8"/>
      <c r="AA120" s="8"/>
      <c r="AB120" s="8"/>
      <c r="AC120" s="8"/>
    </row>
    <row r="121" spans="2:29">
      <c r="B121" s="64"/>
      <c r="C121" s="1"/>
      <c r="D121" s="64"/>
      <c r="E121" s="2"/>
      <c r="F121" s="66"/>
      <c r="G121" s="65"/>
      <c r="H121" s="70"/>
      <c r="I121" s="64"/>
      <c r="J121" s="65"/>
      <c r="K121" s="65"/>
      <c r="L121" s="66"/>
      <c r="M121" s="65"/>
      <c r="N121" s="4"/>
      <c r="O121" s="40"/>
      <c r="P121" s="8"/>
      <c r="Q121" s="8"/>
      <c r="R121" s="8"/>
      <c r="S121" s="8"/>
      <c r="T121" s="39"/>
      <c r="U121" s="5"/>
      <c r="V121" s="42"/>
      <c r="W121" s="8"/>
      <c r="X121" s="8"/>
      <c r="Y121" s="8"/>
      <c r="Z121" s="8"/>
      <c r="AA121" s="8"/>
      <c r="AB121" s="8"/>
      <c r="AC121" s="8"/>
    </row>
    <row r="122" spans="2:29" ht="31.9" customHeight="1">
      <c r="B122" s="7"/>
      <c r="C122" s="4"/>
      <c r="D122" s="4"/>
      <c r="E122" s="4"/>
      <c r="F122" s="4"/>
      <c r="G122" s="4"/>
      <c r="H122" s="73"/>
      <c r="I122" s="4"/>
      <c r="J122" s="4"/>
      <c r="K122" s="4"/>
      <c r="L122" s="7"/>
      <c r="M122" s="4"/>
      <c r="N122" s="4"/>
      <c r="O122" s="40"/>
      <c r="P122" s="8"/>
      <c r="Q122" s="8"/>
      <c r="R122" s="8"/>
      <c r="S122" s="8"/>
      <c r="T122" s="39">
        <f t="shared" si="10"/>
        <v>0</v>
      </c>
      <c r="U122" s="5">
        <f t="shared" si="11"/>
        <v>0</v>
      </c>
      <c r="V122" s="42">
        <f t="shared" si="12"/>
        <v>0</v>
      </c>
      <c r="W122" s="8"/>
      <c r="X122" s="8"/>
      <c r="Y122" s="8"/>
      <c r="Z122" s="8"/>
      <c r="AA122" s="8"/>
      <c r="AB122" s="8"/>
      <c r="AC122" s="8"/>
    </row>
    <row r="123" spans="2:29">
      <c r="B123" s="64"/>
      <c r="C123" s="20" t="s">
        <v>273</v>
      </c>
      <c r="D123" s="64"/>
      <c r="E123" s="2"/>
      <c r="F123" s="66"/>
      <c r="G123" s="65"/>
      <c r="H123" s="70"/>
      <c r="I123" s="64"/>
      <c r="J123" s="65"/>
      <c r="K123" s="65"/>
      <c r="L123" s="66"/>
      <c r="M123" s="65"/>
      <c r="N123" s="4"/>
      <c r="O123" s="40"/>
      <c r="P123" s="8"/>
      <c r="Q123" s="8"/>
      <c r="R123" s="8"/>
      <c r="S123" s="8"/>
      <c r="T123" s="39">
        <f t="shared" si="10"/>
        <v>0</v>
      </c>
      <c r="U123" s="5">
        <f t="shared" si="11"/>
        <v>0</v>
      </c>
      <c r="V123" s="42">
        <f t="shared" si="12"/>
        <v>0</v>
      </c>
      <c r="W123" s="8"/>
      <c r="X123" s="8"/>
      <c r="Y123" s="8"/>
      <c r="Z123" s="8"/>
      <c r="AA123" s="8"/>
      <c r="AB123" s="8"/>
      <c r="AC123" s="8"/>
    </row>
    <row r="124" spans="2:29" ht="47.65" customHeight="1">
      <c r="B124" s="64">
        <v>49</v>
      </c>
      <c r="C124" s="1" t="s">
        <v>115</v>
      </c>
      <c r="D124" s="64">
        <v>110</v>
      </c>
      <c r="E124" s="2" t="s">
        <v>57</v>
      </c>
      <c r="F124" s="25">
        <v>398</v>
      </c>
      <c r="G124" s="65">
        <f>ROUND(D124*F124,0)</f>
        <v>43780</v>
      </c>
      <c r="H124" s="77">
        <f>31.21+1.467</f>
        <v>32.677</v>
      </c>
      <c r="I124" s="64" t="str">
        <f>E124</f>
        <v>Cum</v>
      </c>
      <c r="J124" s="65">
        <f>F124</f>
        <v>398</v>
      </c>
      <c r="K124" s="65">
        <f>ROUND(H124*J124,0)</f>
        <v>13005</v>
      </c>
      <c r="L124" s="66">
        <f>IF(K124&gt;G124,K124-G124,0)</f>
        <v>0</v>
      </c>
      <c r="M124" s="65">
        <f>IF(G124&gt;K124,G124-K124,0)</f>
        <v>30775</v>
      </c>
      <c r="N124" s="4"/>
      <c r="O124" s="40"/>
      <c r="P124" s="8"/>
      <c r="Q124" s="8"/>
      <c r="R124" s="8"/>
      <c r="S124" s="8"/>
      <c r="T124" s="39">
        <f t="shared" si="10"/>
        <v>43780</v>
      </c>
      <c r="U124" s="5">
        <f t="shared" si="11"/>
        <v>13005.446</v>
      </c>
      <c r="V124" s="42">
        <f t="shared" si="12"/>
        <v>-30774.554</v>
      </c>
      <c r="W124" s="8"/>
      <c r="X124" s="8"/>
      <c r="Y124" s="8"/>
      <c r="Z124" s="8"/>
      <c r="AA124" s="8"/>
      <c r="AB124" s="8"/>
      <c r="AC124" s="8"/>
    </row>
    <row r="125" spans="2:29">
      <c r="B125" s="7"/>
      <c r="C125" s="4"/>
      <c r="D125" s="4"/>
      <c r="E125" s="4"/>
      <c r="F125" s="4"/>
      <c r="G125" s="4"/>
      <c r="H125" s="73"/>
      <c r="I125" s="4"/>
      <c r="J125" s="4"/>
      <c r="K125" s="4"/>
      <c r="L125" s="7"/>
      <c r="M125" s="4"/>
      <c r="N125" s="4"/>
      <c r="O125" s="40"/>
      <c r="P125" s="8"/>
      <c r="Q125" s="8"/>
      <c r="R125" s="8"/>
      <c r="S125" s="8"/>
      <c r="T125" s="39"/>
      <c r="U125" s="5"/>
      <c r="V125" s="42"/>
      <c r="W125" s="8"/>
      <c r="X125" s="8"/>
      <c r="Y125" s="8"/>
      <c r="Z125" s="8"/>
      <c r="AA125" s="8"/>
      <c r="AB125" s="8"/>
      <c r="AC125" s="8"/>
    </row>
    <row r="126" spans="2:29" s="52" customFormat="1" ht="81.75" customHeight="1">
      <c r="B126" s="64">
        <v>50</v>
      </c>
      <c r="C126" s="1" t="s">
        <v>116</v>
      </c>
      <c r="D126" s="64">
        <v>16</v>
      </c>
      <c r="E126" s="2" t="s">
        <v>66</v>
      </c>
      <c r="F126" s="25">
        <v>350</v>
      </c>
      <c r="G126" s="65">
        <f>ROUND(D126*F126,0)</f>
        <v>5600</v>
      </c>
      <c r="H126" s="77">
        <v>2</v>
      </c>
      <c r="I126" s="64" t="str">
        <f>E126</f>
        <v>No</v>
      </c>
      <c r="J126" s="65">
        <f>F126</f>
        <v>350</v>
      </c>
      <c r="K126" s="65">
        <f>ROUND(H126*J126,0)</f>
        <v>700</v>
      </c>
      <c r="L126" s="66">
        <f>IF(K126&gt;G126,K126-G126,0)</f>
        <v>0</v>
      </c>
      <c r="M126" s="65">
        <f>IF(G126&gt;K126,G126-K126,0)</f>
        <v>4900</v>
      </c>
      <c r="N126" s="4"/>
      <c r="O126" s="40"/>
      <c r="P126" s="8"/>
      <c r="Q126" s="8"/>
      <c r="R126" s="48"/>
      <c r="S126" s="48"/>
      <c r="T126" s="49"/>
      <c r="U126" s="50"/>
      <c r="V126" s="51"/>
      <c r="W126" s="48"/>
      <c r="X126" s="48"/>
      <c r="Y126" s="48"/>
      <c r="Z126" s="48"/>
      <c r="AA126" s="48"/>
      <c r="AB126" s="48"/>
      <c r="AC126" s="48"/>
    </row>
    <row r="127" spans="2:29" s="52" customFormat="1">
      <c r="B127" s="7"/>
      <c r="C127" s="4"/>
      <c r="D127" s="4"/>
      <c r="E127" s="4"/>
      <c r="F127" s="4"/>
      <c r="G127" s="4"/>
      <c r="H127" s="73"/>
      <c r="I127" s="4"/>
      <c r="J127" s="4"/>
      <c r="K127" s="4"/>
      <c r="L127" s="7"/>
      <c r="M127" s="4"/>
      <c r="N127" s="4"/>
      <c r="O127" s="40"/>
      <c r="P127" s="8"/>
      <c r="Q127" s="8"/>
      <c r="R127" s="48"/>
      <c r="S127" s="48"/>
      <c r="T127" s="49"/>
      <c r="U127" s="50"/>
      <c r="V127" s="51"/>
      <c r="W127" s="48"/>
      <c r="X127" s="48"/>
      <c r="Y127" s="48"/>
      <c r="Z127" s="48"/>
      <c r="AA127" s="48"/>
      <c r="AB127" s="48"/>
      <c r="AC127" s="48"/>
    </row>
    <row r="128" spans="2:29" ht="47.65" customHeight="1">
      <c r="B128" s="64">
        <v>51</v>
      </c>
      <c r="C128" s="1" t="s">
        <v>117</v>
      </c>
      <c r="D128" s="64">
        <v>5</v>
      </c>
      <c r="E128" s="2" t="s">
        <v>66</v>
      </c>
      <c r="F128" s="25">
        <v>468</v>
      </c>
      <c r="G128" s="65">
        <f>ROUND(D128*F128,0)</f>
        <v>2340</v>
      </c>
      <c r="H128" s="77">
        <v>5</v>
      </c>
      <c r="I128" s="64" t="str">
        <f>E128</f>
        <v>No</v>
      </c>
      <c r="J128" s="65">
        <f>F128</f>
        <v>468</v>
      </c>
      <c r="K128" s="65">
        <f>ROUND(H128*J128,0)</f>
        <v>2340</v>
      </c>
      <c r="L128" s="66">
        <f>IF(K128&gt;G128,K128-G128,0)</f>
        <v>0</v>
      </c>
      <c r="M128" s="65">
        <f>IF(G128&gt;K128,G128-K128,0)</f>
        <v>0</v>
      </c>
      <c r="N128" s="4"/>
      <c r="O128" s="40"/>
      <c r="P128" s="8"/>
      <c r="Q128" s="8"/>
      <c r="R128" s="8"/>
      <c r="S128" s="8"/>
      <c r="T128" s="39"/>
      <c r="U128" s="5"/>
      <c r="V128" s="42"/>
      <c r="W128" s="8"/>
      <c r="X128" s="8"/>
      <c r="Y128" s="8"/>
      <c r="Z128" s="8"/>
      <c r="AA128" s="8"/>
      <c r="AB128" s="8"/>
      <c r="AC128" s="8"/>
    </row>
    <row r="129" spans="2:29" s="31" customFormat="1">
      <c r="B129" s="7"/>
      <c r="C129" s="4"/>
      <c r="D129" s="4"/>
      <c r="E129" s="4"/>
      <c r="F129" s="4"/>
      <c r="G129" s="4"/>
      <c r="H129" s="73"/>
      <c r="I129" s="4"/>
      <c r="J129" s="4"/>
      <c r="K129" s="4"/>
      <c r="L129" s="7"/>
      <c r="M129" s="4"/>
      <c r="N129" s="4"/>
      <c r="O129" s="40"/>
      <c r="P129" s="8"/>
      <c r="Q129" s="8"/>
      <c r="R129" s="30"/>
      <c r="S129" s="30"/>
      <c r="T129" s="56">
        <f t="shared" si="10"/>
        <v>0</v>
      </c>
      <c r="U129" s="57">
        <f t="shared" si="11"/>
        <v>0</v>
      </c>
      <c r="V129" s="58">
        <f t="shared" si="12"/>
        <v>0</v>
      </c>
      <c r="W129" s="30"/>
      <c r="X129" s="30"/>
      <c r="Y129" s="30"/>
      <c r="Z129" s="30"/>
      <c r="AA129" s="30"/>
      <c r="AB129" s="30"/>
      <c r="AC129" s="30"/>
    </row>
    <row r="130" spans="2:29" ht="46.5">
      <c r="B130" s="64">
        <v>52</v>
      </c>
      <c r="C130" s="1" t="s">
        <v>118</v>
      </c>
      <c r="D130" s="64">
        <v>110</v>
      </c>
      <c r="E130" s="2" t="s">
        <v>57</v>
      </c>
      <c r="F130" s="25">
        <v>454</v>
      </c>
      <c r="G130" s="65">
        <f>ROUND(D130*F130,0)</f>
        <v>49940</v>
      </c>
      <c r="H130" s="77">
        <v>48.7</v>
      </c>
      <c r="I130" s="64" t="str">
        <f>E130</f>
        <v>Cum</v>
      </c>
      <c r="J130" s="65">
        <f>F130</f>
        <v>454</v>
      </c>
      <c r="K130" s="65">
        <f>ROUND(H130*J130,0)</f>
        <v>22110</v>
      </c>
      <c r="L130" s="66">
        <f>IF(K130&gt;G130,K130-G130,0)</f>
        <v>0</v>
      </c>
      <c r="M130" s="65">
        <f>IF(G130&gt;K130,G130-K130,0)</f>
        <v>27830</v>
      </c>
      <c r="N130" s="4"/>
      <c r="O130" s="40"/>
      <c r="P130" s="8"/>
      <c r="Q130" s="8"/>
      <c r="R130" s="8"/>
      <c r="S130" s="8"/>
      <c r="T130" s="39">
        <f t="shared" si="10"/>
        <v>49940</v>
      </c>
      <c r="U130" s="5">
        <f t="shared" si="11"/>
        <v>22109.800000000003</v>
      </c>
      <c r="V130" s="42">
        <f t="shared" si="12"/>
        <v>-27830.199999999997</v>
      </c>
      <c r="W130" s="8"/>
      <c r="X130" s="8"/>
      <c r="Y130" s="8"/>
      <c r="Z130" s="8"/>
      <c r="AA130" s="8"/>
      <c r="AB130" s="8"/>
      <c r="AC130" s="8"/>
    </row>
    <row r="131" spans="2:29" s="31" customFormat="1">
      <c r="B131" s="7"/>
      <c r="C131" s="4"/>
      <c r="D131" s="4"/>
      <c r="E131" s="4"/>
      <c r="F131" s="4"/>
      <c r="G131" s="4"/>
      <c r="H131" s="73"/>
      <c r="I131" s="4"/>
      <c r="J131" s="4"/>
      <c r="K131" s="4"/>
      <c r="L131" s="7"/>
      <c r="M131" s="4"/>
      <c r="N131" s="4"/>
      <c r="O131" s="40"/>
      <c r="P131" s="8"/>
      <c r="Q131" s="8"/>
      <c r="R131" s="30"/>
      <c r="S131" s="30"/>
      <c r="T131" s="56">
        <f t="shared" si="10"/>
        <v>0</v>
      </c>
      <c r="U131" s="57">
        <f t="shared" si="11"/>
        <v>0</v>
      </c>
      <c r="V131" s="58">
        <f t="shared" si="12"/>
        <v>0</v>
      </c>
      <c r="W131" s="30"/>
      <c r="X131" s="30"/>
      <c r="Y131" s="30"/>
      <c r="Z131" s="30"/>
      <c r="AA131" s="30"/>
      <c r="AB131" s="30"/>
      <c r="AC131" s="30"/>
    </row>
    <row r="132" spans="2:29" s="31" customFormat="1" ht="139.5">
      <c r="B132" s="64">
        <v>53</v>
      </c>
      <c r="C132" s="1" t="s">
        <v>119</v>
      </c>
      <c r="D132" s="64">
        <v>12</v>
      </c>
      <c r="E132" s="2" t="s">
        <v>57</v>
      </c>
      <c r="F132" s="25">
        <v>16055</v>
      </c>
      <c r="G132" s="65">
        <f>ROUND(D132*F132,0)</f>
        <v>192660</v>
      </c>
      <c r="H132" s="77">
        <v>12</v>
      </c>
      <c r="I132" s="64" t="str">
        <f>E132</f>
        <v>Cum</v>
      </c>
      <c r="J132" s="65">
        <f>F132</f>
        <v>16055</v>
      </c>
      <c r="K132" s="65">
        <f>ROUND(H132*J132,0)</f>
        <v>192660</v>
      </c>
      <c r="L132" s="66">
        <f>IF(K132&gt;G132,K132-G132,0)</f>
        <v>0</v>
      </c>
      <c r="M132" s="65">
        <f>IF(G132&gt;K132,G132-K132,0)</f>
        <v>0</v>
      </c>
      <c r="N132" s="4"/>
      <c r="O132" s="40"/>
      <c r="P132" s="8"/>
      <c r="Q132" s="8"/>
      <c r="R132" s="30"/>
      <c r="S132" s="30"/>
      <c r="T132" s="56">
        <f t="shared" si="10"/>
        <v>192660</v>
      </c>
      <c r="U132" s="57">
        <f t="shared" si="11"/>
        <v>192660</v>
      </c>
      <c r="V132" s="58">
        <f t="shared" si="12"/>
        <v>0</v>
      </c>
      <c r="W132" s="30"/>
      <c r="X132" s="30"/>
      <c r="Y132" s="30"/>
      <c r="Z132" s="30"/>
      <c r="AA132" s="30"/>
      <c r="AB132" s="30"/>
      <c r="AC132" s="30"/>
    </row>
    <row r="133" spans="2:29" s="31" customFormat="1">
      <c r="B133" s="7"/>
      <c r="C133" s="72" t="s">
        <v>294</v>
      </c>
      <c r="D133" s="4"/>
      <c r="E133" s="4"/>
      <c r="F133" s="4"/>
      <c r="G133" s="4"/>
      <c r="H133" s="73">
        <v>3.27</v>
      </c>
      <c r="I133" s="2" t="s">
        <v>57</v>
      </c>
      <c r="J133" s="25">
        <v>16055</v>
      </c>
      <c r="K133" s="65">
        <f>ROUND(H133*J133,0)</f>
        <v>52500</v>
      </c>
      <c r="L133" s="66">
        <f>IF(K133&gt;G133,K133-G133,0)</f>
        <v>52500</v>
      </c>
      <c r="M133" s="65">
        <f>IF(G133&gt;K133,G133-K133,0)</f>
        <v>0</v>
      </c>
      <c r="N133" s="4"/>
      <c r="O133" s="40"/>
      <c r="P133" s="8"/>
      <c r="Q133" s="8"/>
      <c r="R133" s="30"/>
      <c r="S133" s="30"/>
      <c r="T133" s="56">
        <f t="shared" si="10"/>
        <v>0</v>
      </c>
      <c r="U133" s="57">
        <f t="shared" si="11"/>
        <v>0</v>
      </c>
      <c r="V133" s="58">
        <f t="shared" si="12"/>
        <v>0</v>
      </c>
      <c r="W133" s="30"/>
      <c r="X133" s="30"/>
      <c r="Y133" s="30"/>
      <c r="Z133" s="30"/>
      <c r="AA133" s="30"/>
      <c r="AB133" s="30"/>
      <c r="AC133" s="30"/>
    </row>
    <row r="134" spans="2:29" s="31" customFormat="1" ht="170.5">
      <c r="B134" s="64">
        <v>54</v>
      </c>
      <c r="C134" s="4" t="s">
        <v>120</v>
      </c>
      <c r="D134" s="64">
        <v>395</v>
      </c>
      <c r="E134" s="2" t="s">
        <v>62</v>
      </c>
      <c r="F134" s="25">
        <v>1952</v>
      </c>
      <c r="G134" s="65">
        <f>ROUND(D134*F134,0)</f>
        <v>771040</v>
      </c>
      <c r="H134" s="77">
        <v>191.03</v>
      </c>
      <c r="I134" s="64" t="str">
        <f>E134</f>
        <v>Sqm</v>
      </c>
      <c r="J134" s="65">
        <f>F134</f>
        <v>1952</v>
      </c>
      <c r="K134" s="65">
        <f>ROUND(H134*J134,0)</f>
        <v>372891</v>
      </c>
      <c r="L134" s="66">
        <f>IF(K134&gt;G134,K134-G134,0)</f>
        <v>0</v>
      </c>
      <c r="M134" s="65">
        <f>IF(G134&gt;K134,G134-K134,0)</f>
        <v>398149</v>
      </c>
      <c r="N134" s="4"/>
      <c r="O134" s="40"/>
      <c r="P134" s="8"/>
      <c r="Q134" s="8"/>
      <c r="R134" s="30"/>
      <c r="S134" s="30"/>
      <c r="T134" s="32">
        <f t="shared" si="10"/>
        <v>771040</v>
      </c>
      <c r="U134" s="32">
        <f t="shared" si="11"/>
        <v>372890.56</v>
      </c>
      <c r="V134" s="32">
        <f t="shared" si="12"/>
        <v>-398149.44</v>
      </c>
      <c r="W134" s="30"/>
      <c r="X134" s="30"/>
      <c r="Y134" s="30"/>
      <c r="Z134" s="30"/>
      <c r="AA134" s="30"/>
      <c r="AB134" s="30"/>
      <c r="AC134" s="30"/>
    </row>
    <row r="135" spans="2:29" s="55" customFormat="1">
      <c r="B135" s="7"/>
      <c r="C135" s="4"/>
      <c r="D135" s="4"/>
      <c r="E135" s="4"/>
      <c r="F135" s="4"/>
      <c r="G135" s="4"/>
      <c r="H135" s="73"/>
      <c r="I135" s="4"/>
      <c r="J135" s="4"/>
      <c r="K135" s="4"/>
      <c r="L135" s="7"/>
      <c r="M135" s="4"/>
      <c r="N135" s="4"/>
      <c r="O135" s="40"/>
      <c r="P135" s="8"/>
      <c r="Q135" s="8"/>
      <c r="R135" s="53"/>
      <c r="S135" s="53"/>
      <c r="T135" s="54">
        <f t="shared" si="10"/>
        <v>0</v>
      </c>
      <c r="U135" s="54">
        <f t="shared" si="11"/>
        <v>0</v>
      </c>
      <c r="V135" s="54">
        <f t="shared" si="12"/>
        <v>0</v>
      </c>
      <c r="W135" s="53"/>
      <c r="X135" s="53"/>
      <c r="Y135" s="53"/>
      <c r="Z135" s="53"/>
      <c r="AA135" s="53"/>
      <c r="AB135" s="53"/>
      <c r="AC135" s="53"/>
    </row>
    <row r="136" spans="2:29" s="55" customFormat="1" ht="186">
      <c r="B136" s="64">
        <v>55</v>
      </c>
      <c r="C136" s="1" t="s">
        <v>121</v>
      </c>
      <c r="D136" s="70">
        <v>2.15</v>
      </c>
      <c r="E136" s="2" t="s">
        <v>122</v>
      </c>
      <c r="F136" s="25">
        <v>116500</v>
      </c>
      <c r="G136" s="65">
        <f>ROUND(D136*F136,0)</f>
        <v>250475</v>
      </c>
      <c r="H136" s="77">
        <v>0.104</v>
      </c>
      <c r="I136" s="64" t="str">
        <f>E136</f>
        <v>MT</v>
      </c>
      <c r="J136" s="65">
        <f>F136</f>
        <v>116500</v>
      </c>
      <c r="K136" s="65">
        <f>ROUND(H136*J136,0)</f>
        <v>12116</v>
      </c>
      <c r="L136" s="66">
        <f>IF(K136&gt;G136,K136-G136,0)</f>
        <v>0</v>
      </c>
      <c r="M136" s="65">
        <f>IF(G136&gt;K136,G136-K136,0)</f>
        <v>238359</v>
      </c>
      <c r="N136" s="4"/>
      <c r="O136" s="40"/>
      <c r="P136" s="8"/>
      <c r="Q136" s="8"/>
      <c r="R136" s="53"/>
      <c r="S136" s="53"/>
      <c r="T136" s="54">
        <f t="shared" si="10"/>
        <v>250475</v>
      </c>
      <c r="U136" s="54">
        <f t="shared" si="11"/>
        <v>12116</v>
      </c>
      <c r="V136" s="54">
        <f t="shared" si="12"/>
        <v>-238359</v>
      </c>
      <c r="W136" s="53"/>
      <c r="X136" s="53"/>
      <c r="Y136" s="53"/>
      <c r="Z136" s="53"/>
      <c r="AA136" s="53"/>
      <c r="AB136" s="53"/>
      <c r="AC136" s="53"/>
    </row>
    <row r="137" spans="2:29" s="31" customFormat="1">
      <c r="B137" s="7"/>
      <c r="C137" s="4"/>
      <c r="D137" s="4"/>
      <c r="E137" s="4"/>
      <c r="F137" s="4"/>
      <c r="G137" s="4"/>
      <c r="H137" s="73"/>
      <c r="I137" s="4"/>
      <c r="J137" s="4"/>
      <c r="K137" s="4"/>
      <c r="L137" s="7"/>
      <c r="M137" s="4"/>
      <c r="N137" s="4"/>
      <c r="O137" s="40"/>
      <c r="P137" s="8"/>
      <c r="Q137" s="8"/>
      <c r="R137" s="30"/>
      <c r="S137" s="30"/>
      <c r="T137" s="32">
        <f t="shared" si="10"/>
        <v>0</v>
      </c>
      <c r="U137" s="32">
        <f t="shared" si="11"/>
        <v>0</v>
      </c>
      <c r="V137" s="32">
        <f t="shared" si="12"/>
        <v>0</v>
      </c>
      <c r="W137" s="30"/>
      <c r="X137" s="30"/>
      <c r="Y137" s="30"/>
      <c r="Z137" s="30"/>
      <c r="AA137" s="30"/>
      <c r="AB137" s="30"/>
      <c r="AC137" s="30"/>
    </row>
    <row r="138" spans="2:29" s="31" customFormat="1" ht="139.5">
      <c r="B138" s="64">
        <v>56</v>
      </c>
      <c r="C138" s="1" t="s">
        <v>123</v>
      </c>
      <c r="D138" s="64">
        <v>45</v>
      </c>
      <c r="E138" s="2" t="s">
        <v>62</v>
      </c>
      <c r="F138" s="25">
        <v>1077</v>
      </c>
      <c r="G138" s="65">
        <f>ROUND(D138*F138,0)</f>
        <v>48465</v>
      </c>
      <c r="H138" s="77">
        <v>11.04</v>
      </c>
      <c r="I138" s="64" t="str">
        <f>E138</f>
        <v>Sqm</v>
      </c>
      <c r="J138" s="65">
        <f>F138</f>
        <v>1077</v>
      </c>
      <c r="K138" s="65">
        <f>ROUND(H138*J138,0)</f>
        <v>11890</v>
      </c>
      <c r="L138" s="66">
        <f>IF(K138&gt;G138,K138-G138,0)</f>
        <v>0</v>
      </c>
      <c r="M138" s="65">
        <f>IF(G138&gt;K138,G138-K138,0)</f>
        <v>36575</v>
      </c>
      <c r="N138" s="4" t="s">
        <v>281</v>
      </c>
      <c r="O138" s="40"/>
      <c r="P138" s="8"/>
      <c r="Q138" s="8"/>
      <c r="R138" s="30"/>
      <c r="S138" s="30"/>
      <c r="T138" s="32">
        <f t="shared" ref="T138:T169" si="13">D138*F138</f>
        <v>48465</v>
      </c>
      <c r="U138" s="32">
        <f t="shared" ref="U138:U169" si="14">H138*F138</f>
        <v>11890.08</v>
      </c>
      <c r="V138" s="32">
        <f t="shared" ref="V138:V169" si="15">U138-T138</f>
        <v>-36574.92</v>
      </c>
      <c r="W138" s="30"/>
      <c r="X138" s="30"/>
      <c r="Y138" s="30"/>
      <c r="Z138" s="30"/>
      <c r="AA138" s="30"/>
      <c r="AB138" s="30"/>
      <c r="AC138" s="30"/>
    </row>
    <row r="139" spans="2:29" s="31" customFormat="1">
      <c r="B139" s="7"/>
      <c r="C139" s="4"/>
      <c r="D139" s="4"/>
      <c r="E139" s="4"/>
      <c r="F139" s="4"/>
      <c r="G139" s="4"/>
      <c r="H139" s="73"/>
      <c r="I139" s="4"/>
      <c r="J139" s="4"/>
      <c r="K139" s="4"/>
      <c r="L139" s="7"/>
      <c r="M139" s="4"/>
      <c r="N139" s="4"/>
      <c r="O139" s="40"/>
      <c r="P139" s="8"/>
      <c r="Q139" s="8"/>
      <c r="R139" s="30"/>
      <c r="S139" s="30"/>
      <c r="T139" s="32">
        <f t="shared" si="13"/>
        <v>0</v>
      </c>
      <c r="U139" s="32">
        <f t="shared" si="14"/>
        <v>0</v>
      </c>
      <c r="V139" s="32">
        <f t="shared" si="15"/>
        <v>0</v>
      </c>
      <c r="W139" s="30"/>
      <c r="X139" s="30"/>
      <c r="Y139" s="30"/>
      <c r="Z139" s="30"/>
      <c r="AA139" s="30"/>
      <c r="AB139" s="30"/>
      <c r="AC139" s="30"/>
    </row>
    <row r="140" spans="2:29" s="31" customFormat="1" ht="140.25" customHeight="1">
      <c r="B140" s="64">
        <v>57</v>
      </c>
      <c r="C140" s="1" t="s">
        <v>124</v>
      </c>
      <c r="D140" s="64">
        <v>905</v>
      </c>
      <c r="E140" s="2" t="s">
        <v>62</v>
      </c>
      <c r="F140" s="25">
        <v>1041</v>
      </c>
      <c r="G140" s="65">
        <f>ROUND(D140*F140,0)</f>
        <v>942105</v>
      </c>
      <c r="H140" s="77">
        <f>536.11+11.04</f>
        <v>547.15</v>
      </c>
      <c r="I140" s="64" t="str">
        <f>E140</f>
        <v>Sqm</v>
      </c>
      <c r="J140" s="65">
        <f>F140</f>
        <v>1041</v>
      </c>
      <c r="K140" s="65">
        <f>ROUND(H140*J140,0)</f>
        <v>569583</v>
      </c>
      <c r="L140" s="66">
        <f>IF(K140&gt;G140,K140-G140,0)</f>
        <v>0</v>
      </c>
      <c r="M140" s="65">
        <f>IF(G140&gt;K140,G140-K140,0)</f>
        <v>372522</v>
      </c>
      <c r="N140" s="4"/>
      <c r="O140" s="40"/>
      <c r="P140" s="8"/>
      <c r="Q140" s="8"/>
      <c r="R140" s="30"/>
      <c r="S140" s="30"/>
      <c r="T140" s="32">
        <f t="shared" si="13"/>
        <v>942105</v>
      </c>
      <c r="U140" s="32">
        <f t="shared" si="14"/>
        <v>569583.15</v>
      </c>
      <c r="V140" s="32">
        <f t="shared" si="15"/>
        <v>-372521.85</v>
      </c>
      <c r="W140" s="30"/>
      <c r="X140" s="30"/>
      <c r="Y140" s="30"/>
      <c r="Z140" s="30"/>
      <c r="AA140" s="30"/>
      <c r="AB140" s="30"/>
      <c r="AC140" s="30"/>
    </row>
    <row r="141" spans="2:29" s="31" customFormat="1">
      <c r="B141" s="7"/>
      <c r="C141" s="4"/>
      <c r="D141" s="4"/>
      <c r="E141" s="4"/>
      <c r="F141" s="4"/>
      <c r="G141" s="4"/>
      <c r="H141" s="73"/>
      <c r="I141" s="4"/>
      <c r="J141" s="4"/>
      <c r="K141" s="4"/>
      <c r="L141" s="7"/>
      <c r="M141" s="4"/>
      <c r="N141" s="4"/>
      <c r="O141" s="40"/>
      <c r="P141" s="8"/>
      <c r="Q141" s="8"/>
      <c r="R141" s="30"/>
      <c r="S141" s="30"/>
      <c r="T141" s="32">
        <f t="shared" si="13"/>
        <v>0</v>
      </c>
      <c r="U141" s="32">
        <f t="shared" si="14"/>
        <v>0</v>
      </c>
      <c r="V141" s="32">
        <f t="shared" si="15"/>
        <v>0</v>
      </c>
      <c r="W141" s="30"/>
      <c r="X141" s="30"/>
      <c r="Y141" s="30"/>
      <c r="Z141" s="30"/>
      <c r="AA141" s="30"/>
      <c r="AB141" s="30"/>
      <c r="AC141" s="30"/>
    </row>
    <row r="142" spans="2:29" s="31" customFormat="1" ht="186">
      <c r="B142" s="64">
        <v>58</v>
      </c>
      <c r="C142" s="4" t="s">
        <v>125</v>
      </c>
      <c r="D142" s="71">
        <v>19.5</v>
      </c>
      <c r="E142" s="2" t="s">
        <v>62</v>
      </c>
      <c r="F142" s="25">
        <v>9055</v>
      </c>
      <c r="G142" s="65">
        <f>ROUND(D142*F142,0)</f>
        <v>176573</v>
      </c>
      <c r="H142" s="77">
        <v>16.829999999999998</v>
      </c>
      <c r="I142" s="64" t="str">
        <f>E142</f>
        <v>Sqm</v>
      </c>
      <c r="J142" s="65">
        <f>F142</f>
        <v>9055</v>
      </c>
      <c r="K142" s="65">
        <f>ROUND(H142*J142,0)</f>
        <v>152396</v>
      </c>
      <c r="L142" s="66">
        <f>IF(K142&gt;G142,K142-G142,0)</f>
        <v>0</v>
      </c>
      <c r="M142" s="65">
        <f>IF(G142&gt;K142,G142-K142,0)</f>
        <v>24177</v>
      </c>
      <c r="N142" s="4"/>
      <c r="O142" s="40"/>
      <c r="P142" s="8"/>
      <c r="Q142" s="8"/>
      <c r="R142" s="30"/>
      <c r="S142" s="30"/>
      <c r="T142" s="32">
        <f t="shared" si="13"/>
        <v>176572.5</v>
      </c>
      <c r="U142" s="32">
        <f t="shared" si="14"/>
        <v>152395.65</v>
      </c>
      <c r="V142" s="32">
        <f t="shared" si="15"/>
        <v>-24176.850000000006</v>
      </c>
      <c r="W142" s="30"/>
      <c r="X142" s="30"/>
      <c r="Y142" s="30"/>
      <c r="Z142" s="30"/>
      <c r="AA142" s="30"/>
      <c r="AB142" s="30"/>
      <c r="AC142" s="30"/>
    </row>
    <row r="143" spans="2:29" s="36" customFormat="1">
      <c r="B143" s="7"/>
      <c r="C143" s="4"/>
      <c r="D143" s="4"/>
      <c r="E143" s="4"/>
      <c r="F143" s="4"/>
      <c r="G143" s="4"/>
      <c r="H143" s="73"/>
      <c r="I143" s="4"/>
      <c r="J143" s="4"/>
      <c r="K143" s="4"/>
      <c r="L143" s="7"/>
      <c r="M143" s="4"/>
      <c r="N143" s="4"/>
      <c r="O143" s="40"/>
      <c r="P143" s="8"/>
      <c r="Q143" s="8"/>
      <c r="R143" s="35"/>
      <c r="S143" s="35"/>
      <c r="T143" s="37">
        <f t="shared" si="13"/>
        <v>0</v>
      </c>
      <c r="U143" s="37">
        <f t="shared" si="14"/>
        <v>0</v>
      </c>
      <c r="V143" s="37">
        <f t="shared" si="15"/>
        <v>0</v>
      </c>
      <c r="W143" s="35"/>
      <c r="X143" s="35"/>
      <c r="Y143" s="35"/>
      <c r="Z143" s="35"/>
      <c r="AA143" s="35"/>
      <c r="AB143" s="35"/>
      <c r="AC143" s="35"/>
    </row>
    <row r="144" spans="2:29" s="36" customFormat="1" ht="77.5">
      <c r="B144" s="67">
        <v>59</v>
      </c>
      <c r="C144" s="26" t="s">
        <v>126</v>
      </c>
      <c r="D144" s="67">
        <v>25</v>
      </c>
      <c r="E144" s="27" t="s">
        <v>57</v>
      </c>
      <c r="F144" s="28">
        <v>4700</v>
      </c>
      <c r="G144" s="68">
        <f>ROUND(D144*F144,0)</f>
        <v>117500</v>
      </c>
      <c r="H144" s="78">
        <v>0</v>
      </c>
      <c r="I144" s="67" t="str">
        <f>E144</f>
        <v>Cum</v>
      </c>
      <c r="J144" s="68">
        <f>F144</f>
        <v>4700</v>
      </c>
      <c r="K144" s="68">
        <f>ROUND(H144*J144,0)</f>
        <v>0</v>
      </c>
      <c r="L144" s="69">
        <f>IF(K144&gt;G144,K144-G144,0)</f>
        <v>0</v>
      </c>
      <c r="M144" s="68">
        <f>IF(G144&gt;K144,G144-K144,0)</f>
        <v>117500</v>
      </c>
      <c r="N144" s="60"/>
      <c r="O144" s="88"/>
      <c r="P144" s="18"/>
      <c r="Q144" s="18"/>
      <c r="R144" s="35"/>
      <c r="S144" s="35"/>
      <c r="T144" s="37">
        <f t="shared" si="13"/>
        <v>117500</v>
      </c>
      <c r="U144" s="37">
        <f t="shared" si="14"/>
        <v>0</v>
      </c>
      <c r="V144" s="37">
        <f t="shared" si="15"/>
        <v>-117500</v>
      </c>
      <c r="W144" s="35"/>
      <c r="X144" s="35"/>
      <c r="Y144" s="35"/>
      <c r="Z144" s="35"/>
      <c r="AA144" s="35"/>
      <c r="AB144" s="35"/>
      <c r="AC144" s="35"/>
    </row>
    <row r="145" spans="2:29" s="31" customFormat="1">
      <c r="B145" s="7"/>
      <c r="C145" s="4"/>
      <c r="D145" s="4"/>
      <c r="E145" s="4"/>
      <c r="F145" s="4"/>
      <c r="G145" s="4"/>
      <c r="H145" s="73"/>
      <c r="I145" s="4"/>
      <c r="J145" s="4"/>
      <c r="K145" s="4"/>
      <c r="L145" s="7"/>
      <c r="M145" s="4"/>
      <c r="N145" s="4"/>
      <c r="O145" s="40"/>
      <c r="P145" s="8"/>
      <c r="Q145" s="8"/>
      <c r="R145" s="30"/>
      <c r="S145" s="30"/>
      <c r="T145" s="32">
        <f t="shared" si="13"/>
        <v>0</v>
      </c>
      <c r="U145" s="32">
        <f t="shared" si="14"/>
        <v>0</v>
      </c>
      <c r="V145" s="32">
        <f t="shared" si="15"/>
        <v>0</v>
      </c>
      <c r="W145" s="30"/>
      <c r="X145" s="30"/>
      <c r="Y145" s="30"/>
      <c r="Z145" s="30"/>
      <c r="AA145" s="30"/>
      <c r="AB145" s="30"/>
      <c r="AC145" s="30"/>
    </row>
    <row r="146" spans="2:29" s="55" customFormat="1" ht="325.5">
      <c r="B146" s="64">
        <v>60</v>
      </c>
      <c r="C146" s="4" t="s">
        <v>127</v>
      </c>
      <c r="D146" s="64">
        <v>5</v>
      </c>
      <c r="E146" s="2" t="s">
        <v>62</v>
      </c>
      <c r="F146" s="25">
        <v>13713</v>
      </c>
      <c r="G146" s="65">
        <f>ROUND(D146*F146,0)</f>
        <v>68565</v>
      </c>
      <c r="H146" s="77">
        <v>0</v>
      </c>
      <c r="I146" s="64" t="str">
        <f>E146</f>
        <v>Sqm</v>
      </c>
      <c r="J146" s="65">
        <f>F146</f>
        <v>13713</v>
      </c>
      <c r="K146" s="65">
        <f>ROUND(H146*J146,0)</f>
        <v>0</v>
      </c>
      <c r="L146" s="66">
        <f>IF(K146&gt;G146,K146-G146,0)</f>
        <v>0</v>
      </c>
      <c r="M146" s="65">
        <f>IF(G146&gt;K146,G146-K146,0)</f>
        <v>68565</v>
      </c>
      <c r="N146" s="4"/>
      <c r="O146" s="40"/>
      <c r="P146" s="8"/>
      <c r="Q146" s="8"/>
      <c r="R146" s="53"/>
      <c r="S146" s="53"/>
      <c r="T146" s="54">
        <f t="shared" si="13"/>
        <v>68565</v>
      </c>
      <c r="U146" s="54">
        <f t="shared" si="14"/>
        <v>0</v>
      </c>
      <c r="V146" s="54">
        <f t="shared" si="15"/>
        <v>-68565</v>
      </c>
      <c r="W146" s="53"/>
      <c r="X146" s="53"/>
      <c r="Y146" s="53"/>
      <c r="Z146" s="53"/>
      <c r="AA146" s="53"/>
      <c r="AB146" s="53"/>
      <c r="AC146" s="53"/>
    </row>
    <row r="147" spans="2:29" s="31" customFormat="1">
      <c r="B147" s="7"/>
      <c r="C147" s="4"/>
      <c r="D147" s="4"/>
      <c r="E147" s="4"/>
      <c r="F147" s="4"/>
      <c r="G147" s="4"/>
      <c r="H147" s="73"/>
      <c r="I147" s="4"/>
      <c r="J147" s="4"/>
      <c r="K147" s="4"/>
      <c r="L147" s="7"/>
      <c r="M147" s="4"/>
      <c r="N147" s="4"/>
      <c r="O147" s="40"/>
      <c r="P147" s="8"/>
      <c r="Q147" s="8"/>
      <c r="R147" s="30"/>
      <c r="S147" s="30"/>
      <c r="T147" s="32">
        <f t="shared" si="13"/>
        <v>0</v>
      </c>
      <c r="U147" s="32">
        <f t="shared" si="14"/>
        <v>0</v>
      </c>
      <c r="V147" s="32">
        <f t="shared" si="15"/>
        <v>0</v>
      </c>
      <c r="W147" s="30"/>
      <c r="X147" s="30"/>
      <c r="Y147" s="30"/>
      <c r="Z147" s="30"/>
      <c r="AA147" s="30"/>
      <c r="AB147" s="30"/>
      <c r="AC147" s="30"/>
    </row>
    <row r="148" spans="2:29" s="31" customFormat="1" ht="332.25" customHeight="1">
      <c r="B148" s="64">
        <v>61</v>
      </c>
      <c r="C148" s="1" t="s">
        <v>288</v>
      </c>
      <c r="D148" s="64">
        <v>15</v>
      </c>
      <c r="E148" s="2" t="s">
        <v>62</v>
      </c>
      <c r="F148" s="25">
        <v>9517</v>
      </c>
      <c r="G148" s="65">
        <f>ROUND(D148*F148,0)</f>
        <v>142755</v>
      </c>
      <c r="H148" s="77">
        <v>2.823</v>
      </c>
      <c r="I148" s="64" t="str">
        <f>E148</f>
        <v>Sqm</v>
      </c>
      <c r="J148" s="65">
        <f>F148</f>
        <v>9517</v>
      </c>
      <c r="K148" s="65">
        <f>ROUND(H148*J148,0)</f>
        <v>26866</v>
      </c>
      <c r="L148" s="66">
        <f>IF(K148&gt;G148,K148-G148,0)</f>
        <v>0</v>
      </c>
      <c r="M148" s="65">
        <f>IF(G148&gt;K148,G148-K148,0)</f>
        <v>115889</v>
      </c>
      <c r="N148" s="4"/>
      <c r="O148" s="40"/>
      <c r="P148" s="8"/>
      <c r="Q148" s="8"/>
      <c r="R148" s="30"/>
      <c r="S148" s="30"/>
      <c r="T148" s="32">
        <f t="shared" si="13"/>
        <v>142755</v>
      </c>
      <c r="U148" s="32">
        <f t="shared" si="14"/>
        <v>26866.490999999998</v>
      </c>
      <c r="V148" s="32">
        <f t="shared" si="15"/>
        <v>-115888.50900000001</v>
      </c>
      <c r="W148" s="30"/>
      <c r="X148" s="30"/>
      <c r="Y148" s="30"/>
      <c r="Z148" s="30"/>
      <c r="AA148" s="30"/>
      <c r="AB148" s="30"/>
      <c r="AC148" s="30"/>
    </row>
    <row r="149" spans="2:29" s="55" customFormat="1">
      <c r="B149" s="7"/>
      <c r="C149" s="4"/>
      <c r="D149" s="4"/>
      <c r="E149" s="4"/>
      <c r="F149" s="4"/>
      <c r="G149" s="4"/>
      <c r="H149" s="73"/>
      <c r="I149" s="4"/>
      <c r="J149" s="4"/>
      <c r="K149" s="4"/>
      <c r="L149" s="7"/>
      <c r="M149" s="4"/>
      <c r="N149" s="4"/>
      <c r="O149" s="40"/>
      <c r="P149" s="8"/>
      <c r="Q149" s="8"/>
      <c r="R149" s="53"/>
      <c r="S149" s="53"/>
      <c r="T149" s="54">
        <f t="shared" si="13"/>
        <v>0</v>
      </c>
      <c r="U149" s="54">
        <f t="shared" si="14"/>
        <v>0</v>
      </c>
      <c r="V149" s="54">
        <f t="shared" si="15"/>
        <v>0</v>
      </c>
      <c r="W149" s="53"/>
      <c r="X149" s="53"/>
      <c r="Y149" s="53"/>
      <c r="Z149" s="53"/>
      <c r="AA149" s="53"/>
      <c r="AB149" s="53"/>
      <c r="AC149" s="53"/>
    </row>
    <row r="150" spans="2:29" s="55" customFormat="1" ht="254.25" customHeight="1">
      <c r="B150" s="64">
        <v>62</v>
      </c>
      <c r="C150" s="4" t="s">
        <v>128</v>
      </c>
      <c r="D150" s="64">
        <v>5</v>
      </c>
      <c r="E150" s="2" t="s">
        <v>62</v>
      </c>
      <c r="F150" s="25">
        <v>8564</v>
      </c>
      <c r="G150" s="65">
        <f>ROUND(D150*F150,0)</f>
        <v>42820</v>
      </c>
      <c r="H150" s="77">
        <v>1.53</v>
      </c>
      <c r="I150" s="64" t="str">
        <f>E150</f>
        <v>Sqm</v>
      </c>
      <c r="J150" s="65">
        <f>F150</f>
        <v>8564</v>
      </c>
      <c r="K150" s="65">
        <f>ROUND(H150*J150,0)</f>
        <v>13103</v>
      </c>
      <c r="L150" s="66">
        <f>IF(K150&gt;G150,K150-G150,0)</f>
        <v>0</v>
      </c>
      <c r="M150" s="65">
        <f>IF(G150&gt;K150,G150-K150,0)</f>
        <v>29717</v>
      </c>
      <c r="N150" s="4"/>
      <c r="O150" s="40"/>
      <c r="P150" s="8"/>
      <c r="Q150" s="8"/>
      <c r="R150" s="53"/>
      <c r="S150" s="53"/>
      <c r="T150" s="54">
        <f t="shared" si="13"/>
        <v>42820</v>
      </c>
      <c r="U150" s="54">
        <f t="shared" si="14"/>
        <v>13102.92</v>
      </c>
      <c r="V150" s="54">
        <f t="shared" si="15"/>
        <v>-29717.08</v>
      </c>
      <c r="W150" s="53"/>
      <c r="X150" s="53"/>
      <c r="Y150" s="53"/>
      <c r="Z150" s="53"/>
      <c r="AA150" s="53"/>
      <c r="AB150" s="53"/>
      <c r="AC150" s="53"/>
    </row>
    <row r="151" spans="2:29" s="55" customFormat="1">
      <c r="B151" s="7"/>
      <c r="C151" s="4"/>
      <c r="D151" s="4"/>
      <c r="E151" s="4"/>
      <c r="F151" s="4"/>
      <c r="G151" s="4"/>
      <c r="H151" s="73"/>
      <c r="I151" s="4"/>
      <c r="J151" s="4"/>
      <c r="K151" s="4"/>
      <c r="L151" s="7"/>
      <c r="M151" s="4"/>
      <c r="N151" s="4"/>
      <c r="O151" s="40"/>
      <c r="P151" s="8"/>
      <c r="Q151" s="8"/>
      <c r="R151" s="53"/>
      <c r="S151" s="53"/>
      <c r="T151" s="54">
        <f t="shared" si="13"/>
        <v>0</v>
      </c>
      <c r="U151" s="54">
        <f t="shared" si="14"/>
        <v>0</v>
      </c>
      <c r="V151" s="54">
        <f t="shared" si="15"/>
        <v>0</v>
      </c>
      <c r="W151" s="53"/>
      <c r="X151" s="53"/>
      <c r="Y151" s="53"/>
      <c r="Z151" s="53"/>
      <c r="AA151" s="53"/>
      <c r="AB151" s="53"/>
      <c r="AC151" s="53"/>
    </row>
    <row r="152" spans="2:29" s="31" customFormat="1" ht="232.5">
      <c r="B152" s="64">
        <v>63</v>
      </c>
      <c r="C152" s="1" t="s">
        <v>129</v>
      </c>
      <c r="D152" s="64">
        <v>30</v>
      </c>
      <c r="E152" s="2" t="s">
        <v>62</v>
      </c>
      <c r="F152" s="25">
        <v>5593</v>
      </c>
      <c r="G152" s="65">
        <f>ROUND(D152*F152,0)</f>
        <v>167790</v>
      </c>
      <c r="H152" s="77">
        <v>0</v>
      </c>
      <c r="I152" s="64" t="str">
        <f>E152</f>
        <v>Sqm</v>
      </c>
      <c r="J152" s="65">
        <f>F152</f>
        <v>5593</v>
      </c>
      <c r="K152" s="65">
        <f>ROUND(H152*J152,0)</f>
        <v>0</v>
      </c>
      <c r="L152" s="66">
        <f>IF(K152&gt;G152,K152-G152,0)</f>
        <v>0</v>
      </c>
      <c r="M152" s="65">
        <f>IF(G152&gt;K152,G152-K152,0)</f>
        <v>167790</v>
      </c>
      <c r="N152" s="4"/>
      <c r="O152" s="40"/>
      <c r="P152" s="8"/>
      <c r="Q152" s="8"/>
      <c r="R152" s="30"/>
      <c r="S152" s="30"/>
      <c r="T152" s="32">
        <f t="shared" si="13"/>
        <v>167790</v>
      </c>
      <c r="U152" s="32">
        <f t="shared" si="14"/>
        <v>0</v>
      </c>
      <c r="V152" s="32">
        <f t="shared" si="15"/>
        <v>-167790</v>
      </c>
      <c r="W152" s="30"/>
      <c r="X152" s="30"/>
      <c r="Y152" s="30"/>
      <c r="Z152" s="30"/>
      <c r="AA152" s="30"/>
      <c r="AB152" s="30"/>
      <c r="AC152" s="30"/>
    </row>
    <row r="153" spans="2:29" s="31" customFormat="1">
      <c r="B153" s="7"/>
      <c r="C153" s="4"/>
      <c r="D153" s="4"/>
      <c r="E153" s="4"/>
      <c r="F153" s="4"/>
      <c r="G153" s="4"/>
      <c r="H153" s="73"/>
      <c r="I153" s="4"/>
      <c r="J153" s="4"/>
      <c r="K153" s="4"/>
      <c r="L153" s="7"/>
      <c r="M153" s="4"/>
      <c r="N153" s="4"/>
      <c r="O153" s="40"/>
      <c r="P153" s="8"/>
      <c r="Q153" s="8"/>
      <c r="R153" s="30"/>
      <c r="S153" s="30"/>
      <c r="T153" s="32">
        <f t="shared" si="13"/>
        <v>0</v>
      </c>
      <c r="U153" s="32">
        <f t="shared" si="14"/>
        <v>0</v>
      </c>
      <c r="V153" s="32">
        <f t="shared" si="15"/>
        <v>0</v>
      </c>
      <c r="W153" s="30"/>
      <c r="X153" s="30"/>
      <c r="Y153" s="30"/>
      <c r="Z153" s="30"/>
      <c r="AA153" s="30"/>
      <c r="AB153" s="30"/>
      <c r="AC153" s="30"/>
    </row>
    <row r="154" spans="2:29" s="31" customFormat="1" ht="263.5">
      <c r="B154" s="64">
        <v>64</v>
      </c>
      <c r="C154" s="1" t="s">
        <v>267</v>
      </c>
      <c r="D154" s="64">
        <v>12</v>
      </c>
      <c r="E154" s="2" t="s">
        <v>62</v>
      </c>
      <c r="F154" s="25">
        <v>6510</v>
      </c>
      <c r="G154" s="65">
        <f>ROUND(D154*F154,0)</f>
        <v>78120</v>
      </c>
      <c r="H154" s="77">
        <v>0</v>
      </c>
      <c r="I154" s="64" t="str">
        <f>E154</f>
        <v>Sqm</v>
      </c>
      <c r="J154" s="65">
        <f>F154</f>
        <v>6510</v>
      </c>
      <c r="K154" s="65">
        <f>ROUND(H154*J154,0)</f>
        <v>0</v>
      </c>
      <c r="L154" s="66">
        <f>IF(K154&gt;G154,K154-G154,0)</f>
        <v>0</v>
      </c>
      <c r="M154" s="65">
        <f>IF(G154&gt;K154,G154-K154,0)</f>
        <v>78120</v>
      </c>
      <c r="N154" s="4"/>
      <c r="O154" s="40"/>
      <c r="P154" s="8"/>
      <c r="Q154" s="8"/>
      <c r="R154" s="30"/>
      <c r="S154" s="30"/>
      <c r="T154" s="32">
        <f t="shared" si="13"/>
        <v>78120</v>
      </c>
      <c r="U154" s="32">
        <f t="shared" si="14"/>
        <v>0</v>
      </c>
      <c r="V154" s="32">
        <f t="shared" si="15"/>
        <v>-78120</v>
      </c>
      <c r="W154" s="30"/>
      <c r="X154" s="30"/>
      <c r="Y154" s="30"/>
      <c r="Z154" s="30"/>
      <c r="AA154" s="30"/>
      <c r="AB154" s="30"/>
      <c r="AC154" s="30"/>
    </row>
    <row r="155" spans="2:29" s="31" customFormat="1">
      <c r="B155" s="7"/>
      <c r="C155" s="4"/>
      <c r="D155" s="4"/>
      <c r="E155" s="4"/>
      <c r="F155" s="4"/>
      <c r="G155" s="4"/>
      <c r="H155" s="73"/>
      <c r="I155" s="4"/>
      <c r="J155" s="4"/>
      <c r="K155" s="4"/>
      <c r="L155" s="7"/>
      <c r="M155" s="4"/>
      <c r="N155" s="4"/>
      <c r="O155" s="40"/>
      <c r="P155" s="8"/>
      <c r="Q155" s="8"/>
      <c r="R155" s="30"/>
      <c r="S155" s="30"/>
      <c r="T155" s="32">
        <f t="shared" si="13"/>
        <v>0</v>
      </c>
      <c r="U155" s="32">
        <f t="shared" si="14"/>
        <v>0</v>
      </c>
      <c r="V155" s="32">
        <f t="shared" si="15"/>
        <v>0</v>
      </c>
      <c r="W155" s="30"/>
      <c r="X155" s="30"/>
      <c r="Y155" s="30"/>
      <c r="Z155" s="30"/>
      <c r="AA155" s="30"/>
      <c r="AB155" s="30"/>
      <c r="AC155" s="30"/>
    </row>
    <row r="156" spans="2:29" s="55" customFormat="1" ht="254.25" customHeight="1">
      <c r="B156" s="64">
        <v>65</v>
      </c>
      <c r="C156" s="1" t="s">
        <v>130</v>
      </c>
      <c r="D156" s="64">
        <v>225</v>
      </c>
      <c r="E156" s="2" t="s">
        <v>62</v>
      </c>
      <c r="F156" s="25">
        <v>1725</v>
      </c>
      <c r="G156" s="65">
        <f>ROUND(D156*F156,0)</f>
        <v>388125</v>
      </c>
      <c r="H156" s="77">
        <v>225</v>
      </c>
      <c r="I156" s="64" t="str">
        <f>E156</f>
        <v>Sqm</v>
      </c>
      <c r="J156" s="65">
        <f>F156</f>
        <v>1725</v>
      </c>
      <c r="K156" s="65">
        <f>ROUND(H156*J156,0)</f>
        <v>388125</v>
      </c>
      <c r="L156" s="66">
        <f>IF(K156&gt;G156,K156-G156,0)</f>
        <v>0</v>
      </c>
      <c r="M156" s="65">
        <f>IF(G156&gt;K156,G156-K156,0)</f>
        <v>0</v>
      </c>
      <c r="N156" s="4"/>
      <c r="O156" s="40"/>
      <c r="P156" s="8"/>
      <c r="Q156" s="8"/>
      <c r="R156" s="53"/>
      <c r="S156" s="53">
        <f>374.81-225</f>
        <v>149.81</v>
      </c>
      <c r="T156" s="54">
        <f t="shared" si="13"/>
        <v>388125</v>
      </c>
      <c r="U156" s="54">
        <f t="shared" si="14"/>
        <v>388125</v>
      </c>
      <c r="V156" s="54">
        <f t="shared" si="15"/>
        <v>0</v>
      </c>
      <c r="W156" s="53"/>
      <c r="X156" s="53"/>
      <c r="Y156" s="53"/>
      <c r="Z156" s="53"/>
      <c r="AA156" s="53"/>
      <c r="AB156" s="53"/>
      <c r="AC156" s="53"/>
    </row>
    <row r="157" spans="2:29" s="31" customFormat="1">
      <c r="B157" s="7"/>
      <c r="C157" s="72" t="s">
        <v>294</v>
      </c>
      <c r="D157" s="4"/>
      <c r="E157" s="4"/>
      <c r="F157" s="4"/>
      <c r="G157" s="4"/>
      <c r="H157" s="73">
        <v>149.81</v>
      </c>
      <c r="I157" s="4" t="s">
        <v>62</v>
      </c>
      <c r="J157" s="25">
        <v>1725</v>
      </c>
      <c r="K157" s="65">
        <f>ROUND(H157*J157,0)</f>
        <v>258422</v>
      </c>
      <c r="L157" s="66">
        <f>IF(K157&gt;G157,K157-G157,0)</f>
        <v>258422</v>
      </c>
      <c r="M157" s="65">
        <f>IF(G157&gt;K157,G157-K157,0)</f>
        <v>0</v>
      </c>
      <c r="N157" s="4"/>
      <c r="O157" s="40"/>
      <c r="P157" s="8"/>
      <c r="Q157" s="8"/>
      <c r="R157" s="30"/>
      <c r="S157" s="30"/>
      <c r="T157" s="32">
        <f t="shared" si="13"/>
        <v>0</v>
      </c>
      <c r="U157" s="32">
        <f t="shared" si="14"/>
        <v>0</v>
      </c>
      <c r="V157" s="32">
        <f t="shared" si="15"/>
        <v>0</v>
      </c>
      <c r="W157" s="30"/>
      <c r="X157" s="30"/>
      <c r="Y157" s="30"/>
      <c r="Z157" s="30"/>
      <c r="AA157" s="30"/>
      <c r="AB157" s="30"/>
      <c r="AC157" s="30"/>
    </row>
    <row r="158" spans="2:29" s="31" customFormat="1" ht="170.5">
      <c r="B158" s="64">
        <v>66</v>
      </c>
      <c r="C158" s="1" t="s">
        <v>131</v>
      </c>
      <c r="D158" s="64">
        <v>15</v>
      </c>
      <c r="E158" s="2" t="s">
        <v>62</v>
      </c>
      <c r="F158" s="25">
        <v>1525</v>
      </c>
      <c r="G158" s="65">
        <f>ROUND(D158*F158,0)</f>
        <v>22875</v>
      </c>
      <c r="H158" s="77">
        <v>13.85</v>
      </c>
      <c r="I158" s="64" t="str">
        <f>E158</f>
        <v>Sqm</v>
      </c>
      <c r="J158" s="65">
        <f>F158</f>
        <v>1525</v>
      </c>
      <c r="K158" s="65">
        <f>ROUND(H158*J158,0)</f>
        <v>21121</v>
      </c>
      <c r="L158" s="66">
        <f>IF(K158&gt;G158,K158-G158,0)</f>
        <v>0</v>
      </c>
      <c r="M158" s="65">
        <f>IF(G158&gt;K158,G158-K158,0)</f>
        <v>1754</v>
      </c>
      <c r="N158" s="4"/>
      <c r="O158" s="40"/>
      <c r="P158" s="8"/>
      <c r="Q158" s="8"/>
      <c r="R158" s="30"/>
      <c r="S158" s="30"/>
      <c r="T158" s="32">
        <f t="shared" si="13"/>
        <v>22875</v>
      </c>
      <c r="U158" s="32">
        <f t="shared" si="14"/>
        <v>21121.25</v>
      </c>
      <c r="V158" s="32">
        <f t="shared" si="15"/>
        <v>-1753.75</v>
      </c>
      <c r="W158" s="30"/>
      <c r="X158" s="30"/>
      <c r="Y158" s="30"/>
      <c r="Z158" s="30"/>
      <c r="AA158" s="30"/>
      <c r="AB158" s="30"/>
      <c r="AC158" s="30"/>
    </row>
    <row r="159" spans="2:29" s="31" customFormat="1">
      <c r="B159" s="7"/>
      <c r="C159" s="4"/>
      <c r="D159" s="4"/>
      <c r="E159" s="4"/>
      <c r="F159" s="4"/>
      <c r="G159" s="4"/>
      <c r="H159" s="73"/>
      <c r="I159" s="4"/>
      <c r="J159" s="4"/>
      <c r="K159" s="4"/>
      <c r="L159" s="7"/>
      <c r="M159" s="4"/>
      <c r="N159" s="4"/>
      <c r="O159" s="40"/>
      <c r="P159" s="8"/>
      <c r="Q159" s="8"/>
      <c r="R159" s="30"/>
      <c r="S159" s="30"/>
      <c r="T159" s="32">
        <f t="shared" si="13"/>
        <v>0</v>
      </c>
      <c r="U159" s="32">
        <f t="shared" si="14"/>
        <v>0</v>
      </c>
      <c r="V159" s="32">
        <f t="shared" si="15"/>
        <v>0</v>
      </c>
      <c r="W159" s="30"/>
      <c r="X159" s="30"/>
      <c r="Y159" s="30"/>
      <c r="Z159" s="30"/>
      <c r="AA159" s="30"/>
      <c r="AB159" s="30"/>
      <c r="AC159" s="30"/>
    </row>
    <row r="160" spans="2:29" s="31" customFormat="1" ht="217">
      <c r="B160" s="64">
        <v>67</v>
      </c>
      <c r="C160" s="1" t="s">
        <v>132</v>
      </c>
      <c r="D160" s="64">
        <v>375</v>
      </c>
      <c r="E160" s="2" t="s">
        <v>62</v>
      </c>
      <c r="F160" s="25">
        <v>1636</v>
      </c>
      <c r="G160" s="65">
        <f>ROUND(D160*F160,0)</f>
        <v>613500</v>
      </c>
      <c r="H160" s="77">
        <v>316.82</v>
      </c>
      <c r="I160" s="64" t="str">
        <f>E160</f>
        <v>Sqm</v>
      </c>
      <c r="J160" s="65">
        <f>F160</f>
        <v>1636</v>
      </c>
      <c r="K160" s="65">
        <f>ROUND(H160*J160,0)</f>
        <v>518318</v>
      </c>
      <c r="L160" s="66">
        <f>IF(K160&gt;G160,K160-G160,0)</f>
        <v>0</v>
      </c>
      <c r="M160" s="65">
        <f>IF(G160&gt;K160,G160-K160,0)</f>
        <v>95182</v>
      </c>
      <c r="N160" s="4"/>
      <c r="O160" s="40"/>
      <c r="P160" s="8"/>
      <c r="Q160" s="8"/>
      <c r="R160" s="30"/>
      <c r="S160" s="30"/>
      <c r="T160" s="32">
        <f t="shared" si="13"/>
        <v>613500</v>
      </c>
      <c r="U160" s="32">
        <f t="shared" si="14"/>
        <v>518317.51999999996</v>
      </c>
      <c r="V160" s="32">
        <f t="shared" si="15"/>
        <v>-95182.48000000004</v>
      </c>
      <c r="W160" s="30"/>
      <c r="X160" s="30"/>
      <c r="Y160" s="30"/>
      <c r="Z160" s="30"/>
      <c r="AA160" s="30"/>
      <c r="AB160" s="30"/>
      <c r="AC160" s="30"/>
    </row>
    <row r="161" spans="2:29" s="31" customFormat="1">
      <c r="B161" s="7"/>
      <c r="C161" s="4"/>
      <c r="D161" s="4"/>
      <c r="E161" s="4"/>
      <c r="F161" s="4"/>
      <c r="G161" s="4"/>
      <c r="H161" s="73"/>
      <c r="I161" s="4"/>
      <c r="J161" s="4"/>
      <c r="K161" s="4"/>
      <c r="L161" s="7"/>
      <c r="M161" s="4"/>
      <c r="N161" s="4"/>
      <c r="O161" s="40"/>
      <c r="P161" s="8"/>
      <c r="Q161" s="8"/>
      <c r="R161" s="30"/>
      <c r="S161" s="30"/>
      <c r="T161" s="32">
        <f t="shared" si="13"/>
        <v>0</v>
      </c>
      <c r="U161" s="32">
        <f t="shared" si="14"/>
        <v>0</v>
      </c>
      <c r="V161" s="32">
        <f t="shared" si="15"/>
        <v>0</v>
      </c>
      <c r="W161" s="30"/>
      <c r="X161" s="30"/>
      <c r="Y161" s="30"/>
      <c r="Z161" s="30"/>
      <c r="AA161" s="30"/>
      <c r="AB161" s="30"/>
      <c r="AC161" s="30"/>
    </row>
    <row r="162" spans="2:29" s="31" customFormat="1" ht="186">
      <c r="B162" s="64">
        <v>68</v>
      </c>
      <c r="C162" s="1" t="s">
        <v>289</v>
      </c>
      <c r="D162" s="64">
        <v>40</v>
      </c>
      <c r="E162" s="2" t="s">
        <v>62</v>
      </c>
      <c r="F162" s="25">
        <v>1423</v>
      </c>
      <c r="G162" s="65">
        <f>ROUND(D162*F162,0)</f>
        <v>56920</v>
      </c>
      <c r="H162" s="77">
        <v>40</v>
      </c>
      <c r="I162" s="64" t="str">
        <f>E162</f>
        <v>Sqm</v>
      </c>
      <c r="J162" s="65">
        <f>F162</f>
        <v>1423</v>
      </c>
      <c r="K162" s="65">
        <f>ROUND(H162*J162,0)</f>
        <v>56920</v>
      </c>
      <c r="L162" s="66">
        <f>IF(K162&gt;G162,K162-G162,0)</f>
        <v>0</v>
      </c>
      <c r="M162" s="65">
        <f>IF(G162&gt;K162,G162-K162,0)</f>
        <v>0</v>
      </c>
      <c r="N162" s="4"/>
      <c r="O162" s="40"/>
      <c r="P162" s="8"/>
      <c r="Q162" s="8"/>
      <c r="R162" s="30"/>
      <c r="S162" s="30"/>
      <c r="T162" s="32">
        <f t="shared" si="13"/>
        <v>56920</v>
      </c>
      <c r="U162" s="32">
        <f t="shared" si="14"/>
        <v>56920</v>
      </c>
      <c r="V162" s="32">
        <f t="shared" si="15"/>
        <v>0</v>
      </c>
      <c r="W162" s="30"/>
      <c r="X162" s="30"/>
      <c r="Y162" s="30"/>
      <c r="Z162" s="30"/>
      <c r="AA162" s="30"/>
      <c r="AB162" s="30"/>
      <c r="AC162" s="30"/>
    </row>
    <row r="163" spans="2:29" s="34" customFormat="1">
      <c r="B163" s="7"/>
      <c r="C163" s="72" t="s">
        <v>294</v>
      </c>
      <c r="D163" s="4"/>
      <c r="E163" s="4"/>
      <c r="F163" s="4"/>
      <c r="G163" s="4"/>
      <c r="H163" s="73">
        <v>63.765999999999998</v>
      </c>
      <c r="I163" s="4" t="s">
        <v>62</v>
      </c>
      <c r="J163" s="25">
        <v>1423</v>
      </c>
      <c r="K163" s="65">
        <f>ROUND(H163*J163,0)</f>
        <v>90739</v>
      </c>
      <c r="L163" s="66">
        <f>IF(K163&gt;G163,K163-G163,0)</f>
        <v>90739</v>
      </c>
      <c r="M163" s="65">
        <f>IF(G163&gt;K163,G163-K163,0)</f>
        <v>0</v>
      </c>
      <c r="N163" s="4"/>
      <c r="O163" s="40"/>
      <c r="P163" s="8"/>
      <c r="Q163" s="8"/>
      <c r="R163" s="33"/>
      <c r="S163" s="33"/>
      <c r="T163" s="32">
        <f t="shared" si="13"/>
        <v>0</v>
      </c>
      <c r="U163" s="32">
        <f t="shared" si="14"/>
        <v>0</v>
      </c>
      <c r="V163" s="32">
        <f t="shared" si="15"/>
        <v>0</v>
      </c>
      <c r="W163" s="33"/>
      <c r="X163" s="33"/>
      <c r="Y163" s="33"/>
      <c r="Z163" s="33"/>
      <c r="AA163" s="33"/>
      <c r="AB163" s="33"/>
      <c r="AC163" s="33"/>
    </row>
    <row r="164" spans="2:29" s="31" customFormat="1" ht="155">
      <c r="B164" s="64">
        <v>69</v>
      </c>
      <c r="C164" s="1" t="s">
        <v>133</v>
      </c>
      <c r="D164" s="64">
        <v>1050</v>
      </c>
      <c r="E164" s="2" t="s">
        <v>62</v>
      </c>
      <c r="F164" s="25">
        <v>315</v>
      </c>
      <c r="G164" s="65">
        <f>ROUND(D164*F164,0)</f>
        <v>330750</v>
      </c>
      <c r="H164" s="77">
        <v>1007.64</v>
      </c>
      <c r="I164" s="64" t="str">
        <f>E164</f>
        <v>Sqm</v>
      </c>
      <c r="J164" s="65">
        <f>F164</f>
        <v>315</v>
      </c>
      <c r="K164" s="65">
        <f>ROUND(H164*J164,0)</f>
        <v>317407</v>
      </c>
      <c r="L164" s="66">
        <f>IF(K164&gt;G164,K164-G164,0)</f>
        <v>0</v>
      </c>
      <c r="M164" s="65">
        <f>IF(G164&gt;K164,G164-K164,0)</f>
        <v>13343</v>
      </c>
      <c r="N164" s="4"/>
      <c r="O164" s="40"/>
      <c r="P164" s="8"/>
      <c r="Q164" s="8"/>
      <c r="R164" s="30"/>
      <c r="S164" s="30"/>
      <c r="T164" s="32">
        <f t="shared" si="13"/>
        <v>330750</v>
      </c>
      <c r="U164" s="32">
        <f t="shared" si="14"/>
        <v>317406.59999999998</v>
      </c>
      <c r="V164" s="32">
        <f t="shared" si="15"/>
        <v>-13343.400000000023</v>
      </c>
      <c r="W164" s="30"/>
      <c r="X164" s="30"/>
      <c r="Y164" s="30"/>
      <c r="Z164" s="30"/>
      <c r="AA164" s="30"/>
      <c r="AB164" s="30"/>
      <c r="AC164" s="30"/>
    </row>
    <row r="165" spans="2:29" s="31" customFormat="1">
      <c r="B165" s="7"/>
      <c r="C165" s="4"/>
      <c r="D165" s="4"/>
      <c r="E165" s="4"/>
      <c r="F165" s="4"/>
      <c r="G165" s="4"/>
      <c r="H165" s="73"/>
      <c r="I165" s="4"/>
      <c r="J165" s="4"/>
      <c r="K165" s="4"/>
      <c r="L165" s="7"/>
      <c r="M165" s="4"/>
      <c r="N165" s="4"/>
      <c r="O165" s="40"/>
      <c r="P165" s="8"/>
      <c r="Q165" s="8"/>
      <c r="R165" s="30"/>
      <c r="S165" s="30"/>
      <c r="T165" s="32">
        <f t="shared" si="13"/>
        <v>0</v>
      </c>
      <c r="U165" s="32">
        <f t="shared" si="14"/>
        <v>0</v>
      </c>
      <c r="V165" s="32">
        <f t="shared" si="15"/>
        <v>0</v>
      </c>
      <c r="W165" s="30"/>
      <c r="X165" s="30"/>
      <c r="Y165" s="30"/>
      <c r="Z165" s="30"/>
      <c r="AA165" s="30"/>
      <c r="AB165" s="30"/>
      <c r="AC165" s="30"/>
    </row>
    <row r="166" spans="2:29" s="31" customFormat="1" ht="124">
      <c r="B166" s="64">
        <v>70</v>
      </c>
      <c r="C166" s="1" t="s">
        <v>290</v>
      </c>
      <c r="D166" s="64">
        <v>80</v>
      </c>
      <c r="E166" s="2" t="s">
        <v>62</v>
      </c>
      <c r="F166" s="25">
        <v>281</v>
      </c>
      <c r="G166" s="65">
        <f>ROUND(D166*F166,0)</f>
        <v>22480</v>
      </c>
      <c r="H166" s="77">
        <v>0</v>
      </c>
      <c r="I166" s="64" t="str">
        <f>E166</f>
        <v>Sqm</v>
      </c>
      <c r="J166" s="65">
        <f>F166</f>
        <v>281</v>
      </c>
      <c r="K166" s="65">
        <f>ROUND(H166*J166,0)</f>
        <v>0</v>
      </c>
      <c r="L166" s="66">
        <f>IF(K166&gt;G166,K166-G166,0)</f>
        <v>0</v>
      </c>
      <c r="M166" s="65">
        <f>IF(G166&gt;K166,G166-K166,0)</f>
        <v>22480</v>
      </c>
      <c r="N166" s="4"/>
      <c r="O166" s="40"/>
      <c r="P166" s="8"/>
      <c r="Q166" s="8"/>
      <c r="R166" s="30"/>
      <c r="S166" s="30"/>
      <c r="T166" s="32">
        <f t="shared" si="13"/>
        <v>22480</v>
      </c>
      <c r="U166" s="32">
        <f t="shared" si="14"/>
        <v>0</v>
      </c>
      <c r="V166" s="32">
        <f t="shared" si="15"/>
        <v>-22480</v>
      </c>
      <c r="W166" s="30"/>
      <c r="X166" s="30"/>
      <c r="Y166" s="30"/>
      <c r="Z166" s="30"/>
      <c r="AA166" s="30"/>
      <c r="AB166" s="30"/>
      <c r="AC166" s="30"/>
    </row>
    <row r="167" spans="2:29" s="31" customFormat="1">
      <c r="B167" s="7"/>
      <c r="C167" s="4"/>
      <c r="D167" s="4"/>
      <c r="E167" s="4"/>
      <c r="F167" s="4"/>
      <c r="G167" s="4"/>
      <c r="H167" s="73"/>
      <c r="I167" s="4"/>
      <c r="J167" s="4"/>
      <c r="K167" s="4"/>
      <c r="L167" s="7"/>
      <c r="M167" s="4"/>
      <c r="N167" s="4"/>
      <c r="O167" s="40"/>
      <c r="P167" s="8"/>
      <c r="Q167" s="8"/>
      <c r="R167" s="30"/>
      <c r="S167" s="30"/>
      <c r="T167" s="32">
        <f t="shared" si="13"/>
        <v>0</v>
      </c>
      <c r="U167" s="32">
        <f t="shared" si="14"/>
        <v>0</v>
      </c>
      <c r="V167" s="32">
        <f t="shared" si="15"/>
        <v>0</v>
      </c>
      <c r="W167" s="30"/>
      <c r="X167" s="30"/>
      <c r="Y167" s="30"/>
      <c r="Z167" s="30"/>
      <c r="AA167" s="30"/>
      <c r="AB167" s="30"/>
      <c r="AC167" s="30"/>
    </row>
    <row r="168" spans="2:29" s="31" customFormat="1" ht="93">
      <c r="B168" s="64">
        <v>71</v>
      </c>
      <c r="C168" s="1" t="s">
        <v>134</v>
      </c>
      <c r="D168" s="64">
        <v>1050</v>
      </c>
      <c r="E168" s="2" t="s">
        <v>62</v>
      </c>
      <c r="F168" s="25">
        <v>260</v>
      </c>
      <c r="G168" s="65">
        <f>ROUND(D168*F168,0)</f>
        <v>273000</v>
      </c>
      <c r="H168" s="77">
        <v>872.09</v>
      </c>
      <c r="I168" s="64" t="str">
        <f>E168</f>
        <v>Sqm</v>
      </c>
      <c r="J168" s="65">
        <f>F168</f>
        <v>260</v>
      </c>
      <c r="K168" s="65">
        <f>ROUND(H168*J168,0)</f>
        <v>226743</v>
      </c>
      <c r="L168" s="66">
        <f>IF(K168&gt;G168,K168-G168,0)</f>
        <v>0</v>
      </c>
      <c r="M168" s="65">
        <f>IF(G168&gt;K168,G168-K168,0)</f>
        <v>46257</v>
      </c>
      <c r="N168" s="4" t="s">
        <v>279</v>
      </c>
      <c r="O168" s="40"/>
      <c r="P168" s="8"/>
      <c r="Q168" s="8"/>
      <c r="R168" s="30"/>
      <c r="S168" s="30"/>
      <c r="T168" s="32">
        <f t="shared" si="13"/>
        <v>273000</v>
      </c>
      <c r="U168" s="32">
        <f t="shared" si="14"/>
        <v>226743.4</v>
      </c>
      <c r="V168" s="32">
        <f t="shared" si="15"/>
        <v>-46256.600000000006</v>
      </c>
      <c r="W168" s="30"/>
      <c r="X168" s="30"/>
      <c r="Y168" s="30"/>
      <c r="Z168" s="30"/>
      <c r="AA168" s="30"/>
      <c r="AB168" s="30"/>
      <c r="AC168" s="30"/>
    </row>
    <row r="169" spans="2:29" s="31" customFormat="1">
      <c r="B169" s="7"/>
      <c r="C169" s="4"/>
      <c r="D169" s="4"/>
      <c r="E169" s="4"/>
      <c r="F169" s="4"/>
      <c r="G169" s="4"/>
      <c r="H169" s="73"/>
      <c r="I169" s="4"/>
      <c r="J169" s="4"/>
      <c r="K169" s="4"/>
      <c r="L169" s="7"/>
      <c r="M169" s="4"/>
      <c r="N169" s="4"/>
      <c r="O169" s="40"/>
      <c r="P169" s="8"/>
      <c r="Q169" s="8"/>
      <c r="R169" s="30"/>
      <c r="S169" s="30"/>
      <c r="T169" s="32">
        <f t="shared" si="13"/>
        <v>0</v>
      </c>
      <c r="U169" s="32">
        <f t="shared" si="14"/>
        <v>0</v>
      </c>
      <c r="V169" s="32">
        <f t="shared" si="15"/>
        <v>0</v>
      </c>
      <c r="W169" s="30"/>
      <c r="X169" s="30"/>
      <c r="Y169" s="30"/>
      <c r="Z169" s="30"/>
      <c r="AA169" s="30"/>
      <c r="AB169" s="30"/>
      <c r="AC169" s="30"/>
    </row>
    <row r="170" spans="2:29" s="31" customFormat="1" ht="108.5">
      <c r="B170" s="64">
        <v>72</v>
      </c>
      <c r="C170" s="1" t="s">
        <v>135</v>
      </c>
      <c r="D170" s="64">
        <v>150</v>
      </c>
      <c r="E170" s="2" t="s">
        <v>62</v>
      </c>
      <c r="F170" s="25">
        <v>229</v>
      </c>
      <c r="G170" s="65">
        <f>ROUND(D170*F170,0)</f>
        <v>34350</v>
      </c>
      <c r="H170" s="77">
        <v>0</v>
      </c>
      <c r="I170" s="64" t="str">
        <f>E170</f>
        <v>Sqm</v>
      </c>
      <c r="J170" s="65">
        <f>F170</f>
        <v>229</v>
      </c>
      <c r="K170" s="65">
        <f>ROUND(H170*J170,0)</f>
        <v>0</v>
      </c>
      <c r="L170" s="66">
        <f>IF(K170&gt;G170,K170-G170,0)</f>
        <v>0</v>
      </c>
      <c r="M170" s="65">
        <f>IF(G170&gt;K170,G170-K170,0)</f>
        <v>34350</v>
      </c>
      <c r="N170" s="4"/>
      <c r="O170" s="40"/>
      <c r="P170" s="8"/>
      <c r="Q170" s="8"/>
      <c r="R170" s="30"/>
      <c r="S170" s="30"/>
      <c r="T170" s="32">
        <f t="shared" ref="T170:T235" si="16">D170*F170</f>
        <v>34350</v>
      </c>
      <c r="U170" s="32">
        <f t="shared" ref="U170:U235" si="17">H170*F170</f>
        <v>0</v>
      </c>
      <c r="V170" s="32">
        <f t="shared" ref="V170:V235" si="18">U170-T170</f>
        <v>-34350</v>
      </c>
      <c r="W170" s="30"/>
      <c r="X170" s="30"/>
      <c r="Y170" s="30"/>
      <c r="Z170" s="30"/>
      <c r="AA170" s="30"/>
      <c r="AB170" s="30"/>
      <c r="AC170" s="30"/>
    </row>
    <row r="171" spans="2:29" s="31" customFormat="1">
      <c r="B171" s="7"/>
      <c r="C171" s="4"/>
      <c r="D171" s="4"/>
      <c r="E171" s="4"/>
      <c r="F171" s="4"/>
      <c r="G171" s="4"/>
      <c r="H171" s="73"/>
      <c r="I171" s="4"/>
      <c r="J171" s="4"/>
      <c r="K171" s="4"/>
      <c r="L171" s="7"/>
      <c r="M171" s="4"/>
      <c r="N171" s="4"/>
      <c r="O171" s="40"/>
      <c r="P171" s="8"/>
      <c r="Q171" s="8"/>
      <c r="R171" s="30"/>
      <c r="S171" s="30"/>
      <c r="T171" s="32">
        <f t="shared" si="16"/>
        <v>0</v>
      </c>
      <c r="U171" s="32">
        <f t="shared" si="17"/>
        <v>0</v>
      </c>
      <c r="V171" s="32">
        <f t="shared" si="18"/>
        <v>0</v>
      </c>
      <c r="W171" s="30"/>
      <c r="X171" s="30"/>
      <c r="Y171" s="30"/>
      <c r="Z171" s="30"/>
      <c r="AA171" s="30"/>
      <c r="AB171" s="30"/>
      <c r="AC171" s="30"/>
    </row>
    <row r="172" spans="2:29" s="31" customFormat="1" ht="139.5">
      <c r="B172" s="64">
        <v>87</v>
      </c>
      <c r="C172" s="1" t="s">
        <v>149</v>
      </c>
      <c r="D172" s="64">
        <v>125</v>
      </c>
      <c r="E172" s="2" t="s">
        <v>17</v>
      </c>
      <c r="F172" s="25">
        <v>5620</v>
      </c>
      <c r="G172" s="65">
        <f>ROUND(D172*F172,0)</f>
        <v>702500</v>
      </c>
      <c r="H172" s="77">
        <v>99.85</v>
      </c>
      <c r="I172" s="64" t="str">
        <f>E172</f>
        <v>sqm</v>
      </c>
      <c r="J172" s="65">
        <f>F172</f>
        <v>5620</v>
      </c>
      <c r="K172" s="65">
        <f>ROUND(H172*J172,0)</f>
        <v>561157</v>
      </c>
      <c r="L172" s="66">
        <f>IF(K172&gt;G172,K172-G172,0)</f>
        <v>0</v>
      </c>
      <c r="M172" s="65">
        <f>IF(G172&gt;K172,G172-K172,0)</f>
        <v>141343</v>
      </c>
      <c r="N172" s="4"/>
      <c r="O172" s="40"/>
      <c r="P172" s="8"/>
      <c r="Q172" s="8"/>
      <c r="R172" s="30"/>
      <c r="S172" s="30"/>
      <c r="T172" s="32">
        <f t="shared" si="16"/>
        <v>702500</v>
      </c>
      <c r="U172" s="32">
        <f t="shared" si="17"/>
        <v>561157</v>
      </c>
      <c r="V172" s="32">
        <f t="shared" si="18"/>
        <v>-141343</v>
      </c>
      <c r="W172" s="30"/>
      <c r="X172" s="30"/>
      <c r="Y172" s="30"/>
      <c r="Z172" s="30"/>
      <c r="AA172" s="30"/>
      <c r="AB172" s="30"/>
      <c r="AC172" s="30"/>
    </row>
    <row r="173" spans="2:29">
      <c r="B173" s="7"/>
      <c r="C173" s="4"/>
      <c r="D173" s="4"/>
      <c r="E173" s="4"/>
      <c r="F173" s="4"/>
      <c r="G173" s="4"/>
      <c r="H173" s="73"/>
      <c r="I173" s="4"/>
      <c r="J173" s="4"/>
      <c r="K173" s="4"/>
      <c r="L173" s="7"/>
      <c r="M173" s="4"/>
      <c r="N173" s="4"/>
      <c r="O173" s="40"/>
      <c r="P173" s="8"/>
      <c r="Q173" s="8"/>
      <c r="R173" s="8"/>
      <c r="S173" s="8"/>
      <c r="T173" s="23">
        <f t="shared" si="16"/>
        <v>0</v>
      </c>
      <c r="U173" s="23">
        <f t="shared" si="17"/>
        <v>0</v>
      </c>
      <c r="V173" s="23">
        <f t="shared" si="18"/>
        <v>0</v>
      </c>
      <c r="W173" s="8"/>
      <c r="X173" s="8"/>
      <c r="Y173" s="8"/>
      <c r="Z173" s="8"/>
      <c r="AA173" s="8"/>
      <c r="AB173" s="8"/>
      <c r="AC173" s="8"/>
    </row>
    <row r="174" spans="2:29" ht="155">
      <c r="B174" s="64">
        <v>88</v>
      </c>
      <c r="C174" s="1" t="s">
        <v>268</v>
      </c>
      <c r="D174" s="64">
        <v>65</v>
      </c>
      <c r="E174" s="2" t="s">
        <v>17</v>
      </c>
      <c r="F174" s="25">
        <v>5135</v>
      </c>
      <c r="G174" s="65">
        <f>ROUND(D174*F174,0)</f>
        <v>333775</v>
      </c>
      <c r="H174" s="77">
        <v>48.88</v>
      </c>
      <c r="I174" s="64" t="str">
        <f>E174</f>
        <v>sqm</v>
      </c>
      <c r="J174" s="65">
        <f>F174</f>
        <v>5135</v>
      </c>
      <c r="K174" s="65">
        <f>ROUND(H174*J174,0)</f>
        <v>250999</v>
      </c>
      <c r="L174" s="66">
        <f>IF(K174&gt;G174,K174-G174,0)</f>
        <v>0</v>
      </c>
      <c r="M174" s="65">
        <f>IF(G174&gt;K174,G174-K174,0)</f>
        <v>82776</v>
      </c>
      <c r="N174" s="4"/>
      <c r="O174" s="40"/>
      <c r="P174" s="8"/>
      <c r="Q174" s="8"/>
      <c r="R174" s="8"/>
      <c r="S174" s="8"/>
      <c r="T174" s="23">
        <f t="shared" si="16"/>
        <v>333775</v>
      </c>
      <c r="U174" s="23">
        <f t="shared" si="17"/>
        <v>250998.80000000002</v>
      </c>
      <c r="V174" s="23">
        <f t="shared" si="18"/>
        <v>-82776.199999999983</v>
      </c>
      <c r="W174" s="8"/>
      <c r="X174" s="8"/>
      <c r="Y174" s="8"/>
      <c r="Z174" s="8"/>
      <c r="AA174" s="8"/>
      <c r="AB174" s="8"/>
      <c r="AC174" s="8"/>
    </row>
    <row r="175" spans="2:29">
      <c r="B175" s="7"/>
      <c r="C175" s="4"/>
      <c r="D175" s="4"/>
      <c r="E175" s="4"/>
      <c r="F175" s="4"/>
      <c r="G175" s="4"/>
      <c r="H175" s="73"/>
      <c r="I175" s="4"/>
      <c r="J175" s="4"/>
      <c r="K175" s="4"/>
      <c r="L175" s="7"/>
      <c r="M175" s="4"/>
      <c r="N175" s="4"/>
      <c r="O175" s="40"/>
      <c r="P175" s="8"/>
      <c r="Q175" s="8"/>
      <c r="R175" s="8"/>
      <c r="S175" s="8"/>
      <c r="T175" s="23">
        <f t="shared" si="16"/>
        <v>0</v>
      </c>
      <c r="U175" s="23">
        <f t="shared" si="17"/>
        <v>0</v>
      </c>
      <c r="V175" s="23">
        <f t="shared" si="18"/>
        <v>0</v>
      </c>
      <c r="W175" s="8"/>
      <c r="X175" s="8"/>
      <c r="Y175" s="8"/>
      <c r="Z175" s="8"/>
      <c r="AA175" s="8"/>
      <c r="AB175" s="8"/>
      <c r="AC175" s="8"/>
    </row>
    <row r="176" spans="2:29" ht="170.5">
      <c r="B176" s="64">
        <v>89</v>
      </c>
      <c r="C176" s="1" t="s">
        <v>150</v>
      </c>
      <c r="D176" s="64">
        <v>5</v>
      </c>
      <c r="E176" s="2" t="s">
        <v>66</v>
      </c>
      <c r="F176" s="25">
        <v>46000</v>
      </c>
      <c r="G176" s="65">
        <f>ROUND(D176*F176,0)</f>
        <v>230000</v>
      </c>
      <c r="H176" s="77">
        <v>5</v>
      </c>
      <c r="I176" s="64" t="str">
        <f>E176</f>
        <v>No</v>
      </c>
      <c r="J176" s="65">
        <f>F176</f>
        <v>46000</v>
      </c>
      <c r="K176" s="65">
        <f>ROUND(H176*J176,0)</f>
        <v>230000</v>
      </c>
      <c r="L176" s="66">
        <f>IF(K176&gt;G176,K176-G176,0)</f>
        <v>0</v>
      </c>
      <c r="M176" s="65">
        <f>IF(G176&gt;K176,G176-K176,0)</f>
        <v>0</v>
      </c>
      <c r="N176" s="4"/>
      <c r="O176" s="40"/>
      <c r="P176" s="8"/>
      <c r="Q176" s="8"/>
      <c r="R176" s="8"/>
      <c r="S176" s="8"/>
      <c r="T176" s="23">
        <f t="shared" si="16"/>
        <v>230000</v>
      </c>
      <c r="U176" s="23">
        <f t="shared" si="17"/>
        <v>230000</v>
      </c>
      <c r="V176" s="23">
        <f t="shared" si="18"/>
        <v>0</v>
      </c>
      <c r="W176" s="8"/>
      <c r="X176" s="8"/>
      <c r="Y176" s="8"/>
      <c r="Z176" s="8"/>
      <c r="AA176" s="8"/>
      <c r="AB176" s="8"/>
      <c r="AC176" s="8"/>
    </row>
    <row r="177" spans="2:29">
      <c r="B177" s="7"/>
      <c r="C177" s="4"/>
      <c r="D177" s="4"/>
      <c r="E177" s="4"/>
      <c r="F177" s="4"/>
      <c r="G177" s="4"/>
      <c r="H177" s="73"/>
      <c r="I177" s="4"/>
      <c r="J177" s="4"/>
      <c r="K177" s="4"/>
      <c r="L177" s="7"/>
      <c r="M177" s="4"/>
      <c r="N177" s="4"/>
      <c r="O177" s="40"/>
      <c r="P177" s="8"/>
      <c r="Q177" s="8"/>
      <c r="R177" s="8"/>
      <c r="S177" s="8"/>
      <c r="T177" s="23">
        <f t="shared" si="16"/>
        <v>0</v>
      </c>
      <c r="U177" s="23">
        <f t="shared" si="17"/>
        <v>0</v>
      </c>
      <c r="V177" s="23">
        <f t="shared" si="18"/>
        <v>0</v>
      </c>
      <c r="W177" s="8"/>
      <c r="X177" s="8"/>
      <c r="Y177" s="8"/>
      <c r="Z177" s="8"/>
      <c r="AA177" s="8"/>
      <c r="AB177" s="8"/>
      <c r="AC177" s="8"/>
    </row>
    <row r="178" spans="2:29" ht="175.5" customHeight="1">
      <c r="B178" s="64">
        <v>90</v>
      </c>
      <c r="C178" s="1" t="s">
        <v>151</v>
      </c>
      <c r="D178" s="64">
        <v>1</v>
      </c>
      <c r="E178" s="2" t="s">
        <v>66</v>
      </c>
      <c r="F178" s="25">
        <v>28700</v>
      </c>
      <c r="G178" s="65">
        <f>ROUND(D178*F178,0)</f>
        <v>28700</v>
      </c>
      <c r="H178" s="77">
        <v>1</v>
      </c>
      <c r="I178" s="64" t="str">
        <f>E178</f>
        <v>No</v>
      </c>
      <c r="J178" s="65">
        <f>F178</f>
        <v>28700</v>
      </c>
      <c r="K178" s="65">
        <f>ROUND(H178*J178,0)</f>
        <v>28700</v>
      </c>
      <c r="L178" s="66">
        <f>IF(K178&gt;G178,K178-G178,0)</f>
        <v>0</v>
      </c>
      <c r="M178" s="65">
        <f>IF(G178&gt;K178,G178-K178,0)</f>
        <v>0</v>
      </c>
      <c r="N178" s="4"/>
      <c r="O178" s="40"/>
      <c r="P178" s="8"/>
      <c r="Q178" s="8"/>
      <c r="R178" s="8"/>
      <c r="S178" s="8"/>
      <c r="T178" s="23">
        <f t="shared" si="16"/>
        <v>28700</v>
      </c>
      <c r="U178" s="23">
        <f t="shared" si="17"/>
        <v>28700</v>
      </c>
      <c r="V178" s="23">
        <f t="shared" si="18"/>
        <v>0</v>
      </c>
      <c r="W178" s="8"/>
      <c r="X178" s="8"/>
      <c r="Y178" s="8"/>
      <c r="Z178" s="8"/>
      <c r="AA178" s="8"/>
      <c r="AB178" s="8"/>
      <c r="AC178" s="8"/>
    </row>
    <row r="179" spans="2:29">
      <c r="B179" s="7"/>
      <c r="C179" s="4"/>
      <c r="D179" s="4"/>
      <c r="E179" s="4"/>
      <c r="F179" s="4"/>
      <c r="G179" s="4"/>
      <c r="H179" s="73">
        <v>2</v>
      </c>
      <c r="I179" s="64" t="s">
        <v>66</v>
      </c>
      <c r="J179" s="25">
        <v>28700</v>
      </c>
      <c r="K179" s="65">
        <f>ROUND(H179*J179,0)</f>
        <v>57400</v>
      </c>
      <c r="L179" s="66">
        <f>IF(K179&gt;G179,K179-G179,0)</f>
        <v>57400</v>
      </c>
      <c r="M179" s="65">
        <f>IF(G179&gt;K179,G179-K179,0)</f>
        <v>0</v>
      </c>
      <c r="N179" s="4"/>
      <c r="O179" s="40"/>
      <c r="P179" s="8"/>
      <c r="Q179" s="8"/>
      <c r="R179" s="8"/>
      <c r="S179" s="8"/>
      <c r="T179" s="23">
        <f t="shared" si="16"/>
        <v>0</v>
      </c>
      <c r="U179" s="23">
        <f t="shared" si="17"/>
        <v>0</v>
      </c>
      <c r="V179" s="23">
        <f t="shared" si="18"/>
        <v>0</v>
      </c>
      <c r="W179" s="8"/>
      <c r="X179" s="8"/>
      <c r="Y179" s="8"/>
      <c r="Z179" s="8"/>
      <c r="AA179" s="8"/>
      <c r="AB179" s="8"/>
      <c r="AC179" s="8"/>
    </row>
    <row r="180" spans="2:29" ht="170.5">
      <c r="B180" s="64">
        <v>91</v>
      </c>
      <c r="C180" s="1" t="s">
        <v>152</v>
      </c>
      <c r="D180" s="64">
        <v>1</v>
      </c>
      <c r="E180" s="2" t="s">
        <v>66</v>
      </c>
      <c r="F180" s="25">
        <v>55000</v>
      </c>
      <c r="G180" s="65">
        <f>ROUND(D180*F180,0)</f>
        <v>55000</v>
      </c>
      <c r="H180" s="77">
        <v>1</v>
      </c>
      <c r="I180" s="64" t="str">
        <f>E180</f>
        <v>No</v>
      </c>
      <c r="J180" s="65">
        <f>F180</f>
        <v>55000</v>
      </c>
      <c r="K180" s="65">
        <f>ROUND(H180*J180,0)</f>
        <v>55000</v>
      </c>
      <c r="L180" s="66">
        <f>IF(K180&gt;G180,K180-G180,0)</f>
        <v>0</v>
      </c>
      <c r="M180" s="65">
        <f>IF(G180&gt;K180,G180-K180,0)</f>
        <v>0</v>
      </c>
      <c r="N180" s="4"/>
      <c r="O180" s="40"/>
      <c r="P180" s="8"/>
      <c r="Q180" s="8"/>
      <c r="R180" s="8"/>
      <c r="S180" s="8"/>
      <c r="T180" s="23">
        <f t="shared" si="16"/>
        <v>55000</v>
      </c>
      <c r="U180" s="23">
        <f t="shared" si="17"/>
        <v>55000</v>
      </c>
      <c r="V180" s="23">
        <f t="shared" si="18"/>
        <v>0</v>
      </c>
      <c r="W180" s="8"/>
      <c r="X180" s="8"/>
      <c r="Y180" s="8"/>
      <c r="Z180" s="8"/>
      <c r="AA180" s="8"/>
      <c r="AB180" s="8"/>
      <c r="AC180" s="8"/>
    </row>
    <row r="181" spans="2:29">
      <c r="B181" s="7"/>
      <c r="C181" s="4"/>
      <c r="D181" s="4"/>
      <c r="E181" s="4"/>
      <c r="F181" s="4"/>
      <c r="G181" s="4"/>
      <c r="H181" s="73"/>
      <c r="I181" s="4"/>
      <c r="J181" s="4"/>
      <c r="K181" s="4"/>
      <c r="L181" s="7"/>
      <c r="M181" s="4"/>
      <c r="N181" s="4"/>
      <c r="O181" s="40"/>
      <c r="P181" s="8"/>
      <c r="Q181" s="8"/>
      <c r="R181" s="8"/>
      <c r="S181" s="8"/>
      <c r="T181" s="23">
        <f t="shared" si="16"/>
        <v>0</v>
      </c>
      <c r="U181" s="23">
        <f t="shared" si="17"/>
        <v>0</v>
      </c>
      <c r="V181" s="23">
        <f t="shared" si="18"/>
        <v>0</v>
      </c>
      <c r="W181" s="8"/>
      <c r="X181" s="8"/>
      <c r="Y181" s="8"/>
      <c r="Z181" s="8"/>
      <c r="AA181" s="8"/>
      <c r="AB181" s="8"/>
      <c r="AC181" s="8"/>
    </row>
    <row r="182" spans="2:29">
      <c r="B182" s="64">
        <v>92</v>
      </c>
      <c r="C182" s="1" t="s">
        <v>153</v>
      </c>
      <c r="D182" s="64">
        <v>120</v>
      </c>
      <c r="E182" s="2" t="s">
        <v>60</v>
      </c>
      <c r="F182" s="25">
        <v>585</v>
      </c>
      <c r="G182" s="65">
        <f>ROUND(D182*F182,0)</f>
        <v>70200</v>
      </c>
      <c r="H182" s="77">
        <v>72</v>
      </c>
      <c r="I182" s="64" t="str">
        <f>E182</f>
        <v>Rmt</v>
      </c>
      <c r="J182" s="65">
        <f>F182</f>
        <v>585</v>
      </c>
      <c r="K182" s="65">
        <f>ROUND(H182*J182,0)</f>
        <v>42120</v>
      </c>
      <c r="L182" s="66">
        <f>IF(K182&gt;G182,K182-G182,0)</f>
        <v>0</v>
      </c>
      <c r="M182" s="65">
        <f>IF(G182&gt;K182,G182-K182,0)</f>
        <v>28080</v>
      </c>
      <c r="N182" s="4"/>
      <c r="O182" s="40"/>
      <c r="P182" s="8"/>
      <c r="Q182" s="8"/>
      <c r="R182" s="8"/>
      <c r="S182" s="8"/>
      <c r="T182" s="23">
        <f t="shared" si="16"/>
        <v>70200</v>
      </c>
      <c r="U182" s="23">
        <f t="shared" si="17"/>
        <v>42120</v>
      </c>
      <c r="V182" s="23">
        <f t="shared" si="18"/>
        <v>-28080</v>
      </c>
      <c r="W182" s="8"/>
      <c r="X182" s="8"/>
      <c r="Y182" s="8"/>
      <c r="Z182" s="8"/>
      <c r="AA182" s="8"/>
      <c r="AB182" s="8"/>
      <c r="AC182" s="8"/>
    </row>
    <row r="183" spans="2:29">
      <c r="B183" s="7"/>
      <c r="C183" s="4"/>
      <c r="D183" s="4"/>
      <c r="E183" s="4"/>
      <c r="F183" s="4"/>
      <c r="G183" s="4"/>
      <c r="H183" s="73"/>
      <c r="I183" s="4"/>
      <c r="J183" s="4"/>
      <c r="K183" s="4"/>
      <c r="L183" s="7"/>
      <c r="M183" s="4"/>
      <c r="N183" s="4"/>
      <c r="O183" s="40"/>
      <c r="P183" s="8"/>
      <c r="Q183" s="8"/>
      <c r="R183" s="8"/>
      <c r="S183" s="8"/>
      <c r="T183" s="23">
        <f t="shared" si="16"/>
        <v>0</v>
      </c>
      <c r="U183" s="23">
        <f t="shared" si="17"/>
        <v>0</v>
      </c>
      <c r="V183" s="23">
        <f t="shared" si="18"/>
        <v>0</v>
      </c>
      <c r="W183" s="8"/>
      <c r="X183" s="8"/>
      <c r="Y183" s="8"/>
      <c r="Z183" s="8"/>
      <c r="AA183" s="8"/>
      <c r="AB183" s="8"/>
      <c r="AC183" s="8"/>
    </row>
    <row r="184" spans="2:29" s="36" customFormat="1" ht="93">
      <c r="B184" s="64">
        <v>93</v>
      </c>
      <c r="C184" s="1" t="s">
        <v>291</v>
      </c>
      <c r="D184" s="64">
        <v>155</v>
      </c>
      <c r="E184" s="2" t="s">
        <v>62</v>
      </c>
      <c r="F184" s="25">
        <v>4070</v>
      </c>
      <c r="G184" s="65">
        <f>ROUND(D184*F184,0)</f>
        <v>630850</v>
      </c>
      <c r="H184" s="77">
        <v>125.11</v>
      </c>
      <c r="I184" s="64" t="str">
        <f>E184</f>
        <v>Sqm</v>
      </c>
      <c r="J184" s="65">
        <f>F184</f>
        <v>4070</v>
      </c>
      <c r="K184" s="65">
        <f>ROUND(H184*J184,0)</f>
        <v>509198</v>
      </c>
      <c r="L184" s="66">
        <f>IF(K184&gt;G184,K184-G184,0)</f>
        <v>0</v>
      </c>
      <c r="M184" s="65">
        <f>IF(G184&gt;K184,G184-K184,0)</f>
        <v>121652</v>
      </c>
      <c r="N184" s="4"/>
      <c r="O184" s="40"/>
      <c r="P184" s="8"/>
      <c r="Q184" s="8"/>
      <c r="R184" s="35"/>
      <c r="S184" s="35"/>
      <c r="T184" s="37">
        <f t="shared" si="16"/>
        <v>630850</v>
      </c>
      <c r="U184" s="37">
        <f t="shared" si="17"/>
        <v>509197.7</v>
      </c>
      <c r="V184" s="37">
        <f t="shared" si="18"/>
        <v>-121652.29999999999</v>
      </c>
      <c r="W184" s="35"/>
      <c r="X184" s="35"/>
      <c r="Y184" s="35"/>
      <c r="Z184" s="35"/>
      <c r="AA184" s="35"/>
      <c r="AB184" s="35"/>
      <c r="AC184" s="35"/>
    </row>
    <row r="185" spans="2:29">
      <c r="B185" s="7"/>
      <c r="C185" s="4"/>
      <c r="D185" s="4"/>
      <c r="E185" s="4"/>
      <c r="F185" s="4"/>
      <c r="G185" s="4"/>
      <c r="H185" s="73"/>
      <c r="I185" s="4"/>
      <c r="J185" s="4"/>
      <c r="K185" s="4"/>
      <c r="L185" s="7"/>
      <c r="M185" s="4"/>
      <c r="N185" s="4"/>
      <c r="O185" s="40"/>
      <c r="P185" s="8"/>
      <c r="Q185" s="8"/>
      <c r="R185" s="8"/>
      <c r="S185" s="8"/>
      <c r="T185" s="23">
        <f t="shared" si="16"/>
        <v>0</v>
      </c>
      <c r="U185" s="23">
        <f t="shared" si="17"/>
        <v>0</v>
      </c>
      <c r="V185" s="23">
        <f t="shared" si="18"/>
        <v>0</v>
      </c>
      <c r="W185" s="8"/>
      <c r="X185" s="8"/>
      <c r="Y185" s="8"/>
      <c r="Z185" s="8"/>
      <c r="AA185" s="8"/>
      <c r="AB185" s="8"/>
      <c r="AC185" s="8"/>
    </row>
    <row r="186" spans="2:29" ht="46.5">
      <c r="B186" s="64">
        <v>94</v>
      </c>
      <c r="C186" s="4" t="s">
        <v>292</v>
      </c>
      <c r="D186" s="64">
        <v>1</v>
      </c>
      <c r="E186" s="2" t="s">
        <v>66</v>
      </c>
      <c r="F186" s="25">
        <v>355000</v>
      </c>
      <c r="G186" s="65">
        <f>ROUND(D186*F186,0)</f>
        <v>355000</v>
      </c>
      <c r="H186" s="77">
        <v>1</v>
      </c>
      <c r="I186" s="64" t="str">
        <f>E186</f>
        <v>No</v>
      </c>
      <c r="J186" s="65">
        <f>F186</f>
        <v>355000</v>
      </c>
      <c r="K186" s="65">
        <f>ROUND(H186*J186,0)</f>
        <v>355000</v>
      </c>
      <c r="L186" s="66">
        <f>IF(K186&gt;G186,K186-G186,0)</f>
        <v>0</v>
      </c>
      <c r="M186" s="65">
        <f>IF(G186&gt;K186,G186-K186,0)</f>
        <v>0</v>
      </c>
      <c r="N186" s="4"/>
      <c r="O186" s="40"/>
      <c r="P186" s="8"/>
      <c r="Q186" s="8"/>
      <c r="R186" s="8"/>
      <c r="S186" s="8"/>
      <c r="T186" s="23">
        <f t="shared" si="16"/>
        <v>355000</v>
      </c>
      <c r="U186" s="23">
        <f t="shared" si="17"/>
        <v>355000</v>
      </c>
      <c r="V186" s="23">
        <f t="shared" si="18"/>
        <v>0</v>
      </c>
      <c r="W186" s="8"/>
      <c r="X186" s="8"/>
      <c r="Y186" s="8"/>
      <c r="Z186" s="8"/>
      <c r="AA186" s="8"/>
      <c r="AB186" s="8"/>
      <c r="AC186" s="8"/>
    </row>
    <row r="187" spans="2:29">
      <c r="B187" s="7"/>
      <c r="C187" s="4"/>
      <c r="D187" s="4"/>
      <c r="E187" s="4"/>
      <c r="F187" s="4"/>
      <c r="G187" s="4"/>
      <c r="H187" s="73"/>
      <c r="I187" s="4"/>
      <c r="J187" s="4"/>
      <c r="K187" s="4"/>
      <c r="L187" s="7"/>
      <c r="M187" s="4"/>
      <c r="N187" s="4"/>
      <c r="O187" s="40"/>
      <c r="P187" s="8"/>
      <c r="Q187" s="8"/>
      <c r="R187" s="8"/>
      <c r="S187" s="8"/>
      <c r="T187" s="23">
        <f t="shared" si="16"/>
        <v>0</v>
      </c>
      <c r="U187" s="23">
        <f t="shared" si="17"/>
        <v>0</v>
      </c>
      <c r="V187" s="23">
        <f t="shared" si="18"/>
        <v>0</v>
      </c>
      <c r="W187" s="8"/>
      <c r="X187" s="8"/>
      <c r="Y187" s="8"/>
      <c r="Z187" s="8"/>
      <c r="AA187" s="8"/>
      <c r="AB187" s="8"/>
      <c r="AC187" s="8"/>
    </row>
    <row r="188" spans="2:29" ht="62">
      <c r="B188" s="64">
        <v>95</v>
      </c>
      <c r="C188" s="1" t="s">
        <v>154</v>
      </c>
      <c r="D188" s="64">
        <v>3</v>
      </c>
      <c r="E188" s="2" t="s">
        <v>66</v>
      </c>
      <c r="F188" s="25">
        <v>61000</v>
      </c>
      <c r="G188" s="65">
        <f>ROUND(D188*F188,0)</f>
        <v>183000</v>
      </c>
      <c r="H188" s="77">
        <v>3</v>
      </c>
      <c r="I188" s="64" t="str">
        <f>E188</f>
        <v>No</v>
      </c>
      <c r="J188" s="65">
        <f>F188</f>
        <v>61000</v>
      </c>
      <c r="K188" s="65">
        <f>ROUND(H188*J188,0)</f>
        <v>183000</v>
      </c>
      <c r="L188" s="66">
        <f>IF(K188&gt;G188,K188-G188,0)</f>
        <v>0</v>
      </c>
      <c r="M188" s="65">
        <f>IF(G188&gt;K188,G188-K188,0)</f>
        <v>0</v>
      </c>
      <c r="N188" s="4"/>
      <c r="O188" s="40"/>
      <c r="P188" s="8"/>
      <c r="Q188" s="8"/>
      <c r="R188" s="8"/>
      <c r="S188" s="8"/>
      <c r="T188" s="23">
        <f t="shared" si="16"/>
        <v>183000</v>
      </c>
      <c r="U188" s="23">
        <f t="shared" si="17"/>
        <v>183000</v>
      </c>
      <c r="V188" s="23">
        <f t="shared" si="18"/>
        <v>0</v>
      </c>
      <c r="W188" s="8"/>
      <c r="X188" s="8"/>
      <c r="Y188" s="8"/>
      <c r="Z188" s="8"/>
      <c r="AA188" s="8"/>
      <c r="AB188" s="8"/>
      <c r="AC188" s="8"/>
    </row>
    <row r="189" spans="2:29">
      <c r="B189" s="7"/>
      <c r="C189" s="4"/>
      <c r="D189" s="4"/>
      <c r="E189" s="4"/>
      <c r="F189" s="4"/>
      <c r="G189" s="4"/>
      <c r="H189" s="73"/>
      <c r="I189" s="4"/>
      <c r="J189" s="4"/>
      <c r="K189" s="4"/>
      <c r="L189" s="7"/>
      <c r="M189" s="4"/>
      <c r="N189" s="4"/>
      <c r="O189" s="40"/>
      <c r="P189" s="8"/>
      <c r="Q189" s="8"/>
      <c r="R189" s="8"/>
      <c r="S189" s="8"/>
      <c r="T189" s="23">
        <f t="shared" si="16"/>
        <v>0</v>
      </c>
      <c r="U189" s="23">
        <f t="shared" si="17"/>
        <v>0</v>
      </c>
      <c r="V189" s="23">
        <f t="shared" si="18"/>
        <v>0</v>
      </c>
      <c r="W189" s="8"/>
      <c r="X189" s="8"/>
      <c r="Y189" s="8"/>
      <c r="Z189" s="8"/>
      <c r="AA189" s="8"/>
      <c r="AB189" s="8"/>
      <c r="AC189" s="8"/>
    </row>
    <row r="190" spans="2:29" ht="33" customHeight="1">
      <c r="B190" s="64"/>
      <c r="C190" s="81" t="s">
        <v>280</v>
      </c>
      <c r="D190" s="64"/>
      <c r="E190" s="2"/>
      <c r="F190" s="25"/>
      <c r="G190" s="65"/>
      <c r="H190" s="77"/>
      <c r="I190" s="64"/>
      <c r="J190" s="65"/>
      <c r="K190" s="65"/>
      <c r="L190" s="66"/>
      <c r="M190" s="65"/>
      <c r="N190" s="4"/>
      <c r="O190" s="40"/>
      <c r="P190" s="8"/>
      <c r="Q190" s="8"/>
      <c r="R190" s="8"/>
      <c r="S190" s="8"/>
      <c r="T190" s="23">
        <f t="shared" si="16"/>
        <v>0</v>
      </c>
      <c r="U190" s="23">
        <f t="shared" si="17"/>
        <v>0</v>
      </c>
      <c r="V190" s="23">
        <f t="shared" si="18"/>
        <v>0</v>
      </c>
      <c r="W190" s="8"/>
      <c r="X190" s="8"/>
      <c r="Y190" s="8"/>
      <c r="Z190" s="8"/>
      <c r="AA190" s="8"/>
      <c r="AB190" s="8"/>
      <c r="AC190" s="8"/>
    </row>
    <row r="191" spans="2:29" ht="77.5">
      <c r="B191" s="64">
        <v>1</v>
      </c>
      <c r="C191" s="189" t="s">
        <v>386</v>
      </c>
      <c r="D191" s="64"/>
      <c r="E191" s="2"/>
      <c r="F191" s="25"/>
      <c r="G191" s="65"/>
      <c r="H191" s="77">
        <v>536.11</v>
      </c>
      <c r="I191" s="64" t="s">
        <v>62</v>
      </c>
      <c r="J191" s="65">
        <v>260</v>
      </c>
      <c r="K191" s="65">
        <f>ROUND(H191*J191,0)</f>
        <v>139389</v>
      </c>
      <c r="L191" s="66">
        <f>IF(K191&gt;G191,K191-G191,0)</f>
        <v>139389</v>
      </c>
      <c r="M191" s="65">
        <f>IF(G191&gt;K191,G191-K191,0)</f>
        <v>0</v>
      </c>
      <c r="N191" s="89" t="s">
        <v>279</v>
      </c>
      <c r="O191" s="40"/>
      <c r="P191" s="8"/>
      <c r="Q191" s="8"/>
      <c r="R191" s="8"/>
      <c r="S191" s="8"/>
      <c r="T191" s="23">
        <f>D191*F191</f>
        <v>0</v>
      </c>
      <c r="U191" s="23">
        <f>H191*F191</f>
        <v>0</v>
      </c>
      <c r="V191" s="23">
        <f>U191-T191</f>
        <v>0</v>
      </c>
      <c r="W191" s="8"/>
      <c r="X191" s="8"/>
      <c r="Y191" s="8"/>
      <c r="Z191" s="8"/>
      <c r="AA191" s="8"/>
      <c r="AB191" s="8"/>
      <c r="AC191" s="8"/>
    </row>
    <row r="192" spans="2:29" ht="77.5">
      <c r="B192" s="7">
        <v>2</v>
      </c>
      <c r="C192" s="90" t="s">
        <v>317</v>
      </c>
      <c r="D192" s="83"/>
      <c r="E192" s="83"/>
      <c r="F192" s="83"/>
      <c r="G192" s="83"/>
      <c r="H192" s="84">
        <v>3.89</v>
      </c>
      <c r="I192" s="7" t="s">
        <v>57</v>
      </c>
      <c r="J192" s="7"/>
      <c r="K192" s="7"/>
      <c r="L192" s="7"/>
      <c r="M192" s="7"/>
      <c r="N192" s="4"/>
      <c r="O192" s="40"/>
      <c r="P192" s="8"/>
      <c r="Q192" s="8"/>
      <c r="R192" s="8"/>
      <c r="S192" s="8"/>
      <c r="T192" s="23"/>
      <c r="U192" s="23"/>
      <c r="V192" s="23"/>
      <c r="W192" s="8"/>
      <c r="X192" s="8"/>
      <c r="Y192" s="8"/>
      <c r="Z192" s="8"/>
      <c r="AA192" s="8"/>
      <c r="AB192" s="8"/>
      <c r="AC192" s="8"/>
    </row>
    <row r="193" spans="2:29" ht="77.5">
      <c r="B193" s="64">
        <v>3</v>
      </c>
      <c r="C193" s="90" t="s">
        <v>318</v>
      </c>
      <c r="D193" s="4"/>
      <c r="E193" s="4"/>
      <c r="F193" s="4"/>
      <c r="G193" s="4"/>
      <c r="H193" s="77">
        <v>37.130000000000003</v>
      </c>
      <c r="I193" s="7" t="s">
        <v>62</v>
      </c>
      <c r="J193" s="7"/>
      <c r="K193" s="7"/>
      <c r="L193" s="7"/>
      <c r="M193" s="7"/>
      <c r="N193" s="4"/>
      <c r="O193" s="40"/>
      <c r="P193" s="8"/>
      <c r="Q193" s="8"/>
      <c r="R193" s="8"/>
      <c r="S193" s="8"/>
      <c r="T193" s="23"/>
      <c r="U193" s="23"/>
      <c r="V193" s="23"/>
      <c r="W193" s="8"/>
      <c r="X193" s="8"/>
      <c r="Y193" s="8"/>
      <c r="Z193" s="8"/>
      <c r="AA193" s="8"/>
      <c r="AB193" s="8"/>
      <c r="AC193" s="8"/>
    </row>
    <row r="194" spans="2:29" ht="77.5">
      <c r="B194" s="7">
        <v>4</v>
      </c>
      <c r="C194" s="90" t="s">
        <v>319</v>
      </c>
      <c r="D194" s="85"/>
      <c r="E194" s="85"/>
      <c r="F194" s="85"/>
      <c r="G194" s="85"/>
      <c r="H194" s="91">
        <v>0.7</v>
      </c>
      <c r="I194" s="7" t="s">
        <v>57</v>
      </c>
      <c r="J194" s="7"/>
      <c r="K194" s="7"/>
      <c r="L194" s="7"/>
      <c r="M194" s="7"/>
      <c r="N194" s="4"/>
      <c r="O194" s="40"/>
      <c r="P194" s="8"/>
      <c r="Q194" s="8"/>
      <c r="R194" s="8"/>
      <c r="S194" s="8"/>
      <c r="T194" s="23"/>
      <c r="U194" s="23"/>
      <c r="V194" s="23"/>
      <c r="W194" s="8"/>
      <c r="X194" s="8"/>
      <c r="Y194" s="8"/>
      <c r="Z194" s="8"/>
      <c r="AA194" s="8"/>
      <c r="AB194" s="8"/>
      <c r="AC194" s="8"/>
    </row>
    <row r="195" spans="2:29" ht="170.5">
      <c r="B195" s="64">
        <v>5</v>
      </c>
      <c r="C195" s="61" t="s">
        <v>295</v>
      </c>
      <c r="D195" s="4"/>
      <c r="E195" s="4"/>
      <c r="F195" s="4"/>
      <c r="G195" s="4"/>
      <c r="H195" s="77">
        <v>107.18</v>
      </c>
      <c r="I195" s="7" t="s">
        <v>60</v>
      </c>
      <c r="J195" s="7"/>
      <c r="K195" s="7"/>
      <c r="L195" s="7"/>
      <c r="M195" s="7"/>
      <c r="N195" s="4"/>
      <c r="O195" s="40"/>
      <c r="P195" s="8"/>
      <c r="Q195" s="8"/>
      <c r="R195" s="8"/>
      <c r="S195" s="8"/>
      <c r="T195" s="23"/>
      <c r="U195" s="23"/>
      <c r="V195" s="23"/>
      <c r="W195" s="8"/>
      <c r="X195" s="8"/>
      <c r="Y195" s="8"/>
      <c r="Z195" s="8"/>
      <c r="AA195" s="8"/>
      <c r="AB195" s="8"/>
      <c r="AC195" s="8"/>
    </row>
    <row r="196" spans="2:29" ht="325.5">
      <c r="B196" s="7">
        <v>7</v>
      </c>
      <c r="C196" s="4" t="s">
        <v>15</v>
      </c>
      <c r="D196" s="4"/>
      <c r="E196" s="4"/>
      <c r="F196" s="4"/>
      <c r="G196" s="4"/>
      <c r="H196" s="77">
        <v>23.463000000000001</v>
      </c>
      <c r="I196" s="7" t="s">
        <v>62</v>
      </c>
      <c r="J196" s="7"/>
      <c r="K196" s="7"/>
      <c r="L196" s="7"/>
      <c r="M196" s="7"/>
      <c r="N196" s="4"/>
      <c r="O196" s="40"/>
      <c r="P196" s="8"/>
      <c r="Q196" s="8"/>
      <c r="R196" s="8"/>
      <c r="S196" s="8"/>
      <c r="T196" s="23"/>
      <c r="U196" s="23"/>
      <c r="V196" s="23"/>
      <c r="W196" s="8"/>
      <c r="X196" s="8"/>
      <c r="Y196" s="8"/>
      <c r="Z196" s="8"/>
      <c r="AA196" s="8"/>
      <c r="AB196" s="8"/>
      <c r="AC196" s="8"/>
    </row>
    <row r="197" spans="2:29" ht="170.5">
      <c r="B197" s="7"/>
      <c r="C197" s="92" t="s">
        <v>63</v>
      </c>
      <c r="D197" s="4"/>
      <c r="E197" s="4"/>
      <c r="F197" s="4"/>
      <c r="G197" s="4"/>
      <c r="H197" s="77">
        <v>10.17</v>
      </c>
      <c r="I197" s="7" t="s">
        <v>62</v>
      </c>
      <c r="J197" s="7"/>
      <c r="K197" s="7"/>
      <c r="L197" s="7"/>
      <c r="M197" s="7"/>
      <c r="N197" s="4"/>
      <c r="O197" s="40"/>
      <c r="P197" s="8"/>
      <c r="Q197" s="8"/>
      <c r="R197" s="8"/>
      <c r="S197" s="8"/>
      <c r="T197" s="23"/>
      <c r="U197" s="23"/>
      <c r="V197" s="23"/>
      <c r="W197" s="8"/>
      <c r="X197" s="8"/>
      <c r="Y197" s="8"/>
      <c r="Z197" s="8"/>
      <c r="AA197" s="8"/>
      <c r="AB197" s="8"/>
      <c r="AC197" s="8"/>
    </row>
    <row r="198" spans="2:29" ht="19.899999999999999" customHeight="1">
      <c r="B198" s="7"/>
      <c r="C198" s="4" t="s">
        <v>22</v>
      </c>
      <c r="D198" s="4"/>
      <c r="E198" s="4"/>
      <c r="F198" s="4"/>
      <c r="G198" s="4"/>
      <c r="H198" s="77">
        <v>1</v>
      </c>
      <c r="I198" s="7" t="s">
        <v>14</v>
      </c>
      <c r="J198" s="7"/>
      <c r="K198" s="7"/>
      <c r="L198" s="7"/>
      <c r="M198" s="7"/>
      <c r="N198" s="4"/>
      <c r="O198" s="40"/>
      <c r="P198" s="8"/>
      <c r="Q198" s="8"/>
      <c r="R198" s="8"/>
      <c r="S198" s="8"/>
      <c r="T198" s="23"/>
      <c r="U198" s="23"/>
      <c r="V198" s="23"/>
      <c r="W198" s="8"/>
      <c r="X198" s="8"/>
      <c r="Y198" s="8"/>
      <c r="Z198" s="8"/>
      <c r="AA198" s="8"/>
      <c r="AB198" s="8"/>
      <c r="AC198" s="8"/>
    </row>
    <row r="199" spans="2:29" ht="19.899999999999999" customHeight="1">
      <c r="B199" s="7"/>
      <c r="C199" s="92" t="s">
        <v>303</v>
      </c>
      <c r="D199" s="4"/>
      <c r="E199" s="4"/>
      <c r="F199" s="4"/>
      <c r="G199" s="4"/>
      <c r="H199" s="77">
        <v>5</v>
      </c>
      <c r="I199" s="7" t="s">
        <v>14</v>
      </c>
      <c r="J199" s="7"/>
      <c r="K199" s="7"/>
      <c r="L199" s="7"/>
      <c r="M199" s="7"/>
      <c r="N199" s="4"/>
      <c r="O199" s="40"/>
      <c r="P199" s="8"/>
      <c r="Q199" s="8"/>
      <c r="R199" s="8"/>
      <c r="S199" s="8"/>
      <c r="T199" s="23"/>
      <c r="U199" s="23"/>
      <c r="V199" s="23"/>
      <c r="W199" s="8"/>
      <c r="X199" s="8"/>
      <c r="Y199" s="8"/>
      <c r="Z199" s="8"/>
      <c r="AA199" s="8"/>
      <c r="AB199" s="8"/>
      <c r="AC199" s="8"/>
    </row>
    <row r="200" spans="2:29" ht="19.899999999999999" customHeight="1">
      <c r="B200" s="7"/>
      <c r="C200" s="92" t="s">
        <v>304</v>
      </c>
      <c r="D200" s="4"/>
      <c r="E200" s="4"/>
      <c r="F200" s="4"/>
      <c r="G200" s="4"/>
      <c r="H200" s="77">
        <v>5</v>
      </c>
      <c r="I200" s="7" t="s">
        <v>14</v>
      </c>
      <c r="J200" s="7"/>
      <c r="K200" s="7"/>
      <c r="L200" s="7"/>
      <c r="M200" s="7"/>
      <c r="N200" s="4"/>
      <c r="O200" s="40"/>
      <c r="P200" s="8"/>
      <c r="Q200" s="8"/>
      <c r="R200" s="8"/>
      <c r="S200" s="8"/>
      <c r="T200" s="23"/>
      <c r="U200" s="23"/>
      <c r="V200" s="23"/>
      <c r="W200" s="8"/>
      <c r="X200" s="8"/>
      <c r="Y200" s="8"/>
      <c r="Z200" s="8"/>
      <c r="AA200" s="8"/>
      <c r="AB200" s="8"/>
      <c r="AC200" s="8"/>
    </row>
    <row r="201" spans="2:29" ht="19.899999999999999" customHeight="1">
      <c r="B201" s="7"/>
      <c r="C201" s="92" t="s">
        <v>343</v>
      </c>
      <c r="D201" s="4"/>
      <c r="E201" s="4"/>
      <c r="F201" s="4"/>
      <c r="G201" s="4"/>
      <c r="H201" s="77">
        <v>2</v>
      </c>
      <c r="I201" s="7" t="s">
        <v>14</v>
      </c>
      <c r="J201" s="7"/>
      <c r="K201" s="7"/>
      <c r="L201" s="7"/>
      <c r="M201" s="7"/>
      <c r="N201" s="4"/>
      <c r="O201" s="40"/>
      <c r="P201" s="8"/>
      <c r="Q201" s="8"/>
      <c r="R201" s="8"/>
      <c r="S201" s="8"/>
      <c r="T201" s="23"/>
      <c r="U201" s="23"/>
      <c r="V201" s="23"/>
      <c r="W201" s="8"/>
      <c r="X201" s="8"/>
      <c r="Y201" s="8"/>
      <c r="Z201" s="8"/>
      <c r="AA201" s="8"/>
      <c r="AB201" s="8"/>
      <c r="AC201" s="8"/>
    </row>
    <row r="202" spans="2:29" ht="19.899999999999999" customHeight="1">
      <c r="B202" s="7"/>
      <c r="C202" s="92" t="s">
        <v>344</v>
      </c>
      <c r="D202" s="4"/>
      <c r="E202" s="4"/>
      <c r="F202" s="4"/>
      <c r="G202" s="4"/>
      <c r="H202" s="77">
        <v>31</v>
      </c>
      <c r="I202" s="7" t="s">
        <v>14</v>
      </c>
      <c r="J202" s="7"/>
      <c r="K202" s="7"/>
      <c r="L202" s="7"/>
      <c r="M202" s="7"/>
      <c r="N202" s="4"/>
      <c r="O202" s="40"/>
      <c r="P202" s="8"/>
      <c r="Q202" s="8"/>
      <c r="R202" s="8"/>
      <c r="S202" s="8"/>
      <c r="T202" s="23"/>
      <c r="U202" s="23"/>
      <c r="V202" s="23"/>
      <c r="W202" s="8"/>
      <c r="X202" s="8"/>
      <c r="Y202" s="8"/>
      <c r="Z202" s="8"/>
      <c r="AA202" s="8"/>
      <c r="AB202" s="8"/>
      <c r="AC202" s="8"/>
    </row>
    <row r="203" spans="2:29" ht="19.899999999999999" customHeight="1">
      <c r="B203" s="7"/>
      <c r="C203" s="92" t="s">
        <v>345</v>
      </c>
      <c r="D203" s="4"/>
      <c r="E203" s="4"/>
      <c r="F203" s="4"/>
      <c r="G203" s="4"/>
      <c r="H203" s="77">
        <v>14</v>
      </c>
      <c r="I203" s="7" t="s">
        <v>14</v>
      </c>
      <c r="J203" s="7"/>
      <c r="K203" s="7"/>
      <c r="L203" s="7"/>
      <c r="M203" s="7"/>
      <c r="N203" s="4"/>
      <c r="O203" s="40"/>
      <c r="P203" s="8"/>
      <c r="Q203" s="8"/>
      <c r="R203" s="8"/>
      <c r="S203" s="8"/>
      <c r="T203" s="23"/>
      <c r="U203" s="23"/>
      <c r="V203" s="23"/>
      <c r="W203" s="8"/>
      <c r="X203" s="8"/>
      <c r="Y203" s="8"/>
      <c r="Z203" s="8"/>
      <c r="AA203" s="8"/>
      <c r="AB203" s="8"/>
      <c r="AC203" s="8"/>
    </row>
    <row r="204" spans="2:29" ht="79.150000000000006" customHeight="1">
      <c r="B204" s="7"/>
      <c r="C204" s="61" t="s">
        <v>348</v>
      </c>
      <c r="D204" s="4"/>
      <c r="E204" s="4"/>
      <c r="F204" s="4"/>
      <c r="G204" s="4"/>
      <c r="H204" s="77">
        <v>7.2</v>
      </c>
      <c r="I204" s="7" t="s">
        <v>62</v>
      </c>
      <c r="J204" s="7"/>
      <c r="K204" s="7"/>
      <c r="L204" s="7"/>
      <c r="M204" s="7"/>
      <c r="N204" s="4"/>
      <c r="O204" s="40"/>
      <c r="P204" s="8"/>
      <c r="Q204" s="8"/>
      <c r="R204" s="8"/>
      <c r="S204" s="8"/>
      <c r="T204" s="23"/>
      <c r="U204" s="23"/>
      <c r="V204" s="23"/>
      <c r="W204" s="8"/>
      <c r="X204" s="8"/>
      <c r="Y204" s="8"/>
      <c r="Z204" s="8"/>
      <c r="AA204" s="8"/>
      <c r="AB204" s="8"/>
      <c r="AC204" s="8"/>
    </row>
    <row r="205" spans="2:29" ht="19.899999999999999" customHeight="1">
      <c r="B205" s="7"/>
      <c r="C205" s="115" t="s">
        <v>349</v>
      </c>
      <c r="D205" s="4"/>
      <c r="E205" s="4"/>
      <c r="F205" s="4"/>
      <c r="G205" s="4"/>
      <c r="H205" s="77">
        <v>89.11</v>
      </c>
      <c r="I205" s="7" t="s">
        <v>62</v>
      </c>
      <c r="J205" s="7"/>
      <c r="K205" s="7"/>
      <c r="L205" s="7"/>
      <c r="M205" s="7"/>
      <c r="N205" s="4"/>
      <c r="O205" s="40"/>
      <c r="P205" s="8"/>
      <c r="Q205" s="8"/>
      <c r="R205" s="8"/>
      <c r="S205" s="8"/>
      <c r="T205" s="23"/>
      <c r="U205" s="23"/>
      <c r="V205" s="23"/>
      <c r="W205" s="8"/>
      <c r="X205" s="8"/>
      <c r="Y205" s="8"/>
      <c r="Z205" s="8"/>
      <c r="AA205" s="8"/>
      <c r="AB205" s="8"/>
      <c r="AC205" s="8"/>
    </row>
    <row r="206" spans="2:29" ht="19.899999999999999" customHeight="1">
      <c r="B206" s="7"/>
      <c r="C206" s="116" t="s">
        <v>247</v>
      </c>
      <c r="D206" s="4"/>
      <c r="E206" s="4"/>
      <c r="F206" s="4"/>
      <c r="G206" s="4"/>
      <c r="H206" s="77">
        <v>7.14</v>
      </c>
      <c r="I206" s="7" t="s">
        <v>62</v>
      </c>
      <c r="J206" s="7"/>
      <c r="K206" s="7"/>
      <c r="L206" s="7"/>
      <c r="M206" s="7"/>
      <c r="N206" s="4"/>
      <c r="O206" s="40"/>
      <c r="P206" s="8"/>
      <c r="Q206" s="8"/>
      <c r="R206" s="8"/>
      <c r="S206" s="8"/>
      <c r="T206" s="23"/>
      <c r="U206" s="23"/>
      <c r="V206" s="23"/>
      <c r="W206" s="8"/>
      <c r="X206" s="8"/>
      <c r="Y206" s="8"/>
      <c r="Z206" s="8"/>
      <c r="AA206" s="8"/>
      <c r="AB206" s="8"/>
      <c r="AC206" s="8"/>
    </row>
    <row r="207" spans="2:29" ht="62">
      <c r="B207" s="7"/>
      <c r="C207" s="183" t="s">
        <v>354</v>
      </c>
      <c r="D207" s="4"/>
      <c r="E207" s="8"/>
      <c r="F207" s="4"/>
      <c r="G207" s="4"/>
      <c r="H207" s="77">
        <v>18.579999999999998</v>
      </c>
      <c r="I207" s="4" t="s">
        <v>62</v>
      </c>
      <c r="J207" s="7"/>
      <c r="K207" s="7"/>
      <c r="L207" s="7"/>
      <c r="M207" s="7"/>
      <c r="N207" s="4"/>
      <c r="O207" s="40"/>
      <c r="P207" s="8"/>
      <c r="Q207" s="8"/>
      <c r="R207" s="8"/>
      <c r="S207" s="8"/>
      <c r="T207" s="23"/>
      <c r="U207" s="23"/>
      <c r="V207" s="23"/>
      <c r="W207" s="8"/>
      <c r="X207" s="8"/>
      <c r="Y207" s="8"/>
      <c r="Z207" s="8"/>
      <c r="AA207" s="8"/>
      <c r="AB207" s="8"/>
      <c r="AC207" s="8"/>
    </row>
    <row r="208" spans="2:29" ht="232.5">
      <c r="B208" s="7"/>
      <c r="C208" s="183" t="s">
        <v>355</v>
      </c>
      <c r="D208" s="4"/>
      <c r="E208" s="8"/>
      <c r="F208" s="4"/>
      <c r="G208" s="4"/>
      <c r="H208" s="77">
        <v>7.58</v>
      </c>
      <c r="I208" s="4" t="s">
        <v>62</v>
      </c>
      <c r="J208" s="7"/>
      <c r="K208" s="7"/>
      <c r="L208" s="7"/>
      <c r="M208" s="7"/>
      <c r="N208" s="4"/>
      <c r="O208" s="40"/>
      <c r="P208" s="8"/>
      <c r="Q208" s="8"/>
      <c r="R208" s="8"/>
      <c r="S208" s="8"/>
      <c r="T208" s="23"/>
      <c r="U208" s="23"/>
      <c r="V208" s="23"/>
      <c r="W208" s="8"/>
      <c r="X208" s="8"/>
      <c r="Y208" s="8"/>
      <c r="Z208" s="8"/>
      <c r="AA208" s="8"/>
      <c r="AB208" s="8"/>
      <c r="AC208" s="8"/>
    </row>
    <row r="209" spans="2:29" ht="62">
      <c r="B209" s="7"/>
      <c r="C209" s="183" t="s">
        <v>356</v>
      </c>
      <c r="D209" s="4"/>
      <c r="E209" s="8"/>
      <c r="F209" s="4"/>
      <c r="G209" s="4"/>
      <c r="H209" s="77">
        <v>2.58</v>
      </c>
      <c r="I209" s="4" t="s">
        <v>62</v>
      </c>
      <c r="J209" s="7"/>
      <c r="K209" s="7"/>
      <c r="L209" s="7"/>
      <c r="M209" s="7"/>
      <c r="N209" s="4"/>
      <c r="O209" s="40"/>
      <c r="P209" s="8"/>
      <c r="Q209" s="8"/>
      <c r="R209" s="8"/>
      <c r="S209" s="8"/>
      <c r="T209" s="23"/>
      <c r="U209" s="23"/>
      <c r="V209" s="23"/>
      <c r="W209" s="8"/>
      <c r="X209" s="8"/>
      <c r="Y209" s="8"/>
      <c r="Z209" s="8"/>
      <c r="AA209" s="8"/>
      <c r="AB209" s="8"/>
      <c r="AC209" s="8"/>
    </row>
    <row r="210" spans="2:29" ht="62">
      <c r="B210" s="7"/>
      <c r="C210" s="183" t="s">
        <v>357</v>
      </c>
      <c r="D210" s="4"/>
      <c r="E210" s="8"/>
      <c r="F210" s="4"/>
      <c r="G210" s="4"/>
      <c r="H210" s="77">
        <v>7.5</v>
      </c>
      <c r="I210" s="4" t="s">
        <v>62</v>
      </c>
      <c r="J210" s="7"/>
      <c r="K210" s="7"/>
      <c r="L210" s="7"/>
      <c r="M210" s="7"/>
      <c r="N210" s="4"/>
      <c r="O210" s="40"/>
      <c r="P210" s="8"/>
      <c r="Q210" s="8"/>
      <c r="R210" s="8"/>
      <c r="S210" s="8"/>
      <c r="T210" s="23"/>
      <c r="U210" s="23"/>
      <c r="V210" s="23"/>
      <c r="W210" s="8"/>
      <c r="X210" s="8"/>
      <c r="Y210" s="8"/>
      <c r="Z210" s="8"/>
      <c r="AA210" s="8"/>
      <c r="AB210" s="8"/>
      <c r="AC210" s="8"/>
    </row>
    <row r="211" spans="2:29" ht="77">
      <c r="B211" s="7"/>
      <c r="C211" s="183" t="s">
        <v>358</v>
      </c>
      <c r="D211" s="4"/>
      <c r="E211" s="8"/>
      <c r="F211" s="4"/>
      <c r="G211" s="4"/>
      <c r="H211" s="77">
        <v>1</v>
      </c>
      <c r="I211" s="4" t="s">
        <v>14</v>
      </c>
      <c r="J211" s="7"/>
      <c r="K211" s="7"/>
      <c r="L211" s="7"/>
      <c r="M211" s="7"/>
      <c r="N211" s="4"/>
      <c r="O211" s="40"/>
      <c r="P211" s="8"/>
      <c r="Q211" s="8"/>
      <c r="R211" s="8"/>
      <c r="S211" s="8"/>
      <c r="T211" s="23"/>
      <c r="U211" s="23"/>
      <c r="V211" s="23"/>
      <c r="W211" s="8"/>
      <c r="X211" s="8"/>
      <c r="Y211" s="8"/>
      <c r="Z211" s="8"/>
      <c r="AA211" s="8"/>
      <c r="AB211" s="8"/>
      <c r="AC211" s="8"/>
    </row>
    <row r="212" spans="2:29" ht="46.5">
      <c r="B212" s="7"/>
      <c r="C212" s="183" t="s">
        <v>359</v>
      </c>
      <c r="D212" s="4"/>
      <c r="E212" s="8"/>
      <c r="F212" s="4"/>
      <c r="G212" s="4"/>
      <c r="H212" s="77">
        <v>4.45</v>
      </c>
      <c r="I212" s="4" t="s">
        <v>62</v>
      </c>
      <c r="J212" s="7"/>
      <c r="K212" s="7"/>
      <c r="L212" s="7"/>
      <c r="M212" s="7"/>
      <c r="N212" s="4"/>
      <c r="O212" s="40"/>
      <c r="P212" s="8"/>
      <c r="Q212" s="8"/>
      <c r="R212" s="8"/>
      <c r="S212" s="8"/>
      <c r="T212" s="23"/>
      <c r="U212" s="23"/>
      <c r="V212" s="23"/>
      <c r="W212" s="8"/>
      <c r="X212" s="8"/>
      <c r="Y212" s="8"/>
      <c r="Z212" s="8"/>
      <c r="AA212" s="8"/>
      <c r="AB212" s="8"/>
      <c r="AC212" s="8"/>
    </row>
    <row r="213" spans="2:29" ht="31">
      <c r="B213" s="7"/>
      <c r="C213" s="183" t="s">
        <v>360</v>
      </c>
      <c r="D213" s="4"/>
      <c r="E213" s="8"/>
      <c r="F213" s="4"/>
      <c r="G213" s="4"/>
      <c r="H213" s="77">
        <v>38</v>
      </c>
      <c r="I213" s="4" t="s">
        <v>60</v>
      </c>
      <c r="J213" s="7"/>
      <c r="K213" s="7"/>
      <c r="L213" s="7"/>
      <c r="M213" s="7"/>
      <c r="N213" s="4"/>
      <c r="O213" s="40"/>
      <c r="P213" s="8"/>
      <c r="Q213" s="8"/>
      <c r="R213" s="8"/>
      <c r="S213" s="8"/>
      <c r="T213" s="23"/>
      <c r="U213" s="23"/>
      <c r="V213" s="23"/>
      <c r="W213" s="8"/>
      <c r="X213" s="8"/>
      <c r="Y213" s="8"/>
      <c r="Z213" s="8"/>
      <c r="AA213" s="8"/>
      <c r="AB213" s="8"/>
      <c r="AC213" s="8"/>
    </row>
    <row r="214" spans="2:29" ht="31">
      <c r="B214" s="7"/>
      <c r="C214" s="183" t="s">
        <v>361</v>
      </c>
      <c r="D214" s="4"/>
      <c r="E214" s="8"/>
      <c r="F214" s="4"/>
      <c r="G214" s="4"/>
      <c r="H214" s="77">
        <v>7</v>
      </c>
      <c r="I214" s="4" t="s">
        <v>14</v>
      </c>
      <c r="J214" s="7"/>
      <c r="K214" s="7"/>
      <c r="L214" s="7"/>
      <c r="M214" s="7"/>
      <c r="N214" s="4"/>
      <c r="O214" s="40"/>
      <c r="P214" s="8"/>
      <c r="Q214" s="8"/>
      <c r="R214" s="8"/>
      <c r="S214" s="8"/>
      <c r="T214" s="23"/>
      <c r="U214" s="23"/>
      <c r="V214" s="23"/>
      <c r="W214" s="8"/>
      <c r="X214" s="8"/>
      <c r="Y214" s="8"/>
      <c r="Z214" s="8"/>
      <c r="AA214" s="8"/>
      <c r="AB214" s="8"/>
      <c r="AC214" s="8"/>
    </row>
    <row r="215" spans="2:29" ht="46.5">
      <c r="B215" s="7"/>
      <c r="C215" s="183" t="s">
        <v>362</v>
      </c>
      <c r="D215" s="4"/>
      <c r="E215" s="8"/>
      <c r="F215" s="4"/>
      <c r="G215" s="4"/>
      <c r="H215" s="77">
        <v>11.58</v>
      </c>
      <c r="I215" s="4" t="s">
        <v>60</v>
      </c>
      <c r="J215" s="7"/>
      <c r="K215" s="7"/>
      <c r="L215" s="7"/>
      <c r="M215" s="7"/>
      <c r="N215" s="4"/>
      <c r="O215" s="40"/>
      <c r="P215" s="8"/>
      <c r="Q215" s="8"/>
      <c r="R215" s="8"/>
      <c r="S215" s="8"/>
      <c r="T215" s="23"/>
      <c r="U215" s="23"/>
      <c r="V215" s="23"/>
      <c r="W215" s="8"/>
      <c r="X215" s="8"/>
      <c r="Y215" s="8"/>
      <c r="Z215" s="8"/>
      <c r="AA215" s="8"/>
      <c r="AB215" s="8"/>
      <c r="AC215" s="8"/>
    </row>
    <row r="216" spans="2:29" ht="46.5">
      <c r="B216" s="7"/>
      <c r="C216" s="183" t="s">
        <v>363</v>
      </c>
      <c r="D216" s="4"/>
      <c r="E216" s="8"/>
      <c r="F216" s="4"/>
      <c r="G216" s="4"/>
      <c r="H216" s="77">
        <v>1.32</v>
      </c>
      <c r="I216" s="4" t="s">
        <v>62</v>
      </c>
      <c r="J216" s="7"/>
      <c r="K216" s="7"/>
      <c r="L216" s="7"/>
      <c r="M216" s="7"/>
      <c r="N216" s="4"/>
      <c r="O216" s="40"/>
      <c r="P216" s="8"/>
      <c r="Q216" s="8"/>
      <c r="R216" s="8"/>
      <c r="S216" s="8"/>
      <c r="T216" s="23"/>
      <c r="U216" s="23"/>
      <c r="V216" s="23"/>
      <c r="W216" s="8"/>
      <c r="X216" s="8"/>
      <c r="Y216" s="8"/>
      <c r="Z216" s="8"/>
      <c r="AA216" s="8"/>
      <c r="AB216" s="8"/>
      <c r="AC216" s="8"/>
    </row>
    <row r="217" spans="2:29" ht="62">
      <c r="B217" s="7"/>
      <c r="C217" s="183" t="s">
        <v>364</v>
      </c>
      <c r="D217" s="4"/>
      <c r="E217" s="8"/>
      <c r="F217" s="4"/>
      <c r="G217" s="4"/>
      <c r="H217" s="77">
        <v>1</v>
      </c>
      <c r="I217" s="4" t="s">
        <v>14</v>
      </c>
      <c r="J217" s="7"/>
      <c r="K217" s="7"/>
      <c r="L217" s="7"/>
      <c r="M217" s="7"/>
      <c r="N217" s="4"/>
      <c r="O217" s="40"/>
      <c r="P217" s="8"/>
      <c r="Q217" s="8"/>
      <c r="R217" s="8"/>
      <c r="S217" s="8"/>
      <c r="T217" s="23"/>
      <c r="U217" s="23"/>
      <c r="V217" s="23"/>
      <c r="W217" s="8"/>
      <c r="X217" s="8"/>
      <c r="Y217" s="8"/>
      <c r="Z217" s="8"/>
      <c r="AA217" s="8"/>
      <c r="AB217" s="8"/>
      <c r="AC217" s="8"/>
    </row>
    <row r="218" spans="2:29" ht="62">
      <c r="B218" s="7"/>
      <c r="C218" s="183" t="s">
        <v>365</v>
      </c>
      <c r="D218" s="4"/>
      <c r="E218" s="8"/>
      <c r="F218" s="4"/>
      <c r="G218" s="4"/>
      <c r="H218" s="77">
        <v>10.97</v>
      </c>
      <c r="I218" s="4" t="s">
        <v>60</v>
      </c>
      <c r="J218" s="7"/>
      <c r="K218" s="7"/>
      <c r="L218" s="7"/>
      <c r="M218" s="7"/>
      <c r="N218" s="4"/>
      <c r="O218" s="40"/>
      <c r="P218" s="8"/>
      <c r="Q218" s="8"/>
      <c r="R218" s="8"/>
      <c r="S218" s="8"/>
      <c r="T218" s="23"/>
      <c r="U218" s="23"/>
      <c r="V218" s="23"/>
      <c r="W218" s="8"/>
      <c r="X218" s="8"/>
      <c r="Y218" s="8"/>
      <c r="Z218" s="8"/>
      <c r="AA218" s="8"/>
      <c r="AB218" s="8"/>
      <c r="AC218" s="8"/>
    </row>
    <row r="219" spans="2:29" ht="19.899999999999999" customHeight="1">
      <c r="B219" s="7"/>
      <c r="C219" s="116" t="s">
        <v>366</v>
      </c>
      <c r="D219" s="4"/>
      <c r="E219" s="8"/>
      <c r="F219" s="4"/>
      <c r="G219" s="4"/>
      <c r="H219" s="77">
        <v>2</v>
      </c>
      <c r="I219" s="4" t="s">
        <v>14</v>
      </c>
      <c r="J219" s="7"/>
      <c r="K219" s="7"/>
      <c r="L219" s="7"/>
      <c r="M219" s="7"/>
      <c r="N219" s="4"/>
      <c r="O219" s="40"/>
      <c r="P219" s="8"/>
      <c r="Q219" s="8"/>
      <c r="R219" s="8"/>
      <c r="S219" s="8"/>
      <c r="T219" s="23"/>
      <c r="U219" s="23"/>
      <c r="V219" s="23"/>
      <c r="W219" s="8"/>
      <c r="X219" s="8"/>
      <c r="Y219" s="8"/>
      <c r="Z219" s="8"/>
      <c r="AA219" s="8"/>
      <c r="AB219" s="8"/>
      <c r="AC219" s="8"/>
    </row>
    <row r="220" spans="2:29" ht="19.899999999999999" customHeight="1">
      <c r="B220" s="7"/>
      <c r="C220" s="116" t="s">
        <v>367</v>
      </c>
      <c r="D220" s="4"/>
      <c r="E220" s="8"/>
      <c r="F220" s="4"/>
      <c r="G220" s="4"/>
      <c r="H220" s="77">
        <v>1</v>
      </c>
      <c r="I220" s="4" t="s">
        <v>222</v>
      </c>
      <c r="J220" s="7"/>
      <c r="K220" s="7"/>
      <c r="L220" s="7"/>
      <c r="M220" s="7"/>
      <c r="N220" s="4"/>
      <c r="O220" s="40"/>
      <c r="P220" s="8"/>
      <c r="Q220" s="8"/>
      <c r="R220" s="8"/>
      <c r="S220" s="8"/>
      <c r="T220" s="23"/>
      <c r="U220" s="23"/>
      <c r="V220" s="23"/>
      <c r="W220" s="8"/>
      <c r="X220" s="8"/>
      <c r="Y220" s="8"/>
      <c r="Z220" s="8"/>
      <c r="AA220" s="8"/>
      <c r="AB220" s="8"/>
      <c r="AC220" s="8"/>
    </row>
    <row r="221" spans="2:29" ht="19.899999999999999" customHeight="1">
      <c r="B221" s="7"/>
      <c r="C221" s="116" t="s">
        <v>368</v>
      </c>
      <c r="D221" s="4"/>
      <c r="E221" s="8"/>
      <c r="F221" s="4"/>
      <c r="G221" s="4"/>
      <c r="H221" s="77">
        <v>5.01</v>
      </c>
      <c r="I221" s="4" t="s">
        <v>62</v>
      </c>
      <c r="J221" s="7"/>
      <c r="K221" s="7"/>
      <c r="L221" s="7"/>
      <c r="M221" s="7"/>
      <c r="N221" s="4"/>
      <c r="O221" s="40"/>
      <c r="P221" s="8"/>
      <c r="Q221" s="8"/>
      <c r="R221" s="8"/>
      <c r="S221" s="8"/>
      <c r="T221" s="23"/>
      <c r="U221" s="23"/>
      <c r="V221" s="23"/>
      <c r="W221" s="8"/>
      <c r="X221" s="8"/>
      <c r="Y221" s="8"/>
      <c r="Z221" s="8"/>
      <c r="AA221" s="8"/>
      <c r="AB221" s="8"/>
      <c r="AC221" s="8"/>
    </row>
    <row r="222" spans="2:29" ht="19.899999999999999" customHeight="1">
      <c r="B222" s="7"/>
      <c r="C222" s="116" t="s">
        <v>369</v>
      </c>
      <c r="D222" s="4"/>
      <c r="E222" s="8"/>
      <c r="F222" s="4"/>
      <c r="G222" s="4"/>
      <c r="H222" s="77">
        <v>1</v>
      </c>
      <c r="I222" s="4" t="s">
        <v>222</v>
      </c>
      <c r="J222" s="7"/>
      <c r="K222" s="7"/>
      <c r="L222" s="7"/>
      <c r="M222" s="7"/>
      <c r="N222" s="4"/>
      <c r="O222" s="40"/>
      <c r="P222" s="8"/>
      <c r="Q222" s="8"/>
      <c r="R222" s="8"/>
      <c r="S222" s="8"/>
      <c r="T222" s="23"/>
      <c r="U222" s="23"/>
      <c r="V222" s="23"/>
      <c r="W222" s="8"/>
      <c r="X222" s="8"/>
      <c r="Y222" s="8"/>
      <c r="Z222" s="8"/>
      <c r="AA222" s="8"/>
      <c r="AB222" s="8"/>
      <c r="AC222" s="8"/>
    </row>
    <row r="223" spans="2:29" ht="19.899999999999999" customHeight="1">
      <c r="B223" s="7"/>
      <c r="C223" s="116" t="s">
        <v>388</v>
      </c>
      <c r="D223" s="4"/>
      <c r="E223" s="4"/>
      <c r="F223" s="4"/>
      <c r="G223" s="4"/>
      <c r="H223" s="77">
        <v>8</v>
      </c>
      <c r="I223" s="7" t="s">
        <v>14</v>
      </c>
      <c r="J223" s="7"/>
      <c r="K223" s="7"/>
      <c r="L223" s="7"/>
      <c r="M223" s="7"/>
      <c r="N223" s="4"/>
      <c r="O223" s="40"/>
      <c r="P223" s="8"/>
      <c r="Q223" s="8"/>
      <c r="R223" s="8"/>
      <c r="S223" s="8"/>
      <c r="T223" s="23"/>
      <c r="U223" s="23"/>
      <c r="V223" s="23"/>
      <c r="W223" s="8"/>
      <c r="X223" s="8"/>
      <c r="Y223" s="8"/>
      <c r="Z223" s="8"/>
      <c r="AA223" s="8"/>
      <c r="AB223" s="8"/>
      <c r="AC223" s="8"/>
    </row>
    <row r="224" spans="2:29" ht="19.899999999999999" customHeight="1">
      <c r="B224" s="7"/>
      <c r="C224" s="92" t="s">
        <v>389</v>
      </c>
      <c r="D224" s="4"/>
      <c r="E224" s="4"/>
      <c r="F224" s="4"/>
      <c r="G224" s="4"/>
      <c r="H224" s="77"/>
      <c r="I224" s="7"/>
      <c r="J224" s="7"/>
      <c r="K224" s="7"/>
      <c r="L224" s="7"/>
      <c r="M224" s="7"/>
      <c r="N224" s="4"/>
      <c r="O224" s="40"/>
      <c r="P224" s="8"/>
      <c r="Q224" s="8"/>
      <c r="R224" s="8"/>
      <c r="S224" s="8"/>
      <c r="T224" s="23"/>
      <c r="U224" s="23"/>
      <c r="V224" s="23"/>
      <c r="W224" s="8"/>
      <c r="X224" s="8"/>
      <c r="Y224" s="8"/>
      <c r="Z224" s="8"/>
      <c r="AA224" s="8"/>
      <c r="AB224" s="8"/>
      <c r="AC224" s="8"/>
    </row>
    <row r="225" spans="2:29" ht="19.899999999999999" customHeight="1">
      <c r="B225" s="7"/>
      <c r="C225" s="92"/>
      <c r="D225" s="4"/>
      <c r="E225" s="4"/>
      <c r="F225" s="4"/>
      <c r="G225" s="4"/>
      <c r="H225" s="77"/>
      <c r="I225" s="7"/>
      <c r="J225" s="7"/>
      <c r="K225" s="7"/>
      <c r="L225" s="7"/>
      <c r="M225" s="7"/>
      <c r="N225" s="4"/>
      <c r="O225" s="40"/>
      <c r="P225" s="8"/>
      <c r="Q225" s="8"/>
      <c r="R225" s="8"/>
      <c r="S225" s="8"/>
      <c r="T225" s="23"/>
      <c r="U225" s="23"/>
      <c r="V225" s="23"/>
      <c r="W225" s="8"/>
      <c r="X225" s="8"/>
      <c r="Y225" s="8"/>
      <c r="Z225" s="8"/>
      <c r="AA225" s="8"/>
      <c r="AB225" s="8"/>
      <c r="AC225" s="8"/>
    </row>
    <row r="226" spans="2:29">
      <c r="B226" s="7"/>
      <c r="C226" s="92"/>
      <c r="D226" s="4"/>
      <c r="E226" s="4"/>
      <c r="F226" s="4"/>
      <c r="G226" s="4"/>
      <c r="H226" s="77"/>
      <c r="I226" s="7"/>
      <c r="J226" s="7"/>
      <c r="K226" s="7"/>
      <c r="L226" s="7"/>
      <c r="M226" s="7"/>
      <c r="N226" s="4"/>
      <c r="O226" s="40"/>
      <c r="P226" s="8"/>
      <c r="Q226" s="8"/>
      <c r="R226" s="8"/>
      <c r="S226" s="8"/>
      <c r="T226" s="23"/>
      <c r="U226" s="23"/>
      <c r="V226" s="23"/>
      <c r="W226" s="8"/>
      <c r="X226" s="8"/>
      <c r="Y226" s="8"/>
      <c r="Z226" s="8"/>
      <c r="AA226" s="8"/>
      <c r="AB226" s="8"/>
      <c r="AC226" s="8"/>
    </row>
    <row r="227" spans="2:29">
      <c r="B227" s="7"/>
      <c r="C227" s="92"/>
      <c r="D227" s="4"/>
      <c r="E227" s="4"/>
      <c r="F227" s="4"/>
      <c r="G227" s="4"/>
      <c r="H227" s="77"/>
      <c r="I227" s="7"/>
      <c r="J227" s="7"/>
      <c r="K227" s="7"/>
      <c r="L227" s="7"/>
      <c r="M227" s="7"/>
      <c r="N227" s="4"/>
      <c r="O227" s="40"/>
      <c r="P227" s="8"/>
      <c r="Q227" s="8"/>
      <c r="R227" s="8"/>
      <c r="S227" s="8"/>
      <c r="T227" s="23"/>
      <c r="U227" s="23"/>
      <c r="V227" s="23"/>
      <c r="W227" s="8"/>
      <c r="X227" s="8"/>
      <c r="Y227" s="8"/>
      <c r="Z227" s="8"/>
      <c r="AA227" s="8"/>
      <c r="AB227" s="8"/>
      <c r="AC227" s="8"/>
    </row>
    <row r="228" spans="2:29">
      <c r="B228" s="64"/>
      <c r="C228" s="20" t="s">
        <v>274</v>
      </c>
      <c r="D228" s="64"/>
      <c r="E228" s="2"/>
      <c r="F228" s="25"/>
      <c r="G228" s="65"/>
      <c r="H228" s="77"/>
      <c r="I228" s="64"/>
      <c r="J228" s="65"/>
      <c r="K228" s="65"/>
      <c r="L228" s="66"/>
      <c r="M228" s="65"/>
      <c r="N228" s="4"/>
      <c r="O228" s="40"/>
      <c r="P228" s="8"/>
      <c r="Q228" s="8"/>
      <c r="R228" s="8"/>
      <c r="S228" s="8"/>
      <c r="T228" s="23">
        <f t="shared" si="16"/>
        <v>0</v>
      </c>
      <c r="U228" s="23">
        <f t="shared" si="17"/>
        <v>0</v>
      </c>
      <c r="V228" s="23">
        <f t="shared" si="18"/>
        <v>0</v>
      </c>
      <c r="W228" s="8"/>
      <c r="X228" s="8"/>
      <c r="Y228" s="8"/>
      <c r="Z228" s="8"/>
      <c r="AA228" s="8"/>
      <c r="AB228" s="8"/>
      <c r="AC228" s="8" t="e">
        <f>#REF!*6</f>
        <v>#REF!</v>
      </c>
    </row>
    <row r="229" spans="2:29">
      <c r="B229" s="7"/>
      <c r="C229" s="4"/>
      <c r="D229" s="4"/>
      <c r="E229" s="4"/>
      <c r="F229" s="4"/>
      <c r="G229" s="4"/>
      <c r="H229" s="73"/>
      <c r="I229" s="4"/>
      <c r="J229" s="4"/>
      <c r="K229" s="4"/>
      <c r="L229" s="7"/>
      <c r="M229" s="4"/>
      <c r="N229" s="4"/>
      <c r="O229" s="40"/>
      <c r="P229" s="8"/>
      <c r="Q229" s="8"/>
      <c r="R229" s="8"/>
      <c r="S229" s="8"/>
      <c r="T229" s="23">
        <f t="shared" si="16"/>
        <v>0</v>
      </c>
      <c r="U229" s="23">
        <f t="shared" si="17"/>
        <v>0</v>
      </c>
      <c r="V229" s="23">
        <f t="shared" si="18"/>
        <v>0</v>
      </c>
      <c r="W229" s="8"/>
      <c r="X229" s="8"/>
      <c r="Y229" s="8"/>
      <c r="Z229" s="8"/>
      <c r="AA229" s="8"/>
      <c r="AB229" s="8"/>
      <c r="AC229" s="8"/>
    </row>
    <row r="230" spans="2:29" ht="93">
      <c r="B230" s="64">
        <v>73</v>
      </c>
      <c r="C230" s="1" t="s">
        <v>293</v>
      </c>
      <c r="D230" s="64">
        <v>5</v>
      </c>
      <c r="E230" s="2" t="s">
        <v>66</v>
      </c>
      <c r="F230" s="25">
        <v>881</v>
      </c>
      <c r="G230" s="65">
        <f>ROUND(D230*F230,0)</f>
        <v>4405</v>
      </c>
      <c r="H230" s="77">
        <v>1</v>
      </c>
      <c r="I230" s="64" t="str">
        <f>E230</f>
        <v>No</v>
      </c>
      <c r="J230" s="65">
        <f>F230</f>
        <v>881</v>
      </c>
      <c r="K230" s="65">
        <f>ROUND(H230*J230,0)</f>
        <v>881</v>
      </c>
      <c r="L230" s="66">
        <f>IF(K230&gt;G230,K230-G230,0)</f>
        <v>0</v>
      </c>
      <c r="M230" s="65">
        <f>IF(G230&gt;K230,G230-K230,0)</f>
        <v>3524</v>
      </c>
      <c r="N230" s="4"/>
      <c r="O230" s="40"/>
      <c r="P230" s="8"/>
      <c r="Q230" s="8"/>
      <c r="R230" s="8"/>
      <c r="S230" s="8"/>
      <c r="T230" s="23">
        <f t="shared" si="16"/>
        <v>4405</v>
      </c>
      <c r="U230" s="23">
        <f t="shared" si="17"/>
        <v>881</v>
      </c>
      <c r="V230" s="23">
        <f t="shared" si="18"/>
        <v>-3524</v>
      </c>
      <c r="W230" s="8"/>
      <c r="X230" s="8"/>
      <c r="Y230" s="8"/>
      <c r="Z230" s="8"/>
      <c r="AA230" s="8">
        <v>0.63</v>
      </c>
      <c r="AB230" s="8"/>
      <c r="AC230" s="8"/>
    </row>
    <row r="231" spans="2:29">
      <c r="B231" s="7"/>
      <c r="C231" s="4"/>
      <c r="D231" s="4"/>
      <c r="E231" s="4"/>
      <c r="F231" s="4"/>
      <c r="G231" s="4"/>
      <c r="H231" s="73"/>
      <c r="I231" s="4"/>
      <c r="J231" s="4"/>
      <c r="K231" s="4"/>
      <c r="L231" s="7"/>
      <c r="M231" s="4"/>
      <c r="N231" s="4"/>
      <c r="O231" s="40"/>
      <c r="P231" s="8"/>
      <c r="Q231" s="8"/>
      <c r="R231" s="8"/>
      <c r="S231" s="8"/>
      <c r="T231" s="39">
        <f t="shared" si="16"/>
        <v>0</v>
      </c>
      <c r="U231" s="5">
        <f t="shared" si="17"/>
        <v>0</v>
      </c>
      <c r="V231" s="42">
        <f t="shared" si="18"/>
        <v>0</v>
      </c>
      <c r="W231" s="12"/>
      <c r="X231" s="8"/>
      <c r="Y231" s="8"/>
      <c r="Z231" s="8"/>
      <c r="AA231" s="8"/>
      <c r="AB231" s="8"/>
      <c r="AC231" s="8"/>
    </row>
    <row r="232" spans="2:29" ht="93">
      <c r="B232" s="64">
        <v>74</v>
      </c>
      <c r="C232" s="1" t="s">
        <v>136</v>
      </c>
      <c r="D232" s="64">
        <v>75</v>
      </c>
      <c r="E232" s="2" t="s">
        <v>60</v>
      </c>
      <c r="F232" s="25">
        <v>199</v>
      </c>
      <c r="G232" s="65">
        <f>ROUND(D232*F232,0)</f>
        <v>14925</v>
      </c>
      <c r="H232" s="77">
        <v>39.5</v>
      </c>
      <c r="I232" s="64" t="str">
        <f>E232</f>
        <v>Rmt</v>
      </c>
      <c r="J232" s="65">
        <f>F232</f>
        <v>199</v>
      </c>
      <c r="K232" s="65">
        <f>ROUND(H232*J232,0)</f>
        <v>7861</v>
      </c>
      <c r="L232" s="66">
        <f>IF(K232&gt;G232,K232-G232,0)</f>
        <v>0</v>
      </c>
      <c r="M232" s="65">
        <f>IF(G232&gt;K232,G232-K232,0)</f>
        <v>7064</v>
      </c>
      <c r="N232" s="4"/>
      <c r="O232" s="40"/>
      <c r="P232" s="8"/>
      <c r="Q232" s="8"/>
      <c r="R232" s="8"/>
      <c r="S232" s="8"/>
      <c r="T232" s="39">
        <f t="shared" si="16"/>
        <v>14925</v>
      </c>
      <c r="U232" s="5">
        <f t="shared" si="17"/>
        <v>7860.5</v>
      </c>
      <c r="V232" s="42">
        <f t="shared" si="18"/>
        <v>-7064.5</v>
      </c>
      <c r="W232" s="12"/>
      <c r="X232" s="8"/>
      <c r="Y232" s="8"/>
      <c r="Z232" s="8"/>
      <c r="AA232" s="8"/>
      <c r="AB232" s="8"/>
      <c r="AC232" s="8"/>
    </row>
    <row r="233" spans="2:29">
      <c r="B233" s="7"/>
      <c r="C233" s="4"/>
      <c r="D233" s="4"/>
      <c r="E233" s="4"/>
      <c r="F233" s="4"/>
      <c r="G233" s="4"/>
      <c r="H233" s="73"/>
      <c r="I233" s="4"/>
      <c r="J233" s="4"/>
      <c r="K233" s="4"/>
      <c r="L233" s="7"/>
      <c r="M233" s="4"/>
      <c r="N233" s="4"/>
      <c r="O233" s="40"/>
      <c r="P233" s="8"/>
      <c r="Q233" s="8"/>
      <c r="R233" s="8"/>
      <c r="S233" s="8"/>
      <c r="T233" s="39">
        <f t="shared" si="16"/>
        <v>0</v>
      </c>
      <c r="U233" s="5">
        <f t="shared" si="17"/>
        <v>0</v>
      </c>
      <c r="V233" s="42">
        <f t="shared" si="18"/>
        <v>0</v>
      </c>
      <c r="W233" s="12"/>
      <c r="X233" s="8"/>
      <c r="Y233" s="8"/>
      <c r="Z233" s="8"/>
      <c r="AA233" s="8"/>
      <c r="AB233" s="8"/>
      <c r="AC233" s="8"/>
    </row>
    <row r="234" spans="2:29" ht="93">
      <c r="B234" s="64">
        <v>75</v>
      </c>
      <c r="C234" s="1" t="s">
        <v>137</v>
      </c>
      <c r="D234" s="64">
        <v>75</v>
      </c>
      <c r="E234" s="2" t="s">
        <v>60</v>
      </c>
      <c r="F234" s="25">
        <v>229</v>
      </c>
      <c r="G234" s="65">
        <f>ROUND(D234*F234,0)</f>
        <v>17175</v>
      </c>
      <c r="H234" s="77">
        <v>0</v>
      </c>
      <c r="I234" s="64" t="str">
        <f>E234</f>
        <v>Rmt</v>
      </c>
      <c r="J234" s="65">
        <f>F234</f>
        <v>229</v>
      </c>
      <c r="K234" s="65">
        <f>ROUND(H234*J234,0)</f>
        <v>0</v>
      </c>
      <c r="L234" s="66">
        <f>IF(K234&gt;G234,K234-G234,0)</f>
        <v>0</v>
      </c>
      <c r="M234" s="65">
        <f>IF(G234&gt;K234,G234-K234,0)</f>
        <v>17175</v>
      </c>
      <c r="N234" s="4"/>
      <c r="O234" s="40"/>
      <c r="P234" s="8"/>
      <c r="Q234" s="8"/>
      <c r="R234" s="8"/>
      <c r="S234" s="8"/>
      <c r="T234" s="39">
        <f t="shared" si="16"/>
        <v>17175</v>
      </c>
      <c r="U234" s="5">
        <f t="shared" si="17"/>
        <v>0</v>
      </c>
      <c r="V234" s="42">
        <f t="shared" si="18"/>
        <v>-17175</v>
      </c>
      <c r="W234" s="12"/>
      <c r="X234" s="8"/>
      <c r="Y234" s="8"/>
      <c r="Z234" s="8"/>
      <c r="AA234" s="8"/>
      <c r="AB234" s="8"/>
      <c r="AC234" s="8"/>
    </row>
    <row r="235" spans="2:29">
      <c r="B235" s="7"/>
      <c r="C235" s="4"/>
      <c r="D235" s="4"/>
      <c r="E235" s="4"/>
      <c r="F235" s="4"/>
      <c r="G235" s="4"/>
      <c r="H235" s="73"/>
      <c r="I235" s="4"/>
      <c r="J235" s="4"/>
      <c r="K235" s="4"/>
      <c r="L235" s="7"/>
      <c r="M235" s="4"/>
      <c r="N235" s="4"/>
      <c r="O235" s="40"/>
      <c r="P235" s="8"/>
      <c r="Q235" s="8"/>
      <c r="R235" s="8"/>
      <c r="S235" s="8"/>
      <c r="T235" s="39">
        <f t="shared" si="16"/>
        <v>0</v>
      </c>
      <c r="U235" s="5">
        <f t="shared" si="17"/>
        <v>0</v>
      </c>
      <c r="V235" s="42">
        <f t="shared" si="18"/>
        <v>0</v>
      </c>
      <c r="W235" s="12"/>
      <c r="X235" s="8"/>
      <c r="Y235" s="8"/>
      <c r="Z235" s="8"/>
      <c r="AA235" s="8"/>
      <c r="AB235" s="8"/>
      <c r="AC235" s="8"/>
    </row>
    <row r="236" spans="2:29" ht="108.5">
      <c r="B236" s="64">
        <v>76</v>
      </c>
      <c r="C236" s="1" t="s">
        <v>138</v>
      </c>
      <c r="D236" s="64">
        <v>90</v>
      </c>
      <c r="E236" s="2" t="s">
        <v>60</v>
      </c>
      <c r="F236" s="25">
        <v>327</v>
      </c>
      <c r="G236" s="65">
        <f>ROUND(D236*F236,0)</f>
        <v>29430</v>
      </c>
      <c r="H236" s="77">
        <v>0</v>
      </c>
      <c r="I236" s="64" t="str">
        <f>E236</f>
        <v>Rmt</v>
      </c>
      <c r="J236" s="65">
        <f>F236</f>
        <v>327</v>
      </c>
      <c r="K236" s="65">
        <f>ROUND(H236*J236,0)</f>
        <v>0</v>
      </c>
      <c r="L236" s="66">
        <f>IF(K236&gt;G236,K236-G236,0)</f>
        <v>0</v>
      </c>
      <c r="M236" s="65">
        <f>IF(G236&gt;K236,G236-K236,0)</f>
        <v>29430</v>
      </c>
      <c r="N236" s="4"/>
      <c r="O236" s="40"/>
      <c r="P236" s="8"/>
      <c r="Q236" s="8"/>
      <c r="R236" s="8"/>
      <c r="S236" s="8"/>
      <c r="T236" s="39">
        <f t="shared" ref="T236:T270" si="19">D236*F236</f>
        <v>29430</v>
      </c>
      <c r="U236" s="5">
        <f t="shared" ref="U236:U270" si="20">H236*F236</f>
        <v>0</v>
      </c>
      <c r="V236" s="42">
        <f t="shared" ref="V236:V270" si="21">U236-T236</f>
        <v>-29430</v>
      </c>
      <c r="W236" s="12"/>
      <c r="X236" s="8"/>
      <c r="Y236" s="8"/>
      <c r="Z236" s="8"/>
      <c r="AA236" s="8"/>
      <c r="AB236" s="8"/>
      <c r="AC236" s="8"/>
    </row>
    <row r="237" spans="2:29">
      <c r="B237" s="7"/>
      <c r="C237" s="4"/>
      <c r="D237" s="4"/>
      <c r="E237" s="4"/>
      <c r="F237" s="4"/>
      <c r="G237" s="4"/>
      <c r="H237" s="73"/>
      <c r="I237" s="4"/>
      <c r="J237" s="4"/>
      <c r="K237" s="4"/>
      <c r="L237" s="7"/>
      <c r="M237" s="4"/>
      <c r="N237" s="4"/>
      <c r="O237" s="40"/>
      <c r="P237" s="8"/>
      <c r="Q237" s="8"/>
      <c r="R237" s="8"/>
      <c r="S237" s="8"/>
      <c r="T237" s="39">
        <f t="shared" si="19"/>
        <v>0</v>
      </c>
      <c r="U237" s="5">
        <f t="shared" si="20"/>
        <v>0</v>
      </c>
      <c r="V237" s="42">
        <f t="shared" si="21"/>
        <v>0</v>
      </c>
      <c r="W237" s="12"/>
      <c r="X237" s="8"/>
      <c r="Y237" s="8"/>
      <c r="Z237" s="8"/>
      <c r="AA237" s="8"/>
      <c r="AB237" s="8"/>
      <c r="AC237" s="8"/>
    </row>
    <row r="238" spans="2:29" ht="108.5">
      <c r="B238" s="64">
        <v>77</v>
      </c>
      <c r="C238" s="1" t="s">
        <v>139</v>
      </c>
      <c r="D238" s="64">
        <v>75</v>
      </c>
      <c r="E238" s="2" t="s">
        <v>60</v>
      </c>
      <c r="F238" s="25">
        <v>444</v>
      </c>
      <c r="G238" s="65">
        <f>ROUND(D238*F238,0)</f>
        <v>33300</v>
      </c>
      <c r="H238" s="77">
        <v>26.63</v>
      </c>
      <c r="I238" s="64" t="str">
        <f>E238</f>
        <v>Rmt</v>
      </c>
      <c r="J238" s="65">
        <f>F238</f>
        <v>444</v>
      </c>
      <c r="K238" s="65">
        <f>ROUND(H238*J238,0)</f>
        <v>11824</v>
      </c>
      <c r="L238" s="66">
        <f>IF(K238&gt;G238,K238-G238,0)</f>
        <v>0</v>
      </c>
      <c r="M238" s="65">
        <f>IF(G238&gt;K238,G238-K238,0)</f>
        <v>21476</v>
      </c>
      <c r="N238" s="4"/>
      <c r="O238" s="40"/>
      <c r="P238" s="8"/>
      <c r="Q238" s="8"/>
      <c r="R238" s="8"/>
      <c r="S238" s="8"/>
      <c r="T238" s="39">
        <f t="shared" si="19"/>
        <v>33300</v>
      </c>
      <c r="U238" s="5">
        <f t="shared" si="20"/>
        <v>11823.72</v>
      </c>
      <c r="V238" s="42">
        <f t="shared" si="21"/>
        <v>-21476.28</v>
      </c>
      <c r="W238" s="12"/>
      <c r="X238" s="8"/>
      <c r="Y238" s="8"/>
      <c r="Z238" s="8"/>
      <c r="AA238" s="8"/>
      <c r="AB238" s="8"/>
      <c r="AC238" s="8"/>
    </row>
    <row r="239" spans="2:29">
      <c r="B239" s="7"/>
      <c r="C239" s="4"/>
      <c r="D239" s="4"/>
      <c r="E239" s="4"/>
      <c r="F239" s="4"/>
      <c r="G239" s="4"/>
      <c r="H239" s="73"/>
      <c r="I239" s="4"/>
      <c r="J239" s="4"/>
      <c r="K239" s="4"/>
      <c r="L239" s="7"/>
      <c r="M239" s="4"/>
      <c r="N239" s="4"/>
      <c r="O239" s="40"/>
      <c r="P239" s="8"/>
      <c r="Q239" s="8"/>
      <c r="R239" s="8"/>
      <c r="S239" s="8"/>
      <c r="T239" s="39">
        <f t="shared" si="19"/>
        <v>0</v>
      </c>
      <c r="U239" s="5">
        <f t="shared" si="20"/>
        <v>0</v>
      </c>
      <c r="V239" s="42">
        <f t="shared" si="21"/>
        <v>0</v>
      </c>
      <c r="W239" s="12"/>
      <c r="X239" s="8"/>
      <c r="Y239" s="8"/>
      <c r="Z239" s="8"/>
      <c r="AA239" s="8"/>
      <c r="AB239" s="8"/>
      <c r="AC239" s="8"/>
    </row>
    <row r="240" spans="2:29" ht="62">
      <c r="B240" s="64">
        <v>78</v>
      </c>
      <c r="C240" s="1" t="s">
        <v>140</v>
      </c>
      <c r="D240" s="64">
        <v>5</v>
      </c>
      <c r="E240" s="2" t="s">
        <v>66</v>
      </c>
      <c r="F240" s="25">
        <v>1750</v>
      </c>
      <c r="G240" s="65">
        <f>ROUND(D240*F240,0)</f>
        <v>8750</v>
      </c>
      <c r="H240" s="77">
        <v>0</v>
      </c>
      <c r="I240" s="64" t="str">
        <f>E240</f>
        <v>No</v>
      </c>
      <c r="J240" s="65">
        <f>F240</f>
        <v>1750</v>
      </c>
      <c r="K240" s="65">
        <f>ROUND(H240*J240,0)</f>
        <v>0</v>
      </c>
      <c r="L240" s="66">
        <f>IF(K240&gt;G240,K240-G240,0)</f>
        <v>0</v>
      </c>
      <c r="M240" s="65">
        <f>IF(G240&gt;K240,G240-K240,0)</f>
        <v>8750</v>
      </c>
      <c r="N240" s="4"/>
      <c r="O240" s="40"/>
      <c r="P240" s="8"/>
      <c r="Q240" s="8"/>
      <c r="R240" s="8"/>
      <c r="S240" s="8"/>
      <c r="T240" s="39">
        <f t="shared" si="19"/>
        <v>8750</v>
      </c>
      <c r="U240" s="5">
        <f t="shared" si="20"/>
        <v>0</v>
      </c>
      <c r="V240" s="42">
        <f t="shared" si="21"/>
        <v>-8750</v>
      </c>
      <c r="W240" s="12"/>
      <c r="X240" s="8"/>
      <c r="Y240" s="8"/>
      <c r="Z240" s="8"/>
      <c r="AA240" s="8"/>
      <c r="AB240" s="8"/>
      <c r="AC240" s="8"/>
    </row>
    <row r="241" spans="2:29">
      <c r="B241" s="7"/>
      <c r="C241" s="4"/>
      <c r="D241" s="4"/>
      <c r="E241" s="4"/>
      <c r="F241" s="4"/>
      <c r="G241" s="4"/>
      <c r="H241" s="73"/>
      <c r="I241" s="4"/>
      <c r="J241" s="4"/>
      <c r="K241" s="4"/>
      <c r="L241" s="7"/>
      <c r="M241" s="4"/>
      <c r="N241" s="4"/>
      <c r="O241" s="40"/>
      <c r="P241" s="8"/>
      <c r="Q241" s="8"/>
      <c r="R241" s="8"/>
      <c r="S241" s="8"/>
      <c r="T241" s="39">
        <f t="shared" si="19"/>
        <v>0</v>
      </c>
      <c r="U241" s="5">
        <f t="shared" si="20"/>
        <v>0</v>
      </c>
      <c r="V241" s="42">
        <f t="shared" si="21"/>
        <v>0</v>
      </c>
      <c r="W241" s="12"/>
      <c r="X241" s="8"/>
      <c r="Y241" s="8"/>
      <c r="Z241" s="8"/>
      <c r="AA241" s="8"/>
      <c r="AB241" s="8"/>
      <c r="AC241" s="8"/>
    </row>
    <row r="242" spans="2:29" ht="62">
      <c r="B242" s="64">
        <v>79</v>
      </c>
      <c r="C242" s="1" t="s">
        <v>141</v>
      </c>
      <c r="D242" s="64">
        <v>10</v>
      </c>
      <c r="E242" s="2" t="s">
        <v>66</v>
      </c>
      <c r="F242" s="25">
        <v>220</v>
      </c>
      <c r="G242" s="65">
        <f>ROUND(D242*F242,0)</f>
        <v>2200</v>
      </c>
      <c r="H242" s="77">
        <v>5</v>
      </c>
      <c r="I242" s="64" t="str">
        <f>E242</f>
        <v>No</v>
      </c>
      <c r="J242" s="65">
        <f>F242</f>
        <v>220</v>
      </c>
      <c r="K242" s="65">
        <f>ROUND(H242*J242,0)</f>
        <v>1100</v>
      </c>
      <c r="L242" s="66">
        <f>IF(K242&gt;G242,K242-G242,0)</f>
        <v>0</v>
      </c>
      <c r="M242" s="65">
        <f>IF(G242&gt;K242,G242-K242,0)</f>
        <v>1100</v>
      </c>
      <c r="N242" s="4"/>
      <c r="O242" s="40"/>
      <c r="P242" s="8"/>
      <c r="Q242" s="8"/>
      <c r="R242" s="8"/>
      <c r="S242" s="8"/>
      <c r="T242" s="39">
        <f t="shared" si="19"/>
        <v>2200</v>
      </c>
      <c r="U242" s="5">
        <f t="shared" si="20"/>
        <v>1100</v>
      </c>
      <c r="V242" s="42">
        <f t="shared" si="21"/>
        <v>-1100</v>
      </c>
      <c r="W242" s="12"/>
      <c r="X242" s="8"/>
      <c r="Y242" s="8"/>
      <c r="Z242" s="8"/>
      <c r="AA242" s="8"/>
      <c r="AB242" s="8"/>
      <c r="AC242" s="8"/>
    </row>
    <row r="243" spans="2:29">
      <c r="B243" s="7"/>
      <c r="C243" s="4"/>
      <c r="D243" s="4"/>
      <c r="E243" s="4"/>
      <c r="F243" s="4"/>
      <c r="G243" s="4"/>
      <c r="H243" s="73"/>
      <c r="I243" s="4"/>
      <c r="J243" s="4"/>
      <c r="K243" s="4"/>
      <c r="L243" s="7"/>
      <c r="M243" s="4"/>
      <c r="N243" s="4"/>
      <c r="O243" s="40"/>
      <c r="P243" s="8"/>
      <c r="Q243" s="8"/>
      <c r="R243" s="8"/>
      <c r="S243" s="8"/>
      <c r="T243" s="39">
        <f t="shared" si="19"/>
        <v>0</v>
      </c>
      <c r="U243" s="5">
        <f t="shared" si="20"/>
        <v>0</v>
      </c>
      <c r="V243" s="42">
        <f t="shared" si="21"/>
        <v>0</v>
      </c>
      <c r="W243" s="12"/>
      <c r="X243" s="8"/>
      <c r="Y243" s="8"/>
      <c r="Z243" s="8"/>
      <c r="AA243" s="8"/>
      <c r="AB243" s="8"/>
      <c r="AC243" s="8"/>
    </row>
    <row r="244" spans="2:29" ht="170.5">
      <c r="B244" s="64">
        <v>80</v>
      </c>
      <c r="C244" s="4" t="s">
        <v>142</v>
      </c>
      <c r="D244" s="64">
        <v>5</v>
      </c>
      <c r="E244" s="2" t="s">
        <v>66</v>
      </c>
      <c r="F244" s="25">
        <v>3800</v>
      </c>
      <c r="G244" s="65">
        <f>ROUND(D244*F244,0)</f>
        <v>19000</v>
      </c>
      <c r="H244" s="77">
        <v>4</v>
      </c>
      <c r="I244" s="64" t="str">
        <f>E244</f>
        <v>No</v>
      </c>
      <c r="J244" s="65">
        <f>F244</f>
        <v>3800</v>
      </c>
      <c r="K244" s="65">
        <f>ROUND(H244*J244,0)</f>
        <v>15200</v>
      </c>
      <c r="L244" s="66">
        <f>IF(K244&gt;G244,K244-G244,0)</f>
        <v>0</v>
      </c>
      <c r="M244" s="65">
        <f>IF(G244&gt;K244,G244-K244,0)</f>
        <v>3800</v>
      </c>
      <c r="N244" s="4"/>
      <c r="O244" s="40"/>
      <c r="P244" s="8"/>
      <c r="Q244" s="8"/>
      <c r="R244" s="8"/>
      <c r="S244" s="8"/>
      <c r="T244" s="39">
        <f t="shared" si="19"/>
        <v>19000</v>
      </c>
      <c r="U244" s="5">
        <f t="shared" si="20"/>
        <v>15200</v>
      </c>
      <c r="V244" s="42">
        <f t="shared" si="21"/>
        <v>-3800</v>
      </c>
      <c r="W244" s="12"/>
      <c r="X244" s="8"/>
      <c r="Y244" s="8">
        <v>4.17</v>
      </c>
      <c r="Z244" s="8"/>
      <c r="AA244" s="8"/>
      <c r="AB244" s="8"/>
      <c r="AC244" s="8"/>
    </row>
    <row r="245" spans="2:29">
      <c r="B245" s="7"/>
      <c r="C245" s="4"/>
      <c r="D245" s="4"/>
      <c r="E245" s="4"/>
      <c r="F245" s="4"/>
      <c r="G245" s="4"/>
      <c r="H245" s="73"/>
      <c r="I245" s="4"/>
      <c r="J245" s="4"/>
      <c r="K245" s="4"/>
      <c r="L245" s="7"/>
      <c r="M245" s="4"/>
      <c r="N245" s="4"/>
      <c r="O245" s="40"/>
      <c r="P245" s="8"/>
      <c r="Q245" s="8"/>
      <c r="R245" s="8"/>
      <c r="S245" s="8"/>
      <c r="T245" s="39">
        <f t="shared" si="19"/>
        <v>0</v>
      </c>
      <c r="U245" s="5">
        <f t="shared" si="20"/>
        <v>0</v>
      </c>
      <c r="V245" s="42">
        <f t="shared" si="21"/>
        <v>0</v>
      </c>
      <c r="W245" s="12"/>
      <c r="X245" s="8"/>
      <c r="Y245" s="8"/>
      <c r="Z245" s="8"/>
      <c r="AA245" s="8"/>
      <c r="AB245" s="8"/>
      <c r="AC245" s="8"/>
    </row>
    <row r="246" spans="2:29" ht="124">
      <c r="B246" s="64">
        <v>81</v>
      </c>
      <c r="C246" s="1" t="s">
        <v>143</v>
      </c>
      <c r="D246" s="64">
        <v>5</v>
      </c>
      <c r="E246" s="2" t="s">
        <v>66</v>
      </c>
      <c r="F246" s="25">
        <v>7590</v>
      </c>
      <c r="G246" s="65">
        <f>ROUND(D246*F246,0)</f>
        <v>37950</v>
      </c>
      <c r="H246" s="77">
        <v>4</v>
      </c>
      <c r="I246" s="64" t="str">
        <f>E246</f>
        <v>No</v>
      </c>
      <c r="J246" s="65">
        <f>F246</f>
        <v>7590</v>
      </c>
      <c r="K246" s="65">
        <f>ROUND(H246*J246,0)</f>
        <v>30360</v>
      </c>
      <c r="L246" s="66">
        <f>IF(K246&gt;G246,K246-G246,0)</f>
        <v>0</v>
      </c>
      <c r="M246" s="65">
        <f>IF(G246&gt;K246,G246-K246,0)</f>
        <v>7590</v>
      </c>
      <c r="N246" s="4"/>
      <c r="O246" s="40"/>
      <c r="P246" s="8"/>
      <c r="Q246" s="8"/>
      <c r="R246" s="8"/>
      <c r="S246" s="8"/>
      <c r="T246" s="39">
        <f t="shared" si="19"/>
        <v>37950</v>
      </c>
      <c r="U246" s="5">
        <f t="shared" si="20"/>
        <v>30360</v>
      </c>
      <c r="V246" s="42">
        <f t="shared" si="21"/>
        <v>-7590</v>
      </c>
      <c r="W246" s="12"/>
      <c r="X246" s="8"/>
      <c r="Y246" s="8"/>
      <c r="Z246" s="8"/>
      <c r="AA246" s="8"/>
      <c r="AB246" s="8"/>
      <c r="AC246" s="8"/>
    </row>
    <row r="247" spans="2:29" s="29" customFormat="1">
      <c r="B247" s="7"/>
      <c r="C247" s="4"/>
      <c r="D247" s="4"/>
      <c r="E247" s="4"/>
      <c r="F247" s="4"/>
      <c r="G247" s="4"/>
      <c r="H247" s="73"/>
      <c r="I247" s="4"/>
      <c r="J247" s="4"/>
      <c r="K247" s="4"/>
      <c r="L247" s="7"/>
      <c r="M247" s="4"/>
      <c r="N247" s="4"/>
      <c r="O247" s="40"/>
      <c r="P247" s="8"/>
      <c r="Q247" s="8"/>
      <c r="R247" s="18"/>
      <c r="S247" s="18"/>
      <c r="T247" s="45">
        <f t="shared" si="19"/>
        <v>0</v>
      </c>
      <c r="U247" s="46">
        <f t="shared" si="20"/>
        <v>0</v>
      </c>
      <c r="V247" s="47">
        <f t="shared" si="21"/>
        <v>0</v>
      </c>
      <c r="W247" s="62"/>
      <c r="X247" s="18"/>
      <c r="Y247" s="18"/>
      <c r="Z247" s="18"/>
      <c r="AA247" s="18"/>
      <c r="AB247" s="18"/>
      <c r="AC247" s="18"/>
    </row>
    <row r="248" spans="2:29" s="29" customFormat="1" ht="77.5">
      <c r="B248" s="64">
        <v>82</v>
      </c>
      <c r="C248" s="1" t="s">
        <v>144</v>
      </c>
      <c r="D248" s="64">
        <v>5</v>
      </c>
      <c r="E248" s="2" t="s">
        <v>66</v>
      </c>
      <c r="F248" s="25">
        <v>4580</v>
      </c>
      <c r="G248" s="65">
        <f>ROUND(D248*F248,0)</f>
        <v>22900</v>
      </c>
      <c r="H248" s="77">
        <v>4</v>
      </c>
      <c r="I248" s="64" t="str">
        <f>E248</f>
        <v>No</v>
      </c>
      <c r="J248" s="65">
        <f>F248</f>
        <v>4580</v>
      </c>
      <c r="K248" s="65">
        <f>ROUND(H248*J248,0)</f>
        <v>18320</v>
      </c>
      <c r="L248" s="66">
        <f>IF(K248&gt;G248,K248-G248,0)</f>
        <v>0</v>
      </c>
      <c r="M248" s="65">
        <f>IF(G248&gt;K248,G248-K248,0)</f>
        <v>4580</v>
      </c>
      <c r="N248" s="4"/>
      <c r="O248" s="40"/>
      <c r="P248" s="8"/>
      <c r="Q248" s="8"/>
      <c r="R248" s="18"/>
      <c r="S248" s="18"/>
      <c r="T248" s="45">
        <f t="shared" si="19"/>
        <v>22900</v>
      </c>
      <c r="U248" s="46">
        <f t="shared" si="20"/>
        <v>18320</v>
      </c>
      <c r="V248" s="47">
        <f t="shared" si="21"/>
        <v>-4580</v>
      </c>
      <c r="W248" s="62"/>
      <c r="X248" s="18"/>
      <c r="Y248" s="18"/>
      <c r="Z248" s="18"/>
      <c r="AA248" s="18"/>
      <c r="AB248" s="18"/>
      <c r="AC248" s="18"/>
    </row>
    <row r="249" spans="2:29" ht="34.5" customHeight="1">
      <c r="B249" s="7"/>
      <c r="C249" s="4"/>
      <c r="D249" s="4"/>
      <c r="E249" s="4"/>
      <c r="F249" s="4"/>
      <c r="G249" s="4"/>
      <c r="H249" s="73"/>
      <c r="I249" s="4"/>
      <c r="J249" s="4"/>
      <c r="K249" s="4"/>
      <c r="L249" s="7"/>
      <c r="M249" s="4"/>
      <c r="N249" s="4"/>
      <c r="O249" s="40"/>
      <c r="P249" s="8"/>
      <c r="Q249" s="8"/>
      <c r="R249" s="8"/>
      <c r="S249" s="8"/>
      <c r="T249" s="39"/>
      <c r="U249" s="5"/>
      <c r="V249" s="42"/>
      <c r="W249" s="12"/>
      <c r="X249" s="8"/>
      <c r="Y249" s="8"/>
      <c r="Z249" s="8"/>
      <c r="AA249" s="8"/>
      <c r="AB249" s="8"/>
      <c r="AC249" s="8"/>
    </row>
    <row r="250" spans="2:29" ht="46.5">
      <c r="B250" s="64">
        <v>83</v>
      </c>
      <c r="C250" s="1" t="s">
        <v>145</v>
      </c>
      <c r="D250" s="64">
        <v>5</v>
      </c>
      <c r="E250" s="2" t="s">
        <v>66</v>
      </c>
      <c r="F250" s="25">
        <v>872</v>
      </c>
      <c r="G250" s="65">
        <f>ROUND(D250*F250,0)</f>
        <v>4360</v>
      </c>
      <c r="H250" s="77">
        <v>4</v>
      </c>
      <c r="I250" s="64" t="str">
        <f>E250</f>
        <v>No</v>
      </c>
      <c r="J250" s="65">
        <f>F250</f>
        <v>872</v>
      </c>
      <c r="K250" s="65">
        <f>ROUND(H250*J250,0)</f>
        <v>3488</v>
      </c>
      <c r="L250" s="66">
        <f>IF(K250&gt;G250,K250-G250,0)</f>
        <v>0</v>
      </c>
      <c r="M250" s="65">
        <f>IF(G250&gt;K250,G250-K250,0)</f>
        <v>872</v>
      </c>
      <c r="N250" s="4"/>
      <c r="O250" s="40"/>
      <c r="P250" s="8"/>
      <c r="Q250" s="8"/>
      <c r="R250" s="8"/>
      <c r="S250" s="8"/>
      <c r="T250" s="39"/>
      <c r="U250" s="5"/>
      <c r="V250" s="42"/>
      <c r="W250" s="12"/>
      <c r="X250" s="8"/>
      <c r="Y250" s="8"/>
      <c r="Z250" s="8"/>
      <c r="AA250" s="8"/>
      <c r="AB250" s="8"/>
      <c r="AC250" s="8"/>
    </row>
    <row r="251" spans="2:29">
      <c r="B251" s="7"/>
      <c r="C251" s="4"/>
      <c r="D251" s="4"/>
      <c r="E251" s="4"/>
      <c r="F251" s="4"/>
      <c r="G251" s="4"/>
      <c r="H251" s="73"/>
      <c r="I251" s="4"/>
      <c r="J251" s="4"/>
      <c r="K251" s="4"/>
      <c r="L251" s="7"/>
      <c r="M251" s="4"/>
      <c r="N251" s="4"/>
      <c r="O251" s="40"/>
      <c r="P251" s="8"/>
      <c r="Q251" s="8"/>
      <c r="R251" s="8"/>
      <c r="S251" s="8"/>
      <c r="T251" s="39"/>
      <c r="U251" s="5"/>
      <c r="V251" s="42"/>
      <c r="W251" s="12"/>
      <c r="X251" s="8"/>
      <c r="Y251" s="8"/>
      <c r="Z251" s="8"/>
      <c r="AA251" s="8"/>
      <c r="AB251" s="8"/>
      <c r="AC251" s="8"/>
    </row>
    <row r="252" spans="2:29" ht="62">
      <c r="B252" s="64">
        <v>84</v>
      </c>
      <c r="C252" s="1" t="s">
        <v>146</v>
      </c>
      <c r="D252" s="64">
        <v>5</v>
      </c>
      <c r="E252" s="2" t="s">
        <v>66</v>
      </c>
      <c r="F252" s="25">
        <v>727</v>
      </c>
      <c r="G252" s="65">
        <f>ROUND(D252*F252,0)</f>
        <v>3635</v>
      </c>
      <c r="H252" s="77">
        <v>4</v>
      </c>
      <c r="I252" s="64" t="str">
        <f>E252</f>
        <v>No</v>
      </c>
      <c r="J252" s="65">
        <f>F252</f>
        <v>727</v>
      </c>
      <c r="K252" s="65">
        <f>ROUND(H252*J252,0)</f>
        <v>2908</v>
      </c>
      <c r="L252" s="66">
        <f>IF(K252&gt;G252,K252-G252,0)</f>
        <v>0</v>
      </c>
      <c r="M252" s="65">
        <f>IF(G252&gt;K252,G252-K252,0)</f>
        <v>727</v>
      </c>
      <c r="N252" s="4"/>
      <c r="O252" s="40"/>
      <c r="P252" s="8"/>
      <c r="Q252" s="8"/>
      <c r="R252" s="8"/>
      <c r="S252" s="8"/>
      <c r="T252" s="39"/>
      <c r="U252" s="5"/>
      <c r="V252" s="42"/>
      <c r="W252" s="12"/>
      <c r="X252" s="8"/>
      <c r="Y252" s="8"/>
      <c r="Z252" s="8"/>
      <c r="AA252" s="8"/>
      <c r="AB252" s="8"/>
      <c r="AC252" s="8"/>
    </row>
    <row r="253" spans="2:29">
      <c r="B253" s="7"/>
      <c r="C253" s="4"/>
      <c r="D253" s="4"/>
      <c r="E253" s="4"/>
      <c r="F253" s="4"/>
      <c r="G253" s="4"/>
      <c r="H253" s="73"/>
      <c r="I253" s="4"/>
      <c r="J253" s="4"/>
      <c r="K253" s="4"/>
      <c r="L253" s="7"/>
      <c r="M253" s="4"/>
      <c r="N253" s="4"/>
    </row>
    <row r="254" spans="2:29" ht="27" customHeight="1">
      <c r="B254" s="64">
        <v>85</v>
      </c>
      <c r="C254" s="1" t="s">
        <v>147</v>
      </c>
      <c r="D254" s="64">
        <v>5</v>
      </c>
      <c r="E254" s="2" t="s">
        <v>66</v>
      </c>
      <c r="F254" s="25">
        <v>872</v>
      </c>
      <c r="G254" s="65">
        <f>ROUND(D254*F254,0)</f>
        <v>4360</v>
      </c>
      <c r="H254" s="77">
        <v>4</v>
      </c>
      <c r="I254" s="64" t="str">
        <f>E254</f>
        <v>No</v>
      </c>
      <c r="J254" s="65">
        <f>F254</f>
        <v>872</v>
      </c>
      <c r="K254" s="65">
        <f>ROUND(H254*J254,0)</f>
        <v>3488</v>
      </c>
      <c r="L254" s="66">
        <f>IF(K254&gt;G254,K254-G254,0)</f>
        <v>0</v>
      </c>
      <c r="M254" s="65">
        <f>IF(G254&gt;K254,G254-K254,0)</f>
        <v>872</v>
      </c>
      <c r="N254" s="4"/>
      <c r="O254" s="40"/>
      <c r="P254" s="8"/>
      <c r="Q254" s="8"/>
      <c r="R254" s="8"/>
      <c r="S254" s="8"/>
      <c r="T254" s="39"/>
      <c r="U254" s="5"/>
      <c r="V254" s="42"/>
      <c r="W254" s="12"/>
      <c r="X254" s="8"/>
      <c r="Y254" s="8"/>
      <c r="Z254" s="8"/>
      <c r="AA254" s="8"/>
      <c r="AB254" s="8"/>
      <c r="AC254" s="8"/>
    </row>
    <row r="255" spans="2:29">
      <c r="B255" s="7"/>
      <c r="C255" s="4"/>
      <c r="D255" s="4"/>
      <c r="E255" s="4"/>
      <c r="F255" s="4"/>
      <c r="G255" s="4"/>
      <c r="H255" s="73"/>
      <c r="I255" s="4"/>
      <c r="J255" s="4"/>
      <c r="K255" s="4"/>
      <c r="L255" s="7"/>
      <c r="M255" s="4"/>
      <c r="N255" s="4"/>
      <c r="O255" s="40"/>
      <c r="P255" s="8"/>
      <c r="Q255" s="8"/>
      <c r="R255" s="8"/>
      <c r="S255" s="8"/>
      <c r="T255" s="39">
        <f t="shared" si="19"/>
        <v>0</v>
      </c>
      <c r="U255" s="5">
        <f t="shared" si="20"/>
        <v>0</v>
      </c>
      <c r="V255" s="42">
        <f t="shared" si="21"/>
        <v>0</v>
      </c>
      <c r="W255" s="12"/>
      <c r="X255" s="8"/>
      <c r="Y255" s="8"/>
      <c r="Z255" s="8"/>
      <c r="AA255" s="8"/>
      <c r="AB255" s="8"/>
      <c r="AC255" s="8"/>
    </row>
    <row r="256" spans="2:29" ht="62">
      <c r="B256" s="64">
        <v>86</v>
      </c>
      <c r="C256" s="1" t="s">
        <v>148</v>
      </c>
      <c r="D256" s="64">
        <v>5</v>
      </c>
      <c r="E256" s="2" t="s">
        <v>66</v>
      </c>
      <c r="F256" s="25">
        <v>418</v>
      </c>
      <c r="G256" s="65">
        <f>ROUND(D256*F256,0)</f>
        <v>2090</v>
      </c>
      <c r="H256" s="77">
        <v>4</v>
      </c>
      <c r="I256" s="64" t="str">
        <f>E256</f>
        <v>No</v>
      </c>
      <c r="J256" s="65">
        <f>F256</f>
        <v>418</v>
      </c>
      <c r="K256" s="65">
        <f>ROUND(H256*J256,0)</f>
        <v>1672</v>
      </c>
      <c r="L256" s="66">
        <f>IF(K256&gt;G256,K256-G256,0)</f>
        <v>0</v>
      </c>
      <c r="M256" s="65">
        <f>IF(G256&gt;K256,G256-K256,0)</f>
        <v>418</v>
      </c>
      <c r="N256" s="4"/>
      <c r="O256" s="40"/>
      <c r="P256" s="8"/>
      <c r="Q256" s="8"/>
      <c r="R256" s="8"/>
      <c r="S256" s="8"/>
      <c r="T256" s="39">
        <f t="shared" si="19"/>
        <v>2090</v>
      </c>
      <c r="U256" s="5">
        <f t="shared" si="20"/>
        <v>1672</v>
      </c>
      <c r="V256" s="42">
        <f t="shared" si="21"/>
        <v>-418</v>
      </c>
      <c r="W256" s="12"/>
      <c r="X256" s="8"/>
      <c r="Y256" s="8"/>
      <c r="Z256" s="8"/>
      <c r="AA256" s="8"/>
      <c r="AB256" s="8"/>
      <c r="AC256" s="8"/>
    </row>
    <row r="257" spans="2:29">
      <c r="B257" s="7"/>
      <c r="C257" s="4"/>
      <c r="D257" s="4"/>
      <c r="E257" s="4"/>
      <c r="F257" s="4"/>
      <c r="G257" s="4"/>
      <c r="H257" s="73"/>
      <c r="I257" s="4"/>
      <c r="J257" s="4"/>
      <c r="K257" s="4"/>
      <c r="L257" s="7"/>
      <c r="M257" s="4"/>
      <c r="N257" s="4"/>
      <c r="O257" s="40"/>
      <c r="P257" s="8"/>
      <c r="Q257" s="8"/>
      <c r="R257" s="8"/>
      <c r="S257" s="8"/>
      <c r="T257" s="39">
        <f t="shared" si="19"/>
        <v>0</v>
      </c>
      <c r="U257" s="5">
        <f t="shared" si="20"/>
        <v>0</v>
      </c>
      <c r="V257" s="42">
        <f t="shared" si="21"/>
        <v>0</v>
      </c>
      <c r="W257" s="12"/>
      <c r="X257" s="8"/>
      <c r="Y257" s="8"/>
      <c r="Z257" s="8"/>
      <c r="AA257" s="8"/>
      <c r="AB257" s="8"/>
      <c r="AC257" s="8"/>
    </row>
    <row r="258" spans="2:29" ht="36.65" customHeight="1">
      <c r="B258" s="64"/>
      <c r="C258" s="81" t="s">
        <v>280</v>
      </c>
      <c r="D258" s="64"/>
      <c r="E258" s="2"/>
      <c r="F258" s="25"/>
      <c r="G258" s="65"/>
      <c r="H258" s="77"/>
      <c r="I258" s="64"/>
      <c r="J258" s="65"/>
      <c r="K258" s="65"/>
      <c r="L258" s="66"/>
      <c r="M258" s="65"/>
      <c r="N258" s="4"/>
      <c r="O258" s="40"/>
      <c r="P258" s="8"/>
      <c r="Q258" s="8"/>
      <c r="R258" s="8"/>
      <c r="S258" s="8"/>
      <c r="T258" s="39">
        <f t="shared" si="19"/>
        <v>0</v>
      </c>
      <c r="U258" s="5">
        <f t="shared" si="20"/>
        <v>0</v>
      </c>
      <c r="V258" s="42">
        <f t="shared" si="21"/>
        <v>0</v>
      </c>
      <c r="W258" s="12"/>
      <c r="X258" s="8"/>
      <c r="Y258" s="8"/>
      <c r="Z258" s="8"/>
      <c r="AA258" s="8"/>
      <c r="AB258" s="8"/>
      <c r="AC258" s="8"/>
    </row>
    <row r="259" spans="2:29">
      <c r="B259" s="7"/>
      <c r="C259" s="4"/>
      <c r="D259" s="4"/>
      <c r="E259" s="4"/>
      <c r="F259" s="4"/>
      <c r="G259" s="4"/>
      <c r="H259" s="73"/>
      <c r="I259" s="4"/>
      <c r="J259" s="4"/>
      <c r="K259" s="4"/>
      <c r="L259" s="7"/>
      <c r="M259" s="4"/>
      <c r="N259" s="4"/>
      <c r="O259" s="40"/>
      <c r="P259" s="8"/>
      <c r="Q259" s="8"/>
      <c r="R259" s="8"/>
      <c r="S259" s="8"/>
      <c r="T259" s="39">
        <f t="shared" si="19"/>
        <v>0</v>
      </c>
      <c r="U259" s="5">
        <f t="shared" si="20"/>
        <v>0</v>
      </c>
      <c r="V259" s="42">
        <f t="shared" si="21"/>
        <v>0</v>
      </c>
      <c r="W259" s="12"/>
      <c r="X259" s="8"/>
      <c r="Y259" s="8"/>
      <c r="Z259" s="8"/>
      <c r="AA259" s="8"/>
      <c r="AB259" s="8"/>
      <c r="AC259" s="8"/>
    </row>
    <row r="260" spans="2:29" ht="62">
      <c r="B260" s="64">
        <v>1</v>
      </c>
      <c r="C260" s="61" t="s">
        <v>320</v>
      </c>
      <c r="D260" s="104">
        <v>0</v>
      </c>
      <c r="E260" s="104"/>
      <c r="F260" s="104"/>
      <c r="G260" s="104"/>
      <c r="H260" s="77">
        <v>5</v>
      </c>
      <c r="I260" s="64" t="s">
        <v>14</v>
      </c>
      <c r="J260" s="65"/>
      <c r="K260" s="65"/>
      <c r="L260" s="66"/>
      <c r="M260" s="65"/>
      <c r="N260" s="4"/>
      <c r="O260" s="40"/>
      <c r="P260" s="8"/>
      <c r="Q260" s="8"/>
      <c r="R260" s="8"/>
      <c r="S260" s="8"/>
      <c r="T260" s="23">
        <f t="shared" si="19"/>
        <v>0</v>
      </c>
      <c r="U260" s="23">
        <f t="shared" si="20"/>
        <v>0</v>
      </c>
      <c r="V260" s="23">
        <f t="shared" si="21"/>
        <v>0</v>
      </c>
      <c r="W260" s="12"/>
      <c r="X260" s="8"/>
      <c r="Y260" s="8"/>
      <c r="Z260" s="8"/>
      <c r="AA260" s="8"/>
      <c r="AB260" s="8"/>
      <c r="AC260" s="8"/>
    </row>
    <row r="261" spans="2:29" ht="19.149999999999999" customHeight="1">
      <c r="B261" s="64">
        <v>2</v>
      </c>
      <c r="C261" s="61" t="s">
        <v>282</v>
      </c>
      <c r="D261" s="104"/>
      <c r="E261" s="104"/>
      <c r="F261" s="104"/>
      <c r="G261" s="104"/>
      <c r="H261" s="77">
        <v>3</v>
      </c>
      <c r="I261" s="64" t="s">
        <v>14</v>
      </c>
      <c r="J261" s="65"/>
      <c r="K261" s="65"/>
      <c r="L261" s="66"/>
      <c r="M261" s="65"/>
      <c r="N261" s="4"/>
      <c r="O261" s="40"/>
      <c r="P261" s="8"/>
      <c r="Q261" s="8"/>
      <c r="R261" s="8"/>
      <c r="S261" s="8"/>
      <c r="T261" s="23">
        <f t="shared" si="19"/>
        <v>0</v>
      </c>
      <c r="U261" s="23">
        <f t="shared" si="20"/>
        <v>0</v>
      </c>
      <c r="V261" s="23">
        <f t="shared" si="21"/>
        <v>0</v>
      </c>
      <c r="W261" s="12"/>
      <c r="X261" s="8"/>
      <c r="Y261" s="8"/>
      <c r="Z261" s="8"/>
      <c r="AA261" s="8"/>
      <c r="AB261" s="8"/>
      <c r="AC261" s="8"/>
    </row>
    <row r="262" spans="2:29" ht="124">
      <c r="B262" s="7"/>
      <c r="C262" s="61" t="s">
        <v>321</v>
      </c>
      <c r="D262" s="4"/>
      <c r="E262" s="4"/>
      <c r="F262" s="4"/>
      <c r="G262" s="4"/>
      <c r="H262" s="77">
        <v>35.1</v>
      </c>
      <c r="I262" s="7" t="s">
        <v>60</v>
      </c>
      <c r="J262" s="4"/>
      <c r="K262" s="4"/>
      <c r="L262" s="7"/>
      <c r="M262" s="4"/>
      <c r="N262" s="4"/>
      <c r="O262" s="40"/>
      <c r="P262" s="8"/>
      <c r="Q262" s="8"/>
      <c r="R262" s="8"/>
      <c r="S262" s="8"/>
      <c r="T262" s="23">
        <f t="shared" si="19"/>
        <v>0</v>
      </c>
      <c r="U262" s="23">
        <f t="shared" si="20"/>
        <v>0</v>
      </c>
      <c r="V262" s="23">
        <f t="shared" si="21"/>
        <v>0</v>
      </c>
      <c r="W262" s="12"/>
      <c r="X262" s="8"/>
      <c r="Y262" s="8"/>
      <c r="Z262" s="8"/>
      <c r="AA262" s="8"/>
      <c r="AB262" s="8"/>
      <c r="AC262" s="8"/>
    </row>
    <row r="263" spans="2:29">
      <c r="B263" s="64"/>
      <c r="C263" s="20" t="s">
        <v>276</v>
      </c>
      <c r="D263" s="64"/>
      <c r="E263" s="2"/>
      <c r="F263" s="25"/>
      <c r="G263" s="65"/>
      <c r="H263" s="77"/>
      <c r="I263" s="64"/>
      <c r="J263" s="65"/>
      <c r="K263" s="65"/>
      <c r="L263" s="66"/>
      <c r="M263" s="65"/>
      <c r="N263" s="4"/>
      <c r="O263" s="40"/>
      <c r="P263" s="8"/>
      <c r="Q263" s="8"/>
      <c r="R263" s="8"/>
      <c r="S263" s="8"/>
      <c r="T263" s="23">
        <f t="shared" si="19"/>
        <v>0</v>
      </c>
      <c r="U263" s="23">
        <f t="shared" si="20"/>
        <v>0</v>
      </c>
      <c r="V263" s="23">
        <f t="shared" si="21"/>
        <v>0</v>
      </c>
      <c r="W263" s="12"/>
      <c r="X263" s="8"/>
      <c r="Y263" s="8"/>
      <c r="Z263" s="8"/>
      <c r="AA263" s="8"/>
      <c r="AB263" s="8"/>
      <c r="AC263" s="8"/>
    </row>
    <row r="264" spans="2:29">
      <c r="B264" s="7"/>
      <c r="C264" s="4"/>
      <c r="D264" s="4"/>
      <c r="E264" s="4"/>
      <c r="F264" s="4"/>
      <c r="G264" s="4"/>
      <c r="H264" s="73"/>
      <c r="I264" s="4"/>
      <c r="J264" s="4"/>
      <c r="K264" s="4"/>
      <c r="L264" s="7"/>
      <c r="M264" s="4"/>
      <c r="N264" s="4"/>
      <c r="O264" s="40"/>
      <c r="P264" s="8"/>
      <c r="Q264" s="8"/>
      <c r="R264" s="8"/>
      <c r="S264" s="8"/>
      <c r="T264" s="23">
        <f t="shared" si="19"/>
        <v>0</v>
      </c>
      <c r="U264" s="23">
        <f t="shared" si="20"/>
        <v>0</v>
      </c>
      <c r="V264" s="23">
        <f t="shared" si="21"/>
        <v>0</v>
      </c>
      <c r="W264" s="12"/>
      <c r="X264" s="8"/>
      <c r="Y264" s="8"/>
      <c r="Z264" s="8"/>
      <c r="AA264" s="8"/>
      <c r="AB264" s="8"/>
      <c r="AC264" s="8"/>
    </row>
    <row r="265" spans="2:29" ht="77.5">
      <c r="B265" s="64">
        <v>96</v>
      </c>
      <c r="C265" s="4" t="s">
        <v>155</v>
      </c>
      <c r="D265" s="64">
        <v>200</v>
      </c>
      <c r="E265" s="2" t="s">
        <v>60</v>
      </c>
      <c r="F265" s="25">
        <v>116</v>
      </c>
      <c r="G265" s="65">
        <f>ROUND(D265*F265,0)</f>
        <v>23200</v>
      </c>
      <c r="H265" s="77">
        <v>200</v>
      </c>
      <c r="I265" s="64" t="str">
        <f>E265</f>
        <v>Rmt</v>
      </c>
      <c r="J265" s="65">
        <f>F265</f>
        <v>116</v>
      </c>
      <c r="K265" s="65">
        <f t="shared" ref="K265:K273" si="22">ROUND(H265*J265,0)</f>
        <v>23200</v>
      </c>
      <c r="L265" s="66">
        <f t="shared" ref="L265:L273" si="23">IF(K265&gt;G265,K265-G265,0)</f>
        <v>0</v>
      </c>
      <c r="M265" s="65">
        <f t="shared" ref="M265:M273" si="24">IF(G265&gt;K265,G265-K265,0)</f>
        <v>0</v>
      </c>
      <c r="N265" s="4"/>
      <c r="O265" s="40"/>
      <c r="P265" s="8"/>
      <c r="Q265" s="8"/>
      <c r="R265" s="8"/>
      <c r="S265" s="8"/>
      <c r="T265" s="23">
        <f t="shared" si="19"/>
        <v>23200</v>
      </c>
      <c r="U265" s="23">
        <f t="shared" si="20"/>
        <v>23200</v>
      </c>
      <c r="V265" s="23">
        <f t="shared" si="21"/>
        <v>0</v>
      </c>
      <c r="W265" s="12"/>
      <c r="X265" s="8"/>
      <c r="Y265" s="8"/>
      <c r="Z265" s="8"/>
      <c r="AA265" s="8"/>
      <c r="AB265" s="8"/>
      <c r="AC265" s="8"/>
    </row>
    <row r="266" spans="2:29">
      <c r="B266" s="7"/>
      <c r="C266" s="72" t="s">
        <v>294</v>
      </c>
      <c r="D266" s="4"/>
      <c r="E266" s="4"/>
      <c r="F266" s="4"/>
      <c r="G266" s="4"/>
      <c r="H266" s="73">
        <v>215.5</v>
      </c>
      <c r="I266" s="4" t="s">
        <v>60</v>
      </c>
      <c r="J266" s="25">
        <v>116</v>
      </c>
      <c r="K266" s="65">
        <f t="shared" si="22"/>
        <v>24998</v>
      </c>
      <c r="L266" s="66">
        <f t="shared" si="23"/>
        <v>24998</v>
      </c>
      <c r="M266" s="65">
        <f t="shared" si="24"/>
        <v>0</v>
      </c>
      <c r="N266" s="4"/>
      <c r="O266" s="40"/>
      <c r="P266" s="8"/>
      <c r="Q266" s="8"/>
      <c r="R266" s="8"/>
      <c r="S266" s="8"/>
      <c r="T266" s="23">
        <f t="shared" si="19"/>
        <v>0</v>
      </c>
      <c r="U266" s="23">
        <f t="shared" si="20"/>
        <v>0</v>
      </c>
      <c r="V266" s="23">
        <f t="shared" si="21"/>
        <v>0</v>
      </c>
      <c r="W266" s="12"/>
      <c r="X266" s="8"/>
      <c r="Y266" s="8"/>
      <c r="Z266" s="8"/>
      <c r="AA266" s="8"/>
      <c r="AB266" s="8"/>
      <c r="AC266" s="8"/>
    </row>
    <row r="267" spans="2:29" ht="77.5">
      <c r="B267" s="64">
        <v>97</v>
      </c>
      <c r="C267" s="4" t="s">
        <v>156</v>
      </c>
      <c r="D267" s="64">
        <v>500</v>
      </c>
      <c r="E267" s="2" t="s">
        <v>60</v>
      </c>
      <c r="F267" s="25">
        <v>107</v>
      </c>
      <c r="G267" s="65">
        <f>ROUND(D267*F267,0)</f>
        <v>53500</v>
      </c>
      <c r="H267" s="77">
        <v>500</v>
      </c>
      <c r="I267" s="64" t="str">
        <f>E267</f>
        <v>Rmt</v>
      </c>
      <c r="J267" s="65">
        <f>F267</f>
        <v>107</v>
      </c>
      <c r="K267" s="65">
        <f t="shared" si="22"/>
        <v>53500</v>
      </c>
      <c r="L267" s="66">
        <f t="shared" si="23"/>
        <v>0</v>
      </c>
      <c r="M267" s="65">
        <f t="shared" si="24"/>
        <v>0</v>
      </c>
      <c r="N267" s="4"/>
      <c r="O267" s="40"/>
      <c r="P267" s="8"/>
      <c r="Q267" s="8"/>
      <c r="R267" s="8"/>
      <c r="S267" s="8"/>
      <c r="T267" s="23">
        <f t="shared" si="19"/>
        <v>53500</v>
      </c>
      <c r="U267" s="23">
        <f t="shared" si="20"/>
        <v>53500</v>
      </c>
      <c r="V267" s="23">
        <f t="shared" si="21"/>
        <v>0</v>
      </c>
      <c r="W267" s="12"/>
      <c r="X267" s="8"/>
      <c r="Y267" s="8"/>
      <c r="Z267" s="8"/>
      <c r="AA267" s="8"/>
      <c r="AB267" s="8"/>
      <c r="AC267" s="8"/>
    </row>
    <row r="268" spans="2:29">
      <c r="B268" s="7"/>
      <c r="C268" s="72" t="s">
        <v>294</v>
      </c>
      <c r="D268" s="4"/>
      <c r="E268" s="4"/>
      <c r="F268" s="4"/>
      <c r="G268" s="4"/>
      <c r="H268" s="73">
        <v>928.4</v>
      </c>
      <c r="I268" s="4" t="s">
        <v>60</v>
      </c>
      <c r="J268" s="25">
        <v>107</v>
      </c>
      <c r="K268" s="65">
        <f t="shared" si="22"/>
        <v>99339</v>
      </c>
      <c r="L268" s="66">
        <f t="shared" si="23"/>
        <v>99339</v>
      </c>
      <c r="M268" s="65">
        <f t="shared" si="24"/>
        <v>0</v>
      </c>
      <c r="N268" s="4"/>
      <c r="O268" s="40"/>
      <c r="P268" s="8"/>
      <c r="Q268" s="8"/>
      <c r="R268" s="8"/>
      <c r="S268" s="8"/>
      <c r="T268" s="23">
        <f t="shared" si="19"/>
        <v>0</v>
      </c>
      <c r="U268" s="23">
        <f t="shared" si="20"/>
        <v>0</v>
      </c>
      <c r="V268" s="23">
        <f t="shared" si="21"/>
        <v>0</v>
      </c>
      <c r="W268" s="12"/>
      <c r="X268" s="8"/>
      <c r="Y268" s="8"/>
      <c r="Z268" s="8"/>
      <c r="AA268" s="8"/>
      <c r="AB268" s="8"/>
      <c r="AC268" s="8"/>
    </row>
    <row r="269" spans="2:29" ht="124">
      <c r="B269" s="64">
        <v>98</v>
      </c>
      <c r="C269" s="4" t="s">
        <v>157</v>
      </c>
      <c r="D269" s="64">
        <v>110</v>
      </c>
      <c r="E269" s="2" t="s">
        <v>158</v>
      </c>
      <c r="F269" s="25">
        <v>945</v>
      </c>
      <c r="G269" s="65">
        <f>ROUND(D269*F269,0)</f>
        <v>103950</v>
      </c>
      <c r="H269" s="77">
        <v>110</v>
      </c>
      <c r="I269" s="64" t="str">
        <f>E269</f>
        <v>Pts</v>
      </c>
      <c r="J269" s="65">
        <f>F269</f>
        <v>945</v>
      </c>
      <c r="K269" s="65">
        <f t="shared" si="22"/>
        <v>103950</v>
      </c>
      <c r="L269" s="66">
        <f t="shared" si="23"/>
        <v>0</v>
      </c>
      <c r="M269" s="65">
        <f t="shared" si="24"/>
        <v>0</v>
      </c>
      <c r="N269" s="4"/>
      <c r="O269" s="40"/>
      <c r="P269" s="8"/>
      <c r="Q269" s="8"/>
      <c r="R269" s="8"/>
      <c r="S269" s="8"/>
      <c r="T269" s="23">
        <f t="shared" si="19"/>
        <v>103950</v>
      </c>
      <c r="U269" s="23">
        <f t="shared" si="20"/>
        <v>103950</v>
      </c>
      <c r="V269" s="23">
        <f t="shared" si="21"/>
        <v>0</v>
      </c>
      <c r="W269" s="12"/>
      <c r="X269" s="8"/>
      <c r="Y269" s="8"/>
      <c r="Z269" s="8"/>
      <c r="AA269" s="8"/>
      <c r="AB269" s="8"/>
      <c r="AC269" s="8"/>
    </row>
    <row r="270" spans="2:29">
      <c r="B270" s="7"/>
      <c r="C270" s="72" t="s">
        <v>294</v>
      </c>
      <c r="D270" s="4"/>
      <c r="E270" s="4"/>
      <c r="F270" s="4"/>
      <c r="G270" s="4"/>
      <c r="H270" s="73">
        <v>36</v>
      </c>
      <c r="I270" s="4" t="s">
        <v>158</v>
      </c>
      <c r="J270" s="25">
        <v>945</v>
      </c>
      <c r="K270" s="65">
        <f t="shared" si="22"/>
        <v>34020</v>
      </c>
      <c r="L270" s="66">
        <f t="shared" si="23"/>
        <v>34020</v>
      </c>
      <c r="M270" s="65">
        <f t="shared" si="24"/>
        <v>0</v>
      </c>
      <c r="N270" s="4"/>
      <c r="O270" s="40"/>
      <c r="P270" s="8"/>
      <c r="Q270" s="8"/>
      <c r="R270" s="8"/>
      <c r="S270" s="8"/>
      <c r="T270" s="23">
        <f t="shared" si="19"/>
        <v>0</v>
      </c>
      <c r="U270" s="23">
        <f t="shared" si="20"/>
        <v>0</v>
      </c>
      <c r="V270" s="23">
        <f t="shared" si="21"/>
        <v>0</v>
      </c>
      <c r="W270" s="12"/>
      <c r="X270" s="8"/>
      <c r="Y270" s="8"/>
      <c r="Z270" s="8"/>
      <c r="AA270" s="8"/>
      <c r="AB270" s="8"/>
      <c r="AC270" s="8"/>
    </row>
    <row r="271" spans="2:29" ht="93">
      <c r="B271" s="64">
        <v>99</v>
      </c>
      <c r="C271" s="1" t="s">
        <v>159</v>
      </c>
      <c r="D271" s="64">
        <v>12</v>
      </c>
      <c r="E271" s="2" t="s">
        <v>66</v>
      </c>
      <c r="F271" s="25">
        <v>675</v>
      </c>
      <c r="G271" s="65">
        <f>ROUND(D271*F271,0)</f>
        <v>8100</v>
      </c>
      <c r="H271" s="77">
        <v>12</v>
      </c>
      <c r="I271" s="64" t="str">
        <f>E271</f>
        <v>No</v>
      </c>
      <c r="J271" s="65">
        <f>F271</f>
        <v>675</v>
      </c>
      <c r="K271" s="65">
        <f t="shared" si="22"/>
        <v>8100</v>
      </c>
      <c r="L271" s="66">
        <f t="shared" si="23"/>
        <v>0</v>
      </c>
      <c r="M271" s="65">
        <f t="shared" si="24"/>
        <v>0</v>
      </c>
      <c r="N271" s="4"/>
      <c r="O271" s="40"/>
      <c r="P271" s="8"/>
      <c r="Q271" s="8"/>
      <c r="R271" s="12"/>
      <c r="S271" s="12"/>
      <c r="T271" s="11"/>
      <c r="U271" s="11"/>
      <c r="V271" s="11"/>
      <c r="W271" s="12"/>
      <c r="X271" s="8"/>
      <c r="Y271" s="8"/>
      <c r="Z271" s="8"/>
      <c r="AA271" s="8"/>
      <c r="AB271" s="8"/>
      <c r="AC271" s="8"/>
    </row>
    <row r="272" spans="2:29">
      <c r="B272" s="7"/>
      <c r="C272" s="72" t="s">
        <v>294</v>
      </c>
      <c r="D272" s="4"/>
      <c r="E272" s="4"/>
      <c r="F272" s="4"/>
      <c r="G272" s="4"/>
      <c r="H272" s="73">
        <v>18</v>
      </c>
      <c r="I272" s="4" t="s">
        <v>66</v>
      </c>
      <c r="J272" s="25">
        <v>675</v>
      </c>
      <c r="K272" s="65">
        <f t="shared" si="22"/>
        <v>12150</v>
      </c>
      <c r="L272" s="66">
        <f t="shared" si="23"/>
        <v>12150</v>
      </c>
      <c r="M272" s="65">
        <f t="shared" si="24"/>
        <v>0</v>
      </c>
      <c r="N272" s="4"/>
      <c r="O272" s="40"/>
      <c r="P272" s="8"/>
      <c r="Q272" s="8"/>
      <c r="R272" s="12"/>
      <c r="S272" s="12"/>
      <c r="T272" s="11"/>
      <c r="U272" s="11"/>
      <c r="V272" s="11"/>
      <c r="W272" s="12"/>
      <c r="X272" s="8"/>
      <c r="Y272" s="8"/>
      <c r="Z272" s="8"/>
      <c r="AA272" s="8"/>
      <c r="AB272" s="8"/>
      <c r="AC272" s="8"/>
    </row>
    <row r="273" spans="2:29" ht="93">
      <c r="B273" s="64">
        <v>100</v>
      </c>
      <c r="C273" s="4" t="s">
        <v>160</v>
      </c>
      <c r="D273" s="64">
        <v>40</v>
      </c>
      <c r="E273" s="2" t="s">
        <v>66</v>
      </c>
      <c r="F273" s="25">
        <v>1040</v>
      </c>
      <c r="G273" s="65">
        <f>ROUND(D273*F273,0)</f>
        <v>41600</v>
      </c>
      <c r="H273" s="77">
        <v>14</v>
      </c>
      <c r="I273" s="64" t="str">
        <f>E273</f>
        <v>No</v>
      </c>
      <c r="J273" s="65">
        <f>F273</f>
        <v>1040</v>
      </c>
      <c r="K273" s="65">
        <f t="shared" si="22"/>
        <v>14560</v>
      </c>
      <c r="L273" s="66">
        <f t="shared" si="23"/>
        <v>0</v>
      </c>
      <c r="M273" s="65">
        <f t="shared" si="24"/>
        <v>27040</v>
      </c>
      <c r="N273" s="4"/>
      <c r="O273" s="40"/>
      <c r="P273" s="8"/>
      <c r="Q273" s="8"/>
      <c r="R273" s="12"/>
      <c r="S273" s="12"/>
      <c r="T273" s="11"/>
      <c r="U273" s="11"/>
      <c r="V273" s="11"/>
      <c r="W273" s="12"/>
      <c r="X273" s="8"/>
      <c r="Y273" s="8"/>
      <c r="Z273" s="8"/>
      <c r="AA273" s="8"/>
      <c r="AB273" s="8"/>
      <c r="AC273" s="8"/>
    </row>
    <row r="274" spans="2:29">
      <c r="B274" s="7"/>
      <c r="C274" s="4"/>
      <c r="D274" s="4"/>
      <c r="E274" s="4"/>
      <c r="F274" s="4"/>
      <c r="G274" s="4"/>
      <c r="H274" s="73"/>
      <c r="I274" s="4"/>
      <c r="J274" s="4"/>
      <c r="K274" s="4"/>
      <c r="L274" s="7"/>
      <c r="M274" s="4"/>
      <c r="N274" s="4"/>
      <c r="O274" s="40"/>
      <c r="P274" s="8"/>
      <c r="Q274" s="8"/>
      <c r="R274" s="12"/>
      <c r="S274" s="12"/>
      <c r="T274" s="11"/>
      <c r="U274" s="11"/>
      <c r="V274" s="11"/>
      <c r="W274" s="12"/>
      <c r="X274" s="8"/>
      <c r="Y274" s="8"/>
      <c r="Z274" s="8"/>
      <c r="AA274" s="8"/>
      <c r="AB274" s="8"/>
      <c r="AC274" s="8"/>
    </row>
    <row r="275" spans="2:29" ht="77.5">
      <c r="B275" s="64">
        <v>101</v>
      </c>
      <c r="C275" s="1" t="s">
        <v>161</v>
      </c>
      <c r="D275" s="64">
        <v>60</v>
      </c>
      <c r="E275" s="2" t="s">
        <v>66</v>
      </c>
      <c r="F275" s="25">
        <v>1755</v>
      </c>
      <c r="G275" s="65">
        <f>ROUND(D275*F275,0)</f>
        <v>105300</v>
      </c>
      <c r="H275" s="77">
        <f>34+19</f>
        <v>53</v>
      </c>
      <c r="I275" s="64" t="str">
        <f>E275</f>
        <v>No</v>
      </c>
      <c r="J275" s="65">
        <f>F275</f>
        <v>1755</v>
      </c>
      <c r="K275" s="65">
        <f>ROUND(H275*J275,0)</f>
        <v>93015</v>
      </c>
      <c r="L275" s="66">
        <f>IF(K275&gt;G275,K275-G275,0)</f>
        <v>0</v>
      </c>
      <c r="M275" s="65">
        <f>IF(G275&gt;K275,G275-K275,0)</f>
        <v>12285</v>
      </c>
      <c r="N275" s="4"/>
      <c r="O275" s="40"/>
      <c r="P275" s="8"/>
      <c r="Q275" s="8"/>
      <c r="R275" s="12"/>
      <c r="S275" s="12"/>
      <c r="T275" s="11"/>
      <c r="U275" s="11"/>
      <c r="V275" s="11"/>
      <c r="W275" s="12"/>
      <c r="X275" s="8"/>
      <c r="Y275" s="8"/>
      <c r="Z275" s="8"/>
      <c r="AA275" s="8"/>
      <c r="AB275" s="8"/>
      <c r="AC275" s="8"/>
    </row>
    <row r="276" spans="2:29">
      <c r="B276" s="7"/>
      <c r="C276" s="4"/>
      <c r="D276" s="4"/>
      <c r="E276" s="4"/>
      <c r="F276" s="4"/>
      <c r="G276" s="4"/>
      <c r="H276" s="73"/>
      <c r="I276" s="4"/>
      <c r="J276" s="4"/>
      <c r="K276" s="4"/>
      <c r="L276" s="7"/>
      <c r="M276" s="4"/>
      <c r="N276" s="4"/>
      <c r="O276" s="40"/>
      <c r="P276" s="8"/>
      <c r="Q276" s="8"/>
      <c r="R276" s="12"/>
      <c r="S276" s="12"/>
      <c r="T276" s="11"/>
      <c r="U276" s="11"/>
      <c r="V276" s="11"/>
      <c r="W276" s="12"/>
      <c r="X276" s="8"/>
      <c r="Y276" s="8"/>
      <c r="Z276" s="8"/>
      <c r="AA276" s="8"/>
      <c r="AB276" s="8"/>
      <c r="AC276" s="8"/>
    </row>
    <row r="277" spans="2:29" ht="77.5">
      <c r="B277" s="64">
        <v>102</v>
      </c>
      <c r="C277" s="1" t="s">
        <v>162</v>
      </c>
      <c r="D277" s="64">
        <v>10</v>
      </c>
      <c r="E277" s="2" t="s">
        <v>66</v>
      </c>
      <c r="F277" s="25">
        <v>3092</v>
      </c>
      <c r="G277" s="65">
        <f>ROUND(D277*F277,0)</f>
        <v>30920</v>
      </c>
      <c r="H277" s="77">
        <v>0</v>
      </c>
      <c r="I277" s="64" t="str">
        <f>E277</f>
        <v>No</v>
      </c>
      <c r="J277" s="65">
        <f>F277</f>
        <v>3092</v>
      </c>
      <c r="K277" s="65">
        <f>ROUND(H277*J277,0)</f>
        <v>0</v>
      </c>
      <c r="L277" s="66">
        <f>IF(K277&gt;G277,K277-G277,0)</f>
        <v>0</v>
      </c>
      <c r="M277" s="65">
        <f>IF(G277&gt;K277,G277-K277,0)</f>
        <v>30920</v>
      </c>
      <c r="N277" s="4"/>
      <c r="O277" s="40"/>
      <c r="P277" s="8"/>
      <c r="Q277" s="8"/>
      <c r="R277" s="12"/>
      <c r="S277" s="12"/>
      <c r="T277" s="11"/>
      <c r="U277" s="11"/>
      <c r="V277" s="11"/>
      <c r="W277" s="12"/>
      <c r="X277" s="8"/>
      <c r="Y277" s="8"/>
      <c r="Z277" s="8"/>
      <c r="AA277" s="8"/>
      <c r="AB277" s="8"/>
      <c r="AC277" s="8"/>
    </row>
    <row r="278" spans="2:29">
      <c r="B278" s="7"/>
      <c r="C278" s="4"/>
      <c r="D278" s="4"/>
      <c r="E278" s="4"/>
      <c r="F278" s="4"/>
      <c r="G278" s="4"/>
      <c r="H278" s="73"/>
      <c r="I278" s="4"/>
      <c r="J278" s="4"/>
      <c r="K278" s="4"/>
      <c r="L278" s="7"/>
      <c r="M278" s="4"/>
      <c r="N278" s="4"/>
      <c r="O278" s="40"/>
      <c r="P278" s="8"/>
      <c r="Q278" s="8"/>
      <c r="R278" s="12"/>
      <c r="S278" s="12"/>
      <c r="T278" s="11"/>
      <c r="U278" s="11"/>
      <c r="V278" s="11"/>
      <c r="W278" s="12"/>
      <c r="X278" s="8"/>
      <c r="Y278" s="8"/>
      <c r="Z278" s="8"/>
      <c r="AA278" s="8"/>
      <c r="AB278" s="8"/>
      <c r="AC278" s="8"/>
    </row>
    <row r="279" spans="2:29" ht="62">
      <c r="B279" s="64">
        <v>103</v>
      </c>
      <c r="C279" s="1" t="s">
        <v>163</v>
      </c>
      <c r="D279" s="64">
        <v>350</v>
      </c>
      <c r="E279" s="2" t="s">
        <v>60</v>
      </c>
      <c r="F279" s="25">
        <v>40</v>
      </c>
      <c r="G279" s="65">
        <f>ROUND(D279*F279,0)</f>
        <v>14000</v>
      </c>
      <c r="H279" s="77">
        <v>0</v>
      </c>
      <c r="I279" s="64" t="str">
        <f>E279</f>
        <v>Rmt</v>
      </c>
      <c r="J279" s="65">
        <f>F279</f>
        <v>40</v>
      </c>
      <c r="K279" s="65">
        <f>ROUND(H279*J279,0)</f>
        <v>0</v>
      </c>
      <c r="L279" s="66">
        <f>IF(K279&gt;G279,K279-G279,0)</f>
        <v>0</v>
      </c>
      <c r="M279" s="65">
        <f>IF(G279&gt;K279,G279-K279,0)</f>
        <v>14000</v>
      </c>
      <c r="N279" s="4"/>
      <c r="O279" s="40"/>
      <c r="P279" s="8"/>
      <c r="Q279" s="8"/>
      <c r="R279" s="12"/>
      <c r="S279" s="12"/>
      <c r="T279" s="11"/>
      <c r="U279" s="11"/>
      <c r="V279" s="11"/>
      <c r="W279" s="12"/>
      <c r="X279" s="8"/>
      <c r="Y279" s="8"/>
      <c r="Z279" s="8"/>
      <c r="AA279" s="8"/>
      <c r="AB279" s="8"/>
      <c r="AC279" s="8"/>
    </row>
    <row r="280" spans="2:29">
      <c r="B280" s="7"/>
      <c r="C280" s="4"/>
      <c r="D280" s="4"/>
      <c r="E280" s="4"/>
      <c r="F280" s="4"/>
      <c r="G280" s="4"/>
      <c r="H280" s="73"/>
      <c r="I280" s="4"/>
      <c r="J280" s="4"/>
      <c r="K280" s="4"/>
      <c r="L280" s="7"/>
      <c r="M280" s="4"/>
      <c r="N280" s="4"/>
      <c r="O280" s="40"/>
      <c r="P280" s="8"/>
      <c r="Q280" s="8"/>
      <c r="R280" s="12"/>
      <c r="S280" s="12"/>
      <c r="T280" s="11"/>
      <c r="U280" s="11"/>
      <c r="V280" s="11"/>
      <c r="W280" s="12"/>
      <c r="X280" s="8"/>
      <c r="Y280" s="8"/>
      <c r="Z280" s="8"/>
      <c r="AA280" s="8"/>
      <c r="AB280" s="8"/>
      <c r="AC280" s="8"/>
    </row>
    <row r="281" spans="2:29" ht="77.5">
      <c r="B281" s="64">
        <v>104</v>
      </c>
      <c r="C281" s="1" t="s">
        <v>164</v>
      </c>
      <c r="D281" s="64">
        <v>600</v>
      </c>
      <c r="E281" s="2" t="s">
        <v>60</v>
      </c>
      <c r="F281" s="25">
        <v>177</v>
      </c>
      <c r="G281" s="65">
        <f>ROUND(D281*F281,0)</f>
        <v>106200</v>
      </c>
      <c r="H281" s="77">
        <v>600</v>
      </c>
      <c r="I281" s="64" t="str">
        <f>E281</f>
        <v>Rmt</v>
      </c>
      <c r="J281" s="65">
        <f>F281</f>
        <v>177</v>
      </c>
      <c r="K281" s="65">
        <f t="shared" ref="K281:K289" si="25">ROUND(H281*J281,0)</f>
        <v>106200</v>
      </c>
      <c r="L281" s="66">
        <f t="shared" ref="L281:L289" si="26">IF(K281&gt;G281,K281-G281,0)</f>
        <v>0</v>
      </c>
      <c r="M281" s="65">
        <f t="shared" ref="M281:M289" si="27">IF(G281&gt;K281,G281-K281,0)</f>
        <v>0</v>
      </c>
      <c r="N281" s="4"/>
      <c r="O281" s="40"/>
      <c r="P281" s="8"/>
      <c r="Q281" s="8"/>
      <c r="R281" s="12"/>
      <c r="S281" s="12"/>
      <c r="T281" s="11"/>
      <c r="U281" s="11"/>
      <c r="V281" s="11"/>
      <c r="W281" s="12"/>
      <c r="X281" s="8"/>
      <c r="Y281" s="8"/>
      <c r="Z281" s="8"/>
      <c r="AA281" s="8"/>
      <c r="AB281" s="8"/>
      <c r="AC281" s="8"/>
    </row>
    <row r="282" spans="2:29">
      <c r="B282" s="7"/>
      <c r="C282" s="72" t="s">
        <v>294</v>
      </c>
      <c r="D282" s="4"/>
      <c r="E282" s="4"/>
      <c r="F282" s="4"/>
      <c r="G282" s="4"/>
      <c r="H282" s="73">
        <v>37.1</v>
      </c>
      <c r="I282" s="4" t="s">
        <v>60</v>
      </c>
      <c r="J282" s="25">
        <v>177</v>
      </c>
      <c r="K282" s="65">
        <f t="shared" si="25"/>
        <v>6567</v>
      </c>
      <c r="L282" s="66">
        <f t="shared" si="26"/>
        <v>6567</v>
      </c>
      <c r="M282" s="65">
        <f t="shared" si="27"/>
        <v>0</v>
      </c>
      <c r="N282" s="4"/>
      <c r="O282" s="40"/>
      <c r="P282" s="8"/>
      <c r="Q282" s="8"/>
      <c r="R282" s="12"/>
      <c r="S282" s="12"/>
      <c r="T282" s="11"/>
      <c r="U282" s="11"/>
      <c r="V282" s="11"/>
      <c r="W282" s="12"/>
      <c r="X282" s="8"/>
      <c r="Y282" s="8"/>
      <c r="Z282" s="8"/>
      <c r="AA282" s="8"/>
      <c r="AB282" s="8"/>
      <c r="AC282" s="8"/>
    </row>
    <row r="283" spans="2:29" ht="62">
      <c r="B283" s="64">
        <v>105</v>
      </c>
      <c r="C283" s="1" t="s">
        <v>165</v>
      </c>
      <c r="D283" s="64">
        <v>1200</v>
      </c>
      <c r="E283" s="2" t="s">
        <v>60</v>
      </c>
      <c r="F283" s="25">
        <v>255</v>
      </c>
      <c r="G283" s="65">
        <f>ROUND(D283*F283,0)</f>
        <v>306000</v>
      </c>
      <c r="H283" s="77">
        <v>1200</v>
      </c>
      <c r="I283" s="64" t="str">
        <f>E283</f>
        <v>Rmt</v>
      </c>
      <c r="J283" s="65">
        <f>F283</f>
        <v>255</v>
      </c>
      <c r="K283" s="65">
        <f t="shared" si="25"/>
        <v>306000</v>
      </c>
      <c r="L283" s="66">
        <f t="shared" si="26"/>
        <v>0</v>
      </c>
      <c r="M283" s="65">
        <f t="shared" si="27"/>
        <v>0</v>
      </c>
      <c r="N283" s="4"/>
      <c r="O283" s="40"/>
      <c r="P283" s="8"/>
      <c r="Q283" s="8"/>
      <c r="R283" s="12"/>
      <c r="S283" s="12"/>
      <c r="T283" s="11"/>
      <c r="U283" s="11"/>
      <c r="V283" s="11"/>
      <c r="W283" s="12"/>
      <c r="X283" s="8"/>
      <c r="Y283" s="8"/>
      <c r="Z283" s="8"/>
      <c r="AA283" s="8"/>
      <c r="AB283" s="8"/>
      <c r="AC283" s="8"/>
    </row>
    <row r="284" spans="2:29">
      <c r="B284" s="7"/>
      <c r="C284" s="72" t="s">
        <v>294</v>
      </c>
      <c r="D284" s="4"/>
      <c r="E284" s="4"/>
      <c r="F284" s="4"/>
      <c r="G284" s="4"/>
      <c r="H284" s="73">
        <v>149.1</v>
      </c>
      <c r="I284" s="4" t="s">
        <v>60</v>
      </c>
      <c r="J284" s="25">
        <v>255</v>
      </c>
      <c r="K284" s="65">
        <f t="shared" si="25"/>
        <v>38021</v>
      </c>
      <c r="L284" s="66">
        <f t="shared" si="26"/>
        <v>38021</v>
      </c>
      <c r="M284" s="65">
        <f t="shared" si="27"/>
        <v>0</v>
      </c>
      <c r="N284" s="4"/>
      <c r="O284" s="40"/>
      <c r="P284" s="8"/>
      <c r="Q284" s="8"/>
      <c r="R284" s="12"/>
      <c r="S284" s="12"/>
      <c r="T284" s="11"/>
      <c r="U284" s="11"/>
      <c r="V284" s="11"/>
      <c r="W284" s="12"/>
      <c r="X284" s="8"/>
      <c r="Y284" s="8"/>
      <c r="Z284" s="8"/>
      <c r="AA284" s="8"/>
      <c r="AB284" s="8"/>
      <c r="AC284" s="8"/>
    </row>
    <row r="285" spans="2:29" ht="93">
      <c r="B285" s="64">
        <v>106</v>
      </c>
      <c r="C285" s="1" t="s">
        <v>166</v>
      </c>
      <c r="D285" s="64">
        <v>60</v>
      </c>
      <c r="E285" s="2" t="s">
        <v>60</v>
      </c>
      <c r="F285" s="25">
        <v>606</v>
      </c>
      <c r="G285" s="65">
        <f>ROUND(D285*F285,0)</f>
        <v>36360</v>
      </c>
      <c r="H285" s="77">
        <v>60</v>
      </c>
      <c r="I285" s="64" t="str">
        <f>E285</f>
        <v>Rmt</v>
      </c>
      <c r="J285" s="65">
        <f>F285</f>
        <v>606</v>
      </c>
      <c r="K285" s="65">
        <f t="shared" si="25"/>
        <v>36360</v>
      </c>
      <c r="L285" s="66">
        <f t="shared" si="26"/>
        <v>0</v>
      </c>
      <c r="M285" s="65">
        <f t="shared" si="27"/>
        <v>0</v>
      </c>
      <c r="N285" s="4"/>
      <c r="O285" s="40"/>
      <c r="P285" s="8"/>
      <c r="Q285" s="8"/>
      <c r="R285" s="12"/>
      <c r="S285" s="12">
        <f>333.3-60</f>
        <v>273.3</v>
      </c>
      <c r="T285" s="11"/>
      <c r="U285" s="11"/>
      <c r="V285" s="11"/>
      <c r="W285" s="12"/>
      <c r="X285" s="8"/>
      <c r="Y285" s="8"/>
      <c r="Z285" s="8"/>
      <c r="AA285" s="8"/>
      <c r="AB285" s="8"/>
      <c r="AC285" s="8"/>
    </row>
    <row r="286" spans="2:29">
      <c r="B286" s="7"/>
      <c r="C286" s="72" t="s">
        <v>294</v>
      </c>
      <c r="D286" s="4"/>
      <c r="E286" s="4"/>
      <c r="F286" s="4"/>
      <c r="G286" s="4"/>
      <c r="H286" s="73">
        <v>273.3</v>
      </c>
      <c r="I286" s="4" t="s">
        <v>60</v>
      </c>
      <c r="J286" s="25">
        <v>606</v>
      </c>
      <c r="K286" s="65">
        <f t="shared" si="25"/>
        <v>165620</v>
      </c>
      <c r="L286" s="66">
        <f t="shared" si="26"/>
        <v>165620</v>
      </c>
      <c r="M286" s="65">
        <f t="shared" si="27"/>
        <v>0</v>
      </c>
      <c r="N286" s="4"/>
      <c r="O286" s="40"/>
      <c r="P286" s="8"/>
      <c r="Q286" s="8"/>
      <c r="R286" s="12"/>
      <c r="S286" s="12"/>
      <c r="T286" s="11"/>
      <c r="U286" s="11"/>
      <c r="V286" s="11"/>
      <c r="W286" s="12"/>
      <c r="X286" s="8"/>
      <c r="Y286" s="8"/>
      <c r="Z286" s="8"/>
      <c r="AA286" s="8"/>
      <c r="AB286" s="8"/>
      <c r="AC286" s="8"/>
    </row>
    <row r="287" spans="2:29" ht="77.5">
      <c r="B287" s="64">
        <v>107</v>
      </c>
      <c r="C287" s="1" t="s">
        <v>167</v>
      </c>
      <c r="D287" s="64">
        <v>40</v>
      </c>
      <c r="E287" s="2" t="s">
        <v>60</v>
      </c>
      <c r="F287" s="25">
        <v>967</v>
      </c>
      <c r="G287" s="65">
        <f>ROUND(D287*F287,0)</f>
        <v>38680</v>
      </c>
      <c r="H287" s="77">
        <v>40</v>
      </c>
      <c r="I287" s="64" t="str">
        <f>E287</f>
        <v>Rmt</v>
      </c>
      <c r="J287" s="65">
        <f>F287</f>
        <v>967</v>
      </c>
      <c r="K287" s="65">
        <f t="shared" si="25"/>
        <v>38680</v>
      </c>
      <c r="L287" s="66">
        <f t="shared" si="26"/>
        <v>0</v>
      </c>
      <c r="M287" s="65">
        <f t="shared" si="27"/>
        <v>0</v>
      </c>
      <c r="N287" s="4"/>
      <c r="O287" s="40"/>
      <c r="P287" s="8"/>
      <c r="Q287" s="8"/>
      <c r="R287" s="12"/>
      <c r="S287" s="12"/>
      <c r="T287" s="11"/>
      <c r="U287" s="11"/>
      <c r="V287" s="11"/>
      <c r="W287" s="12"/>
      <c r="X287" s="8"/>
      <c r="Y287" s="8"/>
      <c r="Z287" s="8"/>
      <c r="AA287" s="8"/>
      <c r="AB287" s="8"/>
      <c r="AC287" s="8"/>
    </row>
    <row r="288" spans="2:29">
      <c r="B288" s="7"/>
      <c r="C288" s="72" t="s">
        <v>294</v>
      </c>
      <c r="D288" s="4"/>
      <c r="E288" s="4"/>
      <c r="F288" s="4"/>
      <c r="G288" s="4"/>
      <c r="H288" s="73">
        <v>105.1</v>
      </c>
      <c r="I288" s="4" t="s">
        <v>60</v>
      </c>
      <c r="J288" s="25">
        <v>967</v>
      </c>
      <c r="K288" s="65">
        <f t="shared" si="25"/>
        <v>101632</v>
      </c>
      <c r="L288" s="66">
        <f t="shared" si="26"/>
        <v>101632</v>
      </c>
      <c r="M288" s="65">
        <f t="shared" si="27"/>
        <v>0</v>
      </c>
      <c r="N288" s="4"/>
      <c r="O288" s="40"/>
      <c r="P288" s="8"/>
      <c r="Q288" s="8"/>
      <c r="R288" s="12"/>
      <c r="S288" s="12"/>
      <c r="T288" s="11"/>
      <c r="U288" s="11"/>
      <c r="V288" s="11"/>
      <c r="W288" s="12"/>
      <c r="X288" s="8"/>
      <c r="Y288" s="8"/>
      <c r="Z288" s="8"/>
      <c r="AA288" s="8"/>
      <c r="AB288" s="8"/>
      <c r="AC288" s="8"/>
    </row>
    <row r="289" spans="2:29" ht="62">
      <c r="B289" s="64">
        <v>108</v>
      </c>
      <c r="C289" s="1" t="s">
        <v>168</v>
      </c>
      <c r="D289" s="64">
        <v>5</v>
      </c>
      <c r="E289" s="2" t="s">
        <v>66</v>
      </c>
      <c r="F289" s="25">
        <v>2562</v>
      </c>
      <c r="G289" s="65">
        <f>ROUND(D289*F289,0)</f>
        <v>12810</v>
      </c>
      <c r="H289" s="77">
        <v>1</v>
      </c>
      <c r="I289" s="64" t="str">
        <f>E289</f>
        <v>No</v>
      </c>
      <c r="J289" s="65">
        <f>F289</f>
        <v>2562</v>
      </c>
      <c r="K289" s="65">
        <f t="shared" si="25"/>
        <v>2562</v>
      </c>
      <c r="L289" s="66">
        <f t="shared" si="26"/>
        <v>0</v>
      </c>
      <c r="M289" s="65">
        <f t="shared" si="27"/>
        <v>10248</v>
      </c>
      <c r="N289" s="4"/>
      <c r="O289" s="40"/>
      <c r="P289" s="8"/>
      <c r="Q289" s="8"/>
      <c r="R289" s="12"/>
      <c r="S289" s="12"/>
      <c r="T289" s="11"/>
      <c r="U289" s="11"/>
      <c r="V289" s="11"/>
      <c r="W289" s="12"/>
      <c r="X289" s="8"/>
      <c r="Y289" s="8"/>
      <c r="Z289" s="8"/>
      <c r="AA289" s="8"/>
      <c r="AB289" s="8"/>
      <c r="AC289" s="8"/>
    </row>
    <row r="290" spans="2:29">
      <c r="B290" s="7"/>
      <c r="C290" s="4"/>
      <c r="D290" s="4"/>
      <c r="E290" s="4"/>
      <c r="F290" s="4"/>
      <c r="G290" s="4"/>
      <c r="H290" s="73"/>
      <c r="I290" s="4"/>
      <c r="J290" s="4"/>
      <c r="K290" s="4"/>
      <c r="L290" s="7"/>
      <c r="M290" s="4"/>
      <c r="N290" s="4"/>
      <c r="O290" s="40"/>
      <c r="P290" s="8"/>
      <c r="Q290" s="8"/>
      <c r="R290" s="12"/>
      <c r="S290" s="12"/>
      <c r="T290" s="11"/>
      <c r="U290" s="11"/>
      <c r="V290" s="11"/>
      <c r="W290" s="12"/>
      <c r="X290" s="8"/>
      <c r="Y290" s="8"/>
      <c r="Z290" s="8"/>
      <c r="AA290" s="8"/>
      <c r="AB290" s="8"/>
      <c r="AC290" s="8"/>
    </row>
    <row r="291" spans="2:29" ht="108.5">
      <c r="B291" s="64">
        <v>109</v>
      </c>
      <c r="C291" s="4" t="s">
        <v>169</v>
      </c>
      <c r="D291" s="64">
        <v>3</v>
      </c>
      <c r="E291" s="2" t="s">
        <v>66</v>
      </c>
      <c r="F291" s="25">
        <v>18325</v>
      </c>
      <c r="G291" s="65">
        <f>ROUND(D291*F291,0)</f>
        <v>54975</v>
      </c>
      <c r="H291" s="77">
        <v>3</v>
      </c>
      <c r="I291" s="64" t="str">
        <f>E291</f>
        <v>No</v>
      </c>
      <c r="J291" s="65">
        <f>F291</f>
        <v>18325</v>
      </c>
      <c r="K291" s="65">
        <f>ROUND(H291*J291,0)</f>
        <v>54975</v>
      </c>
      <c r="L291" s="66">
        <f>IF(K291&gt;G291,K291-G291,0)</f>
        <v>0</v>
      </c>
      <c r="M291" s="65">
        <f>IF(G291&gt;K291,G291-K291,0)</f>
        <v>0</v>
      </c>
      <c r="N291" s="4"/>
      <c r="O291" s="40"/>
      <c r="P291" s="8"/>
      <c r="Q291" s="8"/>
      <c r="R291" s="12"/>
      <c r="S291" s="12"/>
      <c r="T291" s="11"/>
      <c r="U291" s="11"/>
      <c r="V291" s="11"/>
      <c r="W291" s="12"/>
      <c r="X291" s="8"/>
      <c r="Y291" s="8"/>
      <c r="Z291" s="8"/>
      <c r="AA291" s="8"/>
      <c r="AB291" s="8"/>
      <c r="AC291" s="8"/>
    </row>
    <row r="292" spans="2:29">
      <c r="B292" s="7"/>
      <c r="C292" s="72" t="s">
        <v>294</v>
      </c>
      <c r="D292" s="4"/>
      <c r="E292" s="4"/>
      <c r="F292" s="4"/>
      <c r="G292" s="4"/>
      <c r="H292" s="73">
        <v>5</v>
      </c>
      <c r="I292" s="4" t="s">
        <v>66</v>
      </c>
      <c r="J292" s="25">
        <v>18325</v>
      </c>
      <c r="K292" s="65">
        <f>ROUND(H292*J292,0)</f>
        <v>91625</v>
      </c>
      <c r="L292" s="66">
        <f>IF(K292&gt;G292,K292-G292,0)</f>
        <v>91625</v>
      </c>
      <c r="M292" s="65">
        <f>IF(G292&gt;K292,G292-K292,0)</f>
        <v>0</v>
      </c>
      <c r="N292" s="4"/>
      <c r="O292" s="40"/>
      <c r="P292" s="8"/>
      <c r="Q292" s="8"/>
      <c r="R292" s="8"/>
      <c r="S292" s="8"/>
      <c r="W292" s="8"/>
      <c r="X292" s="8"/>
      <c r="Y292" s="8"/>
      <c r="Z292" s="8"/>
      <c r="AA292" s="8"/>
      <c r="AB292" s="8"/>
      <c r="AC292" s="8"/>
    </row>
    <row r="293" spans="2:29" ht="93">
      <c r="B293" s="64">
        <v>110</v>
      </c>
      <c r="C293" s="1" t="s">
        <v>170</v>
      </c>
      <c r="D293" s="64">
        <v>2</v>
      </c>
      <c r="E293" s="2" t="s">
        <v>66</v>
      </c>
      <c r="F293" s="25">
        <v>28460</v>
      </c>
      <c r="G293" s="65">
        <f>ROUND(D293*F293,0)</f>
        <v>56920</v>
      </c>
      <c r="H293" s="77">
        <v>0</v>
      </c>
      <c r="I293" s="64" t="str">
        <f>E293</f>
        <v>No</v>
      </c>
      <c r="J293" s="65">
        <f>F293</f>
        <v>28460</v>
      </c>
      <c r="K293" s="65">
        <f>ROUND(H293*J293,0)</f>
        <v>0</v>
      </c>
      <c r="L293" s="66">
        <f>IF(K293&gt;G293,K293-G293,0)</f>
        <v>0</v>
      </c>
      <c r="M293" s="65">
        <f>IF(G293&gt;K293,G293-K293,0)</f>
        <v>56920</v>
      </c>
      <c r="N293" s="4"/>
    </row>
    <row r="294" spans="2:29">
      <c r="B294" s="7"/>
      <c r="C294" s="4"/>
      <c r="D294" s="4"/>
      <c r="E294" s="4"/>
      <c r="F294" s="4"/>
      <c r="G294" s="4"/>
      <c r="H294" s="73"/>
      <c r="I294" s="4"/>
      <c r="J294" s="4"/>
      <c r="K294" s="4"/>
      <c r="L294" s="7"/>
      <c r="M294" s="4"/>
      <c r="N294" s="4"/>
    </row>
    <row r="295" spans="2:29" ht="93">
      <c r="B295" s="64">
        <v>111</v>
      </c>
      <c r="C295" s="1" t="s">
        <v>171</v>
      </c>
      <c r="D295" s="64">
        <v>1</v>
      </c>
      <c r="E295" s="2" t="s">
        <v>66</v>
      </c>
      <c r="F295" s="25">
        <v>64067</v>
      </c>
      <c r="G295" s="65">
        <f>ROUND(D295*F295,0)</f>
        <v>64067</v>
      </c>
      <c r="H295" s="77">
        <v>1</v>
      </c>
      <c r="I295" s="64" t="str">
        <f>E295</f>
        <v>No</v>
      </c>
      <c r="J295" s="65">
        <f>F295</f>
        <v>64067</v>
      </c>
      <c r="K295" s="65">
        <f>ROUND(H295*J295,0)</f>
        <v>64067</v>
      </c>
      <c r="L295" s="66">
        <f>IF(K295&gt;G295,K295-G295,0)</f>
        <v>0</v>
      </c>
      <c r="M295" s="65">
        <f>IF(G295&gt;K295,G295-K295,0)</f>
        <v>0</v>
      </c>
      <c r="N295" s="4"/>
    </row>
    <row r="296" spans="2:29">
      <c r="B296" s="7"/>
      <c r="C296" s="4"/>
      <c r="D296" s="4"/>
      <c r="E296" s="4"/>
      <c r="F296" s="4"/>
      <c r="G296" s="4"/>
      <c r="H296" s="73"/>
      <c r="I296" s="4"/>
      <c r="J296" s="4"/>
      <c r="K296" s="4"/>
      <c r="L296" s="7"/>
      <c r="M296" s="4"/>
      <c r="N296" s="4"/>
    </row>
    <row r="297" spans="2:29" ht="108.5">
      <c r="B297" s="64">
        <v>112</v>
      </c>
      <c r="C297" s="1" t="s">
        <v>172</v>
      </c>
      <c r="D297" s="64">
        <v>1</v>
      </c>
      <c r="E297" s="2" t="s">
        <v>66</v>
      </c>
      <c r="F297" s="25">
        <v>28883</v>
      </c>
      <c r="G297" s="65">
        <f>ROUND(D297*F297,0)</f>
        <v>28883</v>
      </c>
      <c r="H297" s="77">
        <v>1</v>
      </c>
      <c r="I297" s="64" t="str">
        <f>E297</f>
        <v>No</v>
      </c>
      <c r="J297" s="65">
        <f>F297</f>
        <v>28883</v>
      </c>
      <c r="K297" s="65">
        <f>ROUND(H297*J297,0)</f>
        <v>28883</v>
      </c>
      <c r="L297" s="66">
        <f>IF(K297&gt;G297,K297-G297,0)</f>
        <v>0</v>
      </c>
      <c r="M297" s="65">
        <f>IF(G297&gt;K297,G297-K297,0)</f>
        <v>0</v>
      </c>
      <c r="N297" s="4"/>
    </row>
    <row r="298" spans="2:29">
      <c r="B298" s="7"/>
      <c r="C298" s="4"/>
      <c r="D298" s="4"/>
      <c r="E298" s="4"/>
      <c r="F298" s="4"/>
      <c r="G298" s="4"/>
      <c r="H298" s="73"/>
      <c r="I298" s="4"/>
      <c r="J298" s="4"/>
      <c r="K298" s="4"/>
      <c r="L298" s="7"/>
      <c r="M298" s="4"/>
      <c r="N298" s="4"/>
    </row>
    <row r="299" spans="2:29" ht="46.5">
      <c r="B299" s="64">
        <v>113</v>
      </c>
      <c r="C299" s="1" t="s">
        <v>173</v>
      </c>
      <c r="D299" s="64">
        <v>2</v>
      </c>
      <c r="E299" s="2" t="s">
        <v>66</v>
      </c>
      <c r="F299" s="25">
        <v>3260</v>
      </c>
      <c r="G299" s="65">
        <f>ROUND(D299*F299,0)</f>
        <v>6520</v>
      </c>
      <c r="H299" s="77">
        <v>0</v>
      </c>
      <c r="I299" s="64" t="str">
        <f>E299</f>
        <v>No</v>
      </c>
      <c r="J299" s="65">
        <f>F299</f>
        <v>3260</v>
      </c>
      <c r="K299" s="65">
        <f>ROUND(H299*J299,0)</f>
        <v>0</v>
      </c>
      <c r="L299" s="66">
        <f>IF(K299&gt;G299,K299-G299,0)</f>
        <v>0</v>
      </c>
      <c r="M299" s="65">
        <f>IF(G299&gt;K299,G299-K299,0)</f>
        <v>6520</v>
      </c>
      <c r="N299" s="4"/>
    </row>
    <row r="300" spans="2:29">
      <c r="B300" s="7"/>
      <c r="C300" s="4"/>
      <c r="D300" s="4"/>
      <c r="E300" s="4"/>
      <c r="F300" s="4"/>
      <c r="G300" s="4"/>
      <c r="H300" s="73"/>
      <c r="I300" s="4"/>
      <c r="J300" s="4"/>
      <c r="K300" s="4"/>
      <c r="L300" s="7"/>
      <c r="M300" s="4"/>
      <c r="N300" s="4"/>
    </row>
    <row r="301" spans="2:29" ht="139.5">
      <c r="B301" s="64">
        <v>114</v>
      </c>
      <c r="C301" s="1" t="s">
        <v>174</v>
      </c>
      <c r="D301" s="64">
        <v>50</v>
      </c>
      <c r="E301" s="2" t="s">
        <v>66</v>
      </c>
      <c r="F301" s="25">
        <v>2652</v>
      </c>
      <c r="G301" s="65">
        <f>ROUND(D301*F301,0)</f>
        <v>132600</v>
      </c>
      <c r="H301" s="77">
        <v>44</v>
      </c>
      <c r="I301" s="64" t="str">
        <f>E301</f>
        <v>No</v>
      </c>
      <c r="J301" s="65">
        <f>F301</f>
        <v>2652</v>
      </c>
      <c r="K301" s="65">
        <f>ROUND(H301*J301,0)</f>
        <v>116688</v>
      </c>
      <c r="L301" s="66">
        <f>IF(K301&gt;G301,K301-G301,0)</f>
        <v>0</v>
      </c>
      <c r="M301" s="65">
        <f>IF(G301&gt;K301,G301-K301,0)</f>
        <v>15912</v>
      </c>
      <c r="N301" s="4"/>
    </row>
    <row r="302" spans="2:29">
      <c r="B302" s="7"/>
      <c r="C302" s="4"/>
      <c r="D302" s="4"/>
      <c r="E302" s="4"/>
      <c r="F302" s="4"/>
      <c r="G302" s="4"/>
      <c r="H302" s="73"/>
      <c r="I302" s="4"/>
      <c r="J302" s="4"/>
      <c r="K302" s="4"/>
      <c r="L302" s="7"/>
      <c r="M302" s="4"/>
      <c r="N302" s="4"/>
    </row>
    <row r="303" spans="2:29" ht="139.5">
      <c r="B303" s="64">
        <v>115</v>
      </c>
      <c r="C303" s="1" t="s">
        <v>175</v>
      </c>
      <c r="D303" s="64">
        <v>30</v>
      </c>
      <c r="E303" s="2" t="s">
        <v>66</v>
      </c>
      <c r="F303" s="25">
        <v>4350</v>
      </c>
      <c r="G303" s="65">
        <f>ROUND(D303*F303,0)</f>
        <v>130500</v>
      </c>
      <c r="H303" s="77">
        <v>30</v>
      </c>
      <c r="I303" s="64" t="str">
        <f>E303</f>
        <v>No</v>
      </c>
      <c r="J303" s="65">
        <f>F303</f>
        <v>4350</v>
      </c>
      <c r="K303" s="65">
        <f>ROUND(H303*J303,0)</f>
        <v>130500</v>
      </c>
      <c r="L303" s="66">
        <f>IF(K303&gt;G303,K303-G303,0)</f>
        <v>0</v>
      </c>
      <c r="M303" s="65">
        <f>IF(G303&gt;K303,G303-K303,0)</f>
        <v>0</v>
      </c>
      <c r="N303" s="4"/>
    </row>
    <row r="304" spans="2:29">
      <c r="B304" s="7"/>
      <c r="C304" s="72" t="s">
        <v>294</v>
      </c>
      <c r="D304" s="4"/>
      <c r="E304" s="4"/>
      <c r="F304" s="4"/>
      <c r="G304" s="4"/>
      <c r="H304" s="73">
        <v>10</v>
      </c>
      <c r="I304" s="4" t="s">
        <v>66</v>
      </c>
      <c r="J304" s="25">
        <v>4350</v>
      </c>
      <c r="K304" s="65">
        <f>ROUND(H304*J304,0)</f>
        <v>43500</v>
      </c>
      <c r="L304" s="66">
        <f>IF(K304&gt;G304,K304-G304,0)</f>
        <v>43500</v>
      </c>
      <c r="M304" s="65">
        <f>IF(G304&gt;K304,G304-K304,0)</f>
        <v>0</v>
      </c>
      <c r="N304" s="4"/>
    </row>
    <row r="305" spans="2:14" ht="139.5">
      <c r="B305" s="64">
        <v>116</v>
      </c>
      <c r="C305" s="1" t="s">
        <v>176</v>
      </c>
      <c r="D305" s="64">
        <v>12</v>
      </c>
      <c r="E305" s="2" t="s">
        <v>66</v>
      </c>
      <c r="F305" s="25">
        <v>4762</v>
      </c>
      <c r="G305" s="65">
        <f>ROUND(D305*F305,0)</f>
        <v>57144</v>
      </c>
      <c r="H305" s="77">
        <v>0</v>
      </c>
      <c r="I305" s="64" t="str">
        <f>E305</f>
        <v>No</v>
      </c>
      <c r="J305" s="65">
        <f>F305</f>
        <v>4762</v>
      </c>
      <c r="K305" s="65">
        <f>ROUND(H305*J305,0)</f>
        <v>0</v>
      </c>
      <c r="L305" s="66">
        <f>IF(K305&gt;G305,K305-G305,0)</f>
        <v>0</v>
      </c>
      <c r="M305" s="65">
        <f>IF(G305&gt;K305,G305-K305,0)</f>
        <v>57144</v>
      </c>
      <c r="N305" s="4"/>
    </row>
    <row r="306" spans="2:14">
      <c r="B306" s="7"/>
      <c r="C306" s="4"/>
      <c r="D306" s="4"/>
      <c r="E306" s="4"/>
      <c r="F306" s="4"/>
      <c r="G306" s="4"/>
      <c r="H306" s="73"/>
      <c r="I306" s="4"/>
      <c r="J306" s="4"/>
      <c r="K306" s="4"/>
      <c r="L306" s="7"/>
      <c r="M306" s="4"/>
      <c r="N306" s="4"/>
    </row>
    <row r="307" spans="2:14" ht="93">
      <c r="B307" s="64">
        <v>117</v>
      </c>
      <c r="C307" s="4" t="s">
        <v>177</v>
      </c>
      <c r="D307" s="64">
        <v>5</v>
      </c>
      <c r="E307" s="2" t="s">
        <v>66</v>
      </c>
      <c r="F307" s="25">
        <v>184</v>
      </c>
      <c r="G307" s="65">
        <f>ROUND(D307*F307,0)</f>
        <v>920</v>
      </c>
      <c r="H307" s="77">
        <v>0</v>
      </c>
      <c r="I307" s="64" t="str">
        <f>E307</f>
        <v>No</v>
      </c>
      <c r="J307" s="65">
        <f>F307</f>
        <v>184</v>
      </c>
      <c r="K307" s="65">
        <f>ROUND(H307*J307,0)</f>
        <v>0</v>
      </c>
      <c r="L307" s="66">
        <f>IF(K307&gt;G307,K307-G307,0)</f>
        <v>0</v>
      </c>
      <c r="M307" s="65">
        <f>IF(G307&gt;K307,G307-K307,0)</f>
        <v>920</v>
      </c>
      <c r="N307" s="4"/>
    </row>
    <row r="308" spans="2:14">
      <c r="B308" s="7"/>
      <c r="C308" s="4"/>
      <c r="D308" s="4"/>
      <c r="E308" s="4"/>
      <c r="F308" s="4"/>
      <c r="G308" s="4"/>
      <c r="H308" s="73"/>
      <c r="I308" s="4"/>
      <c r="J308" s="4"/>
      <c r="K308" s="4"/>
      <c r="L308" s="7"/>
      <c r="M308" s="4"/>
      <c r="N308" s="4"/>
    </row>
    <row r="309" spans="2:14" ht="201.5">
      <c r="B309" s="64">
        <v>118</v>
      </c>
      <c r="C309" s="1" t="s">
        <v>178</v>
      </c>
      <c r="D309" s="64">
        <v>12</v>
      </c>
      <c r="E309" s="2" t="s">
        <v>66</v>
      </c>
      <c r="F309" s="25">
        <v>4090</v>
      </c>
      <c r="G309" s="65">
        <f>ROUND(D309*F309,0)</f>
        <v>49080</v>
      </c>
      <c r="H309" s="77">
        <v>0</v>
      </c>
      <c r="I309" s="64" t="str">
        <f>E309</f>
        <v>No</v>
      </c>
      <c r="J309" s="65">
        <f>F309</f>
        <v>4090</v>
      </c>
      <c r="K309" s="65">
        <f>ROUND(H309*J309,0)</f>
        <v>0</v>
      </c>
      <c r="L309" s="66">
        <f>IF(K309&gt;G309,K309-G309,0)</f>
        <v>0</v>
      </c>
      <c r="M309" s="65">
        <f>IF(G309&gt;K309,G309-K309,0)</f>
        <v>49080</v>
      </c>
      <c r="N309" s="4"/>
    </row>
    <row r="310" spans="2:14">
      <c r="B310" s="7"/>
      <c r="C310" s="4"/>
      <c r="D310" s="4"/>
      <c r="E310" s="4"/>
      <c r="F310" s="4"/>
      <c r="G310" s="4"/>
      <c r="H310" s="73"/>
      <c r="I310" s="4"/>
      <c r="J310" s="4"/>
      <c r="K310" s="4"/>
      <c r="L310" s="7"/>
      <c r="M310" s="4"/>
      <c r="N310" s="4"/>
    </row>
    <row r="311" spans="2:14" ht="77.5">
      <c r="B311" s="64">
        <v>119</v>
      </c>
      <c r="C311" s="1" t="s">
        <v>179</v>
      </c>
      <c r="D311" s="64">
        <v>12</v>
      </c>
      <c r="E311" s="2" t="s">
        <v>66</v>
      </c>
      <c r="F311" s="25">
        <v>827</v>
      </c>
      <c r="G311" s="65">
        <f>ROUND(D311*F311,0)</f>
        <v>9924</v>
      </c>
      <c r="H311" s="77">
        <v>12</v>
      </c>
      <c r="I311" s="64" t="str">
        <f>E311</f>
        <v>No</v>
      </c>
      <c r="J311" s="65">
        <f>F311</f>
        <v>827</v>
      </c>
      <c r="K311" s="65">
        <f>ROUND(H311*J311,0)</f>
        <v>9924</v>
      </c>
      <c r="L311" s="66">
        <f>IF(K311&gt;G311,K311-G311,0)</f>
        <v>0</v>
      </c>
      <c r="M311" s="65">
        <f>IF(G311&gt;K311,G311-K311,0)</f>
        <v>0</v>
      </c>
      <c r="N311" s="4"/>
    </row>
    <row r="312" spans="2:14">
      <c r="B312" s="7"/>
      <c r="C312" s="72" t="s">
        <v>294</v>
      </c>
      <c r="D312" s="4"/>
      <c r="E312" s="4"/>
      <c r="F312" s="4"/>
      <c r="G312" s="4"/>
      <c r="H312" s="73">
        <v>2</v>
      </c>
      <c r="I312" s="4" t="s">
        <v>66</v>
      </c>
      <c r="J312" s="25">
        <v>827</v>
      </c>
      <c r="K312" s="65">
        <f>ROUND(H312*J312,0)</f>
        <v>1654</v>
      </c>
      <c r="L312" s="66">
        <f>IF(K312&gt;G312,K312-G312,0)</f>
        <v>1654</v>
      </c>
      <c r="M312" s="65">
        <f>IF(G312&gt;K312,G312-K312,0)</f>
        <v>0</v>
      </c>
      <c r="N312" s="4"/>
    </row>
    <row r="313" spans="2:14" ht="46.5">
      <c r="B313" s="64">
        <v>120</v>
      </c>
      <c r="C313" s="1" t="s">
        <v>180</v>
      </c>
      <c r="D313" s="64">
        <v>5</v>
      </c>
      <c r="E313" s="2" t="s">
        <v>66</v>
      </c>
      <c r="F313" s="25">
        <v>2203</v>
      </c>
      <c r="G313" s="65">
        <f>ROUND(D313*F313,0)</f>
        <v>11015</v>
      </c>
      <c r="H313" s="77">
        <v>4</v>
      </c>
      <c r="I313" s="64" t="str">
        <f>E313</f>
        <v>No</v>
      </c>
      <c r="J313" s="65">
        <f>F313</f>
        <v>2203</v>
      </c>
      <c r="K313" s="65">
        <f>ROUND(H313*J313,0)</f>
        <v>8812</v>
      </c>
      <c r="L313" s="66">
        <f>IF(K313&gt;G313,K313-G313,0)</f>
        <v>0</v>
      </c>
      <c r="M313" s="65">
        <f>IF(G313&gt;K313,G313-K313,0)</f>
        <v>2203</v>
      </c>
      <c r="N313" s="4"/>
    </row>
    <row r="314" spans="2:14">
      <c r="B314" s="7"/>
      <c r="C314" s="4"/>
      <c r="D314" s="4"/>
      <c r="E314" s="4"/>
      <c r="F314" s="4"/>
      <c r="G314" s="4"/>
      <c r="H314" s="73"/>
      <c r="I314" s="4"/>
      <c r="J314" s="4"/>
      <c r="K314" s="4"/>
      <c r="L314" s="7"/>
      <c r="M314" s="4"/>
      <c r="N314" s="4"/>
    </row>
    <row r="315" spans="2:14" ht="77.5">
      <c r="B315" s="64">
        <v>121</v>
      </c>
      <c r="C315" s="1" t="s">
        <v>181</v>
      </c>
      <c r="D315" s="64">
        <v>70</v>
      </c>
      <c r="E315" s="2" t="s">
        <v>60</v>
      </c>
      <c r="F315" s="25">
        <v>429</v>
      </c>
      <c r="G315" s="65">
        <f>ROUND(D315*F315,0)</f>
        <v>30030</v>
      </c>
      <c r="H315" s="77">
        <v>36.200000000000003</v>
      </c>
      <c r="I315" s="64" t="str">
        <f>E315</f>
        <v>Rmt</v>
      </c>
      <c r="J315" s="65">
        <f>F315</f>
        <v>429</v>
      </c>
      <c r="K315" s="65">
        <f>ROUND(H315*J315,0)</f>
        <v>15530</v>
      </c>
      <c r="L315" s="66">
        <f>IF(K315&gt;G315,K315-G315,0)</f>
        <v>0</v>
      </c>
      <c r="M315" s="65">
        <f>IF(G315&gt;K315,G315-K315,0)</f>
        <v>14500</v>
      </c>
      <c r="N315" s="4"/>
    </row>
    <row r="316" spans="2:14">
      <c r="B316" s="7"/>
      <c r="C316" s="4"/>
      <c r="D316" s="4"/>
      <c r="E316" s="4"/>
      <c r="F316" s="4"/>
      <c r="G316" s="4"/>
      <c r="H316" s="73"/>
      <c r="I316" s="4"/>
      <c r="J316" s="4"/>
      <c r="K316" s="4"/>
      <c r="L316" s="7"/>
      <c r="M316" s="4"/>
      <c r="N316" s="4"/>
    </row>
    <row r="317" spans="2:14" ht="93">
      <c r="B317" s="64">
        <v>122</v>
      </c>
      <c r="C317" s="4" t="s">
        <v>182</v>
      </c>
      <c r="D317" s="64">
        <v>80</v>
      </c>
      <c r="E317" s="2" t="s">
        <v>60</v>
      </c>
      <c r="F317" s="25">
        <v>1310</v>
      </c>
      <c r="G317" s="65">
        <f>ROUND(D317*F317,0)</f>
        <v>104800</v>
      </c>
      <c r="H317" s="77">
        <v>80</v>
      </c>
      <c r="I317" s="64" t="str">
        <f>E317</f>
        <v>Rmt</v>
      </c>
      <c r="J317" s="65">
        <f>F317</f>
        <v>1310</v>
      </c>
      <c r="K317" s="65">
        <f>ROUND(H317*J317,0)</f>
        <v>104800</v>
      </c>
      <c r="L317" s="66">
        <f>IF(K317&gt;G317,K317-G317,0)</f>
        <v>0</v>
      </c>
      <c r="M317" s="65">
        <f>IF(G317&gt;K317,G317-K317,0)</f>
        <v>0</v>
      </c>
      <c r="N317" s="4"/>
    </row>
    <row r="318" spans="2:14">
      <c r="B318" s="7"/>
      <c r="C318" s="72" t="s">
        <v>294</v>
      </c>
      <c r="D318" s="4"/>
      <c r="E318" s="4"/>
      <c r="F318" s="4"/>
      <c r="G318" s="4"/>
      <c r="H318" s="73">
        <v>5.4</v>
      </c>
      <c r="I318" s="4" t="s">
        <v>60</v>
      </c>
      <c r="J318" s="25">
        <v>1310</v>
      </c>
      <c r="K318" s="65">
        <f>ROUND(H318*J318,0)</f>
        <v>7074</v>
      </c>
      <c r="L318" s="66">
        <f>IF(K318&gt;G318,K318-G318,0)</f>
        <v>7074</v>
      </c>
      <c r="M318" s="65">
        <f>IF(G318&gt;K318,G318-K318,0)</f>
        <v>0</v>
      </c>
      <c r="N318" s="4"/>
    </row>
    <row r="319" spans="2:14" ht="108.5">
      <c r="B319" s="64">
        <v>123</v>
      </c>
      <c r="C319" s="1" t="s">
        <v>183</v>
      </c>
      <c r="D319" s="64">
        <v>1</v>
      </c>
      <c r="E319" s="2" t="s">
        <v>66</v>
      </c>
      <c r="F319" s="25">
        <v>305000</v>
      </c>
      <c r="G319" s="65">
        <f>ROUND(D319*F319,0)</f>
        <v>305000</v>
      </c>
      <c r="H319" s="77">
        <v>0</v>
      </c>
      <c r="I319" s="64" t="str">
        <f>E319</f>
        <v>No</v>
      </c>
      <c r="J319" s="65">
        <f>F319</f>
        <v>305000</v>
      </c>
      <c r="K319" s="65">
        <f>ROUND(H319*J319,0)</f>
        <v>0</v>
      </c>
      <c r="L319" s="66">
        <f>IF(K319&gt;G319,K319-G319,0)</f>
        <v>0</v>
      </c>
      <c r="M319" s="65">
        <f>IF(G319&gt;K319,G319-K319,0)</f>
        <v>305000</v>
      </c>
      <c r="N319" s="4"/>
    </row>
    <row r="320" spans="2:14">
      <c r="B320" s="7"/>
      <c r="C320" s="4"/>
      <c r="D320" s="4"/>
      <c r="E320" s="4"/>
      <c r="F320" s="4"/>
      <c r="G320" s="4"/>
      <c r="H320" s="73"/>
      <c r="I320" s="4"/>
      <c r="J320" s="4"/>
      <c r="K320" s="4"/>
      <c r="L320" s="7"/>
      <c r="M320" s="4"/>
      <c r="N320" s="4"/>
    </row>
    <row r="321" spans="2:17" ht="31">
      <c r="B321" s="64">
        <v>124</v>
      </c>
      <c r="C321" s="1" t="s">
        <v>184</v>
      </c>
      <c r="D321" s="64">
        <v>20</v>
      </c>
      <c r="E321" s="2" t="s">
        <v>66</v>
      </c>
      <c r="F321" s="25">
        <v>20584</v>
      </c>
      <c r="G321" s="65">
        <f>ROUND(D321*F321,0)</f>
        <v>411680</v>
      </c>
      <c r="H321" s="77">
        <v>20</v>
      </c>
      <c r="I321" s="64" t="str">
        <f>E321</f>
        <v>No</v>
      </c>
      <c r="J321" s="65">
        <f>F321</f>
        <v>20584</v>
      </c>
      <c r="K321" s="65">
        <f>ROUND(H321*J321,0)</f>
        <v>411680</v>
      </c>
      <c r="L321" s="66">
        <f>IF(K321&gt;G321,K321-G321,0)</f>
        <v>0</v>
      </c>
      <c r="M321" s="65">
        <f>IF(G321&gt;K321,G321-K321,0)</f>
        <v>0</v>
      </c>
      <c r="N321" s="4"/>
    </row>
    <row r="322" spans="2:17">
      <c r="B322" s="7"/>
      <c r="C322" s="72" t="s">
        <v>294</v>
      </c>
      <c r="D322" s="4"/>
      <c r="E322" s="4"/>
      <c r="F322" s="4"/>
      <c r="G322" s="4"/>
      <c r="H322" s="73">
        <v>12</v>
      </c>
      <c r="I322" s="4" t="s">
        <v>66</v>
      </c>
      <c r="J322" s="25">
        <v>20584</v>
      </c>
      <c r="K322" s="65">
        <f>ROUND(H322*J322,0)</f>
        <v>247008</v>
      </c>
      <c r="L322" s="66">
        <f>IF(K322&gt;G322,K322-G322,0)</f>
        <v>247008</v>
      </c>
      <c r="M322" s="65">
        <f>IF(G322&gt;K322,G322-K322,0)</f>
        <v>0</v>
      </c>
      <c r="N322" s="4"/>
    </row>
    <row r="323" spans="2:17" ht="31">
      <c r="B323" s="64">
        <v>125</v>
      </c>
      <c r="C323" s="1" t="s">
        <v>185</v>
      </c>
      <c r="D323" s="64">
        <v>1</v>
      </c>
      <c r="E323" s="2" t="s">
        <v>66</v>
      </c>
      <c r="F323" s="25">
        <v>6764</v>
      </c>
      <c r="G323" s="65">
        <f>ROUND(D323*F323,0)</f>
        <v>6764</v>
      </c>
      <c r="H323" s="77">
        <f>D323</f>
        <v>1</v>
      </c>
      <c r="I323" s="64" t="str">
        <f>E323</f>
        <v>No</v>
      </c>
      <c r="J323" s="65">
        <f>F323</f>
        <v>6764</v>
      </c>
      <c r="K323" s="65">
        <f>ROUND(H323*J323,0)</f>
        <v>6764</v>
      </c>
      <c r="L323" s="66">
        <f>IF(K323&gt;G323,K323-G323,0)</f>
        <v>0</v>
      </c>
      <c r="M323" s="65">
        <f>IF(G323&gt;K323,G323-K323,0)</f>
        <v>0</v>
      </c>
      <c r="N323" s="4"/>
    </row>
    <row r="324" spans="2:17">
      <c r="B324" s="7"/>
      <c r="C324" s="4"/>
      <c r="D324" s="4"/>
      <c r="E324" s="4"/>
      <c r="F324" s="4"/>
      <c r="G324" s="4"/>
      <c r="H324" s="73"/>
      <c r="I324" s="4"/>
      <c r="J324" s="4"/>
      <c r="K324" s="4"/>
      <c r="L324" s="7"/>
      <c r="M324" s="4"/>
      <c r="N324" s="4"/>
    </row>
    <row r="325" spans="2:17" ht="124">
      <c r="B325" s="64">
        <v>126</v>
      </c>
      <c r="C325" s="4" t="s">
        <v>186</v>
      </c>
      <c r="D325" s="64">
        <v>2</v>
      </c>
      <c r="E325" s="2" t="s">
        <v>66</v>
      </c>
      <c r="F325" s="25">
        <v>8500</v>
      </c>
      <c r="G325" s="65">
        <f>ROUND(D325*F325,0)</f>
        <v>17000</v>
      </c>
      <c r="H325" s="77">
        <f>D325</f>
        <v>2</v>
      </c>
      <c r="I325" s="64" t="str">
        <f>E325</f>
        <v>No</v>
      </c>
      <c r="J325" s="65">
        <f>F325</f>
        <v>8500</v>
      </c>
      <c r="K325" s="65">
        <f>ROUND(H325*J325,0)</f>
        <v>17000</v>
      </c>
      <c r="L325" s="66">
        <f>IF(K325&gt;G325,K325-G325,0)</f>
        <v>0</v>
      </c>
      <c r="M325" s="65">
        <f>IF(G325&gt;K325,G325-K325,0)</f>
        <v>0</v>
      </c>
      <c r="N325" s="4"/>
    </row>
    <row r="326" spans="2:17">
      <c r="B326" s="7"/>
      <c r="C326" s="4"/>
      <c r="D326" s="4"/>
      <c r="E326" s="4"/>
      <c r="F326" s="4"/>
      <c r="G326" s="4"/>
      <c r="H326" s="73"/>
      <c r="I326" s="4"/>
      <c r="J326" s="4"/>
      <c r="K326" s="4"/>
      <c r="L326" s="7"/>
      <c r="M326" s="4"/>
      <c r="N326" s="4"/>
    </row>
    <row r="327" spans="2:17" ht="108.5">
      <c r="B327" s="64">
        <v>127</v>
      </c>
      <c r="C327" s="1" t="s">
        <v>187</v>
      </c>
      <c r="D327" s="64">
        <v>2</v>
      </c>
      <c r="E327" s="2" t="s">
        <v>66</v>
      </c>
      <c r="F327" s="25">
        <v>22283</v>
      </c>
      <c r="G327" s="65">
        <f>ROUND(D327*F327,0)</f>
        <v>44566</v>
      </c>
      <c r="H327" s="77">
        <f>D327</f>
        <v>2</v>
      </c>
      <c r="I327" s="64" t="str">
        <f>E327</f>
        <v>No</v>
      </c>
      <c r="J327" s="65">
        <f>F327</f>
        <v>22283</v>
      </c>
      <c r="K327" s="65">
        <f>ROUND(H327*J327,0)</f>
        <v>44566</v>
      </c>
      <c r="L327" s="66">
        <f>IF(K327&gt;G327,K327-G327,0)</f>
        <v>0</v>
      </c>
      <c r="M327" s="65">
        <f>IF(G327&gt;K327,G327-K327,0)</f>
        <v>0</v>
      </c>
      <c r="N327" s="4"/>
      <c r="Q327" s="3">
        <f>116.3+52.4</f>
        <v>168.7</v>
      </c>
    </row>
    <row r="328" spans="2:17">
      <c r="B328" s="7"/>
      <c r="C328" s="4"/>
      <c r="D328" s="4"/>
      <c r="E328" s="4"/>
      <c r="F328" s="4"/>
      <c r="G328" s="4"/>
      <c r="H328" s="73"/>
      <c r="I328" s="4"/>
      <c r="J328" s="4"/>
      <c r="K328" s="4"/>
      <c r="L328" s="7"/>
      <c r="M328" s="4"/>
      <c r="N328" s="4"/>
    </row>
    <row r="329" spans="2:17" ht="31">
      <c r="B329" s="64">
        <v>128</v>
      </c>
      <c r="C329" s="1" t="s">
        <v>188</v>
      </c>
      <c r="D329" s="64">
        <v>200</v>
      </c>
      <c r="E329" s="2" t="s">
        <v>60</v>
      </c>
      <c r="F329" s="25">
        <v>329</v>
      </c>
      <c r="G329" s="65">
        <f>ROUND(D329*F329,0)</f>
        <v>65800</v>
      </c>
      <c r="H329" s="77">
        <v>184.9</v>
      </c>
      <c r="I329" s="64" t="str">
        <f>E329</f>
        <v>Rmt</v>
      </c>
      <c r="J329" s="65">
        <f>F329</f>
        <v>329</v>
      </c>
      <c r="K329" s="65">
        <f>ROUND(H329*J329,0)</f>
        <v>60832</v>
      </c>
      <c r="L329" s="66">
        <f>IF(K329&gt;G329,K329-G329,0)</f>
        <v>0</v>
      </c>
      <c r="M329" s="65">
        <f>IF(G329&gt;K329,G329-K329,0)</f>
        <v>4968</v>
      </c>
      <c r="N329" s="4"/>
    </row>
    <row r="330" spans="2:17">
      <c r="B330" s="7"/>
      <c r="C330" s="4"/>
      <c r="D330" s="4"/>
      <c r="E330" s="4"/>
      <c r="F330" s="4"/>
      <c r="G330" s="4"/>
      <c r="H330" s="73"/>
      <c r="I330" s="4"/>
      <c r="J330" s="4"/>
      <c r="K330" s="4"/>
      <c r="L330" s="7"/>
      <c r="M330" s="4"/>
      <c r="N330" s="4"/>
    </row>
    <row r="331" spans="2:17" ht="31">
      <c r="B331" s="64">
        <v>129</v>
      </c>
      <c r="C331" s="1" t="s">
        <v>189</v>
      </c>
      <c r="D331" s="64">
        <v>100</v>
      </c>
      <c r="E331" s="2" t="s">
        <v>60</v>
      </c>
      <c r="F331" s="25">
        <v>163</v>
      </c>
      <c r="G331" s="65">
        <f>ROUND(D331*F331,0)</f>
        <v>16300</v>
      </c>
      <c r="H331" s="77">
        <v>100</v>
      </c>
      <c r="I331" s="64" t="str">
        <f>E331</f>
        <v>Rmt</v>
      </c>
      <c r="J331" s="65">
        <f>F331</f>
        <v>163</v>
      </c>
      <c r="K331" s="65">
        <f>ROUND(H331*J331,0)</f>
        <v>16300</v>
      </c>
      <c r="L331" s="66">
        <f>IF(K331&gt;G331,K331-G331,0)</f>
        <v>0</v>
      </c>
      <c r="M331" s="65">
        <f>IF(G331&gt;K331,G331-K331,0)</f>
        <v>0</v>
      </c>
      <c r="N331" s="4"/>
    </row>
    <row r="332" spans="2:17">
      <c r="B332" s="7"/>
      <c r="C332" s="72" t="s">
        <v>294</v>
      </c>
      <c r="D332" s="4"/>
      <c r="E332" s="4"/>
      <c r="F332" s="4"/>
      <c r="G332" s="4"/>
      <c r="H332" s="73">
        <v>68.7</v>
      </c>
      <c r="I332" s="4" t="s">
        <v>60</v>
      </c>
      <c r="J332" s="25">
        <v>163</v>
      </c>
      <c r="K332" s="65">
        <f>ROUND(H332*J332,0)</f>
        <v>11198</v>
      </c>
      <c r="L332" s="66">
        <f>IF(K332&gt;G332,K332-G332,0)</f>
        <v>11198</v>
      </c>
      <c r="M332" s="65">
        <f>IF(G332&gt;K332,G332-K332,0)</f>
        <v>0</v>
      </c>
      <c r="N332" s="4"/>
    </row>
    <row r="333" spans="2:17" ht="31">
      <c r="B333" s="64">
        <v>130</v>
      </c>
      <c r="C333" s="1" t="s">
        <v>190</v>
      </c>
      <c r="D333" s="64">
        <v>200</v>
      </c>
      <c r="E333" s="2" t="s">
        <v>60</v>
      </c>
      <c r="F333" s="25">
        <v>902</v>
      </c>
      <c r="G333" s="65">
        <f>ROUND(D333*F333,0)</f>
        <v>180400</v>
      </c>
      <c r="H333" s="77">
        <v>65.3</v>
      </c>
      <c r="I333" s="64" t="str">
        <f>E333</f>
        <v>Rmt</v>
      </c>
      <c r="J333" s="65">
        <f>F333</f>
        <v>902</v>
      </c>
      <c r="K333" s="65">
        <f>ROUND(H333*J333,0)</f>
        <v>58901</v>
      </c>
      <c r="L333" s="66">
        <f>IF(K333&gt;G333,K333-G333,0)</f>
        <v>0</v>
      </c>
      <c r="M333" s="65">
        <f>IF(G333&gt;K333,G333-K333,0)</f>
        <v>121499</v>
      </c>
      <c r="N333" s="59"/>
      <c r="O333" s="14"/>
      <c r="P333" s="14"/>
      <c r="Q333" s="14"/>
    </row>
    <row r="334" spans="2:17">
      <c r="B334" s="7"/>
      <c r="C334" s="4"/>
      <c r="D334" s="4"/>
      <c r="E334" s="4"/>
      <c r="F334" s="4"/>
      <c r="G334" s="4"/>
      <c r="H334" s="73"/>
      <c r="I334" s="4"/>
      <c r="J334" s="4"/>
      <c r="K334" s="4"/>
      <c r="L334" s="7"/>
      <c r="M334" s="4"/>
      <c r="N334" s="4"/>
    </row>
    <row r="335" spans="2:17" ht="31">
      <c r="B335" s="64">
        <v>131</v>
      </c>
      <c r="C335" s="1" t="s">
        <v>191</v>
      </c>
      <c r="D335" s="64">
        <v>80</v>
      </c>
      <c r="E335" s="2" t="s">
        <v>60</v>
      </c>
      <c r="F335" s="25">
        <v>83</v>
      </c>
      <c r="G335" s="65">
        <f>ROUND(D335*F335,0)</f>
        <v>6640</v>
      </c>
      <c r="H335" s="77">
        <v>80</v>
      </c>
      <c r="I335" s="64" t="str">
        <f>E335</f>
        <v>Rmt</v>
      </c>
      <c r="J335" s="65">
        <f>F335</f>
        <v>83</v>
      </c>
      <c r="K335" s="65">
        <f>ROUND(H335*J335,0)</f>
        <v>6640</v>
      </c>
      <c r="L335" s="66">
        <f>IF(K335&gt;G335,K335-G335,0)</f>
        <v>0</v>
      </c>
      <c r="M335" s="65">
        <f>IF(G335&gt;K335,G335-K335,0)</f>
        <v>0</v>
      </c>
      <c r="N335" s="4"/>
    </row>
    <row r="336" spans="2:17">
      <c r="B336" s="7"/>
      <c r="C336" s="72" t="s">
        <v>294</v>
      </c>
      <c r="D336" s="4"/>
      <c r="E336" s="4"/>
      <c r="F336" s="4"/>
      <c r="G336" s="4"/>
      <c r="H336" s="73">
        <v>63</v>
      </c>
      <c r="I336" s="4" t="s">
        <v>60</v>
      </c>
      <c r="J336" s="25">
        <v>83</v>
      </c>
      <c r="K336" s="65">
        <f>ROUND(H336*J336,0)</f>
        <v>5229</v>
      </c>
      <c r="L336" s="66">
        <f>IF(K336&gt;G336,K336-G336,0)</f>
        <v>5229</v>
      </c>
      <c r="M336" s="65">
        <f>IF(G336&gt;K336,G336-K336,0)</f>
        <v>0</v>
      </c>
      <c r="N336" s="4"/>
    </row>
    <row r="337" spans="2:14" ht="155">
      <c r="B337" s="64">
        <v>132</v>
      </c>
      <c r="C337" s="1" t="s">
        <v>192</v>
      </c>
      <c r="D337" s="64">
        <v>120</v>
      </c>
      <c r="E337" s="2" t="s">
        <v>60</v>
      </c>
      <c r="F337" s="25">
        <v>1207</v>
      </c>
      <c r="G337" s="65">
        <f>ROUND(D337*F337,0)</f>
        <v>144840</v>
      </c>
      <c r="H337" s="77">
        <v>83</v>
      </c>
      <c r="I337" s="64" t="str">
        <f>E337</f>
        <v>Rmt</v>
      </c>
      <c r="J337" s="65">
        <f>F337</f>
        <v>1207</v>
      </c>
      <c r="K337" s="65">
        <f>ROUND(H337*J337,0)</f>
        <v>100181</v>
      </c>
      <c r="L337" s="66">
        <f>IF(K337&gt;G337,K337-G337,0)</f>
        <v>0</v>
      </c>
      <c r="M337" s="65">
        <f>IF(G337&gt;K337,G337-K337,0)</f>
        <v>44659</v>
      </c>
      <c r="N337" s="4"/>
    </row>
    <row r="338" spans="2:14">
      <c r="B338" s="7"/>
      <c r="C338" s="4"/>
      <c r="D338" s="4"/>
      <c r="E338" s="4"/>
      <c r="F338" s="4"/>
      <c r="G338" s="4"/>
      <c r="H338" s="73"/>
      <c r="I338" s="4"/>
      <c r="J338" s="4"/>
      <c r="K338" s="4"/>
      <c r="L338" s="7"/>
      <c r="M338" s="4"/>
      <c r="N338" s="4"/>
    </row>
    <row r="339" spans="2:14" ht="155">
      <c r="B339" s="64">
        <v>133</v>
      </c>
      <c r="C339" s="1" t="s">
        <v>193</v>
      </c>
      <c r="D339" s="64">
        <v>70</v>
      </c>
      <c r="E339" s="2" t="s">
        <v>60</v>
      </c>
      <c r="F339" s="25">
        <v>722</v>
      </c>
      <c r="G339" s="65">
        <f>ROUND(D339*F339,0)</f>
        <v>50540</v>
      </c>
      <c r="H339" s="77">
        <v>40</v>
      </c>
      <c r="I339" s="64" t="str">
        <f>E339</f>
        <v>Rmt</v>
      </c>
      <c r="J339" s="65">
        <f>F339</f>
        <v>722</v>
      </c>
      <c r="K339" s="65">
        <f>ROUND(H339*J339,0)</f>
        <v>28880</v>
      </c>
      <c r="L339" s="66">
        <f>IF(K339&gt;G339,K339-G339,0)</f>
        <v>0</v>
      </c>
      <c r="M339" s="65">
        <f>IF(G339&gt;K339,G339-K339,0)</f>
        <v>21660</v>
      </c>
      <c r="N339" s="4"/>
    </row>
    <row r="340" spans="2:14">
      <c r="B340" s="7"/>
      <c r="C340" s="4"/>
      <c r="D340" s="4"/>
      <c r="E340" s="4"/>
      <c r="F340" s="4"/>
      <c r="G340" s="4"/>
      <c r="H340" s="73"/>
      <c r="I340" s="4"/>
      <c r="J340" s="4"/>
      <c r="K340" s="4"/>
      <c r="L340" s="7"/>
      <c r="M340" s="4"/>
      <c r="N340" s="4"/>
    </row>
    <row r="341" spans="2:14" ht="170.5">
      <c r="B341" s="64">
        <v>134</v>
      </c>
      <c r="C341" s="4" t="s">
        <v>194</v>
      </c>
      <c r="D341" s="64">
        <v>100</v>
      </c>
      <c r="E341" s="2" t="s">
        <v>60</v>
      </c>
      <c r="F341" s="25">
        <v>1483</v>
      </c>
      <c r="G341" s="65">
        <f>ROUND(D341*F341,0)</f>
        <v>148300</v>
      </c>
      <c r="H341" s="77">
        <v>60</v>
      </c>
      <c r="I341" s="64" t="str">
        <f>E341</f>
        <v>Rmt</v>
      </c>
      <c r="J341" s="65">
        <f>F341</f>
        <v>1483</v>
      </c>
      <c r="K341" s="65">
        <f>ROUND(H341*J341,0)</f>
        <v>88980</v>
      </c>
      <c r="L341" s="66">
        <f>IF(K341&gt;G341,K341-G341,0)</f>
        <v>0</v>
      </c>
      <c r="M341" s="65">
        <f>IF(G341&gt;K341,G341-K341,0)</f>
        <v>59320</v>
      </c>
      <c r="N341" s="4"/>
    </row>
    <row r="342" spans="2:14">
      <c r="B342" s="7"/>
      <c r="C342" s="4"/>
      <c r="D342" s="4"/>
      <c r="E342" s="4"/>
      <c r="F342" s="4"/>
      <c r="G342" s="4"/>
      <c r="H342" s="73"/>
      <c r="I342" s="4"/>
      <c r="J342" s="4"/>
      <c r="K342" s="4"/>
      <c r="L342" s="7"/>
      <c r="M342" s="4"/>
      <c r="N342" s="4"/>
    </row>
    <row r="343" spans="2:14" ht="170.5">
      <c r="B343" s="64">
        <v>135</v>
      </c>
      <c r="C343" s="4" t="s">
        <v>195</v>
      </c>
      <c r="D343" s="64">
        <v>120</v>
      </c>
      <c r="E343" s="2" t="s">
        <v>60</v>
      </c>
      <c r="F343" s="25">
        <v>484</v>
      </c>
      <c r="G343" s="65">
        <f>ROUND(D343*F343,0)</f>
        <v>58080</v>
      </c>
      <c r="H343" s="77">
        <v>53</v>
      </c>
      <c r="I343" s="64" t="str">
        <f>E343</f>
        <v>Rmt</v>
      </c>
      <c r="J343" s="65">
        <f>F343</f>
        <v>484</v>
      </c>
      <c r="K343" s="65">
        <f>ROUND(H343*J343,0)</f>
        <v>25652</v>
      </c>
      <c r="L343" s="66">
        <f>IF(K343&gt;G343,K343-G343,0)</f>
        <v>0</v>
      </c>
      <c r="M343" s="65">
        <f>IF(G343&gt;K343,G343-K343,0)</f>
        <v>32428</v>
      </c>
      <c r="N343" s="4"/>
    </row>
    <row r="344" spans="2:14">
      <c r="B344" s="7"/>
      <c r="C344" s="4"/>
      <c r="D344" s="4"/>
      <c r="E344" s="4"/>
      <c r="F344" s="4"/>
      <c r="G344" s="4"/>
      <c r="H344" s="73"/>
      <c r="I344" s="4"/>
      <c r="J344" s="4"/>
      <c r="K344" s="4"/>
      <c r="L344" s="7"/>
      <c r="M344" s="4"/>
      <c r="N344" s="4"/>
    </row>
    <row r="345" spans="2:14" ht="139.5">
      <c r="B345" s="64">
        <v>136</v>
      </c>
      <c r="C345" s="1" t="s">
        <v>196</v>
      </c>
      <c r="D345" s="64">
        <v>80</v>
      </c>
      <c r="E345" s="2" t="s">
        <v>60</v>
      </c>
      <c r="F345" s="25">
        <v>356</v>
      </c>
      <c r="G345" s="65">
        <f>ROUND(D345*F345,0)</f>
        <v>28480</v>
      </c>
      <c r="H345" s="77">
        <v>80</v>
      </c>
      <c r="I345" s="64" t="str">
        <f>E345</f>
        <v>Rmt</v>
      </c>
      <c r="J345" s="65">
        <f>F345</f>
        <v>356</v>
      </c>
      <c r="K345" s="65">
        <f>ROUND(H345*J345,0)</f>
        <v>28480</v>
      </c>
      <c r="L345" s="66">
        <f>IF(K345&gt;G345,K345-G345,0)</f>
        <v>0</v>
      </c>
      <c r="M345" s="65">
        <f>IF(G345&gt;K345,G345-K345,0)</f>
        <v>0</v>
      </c>
      <c r="N345" s="4"/>
    </row>
    <row r="346" spans="2:14">
      <c r="B346" s="7"/>
      <c r="C346" s="72" t="s">
        <v>294</v>
      </c>
      <c r="D346" s="4"/>
      <c r="E346" s="4"/>
      <c r="F346" s="4"/>
      <c r="G346" s="4"/>
      <c r="H346" s="73">
        <v>45</v>
      </c>
      <c r="I346" s="4" t="s">
        <v>60</v>
      </c>
      <c r="J346" s="25">
        <v>356</v>
      </c>
      <c r="K346" s="65">
        <f>ROUND(H346*J346,0)</f>
        <v>16020</v>
      </c>
      <c r="L346" s="66">
        <f>IF(K346&gt;G346,K346-G346,0)</f>
        <v>16020</v>
      </c>
      <c r="M346" s="65">
        <f>IF(G346&gt;K346,G346-K346,0)</f>
        <v>0</v>
      </c>
      <c r="N346" s="4"/>
    </row>
    <row r="347" spans="2:14" ht="248">
      <c r="B347" s="64">
        <v>137</v>
      </c>
      <c r="C347" s="4" t="s">
        <v>197</v>
      </c>
      <c r="D347" s="64">
        <v>1</v>
      </c>
      <c r="E347" s="2" t="s">
        <v>66</v>
      </c>
      <c r="F347" s="25">
        <v>355000</v>
      </c>
      <c r="G347" s="65">
        <f>ROUND(D347*F347,0)</f>
        <v>355000</v>
      </c>
      <c r="H347" s="77">
        <f>D347</f>
        <v>1</v>
      </c>
      <c r="I347" s="64" t="str">
        <f>E347</f>
        <v>No</v>
      </c>
      <c r="J347" s="65">
        <f>F347</f>
        <v>355000</v>
      </c>
      <c r="K347" s="65">
        <f>ROUND(H347*J347,0)</f>
        <v>355000</v>
      </c>
      <c r="L347" s="66">
        <f>IF(K347&gt;G347,K347-G347,0)</f>
        <v>0</v>
      </c>
      <c r="M347" s="65">
        <f>IF(G347&gt;K347,G347-K347,0)</f>
        <v>0</v>
      </c>
      <c r="N347" s="4"/>
    </row>
    <row r="348" spans="2:14">
      <c r="B348" s="7"/>
      <c r="C348" s="4"/>
      <c r="D348" s="4"/>
      <c r="E348" s="4"/>
      <c r="F348" s="4"/>
      <c r="G348" s="4"/>
      <c r="H348" s="73"/>
      <c r="I348" s="4"/>
      <c r="J348" s="4"/>
      <c r="K348" s="4"/>
      <c r="L348" s="7"/>
      <c r="M348" s="4"/>
      <c r="N348" s="4"/>
    </row>
    <row r="349" spans="2:14" ht="248">
      <c r="B349" s="64">
        <v>138</v>
      </c>
      <c r="C349" s="1" t="s">
        <v>198</v>
      </c>
      <c r="D349" s="64">
        <v>1</v>
      </c>
      <c r="E349" s="2" t="s">
        <v>66</v>
      </c>
      <c r="F349" s="25">
        <v>270000</v>
      </c>
      <c r="G349" s="65">
        <f>ROUND(D349*F349,0)</f>
        <v>270000</v>
      </c>
      <c r="H349" s="77">
        <f>D349</f>
        <v>1</v>
      </c>
      <c r="I349" s="64" t="str">
        <f>E349</f>
        <v>No</v>
      </c>
      <c r="J349" s="65">
        <f>F349</f>
        <v>270000</v>
      </c>
      <c r="K349" s="65">
        <f>ROUND(H349*J349,0)</f>
        <v>270000</v>
      </c>
      <c r="L349" s="66">
        <f>IF(K349&gt;G349,K349-G349,0)</f>
        <v>0</v>
      </c>
      <c r="M349" s="65">
        <f>IF(G349&gt;K349,G349-K349,0)</f>
        <v>0</v>
      </c>
      <c r="N349" s="4"/>
    </row>
    <row r="350" spans="2:14">
      <c r="B350" s="7"/>
      <c r="C350" s="4"/>
      <c r="D350" s="4"/>
      <c r="E350" s="4"/>
      <c r="F350" s="4"/>
      <c r="G350" s="4"/>
      <c r="H350" s="73"/>
      <c r="I350" s="4"/>
      <c r="J350" s="4"/>
      <c r="K350" s="4"/>
      <c r="L350" s="7"/>
      <c r="M350" s="4"/>
      <c r="N350" s="4"/>
    </row>
    <row r="351" spans="2:14" ht="46.5">
      <c r="B351" s="64">
        <v>139</v>
      </c>
      <c r="C351" s="1" t="s">
        <v>199</v>
      </c>
      <c r="D351" s="64">
        <v>3</v>
      </c>
      <c r="E351" s="2" t="s">
        <v>66</v>
      </c>
      <c r="F351" s="25">
        <v>1540</v>
      </c>
      <c r="G351" s="65">
        <f>ROUND(D351*F351,0)</f>
        <v>4620</v>
      </c>
      <c r="H351" s="77">
        <f>D351</f>
        <v>3</v>
      </c>
      <c r="I351" s="64" t="str">
        <f>E351</f>
        <v>No</v>
      </c>
      <c r="J351" s="65">
        <f>F351</f>
        <v>1540</v>
      </c>
      <c r="K351" s="65">
        <f>ROUND(H351*J351,0)</f>
        <v>4620</v>
      </c>
      <c r="L351" s="66">
        <f>IF(K351&gt;G351,K351-G351,0)</f>
        <v>0</v>
      </c>
      <c r="M351" s="65">
        <f>IF(G351&gt;K351,G351-K351,0)</f>
        <v>0</v>
      </c>
      <c r="N351" s="4"/>
    </row>
    <row r="352" spans="2:14">
      <c r="B352" s="7"/>
      <c r="C352" s="4"/>
      <c r="D352" s="4"/>
      <c r="E352" s="4"/>
      <c r="F352" s="4"/>
      <c r="G352" s="4"/>
      <c r="H352" s="73"/>
      <c r="I352" s="4"/>
      <c r="J352" s="4"/>
      <c r="K352" s="4"/>
      <c r="L352" s="7"/>
      <c r="M352" s="4"/>
      <c r="N352" s="4"/>
    </row>
    <row r="353" spans="2:14" ht="46.5">
      <c r="B353" s="64">
        <v>140</v>
      </c>
      <c r="C353" s="1" t="s">
        <v>200</v>
      </c>
      <c r="D353" s="64">
        <v>1</v>
      </c>
      <c r="E353" s="2" t="s">
        <v>201</v>
      </c>
      <c r="F353" s="25">
        <v>383000</v>
      </c>
      <c r="G353" s="65">
        <f>ROUND(D353*F353,0)</f>
        <v>383000</v>
      </c>
      <c r="H353" s="77">
        <f>D353</f>
        <v>1</v>
      </c>
      <c r="I353" s="64" t="str">
        <f>E353</f>
        <v>Job</v>
      </c>
      <c r="J353" s="65">
        <f>F353</f>
        <v>383000</v>
      </c>
      <c r="K353" s="65">
        <f>ROUND(H353*J353,0)</f>
        <v>383000</v>
      </c>
      <c r="L353" s="66">
        <f>IF(K353&gt;G353,K353-G353,0)</f>
        <v>0</v>
      </c>
      <c r="M353" s="65">
        <f>IF(G353&gt;K353,G353-K353,0)</f>
        <v>0</v>
      </c>
      <c r="N353" s="4"/>
    </row>
    <row r="354" spans="2:14">
      <c r="B354" s="7"/>
      <c r="C354" s="4"/>
      <c r="D354" s="4"/>
      <c r="E354" s="4"/>
      <c r="F354" s="4"/>
      <c r="G354" s="4"/>
      <c r="H354" s="73"/>
      <c r="I354" s="4"/>
      <c r="J354" s="4"/>
      <c r="K354" s="4"/>
      <c r="L354" s="7"/>
      <c r="M354" s="4"/>
      <c r="N354" s="4"/>
    </row>
    <row r="355" spans="2:14" ht="46.5">
      <c r="B355" s="64">
        <v>141</v>
      </c>
      <c r="C355" s="1" t="s">
        <v>202</v>
      </c>
      <c r="D355" s="64">
        <v>1</v>
      </c>
      <c r="E355" s="2" t="s">
        <v>201</v>
      </c>
      <c r="F355" s="25">
        <v>124000</v>
      </c>
      <c r="G355" s="65">
        <f>ROUND(D355*F355,0)</f>
        <v>124000</v>
      </c>
      <c r="H355" s="77">
        <f>D355</f>
        <v>1</v>
      </c>
      <c r="I355" s="64" t="str">
        <f>E355</f>
        <v>Job</v>
      </c>
      <c r="J355" s="65">
        <f>F355</f>
        <v>124000</v>
      </c>
      <c r="K355" s="65">
        <f>ROUND(H355*J355,0)</f>
        <v>124000</v>
      </c>
      <c r="L355" s="66">
        <f>IF(K355&gt;G355,K355-G355,0)</f>
        <v>0</v>
      </c>
      <c r="M355" s="65">
        <f>IF(G355&gt;K355,G355-K355,0)</f>
        <v>0</v>
      </c>
      <c r="N355" s="4"/>
    </row>
    <row r="356" spans="2:14">
      <c r="B356" s="7"/>
      <c r="C356" s="4"/>
      <c r="D356" s="4"/>
      <c r="E356" s="4"/>
      <c r="F356" s="4"/>
      <c r="G356" s="4"/>
      <c r="H356" s="73"/>
      <c r="I356" s="4"/>
      <c r="J356" s="4"/>
      <c r="K356" s="4"/>
      <c r="L356" s="7"/>
      <c r="M356" s="4"/>
      <c r="N356" s="4"/>
    </row>
    <row r="357" spans="2:14" ht="77.5">
      <c r="B357" s="64">
        <v>142</v>
      </c>
      <c r="C357" s="1" t="s">
        <v>203</v>
      </c>
      <c r="D357" s="64">
        <v>1</v>
      </c>
      <c r="E357" s="2" t="s">
        <v>201</v>
      </c>
      <c r="F357" s="25">
        <v>510000</v>
      </c>
      <c r="G357" s="65">
        <f>ROUND(D357*F357,0)</f>
        <v>510000</v>
      </c>
      <c r="H357" s="77">
        <f>D357</f>
        <v>1</v>
      </c>
      <c r="I357" s="64" t="str">
        <f>E357</f>
        <v>Job</v>
      </c>
      <c r="J357" s="65">
        <f>F357</f>
        <v>510000</v>
      </c>
      <c r="K357" s="65">
        <f>ROUND(H357*J357,0)</f>
        <v>510000</v>
      </c>
      <c r="L357" s="66">
        <f>IF(K357&gt;G357,K357-G357,0)</f>
        <v>0</v>
      </c>
      <c r="M357" s="65">
        <f>IF(G357&gt;K357,G357-K357,0)</f>
        <v>0</v>
      </c>
      <c r="N357" s="4"/>
    </row>
    <row r="358" spans="2:14">
      <c r="B358" s="7"/>
      <c r="C358" s="4"/>
      <c r="D358" s="4"/>
      <c r="E358" s="4"/>
      <c r="F358" s="4"/>
      <c r="G358" s="4"/>
      <c r="H358" s="73"/>
      <c r="I358" s="4"/>
      <c r="J358" s="4"/>
      <c r="K358" s="4"/>
      <c r="L358" s="7"/>
      <c r="M358" s="4"/>
      <c r="N358" s="4"/>
    </row>
    <row r="359" spans="2:14" ht="31">
      <c r="B359" s="64">
        <v>143</v>
      </c>
      <c r="C359" s="1" t="s">
        <v>204</v>
      </c>
      <c r="D359" s="64">
        <v>1</v>
      </c>
      <c r="E359" s="2" t="s">
        <v>201</v>
      </c>
      <c r="F359" s="25">
        <v>182000</v>
      </c>
      <c r="G359" s="65">
        <f>ROUND(D359*F359,0)</f>
        <v>182000</v>
      </c>
      <c r="H359" s="77">
        <f>D359</f>
        <v>1</v>
      </c>
      <c r="I359" s="64" t="str">
        <f>E359</f>
        <v>Job</v>
      </c>
      <c r="J359" s="65">
        <f>F359</f>
        <v>182000</v>
      </c>
      <c r="K359" s="65">
        <f>ROUND(H359*J359,0)</f>
        <v>182000</v>
      </c>
      <c r="L359" s="66">
        <f>IF(K359&gt;G359,K359-G359,0)</f>
        <v>0</v>
      </c>
      <c r="M359" s="65">
        <f>IF(G359&gt;K359,G359-K359,0)</f>
        <v>0</v>
      </c>
      <c r="N359" s="4"/>
    </row>
    <row r="360" spans="2:14">
      <c r="B360" s="7"/>
      <c r="C360" s="4"/>
      <c r="D360" s="4"/>
      <c r="E360" s="4"/>
      <c r="F360" s="4"/>
      <c r="G360" s="4"/>
      <c r="H360" s="73"/>
      <c r="I360" s="4"/>
      <c r="J360" s="4"/>
      <c r="K360" s="4"/>
      <c r="L360" s="7"/>
      <c r="M360" s="4"/>
      <c r="N360" s="4"/>
    </row>
    <row r="361" spans="2:14" ht="31">
      <c r="B361" s="64">
        <v>144</v>
      </c>
      <c r="C361" s="1" t="s">
        <v>205</v>
      </c>
      <c r="D361" s="64">
        <v>1</v>
      </c>
      <c r="E361" s="2" t="s">
        <v>201</v>
      </c>
      <c r="F361" s="25">
        <v>138000</v>
      </c>
      <c r="G361" s="65">
        <f>ROUND(D361*F361,0)</f>
        <v>138000</v>
      </c>
      <c r="H361" s="77">
        <f>D361</f>
        <v>1</v>
      </c>
      <c r="I361" s="64" t="str">
        <f>E361</f>
        <v>Job</v>
      </c>
      <c r="J361" s="65">
        <f>F361</f>
        <v>138000</v>
      </c>
      <c r="K361" s="65">
        <f>ROUND(H361*J361,0)</f>
        <v>138000</v>
      </c>
      <c r="L361" s="66">
        <f>IF(K361&gt;G361,K361-G361,0)</f>
        <v>0</v>
      </c>
      <c r="M361" s="65">
        <f>IF(G361&gt;K361,G361-K361,0)</f>
        <v>0</v>
      </c>
      <c r="N361" s="4"/>
    </row>
    <row r="362" spans="2:14">
      <c r="B362" s="7"/>
      <c r="C362" s="4"/>
      <c r="D362" s="4"/>
      <c r="E362" s="4"/>
      <c r="F362" s="4"/>
      <c r="G362" s="4"/>
      <c r="H362" s="73"/>
      <c r="I362" s="4"/>
      <c r="J362" s="4"/>
      <c r="K362" s="4"/>
      <c r="L362" s="7"/>
      <c r="M362" s="4"/>
      <c r="N362" s="4"/>
    </row>
    <row r="363" spans="2:14" ht="31">
      <c r="B363" s="64">
        <v>145</v>
      </c>
      <c r="C363" s="1" t="s">
        <v>206</v>
      </c>
      <c r="D363" s="64">
        <v>5</v>
      </c>
      <c r="E363" s="2" t="s">
        <v>66</v>
      </c>
      <c r="F363" s="25">
        <v>11225</v>
      </c>
      <c r="G363" s="65">
        <f>ROUND(D363*F363,0)</f>
        <v>56125</v>
      </c>
      <c r="H363" s="77">
        <f>D363</f>
        <v>5</v>
      </c>
      <c r="I363" s="64" t="str">
        <f>E363</f>
        <v>No</v>
      </c>
      <c r="J363" s="65">
        <f>F363</f>
        <v>11225</v>
      </c>
      <c r="K363" s="65">
        <f>ROUND(H363*J363,0)</f>
        <v>56125</v>
      </c>
      <c r="L363" s="66">
        <f>IF(K363&gt;G363,K363-G363,0)</f>
        <v>0</v>
      </c>
      <c r="M363" s="65">
        <f>IF(G363&gt;K363,G363-K363,0)</f>
        <v>0</v>
      </c>
      <c r="N363" s="4"/>
    </row>
    <row r="364" spans="2:14">
      <c r="B364" s="7"/>
      <c r="C364" s="4"/>
      <c r="D364" s="4"/>
      <c r="E364" s="4"/>
      <c r="F364" s="4"/>
      <c r="G364" s="4"/>
      <c r="H364" s="73"/>
      <c r="I364" s="4"/>
      <c r="J364" s="4"/>
      <c r="K364" s="4"/>
      <c r="L364" s="7"/>
      <c r="M364" s="4"/>
      <c r="N364" s="4"/>
    </row>
    <row r="365" spans="2:14" ht="31">
      <c r="B365" s="64">
        <v>146</v>
      </c>
      <c r="C365" s="1" t="s">
        <v>207</v>
      </c>
      <c r="D365" s="64">
        <v>5</v>
      </c>
      <c r="E365" s="2" t="s">
        <v>66</v>
      </c>
      <c r="F365" s="25">
        <v>7686</v>
      </c>
      <c r="G365" s="65">
        <f>ROUND(D365*F365,0)</f>
        <v>38430</v>
      </c>
      <c r="H365" s="77">
        <f>D365</f>
        <v>5</v>
      </c>
      <c r="I365" s="64" t="str">
        <f>E365</f>
        <v>No</v>
      </c>
      <c r="J365" s="65">
        <f>F365</f>
        <v>7686</v>
      </c>
      <c r="K365" s="65">
        <f>ROUND(H365*J365,0)</f>
        <v>38430</v>
      </c>
      <c r="L365" s="66">
        <f>IF(K365&gt;G365,K365-G365,0)</f>
        <v>0</v>
      </c>
      <c r="M365" s="65">
        <f>IF(G365&gt;K365,G365-K365,0)</f>
        <v>0</v>
      </c>
      <c r="N365" s="4"/>
    </row>
    <row r="366" spans="2:14">
      <c r="B366" s="7"/>
      <c r="C366" s="4"/>
      <c r="D366" s="4"/>
      <c r="E366" s="4"/>
      <c r="F366" s="4"/>
      <c r="G366" s="4"/>
      <c r="H366" s="73"/>
      <c r="I366" s="4"/>
      <c r="J366" s="4"/>
      <c r="K366" s="4"/>
      <c r="L366" s="7"/>
      <c r="M366" s="4"/>
      <c r="N366" s="4"/>
    </row>
    <row r="367" spans="2:14" ht="31">
      <c r="B367" s="64">
        <v>147</v>
      </c>
      <c r="C367" s="1" t="s">
        <v>208</v>
      </c>
      <c r="D367" s="64">
        <v>5</v>
      </c>
      <c r="E367" s="2" t="s">
        <v>66</v>
      </c>
      <c r="F367" s="25">
        <v>15065</v>
      </c>
      <c r="G367" s="65">
        <f>ROUND(D367*F367,0)</f>
        <v>75325</v>
      </c>
      <c r="H367" s="77">
        <f>D367</f>
        <v>5</v>
      </c>
      <c r="I367" s="64" t="str">
        <f>E367</f>
        <v>No</v>
      </c>
      <c r="J367" s="65">
        <f>F367</f>
        <v>15065</v>
      </c>
      <c r="K367" s="65">
        <f>ROUND(H367*J367,0)</f>
        <v>75325</v>
      </c>
      <c r="L367" s="66">
        <f>IF(K367&gt;G367,K367-G367,0)</f>
        <v>0</v>
      </c>
      <c r="M367" s="65">
        <f>IF(G367&gt;K367,G367-K367,0)</f>
        <v>0</v>
      </c>
      <c r="N367" s="4"/>
    </row>
    <row r="368" spans="2:14">
      <c r="B368" s="7"/>
      <c r="C368" s="4"/>
      <c r="D368" s="4"/>
      <c r="E368" s="4"/>
      <c r="F368" s="4"/>
      <c r="G368" s="4"/>
      <c r="H368" s="73"/>
      <c r="I368" s="4"/>
      <c r="J368" s="4"/>
      <c r="K368" s="4"/>
      <c r="L368" s="7"/>
      <c r="M368" s="4"/>
      <c r="N368" s="4"/>
    </row>
    <row r="369" spans="2:26">
      <c r="B369" s="64">
        <v>148</v>
      </c>
      <c r="C369" s="1" t="s">
        <v>209</v>
      </c>
      <c r="D369" s="64">
        <v>1</v>
      </c>
      <c r="E369" s="2" t="s">
        <v>201</v>
      </c>
      <c r="F369" s="25">
        <v>56000</v>
      </c>
      <c r="G369" s="65">
        <f>ROUND(D369*F369,0)</f>
        <v>56000</v>
      </c>
      <c r="H369" s="70">
        <v>1</v>
      </c>
      <c r="I369" s="64" t="str">
        <f>E369</f>
        <v>Job</v>
      </c>
      <c r="J369" s="65">
        <f>F369</f>
        <v>56000</v>
      </c>
      <c r="K369" s="65">
        <f>ROUND(H369*J369,0)</f>
        <v>56000</v>
      </c>
      <c r="L369" s="66">
        <f>IF(K369&gt;G369,K369-G369,0)</f>
        <v>0</v>
      </c>
      <c r="M369" s="65">
        <f>IF(G369&gt;K369,G369-K369,0)</f>
        <v>0</v>
      </c>
      <c r="N369" s="4"/>
    </row>
    <row r="370" spans="2:26">
      <c r="B370" s="7"/>
      <c r="C370" s="4"/>
      <c r="D370" s="4"/>
      <c r="E370" s="4"/>
      <c r="F370" s="4"/>
      <c r="G370" s="4"/>
      <c r="H370" s="73"/>
      <c r="I370" s="4"/>
      <c r="J370" s="4"/>
      <c r="K370" s="4"/>
      <c r="L370" s="7"/>
      <c r="M370" s="4"/>
      <c r="N370" s="4"/>
    </row>
    <row r="371" spans="2:26" ht="139.5">
      <c r="B371" s="64">
        <v>149</v>
      </c>
      <c r="C371" s="1" t="s">
        <v>210</v>
      </c>
      <c r="D371" s="64">
        <v>1</v>
      </c>
      <c r="E371" s="2" t="s">
        <v>66</v>
      </c>
      <c r="F371" s="25">
        <v>48000</v>
      </c>
      <c r="G371" s="65">
        <f>ROUND(D371*F371,0)</f>
        <v>48000</v>
      </c>
      <c r="H371" s="70">
        <v>1</v>
      </c>
      <c r="I371" s="64" t="str">
        <f>E371</f>
        <v>No</v>
      </c>
      <c r="J371" s="65">
        <f>F371</f>
        <v>48000</v>
      </c>
      <c r="K371" s="65">
        <f>ROUND(H371*J371,0)</f>
        <v>48000</v>
      </c>
      <c r="L371" s="66">
        <f>IF(K371&gt;G371,K371-G371,0)</f>
        <v>0</v>
      </c>
      <c r="M371" s="65">
        <f>IF(G371&gt;K371,G371-K371,0)</f>
        <v>0</v>
      </c>
      <c r="N371" s="4"/>
    </row>
    <row r="372" spans="2:26">
      <c r="B372" s="7"/>
      <c r="C372" s="72" t="s">
        <v>294</v>
      </c>
      <c r="D372" s="4"/>
      <c r="E372" s="4"/>
      <c r="F372" s="4"/>
      <c r="G372" s="4"/>
      <c r="H372" s="73">
        <v>1</v>
      </c>
      <c r="I372" s="4" t="s">
        <v>66</v>
      </c>
      <c r="J372" s="25">
        <v>48000</v>
      </c>
      <c r="K372" s="65">
        <f>ROUND(H372*J372,0)</f>
        <v>48000</v>
      </c>
      <c r="L372" s="66">
        <f>IF(K372&gt;G372,K372-G372,0)</f>
        <v>48000</v>
      </c>
      <c r="M372" s="65">
        <f>IF(G372&gt;K372,G372-K372,0)</f>
        <v>0</v>
      </c>
      <c r="N372" s="4"/>
    </row>
    <row r="373" spans="2:26" ht="155">
      <c r="B373" s="64">
        <v>150</v>
      </c>
      <c r="C373" s="4" t="s">
        <v>211</v>
      </c>
      <c r="D373" s="64">
        <v>1</v>
      </c>
      <c r="E373" s="2" t="s">
        <v>66</v>
      </c>
      <c r="F373" s="25">
        <v>40000</v>
      </c>
      <c r="G373" s="65">
        <f>ROUND(D373*F373,0)</f>
        <v>40000</v>
      </c>
      <c r="H373" s="70">
        <v>0</v>
      </c>
      <c r="I373" s="64" t="str">
        <f>E373</f>
        <v>No</v>
      </c>
      <c r="J373" s="65">
        <f>F373</f>
        <v>40000</v>
      </c>
      <c r="K373" s="65">
        <f>ROUND(H373*J373,0)</f>
        <v>0</v>
      </c>
      <c r="L373" s="66">
        <f>IF(K373&gt;G373,K373-G373,0)</f>
        <v>0</v>
      </c>
      <c r="M373" s="65">
        <f>IF(G373&gt;K373,G373-K373,0)</f>
        <v>40000</v>
      </c>
      <c r="N373" s="4"/>
    </row>
    <row r="374" spans="2:26">
      <c r="B374" s="7"/>
      <c r="C374" s="4"/>
      <c r="D374" s="4"/>
      <c r="E374" s="4"/>
      <c r="F374" s="4"/>
      <c r="G374" s="4"/>
      <c r="H374" s="73"/>
      <c r="I374" s="4"/>
      <c r="J374" s="4"/>
      <c r="K374" s="4"/>
      <c r="L374" s="7"/>
      <c r="M374" s="4"/>
      <c r="N374" s="4"/>
    </row>
    <row r="375" spans="2:26" ht="294.5">
      <c r="B375" s="94">
        <v>151</v>
      </c>
      <c r="C375" s="93" t="s">
        <v>212</v>
      </c>
      <c r="D375" s="94">
        <v>1</v>
      </c>
      <c r="E375" s="95" t="s">
        <v>66</v>
      </c>
      <c r="F375" s="96">
        <v>590000</v>
      </c>
      <c r="G375" s="97">
        <f>ROUND(D375*F375,0)</f>
        <v>590000</v>
      </c>
      <c r="H375" s="98">
        <v>1</v>
      </c>
      <c r="I375" s="94" t="str">
        <f>E375</f>
        <v>No</v>
      </c>
      <c r="J375" s="97">
        <f>F375</f>
        <v>590000</v>
      </c>
      <c r="K375" s="97">
        <f>ROUND(H375*J375,0)</f>
        <v>590000</v>
      </c>
      <c r="L375" s="99">
        <f>IF(K375&gt;G375,K375-G375,0)</f>
        <v>0</v>
      </c>
      <c r="M375" s="97">
        <f>IF(G375&gt;K375,G375-K375,0)</f>
        <v>0</v>
      </c>
      <c r="N375" s="93"/>
      <c r="O375" s="36"/>
      <c r="P375" s="36"/>
      <c r="Q375" s="36"/>
    </row>
    <row r="376" spans="2:26">
      <c r="B376" s="7"/>
      <c r="C376" s="4"/>
      <c r="D376" s="4"/>
      <c r="E376" s="4"/>
      <c r="F376" s="4"/>
      <c r="G376" s="4"/>
      <c r="H376" s="73"/>
      <c r="I376" s="4"/>
      <c r="J376" s="4"/>
      <c r="K376" s="4"/>
      <c r="L376" s="7"/>
      <c r="M376" s="4"/>
      <c r="N376" s="4"/>
    </row>
    <row r="377" spans="2:26" ht="124">
      <c r="B377" s="64">
        <v>152</v>
      </c>
      <c r="C377" s="1" t="s">
        <v>213</v>
      </c>
      <c r="D377" s="64">
        <v>6</v>
      </c>
      <c r="E377" s="2" t="s">
        <v>66</v>
      </c>
      <c r="F377" s="25">
        <v>42000</v>
      </c>
      <c r="G377" s="65">
        <f>ROUND(D377*F377,0)</f>
        <v>252000</v>
      </c>
      <c r="H377" s="70">
        <v>6</v>
      </c>
      <c r="I377" s="64" t="str">
        <f>E377</f>
        <v>No</v>
      </c>
      <c r="J377" s="65">
        <f>F377</f>
        <v>42000</v>
      </c>
      <c r="K377" s="65">
        <f>ROUND(H377*J377,0)</f>
        <v>252000</v>
      </c>
      <c r="L377" s="66">
        <f>IF(K377&gt;G377,K377-G377,0)</f>
        <v>0</v>
      </c>
      <c r="M377" s="65">
        <f>IF(G377&gt;K377,G377-K377,0)</f>
        <v>0</v>
      </c>
      <c r="N377" s="7" t="s">
        <v>278</v>
      </c>
    </row>
    <row r="378" spans="2:26">
      <c r="B378" s="7"/>
      <c r="C378" s="4"/>
      <c r="D378" s="4"/>
      <c r="E378" s="4"/>
      <c r="F378" s="4"/>
      <c r="G378" s="4"/>
      <c r="H378" s="73"/>
      <c r="I378" s="4"/>
      <c r="J378" s="4"/>
      <c r="K378" s="4"/>
      <c r="L378" s="7"/>
      <c r="M378" s="4"/>
      <c r="N378" s="4"/>
    </row>
    <row r="379" spans="2:26" ht="170.5">
      <c r="B379" s="64">
        <v>153</v>
      </c>
      <c r="C379" s="4" t="s">
        <v>0</v>
      </c>
      <c r="D379" s="64">
        <v>1</v>
      </c>
      <c r="E379" s="2" t="s">
        <v>66</v>
      </c>
      <c r="F379" s="25">
        <v>182000</v>
      </c>
      <c r="G379" s="65">
        <f>ROUND(D379*F379,0)</f>
        <v>182000</v>
      </c>
      <c r="H379" s="70">
        <v>1</v>
      </c>
      <c r="I379" s="64" t="str">
        <f>E379</f>
        <v>No</v>
      </c>
      <c r="J379" s="65">
        <f>F379</f>
        <v>182000</v>
      </c>
      <c r="K379" s="65">
        <f>ROUND(H379*J379,0)</f>
        <v>182000</v>
      </c>
      <c r="L379" s="66">
        <f>IF(K379&gt;G379,K379-G379,0)</f>
        <v>0</v>
      </c>
      <c r="M379" s="65">
        <f>IF(G379&gt;K379,G379-K379,0)</f>
        <v>0</v>
      </c>
      <c r="N379" s="4"/>
    </row>
    <row r="380" spans="2:26">
      <c r="B380" s="7"/>
      <c r="C380" s="72" t="s">
        <v>294</v>
      </c>
      <c r="D380" s="4"/>
      <c r="E380" s="4"/>
      <c r="F380" s="4"/>
      <c r="G380" s="4"/>
      <c r="H380" s="73">
        <v>1</v>
      </c>
      <c r="I380" s="4" t="s">
        <v>66</v>
      </c>
      <c r="J380" s="25">
        <v>182000</v>
      </c>
      <c r="K380" s="65">
        <f>ROUND(H380*J380,0)</f>
        <v>182000</v>
      </c>
      <c r="L380" s="66">
        <f>IF(K380&gt;G380,K380-G380,0)</f>
        <v>182000</v>
      </c>
      <c r="M380" s="65">
        <f>IF(G380&gt;K380,G380-K380,0)</f>
        <v>0</v>
      </c>
      <c r="N380" s="4"/>
    </row>
    <row r="381" spans="2:26" ht="155">
      <c r="B381" s="64">
        <v>154</v>
      </c>
      <c r="C381" s="1" t="s">
        <v>214</v>
      </c>
      <c r="D381" s="64">
        <v>1</v>
      </c>
      <c r="E381" s="2" t="s">
        <v>66</v>
      </c>
      <c r="F381" s="25">
        <v>205000</v>
      </c>
      <c r="G381" s="65">
        <f>ROUND(D381*F381,0)</f>
        <v>205000</v>
      </c>
      <c r="H381" s="70">
        <v>1</v>
      </c>
      <c r="I381" s="64" t="str">
        <f>E381</f>
        <v>No</v>
      </c>
      <c r="J381" s="65">
        <f>F381</f>
        <v>205000</v>
      </c>
      <c r="K381" s="65">
        <f>ROUND(H381*J381,0)</f>
        <v>205000</v>
      </c>
      <c r="L381" s="66">
        <f>IF(K381&gt;G381,K381-G381,0)</f>
        <v>0</v>
      </c>
      <c r="M381" s="65">
        <f>IF(G381&gt;K381,G381-K381,0)</f>
        <v>0</v>
      </c>
      <c r="N381" s="4"/>
    </row>
    <row r="382" spans="2:26">
      <c r="B382" s="7"/>
      <c r="C382" s="4"/>
      <c r="D382" s="4"/>
      <c r="E382" s="4"/>
      <c r="F382" s="4"/>
      <c r="G382" s="4"/>
      <c r="H382" s="73"/>
      <c r="I382" s="4"/>
      <c r="J382" s="4"/>
      <c r="K382" s="4"/>
      <c r="L382" s="7"/>
      <c r="M382" s="4"/>
      <c r="N382" s="4"/>
    </row>
    <row r="383" spans="2:26" ht="161.25" customHeight="1">
      <c r="B383" s="64">
        <v>155</v>
      </c>
      <c r="C383" s="4" t="s">
        <v>1</v>
      </c>
      <c r="D383" s="64">
        <v>20</v>
      </c>
      <c r="E383" s="2" t="s">
        <v>60</v>
      </c>
      <c r="F383" s="25">
        <v>1020</v>
      </c>
      <c r="G383" s="65">
        <f>ROUND(D383*F383,0)</f>
        <v>20400</v>
      </c>
      <c r="H383" s="70">
        <v>10</v>
      </c>
      <c r="I383" s="64" t="str">
        <f>E383</f>
        <v>Rmt</v>
      </c>
      <c r="J383" s="65">
        <f>F383</f>
        <v>1020</v>
      </c>
      <c r="K383" s="65">
        <f>ROUND(H383*J383,0)</f>
        <v>10200</v>
      </c>
      <c r="L383" s="66">
        <f>IF(K383&gt;G383,K383-G383,0)</f>
        <v>0</v>
      </c>
      <c r="M383" s="65">
        <f>IF(G383&gt;K383,G383-K383,0)</f>
        <v>10200</v>
      </c>
      <c r="N383" s="4"/>
      <c r="Z383" s="29"/>
    </row>
    <row r="384" spans="2:26">
      <c r="B384" s="7"/>
      <c r="C384" s="4"/>
      <c r="D384" s="4"/>
      <c r="E384" s="4"/>
      <c r="F384" s="4"/>
      <c r="G384" s="4"/>
      <c r="H384" s="73"/>
      <c r="I384" s="4"/>
      <c r="J384" s="4"/>
      <c r="K384" s="4"/>
      <c r="L384" s="7"/>
      <c r="M384" s="4"/>
      <c r="N384" s="4"/>
    </row>
    <row r="385" spans="2:14" ht="155">
      <c r="B385" s="64">
        <v>156</v>
      </c>
      <c r="C385" s="4" t="s">
        <v>2</v>
      </c>
      <c r="D385" s="64">
        <v>20</v>
      </c>
      <c r="E385" s="2" t="s">
        <v>60</v>
      </c>
      <c r="F385" s="25">
        <v>1190</v>
      </c>
      <c r="G385" s="65">
        <f>ROUND(D385*F385,0)</f>
        <v>23800</v>
      </c>
      <c r="H385" s="70">
        <v>12</v>
      </c>
      <c r="I385" s="64" t="str">
        <f>E385</f>
        <v>Rmt</v>
      </c>
      <c r="J385" s="65">
        <f>F385</f>
        <v>1190</v>
      </c>
      <c r="K385" s="65">
        <f>ROUND(H385*J385,0)</f>
        <v>14280</v>
      </c>
      <c r="L385" s="66">
        <f>IF(K385&gt;G385,K385-G385,0)</f>
        <v>0</v>
      </c>
      <c r="M385" s="65">
        <f>IF(G385&gt;K385,G385-K385,0)</f>
        <v>9520</v>
      </c>
      <c r="N385" s="4"/>
    </row>
    <row r="386" spans="2:14">
      <c r="B386" s="7"/>
      <c r="C386" s="4"/>
      <c r="D386" s="4"/>
      <c r="E386" s="4"/>
      <c r="F386" s="4"/>
      <c r="G386" s="4"/>
      <c r="H386" s="73"/>
      <c r="I386" s="4"/>
      <c r="J386" s="4"/>
      <c r="K386" s="4"/>
      <c r="L386" s="7"/>
      <c r="M386" s="4"/>
      <c r="N386" s="4"/>
    </row>
    <row r="387" spans="2:14" ht="46.5">
      <c r="B387" s="64">
        <v>157</v>
      </c>
      <c r="C387" s="4" t="s">
        <v>3</v>
      </c>
      <c r="D387" s="64">
        <v>50</v>
      </c>
      <c r="E387" s="2" t="s">
        <v>60</v>
      </c>
      <c r="F387" s="25">
        <v>670</v>
      </c>
      <c r="G387" s="65">
        <f>ROUND(D387*F387,0)</f>
        <v>33500</v>
      </c>
      <c r="H387" s="70">
        <v>0</v>
      </c>
      <c r="I387" s="64" t="str">
        <f>E387</f>
        <v>Rmt</v>
      </c>
      <c r="J387" s="65">
        <f>F387</f>
        <v>670</v>
      </c>
      <c r="K387" s="65">
        <f>ROUND(H387*J387,0)</f>
        <v>0</v>
      </c>
      <c r="L387" s="66">
        <f>IF(K387&gt;G387,K387-G387,0)</f>
        <v>0</v>
      </c>
      <c r="M387" s="65">
        <f>IF(G387&gt;K387,G387-K387,0)</f>
        <v>33500</v>
      </c>
      <c r="N387" s="4"/>
    </row>
    <row r="388" spans="2:14">
      <c r="B388" s="7"/>
      <c r="C388" s="4"/>
      <c r="D388" s="4"/>
      <c r="E388" s="4"/>
      <c r="F388" s="4"/>
      <c r="G388" s="4"/>
      <c r="H388" s="73"/>
      <c r="I388" s="4"/>
      <c r="J388" s="4"/>
      <c r="K388" s="4"/>
      <c r="L388" s="7"/>
      <c r="M388" s="4"/>
      <c r="N388" s="4"/>
    </row>
    <row r="389" spans="2:14" ht="46.5">
      <c r="B389" s="64">
        <v>158</v>
      </c>
      <c r="C389" s="4" t="s">
        <v>4</v>
      </c>
      <c r="D389" s="64">
        <v>50</v>
      </c>
      <c r="E389" s="2" t="s">
        <v>60</v>
      </c>
      <c r="F389" s="25">
        <v>515</v>
      </c>
      <c r="G389" s="65">
        <f>ROUND(D389*F389,0)</f>
        <v>25750</v>
      </c>
      <c r="H389" s="70">
        <v>12</v>
      </c>
      <c r="I389" s="64" t="str">
        <f>E389</f>
        <v>Rmt</v>
      </c>
      <c r="J389" s="65">
        <f>F389</f>
        <v>515</v>
      </c>
      <c r="K389" s="65">
        <f>ROUND(H389*J389,0)</f>
        <v>6180</v>
      </c>
      <c r="L389" s="66">
        <f>IF(K389&gt;G389,K389-G389,0)</f>
        <v>0</v>
      </c>
      <c r="M389" s="65">
        <f>IF(G389&gt;K389,G389-K389,0)</f>
        <v>19570</v>
      </c>
      <c r="N389" s="4"/>
    </row>
    <row r="390" spans="2:14">
      <c r="B390" s="7"/>
      <c r="C390" s="4"/>
      <c r="D390" s="4"/>
      <c r="E390" s="4"/>
      <c r="F390" s="4"/>
      <c r="G390" s="4"/>
      <c r="H390" s="73"/>
      <c r="I390" s="4"/>
      <c r="J390" s="4"/>
      <c r="K390" s="4"/>
      <c r="L390" s="7"/>
      <c r="M390" s="4"/>
      <c r="N390" s="4"/>
    </row>
    <row r="391" spans="2:14" ht="124">
      <c r="B391" s="64">
        <v>159</v>
      </c>
      <c r="C391" s="4" t="s">
        <v>5</v>
      </c>
      <c r="D391" s="64">
        <v>30</v>
      </c>
      <c r="E391" s="2" t="s">
        <v>62</v>
      </c>
      <c r="F391" s="25">
        <v>2600</v>
      </c>
      <c r="G391" s="65">
        <f>ROUND(D391*F391,0)</f>
        <v>78000</v>
      </c>
      <c r="H391" s="70">
        <v>0</v>
      </c>
      <c r="I391" s="64" t="str">
        <f>E391</f>
        <v>Sqm</v>
      </c>
      <c r="J391" s="65">
        <f>F391</f>
        <v>2600</v>
      </c>
      <c r="K391" s="65">
        <f>ROUND(H391*J391,0)</f>
        <v>0</v>
      </c>
      <c r="L391" s="66">
        <f>IF(K391&gt;G391,K391-G391,0)</f>
        <v>0</v>
      </c>
      <c r="M391" s="65">
        <f>IF(G391&gt;K391,G391-K391,0)</f>
        <v>78000</v>
      </c>
      <c r="N391" s="4"/>
    </row>
    <row r="392" spans="2:14">
      <c r="B392" s="7"/>
      <c r="C392" s="4"/>
      <c r="D392" s="4"/>
      <c r="E392" s="4"/>
      <c r="F392" s="4"/>
      <c r="G392" s="4"/>
      <c r="H392" s="73"/>
      <c r="I392" s="4"/>
      <c r="J392" s="4"/>
      <c r="K392" s="4"/>
      <c r="L392" s="7"/>
      <c r="M392" s="4"/>
      <c r="N392" s="4"/>
    </row>
    <row r="393" spans="2:14" ht="124">
      <c r="B393" s="64">
        <v>160</v>
      </c>
      <c r="C393" s="4" t="s">
        <v>6</v>
      </c>
      <c r="D393" s="64">
        <v>250</v>
      </c>
      <c r="E393" s="2" t="s">
        <v>62</v>
      </c>
      <c r="F393" s="25">
        <v>2325</v>
      </c>
      <c r="G393" s="65">
        <f>ROUND(D393*F393,0)</f>
        <v>581250</v>
      </c>
      <c r="H393" s="70">
        <v>230.19</v>
      </c>
      <c r="I393" s="64" t="str">
        <f>E393</f>
        <v>Sqm</v>
      </c>
      <c r="J393" s="65">
        <f>F393</f>
        <v>2325</v>
      </c>
      <c r="K393" s="65">
        <f>ROUND(H393*J393,0)</f>
        <v>535192</v>
      </c>
      <c r="L393" s="66">
        <f>IF(K393&gt;G393,K393-G393,0)</f>
        <v>0</v>
      </c>
      <c r="M393" s="65">
        <f>IF(G393&gt;K393,G393-K393,0)</f>
        <v>46058</v>
      </c>
      <c r="N393" s="4"/>
    </row>
    <row r="394" spans="2:14">
      <c r="B394" s="7"/>
      <c r="C394" s="4"/>
      <c r="D394" s="4"/>
      <c r="E394" s="4"/>
      <c r="F394" s="4"/>
      <c r="G394" s="4"/>
      <c r="H394" s="73"/>
      <c r="I394" s="4"/>
      <c r="J394" s="4"/>
      <c r="K394" s="4"/>
      <c r="L394" s="7"/>
      <c r="M394" s="4"/>
      <c r="N394" s="4"/>
    </row>
    <row r="395" spans="2:14" ht="31">
      <c r="B395" s="64">
        <v>161</v>
      </c>
      <c r="C395" s="1" t="s">
        <v>215</v>
      </c>
      <c r="D395" s="64">
        <v>2</v>
      </c>
      <c r="E395" s="2" t="s">
        <v>62</v>
      </c>
      <c r="F395" s="25">
        <v>15800</v>
      </c>
      <c r="G395" s="65">
        <f>ROUND(D395*F395,0)</f>
        <v>31600</v>
      </c>
      <c r="H395" s="70">
        <v>1.24</v>
      </c>
      <c r="I395" s="64" t="str">
        <f>E395</f>
        <v>Sqm</v>
      </c>
      <c r="J395" s="65">
        <f>F395</f>
        <v>15800</v>
      </c>
      <c r="K395" s="65">
        <f>ROUND(H395*J395,0)</f>
        <v>19592</v>
      </c>
      <c r="L395" s="66">
        <f>IF(K395&gt;G395,K395-G395,0)</f>
        <v>0</v>
      </c>
      <c r="M395" s="65">
        <f>IF(G395&gt;K395,G395-K395,0)</f>
        <v>12008</v>
      </c>
      <c r="N395" s="4"/>
    </row>
    <row r="396" spans="2:14">
      <c r="B396" s="7"/>
      <c r="C396" s="4"/>
      <c r="D396" s="4"/>
      <c r="E396" s="4"/>
      <c r="F396" s="4"/>
      <c r="G396" s="4"/>
      <c r="H396" s="73"/>
      <c r="I396" s="4"/>
      <c r="J396" s="4"/>
      <c r="K396" s="4"/>
      <c r="L396" s="7"/>
      <c r="M396" s="4"/>
      <c r="N396" s="4"/>
    </row>
    <row r="397" spans="2:14" ht="31">
      <c r="B397" s="64">
        <v>162</v>
      </c>
      <c r="C397" s="1" t="s">
        <v>216</v>
      </c>
      <c r="D397" s="64">
        <v>2</v>
      </c>
      <c r="E397" s="2" t="s">
        <v>62</v>
      </c>
      <c r="F397" s="25">
        <v>25900</v>
      </c>
      <c r="G397" s="65">
        <f>ROUND(D397*F397,0)</f>
        <v>51800</v>
      </c>
      <c r="H397" s="70">
        <v>0.84</v>
      </c>
      <c r="I397" s="64" t="str">
        <f>E397</f>
        <v>Sqm</v>
      </c>
      <c r="J397" s="65">
        <f>F397</f>
        <v>25900</v>
      </c>
      <c r="K397" s="65">
        <f>ROUND(H397*J397,0)</f>
        <v>21756</v>
      </c>
      <c r="L397" s="66">
        <f>IF(K397&gt;G397,K397-G397,0)</f>
        <v>0</v>
      </c>
      <c r="M397" s="65">
        <f>IF(G397&gt;K397,G397-K397,0)</f>
        <v>30044</v>
      </c>
      <c r="N397" s="4"/>
    </row>
    <row r="398" spans="2:14">
      <c r="B398" s="7"/>
      <c r="C398" s="4"/>
      <c r="D398" s="4"/>
      <c r="E398" s="4"/>
      <c r="F398" s="4"/>
      <c r="G398" s="4"/>
      <c r="H398" s="73"/>
      <c r="I398" s="4"/>
      <c r="J398" s="4"/>
      <c r="K398" s="4"/>
      <c r="L398" s="7"/>
      <c r="M398" s="4"/>
      <c r="N398" s="4"/>
    </row>
    <row r="399" spans="2:14" ht="31">
      <c r="B399" s="64">
        <v>163</v>
      </c>
      <c r="C399" s="1" t="s">
        <v>217</v>
      </c>
      <c r="D399" s="64">
        <v>2</v>
      </c>
      <c r="E399" s="2" t="s">
        <v>62</v>
      </c>
      <c r="F399" s="25">
        <v>26300</v>
      </c>
      <c r="G399" s="65">
        <f>ROUND(D399*F399,0)</f>
        <v>52600</v>
      </c>
      <c r="H399" s="80">
        <v>2</v>
      </c>
      <c r="I399" s="64" t="str">
        <f>E399</f>
        <v>Sqm</v>
      </c>
      <c r="J399" s="65">
        <f>F399</f>
        <v>26300</v>
      </c>
      <c r="K399" s="65">
        <f>ROUND(H399*J399,0)</f>
        <v>52600</v>
      </c>
      <c r="L399" s="66">
        <f>IF(K399&gt;G399,K399-G399,0)</f>
        <v>0</v>
      </c>
      <c r="M399" s="65">
        <f>IF(G399&gt;K399,G399-K399,0)</f>
        <v>0</v>
      </c>
      <c r="N399" s="4"/>
    </row>
    <row r="400" spans="2:14">
      <c r="B400" s="7"/>
      <c r="C400" s="72" t="s">
        <v>294</v>
      </c>
      <c r="D400" s="4"/>
      <c r="E400" s="4"/>
      <c r="F400" s="4"/>
      <c r="G400" s="4"/>
      <c r="H400" s="75">
        <v>1.29</v>
      </c>
      <c r="I400" s="4" t="s">
        <v>62</v>
      </c>
      <c r="J400" s="25">
        <v>26300</v>
      </c>
      <c r="K400" s="65">
        <f>ROUND(H400*J400,0)</f>
        <v>33927</v>
      </c>
      <c r="L400" s="66">
        <f>IF(K400&gt;G400,K400-G400,0)</f>
        <v>33927</v>
      </c>
      <c r="M400" s="65">
        <f>IF(G400&gt;K400,G400-K400,0)</f>
        <v>0</v>
      </c>
      <c r="N400" s="4"/>
    </row>
    <row r="401" spans="2:14" ht="31">
      <c r="B401" s="64">
        <v>164</v>
      </c>
      <c r="C401" s="1" t="s">
        <v>218</v>
      </c>
      <c r="D401" s="64">
        <v>1</v>
      </c>
      <c r="E401" s="2" t="s">
        <v>62</v>
      </c>
      <c r="F401" s="25">
        <v>8125</v>
      </c>
      <c r="G401" s="65">
        <f>ROUND(D401*F401,0)</f>
        <v>8125</v>
      </c>
      <c r="H401" s="80">
        <v>1</v>
      </c>
      <c r="I401" s="64" t="str">
        <f>E401</f>
        <v>Sqm</v>
      </c>
      <c r="J401" s="65">
        <f>F401</f>
        <v>8125</v>
      </c>
      <c r="K401" s="65">
        <f>ROUND(H401*J401,0)</f>
        <v>8125</v>
      </c>
      <c r="L401" s="66">
        <f>IF(K401&gt;G401,K401-G401,0)</f>
        <v>0</v>
      </c>
      <c r="M401" s="65">
        <f>IF(G401&gt;K401,G401-K401,0)</f>
        <v>0</v>
      </c>
      <c r="N401" s="4"/>
    </row>
    <row r="402" spans="2:14">
      <c r="B402" s="7"/>
      <c r="C402" s="72" t="s">
        <v>294</v>
      </c>
      <c r="D402" s="4"/>
      <c r="E402" s="4"/>
      <c r="F402" s="4"/>
      <c r="G402" s="4"/>
      <c r="H402" s="73">
        <v>0.25</v>
      </c>
      <c r="I402" s="4" t="s">
        <v>62</v>
      </c>
      <c r="J402" s="25">
        <v>8125</v>
      </c>
      <c r="K402" s="65">
        <f>ROUND(H402*J402,0)</f>
        <v>2031</v>
      </c>
      <c r="L402" s="66">
        <f>IF(K402&gt;G402,K402-G402,0)</f>
        <v>2031</v>
      </c>
      <c r="M402" s="65">
        <f>IF(G402&gt;K402,G402-K402,0)</f>
        <v>0</v>
      </c>
      <c r="N402" s="4"/>
    </row>
    <row r="403" spans="2:14" ht="31">
      <c r="B403" s="64">
        <v>165</v>
      </c>
      <c r="C403" s="1" t="s">
        <v>219</v>
      </c>
      <c r="D403" s="64">
        <v>1</v>
      </c>
      <c r="E403" s="2" t="s">
        <v>62</v>
      </c>
      <c r="F403" s="25">
        <v>7550</v>
      </c>
      <c r="G403" s="65">
        <f>ROUND(D403*F403,0)</f>
        <v>7550</v>
      </c>
      <c r="H403" s="70">
        <v>0.72</v>
      </c>
      <c r="I403" s="64" t="str">
        <f>E403</f>
        <v>Sqm</v>
      </c>
      <c r="J403" s="65">
        <f>F403</f>
        <v>7550</v>
      </c>
      <c r="K403" s="65">
        <f>ROUND(H403*J403,0)</f>
        <v>5436</v>
      </c>
      <c r="L403" s="66">
        <f>IF(K403&gt;G403,K403-G403,0)</f>
        <v>0</v>
      </c>
      <c r="M403" s="65">
        <f>IF(G403&gt;K403,G403-K403,0)</f>
        <v>2114</v>
      </c>
      <c r="N403" s="4"/>
    </row>
    <row r="404" spans="2:14">
      <c r="B404" s="7"/>
      <c r="C404" s="4"/>
      <c r="D404" s="4"/>
      <c r="E404" s="4"/>
      <c r="F404" s="4"/>
      <c r="G404" s="4"/>
      <c r="H404" s="73"/>
      <c r="I404" s="4"/>
      <c r="J404" s="4"/>
      <c r="K404" s="4"/>
      <c r="L404" s="7"/>
      <c r="M404" s="4"/>
      <c r="N404" s="4"/>
    </row>
    <row r="405" spans="2:14" ht="46.5">
      <c r="B405" s="64">
        <v>166</v>
      </c>
      <c r="C405" s="1" t="s">
        <v>286</v>
      </c>
      <c r="D405" s="64">
        <v>2</v>
      </c>
      <c r="E405" s="2" t="s">
        <v>66</v>
      </c>
      <c r="F405" s="25">
        <v>10500</v>
      </c>
      <c r="G405" s="65">
        <f>ROUND(D405*F405,0)</f>
        <v>21000</v>
      </c>
      <c r="H405" s="70">
        <v>2</v>
      </c>
      <c r="I405" s="64" t="str">
        <f>E405</f>
        <v>No</v>
      </c>
      <c r="J405" s="65">
        <f>F405</f>
        <v>10500</v>
      </c>
      <c r="K405" s="65">
        <f>ROUND(H405*J405,0)</f>
        <v>21000</v>
      </c>
      <c r="L405" s="66">
        <f>IF(K405&gt;G405,K405-G405,0)</f>
        <v>0</v>
      </c>
      <c r="M405" s="65">
        <f>IF(G405&gt;K405,G405-K405,0)</f>
        <v>0</v>
      </c>
      <c r="N405" s="4"/>
    </row>
    <row r="406" spans="2:14">
      <c r="B406" s="7"/>
      <c r="C406" s="72" t="s">
        <v>294</v>
      </c>
      <c r="D406" s="4"/>
      <c r="E406" s="4"/>
      <c r="F406" s="4"/>
      <c r="G406" s="4"/>
      <c r="H406" s="73">
        <v>1</v>
      </c>
      <c r="I406" s="4" t="s">
        <v>66</v>
      </c>
      <c r="J406" s="25">
        <v>10500</v>
      </c>
      <c r="K406" s="65">
        <f>ROUND(H406*J406,0)</f>
        <v>10500</v>
      </c>
      <c r="L406" s="66">
        <f>IF(K406&gt;G406,K406-G406,0)</f>
        <v>10500</v>
      </c>
      <c r="M406" s="65">
        <f>IF(G406&gt;K406,G406-K406,0)</f>
        <v>0</v>
      </c>
      <c r="N406" s="4"/>
    </row>
    <row r="407" spans="2:14" ht="46.5">
      <c r="B407" s="64">
        <v>167</v>
      </c>
      <c r="C407" s="1" t="s">
        <v>220</v>
      </c>
      <c r="D407" s="64">
        <v>2</v>
      </c>
      <c r="E407" s="2" t="s">
        <v>66</v>
      </c>
      <c r="F407" s="25">
        <v>12900</v>
      </c>
      <c r="G407" s="65">
        <f>ROUND(D407*F407,0)</f>
        <v>25800</v>
      </c>
      <c r="H407" s="70">
        <v>2</v>
      </c>
      <c r="I407" s="64" t="str">
        <f>E407</f>
        <v>No</v>
      </c>
      <c r="J407" s="65">
        <f>F407</f>
        <v>12900</v>
      </c>
      <c r="K407" s="65">
        <f>ROUND(H407*J407,0)</f>
        <v>25800</v>
      </c>
      <c r="L407" s="66">
        <f>IF(K407&gt;G407,K407-G407,0)</f>
        <v>0</v>
      </c>
      <c r="M407" s="65">
        <f>IF(G407&gt;K407,G407-K407,0)</f>
        <v>0</v>
      </c>
      <c r="N407" s="4"/>
    </row>
    <row r="408" spans="2:14">
      <c r="B408" s="7"/>
      <c r="C408" s="4"/>
      <c r="D408" s="4"/>
      <c r="E408" s="4"/>
      <c r="F408" s="4"/>
      <c r="G408" s="4"/>
      <c r="H408" s="73"/>
      <c r="I408" s="4"/>
      <c r="J408" s="4"/>
      <c r="K408" s="4"/>
      <c r="L408" s="7"/>
      <c r="M408" s="4"/>
      <c r="N408" s="4"/>
    </row>
    <row r="409" spans="2:14" ht="31">
      <c r="B409" s="64">
        <v>168</v>
      </c>
      <c r="C409" s="1" t="s">
        <v>221</v>
      </c>
      <c r="D409" s="64">
        <v>1</v>
      </c>
      <c r="E409" s="2" t="s">
        <v>62</v>
      </c>
      <c r="F409" s="25">
        <v>10300</v>
      </c>
      <c r="G409" s="65">
        <f>ROUND(D409*F409,0)</f>
        <v>10300</v>
      </c>
      <c r="H409" s="70">
        <v>0.12</v>
      </c>
      <c r="I409" s="64" t="str">
        <f>E409</f>
        <v>Sqm</v>
      </c>
      <c r="J409" s="65">
        <f>F409</f>
        <v>10300</v>
      </c>
      <c r="K409" s="65">
        <f>ROUND(H409*J409,0)</f>
        <v>1236</v>
      </c>
      <c r="L409" s="66">
        <f>IF(K409&gt;G409,K409-G409,0)</f>
        <v>0</v>
      </c>
      <c r="M409" s="65">
        <f>IF(G409&gt;K409,G409-K409,0)</f>
        <v>9064</v>
      </c>
      <c r="N409" s="4"/>
    </row>
    <row r="410" spans="2:14">
      <c r="B410" s="7"/>
      <c r="C410" s="4"/>
      <c r="D410" s="4"/>
      <c r="E410" s="4"/>
      <c r="F410" s="4"/>
      <c r="G410" s="4"/>
      <c r="H410" s="73"/>
      <c r="I410" s="4"/>
      <c r="J410" s="4"/>
      <c r="K410" s="4"/>
      <c r="L410" s="7"/>
      <c r="M410" s="4"/>
      <c r="N410" s="4"/>
    </row>
    <row r="411" spans="2:14" ht="62">
      <c r="B411" s="64">
        <v>169</v>
      </c>
      <c r="C411" s="4" t="s">
        <v>7</v>
      </c>
      <c r="D411" s="64">
        <v>130</v>
      </c>
      <c r="E411" s="2" t="s">
        <v>62</v>
      </c>
      <c r="F411" s="25">
        <v>1225</v>
      </c>
      <c r="G411" s="65">
        <f>ROUND(D411*F411,0)</f>
        <v>159250</v>
      </c>
      <c r="H411" s="70">
        <v>119.84</v>
      </c>
      <c r="I411" s="64" t="str">
        <f>E411</f>
        <v>Sqm</v>
      </c>
      <c r="J411" s="65">
        <f>F411</f>
        <v>1225</v>
      </c>
      <c r="K411" s="65">
        <f>ROUND(H411*J411,0)</f>
        <v>146804</v>
      </c>
      <c r="L411" s="66">
        <f>IF(K411&gt;G411,K411-G411,0)</f>
        <v>0</v>
      </c>
      <c r="M411" s="65">
        <f>IF(G411&gt;K411,G411-K411,0)</f>
        <v>12446</v>
      </c>
      <c r="N411" s="4"/>
    </row>
    <row r="412" spans="2:14">
      <c r="B412" s="7"/>
      <c r="C412" s="4"/>
      <c r="D412" s="4"/>
      <c r="E412" s="4"/>
      <c r="F412" s="4"/>
      <c r="G412" s="4"/>
      <c r="H412" s="73"/>
      <c r="I412" s="4"/>
      <c r="J412" s="4"/>
      <c r="K412" s="4"/>
      <c r="L412" s="7"/>
      <c r="M412" s="4"/>
      <c r="N412" s="4"/>
    </row>
    <row r="413" spans="2:14" ht="62">
      <c r="B413" s="64">
        <v>170</v>
      </c>
      <c r="C413" s="4" t="s">
        <v>8</v>
      </c>
      <c r="D413" s="64">
        <v>130</v>
      </c>
      <c r="E413" s="2" t="s">
        <v>62</v>
      </c>
      <c r="F413" s="25">
        <v>1075</v>
      </c>
      <c r="G413" s="65">
        <f>ROUND(D413*F413,0)</f>
        <v>139750</v>
      </c>
      <c r="H413" s="70">
        <v>84.41</v>
      </c>
      <c r="I413" s="64" t="str">
        <f>E413</f>
        <v>Sqm</v>
      </c>
      <c r="J413" s="65">
        <f>F413</f>
        <v>1075</v>
      </c>
      <c r="K413" s="65">
        <f>ROUND(H413*J413,0)</f>
        <v>90741</v>
      </c>
      <c r="L413" s="66">
        <f>IF(K413&gt;G413,K413-G413,0)</f>
        <v>0</v>
      </c>
      <c r="M413" s="65">
        <f>IF(G413&gt;K413,G413-K413,0)</f>
        <v>49009</v>
      </c>
      <c r="N413" s="4"/>
    </row>
    <row r="414" spans="2:14">
      <c r="B414" s="7"/>
      <c r="C414" s="4"/>
      <c r="D414" s="4"/>
      <c r="E414" s="4"/>
      <c r="F414" s="4"/>
      <c r="G414" s="4"/>
      <c r="H414" s="73"/>
      <c r="I414" s="4"/>
      <c r="J414" s="4"/>
      <c r="K414" s="4"/>
      <c r="L414" s="7"/>
      <c r="M414" s="4"/>
      <c r="N414" s="4"/>
    </row>
    <row r="415" spans="2:14" ht="46.5">
      <c r="B415" s="64">
        <v>171</v>
      </c>
      <c r="C415" s="4" t="s">
        <v>9</v>
      </c>
      <c r="D415" s="64">
        <v>40</v>
      </c>
      <c r="E415" s="2" t="s">
        <v>62</v>
      </c>
      <c r="F415" s="25">
        <v>785</v>
      </c>
      <c r="G415" s="65">
        <f>ROUND(D415*F415,0)</f>
        <v>31400</v>
      </c>
      <c r="H415" s="70">
        <v>40</v>
      </c>
      <c r="I415" s="64" t="str">
        <f>E415</f>
        <v>Sqm</v>
      </c>
      <c r="J415" s="65">
        <f>F415</f>
        <v>785</v>
      </c>
      <c r="K415" s="65">
        <f>ROUND(H415*J415,0)</f>
        <v>31400</v>
      </c>
      <c r="L415" s="66">
        <f>IF(K415&gt;G415,K415-G415,0)</f>
        <v>0</v>
      </c>
      <c r="M415" s="65">
        <f>IF(G415&gt;K415,G415-K415,0)</f>
        <v>0</v>
      </c>
      <c r="N415" s="4"/>
    </row>
    <row r="416" spans="2:14">
      <c r="B416" s="7"/>
      <c r="C416" s="72" t="s">
        <v>294</v>
      </c>
      <c r="D416" s="4"/>
      <c r="E416" s="4"/>
      <c r="F416" s="4"/>
      <c r="G416" s="4"/>
      <c r="H416" s="73">
        <v>35.04</v>
      </c>
      <c r="I416" s="4" t="s">
        <v>62</v>
      </c>
      <c r="J416" s="25">
        <v>785</v>
      </c>
      <c r="K416" s="65">
        <f>ROUND(H416*J416,0)</f>
        <v>27506</v>
      </c>
      <c r="L416" s="66">
        <f>IF(K416&gt;G416,K416-G416,0)</f>
        <v>27506</v>
      </c>
      <c r="M416" s="65">
        <f>IF(G416&gt;K416,G416-K416,0)</f>
        <v>0</v>
      </c>
      <c r="N416" s="4"/>
    </row>
    <row r="417" spans="2:14" ht="46.5">
      <c r="B417" s="64">
        <v>172</v>
      </c>
      <c r="C417" s="4" t="s">
        <v>10</v>
      </c>
      <c r="D417" s="64">
        <v>40</v>
      </c>
      <c r="E417" s="2" t="s">
        <v>62</v>
      </c>
      <c r="F417" s="25">
        <v>660</v>
      </c>
      <c r="G417" s="65">
        <f>ROUND(D417*F417,0)</f>
        <v>26400</v>
      </c>
      <c r="H417" s="70">
        <v>19.239999999999998</v>
      </c>
      <c r="I417" s="64" t="str">
        <f>E417</f>
        <v>Sqm</v>
      </c>
      <c r="J417" s="65">
        <f>F417</f>
        <v>660</v>
      </c>
      <c r="K417" s="65">
        <f>ROUND(H417*J417,0)</f>
        <v>12698</v>
      </c>
      <c r="L417" s="66">
        <f>IF(K417&gt;G417,K417-G417,0)</f>
        <v>0</v>
      </c>
      <c r="M417" s="65">
        <f>IF(G417&gt;K417,G417-K417,0)</f>
        <v>13702</v>
      </c>
      <c r="N417" s="4"/>
    </row>
    <row r="418" spans="2:14">
      <c r="B418" s="7"/>
      <c r="C418" s="4"/>
      <c r="D418" s="4"/>
      <c r="E418" s="4"/>
      <c r="F418" s="4"/>
      <c r="G418" s="4"/>
      <c r="H418" s="73"/>
      <c r="I418" s="4"/>
      <c r="J418" s="4"/>
      <c r="K418" s="4"/>
      <c r="L418" s="7"/>
      <c r="M418" s="4"/>
      <c r="N418" s="4"/>
    </row>
    <row r="419" spans="2:14" ht="310">
      <c r="B419" s="64">
        <v>173</v>
      </c>
      <c r="C419" s="1" t="s">
        <v>287</v>
      </c>
      <c r="D419" s="64">
        <v>1</v>
      </c>
      <c r="E419" s="2" t="s">
        <v>222</v>
      </c>
      <c r="F419" s="25">
        <v>325000</v>
      </c>
      <c r="G419" s="65">
        <f>ROUND(D419*F419,0)</f>
        <v>325000</v>
      </c>
      <c r="H419" s="70">
        <v>1</v>
      </c>
      <c r="I419" s="64" t="str">
        <f>E419</f>
        <v>Set</v>
      </c>
      <c r="J419" s="65">
        <f>F419</f>
        <v>325000</v>
      </c>
      <c r="K419" s="65">
        <f>ROUND(H419*J419,0)</f>
        <v>325000</v>
      </c>
      <c r="L419" s="66">
        <f>IF(K419&gt;G419,K419-G419,0)</f>
        <v>0</v>
      </c>
      <c r="M419" s="65">
        <f>IF(G419&gt;K419,G419-K419,0)</f>
        <v>0</v>
      </c>
      <c r="N419" s="4"/>
    </row>
    <row r="420" spans="2:14">
      <c r="B420" s="7"/>
      <c r="C420" s="4"/>
      <c r="D420" s="4"/>
      <c r="E420" s="4"/>
      <c r="F420" s="4"/>
      <c r="G420" s="4"/>
      <c r="H420" s="73"/>
      <c r="I420" s="4"/>
      <c r="J420" s="4"/>
      <c r="K420" s="4"/>
      <c r="L420" s="7"/>
      <c r="M420" s="4"/>
      <c r="N420" s="4"/>
    </row>
    <row r="421" spans="2:14" ht="139.5">
      <c r="B421" s="64">
        <v>174</v>
      </c>
      <c r="C421" s="1" t="s">
        <v>223</v>
      </c>
      <c r="D421" s="64">
        <v>2</v>
      </c>
      <c r="E421" s="2" t="s">
        <v>66</v>
      </c>
      <c r="F421" s="25">
        <v>30700</v>
      </c>
      <c r="G421" s="65">
        <f>ROUND(D421*F421,0)</f>
        <v>61400</v>
      </c>
      <c r="H421" s="70">
        <v>1</v>
      </c>
      <c r="I421" s="64" t="str">
        <f>E421</f>
        <v>No</v>
      </c>
      <c r="J421" s="65">
        <f>F421</f>
        <v>30700</v>
      </c>
      <c r="K421" s="65">
        <f>ROUND(H421*J421,0)</f>
        <v>30700</v>
      </c>
      <c r="L421" s="66">
        <f>IF(K421&gt;G421,K421-G421,0)</f>
        <v>0</v>
      </c>
      <c r="M421" s="65">
        <f>IF(G421&gt;K421,G421-K421,0)</f>
        <v>30700</v>
      </c>
      <c r="N421" s="4"/>
    </row>
    <row r="422" spans="2:14">
      <c r="B422" s="7"/>
      <c r="C422" s="4"/>
      <c r="D422" s="4"/>
      <c r="E422" s="4"/>
      <c r="F422" s="4"/>
      <c r="G422" s="4"/>
      <c r="H422" s="73"/>
      <c r="I422" s="4"/>
      <c r="J422" s="4"/>
      <c r="K422" s="4"/>
      <c r="L422" s="7"/>
      <c r="M422" s="4"/>
      <c r="N422" s="4"/>
    </row>
    <row r="423" spans="2:14" ht="139.5">
      <c r="B423" s="64">
        <v>175</v>
      </c>
      <c r="C423" s="1" t="s">
        <v>224</v>
      </c>
      <c r="D423" s="64">
        <v>4</v>
      </c>
      <c r="E423" s="2" t="s">
        <v>66</v>
      </c>
      <c r="F423" s="25">
        <v>30700</v>
      </c>
      <c r="G423" s="65">
        <f>ROUND(D423*F423,0)</f>
        <v>122800</v>
      </c>
      <c r="H423" s="70">
        <v>4</v>
      </c>
      <c r="I423" s="64" t="str">
        <f>E423</f>
        <v>No</v>
      </c>
      <c r="J423" s="65">
        <f>F423</f>
        <v>30700</v>
      </c>
      <c r="K423" s="65">
        <f>ROUND(H423*J423,0)</f>
        <v>122800</v>
      </c>
      <c r="L423" s="66">
        <f>IF(K423&gt;G423,K423-G423,0)</f>
        <v>0</v>
      </c>
      <c r="M423" s="65">
        <f>IF(G423&gt;K423,G423-K423,0)</f>
        <v>0</v>
      </c>
      <c r="N423" s="4"/>
    </row>
    <row r="424" spans="2:14">
      <c r="B424" s="7"/>
      <c r="C424" s="4"/>
      <c r="D424" s="4"/>
      <c r="E424" s="4"/>
      <c r="F424" s="4"/>
      <c r="G424" s="4"/>
      <c r="H424" s="73"/>
      <c r="I424" s="4"/>
      <c r="J424" s="4"/>
      <c r="K424" s="4"/>
      <c r="L424" s="7"/>
      <c r="M424" s="4"/>
      <c r="N424" s="4"/>
    </row>
    <row r="425" spans="2:14" ht="139.5">
      <c r="B425" s="64">
        <v>176</v>
      </c>
      <c r="C425" s="4" t="s">
        <v>11</v>
      </c>
      <c r="D425" s="64">
        <v>4</v>
      </c>
      <c r="E425" s="2" t="s">
        <v>66</v>
      </c>
      <c r="F425" s="25">
        <v>35000</v>
      </c>
      <c r="G425" s="65">
        <f>ROUND(D425*F425,0)</f>
        <v>140000</v>
      </c>
      <c r="H425" s="70">
        <v>4</v>
      </c>
      <c r="I425" s="64" t="str">
        <f>E425</f>
        <v>No</v>
      </c>
      <c r="J425" s="65">
        <f>F425</f>
        <v>35000</v>
      </c>
      <c r="K425" s="65">
        <f>ROUND(H425*J425,0)</f>
        <v>140000</v>
      </c>
      <c r="L425" s="66">
        <f>IF(K425&gt;G425,K425-G425,0)</f>
        <v>0</v>
      </c>
      <c r="M425" s="65">
        <f>IF(G425&gt;K425,G425-K425,0)</f>
        <v>0</v>
      </c>
      <c r="N425" s="4"/>
    </row>
    <row r="426" spans="2:14">
      <c r="B426" s="7"/>
      <c r="C426" s="72" t="s">
        <v>294</v>
      </c>
      <c r="D426" s="4"/>
      <c r="E426" s="4"/>
      <c r="F426" s="4"/>
      <c r="G426" s="4"/>
      <c r="H426" s="73">
        <v>1</v>
      </c>
      <c r="I426" s="4" t="s">
        <v>66</v>
      </c>
      <c r="J426" s="25">
        <v>35000</v>
      </c>
      <c r="K426" s="65">
        <f>ROUND(H426*J426,0)</f>
        <v>35000</v>
      </c>
      <c r="L426" s="66">
        <f>IF(K426&gt;G426,K426-G426,0)</f>
        <v>35000</v>
      </c>
      <c r="M426" s="65">
        <f>IF(G426&gt;K426,G426-K426,0)</f>
        <v>0</v>
      </c>
      <c r="N426" s="4"/>
    </row>
    <row r="427" spans="2:14" ht="139.5">
      <c r="B427" s="64">
        <v>177</v>
      </c>
      <c r="C427" s="4" t="s">
        <v>12</v>
      </c>
      <c r="D427" s="64">
        <v>1</v>
      </c>
      <c r="E427" s="2" t="s">
        <v>66</v>
      </c>
      <c r="F427" s="25">
        <v>50000</v>
      </c>
      <c r="G427" s="65">
        <f>ROUND(D427*F427,0)</f>
        <v>50000</v>
      </c>
      <c r="H427" s="70">
        <v>1</v>
      </c>
      <c r="I427" s="64" t="str">
        <f>E427</f>
        <v>No</v>
      </c>
      <c r="J427" s="65">
        <f>F427</f>
        <v>50000</v>
      </c>
      <c r="K427" s="65">
        <f>ROUND(H427*J427,0)</f>
        <v>50000</v>
      </c>
      <c r="L427" s="66">
        <f>IF(K427&gt;G427,K427-G427,0)</f>
        <v>0</v>
      </c>
      <c r="M427" s="65">
        <f>IF(G427&gt;K427,G427-K427,0)</f>
        <v>0</v>
      </c>
      <c r="N427" s="4"/>
    </row>
    <row r="428" spans="2:14">
      <c r="B428" s="7"/>
      <c r="C428" s="4"/>
      <c r="D428" s="4"/>
      <c r="E428" s="4"/>
      <c r="F428" s="4"/>
      <c r="G428" s="4"/>
      <c r="H428" s="73"/>
      <c r="I428" s="4"/>
      <c r="J428" s="4"/>
      <c r="K428" s="4"/>
      <c r="L428" s="7"/>
      <c r="M428" s="4"/>
      <c r="N428" s="4"/>
    </row>
    <row r="429" spans="2:14" ht="217">
      <c r="B429" s="64">
        <v>178</v>
      </c>
      <c r="C429" s="1" t="s">
        <v>225</v>
      </c>
      <c r="D429" s="64">
        <v>1</v>
      </c>
      <c r="E429" s="2" t="s">
        <v>114</v>
      </c>
      <c r="F429" s="25">
        <v>400000</v>
      </c>
      <c r="G429" s="65">
        <f>ROUND(D429*F429,0)</f>
        <v>400000</v>
      </c>
      <c r="H429" s="70">
        <v>1</v>
      </c>
      <c r="I429" s="64" t="str">
        <f>E429</f>
        <v>Lot</v>
      </c>
      <c r="J429" s="65">
        <f>F429</f>
        <v>400000</v>
      </c>
      <c r="K429" s="65">
        <f>ROUND(H429*J429,0)</f>
        <v>400000</v>
      </c>
      <c r="L429" s="66">
        <f>IF(K429&gt;G429,K429-G429,0)</f>
        <v>0</v>
      </c>
      <c r="M429" s="65">
        <f>IF(G429&gt;K429,G429-K429,0)</f>
        <v>0</v>
      </c>
      <c r="N429" s="4"/>
    </row>
    <row r="430" spans="2:14">
      <c r="B430" s="7"/>
      <c r="C430" s="4"/>
      <c r="D430" s="4"/>
      <c r="E430" s="4"/>
      <c r="F430" s="4"/>
      <c r="G430" s="4"/>
      <c r="H430" s="73"/>
      <c r="I430" s="4"/>
      <c r="J430" s="4"/>
      <c r="K430" s="4"/>
      <c r="L430" s="7"/>
      <c r="M430" s="4"/>
      <c r="N430" s="4"/>
    </row>
    <row r="431" spans="2:14" ht="46.5">
      <c r="B431" s="64">
        <v>179</v>
      </c>
      <c r="C431" s="1" t="s">
        <v>226</v>
      </c>
      <c r="D431" s="64">
        <v>10</v>
      </c>
      <c r="E431" s="2" t="s">
        <v>222</v>
      </c>
      <c r="F431" s="25">
        <v>6191</v>
      </c>
      <c r="G431" s="65">
        <f>ROUND(D431*F431,0)</f>
        <v>61910</v>
      </c>
      <c r="H431" s="70">
        <v>10</v>
      </c>
      <c r="I431" s="64" t="str">
        <f>E431</f>
        <v>Set</v>
      </c>
      <c r="J431" s="65">
        <f>F431</f>
        <v>6191</v>
      </c>
      <c r="K431" s="65">
        <f t="shared" ref="K431:K436" si="28">ROUND(H431*J431,0)</f>
        <v>61910</v>
      </c>
      <c r="L431" s="66">
        <f t="shared" ref="L431:L436" si="29">IF(K431&gt;G431,K431-G431,0)</f>
        <v>0</v>
      </c>
      <c r="M431" s="65">
        <f t="shared" ref="M431:M436" si="30">IF(G431&gt;K431,G431-K431,0)</f>
        <v>0</v>
      </c>
      <c r="N431" s="4"/>
    </row>
    <row r="432" spans="2:14">
      <c r="B432" s="7"/>
      <c r="C432" s="72" t="s">
        <v>294</v>
      </c>
      <c r="D432" s="4"/>
      <c r="E432" s="4"/>
      <c r="F432" s="4"/>
      <c r="G432" s="4"/>
      <c r="H432" s="73">
        <v>1</v>
      </c>
      <c r="I432" s="4" t="s">
        <v>222</v>
      </c>
      <c r="J432" s="25">
        <v>6191</v>
      </c>
      <c r="K432" s="65">
        <f t="shared" si="28"/>
        <v>6191</v>
      </c>
      <c r="L432" s="66">
        <f t="shared" si="29"/>
        <v>6191</v>
      </c>
      <c r="M432" s="65">
        <f t="shared" si="30"/>
        <v>0</v>
      </c>
      <c r="N432" s="4"/>
    </row>
    <row r="433" spans="2:14" ht="46.5">
      <c r="B433" s="64">
        <v>180</v>
      </c>
      <c r="C433" s="1" t="s">
        <v>227</v>
      </c>
      <c r="D433" s="64">
        <v>150</v>
      </c>
      <c r="E433" s="2" t="s">
        <v>60</v>
      </c>
      <c r="F433" s="25">
        <v>320</v>
      </c>
      <c r="G433" s="65">
        <f>ROUND(D433*F433,0)</f>
        <v>48000</v>
      </c>
      <c r="H433" s="70">
        <v>150</v>
      </c>
      <c r="I433" s="64" t="str">
        <f>E433</f>
        <v>Rmt</v>
      </c>
      <c r="J433" s="65">
        <f>F433</f>
        <v>320</v>
      </c>
      <c r="K433" s="65">
        <f t="shared" si="28"/>
        <v>48000</v>
      </c>
      <c r="L433" s="66">
        <f t="shared" si="29"/>
        <v>0</v>
      </c>
      <c r="M433" s="65">
        <f t="shared" si="30"/>
        <v>0</v>
      </c>
      <c r="N433" s="4"/>
    </row>
    <row r="434" spans="2:14">
      <c r="B434" s="7"/>
      <c r="C434" s="72" t="s">
        <v>294</v>
      </c>
      <c r="D434" s="4"/>
      <c r="E434" s="4"/>
      <c r="F434" s="4"/>
      <c r="G434" s="4"/>
      <c r="H434" s="73">
        <v>15</v>
      </c>
      <c r="I434" s="4" t="s">
        <v>60</v>
      </c>
      <c r="J434" s="25">
        <v>320</v>
      </c>
      <c r="K434" s="65">
        <f t="shared" si="28"/>
        <v>4800</v>
      </c>
      <c r="L434" s="66">
        <f t="shared" si="29"/>
        <v>4800</v>
      </c>
      <c r="M434" s="65">
        <f t="shared" si="30"/>
        <v>0</v>
      </c>
      <c r="N434" s="4"/>
    </row>
    <row r="435" spans="2:14" ht="46.5">
      <c r="B435" s="64">
        <v>181</v>
      </c>
      <c r="C435" s="1" t="s">
        <v>228</v>
      </c>
      <c r="D435" s="64">
        <v>100</v>
      </c>
      <c r="E435" s="2" t="s">
        <v>60</v>
      </c>
      <c r="F435" s="25">
        <v>255</v>
      </c>
      <c r="G435" s="65">
        <f>ROUND(D435*F435,0)</f>
        <v>25500</v>
      </c>
      <c r="H435" s="70">
        <v>100</v>
      </c>
      <c r="I435" s="64" t="str">
        <f>E435</f>
        <v>Rmt</v>
      </c>
      <c r="J435" s="65">
        <f>F435</f>
        <v>255</v>
      </c>
      <c r="K435" s="65">
        <f t="shared" si="28"/>
        <v>25500</v>
      </c>
      <c r="L435" s="66">
        <f t="shared" si="29"/>
        <v>0</v>
      </c>
      <c r="M435" s="65">
        <f t="shared" si="30"/>
        <v>0</v>
      </c>
      <c r="N435" s="4"/>
    </row>
    <row r="436" spans="2:14">
      <c r="B436" s="7"/>
      <c r="C436" s="72" t="s">
        <v>294</v>
      </c>
      <c r="D436" s="4"/>
      <c r="E436" s="4"/>
      <c r="F436" s="4"/>
      <c r="G436" s="4"/>
      <c r="H436" s="73">
        <v>20</v>
      </c>
      <c r="I436" s="4" t="s">
        <v>60</v>
      </c>
      <c r="J436" s="25">
        <v>255</v>
      </c>
      <c r="K436" s="65">
        <f t="shared" si="28"/>
        <v>5100</v>
      </c>
      <c r="L436" s="66">
        <f t="shared" si="29"/>
        <v>5100</v>
      </c>
      <c r="M436" s="65">
        <f t="shared" si="30"/>
        <v>0</v>
      </c>
      <c r="N436" s="4"/>
    </row>
    <row r="437" spans="2:14" ht="31.15" customHeight="1">
      <c r="B437" s="64"/>
      <c r="C437" s="81" t="s">
        <v>280</v>
      </c>
      <c r="D437" s="64"/>
      <c r="E437" s="2"/>
      <c r="F437" s="25"/>
      <c r="G437" s="65"/>
      <c r="H437" s="70"/>
      <c r="I437" s="64"/>
      <c r="J437" s="65"/>
      <c r="K437" s="65"/>
      <c r="L437" s="66"/>
      <c r="M437" s="65"/>
      <c r="N437" s="4"/>
    </row>
    <row r="438" spans="2:14" ht="46.5">
      <c r="B438" s="64">
        <v>1</v>
      </c>
      <c r="C438" s="1" t="s">
        <v>283</v>
      </c>
      <c r="D438" s="64"/>
      <c r="E438" s="2"/>
      <c r="F438" s="25"/>
      <c r="G438" s="65"/>
      <c r="H438" s="70">
        <v>20</v>
      </c>
      <c r="I438" s="64" t="s">
        <v>60</v>
      </c>
      <c r="J438" s="65"/>
      <c r="K438" s="65"/>
      <c r="L438" s="66"/>
      <c r="M438" s="65"/>
      <c r="N438" s="4"/>
    </row>
    <row r="439" spans="2:14" ht="46.5">
      <c r="B439" s="64">
        <v>2</v>
      </c>
      <c r="C439" s="1" t="s">
        <v>284</v>
      </c>
      <c r="D439" s="64"/>
      <c r="E439" s="2"/>
      <c r="F439" s="25"/>
      <c r="G439" s="65"/>
      <c r="H439" s="70">
        <v>19</v>
      </c>
      <c r="I439" s="64" t="s">
        <v>60</v>
      </c>
      <c r="J439" s="65"/>
      <c r="K439" s="65"/>
      <c r="L439" s="66"/>
      <c r="M439" s="65"/>
      <c r="N439" s="4"/>
    </row>
    <row r="440" spans="2:14" ht="19.899999999999999" customHeight="1">
      <c r="B440" s="64">
        <v>3</v>
      </c>
      <c r="C440" s="1" t="s">
        <v>285</v>
      </c>
      <c r="D440" s="64"/>
      <c r="E440" s="2"/>
      <c r="F440" s="25"/>
      <c r="G440" s="65"/>
      <c r="H440" s="70">
        <v>48</v>
      </c>
      <c r="I440" s="64" t="s">
        <v>60</v>
      </c>
      <c r="J440" s="65"/>
      <c r="K440" s="65"/>
      <c r="L440" s="66"/>
      <c r="M440" s="65"/>
      <c r="N440" s="4"/>
    </row>
    <row r="441" spans="2:14" ht="19.899999999999999" customHeight="1">
      <c r="B441" s="64">
        <v>4</v>
      </c>
      <c r="C441" s="4" t="s">
        <v>347</v>
      </c>
      <c r="D441" s="4"/>
      <c r="E441" s="4"/>
      <c r="F441" s="4"/>
      <c r="G441" s="4"/>
      <c r="H441" s="77">
        <v>1</v>
      </c>
      <c r="I441" s="7" t="s">
        <v>14</v>
      </c>
      <c r="J441" s="4"/>
      <c r="K441" s="4"/>
      <c r="L441" s="7"/>
      <c r="M441" s="4"/>
      <c r="N441" s="4"/>
    </row>
    <row r="442" spans="2:14" ht="124">
      <c r="B442" s="64">
        <v>5</v>
      </c>
      <c r="C442" s="100" t="s">
        <v>296</v>
      </c>
      <c r="D442" s="4"/>
      <c r="E442" s="4"/>
      <c r="F442" s="4"/>
      <c r="G442" s="4"/>
      <c r="H442" s="77">
        <v>12</v>
      </c>
      <c r="I442" s="7" t="s">
        <v>14</v>
      </c>
      <c r="J442" s="4"/>
      <c r="K442" s="4"/>
      <c r="L442" s="7"/>
      <c r="M442" s="4"/>
      <c r="N442" s="4"/>
    </row>
    <row r="443" spans="2:14" ht="31">
      <c r="B443" s="64">
        <v>6</v>
      </c>
      <c r="C443" s="101" t="s">
        <v>297</v>
      </c>
      <c r="D443" s="4"/>
      <c r="E443" s="4"/>
      <c r="F443" s="4"/>
      <c r="G443" s="4"/>
      <c r="H443" s="77">
        <v>14</v>
      </c>
      <c r="I443" s="7" t="s">
        <v>14</v>
      </c>
      <c r="J443" s="4"/>
      <c r="K443" s="4"/>
      <c r="L443" s="7"/>
      <c r="M443" s="4"/>
      <c r="N443" s="4"/>
    </row>
    <row r="444" spans="2:14" ht="19.899999999999999" customHeight="1">
      <c r="B444" s="64">
        <v>7</v>
      </c>
      <c r="C444" s="101" t="s">
        <v>298</v>
      </c>
      <c r="D444" s="4"/>
      <c r="E444" s="4"/>
      <c r="F444" s="4"/>
      <c r="G444" s="4"/>
      <c r="H444" s="77">
        <v>14</v>
      </c>
      <c r="I444" s="7" t="s">
        <v>14</v>
      </c>
      <c r="J444" s="4"/>
      <c r="K444" s="4"/>
      <c r="L444" s="7"/>
      <c r="M444" s="4"/>
      <c r="N444" s="4"/>
    </row>
    <row r="445" spans="2:14" ht="19.899999999999999" customHeight="1">
      <c r="B445" s="64">
        <v>8</v>
      </c>
      <c r="C445" s="101" t="s">
        <v>299</v>
      </c>
      <c r="D445" s="4"/>
      <c r="E445" s="4"/>
      <c r="F445" s="4"/>
      <c r="G445" s="4"/>
      <c r="H445" s="77">
        <v>14</v>
      </c>
      <c r="I445" s="7" t="s">
        <v>14</v>
      </c>
      <c r="J445" s="4"/>
      <c r="K445" s="4"/>
      <c r="L445" s="7"/>
      <c r="M445" s="4"/>
      <c r="N445" s="4"/>
    </row>
    <row r="446" spans="2:14" ht="62">
      <c r="B446" s="64">
        <v>9</v>
      </c>
      <c r="C446" s="102" t="s">
        <v>300</v>
      </c>
      <c r="D446" s="4"/>
      <c r="E446" s="4"/>
      <c r="F446" s="4"/>
      <c r="G446" s="4"/>
      <c r="H446" s="77">
        <v>30</v>
      </c>
      <c r="I446" s="7" t="s">
        <v>14</v>
      </c>
      <c r="J446" s="4"/>
      <c r="K446" s="4"/>
      <c r="L446" s="7"/>
      <c r="M446" s="4"/>
      <c r="N446" s="4"/>
    </row>
    <row r="447" spans="2:14" ht="31">
      <c r="B447" s="64">
        <v>10</v>
      </c>
      <c r="C447" s="103" t="s">
        <v>301</v>
      </c>
      <c r="D447" s="4"/>
      <c r="E447" s="4"/>
      <c r="F447" s="4"/>
      <c r="G447" s="4"/>
      <c r="H447" s="77">
        <v>14</v>
      </c>
      <c r="I447" s="7" t="s">
        <v>14</v>
      </c>
      <c r="J447" s="4"/>
      <c r="K447" s="4"/>
      <c r="L447" s="7"/>
      <c r="M447" s="4"/>
      <c r="N447" s="4"/>
    </row>
    <row r="448" spans="2:14" ht="19.899999999999999" customHeight="1">
      <c r="B448" s="64">
        <v>11</v>
      </c>
      <c r="C448" s="102" t="s">
        <v>302</v>
      </c>
      <c r="D448" s="4"/>
      <c r="E448" s="4"/>
      <c r="F448" s="4"/>
      <c r="G448" s="4"/>
      <c r="H448" s="77">
        <v>1</v>
      </c>
      <c r="I448" s="7" t="s">
        <v>14</v>
      </c>
      <c r="J448" s="4"/>
      <c r="K448" s="4"/>
      <c r="L448" s="7"/>
      <c r="M448" s="4"/>
      <c r="N448" s="4"/>
    </row>
    <row r="449" spans="2:14" ht="31">
      <c r="B449" s="64">
        <v>12</v>
      </c>
      <c r="C449" s="61" t="s">
        <v>310</v>
      </c>
      <c r="D449" s="104"/>
      <c r="E449" s="104"/>
      <c r="F449" s="104"/>
      <c r="G449" s="104"/>
      <c r="H449" s="7">
        <v>92.2</v>
      </c>
      <c r="I449" s="7" t="s">
        <v>312</v>
      </c>
      <c r="J449" s="4"/>
      <c r="K449" s="4"/>
      <c r="L449" s="7"/>
      <c r="M449" s="4"/>
      <c r="N449" s="4"/>
    </row>
    <row r="450" spans="2:14" ht="31">
      <c r="B450" s="64">
        <v>13</v>
      </c>
      <c r="C450" s="61" t="s">
        <v>311</v>
      </c>
      <c r="D450" s="61"/>
      <c r="E450" s="61"/>
      <c r="F450" s="61"/>
      <c r="G450" s="61"/>
      <c r="H450" s="7">
        <v>25.5</v>
      </c>
      <c r="I450" s="7" t="s">
        <v>312</v>
      </c>
      <c r="J450" s="4"/>
      <c r="K450" s="4"/>
      <c r="L450" s="7"/>
      <c r="M450" s="4"/>
      <c r="N450" s="4"/>
    </row>
    <row r="451" spans="2:14" ht="19.899999999999999" customHeight="1">
      <c r="B451" s="64">
        <v>14</v>
      </c>
      <c r="C451" s="105" t="s">
        <v>313</v>
      </c>
      <c r="D451" s="106"/>
      <c r="E451" s="106"/>
      <c r="F451" s="106"/>
      <c r="G451" s="106"/>
      <c r="H451" s="6">
        <v>2</v>
      </c>
      <c r="I451" s="7" t="s">
        <v>14</v>
      </c>
      <c r="J451" s="4"/>
      <c r="K451" s="4"/>
      <c r="L451" s="7"/>
      <c r="M451" s="4"/>
      <c r="N451" s="4"/>
    </row>
    <row r="452" spans="2:14" ht="19.899999999999999" customHeight="1">
      <c r="B452" s="64">
        <v>15</v>
      </c>
      <c r="C452" s="105" t="s">
        <v>314</v>
      </c>
      <c r="D452" s="106"/>
      <c r="E452" s="106"/>
      <c r="F452" s="106"/>
      <c r="G452" s="106"/>
      <c r="H452" s="6">
        <v>74.099999999999994</v>
      </c>
      <c r="I452" s="7" t="s">
        <v>60</v>
      </c>
      <c r="J452" s="4"/>
      <c r="K452" s="4"/>
      <c r="L452" s="7"/>
      <c r="M452" s="4"/>
      <c r="N452" s="4"/>
    </row>
    <row r="453" spans="2:14" ht="31">
      <c r="B453" s="64">
        <v>16</v>
      </c>
      <c r="C453" s="102" t="s">
        <v>315</v>
      </c>
      <c r="D453" s="107"/>
      <c r="E453" s="107"/>
      <c r="F453" s="107"/>
      <c r="G453" s="107"/>
      <c r="H453" s="108">
        <v>3.95</v>
      </c>
      <c r="I453" s="7" t="s">
        <v>60</v>
      </c>
      <c r="J453" s="4"/>
      <c r="K453" s="4"/>
      <c r="L453" s="7"/>
      <c r="M453" s="4"/>
      <c r="N453" s="4"/>
    </row>
    <row r="454" spans="2:14" ht="294.5">
      <c r="B454" s="7"/>
      <c r="C454" s="1" t="s">
        <v>346</v>
      </c>
      <c r="D454" s="4"/>
      <c r="E454" s="4"/>
      <c r="F454" s="4"/>
      <c r="G454" s="4"/>
      <c r="H454" s="77">
        <v>1</v>
      </c>
      <c r="I454" s="7" t="s">
        <v>14</v>
      </c>
      <c r="J454" s="4"/>
      <c r="K454" s="4"/>
      <c r="L454" s="7"/>
      <c r="M454" s="4"/>
      <c r="N454" s="4"/>
    </row>
    <row r="455" spans="2:14">
      <c r="B455" s="7"/>
      <c r="C455" s="4" t="s">
        <v>16</v>
      </c>
      <c r="D455" s="4"/>
      <c r="E455" s="4" t="s">
        <v>14</v>
      </c>
      <c r="F455" s="4"/>
      <c r="G455" s="4"/>
      <c r="H455" s="73">
        <v>1</v>
      </c>
      <c r="I455" s="4" t="s">
        <v>14</v>
      </c>
      <c r="J455" s="4"/>
      <c r="K455" s="4"/>
      <c r="L455" s="7"/>
      <c r="M455" s="4"/>
      <c r="N455" s="4"/>
    </row>
    <row r="456" spans="2:14" ht="77">
      <c r="B456" s="7"/>
      <c r="C456" s="59" t="s">
        <v>370</v>
      </c>
      <c r="D456" s="4"/>
      <c r="E456" s="8"/>
      <c r="F456" s="4"/>
      <c r="G456" s="4"/>
      <c r="H456" s="73">
        <v>13</v>
      </c>
      <c r="I456" s="4" t="s">
        <v>14</v>
      </c>
      <c r="J456" s="4"/>
      <c r="K456" s="4"/>
      <c r="L456" s="7"/>
      <c r="M456" s="4"/>
      <c r="N456" s="4"/>
    </row>
    <row r="457" spans="2:14" ht="19.899999999999999" customHeight="1">
      <c r="B457" s="7"/>
      <c r="C457" s="4" t="s">
        <v>371</v>
      </c>
      <c r="D457" s="4"/>
      <c r="E457" s="8"/>
      <c r="F457" s="4"/>
      <c r="G457" s="4"/>
      <c r="H457" s="73">
        <v>10.66</v>
      </c>
      <c r="I457" s="4" t="s">
        <v>60</v>
      </c>
      <c r="J457" s="4"/>
      <c r="K457" s="4"/>
      <c r="L457" s="7"/>
      <c r="M457" s="4"/>
      <c r="N457" s="4"/>
    </row>
    <row r="458" spans="2:14" ht="19.899999999999999" customHeight="1">
      <c r="B458" s="7"/>
      <c r="C458" s="4" t="s">
        <v>372</v>
      </c>
      <c r="D458" s="4"/>
      <c r="E458" s="8"/>
      <c r="F458" s="4"/>
      <c r="G458" s="4"/>
      <c r="H458" s="73">
        <v>1</v>
      </c>
      <c r="I458" s="4" t="s">
        <v>201</v>
      </c>
      <c r="J458" s="4"/>
      <c r="K458" s="4"/>
      <c r="L458" s="7"/>
      <c r="M458" s="4"/>
      <c r="N458" s="4"/>
    </row>
    <row r="459" spans="2:14" ht="19.899999999999999" customHeight="1">
      <c r="B459" s="7"/>
      <c r="C459" s="4" t="s">
        <v>373</v>
      </c>
      <c r="D459" s="4"/>
      <c r="E459" s="8"/>
      <c r="F459" s="4"/>
      <c r="G459" s="4"/>
      <c r="H459" s="73">
        <v>2.89</v>
      </c>
      <c r="I459" s="4" t="s">
        <v>60</v>
      </c>
      <c r="J459" s="4"/>
      <c r="K459" s="4"/>
      <c r="L459" s="7"/>
      <c r="M459" s="4"/>
      <c r="N459" s="4"/>
    </row>
    <row r="460" spans="2:14">
      <c r="B460" s="7"/>
      <c r="C460" s="4"/>
      <c r="D460" s="4"/>
      <c r="E460" s="4"/>
      <c r="F460" s="4"/>
      <c r="G460" s="4"/>
      <c r="H460" s="73"/>
      <c r="I460" s="4"/>
      <c r="J460" s="4"/>
      <c r="K460" s="4"/>
      <c r="L460" s="7"/>
      <c r="M460" s="4"/>
      <c r="N460" s="4"/>
    </row>
    <row r="461" spans="2:14">
      <c r="B461" s="7"/>
      <c r="C461" s="4"/>
      <c r="D461" s="4"/>
      <c r="E461" s="4"/>
      <c r="F461" s="4"/>
      <c r="G461" s="4"/>
      <c r="H461" s="73"/>
      <c r="I461" s="4"/>
      <c r="J461" s="4"/>
      <c r="K461" s="4"/>
      <c r="L461" s="7"/>
      <c r="M461" s="4"/>
      <c r="N461" s="4"/>
    </row>
    <row r="462" spans="2:14">
      <c r="B462" s="7"/>
      <c r="C462" s="4"/>
      <c r="D462" s="4"/>
      <c r="E462" s="4"/>
      <c r="F462" s="4"/>
      <c r="G462" s="4"/>
      <c r="H462" s="73"/>
      <c r="I462" s="4"/>
      <c r="J462" s="4"/>
      <c r="K462" s="4"/>
      <c r="L462" s="7"/>
      <c r="M462" s="4"/>
      <c r="N462" s="4"/>
    </row>
    <row r="463" spans="2:14">
      <c r="B463" s="7"/>
      <c r="C463" s="4"/>
      <c r="D463" s="4"/>
      <c r="E463" s="4"/>
      <c r="F463" s="4"/>
      <c r="G463" s="4"/>
      <c r="H463" s="73"/>
      <c r="I463" s="4"/>
      <c r="J463" s="4"/>
      <c r="K463" s="4"/>
      <c r="L463" s="7"/>
      <c r="M463" s="4"/>
      <c r="N463" s="4"/>
    </row>
    <row r="464" spans="2:14">
      <c r="B464" s="7"/>
      <c r="C464" s="4"/>
      <c r="D464" s="4"/>
      <c r="E464" s="4"/>
      <c r="F464" s="4"/>
      <c r="G464" s="4"/>
      <c r="H464" s="73"/>
      <c r="I464" s="4"/>
      <c r="J464" s="4"/>
      <c r="K464" s="4"/>
      <c r="L464" s="7"/>
      <c r="M464" s="4"/>
      <c r="N464" s="4"/>
    </row>
    <row r="465" spans="2:14">
      <c r="B465" s="7"/>
      <c r="C465" s="4"/>
      <c r="D465" s="4"/>
      <c r="E465" s="4"/>
      <c r="F465" s="4"/>
      <c r="G465" s="4"/>
      <c r="H465" s="73"/>
      <c r="I465" s="4"/>
      <c r="J465" s="4"/>
      <c r="K465" s="4"/>
      <c r="L465" s="7"/>
      <c r="M465" s="4"/>
      <c r="N465" s="4"/>
    </row>
    <row r="466" spans="2:14">
      <c r="B466" s="64"/>
      <c r="C466" s="20" t="s">
        <v>277</v>
      </c>
      <c r="D466" s="64"/>
      <c r="E466" s="2"/>
      <c r="F466" s="25"/>
      <c r="G466" s="65"/>
      <c r="H466" s="70"/>
      <c r="I466" s="64"/>
      <c r="J466" s="65"/>
      <c r="K466" s="65"/>
      <c r="L466" s="66"/>
      <c r="M466" s="65"/>
      <c r="N466" s="4"/>
    </row>
    <row r="467" spans="2:14">
      <c r="B467" s="7"/>
      <c r="C467" s="4"/>
      <c r="D467" s="4"/>
      <c r="E467" s="4"/>
      <c r="F467" s="4"/>
      <c r="G467" s="4"/>
      <c r="H467" s="73"/>
      <c r="I467" s="4"/>
      <c r="J467" s="4"/>
      <c r="K467" s="4"/>
      <c r="L467" s="7"/>
      <c r="M467" s="4"/>
      <c r="N467" s="4"/>
    </row>
    <row r="468" spans="2:14" ht="31">
      <c r="B468" s="64">
        <v>182</v>
      </c>
      <c r="C468" s="1" t="s">
        <v>229</v>
      </c>
      <c r="D468" s="64">
        <v>1</v>
      </c>
      <c r="E468" s="2" t="s">
        <v>222</v>
      </c>
      <c r="F468" s="25">
        <v>20750</v>
      </c>
      <c r="G468" s="65">
        <f>ROUND(D468*F468,0)</f>
        <v>20750</v>
      </c>
      <c r="H468" s="70">
        <f>D468</f>
        <v>1</v>
      </c>
      <c r="I468" s="64" t="str">
        <f>E468</f>
        <v>Set</v>
      </c>
      <c r="J468" s="65">
        <f>F468</f>
        <v>20750</v>
      </c>
      <c r="K468" s="65">
        <f>ROUND(H468*J468,0)</f>
        <v>20750</v>
      </c>
      <c r="L468" s="66">
        <f>IF(K468&gt;G468,K468-G468,0)</f>
        <v>0</v>
      </c>
      <c r="M468" s="65">
        <f>IF(G468&gt;K468,G468-K468,0)</f>
        <v>0</v>
      </c>
      <c r="N468" s="4"/>
    </row>
    <row r="469" spans="2:14">
      <c r="B469" s="7"/>
      <c r="C469" s="4"/>
      <c r="D469" s="4"/>
      <c r="E469" s="4"/>
      <c r="F469" s="4"/>
      <c r="G469" s="4"/>
      <c r="H469" s="73"/>
      <c r="I469" s="4"/>
      <c r="J469" s="4"/>
      <c r="K469" s="4"/>
      <c r="L469" s="7"/>
      <c r="M469" s="4"/>
      <c r="N469" s="4"/>
    </row>
    <row r="470" spans="2:14" ht="46.5">
      <c r="B470" s="64">
        <v>183</v>
      </c>
      <c r="C470" s="1" t="s">
        <v>230</v>
      </c>
      <c r="D470" s="64">
        <v>4</v>
      </c>
      <c r="E470" s="2" t="s">
        <v>231</v>
      </c>
      <c r="F470" s="25">
        <v>2506</v>
      </c>
      <c r="G470" s="65">
        <f>ROUND(D470*F470,0)</f>
        <v>10024</v>
      </c>
      <c r="H470" s="70">
        <v>4</v>
      </c>
      <c r="I470" s="64" t="str">
        <f>E470</f>
        <v>each</v>
      </c>
      <c r="J470" s="65">
        <f>F470</f>
        <v>2506</v>
      </c>
      <c r="K470" s="65">
        <f>ROUND(H470*J470,0)</f>
        <v>10024</v>
      </c>
      <c r="L470" s="66">
        <f>IF(K470&gt;G470,K470-G470,0)</f>
        <v>0</v>
      </c>
      <c r="M470" s="65">
        <f>IF(G470&gt;K470,G470-K470,0)</f>
        <v>0</v>
      </c>
      <c r="N470" s="4"/>
    </row>
    <row r="471" spans="2:14">
      <c r="B471" s="7"/>
      <c r="C471" s="72" t="s">
        <v>294</v>
      </c>
      <c r="D471" s="4"/>
      <c r="E471" s="4"/>
      <c r="F471" s="4"/>
      <c r="G471" s="4"/>
      <c r="H471" s="73">
        <v>2</v>
      </c>
      <c r="I471" s="64" t="s">
        <v>231</v>
      </c>
      <c r="J471" s="65">
        <f>F470</f>
        <v>2506</v>
      </c>
      <c r="K471" s="65">
        <f>H471*J471</f>
        <v>5012</v>
      </c>
      <c r="L471" s="66">
        <f>IF(K471&gt;G471,K471-G471,0)</f>
        <v>5012</v>
      </c>
      <c r="M471" s="65">
        <f>IF(G471&gt;K471,G471-K471,0)</f>
        <v>0</v>
      </c>
      <c r="N471" s="4"/>
    </row>
    <row r="472" spans="2:14" ht="46.5">
      <c r="B472" s="64">
        <v>184</v>
      </c>
      <c r="C472" s="4" t="s">
        <v>232</v>
      </c>
      <c r="D472" s="64">
        <v>4</v>
      </c>
      <c r="E472" s="2" t="s">
        <v>231</v>
      </c>
      <c r="F472" s="25">
        <v>1805</v>
      </c>
      <c r="G472" s="65">
        <f>ROUND(D472*F472,0)</f>
        <v>7220</v>
      </c>
      <c r="H472" s="70">
        <f>D472</f>
        <v>4</v>
      </c>
      <c r="I472" s="64" t="str">
        <f>E472</f>
        <v>each</v>
      </c>
      <c r="J472" s="65">
        <f>F472</f>
        <v>1805</v>
      </c>
      <c r="K472" s="65">
        <f>ROUND(H472*J472,0)</f>
        <v>7220</v>
      </c>
      <c r="L472" s="66">
        <f>IF(K472&gt;G472,K472-G472,0)</f>
        <v>0</v>
      </c>
      <c r="M472" s="65">
        <f>IF(G472&gt;K472,G472-K472,0)</f>
        <v>0</v>
      </c>
      <c r="N472" s="4"/>
    </row>
    <row r="473" spans="2:14">
      <c r="B473" s="7"/>
      <c r="C473" s="72" t="s">
        <v>294</v>
      </c>
      <c r="D473" s="4"/>
      <c r="E473" s="4"/>
      <c r="F473" s="4"/>
      <c r="G473" s="4"/>
      <c r="H473" s="73">
        <v>2</v>
      </c>
      <c r="I473" s="4" t="s">
        <v>231</v>
      </c>
      <c r="J473" s="109">
        <f>F472</f>
        <v>1805</v>
      </c>
      <c r="K473" s="7">
        <f>H473*J473</f>
        <v>3610</v>
      </c>
      <c r="L473" s="66">
        <f>IF(K473&gt;G473,K473-G473,0)</f>
        <v>3610</v>
      </c>
      <c r="M473" s="65">
        <f>IF(G473&gt;K473,G473-K473,0)</f>
        <v>0</v>
      </c>
      <c r="N473" s="4"/>
    </row>
    <row r="474" spans="2:14" ht="62">
      <c r="B474" s="64">
        <v>185</v>
      </c>
      <c r="C474" s="4" t="s">
        <v>233</v>
      </c>
      <c r="D474" s="64">
        <v>1</v>
      </c>
      <c r="E474" s="2" t="s">
        <v>222</v>
      </c>
      <c r="F474" s="25">
        <v>13250</v>
      </c>
      <c r="G474" s="65">
        <f>ROUND(D474*F474,0)</f>
        <v>13250</v>
      </c>
      <c r="H474" s="70">
        <f>D474</f>
        <v>1</v>
      </c>
      <c r="I474" s="64" t="str">
        <f>E474</f>
        <v>Set</v>
      </c>
      <c r="J474" s="65">
        <f>F474</f>
        <v>13250</v>
      </c>
      <c r="K474" s="65">
        <f>ROUND(H474*J474,0)</f>
        <v>13250</v>
      </c>
      <c r="L474" s="66">
        <f>IF(K474&gt;G474,K474-G474,0)</f>
        <v>0</v>
      </c>
      <c r="M474" s="65">
        <f>IF(G474&gt;K474,G474-K474,0)</f>
        <v>0</v>
      </c>
      <c r="N474" s="4"/>
    </row>
    <row r="475" spans="2:14">
      <c r="B475" s="7"/>
      <c r="C475" s="4"/>
      <c r="D475" s="4"/>
      <c r="E475" s="4"/>
      <c r="F475" s="4"/>
      <c r="G475" s="4"/>
      <c r="H475" s="73"/>
      <c r="I475" s="4"/>
      <c r="J475" s="4"/>
      <c r="K475" s="4"/>
      <c r="L475" s="7"/>
      <c r="M475" s="4"/>
      <c r="N475" s="4"/>
    </row>
    <row r="476" spans="2:14" ht="46.5">
      <c r="B476" s="64">
        <v>186</v>
      </c>
      <c r="C476" s="1" t="s">
        <v>234</v>
      </c>
      <c r="D476" s="64">
        <v>4</v>
      </c>
      <c r="E476" s="2" t="s">
        <v>231</v>
      </c>
      <c r="F476" s="25">
        <v>2506</v>
      </c>
      <c r="G476" s="65">
        <f>ROUND(D476*F476,0)</f>
        <v>10024</v>
      </c>
      <c r="H476" s="70">
        <f>D476</f>
        <v>4</v>
      </c>
      <c r="I476" s="64" t="str">
        <f>E476</f>
        <v>each</v>
      </c>
      <c r="J476" s="65">
        <f>F476</f>
        <v>2506</v>
      </c>
      <c r="K476" s="65">
        <f>ROUND(H476*J476,0)</f>
        <v>10024</v>
      </c>
      <c r="L476" s="66">
        <f>IF(K476&gt;G476,K476-G476,0)</f>
        <v>0</v>
      </c>
      <c r="M476" s="65">
        <f>IF(G476&gt;K476,G476-K476,0)</f>
        <v>0</v>
      </c>
      <c r="N476" s="4"/>
    </row>
    <row r="477" spans="2:14">
      <c r="B477" s="7"/>
      <c r="C477" s="4"/>
      <c r="D477" s="4"/>
      <c r="E477" s="4"/>
      <c r="F477" s="4"/>
      <c r="G477" s="4"/>
      <c r="H477" s="73"/>
      <c r="I477" s="4"/>
      <c r="J477" s="4"/>
      <c r="K477" s="4"/>
      <c r="L477" s="7"/>
      <c r="M477" s="4"/>
      <c r="N477" s="4"/>
    </row>
    <row r="478" spans="2:14" ht="31">
      <c r="B478" s="64">
        <v>187</v>
      </c>
      <c r="C478" s="1" t="s">
        <v>235</v>
      </c>
      <c r="D478" s="64">
        <v>1</v>
      </c>
      <c r="E478" s="2" t="s">
        <v>222</v>
      </c>
      <c r="F478" s="25">
        <v>20750</v>
      </c>
      <c r="G478" s="65">
        <f>ROUND(D478*F478,0)</f>
        <v>20750</v>
      </c>
      <c r="H478" s="70">
        <f>D478</f>
        <v>1</v>
      </c>
      <c r="I478" s="64" t="str">
        <f>E478</f>
        <v>Set</v>
      </c>
      <c r="J478" s="65">
        <f>F478</f>
        <v>20750</v>
      </c>
      <c r="K478" s="65">
        <f>ROUND(H478*J478,0)</f>
        <v>20750</v>
      </c>
      <c r="L478" s="66">
        <f>IF(K478&gt;G478,K478-G478,0)</f>
        <v>0</v>
      </c>
      <c r="M478" s="65">
        <f>IF(G478&gt;K478,G478-K478,0)</f>
        <v>0</v>
      </c>
      <c r="N478" s="4"/>
    </row>
    <row r="479" spans="2:14">
      <c r="B479" s="7"/>
      <c r="C479" s="4"/>
      <c r="D479" s="4"/>
      <c r="E479" s="4"/>
      <c r="F479" s="4"/>
      <c r="G479" s="4"/>
      <c r="H479" s="73"/>
      <c r="I479" s="4"/>
      <c r="J479" s="4"/>
      <c r="K479" s="4"/>
      <c r="L479" s="7"/>
      <c r="M479" s="4"/>
      <c r="N479" s="4"/>
    </row>
    <row r="480" spans="2:14" ht="46.5">
      <c r="B480" s="64">
        <v>188</v>
      </c>
      <c r="C480" s="1" t="s">
        <v>236</v>
      </c>
      <c r="D480" s="64">
        <v>4</v>
      </c>
      <c r="E480" s="2" t="s">
        <v>231</v>
      </c>
      <c r="F480" s="25">
        <v>2506</v>
      </c>
      <c r="G480" s="65">
        <f>ROUND(D480*F480,0)</f>
        <v>10024</v>
      </c>
      <c r="H480" s="70">
        <f>D480</f>
        <v>4</v>
      </c>
      <c r="I480" s="64" t="str">
        <f>E480</f>
        <v>each</v>
      </c>
      <c r="J480" s="65">
        <f>F480</f>
        <v>2506</v>
      </c>
      <c r="K480" s="65">
        <f>ROUND(H480*J480,0)</f>
        <v>10024</v>
      </c>
      <c r="L480" s="66">
        <f t="shared" ref="L480:L490" si="31">IF(K480&gt;G480,K480-G480,0)</f>
        <v>0</v>
      </c>
      <c r="M480" s="65">
        <f t="shared" ref="M480:M490" si="32">IF(G480&gt;K480,G480-K480,0)</f>
        <v>0</v>
      </c>
      <c r="N480" s="4"/>
    </row>
    <row r="481" spans="2:14">
      <c r="B481" s="7"/>
      <c r="C481" s="72" t="s">
        <v>294</v>
      </c>
      <c r="D481" s="4"/>
      <c r="E481" s="4"/>
      <c r="F481" s="4"/>
      <c r="G481" s="4"/>
      <c r="H481" s="73">
        <v>2</v>
      </c>
      <c r="I481" s="4" t="s">
        <v>231</v>
      </c>
      <c r="J481" s="109">
        <f>J480</f>
        <v>2506</v>
      </c>
      <c r="K481" s="4">
        <f>H481*J481</f>
        <v>5012</v>
      </c>
      <c r="L481" s="66">
        <f t="shared" si="31"/>
        <v>5012</v>
      </c>
      <c r="M481" s="65">
        <f t="shared" si="32"/>
        <v>0</v>
      </c>
      <c r="N481" s="4"/>
    </row>
    <row r="482" spans="2:14" ht="31">
      <c r="B482" s="64">
        <v>189</v>
      </c>
      <c r="C482" s="1" t="s">
        <v>237</v>
      </c>
      <c r="D482" s="64">
        <v>24</v>
      </c>
      <c r="E482" s="2" t="s">
        <v>60</v>
      </c>
      <c r="F482" s="25">
        <v>642</v>
      </c>
      <c r="G482" s="65">
        <f>ROUND(D482*F482,0)</f>
        <v>15408</v>
      </c>
      <c r="H482" s="70">
        <f>D482</f>
        <v>24</v>
      </c>
      <c r="I482" s="64" t="str">
        <f>E482</f>
        <v>Rmt</v>
      </c>
      <c r="J482" s="65">
        <f>F482</f>
        <v>642</v>
      </c>
      <c r="K482" s="65">
        <f>ROUND(H482*J482,0)</f>
        <v>15408</v>
      </c>
      <c r="L482" s="66">
        <f t="shared" si="31"/>
        <v>0</v>
      </c>
      <c r="M482" s="65">
        <f t="shared" si="32"/>
        <v>0</v>
      </c>
      <c r="N482" s="4"/>
    </row>
    <row r="483" spans="2:14">
      <c r="B483" s="7"/>
      <c r="C483" s="72" t="s">
        <v>294</v>
      </c>
      <c r="D483" s="4"/>
      <c r="E483" s="4"/>
      <c r="F483" s="4"/>
      <c r="G483" s="4"/>
      <c r="H483" s="73">
        <v>14.3</v>
      </c>
      <c r="I483" s="4" t="s">
        <v>60</v>
      </c>
      <c r="J483" s="109">
        <f>J482</f>
        <v>642</v>
      </c>
      <c r="K483" s="4">
        <f>H483*J483</f>
        <v>9180.6</v>
      </c>
      <c r="L483" s="66">
        <f t="shared" si="31"/>
        <v>9180.6</v>
      </c>
      <c r="M483" s="65">
        <f t="shared" si="32"/>
        <v>0</v>
      </c>
      <c r="N483" s="4"/>
    </row>
    <row r="484" spans="2:14" ht="31">
      <c r="B484" s="64">
        <v>190</v>
      </c>
      <c r="C484" s="1" t="s">
        <v>238</v>
      </c>
      <c r="D484" s="64">
        <v>114</v>
      </c>
      <c r="E484" s="2" t="s">
        <v>60</v>
      </c>
      <c r="F484" s="25">
        <v>824</v>
      </c>
      <c r="G484" s="65">
        <f>ROUND(D484*F484,0)</f>
        <v>93936</v>
      </c>
      <c r="H484" s="70">
        <f>D484</f>
        <v>114</v>
      </c>
      <c r="I484" s="64" t="str">
        <f>E484</f>
        <v>Rmt</v>
      </c>
      <c r="J484" s="65">
        <f>F484</f>
        <v>824</v>
      </c>
      <c r="K484" s="65">
        <f t="shared" ref="K484:K490" si="33">ROUND(H484*J484,0)</f>
        <v>93936</v>
      </c>
      <c r="L484" s="66">
        <f t="shared" si="31"/>
        <v>0</v>
      </c>
      <c r="M484" s="65">
        <f t="shared" si="32"/>
        <v>0</v>
      </c>
      <c r="N484" s="4"/>
    </row>
    <row r="485" spans="2:14">
      <c r="B485" s="7"/>
      <c r="C485" s="72" t="s">
        <v>294</v>
      </c>
      <c r="D485" s="4"/>
      <c r="E485" s="4"/>
      <c r="F485" s="4"/>
      <c r="G485" s="4"/>
      <c r="H485" s="73">
        <v>43.7</v>
      </c>
      <c r="I485" s="4" t="s">
        <v>60</v>
      </c>
      <c r="J485" s="65">
        <f>J484</f>
        <v>824</v>
      </c>
      <c r="K485" s="65">
        <f t="shared" si="33"/>
        <v>36009</v>
      </c>
      <c r="L485" s="66">
        <f t="shared" si="31"/>
        <v>36009</v>
      </c>
      <c r="M485" s="65">
        <f t="shared" si="32"/>
        <v>0</v>
      </c>
      <c r="N485" s="4"/>
    </row>
    <row r="486" spans="2:14" ht="31">
      <c r="B486" s="64">
        <v>191</v>
      </c>
      <c r="C486" s="1" t="s">
        <v>239</v>
      </c>
      <c r="D486" s="64">
        <v>36</v>
      </c>
      <c r="E486" s="2" t="s">
        <v>60</v>
      </c>
      <c r="F486" s="25">
        <v>1191</v>
      </c>
      <c r="G486" s="65">
        <f>ROUND(D486*F486,0)</f>
        <v>42876</v>
      </c>
      <c r="H486" s="70">
        <f>D486</f>
        <v>36</v>
      </c>
      <c r="I486" s="64" t="str">
        <f>E486</f>
        <v>Rmt</v>
      </c>
      <c r="J486" s="65">
        <f>F486</f>
        <v>1191</v>
      </c>
      <c r="K486" s="65">
        <f t="shared" si="33"/>
        <v>42876</v>
      </c>
      <c r="L486" s="66">
        <f t="shared" si="31"/>
        <v>0</v>
      </c>
      <c r="M486" s="65">
        <f t="shared" si="32"/>
        <v>0</v>
      </c>
      <c r="N486" s="4"/>
    </row>
    <row r="487" spans="2:14">
      <c r="B487" s="7"/>
      <c r="C487" s="72" t="s">
        <v>294</v>
      </c>
      <c r="D487" s="4"/>
      <c r="E487" s="4"/>
      <c r="F487" s="4"/>
      <c r="G487" s="4"/>
      <c r="H487" s="73">
        <v>43.5</v>
      </c>
      <c r="I487" s="4" t="s">
        <v>60</v>
      </c>
      <c r="J487" s="109">
        <f>J486</f>
        <v>1191</v>
      </c>
      <c r="K487" s="65">
        <f t="shared" si="33"/>
        <v>51809</v>
      </c>
      <c r="L487" s="66">
        <f t="shared" si="31"/>
        <v>51809</v>
      </c>
      <c r="M487" s="65">
        <f t="shared" si="32"/>
        <v>0</v>
      </c>
      <c r="N487" s="4"/>
    </row>
    <row r="488" spans="2:14" ht="31">
      <c r="B488" s="64">
        <v>192</v>
      </c>
      <c r="C488" s="1" t="s">
        <v>240</v>
      </c>
      <c r="D488" s="64">
        <v>18</v>
      </c>
      <c r="E488" s="2" t="s">
        <v>60</v>
      </c>
      <c r="F488" s="25">
        <v>1473</v>
      </c>
      <c r="G488" s="65">
        <f>ROUND(D488*F488,0)</f>
        <v>26514</v>
      </c>
      <c r="H488" s="70">
        <f>D488</f>
        <v>18</v>
      </c>
      <c r="I488" s="64" t="str">
        <f>E488</f>
        <v>Rmt</v>
      </c>
      <c r="J488" s="65">
        <f>F488</f>
        <v>1473</v>
      </c>
      <c r="K488" s="65">
        <f t="shared" si="33"/>
        <v>26514</v>
      </c>
      <c r="L488" s="66">
        <f t="shared" si="31"/>
        <v>0</v>
      </c>
      <c r="M488" s="65">
        <f t="shared" si="32"/>
        <v>0</v>
      </c>
      <c r="N488" s="4"/>
    </row>
    <row r="489" spans="2:14">
      <c r="B489" s="7"/>
      <c r="C489" s="72" t="s">
        <v>294</v>
      </c>
      <c r="D489" s="4"/>
      <c r="E489" s="4"/>
      <c r="F489" s="4"/>
      <c r="G489" s="4"/>
      <c r="H489" s="73">
        <v>9</v>
      </c>
      <c r="I489" s="4" t="s">
        <v>60</v>
      </c>
      <c r="J489" s="109">
        <f>J488</f>
        <v>1473</v>
      </c>
      <c r="K489" s="65">
        <f t="shared" si="33"/>
        <v>13257</v>
      </c>
      <c r="L489" s="66">
        <f t="shared" si="31"/>
        <v>13257</v>
      </c>
      <c r="M489" s="65">
        <f t="shared" si="32"/>
        <v>0</v>
      </c>
      <c r="N489" s="4"/>
    </row>
    <row r="490" spans="2:14" ht="46.5">
      <c r="B490" s="64">
        <v>193</v>
      </c>
      <c r="C490" s="1" t="s">
        <v>241</v>
      </c>
      <c r="D490" s="64">
        <v>1</v>
      </c>
      <c r="E490" s="2" t="s">
        <v>231</v>
      </c>
      <c r="F490" s="25">
        <v>275000</v>
      </c>
      <c r="G490" s="65">
        <f>ROUND(D490*F490,0)</f>
        <v>275000</v>
      </c>
      <c r="H490" s="70">
        <f>D490</f>
        <v>1</v>
      </c>
      <c r="I490" s="64" t="str">
        <f>E490</f>
        <v>each</v>
      </c>
      <c r="J490" s="65">
        <f>F490</f>
        <v>275000</v>
      </c>
      <c r="K490" s="65">
        <f t="shared" si="33"/>
        <v>275000</v>
      </c>
      <c r="L490" s="66">
        <f t="shared" si="31"/>
        <v>0</v>
      </c>
      <c r="M490" s="65">
        <f t="shared" si="32"/>
        <v>0</v>
      </c>
      <c r="N490" s="4"/>
    </row>
    <row r="491" spans="2:14">
      <c r="B491" s="7"/>
      <c r="C491" s="4"/>
      <c r="D491" s="4"/>
      <c r="E491" s="4"/>
      <c r="F491" s="4"/>
      <c r="G491" s="4"/>
      <c r="H491" s="73"/>
      <c r="I491" s="4"/>
      <c r="J491" s="4"/>
      <c r="K491" s="4"/>
      <c r="L491" s="7"/>
      <c r="M491" s="4"/>
      <c r="N491" s="4"/>
    </row>
    <row r="492" spans="2:14" ht="46.5">
      <c r="B492" s="64">
        <v>194</v>
      </c>
      <c r="C492" s="1" t="s">
        <v>242</v>
      </c>
      <c r="D492" s="64">
        <v>1</v>
      </c>
      <c r="E492" s="2" t="s">
        <v>231</v>
      </c>
      <c r="F492" s="25">
        <v>375000</v>
      </c>
      <c r="G492" s="65">
        <f>ROUND(D492*F492,0)</f>
        <v>375000</v>
      </c>
      <c r="H492" s="70">
        <f>D492</f>
        <v>1</v>
      </c>
      <c r="I492" s="64" t="str">
        <f>E492</f>
        <v>each</v>
      </c>
      <c r="J492" s="65">
        <f>F492</f>
        <v>375000</v>
      </c>
      <c r="K492" s="65">
        <f>ROUND(H492*J492,0)</f>
        <v>375000</v>
      </c>
      <c r="L492" s="66">
        <f>IF(K492&gt;G492,K492-G492,0)</f>
        <v>0</v>
      </c>
      <c r="M492" s="65">
        <f>IF(G492&gt;K492,G492-K492,0)</f>
        <v>0</v>
      </c>
      <c r="N492" s="4"/>
    </row>
    <row r="493" spans="2:14">
      <c r="B493" s="7"/>
      <c r="C493" s="4"/>
      <c r="D493" s="4"/>
      <c r="E493" s="4"/>
      <c r="F493" s="4"/>
      <c r="G493" s="4"/>
      <c r="H493" s="73"/>
      <c r="I493" s="4"/>
      <c r="J493" s="4"/>
      <c r="K493" s="4"/>
      <c r="L493" s="7"/>
      <c r="M493" s="4"/>
      <c r="N493" s="4"/>
    </row>
    <row r="494" spans="2:14" ht="31">
      <c r="B494" s="64">
        <v>195</v>
      </c>
      <c r="C494" s="1" t="s">
        <v>243</v>
      </c>
      <c r="D494" s="64">
        <v>3</v>
      </c>
      <c r="E494" s="2" t="s">
        <v>231</v>
      </c>
      <c r="F494" s="25">
        <v>1938</v>
      </c>
      <c r="G494" s="65">
        <f>ROUND(D494*F494,0)</f>
        <v>5814</v>
      </c>
      <c r="H494" s="70">
        <f>D494</f>
        <v>3</v>
      </c>
      <c r="I494" s="64" t="str">
        <f>E494</f>
        <v>each</v>
      </c>
      <c r="J494" s="65">
        <f>F494</f>
        <v>1938</v>
      </c>
      <c r="K494" s="65">
        <f>ROUND(H494*J494,0)</f>
        <v>5814</v>
      </c>
      <c r="L494" s="66">
        <f>IF(K494&gt;G494,K494-G494,0)</f>
        <v>0</v>
      </c>
      <c r="M494" s="65">
        <f>IF(G494&gt;K494,G494-K494,0)</f>
        <v>0</v>
      </c>
      <c r="N494" s="4"/>
    </row>
    <row r="495" spans="2:14">
      <c r="B495" s="7"/>
      <c r="C495" s="72" t="s">
        <v>294</v>
      </c>
      <c r="D495" s="4"/>
      <c r="E495" s="4"/>
      <c r="F495" s="4"/>
      <c r="G495" s="4"/>
      <c r="H495" s="73">
        <v>5</v>
      </c>
      <c r="I495" s="64" t="str">
        <f>I494</f>
        <v>each</v>
      </c>
      <c r="J495" s="109">
        <f>J494</f>
        <v>1938</v>
      </c>
      <c r="K495" s="65">
        <f>ROUND(H495*J495,0)</f>
        <v>9690</v>
      </c>
      <c r="L495" s="66">
        <f>IF(K495&gt;G495,K495-G495,0)</f>
        <v>9690</v>
      </c>
      <c r="M495" s="65">
        <f>IF(G495&gt;K495,G495-K495,0)</f>
        <v>0</v>
      </c>
      <c r="N495" s="4"/>
    </row>
    <row r="496" spans="2:14" ht="31">
      <c r="B496" s="64">
        <v>196</v>
      </c>
      <c r="C496" s="1" t="s">
        <v>244</v>
      </c>
      <c r="D496" s="64">
        <v>3</v>
      </c>
      <c r="E496" s="2" t="s">
        <v>231</v>
      </c>
      <c r="F496" s="25">
        <v>2740</v>
      </c>
      <c r="G496" s="65">
        <f>ROUND(D496*F496,0)</f>
        <v>8220</v>
      </c>
      <c r="H496" s="70">
        <f>D496</f>
        <v>3</v>
      </c>
      <c r="I496" s="64" t="str">
        <f>E496</f>
        <v>each</v>
      </c>
      <c r="J496" s="65">
        <f>F496</f>
        <v>2740</v>
      </c>
      <c r="K496" s="65">
        <f>ROUND(H496*J496,0)</f>
        <v>8220</v>
      </c>
      <c r="L496" s="66">
        <f>IF(K496&gt;G496,K496-G496,0)</f>
        <v>0</v>
      </c>
      <c r="M496" s="65">
        <f>IF(G496&gt;K496,G496-K496,0)</f>
        <v>0</v>
      </c>
      <c r="N496" s="4"/>
    </row>
    <row r="497" spans="2:14">
      <c r="B497" s="7"/>
      <c r="C497" s="4"/>
      <c r="D497" s="4"/>
      <c r="E497" s="4"/>
      <c r="F497" s="4"/>
      <c r="G497" s="4"/>
      <c r="H497" s="73"/>
      <c r="I497" s="4"/>
      <c r="J497" s="4"/>
      <c r="K497" s="4"/>
      <c r="L497" s="7"/>
      <c r="M497" s="4"/>
      <c r="N497" s="4"/>
    </row>
    <row r="498" spans="2:14" ht="31">
      <c r="B498" s="64">
        <v>197</v>
      </c>
      <c r="C498" s="1" t="s">
        <v>245</v>
      </c>
      <c r="D498" s="64">
        <v>4</v>
      </c>
      <c r="E498" s="2" t="s">
        <v>231</v>
      </c>
      <c r="F498" s="25">
        <v>4378</v>
      </c>
      <c r="G498" s="65">
        <f>ROUND(D498*F498,0)</f>
        <v>17512</v>
      </c>
      <c r="H498" s="70">
        <f>D498</f>
        <v>4</v>
      </c>
      <c r="I498" s="64" t="str">
        <f>E498</f>
        <v>each</v>
      </c>
      <c r="J498" s="65">
        <f>F498</f>
        <v>4378</v>
      </c>
      <c r="K498" s="65">
        <f>ROUND(H498*J498,0)</f>
        <v>17512</v>
      </c>
      <c r="L498" s="66">
        <f>IF(K498&gt;G498,K498-G498,0)</f>
        <v>0</v>
      </c>
      <c r="M498" s="65">
        <f>IF(G498&gt;K498,G498-K498,0)</f>
        <v>0</v>
      </c>
      <c r="N498" s="4"/>
    </row>
    <row r="499" spans="2:14">
      <c r="B499" s="7"/>
      <c r="C499" s="4"/>
      <c r="D499" s="4"/>
      <c r="E499" s="4"/>
      <c r="F499" s="4"/>
      <c r="G499" s="4"/>
      <c r="H499" s="73"/>
      <c r="I499" s="4"/>
      <c r="J499" s="4"/>
      <c r="K499" s="4"/>
      <c r="L499" s="7"/>
      <c r="M499" s="4"/>
      <c r="N499" s="4"/>
    </row>
    <row r="500" spans="2:14" ht="31">
      <c r="B500" s="64">
        <v>198</v>
      </c>
      <c r="C500" s="1" t="s">
        <v>246</v>
      </c>
      <c r="D500" s="64">
        <v>2</v>
      </c>
      <c r="E500" s="2" t="s">
        <v>231</v>
      </c>
      <c r="F500" s="25">
        <v>36750</v>
      </c>
      <c r="G500" s="65">
        <f>ROUND(D500*F500,0)</f>
        <v>73500</v>
      </c>
      <c r="H500" s="70">
        <f>D500</f>
        <v>2</v>
      </c>
      <c r="I500" s="64" t="str">
        <f>E500</f>
        <v>each</v>
      </c>
      <c r="J500" s="65">
        <f>F500</f>
        <v>36750</v>
      </c>
      <c r="K500" s="65">
        <f>ROUND(H500*J500,0)</f>
        <v>73500</v>
      </c>
      <c r="L500" s="66">
        <f>IF(K500&gt;G500,K500-G500,0)</f>
        <v>0</v>
      </c>
      <c r="M500" s="65">
        <f>IF(G500&gt;K500,G500-K500,0)</f>
        <v>0</v>
      </c>
      <c r="N500" s="4"/>
    </row>
    <row r="501" spans="2:14">
      <c r="B501" s="6"/>
      <c r="C501" s="4"/>
      <c r="D501" s="8"/>
      <c r="E501" s="8"/>
      <c r="F501" s="8"/>
      <c r="G501" s="8"/>
      <c r="H501" s="110"/>
      <c r="I501" s="8"/>
      <c r="J501" s="8"/>
      <c r="K501" s="8"/>
      <c r="L501" s="6"/>
      <c r="M501" s="8"/>
      <c r="N501" s="8"/>
    </row>
    <row r="502" spans="2:14" ht="28.9" customHeight="1">
      <c r="B502" s="6"/>
      <c r="C502" s="111" t="s">
        <v>280</v>
      </c>
      <c r="D502" s="8"/>
      <c r="E502" s="8"/>
      <c r="F502" s="8"/>
      <c r="G502" s="8"/>
      <c r="H502" s="110"/>
      <c r="I502" s="8"/>
      <c r="J502" s="8"/>
      <c r="K502" s="8"/>
      <c r="L502" s="6"/>
      <c r="M502" s="8"/>
      <c r="N502" s="8"/>
    </row>
    <row r="503" spans="2:14" ht="46">
      <c r="B503" s="6"/>
      <c r="C503" s="4" t="s">
        <v>379</v>
      </c>
      <c r="D503" s="6">
        <v>0</v>
      </c>
      <c r="E503" s="113" t="s">
        <v>306</v>
      </c>
      <c r="F503" s="8"/>
      <c r="G503" s="8"/>
      <c r="H503" s="16">
        <v>1</v>
      </c>
      <c r="I503" s="6" t="str">
        <f>E503</f>
        <v>Set</v>
      </c>
      <c r="J503" s="9">
        <v>116786</v>
      </c>
      <c r="K503" s="9">
        <f>H503*J503</f>
        <v>116786</v>
      </c>
      <c r="L503" s="9">
        <f>K503</f>
        <v>116786</v>
      </c>
      <c r="M503" s="8"/>
      <c r="N503" s="8"/>
    </row>
    <row r="504" spans="2:14" ht="61.5">
      <c r="B504" s="6"/>
      <c r="C504" s="4" t="s">
        <v>380</v>
      </c>
      <c r="D504" s="6">
        <v>0</v>
      </c>
      <c r="E504" s="113" t="s">
        <v>306</v>
      </c>
      <c r="F504" s="8"/>
      <c r="G504" s="8"/>
      <c r="H504" s="16">
        <v>1</v>
      </c>
      <c r="I504" s="6" t="str">
        <f t="shared" ref="I504:I509" si="34">E504</f>
        <v>Set</v>
      </c>
      <c r="J504" s="9">
        <v>6414</v>
      </c>
      <c r="K504" s="9">
        <f t="shared" ref="K504:K509" si="35">H504*J504</f>
        <v>6414</v>
      </c>
      <c r="L504" s="9">
        <f t="shared" ref="L504:L509" si="36">K504</f>
        <v>6414</v>
      </c>
      <c r="M504" s="8"/>
      <c r="N504" s="8"/>
    </row>
    <row r="505" spans="2:14" ht="46">
      <c r="B505" s="6"/>
      <c r="C505" s="4" t="s">
        <v>381</v>
      </c>
      <c r="D505" s="6">
        <v>0</v>
      </c>
      <c r="E505" s="113" t="s">
        <v>306</v>
      </c>
      <c r="F505" s="8"/>
      <c r="G505" s="8"/>
      <c r="H505" s="16">
        <v>1</v>
      </c>
      <c r="I505" s="6" t="str">
        <f t="shared" si="34"/>
        <v>Set</v>
      </c>
      <c r="J505" s="9">
        <v>116786</v>
      </c>
      <c r="K505" s="9">
        <f t="shared" si="35"/>
        <v>116786</v>
      </c>
      <c r="L505" s="9">
        <f t="shared" si="36"/>
        <v>116786</v>
      </c>
      <c r="M505" s="8"/>
      <c r="N505" s="8"/>
    </row>
    <row r="506" spans="2:14" ht="46">
      <c r="B506" s="6"/>
      <c r="C506" s="4" t="s">
        <v>382</v>
      </c>
      <c r="D506" s="6">
        <v>0</v>
      </c>
      <c r="E506" s="113" t="s">
        <v>306</v>
      </c>
      <c r="F506" s="8"/>
      <c r="G506" s="8"/>
      <c r="H506" s="16">
        <v>1</v>
      </c>
      <c r="I506" s="6" t="str">
        <f t="shared" si="34"/>
        <v>Set</v>
      </c>
      <c r="J506" s="9">
        <v>116786</v>
      </c>
      <c r="K506" s="9">
        <f t="shared" si="35"/>
        <v>116786</v>
      </c>
      <c r="L506" s="9">
        <f t="shared" si="36"/>
        <v>116786</v>
      </c>
      <c r="M506" s="8"/>
      <c r="N506" s="8"/>
    </row>
    <row r="507" spans="2:14" ht="61.5">
      <c r="B507" s="6"/>
      <c r="C507" s="4" t="s">
        <v>383</v>
      </c>
      <c r="D507" s="6">
        <v>0</v>
      </c>
      <c r="E507" s="113" t="s">
        <v>306</v>
      </c>
      <c r="F507" s="8"/>
      <c r="G507" s="8"/>
      <c r="H507" s="16">
        <v>1</v>
      </c>
      <c r="I507" s="6" t="str">
        <f t="shared" si="34"/>
        <v>Set</v>
      </c>
      <c r="J507" s="9">
        <v>11964</v>
      </c>
      <c r="K507" s="9">
        <f t="shared" si="35"/>
        <v>11964</v>
      </c>
      <c r="L507" s="9">
        <f t="shared" si="36"/>
        <v>11964</v>
      </c>
      <c r="M507" s="8"/>
      <c r="N507" s="8"/>
    </row>
    <row r="508" spans="2:14" ht="31">
      <c r="B508" s="6"/>
      <c r="C508" s="4" t="s">
        <v>384</v>
      </c>
      <c r="D508" s="6">
        <v>0</v>
      </c>
      <c r="E508" s="113" t="s">
        <v>307</v>
      </c>
      <c r="F508" s="8"/>
      <c r="G508" s="8"/>
      <c r="H508" s="16">
        <v>6</v>
      </c>
      <c r="I508" s="6" t="str">
        <f t="shared" si="34"/>
        <v>Nos</v>
      </c>
      <c r="J508" s="9">
        <v>8311</v>
      </c>
      <c r="K508" s="9">
        <f t="shared" si="35"/>
        <v>49866</v>
      </c>
      <c r="L508" s="9">
        <f t="shared" si="36"/>
        <v>49866</v>
      </c>
      <c r="M508" s="8"/>
      <c r="N508" s="8"/>
    </row>
    <row r="509" spans="2:14" ht="30.5">
      <c r="B509" s="6"/>
      <c r="C509" s="4" t="s">
        <v>385</v>
      </c>
      <c r="D509" s="6">
        <v>0</v>
      </c>
      <c r="E509" s="113" t="s">
        <v>308</v>
      </c>
      <c r="F509" s="8"/>
      <c r="G509" s="8"/>
      <c r="H509" s="16">
        <v>3</v>
      </c>
      <c r="I509" s="6" t="str">
        <f t="shared" si="34"/>
        <v>Nos.</v>
      </c>
      <c r="J509" s="9">
        <v>620</v>
      </c>
      <c r="K509" s="9">
        <f t="shared" si="35"/>
        <v>1860</v>
      </c>
      <c r="L509" s="9">
        <f t="shared" si="36"/>
        <v>1860</v>
      </c>
      <c r="M509" s="8"/>
      <c r="N509" s="8"/>
    </row>
    <row r="510" spans="2:14">
      <c r="B510" s="6"/>
      <c r="C510" s="1" t="s">
        <v>26</v>
      </c>
      <c r="D510" s="64"/>
      <c r="E510" s="2"/>
      <c r="F510" s="66"/>
      <c r="G510" s="65"/>
      <c r="H510" s="70">
        <v>4</v>
      </c>
      <c r="I510" s="64" t="s">
        <v>14</v>
      </c>
      <c r="J510" s="8"/>
      <c r="K510" s="8"/>
      <c r="L510" s="6"/>
      <c r="M510" s="8"/>
      <c r="N510" s="8"/>
    </row>
    <row r="511" spans="2:14">
      <c r="B511" s="6"/>
      <c r="C511" s="1" t="s">
        <v>339</v>
      </c>
      <c r="D511" s="64"/>
      <c r="E511" s="2"/>
      <c r="F511" s="66"/>
      <c r="G511" s="65"/>
      <c r="H511" s="70">
        <v>4</v>
      </c>
      <c r="I511" s="64" t="s">
        <v>14</v>
      </c>
      <c r="J511" s="8"/>
      <c r="K511" s="8"/>
      <c r="L511" s="6"/>
      <c r="M511" s="8"/>
      <c r="N511" s="8"/>
    </row>
    <row r="512" spans="2:14">
      <c r="B512" s="6"/>
      <c r="C512" s="1" t="s">
        <v>340</v>
      </c>
      <c r="D512" s="64"/>
      <c r="E512" s="2"/>
      <c r="F512" s="66"/>
      <c r="G512" s="65"/>
      <c r="H512" s="70">
        <v>12</v>
      </c>
      <c r="I512" s="64" t="s">
        <v>14</v>
      </c>
      <c r="J512" s="8"/>
      <c r="K512" s="8"/>
      <c r="L512" s="6"/>
      <c r="M512" s="8"/>
      <c r="N512" s="8"/>
    </row>
    <row r="513" spans="2:14">
      <c r="B513" s="6"/>
      <c r="C513" s="1" t="s">
        <v>29</v>
      </c>
      <c r="D513" s="64"/>
      <c r="E513" s="2"/>
      <c r="F513" s="66"/>
      <c r="G513" s="65"/>
      <c r="H513" s="70">
        <v>12</v>
      </c>
      <c r="I513" s="64" t="s">
        <v>14</v>
      </c>
      <c r="J513" s="8"/>
      <c r="K513" s="8"/>
      <c r="L513" s="6"/>
      <c r="M513" s="8"/>
      <c r="N513" s="8"/>
    </row>
    <row r="514" spans="2:14">
      <c r="B514" s="6"/>
      <c r="C514" s="4" t="s">
        <v>341</v>
      </c>
      <c r="D514" s="8"/>
      <c r="E514" s="8"/>
      <c r="F514" s="8"/>
      <c r="G514" s="8"/>
      <c r="H514" s="16">
        <v>2</v>
      </c>
      <c r="I514" s="64" t="s">
        <v>14</v>
      </c>
      <c r="J514" s="8"/>
      <c r="K514" s="8"/>
      <c r="L514" s="6"/>
      <c r="M514" s="8"/>
      <c r="N514" s="8"/>
    </row>
    <row r="515" spans="2:14">
      <c r="B515" s="6"/>
      <c r="C515" s="4"/>
      <c r="D515" s="8"/>
      <c r="E515" s="8"/>
      <c r="F515" s="8"/>
      <c r="G515" s="8"/>
      <c r="H515" s="110"/>
      <c r="I515" s="8"/>
      <c r="J515" s="8"/>
      <c r="K515" s="8"/>
      <c r="L515" s="6"/>
      <c r="M515" s="8"/>
      <c r="N515" s="8"/>
    </row>
    <row r="516" spans="2:14">
      <c r="B516" s="6"/>
      <c r="C516" s="4"/>
      <c r="D516" s="8"/>
      <c r="E516" s="8"/>
      <c r="F516" s="8"/>
      <c r="G516" s="8"/>
      <c r="H516" s="110"/>
      <c r="I516" s="8"/>
      <c r="J516" s="8"/>
      <c r="K516" s="8"/>
      <c r="L516" s="6"/>
      <c r="M516" s="8"/>
      <c r="N516" s="8"/>
    </row>
    <row r="517" spans="2:14">
      <c r="B517" s="8"/>
      <c r="C517" s="4"/>
      <c r="D517" s="8"/>
      <c r="E517" s="8"/>
      <c r="F517" s="8"/>
      <c r="G517" s="8"/>
      <c r="H517" s="110"/>
      <c r="I517" s="8"/>
      <c r="J517" s="8"/>
      <c r="K517" s="8"/>
      <c r="L517" s="6"/>
      <c r="M517" s="8"/>
      <c r="N517" s="8"/>
    </row>
    <row r="518" spans="2:14">
      <c r="B518" s="8"/>
      <c r="C518" s="4"/>
      <c r="D518" s="8"/>
      <c r="E518" s="8"/>
      <c r="F518" s="8"/>
      <c r="G518" s="8"/>
      <c r="H518" s="110"/>
      <c r="I518" s="8"/>
      <c r="J518" s="8"/>
      <c r="K518" s="8"/>
      <c r="L518" s="6"/>
      <c r="M518" s="8"/>
      <c r="N518" s="8"/>
    </row>
    <row r="519" spans="2:14">
      <c r="B519" s="8"/>
      <c r="C519" s="4"/>
      <c r="D519" s="8"/>
      <c r="E519" s="8"/>
      <c r="F519" s="8"/>
      <c r="G519" s="8"/>
      <c r="H519" s="110"/>
      <c r="I519" s="8"/>
      <c r="J519" s="8"/>
      <c r="K519" s="8"/>
      <c r="L519" s="6"/>
      <c r="M519" s="8"/>
      <c r="N519" s="8"/>
    </row>
    <row r="520" spans="2:14">
      <c r="B520" s="8"/>
      <c r="C520" s="4"/>
      <c r="D520" s="8"/>
      <c r="E520" s="8"/>
      <c r="F520" s="8"/>
      <c r="G520" s="8"/>
      <c r="H520" s="110"/>
      <c r="I520" s="8"/>
      <c r="J520" s="8"/>
      <c r="K520" s="8"/>
      <c r="L520" s="6"/>
      <c r="M520" s="8"/>
      <c r="N520" s="8"/>
    </row>
    <row r="521" spans="2:14">
      <c r="B521" s="8"/>
      <c r="C521" s="4"/>
      <c r="D521" s="8"/>
      <c r="E521" s="8"/>
      <c r="F521" s="8"/>
      <c r="G521" s="8"/>
      <c r="H521" s="110"/>
      <c r="I521" s="8"/>
      <c r="J521" s="8"/>
      <c r="K521" s="8"/>
      <c r="L521" s="6"/>
      <c r="M521" s="8"/>
      <c r="N521" s="8"/>
    </row>
    <row r="522" spans="2:14">
      <c r="B522" s="8"/>
      <c r="C522" s="4"/>
      <c r="D522" s="8"/>
      <c r="E522" s="8"/>
      <c r="F522" s="8"/>
      <c r="G522" s="8"/>
      <c r="H522" s="110"/>
      <c r="I522" s="8"/>
      <c r="J522" s="8"/>
      <c r="K522" s="8"/>
      <c r="L522" s="6"/>
      <c r="M522" s="8"/>
      <c r="N522" s="8"/>
    </row>
    <row r="530" spans="2:29" s="126" customFormat="1">
      <c r="B530" s="117"/>
      <c r="C530" s="118" t="s">
        <v>48</v>
      </c>
      <c r="D530" s="119"/>
      <c r="E530" s="119"/>
      <c r="F530" s="119"/>
      <c r="G530" s="119"/>
      <c r="H530" s="120"/>
      <c r="I530" s="119"/>
      <c r="J530" s="119"/>
      <c r="K530" s="119"/>
      <c r="L530" s="119"/>
      <c r="M530" s="121"/>
      <c r="N530" s="122"/>
      <c r="O530" s="119"/>
      <c r="P530" s="119"/>
      <c r="Q530" s="119"/>
      <c r="R530" s="119"/>
      <c r="S530" s="123"/>
      <c r="T530" s="124"/>
      <c r="U530" s="117"/>
      <c r="V530" s="125"/>
      <c r="W530" s="117"/>
      <c r="X530" s="117"/>
      <c r="Y530" s="117"/>
      <c r="Z530" s="117"/>
      <c r="AA530" s="117"/>
      <c r="AB530" s="117"/>
      <c r="AC530" s="117"/>
    </row>
    <row r="531" spans="2:29" s="126" customFormat="1">
      <c r="B531" s="117"/>
      <c r="C531" s="118"/>
      <c r="D531" s="119"/>
      <c r="E531" s="119"/>
      <c r="F531" s="119"/>
      <c r="G531" s="119"/>
      <c r="H531" s="120"/>
      <c r="I531" s="119"/>
      <c r="J531" s="119"/>
      <c r="K531" s="119"/>
      <c r="L531" s="119"/>
      <c r="M531" s="121"/>
      <c r="N531" s="122"/>
      <c r="O531" s="119"/>
      <c r="P531" s="119"/>
      <c r="Q531" s="119"/>
      <c r="R531" s="119"/>
      <c r="S531" s="123"/>
      <c r="T531" s="124"/>
      <c r="U531" s="117"/>
      <c r="V531" s="125"/>
      <c r="W531" s="117"/>
      <c r="X531" s="117"/>
      <c r="Y531" s="117"/>
      <c r="Z531" s="117"/>
      <c r="AA531" s="117"/>
      <c r="AB531" s="117"/>
      <c r="AC531" s="117"/>
    </row>
    <row r="532" spans="2:29" s="126" customFormat="1" ht="31">
      <c r="B532" s="127">
        <v>1</v>
      </c>
      <c r="C532" s="128" t="s">
        <v>184</v>
      </c>
      <c r="D532" s="121">
        <v>0</v>
      </c>
      <c r="E532" s="121"/>
      <c r="F532" s="121"/>
      <c r="G532" s="121"/>
      <c r="H532" s="129"/>
      <c r="I532" s="121"/>
      <c r="J532" s="121"/>
      <c r="K532" s="121"/>
      <c r="L532" s="130">
        <v>12</v>
      </c>
      <c r="M532" s="121">
        <f t="shared" ref="M532:M550" si="37">L532-D532</f>
        <v>12</v>
      </c>
      <c r="N532" s="131" t="s">
        <v>66</v>
      </c>
      <c r="O532" s="132"/>
      <c r="P532" s="132"/>
      <c r="Q532" s="132"/>
      <c r="R532" s="132"/>
      <c r="S532" s="133">
        <v>20584</v>
      </c>
      <c r="T532" s="134">
        <f t="shared" ref="T532" si="38">D532*S532</f>
        <v>0</v>
      </c>
      <c r="U532" s="135">
        <f>L532*S532</f>
        <v>247008</v>
      </c>
      <c r="V532" s="122">
        <f>S532*L532</f>
        <v>247008</v>
      </c>
      <c r="W532" s="136"/>
      <c r="X532" s="117"/>
      <c r="Y532" s="117"/>
      <c r="Z532" s="117"/>
      <c r="AA532" s="117"/>
      <c r="AB532" s="117"/>
      <c r="AC532" s="117"/>
    </row>
    <row r="533" spans="2:29" s="126" customFormat="1">
      <c r="B533" s="117">
        <v>2</v>
      </c>
      <c r="C533" s="137"/>
      <c r="D533" s="119">
        <v>0</v>
      </c>
      <c r="E533" s="119"/>
      <c r="F533" s="119"/>
      <c r="G533" s="119"/>
      <c r="H533" s="120"/>
      <c r="I533" s="119"/>
      <c r="J533" s="119"/>
      <c r="K533" s="119"/>
      <c r="L533" s="119">
        <v>23.463000000000001</v>
      </c>
      <c r="M533" s="121">
        <f t="shared" si="37"/>
        <v>23.463000000000001</v>
      </c>
      <c r="N533" s="122" t="s">
        <v>17</v>
      </c>
      <c r="O533" s="119"/>
      <c r="P533" s="119"/>
      <c r="Q533" s="119"/>
      <c r="R533" s="119"/>
      <c r="S533" s="123">
        <f>10600/0.75</f>
        <v>14133.333333333334</v>
      </c>
      <c r="T533" s="138"/>
      <c r="U533" s="135">
        <f>L533*S533</f>
        <v>331610.40000000002</v>
      </c>
      <c r="V533" s="122">
        <f t="shared" ref="V533:V571" si="39">S533*L533</f>
        <v>331610.40000000002</v>
      </c>
      <c r="W533" s="136"/>
      <c r="X533" s="117"/>
      <c r="Y533" s="117"/>
      <c r="Z533" s="117"/>
      <c r="AA533" s="117"/>
      <c r="AB533" s="117"/>
      <c r="AC533" s="117"/>
    </row>
    <row r="534" spans="2:29" s="126" customFormat="1">
      <c r="B534" s="117"/>
      <c r="C534" s="139"/>
      <c r="D534" s="119"/>
      <c r="E534" s="119"/>
      <c r="F534" s="119"/>
      <c r="G534" s="119"/>
      <c r="H534" s="120"/>
      <c r="I534" s="119"/>
      <c r="J534" s="119"/>
      <c r="K534" s="119"/>
      <c r="L534" s="119"/>
      <c r="M534" s="121"/>
      <c r="N534" s="122"/>
      <c r="O534" s="119"/>
      <c r="P534" s="119"/>
      <c r="Q534" s="119"/>
      <c r="R534" s="119"/>
      <c r="S534" s="123"/>
      <c r="T534" s="138"/>
      <c r="U534" s="135"/>
      <c r="V534" s="122"/>
      <c r="W534" s="136"/>
      <c r="X534" s="117"/>
      <c r="Y534" s="117"/>
      <c r="Z534" s="117"/>
      <c r="AA534" s="117"/>
      <c r="AB534" s="117"/>
      <c r="AC534" s="117"/>
    </row>
    <row r="535" spans="2:29" s="126" customFormat="1">
      <c r="B535" s="117"/>
      <c r="C535" s="139"/>
      <c r="D535" s="119"/>
      <c r="E535" s="119"/>
      <c r="F535" s="119"/>
      <c r="G535" s="119"/>
      <c r="H535" s="120"/>
      <c r="I535" s="119"/>
      <c r="J535" s="119"/>
      <c r="K535" s="119"/>
      <c r="L535" s="119"/>
      <c r="M535" s="121"/>
      <c r="N535" s="122"/>
      <c r="O535" s="119"/>
      <c r="P535" s="119"/>
      <c r="Q535" s="119"/>
      <c r="R535" s="119"/>
      <c r="S535" s="123"/>
      <c r="T535" s="138"/>
      <c r="U535" s="135"/>
      <c r="V535" s="122"/>
      <c r="W535" s="136"/>
      <c r="X535" s="117"/>
      <c r="Y535" s="117"/>
      <c r="Z535" s="117"/>
      <c r="AA535" s="117"/>
      <c r="AB535" s="117"/>
      <c r="AC535" s="117"/>
    </row>
    <row r="536" spans="2:29" s="126" customFormat="1">
      <c r="B536" s="117">
        <v>3</v>
      </c>
      <c r="C536" s="139" t="s">
        <v>56</v>
      </c>
      <c r="D536" s="119">
        <v>0</v>
      </c>
      <c r="E536" s="119"/>
      <c r="F536" s="119"/>
      <c r="G536" s="119"/>
      <c r="H536" s="120"/>
      <c r="I536" s="119"/>
      <c r="J536" s="119"/>
      <c r="K536" s="119"/>
      <c r="L536" s="129">
        <v>0.7</v>
      </c>
      <c r="M536" s="121">
        <f t="shared" si="37"/>
        <v>0.7</v>
      </c>
      <c r="N536" s="122" t="s">
        <v>57</v>
      </c>
      <c r="O536" s="119"/>
      <c r="P536" s="119"/>
      <c r="Q536" s="119"/>
      <c r="R536" s="119"/>
      <c r="S536" s="140">
        <v>3894</v>
      </c>
      <c r="T536" s="138"/>
      <c r="U536" s="135">
        <f t="shared" ref="U536:U550" si="40">L536*S536</f>
        <v>2725.7999999999997</v>
      </c>
      <c r="V536" s="122">
        <f t="shared" si="39"/>
        <v>2725.7999999999997</v>
      </c>
      <c r="W536" s="136"/>
      <c r="X536" s="117"/>
      <c r="Y536" s="117"/>
      <c r="Z536" s="117"/>
      <c r="AA536" s="117"/>
      <c r="AB536" s="117"/>
      <c r="AC536" s="117"/>
    </row>
    <row r="537" spans="2:29" s="126" customFormat="1">
      <c r="B537" s="117">
        <v>4</v>
      </c>
      <c r="C537" s="139" t="s">
        <v>58</v>
      </c>
      <c r="D537" s="119">
        <v>0</v>
      </c>
      <c r="E537" s="141"/>
      <c r="F537" s="141"/>
      <c r="G537" s="141"/>
      <c r="H537" s="142"/>
      <c r="I537" s="141"/>
      <c r="J537" s="141"/>
      <c r="K537" s="141"/>
      <c r="L537" s="142">
        <v>3.89</v>
      </c>
      <c r="M537" s="121">
        <f t="shared" si="37"/>
        <v>3.89</v>
      </c>
      <c r="N537" s="122" t="s">
        <v>57</v>
      </c>
      <c r="O537" s="119"/>
      <c r="P537" s="119"/>
      <c r="Q537" s="119"/>
      <c r="R537" s="119"/>
      <c r="S537" s="140">
        <v>3553</v>
      </c>
      <c r="T537" s="138"/>
      <c r="U537" s="135">
        <f t="shared" si="40"/>
        <v>13821.17</v>
      </c>
      <c r="V537" s="122">
        <f t="shared" si="39"/>
        <v>13821.17</v>
      </c>
      <c r="W537" s="136"/>
      <c r="X537" s="117"/>
      <c r="Y537" s="117"/>
      <c r="Z537" s="117"/>
      <c r="AA537" s="117"/>
      <c r="AB537" s="117"/>
      <c r="AC537" s="117"/>
    </row>
    <row r="538" spans="2:29" s="126" customFormat="1">
      <c r="B538" s="117">
        <v>5</v>
      </c>
      <c r="C538" s="139" t="s">
        <v>59</v>
      </c>
      <c r="D538" s="119"/>
      <c r="E538" s="119"/>
      <c r="F538" s="119"/>
      <c r="G538" s="119"/>
      <c r="H538" s="120"/>
      <c r="I538" s="119"/>
      <c r="J538" s="119"/>
      <c r="K538" s="119"/>
      <c r="L538" s="129">
        <v>32.049999999999997</v>
      </c>
      <c r="M538" s="121">
        <f t="shared" si="37"/>
        <v>32.049999999999997</v>
      </c>
      <c r="N538" s="122" t="s">
        <v>62</v>
      </c>
      <c r="O538" s="119"/>
      <c r="P538" s="119"/>
      <c r="Q538" s="119"/>
      <c r="R538" s="119"/>
      <c r="S538" s="140">
        <v>10</v>
      </c>
      <c r="T538" s="143"/>
      <c r="U538" s="135">
        <f t="shared" si="40"/>
        <v>320.5</v>
      </c>
      <c r="V538" s="122">
        <f t="shared" si="39"/>
        <v>320.5</v>
      </c>
      <c r="W538" s="136"/>
      <c r="X538" s="117"/>
      <c r="Y538" s="117"/>
      <c r="Z538" s="117"/>
      <c r="AA538" s="117"/>
      <c r="AB538" s="117"/>
      <c r="AC538" s="117"/>
    </row>
    <row r="539" spans="2:29" s="126" customFormat="1" ht="170.5">
      <c r="B539" s="117">
        <v>6</v>
      </c>
      <c r="C539" s="144" t="s">
        <v>61</v>
      </c>
      <c r="D539" s="145"/>
      <c r="E539" s="145"/>
      <c r="F539" s="145"/>
      <c r="G539" s="145"/>
      <c r="H539" s="146"/>
      <c r="I539" s="145"/>
      <c r="J539" s="145"/>
      <c r="K539" s="145"/>
      <c r="L539" s="147">
        <v>107.18</v>
      </c>
      <c r="M539" s="121">
        <f t="shared" si="37"/>
        <v>107.18</v>
      </c>
      <c r="N539" s="148" t="s">
        <v>60</v>
      </c>
      <c r="O539" s="149"/>
      <c r="P539" s="149"/>
      <c r="Q539" s="149"/>
      <c r="R539" s="149"/>
      <c r="S539" s="149">
        <v>143</v>
      </c>
      <c r="T539" s="138"/>
      <c r="U539" s="135">
        <f t="shared" si="40"/>
        <v>15326.740000000002</v>
      </c>
      <c r="V539" s="122">
        <f t="shared" si="39"/>
        <v>15326.740000000002</v>
      </c>
      <c r="W539" s="136"/>
      <c r="X539" s="117"/>
      <c r="Y539" s="117"/>
      <c r="Z539" s="117"/>
      <c r="AA539" s="117"/>
      <c r="AB539" s="117"/>
      <c r="AC539" s="117"/>
    </row>
    <row r="540" spans="2:29" s="126" customFormat="1">
      <c r="B540" s="117">
        <v>7</v>
      </c>
      <c r="C540" s="137"/>
      <c r="D540" s="145"/>
      <c r="E540" s="145"/>
      <c r="F540" s="145"/>
      <c r="G540" s="145"/>
      <c r="H540" s="146"/>
      <c r="I540" s="145"/>
      <c r="J540" s="145"/>
      <c r="K540" s="145"/>
      <c r="L540" s="147">
        <v>10.17</v>
      </c>
      <c r="M540" s="121">
        <f t="shared" si="37"/>
        <v>10.17</v>
      </c>
      <c r="N540" s="122" t="s">
        <v>62</v>
      </c>
      <c r="O540" s="119"/>
      <c r="P540" s="119"/>
      <c r="Q540" s="119"/>
      <c r="R540" s="119"/>
      <c r="S540" s="123">
        <v>6300</v>
      </c>
      <c r="T540" s="138"/>
      <c r="U540" s="135">
        <f t="shared" si="40"/>
        <v>64071</v>
      </c>
      <c r="V540" s="122">
        <f t="shared" si="39"/>
        <v>64071</v>
      </c>
      <c r="W540" s="136"/>
      <c r="X540" s="117"/>
      <c r="Y540" s="117"/>
      <c r="Z540" s="117"/>
      <c r="AA540" s="117"/>
      <c r="AB540" s="117"/>
      <c r="AC540" s="117"/>
    </row>
    <row r="541" spans="2:29" s="126" customFormat="1">
      <c r="B541" s="117">
        <v>8</v>
      </c>
      <c r="C541" s="150" t="s">
        <v>247</v>
      </c>
      <c r="D541" s="151"/>
      <c r="E541" s="151"/>
      <c r="F541" s="151"/>
      <c r="G541" s="151"/>
      <c r="H541" s="152"/>
      <c r="I541" s="151"/>
      <c r="J541" s="151"/>
      <c r="K541" s="151"/>
      <c r="L541" s="153">
        <v>7.2</v>
      </c>
      <c r="M541" s="121">
        <f t="shared" si="37"/>
        <v>7.2</v>
      </c>
      <c r="N541" s="122" t="s">
        <v>62</v>
      </c>
      <c r="O541" s="119"/>
      <c r="P541" s="119"/>
      <c r="Q541" s="119"/>
      <c r="R541" s="119"/>
      <c r="S541" s="154">
        <v>4576.2711864406783</v>
      </c>
      <c r="T541" s="138"/>
      <c r="U541" s="135">
        <f t="shared" si="40"/>
        <v>32949.152542372882</v>
      </c>
      <c r="V541" s="122">
        <f t="shared" si="39"/>
        <v>32949.152542372882</v>
      </c>
      <c r="W541" s="136"/>
      <c r="X541" s="117"/>
      <c r="Y541" s="117"/>
      <c r="Z541" s="117"/>
      <c r="AA541" s="117"/>
      <c r="AB541" s="117"/>
      <c r="AC541" s="117"/>
    </row>
    <row r="542" spans="2:29" s="126" customFormat="1">
      <c r="B542" s="117">
        <v>9</v>
      </c>
      <c r="C542" s="150" t="s">
        <v>248</v>
      </c>
      <c r="D542" s="151"/>
      <c r="E542" s="151"/>
      <c r="F542" s="151"/>
      <c r="G542" s="151"/>
      <c r="H542" s="152"/>
      <c r="I542" s="151"/>
      <c r="J542" s="151"/>
      <c r="K542" s="151"/>
      <c r="L542" s="153">
        <v>41.05</v>
      </c>
      <c r="M542" s="121">
        <f t="shared" si="37"/>
        <v>41.05</v>
      </c>
      <c r="N542" s="122" t="s">
        <v>62</v>
      </c>
      <c r="O542" s="119"/>
      <c r="P542" s="119"/>
      <c r="Q542" s="119"/>
      <c r="R542" s="119"/>
      <c r="S542" s="123"/>
      <c r="T542" s="138"/>
      <c r="U542" s="135">
        <f t="shared" si="40"/>
        <v>0</v>
      </c>
      <c r="V542" s="122">
        <f t="shared" si="39"/>
        <v>0</v>
      </c>
      <c r="W542" s="136"/>
      <c r="X542" s="117"/>
      <c r="Y542" s="117"/>
      <c r="Z542" s="117"/>
      <c r="AA542" s="117"/>
      <c r="AB542" s="117"/>
      <c r="AC542" s="117"/>
    </row>
    <row r="543" spans="2:29" s="126" customFormat="1">
      <c r="B543" s="117">
        <v>10</v>
      </c>
      <c r="C543" s="150" t="s">
        <v>249</v>
      </c>
      <c r="D543" s="151"/>
      <c r="E543" s="151"/>
      <c r="F543" s="151"/>
      <c r="G543" s="151"/>
      <c r="H543" s="152"/>
      <c r="I543" s="151"/>
      <c r="J543" s="151"/>
      <c r="K543" s="151"/>
      <c r="L543" s="153"/>
      <c r="M543" s="121">
        <f t="shared" si="37"/>
        <v>0</v>
      </c>
      <c r="N543" s="122" t="s">
        <v>60</v>
      </c>
      <c r="O543" s="119"/>
      <c r="P543" s="119"/>
      <c r="Q543" s="119"/>
      <c r="R543" s="119"/>
      <c r="S543" s="123"/>
      <c r="T543" s="138"/>
      <c r="U543" s="135">
        <f t="shared" si="40"/>
        <v>0</v>
      </c>
      <c r="V543" s="122">
        <f t="shared" si="39"/>
        <v>0</v>
      </c>
      <c r="W543" s="136"/>
      <c r="X543" s="117"/>
      <c r="Y543" s="117"/>
      <c r="Z543" s="117"/>
      <c r="AA543" s="117"/>
      <c r="AB543" s="117"/>
      <c r="AC543" s="117"/>
    </row>
    <row r="544" spans="2:29" s="126" customFormat="1">
      <c r="B544" s="117">
        <v>11</v>
      </c>
      <c r="C544" s="150" t="s">
        <v>251</v>
      </c>
      <c r="D544" s="151"/>
      <c r="E544" s="151"/>
      <c r="F544" s="151"/>
      <c r="G544" s="151"/>
      <c r="H544" s="152"/>
      <c r="I544" s="151"/>
      <c r="J544" s="151"/>
      <c r="K544" s="151"/>
      <c r="L544" s="153"/>
      <c r="M544" s="121">
        <f t="shared" si="37"/>
        <v>0</v>
      </c>
      <c r="N544" s="122" t="s">
        <v>62</v>
      </c>
      <c r="O544" s="119"/>
      <c r="P544" s="119"/>
      <c r="Q544" s="119"/>
      <c r="R544" s="119"/>
      <c r="S544" s="123"/>
      <c r="T544" s="138"/>
      <c r="U544" s="135">
        <f t="shared" si="40"/>
        <v>0</v>
      </c>
      <c r="V544" s="122">
        <f t="shared" si="39"/>
        <v>0</v>
      </c>
      <c r="W544" s="136"/>
      <c r="X544" s="117"/>
      <c r="Y544" s="117"/>
      <c r="Z544" s="117"/>
      <c r="AA544" s="117"/>
      <c r="AB544" s="117"/>
      <c r="AC544" s="117"/>
    </row>
    <row r="545" spans="2:29" s="126" customFormat="1">
      <c r="C545" s="150"/>
      <c r="D545" s="151"/>
      <c r="E545" s="151"/>
      <c r="F545" s="151"/>
      <c r="G545" s="151"/>
      <c r="H545" s="152"/>
      <c r="I545" s="151"/>
      <c r="J545" s="151"/>
      <c r="K545" s="151"/>
      <c r="L545" s="153"/>
      <c r="M545" s="121"/>
      <c r="N545" s="122"/>
      <c r="O545" s="119"/>
      <c r="P545" s="119"/>
      <c r="Q545" s="119"/>
      <c r="R545" s="119"/>
      <c r="S545" s="123"/>
      <c r="T545" s="138"/>
      <c r="U545" s="135"/>
      <c r="V545" s="122"/>
      <c r="W545" s="136"/>
      <c r="X545" s="117"/>
      <c r="Y545" s="117"/>
      <c r="Z545" s="117"/>
      <c r="AA545" s="117"/>
      <c r="AB545" s="117"/>
      <c r="AC545" s="117"/>
    </row>
    <row r="546" spans="2:29" s="126" customFormat="1">
      <c r="C546" s="137"/>
      <c r="D546" s="155"/>
      <c r="E546" s="155"/>
      <c r="F546" s="155"/>
      <c r="G546" s="155"/>
      <c r="H546" s="156"/>
      <c r="I546" s="155"/>
      <c r="J546" s="155"/>
      <c r="K546" s="155"/>
      <c r="L546" s="142"/>
      <c r="M546" s="121"/>
      <c r="N546" s="122"/>
      <c r="O546" s="119"/>
      <c r="P546" s="119"/>
      <c r="Q546" s="119"/>
      <c r="R546" s="119"/>
      <c r="S546" s="123"/>
      <c r="T546" s="138"/>
      <c r="U546" s="135"/>
      <c r="V546" s="122"/>
      <c r="W546" s="136"/>
      <c r="X546" s="117"/>
      <c r="Y546" s="117"/>
      <c r="Z546" s="117"/>
      <c r="AA546" s="117"/>
      <c r="AB546" s="117"/>
      <c r="AC546" s="117"/>
    </row>
    <row r="547" spans="2:29" s="126" customFormat="1">
      <c r="B547" s="117">
        <v>12</v>
      </c>
      <c r="D547" s="119">
        <v>0</v>
      </c>
      <c r="E547" s="119"/>
      <c r="F547" s="119"/>
      <c r="G547" s="119"/>
      <c r="H547" s="120"/>
      <c r="I547" s="119"/>
      <c r="J547" s="119"/>
      <c r="K547" s="119"/>
      <c r="L547" s="120">
        <v>1</v>
      </c>
      <c r="M547" s="121">
        <f t="shared" si="37"/>
        <v>1</v>
      </c>
      <c r="N547" s="122" t="s">
        <v>14</v>
      </c>
      <c r="O547" s="119"/>
      <c r="P547" s="119"/>
      <c r="Q547" s="119"/>
      <c r="R547" s="119"/>
      <c r="S547" s="123">
        <f>60000/0.6</f>
        <v>100000</v>
      </c>
      <c r="T547" s="138"/>
      <c r="U547" s="135">
        <f t="shared" si="40"/>
        <v>100000</v>
      </c>
      <c r="V547" s="157">
        <f t="shared" si="39"/>
        <v>100000</v>
      </c>
      <c r="W547" s="136"/>
      <c r="X547" s="117"/>
      <c r="Y547" s="117"/>
      <c r="Z547" s="117"/>
      <c r="AA547" s="117"/>
      <c r="AB547" s="117"/>
      <c r="AC547" s="117"/>
    </row>
    <row r="548" spans="2:29" s="126" customFormat="1">
      <c r="C548" s="137"/>
      <c r="D548" s="155"/>
      <c r="E548" s="155"/>
      <c r="F548" s="155"/>
      <c r="G548" s="155"/>
      <c r="H548" s="156"/>
      <c r="I548" s="155"/>
      <c r="J548" s="155"/>
      <c r="K548" s="155"/>
      <c r="L548" s="142"/>
      <c r="M548" s="121"/>
      <c r="N548" s="122"/>
      <c r="O548" s="119"/>
      <c r="P548" s="119"/>
      <c r="Q548" s="119"/>
      <c r="R548" s="119"/>
      <c r="S548" s="123"/>
      <c r="T548" s="138"/>
      <c r="U548" s="135"/>
      <c r="V548" s="157"/>
      <c r="W548" s="136"/>
      <c r="X548" s="117"/>
      <c r="Y548" s="117"/>
      <c r="Z548" s="117"/>
      <c r="AA548" s="117"/>
      <c r="AB548" s="117"/>
      <c r="AC548" s="117"/>
    </row>
    <row r="549" spans="2:29" s="126" customFormat="1">
      <c r="B549" s="117">
        <v>13</v>
      </c>
      <c r="C549" s="139" t="s">
        <v>16</v>
      </c>
      <c r="D549" s="119">
        <v>0</v>
      </c>
      <c r="E549" s="119"/>
      <c r="F549" s="119"/>
      <c r="G549" s="119"/>
      <c r="H549" s="120"/>
      <c r="I549" s="119"/>
      <c r="J549" s="119"/>
      <c r="K549" s="119"/>
      <c r="L549" s="120">
        <v>1</v>
      </c>
      <c r="M549" s="121">
        <f t="shared" si="37"/>
        <v>1</v>
      </c>
      <c r="N549" s="122" t="s">
        <v>14</v>
      </c>
      <c r="O549" s="119"/>
      <c r="P549" s="119"/>
      <c r="Q549" s="119"/>
      <c r="R549" s="119"/>
      <c r="S549" s="123">
        <f>195000/0.8</f>
        <v>243750</v>
      </c>
      <c r="T549" s="138"/>
      <c r="U549" s="135">
        <f t="shared" si="40"/>
        <v>243750</v>
      </c>
      <c r="V549" s="157">
        <f t="shared" si="39"/>
        <v>243750</v>
      </c>
      <c r="W549" s="136"/>
      <c r="X549" s="117"/>
      <c r="Y549" s="117"/>
      <c r="Z549" s="117"/>
      <c r="AA549" s="117"/>
      <c r="AB549" s="117"/>
      <c r="AC549" s="117"/>
    </row>
    <row r="550" spans="2:29" s="126" customFormat="1">
      <c r="B550" s="117">
        <v>14</v>
      </c>
      <c r="C550" s="139" t="s">
        <v>18</v>
      </c>
      <c r="D550" s="119">
        <v>0</v>
      </c>
      <c r="E550" s="119"/>
      <c r="F550" s="119"/>
      <c r="G550" s="119"/>
      <c r="H550" s="120"/>
      <c r="I550" s="119"/>
      <c r="J550" s="119"/>
      <c r="K550" s="119"/>
      <c r="L550" s="120">
        <v>4</v>
      </c>
      <c r="M550" s="121">
        <f t="shared" si="37"/>
        <v>4</v>
      </c>
      <c r="N550" s="122" t="s">
        <v>55</v>
      </c>
      <c r="O550" s="119"/>
      <c r="P550" s="119"/>
      <c r="Q550" s="119"/>
      <c r="R550" s="119"/>
      <c r="S550" s="123"/>
      <c r="T550" s="138"/>
      <c r="U550" s="135">
        <f t="shared" si="40"/>
        <v>0</v>
      </c>
      <c r="V550" s="157">
        <f t="shared" si="39"/>
        <v>0</v>
      </c>
      <c r="W550" s="136"/>
      <c r="X550" s="117"/>
      <c r="Y550" s="117"/>
      <c r="Z550" s="117"/>
      <c r="AA550" s="117"/>
      <c r="AB550" s="117"/>
      <c r="AC550" s="117"/>
    </row>
    <row r="551" spans="2:29" s="126" customFormat="1">
      <c r="B551" s="117"/>
      <c r="C551" s="139"/>
      <c r="D551" s="119"/>
      <c r="E551" s="119"/>
      <c r="F551" s="119"/>
      <c r="G551" s="119"/>
      <c r="H551" s="120"/>
      <c r="I551" s="119"/>
      <c r="J551" s="119"/>
      <c r="K551" s="119"/>
      <c r="L551" s="120"/>
      <c r="M551" s="121"/>
      <c r="N551" s="122"/>
      <c r="O551" s="119"/>
      <c r="P551" s="119"/>
      <c r="Q551" s="119"/>
      <c r="R551" s="119"/>
      <c r="S551" s="123"/>
      <c r="T551" s="138"/>
      <c r="U551" s="135"/>
      <c r="V551" s="157"/>
      <c r="W551" s="136"/>
      <c r="X551" s="117"/>
      <c r="Y551" s="117"/>
      <c r="Z551" s="117"/>
      <c r="AA551" s="117"/>
      <c r="AB551" s="117"/>
      <c r="AC551" s="117"/>
    </row>
    <row r="552" spans="2:29" s="126" customFormat="1">
      <c r="B552" s="117"/>
      <c r="C552" s="139"/>
      <c r="D552" s="119"/>
      <c r="E552" s="119"/>
      <c r="F552" s="119"/>
      <c r="G552" s="119"/>
      <c r="H552" s="120"/>
      <c r="I552" s="119"/>
      <c r="J552" s="119"/>
      <c r="K552" s="119"/>
      <c r="L552" s="120"/>
      <c r="M552" s="121"/>
      <c r="N552" s="122"/>
      <c r="O552" s="119"/>
      <c r="P552" s="119"/>
      <c r="Q552" s="119"/>
      <c r="R552" s="119"/>
      <c r="S552" s="123"/>
      <c r="T552" s="138"/>
      <c r="U552" s="135"/>
      <c r="V552" s="157"/>
      <c r="W552" s="136"/>
      <c r="X552" s="117"/>
      <c r="Y552" s="117"/>
      <c r="Z552" s="117"/>
      <c r="AA552" s="117"/>
      <c r="AB552" s="117"/>
      <c r="AC552" s="117"/>
    </row>
    <row r="553" spans="2:29" s="126" customFormat="1">
      <c r="B553" s="140">
        <v>15</v>
      </c>
      <c r="C553" s="158" t="s">
        <v>36</v>
      </c>
      <c r="D553" s="140">
        <v>0</v>
      </c>
      <c r="E553" s="140"/>
      <c r="F553" s="140"/>
      <c r="G553" s="140"/>
      <c r="H553" s="159"/>
      <c r="I553" s="140"/>
      <c r="J553" s="140"/>
      <c r="K553" s="140"/>
      <c r="L553" s="120">
        <v>4</v>
      </c>
      <c r="M553" s="121">
        <f t="shared" ref="M553:M573" si="41">L553-D553</f>
        <v>4</v>
      </c>
      <c r="N553" s="122" t="s">
        <v>14</v>
      </c>
      <c r="O553" s="119"/>
      <c r="P553" s="119"/>
      <c r="Q553" s="119"/>
      <c r="R553" s="119"/>
      <c r="S553" s="123">
        <f>31200/0.75</f>
        <v>41600</v>
      </c>
      <c r="T553" s="138"/>
      <c r="U553" s="135">
        <f t="shared" ref="U553:U571" si="42">L553*S553</f>
        <v>166400</v>
      </c>
      <c r="V553" s="157">
        <f t="shared" si="39"/>
        <v>166400</v>
      </c>
      <c r="W553" s="136"/>
      <c r="X553" s="117"/>
      <c r="Y553" s="117"/>
      <c r="Z553" s="117"/>
      <c r="AA553" s="117"/>
      <c r="AB553" s="117"/>
      <c r="AC553" s="117"/>
    </row>
    <row r="554" spans="2:29" s="126" customFormat="1">
      <c r="B554" s="140">
        <v>16</v>
      </c>
      <c r="C554" s="158" t="s">
        <v>37</v>
      </c>
      <c r="D554" s="140">
        <v>0</v>
      </c>
      <c r="E554" s="140"/>
      <c r="F554" s="140"/>
      <c r="G554" s="140"/>
      <c r="H554" s="159"/>
      <c r="I554" s="140"/>
      <c r="J554" s="140"/>
      <c r="K554" s="140"/>
      <c r="L554" s="120">
        <v>4</v>
      </c>
      <c r="M554" s="121">
        <f t="shared" si="41"/>
        <v>4</v>
      </c>
      <c r="N554" s="122" t="s">
        <v>14</v>
      </c>
      <c r="O554" s="119"/>
      <c r="P554" s="119"/>
      <c r="Q554" s="119"/>
      <c r="R554" s="119"/>
      <c r="S554" s="123">
        <f>6500/0.75</f>
        <v>8666.6666666666661</v>
      </c>
      <c r="T554" s="138"/>
      <c r="U554" s="135">
        <f t="shared" si="42"/>
        <v>34666.666666666664</v>
      </c>
      <c r="V554" s="157">
        <f t="shared" si="39"/>
        <v>34666.666666666664</v>
      </c>
      <c r="W554" s="136"/>
      <c r="X554" s="117"/>
      <c r="Y554" s="117"/>
      <c r="Z554" s="117"/>
      <c r="AA554" s="117"/>
      <c r="AB554" s="117"/>
      <c r="AC554" s="117"/>
    </row>
    <row r="555" spans="2:29" s="126" customFormat="1">
      <c r="B555" s="140">
        <v>17</v>
      </c>
      <c r="C555" s="139" t="s">
        <v>13</v>
      </c>
      <c r="D555" s="140">
        <v>0</v>
      </c>
      <c r="E555" s="140"/>
      <c r="F555" s="140"/>
      <c r="G555" s="140"/>
      <c r="H555" s="159"/>
      <c r="I555" s="140"/>
      <c r="J555" s="140"/>
      <c r="K555" s="140"/>
      <c r="L555" s="120">
        <v>1</v>
      </c>
      <c r="M555" s="121">
        <f t="shared" si="41"/>
        <v>1</v>
      </c>
      <c r="N555" s="122" t="s">
        <v>14</v>
      </c>
      <c r="O555" s="119"/>
      <c r="P555" s="119"/>
      <c r="Q555" s="119"/>
      <c r="R555" s="119"/>
      <c r="S555" s="123">
        <f>67650/0.6</f>
        <v>112750</v>
      </c>
      <c r="T555" s="138"/>
      <c r="U555" s="135">
        <f t="shared" si="42"/>
        <v>112750</v>
      </c>
      <c r="V555" s="157">
        <f t="shared" si="39"/>
        <v>112750</v>
      </c>
      <c r="W555" s="136"/>
      <c r="X555" s="117"/>
      <c r="Y555" s="117"/>
      <c r="Z555" s="117"/>
      <c r="AA555" s="117"/>
      <c r="AB555" s="117"/>
      <c r="AC555" s="117"/>
    </row>
    <row r="556" spans="2:29" s="126" customFormat="1">
      <c r="B556" s="140">
        <v>18</v>
      </c>
      <c r="C556" s="139" t="s">
        <v>23</v>
      </c>
      <c r="D556" s="140">
        <v>0</v>
      </c>
      <c r="E556" s="140"/>
      <c r="F556" s="140"/>
      <c r="G556" s="140"/>
      <c r="H556" s="159"/>
      <c r="I556" s="140"/>
      <c r="J556" s="140"/>
      <c r="K556" s="140"/>
      <c r="L556" s="120">
        <v>1</v>
      </c>
      <c r="M556" s="121">
        <f t="shared" si="41"/>
        <v>1</v>
      </c>
      <c r="N556" s="122" t="s">
        <v>14</v>
      </c>
      <c r="O556" s="119"/>
      <c r="P556" s="119"/>
      <c r="Q556" s="119"/>
      <c r="R556" s="119"/>
      <c r="S556" s="123">
        <f>30550/0.7</f>
        <v>43642.857142857145</v>
      </c>
      <c r="T556" s="138"/>
      <c r="U556" s="135">
        <f t="shared" si="42"/>
        <v>43642.857142857145</v>
      </c>
      <c r="V556" s="157">
        <f t="shared" si="39"/>
        <v>43642.857142857145</v>
      </c>
      <c r="W556" s="136"/>
      <c r="X556" s="117"/>
      <c r="Y556" s="117"/>
      <c r="Z556" s="117"/>
      <c r="AA556" s="117"/>
      <c r="AB556" s="117"/>
      <c r="AC556" s="117"/>
    </row>
    <row r="557" spans="2:29" s="126" customFormat="1">
      <c r="B557" s="140">
        <v>19</v>
      </c>
      <c r="C557" s="158" t="s">
        <v>31</v>
      </c>
      <c r="D557" s="140">
        <v>0</v>
      </c>
      <c r="E557" s="140"/>
      <c r="F557" s="140"/>
      <c r="G557" s="140"/>
      <c r="H557" s="159"/>
      <c r="I557" s="140"/>
      <c r="J557" s="140"/>
      <c r="K557" s="140"/>
      <c r="L557" s="120">
        <v>1</v>
      </c>
      <c r="M557" s="121">
        <f t="shared" si="41"/>
        <v>1</v>
      </c>
      <c r="N557" s="122" t="s">
        <v>14</v>
      </c>
      <c r="O557" s="119"/>
      <c r="P557" s="119"/>
      <c r="Q557" s="119"/>
      <c r="R557" s="119"/>
      <c r="S557" s="123">
        <f>16900/0.7</f>
        <v>24142.857142857145</v>
      </c>
      <c r="T557" s="138"/>
      <c r="U557" s="135">
        <f t="shared" si="42"/>
        <v>24142.857142857145</v>
      </c>
      <c r="V557" s="157">
        <f t="shared" si="39"/>
        <v>24142.857142857145</v>
      </c>
      <c r="W557" s="136"/>
      <c r="X557" s="117"/>
      <c r="Y557" s="117"/>
      <c r="Z557" s="117"/>
      <c r="AA557" s="117"/>
      <c r="AB557" s="117"/>
      <c r="AC557" s="117"/>
    </row>
    <row r="558" spans="2:29" s="126" customFormat="1">
      <c r="B558" s="140">
        <v>20</v>
      </c>
      <c r="C558" s="158" t="s">
        <v>32</v>
      </c>
      <c r="D558" s="140">
        <v>0</v>
      </c>
      <c r="E558" s="140"/>
      <c r="F558" s="140"/>
      <c r="G558" s="140"/>
      <c r="H558" s="159"/>
      <c r="I558" s="140"/>
      <c r="J558" s="140"/>
      <c r="K558" s="140"/>
      <c r="L558" s="120">
        <v>1</v>
      </c>
      <c r="M558" s="121">
        <f t="shared" si="41"/>
        <v>1</v>
      </c>
      <c r="N558" s="122" t="s">
        <v>14</v>
      </c>
      <c r="O558" s="119"/>
      <c r="P558" s="119"/>
      <c r="Q558" s="119"/>
      <c r="R558" s="119"/>
      <c r="S558" s="123">
        <f>11050/0.7</f>
        <v>15785.714285714286</v>
      </c>
      <c r="T558" s="138"/>
      <c r="U558" s="135">
        <f t="shared" si="42"/>
        <v>15785.714285714286</v>
      </c>
      <c r="V558" s="157">
        <f t="shared" si="39"/>
        <v>15785.714285714286</v>
      </c>
      <c r="W558" s="136"/>
      <c r="X558" s="117"/>
      <c r="Y558" s="117"/>
      <c r="Z558" s="117"/>
      <c r="AA558" s="117"/>
      <c r="AB558" s="117"/>
      <c r="AC558" s="117"/>
    </row>
    <row r="559" spans="2:29" s="126" customFormat="1">
      <c r="B559" s="140"/>
      <c r="C559" s="158"/>
      <c r="D559" s="140"/>
      <c r="E559" s="140"/>
      <c r="F559" s="140"/>
      <c r="G559" s="140"/>
      <c r="H559" s="159"/>
      <c r="I559" s="140"/>
      <c r="J559" s="140"/>
      <c r="K559" s="140"/>
      <c r="L559" s="120"/>
      <c r="M559" s="121"/>
      <c r="N559" s="122"/>
      <c r="O559" s="119"/>
      <c r="P559" s="119"/>
      <c r="Q559" s="119"/>
      <c r="R559" s="119"/>
      <c r="S559" s="123"/>
      <c r="T559" s="138"/>
      <c r="U559" s="135"/>
      <c r="V559" s="122"/>
      <c r="W559" s="136"/>
      <c r="X559" s="117"/>
      <c r="Y559" s="117"/>
      <c r="Z559" s="117"/>
      <c r="AA559" s="117"/>
      <c r="AB559" s="117"/>
      <c r="AC559" s="117"/>
    </row>
    <row r="560" spans="2:29" s="126" customFormat="1">
      <c r="B560" s="140">
        <v>21</v>
      </c>
      <c r="C560" s="158" t="s">
        <v>26</v>
      </c>
      <c r="D560" s="140">
        <v>0</v>
      </c>
      <c r="E560" s="140"/>
      <c r="F560" s="140"/>
      <c r="G560" s="140"/>
      <c r="H560" s="159"/>
      <c r="I560" s="140"/>
      <c r="J560" s="140"/>
      <c r="K560" s="140"/>
      <c r="L560" s="120">
        <v>4</v>
      </c>
      <c r="M560" s="121">
        <f t="shared" si="41"/>
        <v>4</v>
      </c>
      <c r="N560" s="122" t="s">
        <v>14</v>
      </c>
      <c r="O560" s="119"/>
      <c r="P560" s="119"/>
      <c r="Q560" s="119"/>
      <c r="R560" s="119"/>
      <c r="S560" s="123">
        <v>25000</v>
      </c>
      <c r="T560" s="138"/>
      <c r="U560" s="135">
        <f t="shared" si="42"/>
        <v>100000</v>
      </c>
      <c r="V560" s="122">
        <f t="shared" si="39"/>
        <v>100000</v>
      </c>
      <c r="W560" s="136"/>
      <c r="X560" s="117"/>
      <c r="Y560" s="117"/>
      <c r="Z560" s="117"/>
      <c r="AA560" s="117"/>
      <c r="AB560" s="117"/>
      <c r="AC560" s="117"/>
    </row>
    <row r="561" spans="2:29" s="126" customFormat="1">
      <c r="B561" s="140">
        <v>22</v>
      </c>
      <c r="C561" s="158" t="s">
        <v>27</v>
      </c>
      <c r="D561" s="140">
        <v>0</v>
      </c>
      <c r="E561" s="140"/>
      <c r="F561" s="140"/>
      <c r="G561" s="140"/>
      <c r="H561" s="159"/>
      <c r="I561" s="140"/>
      <c r="J561" s="140"/>
      <c r="K561" s="140"/>
      <c r="L561" s="120">
        <v>4</v>
      </c>
      <c r="M561" s="121">
        <f t="shared" si="41"/>
        <v>4</v>
      </c>
      <c r="N561" s="122" t="s">
        <v>14</v>
      </c>
      <c r="O561" s="119"/>
      <c r="P561" s="119"/>
      <c r="Q561" s="119"/>
      <c r="R561" s="119"/>
      <c r="S561" s="123">
        <v>12000</v>
      </c>
      <c r="T561" s="138"/>
      <c r="U561" s="135">
        <f t="shared" si="42"/>
        <v>48000</v>
      </c>
      <c r="V561" s="122">
        <f t="shared" si="39"/>
        <v>48000</v>
      </c>
      <c r="W561" s="136"/>
      <c r="X561" s="117"/>
      <c r="Y561" s="117"/>
      <c r="Z561" s="117"/>
      <c r="AA561" s="117"/>
      <c r="AB561" s="117"/>
      <c r="AC561" s="117"/>
    </row>
    <row r="562" spans="2:29" s="126" customFormat="1">
      <c r="B562" s="140">
        <v>23</v>
      </c>
      <c r="C562" s="158" t="s">
        <v>28</v>
      </c>
      <c r="D562" s="140">
        <v>0</v>
      </c>
      <c r="E562" s="140"/>
      <c r="F562" s="140"/>
      <c r="G562" s="140"/>
      <c r="H562" s="159"/>
      <c r="I562" s="140"/>
      <c r="J562" s="140"/>
      <c r="K562" s="140"/>
      <c r="L562" s="120">
        <v>12</v>
      </c>
      <c r="M562" s="121">
        <f t="shared" si="41"/>
        <v>12</v>
      </c>
      <c r="N562" s="122" t="s">
        <v>14</v>
      </c>
      <c r="O562" s="119"/>
      <c r="P562" s="119"/>
      <c r="Q562" s="119"/>
      <c r="R562" s="119"/>
      <c r="S562" s="123">
        <v>5000</v>
      </c>
      <c r="T562" s="138"/>
      <c r="U562" s="135">
        <f t="shared" si="42"/>
        <v>60000</v>
      </c>
      <c r="V562" s="122">
        <f t="shared" si="39"/>
        <v>60000</v>
      </c>
      <c r="W562" s="136"/>
      <c r="X562" s="117"/>
      <c r="Y562" s="117"/>
      <c r="Z562" s="117"/>
      <c r="AA562" s="117"/>
      <c r="AB562" s="117"/>
      <c r="AC562" s="117"/>
    </row>
    <row r="563" spans="2:29" s="126" customFormat="1">
      <c r="B563" s="140">
        <v>24</v>
      </c>
      <c r="C563" s="158" t="s">
        <v>29</v>
      </c>
      <c r="D563" s="140">
        <v>0</v>
      </c>
      <c r="E563" s="140"/>
      <c r="F563" s="140"/>
      <c r="G563" s="140"/>
      <c r="H563" s="159"/>
      <c r="I563" s="140"/>
      <c r="J563" s="140"/>
      <c r="K563" s="140"/>
      <c r="L563" s="120">
        <v>12</v>
      </c>
      <c r="M563" s="121">
        <f t="shared" si="41"/>
        <v>12</v>
      </c>
      <c r="N563" s="122" t="s">
        <v>14</v>
      </c>
      <c r="O563" s="119"/>
      <c r="P563" s="119"/>
      <c r="Q563" s="119"/>
      <c r="R563" s="119"/>
      <c r="S563" s="123">
        <v>5000</v>
      </c>
      <c r="T563" s="138"/>
      <c r="U563" s="135">
        <f t="shared" si="42"/>
        <v>60000</v>
      </c>
      <c r="V563" s="122">
        <f t="shared" si="39"/>
        <v>60000</v>
      </c>
      <c r="W563" s="136"/>
      <c r="X563" s="117"/>
      <c r="Y563" s="117"/>
      <c r="Z563" s="117"/>
      <c r="AA563" s="117"/>
      <c r="AB563" s="117"/>
      <c r="AC563" s="117"/>
    </row>
    <row r="564" spans="2:29" s="126" customFormat="1">
      <c r="B564" s="140">
        <v>25</v>
      </c>
      <c r="C564" s="158" t="s">
        <v>30</v>
      </c>
      <c r="D564" s="140">
        <v>0</v>
      </c>
      <c r="E564" s="140"/>
      <c r="F564" s="140"/>
      <c r="G564" s="140"/>
      <c r="H564" s="159"/>
      <c r="I564" s="140"/>
      <c r="J564" s="140"/>
      <c r="K564" s="140"/>
      <c r="L564" s="120">
        <v>12</v>
      </c>
      <c r="M564" s="121">
        <f t="shared" si="41"/>
        <v>12</v>
      </c>
      <c r="N564" s="122" t="s">
        <v>14</v>
      </c>
      <c r="O564" s="119"/>
      <c r="P564" s="119"/>
      <c r="Q564" s="119"/>
      <c r="R564" s="119"/>
      <c r="S564" s="123">
        <v>5000</v>
      </c>
      <c r="T564" s="138"/>
      <c r="U564" s="135">
        <f t="shared" si="42"/>
        <v>60000</v>
      </c>
      <c r="V564" s="122">
        <f t="shared" si="39"/>
        <v>60000</v>
      </c>
      <c r="W564" s="136"/>
      <c r="X564" s="117"/>
      <c r="Y564" s="117"/>
      <c r="Z564" s="117"/>
      <c r="AA564" s="117"/>
      <c r="AB564" s="117"/>
      <c r="AC564" s="117"/>
    </row>
    <row r="565" spans="2:29" s="126" customFormat="1">
      <c r="B565" s="140"/>
      <c r="C565" s="158"/>
      <c r="D565" s="140"/>
      <c r="E565" s="140"/>
      <c r="F565" s="140"/>
      <c r="G565" s="140"/>
      <c r="H565" s="159"/>
      <c r="I565" s="140"/>
      <c r="J565" s="140"/>
      <c r="K565" s="140"/>
      <c r="L565" s="120"/>
      <c r="M565" s="121"/>
      <c r="N565" s="122"/>
      <c r="O565" s="119"/>
      <c r="P565" s="119"/>
      <c r="Q565" s="119"/>
      <c r="R565" s="119"/>
      <c r="S565" s="123"/>
      <c r="T565" s="138"/>
      <c r="U565" s="135"/>
      <c r="V565" s="122"/>
      <c r="W565" s="136"/>
      <c r="X565" s="117"/>
      <c r="Y565" s="117"/>
      <c r="Z565" s="117"/>
      <c r="AA565" s="117"/>
      <c r="AB565" s="117"/>
      <c r="AC565" s="117"/>
    </row>
    <row r="566" spans="2:29" s="126" customFormat="1">
      <c r="B566" s="140"/>
      <c r="C566" s="158"/>
      <c r="D566" s="140"/>
      <c r="E566" s="140"/>
      <c r="F566" s="140"/>
      <c r="G566" s="140"/>
      <c r="H566" s="159"/>
      <c r="I566" s="140"/>
      <c r="J566" s="140"/>
      <c r="K566" s="140"/>
      <c r="L566" s="120"/>
      <c r="M566" s="121"/>
      <c r="N566" s="122"/>
      <c r="O566" s="119"/>
      <c r="P566" s="119"/>
      <c r="Q566" s="119"/>
      <c r="R566" s="119"/>
      <c r="S566" s="123"/>
      <c r="T566" s="138"/>
      <c r="U566" s="135"/>
      <c r="V566" s="122"/>
      <c r="W566" s="136"/>
      <c r="X566" s="117"/>
      <c r="Y566" s="117"/>
      <c r="Z566" s="117"/>
      <c r="AA566" s="117"/>
      <c r="AB566" s="117"/>
      <c r="AC566" s="117"/>
    </row>
    <row r="567" spans="2:29" s="126" customFormat="1">
      <c r="B567" s="140">
        <v>26</v>
      </c>
      <c r="C567" s="158" t="s">
        <v>24</v>
      </c>
      <c r="D567" s="140">
        <v>0</v>
      </c>
      <c r="E567" s="140"/>
      <c r="F567" s="140"/>
      <c r="G567" s="140"/>
      <c r="H567" s="159"/>
      <c r="I567" s="140"/>
      <c r="J567" s="140"/>
      <c r="K567" s="140"/>
      <c r="L567" s="120">
        <v>7</v>
      </c>
      <c r="M567" s="121">
        <f t="shared" si="41"/>
        <v>7</v>
      </c>
      <c r="N567" s="122" t="s">
        <v>14</v>
      </c>
      <c r="O567" s="119"/>
      <c r="P567" s="119"/>
      <c r="Q567" s="119"/>
      <c r="R567" s="119"/>
      <c r="S567" s="123">
        <v>1000</v>
      </c>
      <c r="T567" s="138"/>
      <c r="U567" s="135">
        <f t="shared" si="42"/>
        <v>7000</v>
      </c>
      <c r="V567" s="122">
        <f t="shared" si="39"/>
        <v>7000</v>
      </c>
      <c r="W567" s="136"/>
      <c r="X567" s="117"/>
      <c r="Y567" s="117"/>
      <c r="Z567" s="117"/>
      <c r="AA567" s="117"/>
      <c r="AB567" s="117"/>
      <c r="AC567" s="117"/>
    </row>
    <row r="568" spans="2:29" s="126" customFormat="1">
      <c r="B568" s="140">
        <v>27</v>
      </c>
      <c r="C568" s="158" t="s">
        <v>25</v>
      </c>
      <c r="D568" s="140">
        <v>0</v>
      </c>
      <c r="E568" s="140"/>
      <c r="F568" s="140"/>
      <c r="G568" s="140"/>
      <c r="H568" s="159"/>
      <c r="I568" s="140"/>
      <c r="J568" s="140"/>
      <c r="K568" s="140"/>
      <c r="L568" s="120">
        <v>5</v>
      </c>
      <c r="M568" s="121">
        <f t="shared" si="41"/>
        <v>5</v>
      </c>
      <c r="N568" s="122" t="s">
        <v>14</v>
      </c>
      <c r="O568" s="119"/>
      <c r="P568" s="119"/>
      <c r="Q568" s="119"/>
      <c r="R568" s="119"/>
      <c r="S568" s="123">
        <v>1000</v>
      </c>
      <c r="T568" s="138"/>
      <c r="U568" s="135">
        <f t="shared" si="42"/>
        <v>5000</v>
      </c>
      <c r="V568" s="122">
        <f t="shared" si="39"/>
        <v>5000</v>
      </c>
      <c r="W568" s="136"/>
      <c r="X568" s="117"/>
      <c r="Y568" s="117"/>
      <c r="Z568" s="117"/>
      <c r="AA568" s="117"/>
      <c r="AB568" s="117"/>
      <c r="AC568" s="117"/>
    </row>
    <row r="569" spans="2:29" s="126" customFormat="1">
      <c r="B569" s="140"/>
      <c r="C569" s="158"/>
      <c r="D569" s="140"/>
      <c r="E569" s="140"/>
      <c r="F569" s="140"/>
      <c r="G569" s="140"/>
      <c r="H569" s="159"/>
      <c r="I569" s="140"/>
      <c r="J569" s="140"/>
      <c r="K569" s="140"/>
      <c r="L569" s="120"/>
      <c r="M569" s="121"/>
      <c r="N569" s="122"/>
      <c r="O569" s="119"/>
      <c r="P569" s="119"/>
      <c r="Q569" s="119"/>
      <c r="R569" s="119"/>
      <c r="S569" s="123"/>
      <c r="T569" s="138"/>
      <c r="U569" s="135"/>
      <c r="V569" s="122"/>
      <c r="W569" s="136"/>
      <c r="X569" s="117"/>
      <c r="Y569" s="117"/>
      <c r="Z569" s="117"/>
      <c r="AA569" s="117"/>
      <c r="AB569" s="117"/>
      <c r="AC569" s="117"/>
    </row>
    <row r="570" spans="2:29" s="126" customFormat="1">
      <c r="B570" s="140">
        <v>28</v>
      </c>
      <c r="C570" s="158" t="s">
        <v>34</v>
      </c>
      <c r="D570" s="140">
        <v>0</v>
      </c>
      <c r="E570" s="140"/>
      <c r="F570" s="140"/>
      <c r="G570" s="140"/>
      <c r="H570" s="159"/>
      <c r="I570" s="140"/>
      <c r="J570" s="140"/>
      <c r="K570" s="140"/>
      <c r="L570" s="120"/>
      <c r="M570" s="121">
        <f t="shared" si="41"/>
        <v>0</v>
      </c>
      <c r="N570" s="122" t="s">
        <v>14</v>
      </c>
      <c r="O570" s="119"/>
      <c r="P570" s="119"/>
      <c r="Q570" s="119"/>
      <c r="R570" s="119"/>
      <c r="S570" s="123"/>
      <c r="T570" s="138"/>
      <c r="U570" s="135">
        <f t="shared" si="42"/>
        <v>0</v>
      </c>
      <c r="V570" s="122">
        <f t="shared" si="39"/>
        <v>0</v>
      </c>
      <c r="W570" s="136"/>
      <c r="X570" s="117"/>
      <c r="Y570" s="117"/>
      <c r="Z570" s="117"/>
      <c r="AA570" s="117"/>
      <c r="AB570" s="117"/>
      <c r="AC570" s="117"/>
    </row>
    <row r="571" spans="2:29" s="126" customFormat="1">
      <c r="B571" s="160">
        <v>29</v>
      </c>
      <c r="C571" s="161" t="s">
        <v>35</v>
      </c>
      <c r="D571" s="140">
        <v>0</v>
      </c>
      <c r="E571" s="160"/>
      <c r="F571" s="160"/>
      <c r="G571" s="160"/>
      <c r="H571" s="162"/>
      <c r="I571" s="160"/>
      <c r="J571" s="160"/>
      <c r="K571" s="160"/>
      <c r="L571" s="163">
        <v>5</v>
      </c>
      <c r="M571" s="121">
        <f t="shared" si="41"/>
        <v>5</v>
      </c>
      <c r="N571" s="122" t="s">
        <v>14</v>
      </c>
      <c r="O571" s="119"/>
      <c r="P571" s="119"/>
      <c r="Q571" s="119"/>
      <c r="R571" s="119"/>
      <c r="S571" s="123">
        <v>14750</v>
      </c>
      <c r="T571" s="138"/>
      <c r="U571" s="135">
        <f t="shared" si="42"/>
        <v>73750</v>
      </c>
      <c r="V571" s="122">
        <f t="shared" si="39"/>
        <v>73750</v>
      </c>
      <c r="W571" s="136"/>
      <c r="X571" s="117"/>
      <c r="Y571" s="117"/>
      <c r="Z571" s="117"/>
      <c r="AA571" s="117"/>
      <c r="AB571" s="117"/>
      <c r="AC571" s="117"/>
    </row>
    <row r="572" spans="2:29" s="126" customFormat="1">
      <c r="B572" s="117"/>
      <c r="C572" s="139"/>
      <c r="D572" s="140"/>
      <c r="E572" s="140"/>
      <c r="F572" s="140"/>
      <c r="G572" s="140"/>
      <c r="H572" s="159"/>
      <c r="I572" s="140"/>
      <c r="J572" s="140"/>
      <c r="K572" s="140"/>
      <c r="L572" s="120"/>
      <c r="M572" s="121">
        <f t="shared" si="41"/>
        <v>0</v>
      </c>
      <c r="N572" s="122"/>
      <c r="O572" s="119"/>
      <c r="P572" s="119"/>
      <c r="Q572" s="119"/>
      <c r="R572" s="119"/>
      <c r="S572" s="123"/>
      <c r="T572" s="138"/>
      <c r="U572" s="119"/>
      <c r="V572" s="122"/>
      <c r="W572" s="136"/>
      <c r="X572" s="117"/>
      <c r="Y572" s="117"/>
      <c r="Z572" s="117"/>
      <c r="AA572" s="117"/>
      <c r="AB572" s="117"/>
      <c r="AC572" s="117"/>
    </row>
    <row r="573" spans="2:29" s="126" customFormat="1">
      <c r="B573" s="117">
        <v>30</v>
      </c>
      <c r="C573" s="139" t="s">
        <v>53</v>
      </c>
      <c r="D573" s="140">
        <v>0</v>
      </c>
      <c r="E573" s="140"/>
      <c r="F573" s="140"/>
      <c r="G573" s="140"/>
      <c r="H573" s="159"/>
      <c r="I573" s="140"/>
      <c r="J573" s="140"/>
      <c r="K573" s="140"/>
      <c r="L573" s="120"/>
      <c r="M573" s="121">
        <f t="shared" si="41"/>
        <v>0</v>
      </c>
      <c r="N573" s="122" t="s">
        <v>14</v>
      </c>
      <c r="O573" s="119"/>
      <c r="P573" s="119"/>
      <c r="Q573" s="119"/>
      <c r="R573" s="119"/>
      <c r="S573" s="123"/>
      <c r="T573" s="138"/>
      <c r="U573" s="135">
        <f t="shared" ref="U573" si="43">L573*S573</f>
        <v>0</v>
      </c>
      <c r="V573" s="122">
        <f t="shared" ref="V573" si="44">S573*L573</f>
        <v>0</v>
      </c>
      <c r="W573" s="136"/>
      <c r="X573" s="117"/>
      <c r="Y573" s="117"/>
      <c r="Z573" s="117"/>
      <c r="AA573" s="117"/>
      <c r="AB573" s="117"/>
      <c r="AC573" s="117"/>
    </row>
    <row r="574" spans="2:29" s="126" customFormat="1">
      <c r="B574" s="117"/>
      <c r="C574" s="139"/>
      <c r="D574" s="140"/>
      <c r="E574" s="140"/>
      <c r="F574" s="140"/>
      <c r="G574" s="140"/>
      <c r="H574" s="159"/>
      <c r="I574" s="140"/>
      <c r="J574" s="140"/>
      <c r="K574" s="140"/>
      <c r="L574" s="120"/>
      <c r="M574" s="121"/>
      <c r="N574" s="122"/>
      <c r="O574" s="119"/>
      <c r="P574" s="119"/>
      <c r="Q574" s="119"/>
      <c r="R574" s="119"/>
      <c r="S574" s="123"/>
      <c r="T574" s="138"/>
      <c r="U574" s="119"/>
      <c r="V574" s="122"/>
      <c r="W574" s="136"/>
      <c r="X574" s="117"/>
      <c r="Y574" s="117"/>
      <c r="Z574" s="117"/>
      <c r="AA574" s="117"/>
      <c r="AB574" s="117"/>
      <c r="AC574" s="117"/>
    </row>
    <row r="575" spans="2:29" s="126" customFormat="1">
      <c r="B575" s="117"/>
      <c r="C575" s="139" t="s">
        <v>254</v>
      </c>
      <c r="D575" s="140"/>
      <c r="E575" s="140"/>
      <c r="F575" s="140"/>
      <c r="G575" s="140"/>
      <c r="H575" s="159"/>
      <c r="I575" s="140"/>
      <c r="J575" s="140"/>
      <c r="K575" s="140"/>
      <c r="L575" s="120"/>
      <c r="M575" s="121"/>
      <c r="N575" s="122"/>
      <c r="O575" s="119"/>
      <c r="P575" s="119"/>
      <c r="Q575" s="119"/>
      <c r="R575" s="119"/>
      <c r="S575" s="123"/>
      <c r="T575" s="138"/>
      <c r="U575" s="119"/>
      <c r="V575" s="122"/>
      <c r="W575" s="136"/>
      <c r="X575" s="117"/>
      <c r="Y575" s="117"/>
      <c r="Z575" s="117"/>
      <c r="AA575" s="117"/>
      <c r="AB575" s="117"/>
      <c r="AC575" s="117"/>
    </row>
    <row r="576" spans="2:29" s="126" customFormat="1">
      <c r="B576" s="117"/>
      <c r="C576" s="139"/>
      <c r="D576" s="140"/>
      <c r="E576" s="140"/>
      <c r="F576" s="140"/>
      <c r="G576" s="140"/>
      <c r="H576" s="159"/>
      <c r="I576" s="140"/>
      <c r="J576" s="140"/>
      <c r="K576" s="140"/>
      <c r="L576" s="120"/>
      <c r="M576" s="121"/>
      <c r="N576" s="122"/>
      <c r="O576" s="119"/>
      <c r="P576" s="119"/>
      <c r="Q576" s="119"/>
      <c r="R576" s="119"/>
      <c r="S576" s="123"/>
      <c r="T576" s="138"/>
      <c r="U576" s="119"/>
      <c r="V576" s="122"/>
      <c r="W576" s="136"/>
      <c r="X576" s="117"/>
      <c r="Y576" s="117"/>
      <c r="Z576" s="117"/>
      <c r="AA576" s="117"/>
      <c r="AB576" s="117"/>
      <c r="AC576" s="117"/>
    </row>
    <row r="577" spans="2:29" s="126" customFormat="1">
      <c r="B577" s="117"/>
      <c r="C577" s="139" t="s">
        <v>252</v>
      </c>
      <c r="D577" s="140"/>
      <c r="E577" s="140"/>
      <c r="F577" s="140"/>
      <c r="G577" s="140"/>
      <c r="H577" s="159"/>
      <c r="I577" s="140"/>
      <c r="J577" s="140"/>
      <c r="K577" s="140"/>
      <c r="L577" s="120"/>
      <c r="M577" s="121"/>
      <c r="N577" s="122"/>
      <c r="O577" s="119"/>
      <c r="P577" s="119"/>
      <c r="Q577" s="119"/>
      <c r="R577" s="119"/>
      <c r="S577" s="123"/>
      <c r="T577" s="138"/>
      <c r="U577" s="119"/>
      <c r="V577" s="122"/>
      <c r="W577" s="136"/>
      <c r="X577" s="117"/>
      <c r="Y577" s="117"/>
      <c r="Z577" s="117"/>
      <c r="AA577" s="117"/>
      <c r="AB577" s="117"/>
      <c r="AC577" s="117"/>
    </row>
    <row r="578" spans="2:29" s="126" customFormat="1">
      <c r="B578" s="117"/>
      <c r="C578" s="139" t="s">
        <v>253</v>
      </c>
      <c r="D578" s="140"/>
      <c r="E578" s="140"/>
      <c r="F578" s="140"/>
      <c r="G578" s="140"/>
      <c r="H578" s="159"/>
      <c r="I578" s="140"/>
      <c r="J578" s="140"/>
      <c r="K578" s="140"/>
      <c r="L578" s="120"/>
      <c r="M578" s="121"/>
      <c r="N578" s="122"/>
      <c r="O578" s="119"/>
      <c r="P578" s="119"/>
      <c r="Q578" s="119"/>
      <c r="R578" s="119"/>
      <c r="S578" s="123"/>
      <c r="T578" s="138"/>
      <c r="U578" s="119"/>
      <c r="V578" s="122"/>
      <c r="W578" s="136"/>
      <c r="X578" s="117"/>
      <c r="Y578" s="117"/>
      <c r="Z578" s="117"/>
      <c r="AA578" s="117"/>
      <c r="AB578" s="117"/>
      <c r="AC578" s="117"/>
    </row>
    <row r="579" spans="2:29" s="126" customFormat="1">
      <c r="B579" s="117"/>
      <c r="C579" s="139"/>
      <c r="D579" s="140"/>
      <c r="E579" s="140"/>
      <c r="F579" s="140"/>
      <c r="G579" s="140"/>
      <c r="H579" s="159"/>
      <c r="I579" s="140"/>
      <c r="J579" s="140"/>
      <c r="K579" s="140"/>
      <c r="L579" s="120"/>
      <c r="M579" s="121"/>
      <c r="N579" s="122"/>
      <c r="O579" s="119"/>
      <c r="P579" s="119"/>
      <c r="Q579" s="119"/>
      <c r="R579" s="119"/>
      <c r="S579" s="123"/>
      <c r="T579" s="138"/>
      <c r="U579" s="119"/>
      <c r="V579" s="122"/>
      <c r="W579" s="136"/>
      <c r="X579" s="117"/>
      <c r="Y579" s="117"/>
      <c r="Z579" s="117"/>
      <c r="AA579" s="117"/>
      <c r="AB579" s="117"/>
      <c r="AC579" s="117"/>
    </row>
    <row r="580" spans="2:29" s="126" customFormat="1">
      <c r="B580" s="117"/>
      <c r="C580" s="139" t="s">
        <v>255</v>
      </c>
      <c r="D580" s="140"/>
      <c r="E580" s="140"/>
      <c r="F580" s="140"/>
      <c r="G580" s="140"/>
      <c r="H580" s="159"/>
      <c r="I580" s="140"/>
      <c r="J580" s="140"/>
      <c r="K580" s="140"/>
      <c r="L580" s="120"/>
      <c r="M580" s="121"/>
      <c r="N580" s="122"/>
      <c r="O580" s="119"/>
      <c r="P580" s="119"/>
      <c r="Q580" s="119"/>
      <c r="R580" s="119"/>
      <c r="S580" s="123"/>
      <c r="T580" s="138"/>
      <c r="U580" s="119"/>
      <c r="V580" s="122"/>
      <c r="W580" s="136"/>
      <c r="X580" s="117"/>
      <c r="Y580" s="117"/>
      <c r="Z580" s="117"/>
      <c r="AA580" s="117"/>
      <c r="AB580" s="117"/>
      <c r="AC580" s="117"/>
    </row>
    <row r="581" spans="2:29" s="126" customFormat="1">
      <c r="B581" s="117"/>
      <c r="C581" s="139"/>
      <c r="D581" s="140"/>
      <c r="E581" s="140"/>
      <c r="F581" s="140"/>
      <c r="G581" s="140"/>
      <c r="H581" s="159"/>
      <c r="I581" s="140"/>
      <c r="J581" s="140"/>
      <c r="K581" s="140"/>
      <c r="L581" s="120"/>
      <c r="M581" s="121"/>
      <c r="N581" s="122"/>
      <c r="O581" s="119"/>
      <c r="P581" s="119"/>
      <c r="Q581" s="119"/>
      <c r="R581" s="119"/>
      <c r="S581" s="123"/>
      <c r="T581" s="138"/>
      <c r="U581" s="119"/>
      <c r="V581" s="122"/>
      <c r="W581" s="136"/>
      <c r="X581" s="117"/>
      <c r="Y581" s="117"/>
      <c r="Z581" s="117"/>
      <c r="AA581" s="117"/>
      <c r="AB581" s="117"/>
      <c r="AC581" s="117"/>
    </row>
    <row r="582" spans="2:29" s="126" customFormat="1">
      <c r="B582" s="117"/>
      <c r="C582" s="139" t="s">
        <v>260</v>
      </c>
      <c r="D582" s="140"/>
      <c r="E582" s="140"/>
      <c r="F582" s="140"/>
      <c r="G582" s="140"/>
      <c r="H582" s="159"/>
      <c r="I582" s="140"/>
      <c r="J582" s="140"/>
      <c r="K582" s="140"/>
      <c r="L582" s="120"/>
      <c r="M582" s="121"/>
      <c r="N582" s="122"/>
      <c r="O582" s="119"/>
      <c r="P582" s="119"/>
      <c r="Q582" s="119"/>
      <c r="R582" s="119"/>
      <c r="S582" s="123"/>
      <c r="T582" s="138"/>
      <c r="U582" s="119"/>
      <c r="V582" s="122"/>
      <c r="W582" s="136"/>
      <c r="X582" s="117"/>
      <c r="Y582" s="117"/>
      <c r="Z582" s="117"/>
      <c r="AA582" s="117"/>
      <c r="AB582" s="117"/>
      <c r="AC582" s="117"/>
    </row>
    <row r="583" spans="2:29" s="126" customFormat="1">
      <c r="B583" s="117"/>
      <c r="C583" s="139"/>
      <c r="D583" s="140"/>
      <c r="E583" s="140"/>
      <c r="F583" s="140"/>
      <c r="G583" s="140"/>
      <c r="H583" s="159"/>
      <c r="I583" s="140"/>
      <c r="J583" s="140"/>
      <c r="K583" s="140"/>
      <c r="L583" s="120"/>
      <c r="M583" s="121"/>
      <c r="N583" s="122"/>
      <c r="O583" s="119"/>
      <c r="P583" s="119"/>
      <c r="Q583" s="119"/>
      <c r="R583" s="119"/>
      <c r="S583" s="123"/>
      <c r="T583" s="138"/>
      <c r="U583" s="119"/>
      <c r="V583" s="122"/>
      <c r="W583" s="136"/>
      <c r="X583" s="117"/>
      <c r="Y583" s="117"/>
      <c r="Z583" s="117"/>
      <c r="AA583" s="117"/>
      <c r="AB583" s="117"/>
      <c r="AC583" s="117"/>
    </row>
    <row r="584" spans="2:29" s="126" customFormat="1">
      <c r="B584" s="117"/>
      <c r="C584" s="139" t="s">
        <v>250</v>
      </c>
      <c r="D584" s="140"/>
      <c r="E584" s="140"/>
      <c r="F584" s="140"/>
      <c r="G584" s="140"/>
      <c r="H584" s="159"/>
      <c r="I584" s="140"/>
      <c r="J584" s="140"/>
      <c r="K584" s="140"/>
      <c r="L584" s="120"/>
      <c r="M584" s="121"/>
      <c r="N584" s="122"/>
      <c r="O584" s="119"/>
      <c r="P584" s="119"/>
      <c r="Q584" s="119"/>
      <c r="R584" s="119"/>
      <c r="S584" s="123"/>
      <c r="T584" s="138"/>
      <c r="U584" s="119"/>
      <c r="V584" s="122"/>
      <c r="W584" s="136"/>
      <c r="X584" s="117"/>
      <c r="Y584" s="117"/>
      <c r="Z584" s="117"/>
      <c r="AA584" s="117"/>
      <c r="AB584" s="117"/>
      <c r="AC584" s="117"/>
    </row>
    <row r="585" spans="2:29" s="126" customFormat="1">
      <c r="B585" s="117"/>
      <c r="C585" s="139"/>
      <c r="D585" s="140"/>
      <c r="E585" s="140"/>
      <c r="F585" s="140"/>
      <c r="G585" s="140"/>
      <c r="H585" s="159"/>
      <c r="I585" s="140"/>
      <c r="J585" s="140"/>
      <c r="K585" s="140"/>
      <c r="L585" s="120"/>
      <c r="M585" s="121"/>
      <c r="N585" s="122"/>
      <c r="O585" s="119"/>
      <c r="P585" s="119"/>
      <c r="Q585" s="119"/>
      <c r="R585" s="119"/>
      <c r="S585" s="123"/>
      <c r="T585" s="138"/>
      <c r="U585" s="119"/>
      <c r="V585" s="122"/>
      <c r="W585" s="136"/>
      <c r="X585" s="117"/>
      <c r="Y585" s="117"/>
      <c r="Z585" s="117"/>
      <c r="AA585" s="117"/>
      <c r="AB585" s="117"/>
      <c r="AC585" s="117"/>
    </row>
    <row r="586" spans="2:29" s="126" customFormat="1">
      <c r="B586" s="117"/>
      <c r="C586" s="139" t="s">
        <v>256</v>
      </c>
      <c r="D586" s="140"/>
      <c r="E586" s="140"/>
      <c r="F586" s="140"/>
      <c r="G586" s="140"/>
      <c r="H586" s="159"/>
      <c r="I586" s="140"/>
      <c r="J586" s="140"/>
      <c r="K586" s="140"/>
      <c r="L586" s="120"/>
      <c r="M586" s="121"/>
      <c r="N586" s="122"/>
      <c r="O586" s="119"/>
      <c r="P586" s="119"/>
      <c r="Q586" s="119"/>
      <c r="R586" s="119"/>
      <c r="S586" s="123"/>
      <c r="T586" s="138"/>
      <c r="U586" s="119"/>
      <c r="V586" s="122"/>
      <c r="W586" s="136"/>
      <c r="X586" s="117"/>
      <c r="Y586" s="117"/>
      <c r="Z586" s="117"/>
      <c r="AA586" s="117"/>
      <c r="AB586" s="117"/>
      <c r="AC586" s="117"/>
    </row>
    <row r="587" spans="2:29" s="126" customFormat="1">
      <c r="B587" s="117"/>
      <c r="C587" s="139"/>
      <c r="D587" s="140"/>
      <c r="E587" s="140"/>
      <c r="F587" s="140"/>
      <c r="G587" s="140"/>
      <c r="H587" s="159"/>
      <c r="I587" s="140"/>
      <c r="J587" s="140"/>
      <c r="K587" s="140"/>
      <c r="L587" s="120"/>
      <c r="M587" s="121"/>
      <c r="N587" s="122"/>
      <c r="O587" s="119"/>
      <c r="P587" s="119"/>
      <c r="Q587" s="119"/>
      <c r="R587" s="119"/>
      <c r="S587" s="123"/>
      <c r="T587" s="138"/>
      <c r="U587" s="119"/>
      <c r="V587" s="122"/>
      <c r="W587" s="136"/>
      <c r="X587" s="117"/>
      <c r="Y587" s="117"/>
      <c r="Z587" s="117"/>
      <c r="AA587" s="117"/>
      <c r="AB587" s="117"/>
      <c r="AC587" s="117"/>
    </row>
    <row r="588" spans="2:29" s="126" customFormat="1">
      <c r="B588" s="164"/>
      <c r="C588" s="139" t="s">
        <v>257</v>
      </c>
      <c r="D588" s="165"/>
      <c r="E588" s="165"/>
      <c r="F588" s="165"/>
      <c r="G588" s="165"/>
      <c r="H588" s="166"/>
      <c r="I588" s="165"/>
      <c r="J588" s="165"/>
      <c r="K588" s="165"/>
      <c r="L588" s="167"/>
      <c r="M588" s="168"/>
      <c r="N588" s="169"/>
      <c r="O588" s="170"/>
      <c r="P588" s="170"/>
      <c r="Q588" s="170"/>
      <c r="R588" s="170"/>
      <c r="S588" s="171"/>
      <c r="T588" s="172"/>
      <c r="U588" s="173"/>
      <c r="V588" s="174"/>
      <c r="W588" s="175"/>
      <c r="X588" s="176"/>
      <c r="Y588" s="117"/>
      <c r="Z588" s="117"/>
      <c r="AA588" s="117"/>
      <c r="AB588" s="117"/>
      <c r="AC588" s="117"/>
    </row>
    <row r="589" spans="2:29" s="126" customFormat="1">
      <c r="B589" s="125"/>
      <c r="C589" s="139"/>
      <c r="D589" s="140"/>
      <c r="E589" s="140"/>
      <c r="F589" s="140"/>
      <c r="G589" s="140"/>
      <c r="H589" s="159"/>
      <c r="I589" s="140"/>
      <c r="J589" s="140"/>
      <c r="K589" s="140"/>
      <c r="L589" s="120"/>
      <c r="M589" s="121"/>
      <c r="N589" s="122"/>
      <c r="O589" s="119"/>
      <c r="P589" s="119"/>
      <c r="Q589" s="119"/>
      <c r="R589" s="119"/>
      <c r="S589" s="123"/>
      <c r="T589" s="138"/>
      <c r="U589" s="119"/>
      <c r="V589" s="122"/>
      <c r="W589" s="136"/>
      <c r="X589" s="117"/>
      <c r="Y589" s="117"/>
      <c r="Z589" s="117"/>
      <c r="AA589" s="117"/>
      <c r="AB589" s="117"/>
      <c r="AC589" s="117"/>
    </row>
    <row r="590" spans="2:29" s="126" customFormat="1">
      <c r="B590" s="177">
        <v>2</v>
      </c>
      <c r="C590" s="178" t="s">
        <v>54</v>
      </c>
      <c r="D590" s="140">
        <v>0</v>
      </c>
      <c r="E590" s="140"/>
      <c r="F590" s="140"/>
      <c r="G590" s="140"/>
      <c r="H590" s="159"/>
      <c r="I590" s="140"/>
      <c r="J590" s="140"/>
      <c r="K590" s="140"/>
      <c r="L590" s="119">
        <v>1</v>
      </c>
      <c r="M590" s="121">
        <f t="shared" ref="M590" si="45">L590-D590</f>
        <v>1</v>
      </c>
      <c r="N590" s="122" t="s">
        <v>14</v>
      </c>
      <c r="O590" s="119"/>
      <c r="P590" s="119"/>
      <c r="Q590" s="119"/>
      <c r="R590" s="119"/>
      <c r="S590" s="123">
        <v>135000</v>
      </c>
      <c r="T590" s="138"/>
      <c r="U590" s="135">
        <f t="shared" ref="U590" si="46">L590*S590</f>
        <v>135000</v>
      </c>
      <c r="V590" s="122">
        <f t="shared" ref="V590" si="47">S590*L590</f>
        <v>135000</v>
      </c>
      <c r="W590" s="136"/>
      <c r="X590" s="117"/>
      <c r="Y590" s="117"/>
      <c r="Z590" s="117"/>
      <c r="AA590" s="117"/>
      <c r="AB590" s="117"/>
      <c r="AC590" s="117"/>
    </row>
    <row r="591" spans="2:29" s="126" customFormat="1">
      <c r="B591" s="125"/>
      <c r="C591" s="139"/>
      <c r="D591" s="140"/>
      <c r="E591" s="140"/>
      <c r="F591" s="140"/>
      <c r="G591" s="140"/>
      <c r="H591" s="159"/>
      <c r="I591" s="140"/>
      <c r="J591" s="140"/>
      <c r="K591" s="140"/>
      <c r="L591" s="120"/>
      <c r="M591" s="121"/>
      <c r="N591" s="122"/>
      <c r="O591" s="119"/>
      <c r="P591" s="119"/>
      <c r="Q591" s="119"/>
      <c r="R591" s="119"/>
      <c r="S591" s="123"/>
      <c r="T591" s="138"/>
      <c r="U591" s="119"/>
      <c r="V591" s="122"/>
      <c r="W591" s="136"/>
      <c r="X591" s="117"/>
      <c r="Y591" s="117"/>
      <c r="Z591" s="117"/>
      <c r="AA591" s="117"/>
      <c r="AB591" s="117"/>
      <c r="AC591" s="117"/>
    </row>
    <row r="592" spans="2:29" s="126" customFormat="1">
      <c r="B592" s="125">
        <v>4</v>
      </c>
      <c r="C592" s="139" t="s">
        <v>40</v>
      </c>
      <c r="D592" s="140">
        <v>0</v>
      </c>
      <c r="E592" s="140"/>
      <c r="F592" s="140"/>
      <c r="G592" s="140"/>
      <c r="H592" s="159"/>
      <c r="I592" s="140"/>
      <c r="J592" s="140"/>
      <c r="K592" s="140"/>
      <c r="L592" s="120">
        <v>1</v>
      </c>
      <c r="M592" s="121">
        <f t="shared" ref="M592" si="48">L592-D592</f>
        <v>1</v>
      </c>
      <c r="N592" s="122" t="s">
        <v>14</v>
      </c>
      <c r="O592" s="119"/>
      <c r="P592" s="119"/>
      <c r="Q592" s="119"/>
      <c r="R592" s="119"/>
      <c r="S592" s="133">
        <v>17500</v>
      </c>
      <c r="T592" s="138"/>
      <c r="U592" s="135">
        <f t="shared" ref="U592" si="49">L592*S592</f>
        <v>17500</v>
      </c>
      <c r="V592" s="122">
        <f t="shared" ref="V592" si="50">S592*L592</f>
        <v>17500</v>
      </c>
      <c r="W592" s="136"/>
      <c r="X592" s="117"/>
      <c r="Y592" s="117"/>
      <c r="Z592" s="117"/>
      <c r="AA592" s="117"/>
      <c r="AB592" s="117"/>
      <c r="AC592" s="117"/>
    </row>
    <row r="593" spans="2:29" s="126" customFormat="1">
      <c r="B593" s="125"/>
      <c r="C593" s="139"/>
      <c r="D593" s="140"/>
      <c r="E593" s="140"/>
      <c r="F593" s="140"/>
      <c r="G593" s="140"/>
      <c r="H593" s="159"/>
      <c r="I593" s="140"/>
      <c r="J593" s="140"/>
      <c r="K593" s="140"/>
      <c r="L593" s="120"/>
      <c r="M593" s="121"/>
      <c r="N593" s="122"/>
      <c r="O593" s="119"/>
      <c r="P593" s="119"/>
      <c r="Q593" s="119"/>
      <c r="R593" s="119"/>
      <c r="S593" s="123"/>
      <c r="T593" s="138"/>
      <c r="U593" s="119"/>
      <c r="V593" s="122"/>
      <c r="W593" s="136"/>
      <c r="X593" s="117"/>
      <c r="Y593" s="117"/>
      <c r="Z593" s="117"/>
      <c r="AA593" s="117"/>
      <c r="AB593" s="117"/>
      <c r="AC593" s="117"/>
    </row>
    <row r="594" spans="2:29" s="126" customFormat="1">
      <c r="B594" s="125">
        <v>5</v>
      </c>
      <c r="C594" s="139" t="s">
        <v>47</v>
      </c>
      <c r="D594" s="140">
        <v>0</v>
      </c>
      <c r="E594" s="140"/>
      <c r="F594" s="140"/>
      <c r="G594" s="140"/>
      <c r="H594" s="159"/>
      <c r="I594" s="140"/>
      <c r="J594" s="140"/>
      <c r="K594" s="140"/>
      <c r="L594" s="120">
        <v>1</v>
      </c>
      <c r="M594" s="121">
        <f t="shared" ref="M594" si="51">L594-D594</f>
        <v>1</v>
      </c>
      <c r="N594" s="122" t="s">
        <v>14</v>
      </c>
      <c r="O594" s="119"/>
      <c r="P594" s="119"/>
      <c r="Q594" s="119"/>
      <c r="R594" s="119"/>
      <c r="S594" s="133">
        <v>17500</v>
      </c>
      <c r="T594" s="138"/>
      <c r="U594" s="135">
        <f t="shared" ref="U594" si="52">L594*S594</f>
        <v>17500</v>
      </c>
      <c r="V594" s="122">
        <f t="shared" ref="V594" si="53">S594*L594</f>
        <v>17500</v>
      </c>
      <c r="W594" s="136"/>
      <c r="X594" s="117"/>
      <c r="Y594" s="117"/>
      <c r="Z594" s="117"/>
      <c r="AA594" s="117"/>
      <c r="AB594" s="117"/>
      <c r="AC594" s="117"/>
    </row>
    <row r="595" spans="2:29" s="126" customFormat="1">
      <c r="B595" s="125"/>
      <c r="C595" s="139"/>
      <c r="D595" s="140"/>
      <c r="E595" s="140"/>
      <c r="F595" s="140"/>
      <c r="G595" s="140"/>
      <c r="H595" s="159"/>
      <c r="I595" s="140"/>
      <c r="J595" s="140"/>
      <c r="K595" s="140"/>
      <c r="L595" s="120"/>
      <c r="M595" s="121"/>
      <c r="N595" s="122"/>
      <c r="O595" s="119"/>
      <c r="P595" s="119"/>
      <c r="Q595" s="119"/>
      <c r="R595" s="119"/>
      <c r="S595" s="123"/>
      <c r="T595" s="138"/>
      <c r="U595" s="119"/>
      <c r="V595" s="122"/>
      <c r="W595" s="136"/>
      <c r="X595" s="117"/>
      <c r="Y595" s="117"/>
      <c r="Z595" s="117"/>
      <c r="AA595" s="117"/>
      <c r="AB595" s="117"/>
      <c r="AC595" s="117"/>
    </row>
    <row r="596" spans="2:29" s="126" customFormat="1">
      <c r="B596" s="125">
        <v>13</v>
      </c>
      <c r="C596" s="139" t="s">
        <v>47</v>
      </c>
      <c r="D596" s="140">
        <v>0</v>
      </c>
      <c r="E596" s="140"/>
      <c r="F596" s="140"/>
      <c r="G596" s="140"/>
      <c r="H596" s="159"/>
      <c r="I596" s="140"/>
      <c r="J596" s="140"/>
      <c r="K596" s="140"/>
      <c r="L596" s="120">
        <v>1</v>
      </c>
      <c r="M596" s="121">
        <f t="shared" ref="M596" si="54">L596-D596</f>
        <v>1</v>
      </c>
      <c r="N596" s="122" t="s">
        <v>14</v>
      </c>
      <c r="O596" s="119"/>
      <c r="P596" s="119"/>
      <c r="Q596" s="119"/>
      <c r="R596" s="119"/>
      <c r="S596" s="133">
        <v>17500</v>
      </c>
      <c r="T596" s="138"/>
      <c r="U596" s="135">
        <f t="shared" ref="U596" si="55">L596*S596</f>
        <v>17500</v>
      </c>
      <c r="V596" s="122">
        <f t="shared" ref="V596" si="56">S596*L596</f>
        <v>17500</v>
      </c>
      <c r="W596" s="136"/>
      <c r="X596" s="117"/>
      <c r="Y596" s="117"/>
      <c r="Z596" s="117"/>
      <c r="AA596" s="117"/>
      <c r="AB596" s="117"/>
      <c r="AC596" s="117"/>
    </row>
    <row r="597" spans="2:29" s="126" customFormat="1">
      <c r="B597" s="125"/>
      <c r="C597" s="139"/>
      <c r="D597" s="140"/>
      <c r="E597" s="140"/>
      <c r="F597" s="140"/>
      <c r="G597" s="140"/>
      <c r="H597" s="159"/>
      <c r="I597" s="140"/>
      <c r="J597" s="140"/>
      <c r="K597" s="140"/>
      <c r="L597" s="120"/>
      <c r="M597" s="121"/>
      <c r="N597" s="122"/>
      <c r="O597" s="119"/>
      <c r="P597" s="119"/>
      <c r="Q597" s="119"/>
      <c r="R597" s="119"/>
      <c r="S597" s="123"/>
      <c r="T597" s="138"/>
      <c r="U597" s="119"/>
      <c r="V597" s="122"/>
      <c r="W597" s="136"/>
      <c r="X597" s="117"/>
      <c r="Y597" s="117"/>
      <c r="Z597" s="117"/>
      <c r="AA597" s="117"/>
      <c r="AB597" s="117"/>
      <c r="AC597" s="117"/>
    </row>
    <row r="598" spans="2:29" s="126" customFormat="1">
      <c r="B598" s="125">
        <v>1</v>
      </c>
      <c r="C598" s="179" t="s">
        <v>51</v>
      </c>
      <c r="D598" s="140">
        <v>0</v>
      </c>
      <c r="E598" s="140"/>
      <c r="F598" s="140"/>
      <c r="G598" s="140"/>
      <c r="H598" s="159"/>
      <c r="I598" s="140"/>
      <c r="J598" s="140"/>
      <c r="K598" s="140"/>
      <c r="L598" s="119">
        <v>1</v>
      </c>
      <c r="M598" s="121">
        <f t="shared" ref="M598" si="57">L598-D598</f>
        <v>1</v>
      </c>
      <c r="N598" s="122" t="s">
        <v>14</v>
      </c>
      <c r="O598" s="119"/>
      <c r="P598" s="119"/>
      <c r="Q598" s="119"/>
      <c r="R598" s="119"/>
      <c r="S598" s="123">
        <v>50000</v>
      </c>
      <c r="T598" s="138"/>
      <c r="U598" s="135">
        <f t="shared" ref="U598" si="58">L598*S598</f>
        <v>50000</v>
      </c>
      <c r="V598" s="122">
        <f t="shared" ref="V598" si="59">S598*L598</f>
        <v>50000</v>
      </c>
      <c r="W598" s="136"/>
      <c r="X598" s="117"/>
      <c r="Y598" s="117"/>
      <c r="Z598" s="117"/>
      <c r="AA598" s="117"/>
      <c r="AB598" s="117"/>
      <c r="AC598" s="117"/>
    </row>
    <row r="599" spans="2:29" s="126" customFormat="1">
      <c r="B599" s="125"/>
      <c r="C599" s="179"/>
      <c r="D599" s="140"/>
      <c r="E599" s="140"/>
      <c r="F599" s="140"/>
      <c r="G599" s="140"/>
      <c r="H599" s="159"/>
      <c r="I599" s="140"/>
      <c r="J599" s="140"/>
      <c r="K599" s="140"/>
      <c r="L599" s="119"/>
      <c r="M599" s="121"/>
      <c r="N599" s="122"/>
      <c r="O599" s="119"/>
      <c r="P599" s="119"/>
      <c r="Q599" s="119"/>
      <c r="R599" s="119"/>
      <c r="S599" s="123"/>
      <c r="T599" s="138"/>
      <c r="U599" s="135"/>
      <c r="V599" s="122"/>
      <c r="W599" s="136"/>
      <c r="X599" s="117"/>
      <c r="Y599" s="117"/>
      <c r="Z599" s="117"/>
      <c r="AA599" s="117"/>
      <c r="AB599" s="117"/>
      <c r="AC599" s="117"/>
    </row>
    <row r="600" spans="2:29" s="126" customFormat="1">
      <c r="B600" s="125"/>
      <c r="C600" s="179"/>
      <c r="D600" s="140"/>
      <c r="E600" s="140"/>
      <c r="F600" s="140"/>
      <c r="G600" s="140"/>
      <c r="H600" s="159"/>
      <c r="I600" s="140"/>
      <c r="J600" s="140"/>
      <c r="K600" s="140"/>
      <c r="L600" s="119"/>
      <c r="M600" s="121"/>
      <c r="N600" s="122"/>
      <c r="O600" s="119"/>
      <c r="P600" s="119"/>
      <c r="Q600" s="119"/>
      <c r="R600" s="119"/>
      <c r="S600" s="123"/>
      <c r="T600" s="138"/>
      <c r="U600" s="173">
        <f>SUM(U532:U599)</f>
        <v>2100220.8577804682</v>
      </c>
      <c r="V600" s="174">
        <f>SUM(V532:V599)</f>
        <v>2100220.8577804682</v>
      </c>
      <c r="W600" s="136"/>
      <c r="X600" s="117"/>
      <c r="Y600" s="117"/>
      <c r="Z600" s="117"/>
      <c r="AA600" s="117"/>
      <c r="AB600" s="117"/>
      <c r="AC600" s="117"/>
    </row>
    <row r="601" spans="2:29" s="126" customFormat="1">
      <c r="B601" s="125"/>
      <c r="C601" s="179"/>
      <c r="D601" s="140"/>
      <c r="E601" s="140"/>
      <c r="F601" s="140"/>
      <c r="G601" s="140"/>
      <c r="H601" s="159"/>
      <c r="I601" s="140"/>
      <c r="J601" s="140"/>
      <c r="K601" s="140"/>
      <c r="L601" s="119"/>
      <c r="M601" s="121"/>
      <c r="N601" s="122"/>
      <c r="O601" s="119"/>
      <c r="P601" s="119"/>
      <c r="Q601" s="119"/>
      <c r="R601" s="119"/>
      <c r="S601" s="123"/>
      <c r="T601" s="138"/>
      <c r="U601" s="135"/>
      <c r="V601" s="122"/>
      <c r="W601" s="136"/>
      <c r="X601" s="117"/>
      <c r="Y601" s="117"/>
      <c r="Z601" s="117"/>
      <c r="AA601" s="117"/>
      <c r="AB601" s="117"/>
      <c r="AC601" s="117"/>
    </row>
    <row r="602" spans="2:29" s="126" customFormat="1">
      <c r="B602" s="125"/>
      <c r="C602" s="179"/>
      <c r="D602" s="140"/>
      <c r="E602" s="140"/>
      <c r="F602" s="140"/>
      <c r="G602" s="140"/>
      <c r="H602" s="159"/>
      <c r="I602" s="140"/>
      <c r="J602" s="140"/>
      <c r="K602" s="140"/>
      <c r="L602" s="119"/>
      <c r="M602" s="121"/>
      <c r="N602" s="122"/>
      <c r="O602" s="119"/>
      <c r="P602" s="119"/>
      <c r="Q602" s="119"/>
      <c r="R602" s="119"/>
      <c r="S602" s="123"/>
      <c r="T602" s="138"/>
      <c r="U602" s="135"/>
      <c r="V602" s="122"/>
      <c r="W602" s="136"/>
      <c r="X602" s="117"/>
      <c r="Y602" s="117"/>
      <c r="Z602" s="117"/>
      <c r="AA602" s="117"/>
      <c r="AB602" s="117"/>
      <c r="AC602" s="117"/>
    </row>
    <row r="603" spans="2:29" s="126" customFormat="1">
      <c r="B603" s="125"/>
      <c r="C603" s="179"/>
      <c r="D603" s="140"/>
      <c r="E603" s="140"/>
      <c r="F603" s="140"/>
      <c r="G603" s="140"/>
      <c r="H603" s="159"/>
      <c r="I603" s="140"/>
      <c r="J603" s="140"/>
      <c r="K603" s="140"/>
      <c r="L603" s="119"/>
      <c r="M603" s="121"/>
      <c r="N603" s="122"/>
      <c r="O603" s="119"/>
      <c r="P603" s="119"/>
      <c r="Q603" s="119"/>
      <c r="R603" s="119"/>
      <c r="S603" s="123"/>
      <c r="T603" s="138"/>
      <c r="U603" s="135"/>
      <c r="V603" s="122"/>
      <c r="W603" s="136"/>
      <c r="X603" s="117"/>
      <c r="Y603" s="117"/>
      <c r="Z603" s="117"/>
      <c r="AA603" s="117"/>
      <c r="AB603" s="117"/>
      <c r="AC603" s="117"/>
    </row>
    <row r="604" spans="2:29" s="126" customFormat="1">
      <c r="B604" s="125"/>
      <c r="C604" s="179"/>
      <c r="D604" s="140"/>
      <c r="E604" s="140"/>
      <c r="F604" s="140"/>
      <c r="G604" s="140"/>
      <c r="H604" s="159"/>
      <c r="I604" s="140"/>
      <c r="J604" s="140"/>
      <c r="K604" s="140"/>
      <c r="L604" s="119"/>
      <c r="M604" s="121"/>
      <c r="N604" s="122"/>
      <c r="O604" s="119"/>
      <c r="P604" s="119"/>
      <c r="Q604" s="119"/>
      <c r="R604" s="119"/>
      <c r="S604" s="123"/>
      <c r="T604" s="138"/>
      <c r="U604" s="135"/>
      <c r="V604" s="122"/>
      <c r="W604" s="136"/>
      <c r="X604" s="117"/>
      <c r="Y604" s="117"/>
      <c r="Z604" s="117"/>
      <c r="AA604" s="117"/>
      <c r="AB604" s="117"/>
      <c r="AC604" s="117"/>
    </row>
    <row r="605" spans="2:29" s="126" customFormat="1">
      <c r="B605" s="125"/>
      <c r="C605" s="179"/>
      <c r="D605" s="140"/>
      <c r="E605" s="140"/>
      <c r="F605" s="140"/>
      <c r="G605" s="140"/>
      <c r="H605" s="159"/>
      <c r="I605" s="140"/>
      <c r="J605" s="140"/>
      <c r="K605" s="140"/>
      <c r="L605" s="119"/>
      <c r="M605" s="121"/>
      <c r="N605" s="122"/>
      <c r="O605" s="119"/>
      <c r="P605" s="119"/>
      <c r="Q605" s="119"/>
      <c r="R605" s="119"/>
      <c r="S605" s="123"/>
      <c r="T605" s="138"/>
      <c r="U605" s="135"/>
      <c r="V605" s="122"/>
      <c r="W605" s="136"/>
      <c r="X605" s="117"/>
      <c r="Y605" s="117"/>
      <c r="Z605" s="117"/>
      <c r="AA605" s="117"/>
      <c r="AB605" s="117"/>
      <c r="AC605" s="117"/>
    </row>
    <row r="606" spans="2:29" s="126" customFormat="1">
      <c r="B606" s="125"/>
      <c r="C606" s="179"/>
      <c r="D606" s="140"/>
      <c r="E606" s="140"/>
      <c r="F606" s="140"/>
      <c r="G606" s="140"/>
      <c r="H606" s="159"/>
      <c r="I606" s="140"/>
      <c r="J606" s="140"/>
      <c r="K606" s="140"/>
      <c r="L606" s="119"/>
      <c r="M606" s="121"/>
      <c r="N606" s="122"/>
      <c r="O606" s="119"/>
      <c r="P606" s="119"/>
      <c r="Q606" s="119"/>
      <c r="R606" s="119"/>
      <c r="S606" s="123"/>
      <c r="T606" s="138"/>
      <c r="U606" s="135"/>
      <c r="V606" s="122"/>
      <c r="W606" s="136"/>
      <c r="X606" s="117"/>
      <c r="Y606" s="117"/>
      <c r="Z606" s="117"/>
      <c r="AA606" s="117"/>
      <c r="AB606" s="117"/>
      <c r="AC606" s="117"/>
    </row>
    <row r="607" spans="2:29" s="126" customFormat="1">
      <c r="B607" s="125"/>
      <c r="C607" s="179"/>
      <c r="D607" s="140"/>
      <c r="E607" s="140"/>
      <c r="F607" s="140"/>
      <c r="G607" s="140"/>
      <c r="H607" s="159"/>
      <c r="I607" s="140"/>
      <c r="J607" s="140"/>
      <c r="K607" s="140"/>
      <c r="L607" s="119"/>
      <c r="M607" s="121"/>
      <c r="N607" s="122"/>
      <c r="O607" s="119"/>
      <c r="P607" s="119"/>
      <c r="Q607" s="119"/>
      <c r="R607" s="119"/>
      <c r="S607" s="123"/>
      <c r="T607" s="138"/>
      <c r="U607" s="135"/>
      <c r="V607" s="122"/>
      <c r="W607" s="136"/>
      <c r="X607" s="117"/>
      <c r="Y607" s="117"/>
      <c r="Z607" s="117"/>
      <c r="AA607" s="117"/>
      <c r="AB607" s="117"/>
      <c r="AC607" s="117"/>
    </row>
    <row r="608" spans="2:29" s="126" customFormat="1">
      <c r="B608" s="125"/>
      <c r="C608" s="179"/>
      <c r="D608" s="140"/>
      <c r="E608" s="140"/>
      <c r="F608" s="140"/>
      <c r="G608" s="140"/>
      <c r="H608" s="159"/>
      <c r="I608" s="140"/>
      <c r="J608" s="140"/>
      <c r="K608" s="140"/>
      <c r="L608" s="119"/>
      <c r="M608" s="121"/>
      <c r="N608" s="122"/>
      <c r="O608" s="119"/>
      <c r="P608" s="119"/>
      <c r="Q608" s="119"/>
      <c r="R608" s="119"/>
      <c r="S608" s="123"/>
      <c r="T608" s="138"/>
      <c r="U608" s="135"/>
      <c r="V608" s="122"/>
      <c r="W608" s="136"/>
      <c r="X608" s="117"/>
      <c r="Y608" s="117"/>
      <c r="Z608" s="117"/>
      <c r="AA608" s="117"/>
      <c r="AB608" s="117"/>
      <c r="AC608" s="117"/>
    </row>
    <row r="609" spans="2:29" s="126" customFormat="1">
      <c r="B609" s="125"/>
      <c r="C609" s="179"/>
      <c r="D609" s="140"/>
      <c r="E609" s="140"/>
      <c r="F609" s="140"/>
      <c r="G609" s="140"/>
      <c r="H609" s="159"/>
      <c r="I609" s="140"/>
      <c r="J609" s="140"/>
      <c r="K609" s="140"/>
      <c r="L609" s="119"/>
      <c r="M609" s="121"/>
      <c r="N609" s="122"/>
      <c r="O609" s="119"/>
      <c r="P609" s="119"/>
      <c r="Q609" s="119"/>
      <c r="R609" s="119"/>
      <c r="S609" s="123"/>
      <c r="T609" s="138"/>
      <c r="U609" s="135"/>
      <c r="V609" s="122"/>
      <c r="W609" s="136"/>
      <c r="X609" s="117"/>
      <c r="Y609" s="117"/>
      <c r="Z609" s="117"/>
      <c r="AA609" s="117"/>
      <c r="AB609" s="117"/>
      <c r="AC609" s="117"/>
    </row>
    <row r="610" spans="2:29" s="126" customFormat="1">
      <c r="B610" s="125"/>
      <c r="C610" s="179"/>
      <c r="D610" s="140"/>
      <c r="E610" s="140"/>
      <c r="F610" s="140"/>
      <c r="G610" s="140"/>
      <c r="H610" s="159"/>
      <c r="I610" s="140"/>
      <c r="J610" s="140"/>
      <c r="K610" s="140"/>
      <c r="L610" s="119"/>
      <c r="M610" s="121"/>
      <c r="N610" s="122"/>
      <c r="O610" s="119"/>
      <c r="P610" s="119"/>
      <c r="Q610" s="119"/>
      <c r="R610" s="119"/>
      <c r="S610" s="123"/>
      <c r="T610" s="138"/>
      <c r="U610" s="135"/>
      <c r="V610" s="122"/>
      <c r="W610" s="136"/>
      <c r="X610" s="117"/>
      <c r="Y610" s="117"/>
      <c r="Z610" s="117"/>
      <c r="AA610" s="117"/>
      <c r="AB610" s="117"/>
      <c r="AC610" s="117"/>
    </row>
    <row r="611" spans="2:29" s="126" customFormat="1">
      <c r="B611" s="125"/>
      <c r="C611" s="179"/>
      <c r="D611" s="140"/>
      <c r="E611" s="140"/>
      <c r="F611" s="140"/>
      <c r="G611" s="140"/>
      <c r="H611" s="159"/>
      <c r="I611" s="140"/>
      <c r="J611" s="140"/>
      <c r="K611" s="140"/>
      <c r="L611" s="119"/>
      <c r="M611" s="121"/>
      <c r="N611" s="122"/>
      <c r="O611" s="119"/>
      <c r="P611" s="119"/>
      <c r="Q611" s="119"/>
      <c r="R611" s="119"/>
      <c r="S611" s="123"/>
      <c r="T611" s="138"/>
      <c r="U611" s="135"/>
      <c r="V611" s="122"/>
      <c r="W611" s="136"/>
      <c r="X611" s="117"/>
      <c r="Y611" s="117"/>
      <c r="Z611" s="117"/>
      <c r="AA611" s="117"/>
      <c r="AB611" s="117"/>
      <c r="AC611" s="117"/>
    </row>
    <row r="612" spans="2:29" s="126" customFormat="1">
      <c r="B612" s="125"/>
      <c r="C612" s="118" t="s">
        <v>49</v>
      </c>
      <c r="D612" s="140"/>
      <c r="E612" s="140"/>
      <c r="F612" s="140"/>
      <c r="G612" s="140"/>
      <c r="H612" s="159"/>
      <c r="I612" s="140"/>
      <c r="J612" s="140"/>
      <c r="K612" s="140"/>
      <c r="L612" s="120"/>
      <c r="M612" s="121"/>
      <c r="N612" s="122"/>
      <c r="O612" s="119"/>
      <c r="P612" s="119"/>
      <c r="Q612" s="119"/>
      <c r="R612" s="119"/>
      <c r="S612" s="123"/>
      <c r="T612" s="138"/>
      <c r="U612" s="119"/>
      <c r="V612" s="122"/>
      <c r="W612" s="136"/>
      <c r="X612" s="117"/>
      <c r="Y612" s="117"/>
      <c r="Z612" s="117"/>
      <c r="AA612" s="117"/>
      <c r="AB612" s="117"/>
      <c r="AC612" s="117"/>
    </row>
    <row r="613" spans="2:29" s="126" customFormat="1">
      <c r="B613" s="125"/>
      <c r="C613" s="139"/>
      <c r="D613" s="140"/>
      <c r="E613" s="140"/>
      <c r="F613" s="140"/>
      <c r="G613" s="140"/>
      <c r="H613" s="159"/>
      <c r="I613" s="140"/>
      <c r="J613" s="140"/>
      <c r="K613" s="140"/>
      <c r="L613" s="120"/>
      <c r="M613" s="121"/>
      <c r="N613" s="122"/>
      <c r="O613" s="119"/>
      <c r="P613" s="119"/>
      <c r="Q613" s="119"/>
      <c r="R613" s="119"/>
      <c r="S613" s="123"/>
      <c r="T613" s="138"/>
      <c r="U613" s="119"/>
      <c r="V613" s="122"/>
      <c r="W613" s="136"/>
      <c r="X613" s="117"/>
      <c r="Y613" s="117"/>
      <c r="Z613" s="117"/>
      <c r="AA613" s="117"/>
      <c r="AB613" s="117"/>
      <c r="AC613" s="117"/>
    </row>
    <row r="614" spans="2:29" s="126" customFormat="1">
      <c r="B614" s="177">
        <v>1</v>
      </c>
      <c r="C614" s="158" t="s">
        <v>33</v>
      </c>
      <c r="D614" s="140">
        <v>0</v>
      </c>
      <c r="E614" s="140"/>
      <c r="F614" s="140"/>
      <c r="G614" s="140"/>
      <c r="H614" s="159"/>
      <c r="I614" s="140"/>
      <c r="J614" s="140"/>
      <c r="K614" s="140"/>
      <c r="L614" s="120">
        <v>1</v>
      </c>
      <c r="M614" s="121">
        <f t="shared" ref="M614:M627" si="60">L614-D614</f>
        <v>1</v>
      </c>
      <c r="N614" s="122" t="s">
        <v>14</v>
      </c>
      <c r="O614" s="119"/>
      <c r="P614" s="119"/>
      <c r="Q614" s="119"/>
      <c r="R614" s="119"/>
      <c r="S614" s="123">
        <v>130000</v>
      </c>
      <c r="T614" s="138"/>
      <c r="U614" s="135">
        <f t="shared" ref="U614:U615" si="61">L614*S614</f>
        <v>130000</v>
      </c>
      <c r="V614" s="122">
        <f t="shared" ref="V614:V615" si="62">S614*L614</f>
        <v>130000</v>
      </c>
      <c r="W614" s="136"/>
      <c r="X614" s="117"/>
      <c r="Y614" s="117"/>
      <c r="Z614" s="117"/>
      <c r="AA614" s="117"/>
      <c r="AB614" s="117"/>
      <c r="AC614" s="117"/>
    </row>
    <row r="615" spans="2:29" s="126" customFormat="1">
      <c r="B615" s="125">
        <v>2</v>
      </c>
      <c r="C615" s="139" t="s">
        <v>38</v>
      </c>
      <c r="D615" s="140">
        <v>0</v>
      </c>
      <c r="E615" s="140"/>
      <c r="F615" s="140"/>
      <c r="G615" s="140"/>
      <c r="H615" s="159"/>
      <c r="I615" s="140"/>
      <c r="J615" s="140"/>
      <c r="K615" s="140"/>
      <c r="L615" s="120">
        <v>1</v>
      </c>
      <c r="M615" s="121">
        <f t="shared" si="60"/>
        <v>1</v>
      </c>
      <c r="N615" s="122" t="s">
        <v>14</v>
      </c>
      <c r="O615" s="119"/>
      <c r="P615" s="119"/>
      <c r="Q615" s="119"/>
      <c r="R615" s="119"/>
      <c r="S615" s="123"/>
      <c r="T615" s="138"/>
      <c r="U615" s="135">
        <f t="shared" si="61"/>
        <v>0</v>
      </c>
      <c r="V615" s="122">
        <f t="shared" si="62"/>
        <v>0</v>
      </c>
      <c r="W615" s="136"/>
      <c r="X615" s="117"/>
      <c r="Y615" s="117"/>
      <c r="Z615" s="117"/>
      <c r="AA615" s="117"/>
      <c r="AB615" s="117"/>
      <c r="AC615" s="117"/>
    </row>
    <row r="616" spans="2:29" s="126" customFormat="1">
      <c r="B616" s="125"/>
      <c r="C616" s="139"/>
      <c r="D616" s="140"/>
      <c r="E616" s="140"/>
      <c r="F616" s="140"/>
      <c r="G616" s="140"/>
      <c r="H616" s="159"/>
      <c r="I616" s="140"/>
      <c r="J616" s="140"/>
      <c r="K616" s="140"/>
      <c r="L616" s="120"/>
      <c r="M616" s="121"/>
      <c r="N616" s="122"/>
      <c r="O616" s="119"/>
      <c r="P616" s="119"/>
      <c r="Q616" s="119"/>
      <c r="R616" s="119"/>
      <c r="S616" s="123"/>
      <c r="T616" s="138"/>
      <c r="U616" s="119"/>
      <c r="V616" s="122"/>
      <c r="W616" s="136"/>
      <c r="X616" s="117"/>
      <c r="Y616" s="117"/>
      <c r="Z616" s="117"/>
      <c r="AA616" s="117"/>
      <c r="AB616" s="117"/>
      <c r="AC616" s="117"/>
    </row>
    <row r="617" spans="2:29" s="126" customFormat="1">
      <c r="B617" s="125">
        <v>3</v>
      </c>
      <c r="C617" s="139" t="s">
        <v>39</v>
      </c>
      <c r="D617" s="140">
        <v>0</v>
      </c>
      <c r="E617" s="140"/>
      <c r="F617" s="140"/>
      <c r="G617" s="140"/>
      <c r="H617" s="159"/>
      <c r="I617" s="140"/>
      <c r="J617" s="140"/>
      <c r="K617" s="140"/>
      <c r="L617" s="120">
        <v>1</v>
      </c>
      <c r="M617" s="121">
        <f t="shared" si="60"/>
        <v>1</v>
      </c>
      <c r="N617" s="122" t="s">
        <v>14</v>
      </c>
      <c r="O617" s="119"/>
      <c r="P617" s="119"/>
      <c r="Q617" s="119"/>
      <c r="R617" s="119"/>
      <c r="S617" s="123"/>
      <c r="T617" s="138"/>
      <c r="U617" s="135">
        <f t="shared" ref="U617" si="63">L617*S617</f>
        <v>0</v>
      </c>
      <c r="V617" s="122">
        <f t="shared" ref="V617" si="64">S617*L617</f>
        <v>0</v>
      </c>
      <c r="W617" s="136"/>
      <c r="X617" s="117"/>
      <c r="Y617" s="117"/>
      <c r="Z617" s="117"/>
      <c r="AA617" s="117"/>
      <c r="AB617" s="117"/>
      <c r="AC617" s="117"/>
    </row>
    <row r="618" spans="2:29" s="126" customFormat="1">
      <c r="B618" s="125"/>
      <c r="C618" s="139"/>
      <c r="D618" s="140"/>
      <c r="E618" s="140"/>
      <c r="F618" s="140"/>
      <c r="G618" s="140"/>
      <c r="H618" s="159"/>
      <c r="I618" s="140"/>
      <c r="J618" s="140"/>
      <c r="K618" s="140"/>
      <c r="L618" s="120"/>
      <c r="M618" s="121"/>
      <c r="N618" s="122"/>
      <c r="O618" s="119"/>
      <c r="P618" s="119"/>
      <c r="Q618" s="119"/>
      <c r="R618" s="119"/>
      <c r="S618" s="123"/>
      <c r="T618" s="138"/>
      <c r="U618" s="119"/>
      <c r="V618" s="122"/>
      <c r="W618" s="136"/>
      <c r="X618" s="117"/>
      <c r="Y618" s="117"/>
      <c r="Z618" s="117"/>
      <c r="AA618" s="117"/>
      <c r="AB618" s="117"/>
      <c r="AC618" s="117"/>
    </row>
    <row r="619" spans="2:29" s="126" customFormat="1">
      <c r="B619" s="125">
        <v>6</v>
      </c>
      <c r="C619" s="139" t="s">
        <v>41</v>
      </c>
      <c r="D619" s="140">
        <v>0</v>
      </c>
      <c r="E619" s="140"/>
      <c r="F619" s="140"/>
      <c r="G619" s="140"/>
      <c r="H619" s="159"/>
      <c r="I619" s="140"/>
      <c r="J619" s="140"/>
      <c r="K619" s="140"/>
      <c r="L619" s="120">
        <v>2</v>
      </c>
      <c r="M619" s="121">
        <f t="shared" si="60"/>
        <v>2</v>
      </c>
      <c r="N619" s="122" t="s">
        <v>14</v>
      </c>
      <c r="O619" s="119"/>
      <c r="P619" s="119"/>
      <c r="Q619" s="119"/>
      <c r="R619" s="119"/>
      <c r="S619" s="133">
        <v>17500</v>
      </c>
      <c r="T619" s="138"/>
      <c r="U619" s="135">
        <f t="shared" ref="U619" si="65">L619*S619</f>
        <v>35000</v>
      </c>
      <c r="V619" s="122">
        <f t="shared" ref="V619" si="66">S619*L619</f>
        <v>35000</v>
      </c>
      <c r="W619" s="136"/>
      <c r="X619" s="117"/>
      <c r="Y619" s="117"/>
      <c r="Z619" s="117"/>
      <c r="AA619" s="117"/>
      <c r="AB619" s="117"/>
      <c r="AC619" s="117"/>
    </row>
    <row r="620" spans="2:29" s="126" customFormat="1">
      <c r="B620" s="125"/>
      <c r="C620" s="139"/>
      <c r="D620" s="140"/>
      <c r="E620" s="140"/>
      <c r="F620" s="140"/>
      <c r="G620" s="140"/>
      <c r="H620" s="159"/>
      <c r="I620" s="140"/>
      <c r="J620" s="140"/>
      <c r="K620" s="140"/>
      <c r="L620" s="120"/>
      <c r="M620" s="121"/>
      <c r="N620" s="122"/>
      <c r="O620" s="119"/>
      <c r="P620" s="119"/>
      <c r="Q620" s="119"/>
      <c r="R620" s="119"/>
      <c r="S620" s="123"/>
      <c r="T620" s="138"/>
      <c r="U620" s="119"/>
      <c r="V620" s="122"/>
      <c r="W620" s="136"/>
      <c r="X620" s="117"/>
      <c r="Y620" s="117"/>
      <c r="Z620" s="117"/>
      <c r="AA620" s="117"/>
      <c r="AB620" s="117"/>
      <c r="AC620" s="117"/>
    </row>
    <row r="621" spans="2:29" s="126" customFormat="1">
      <c r="B621" s="125">
        <v>7</v>
      </c>
      <c r="C621" s="139" t="s">
        <v>42</v>
      </c>
      <c r="D621" s="140">
        <v>0</v>
      </c>
      <c r="E621" s="140"/>
      <c r="F621" s="140"/>
      <c r="G621" s="140"/>
      <c r="H621" s="159"/>
      <c r="I621" s="140"/>
      <c r="J621" s="140"/>
      <c r="K621" s="140"/>
      <c r="L621" s="120">
        <v>1</v>
      </c>
      <c r="M621" s="121">
        <f t="shared" si="60"/>
        <v>1</v>
      </c>
      <c r="N621" s="122" t="s">
        <v>14</v>
      </c>
      <c r="O621" s="119"/>
      <c r="P621" s="119"/>
      <c r="Q621" s="119"/>
      <c r="R621" s="119"/>
      <c r="S621" s="123">
        <v>10000</v>
      </c>
      <c r="T621" s="138"/>
      <c r="U621" s="135">
        <f t="shared" ref="U621" si="67">L621*S621</f>
        <v>10000</v>
      </c>
      <c r="V621" s="122">
        <f t="shared" ref="V621" si="68">S621*L621</f>
        <v>10000</v>
      </c>
      <c r="W621" s="136"/>
      <c r="X621" s="117"/>
      <c r="Y621" s="117"/>
      <c r="Z621" s="117"/>
      <c r="AA621" s="117"/>
      <c r="AB621" s="117"/>
      <c r="AC621" s="117"/>
    </row>
    <row r="622" spans="2:29" s="126" customFormat="1">
      <c r="B622" s="125"/>
      <c r="C622" s="139"/>
      <c r="D622" s="140"/>
      <c r="E622" s="140"/>
      <c r="F622" s="140"/>
      <c r="G622" s="140"/>
      <c r="H622" s="159"/>
      <c r="I622" s="140"/>
      <c r="J622" s="140"/>
      <c r="K622" s="140"/>
      <c r="L622" s="120"/>
      <c r="M622" s="121"/>
      <c r="N622" s="122"/>
      <c r="O622" s="119"/>
      <c r="P622" s="119"/>
      <c r="Q622" s="119"/>
      <c r="R622" s="119"/>
      <c r="S622" s="123"/>
      <c r="T622" s="138"/>
      <c r="U622" s="119"/>
      <c r="V622" s="122"/>
      <c r="W622" s="136"/>
      <c r="X622" s="117"/>
      <c r="Y622" s="117"/>
      <c r="Z622" s="117"/>
      <c r="AA622" s="117"/>
      <c r="AB622" s="117"/>
      <c r="AC622" s="117"/>
    </row>
    <row r="623" spans="2:29" s="126" customFormat="1">
      <c r="B623" s="125">
        <v>8</v>
      </c>
      <c r="C623" s="139" t="s">
        <v>43</v>
      </c>
      <c r="D623" s="140">
        <v>0</v>
      </c>
      <c r="E623" s="140"/>
      <c r="F623" s="140"/>
      <c r="G623" s="140"/>
      <c r="H623" s="159"/>
      <c r="I623" s="140"/>
      <c r="J623" s="140"/>
      <c r="K623" s="140"/>
      <c r="L623" s="120">
        <v>1</v>
      </c>
      <c r="M623" s="121">
        <f t="shared" si="60"/>
        <v>1</v>
      </c>
      <c r="N623" s="122" t="s">
        <v>14</v>
      </c>
      <c r="O623" s="119"/>
      <c r="P623" s="119"/>
      <c r="Q623" s="119"/>
      <c r="R623" s="119"/>
      <c r="S623" s="123">
        <v>80000</v>
      </c>
      <c r="T623" s="138"/>
      <c r="U623" s="135">
        <f t="shared" ref="U623:U627" si="69">L623*S623</f>
        <v>80000</v>
      </c>
      <c r="V623" s="122">
        <f t="shared" ref="V623:V627" si="70">S623*L623</f>
        <v>80000</v>
      </c>
      <c r="W623" s="136"/>
      <c r="X623" s="117"/>
      <c r="Y623" s="117"/>
      <c r="Z623" s="117"/>
      <c r="AA623" s="117"/>
      <c r="AB623" s="117"/>
      <c r="AC623" s="117"/>
    </row>
    <row r="624" spans="2:29" s="126" customFormat="1">
      <c r="B624" s="125">
        <v>9</v>
      </c>
      <c r="C624" s="139" t="s">
        <v>44</v>
      </c>
      <c r="D624" s="140">
        <v>0</v>
      </c>
      <c r="E624" s="140"/>
      <c r="F624" s="140"/>
      <c r="G624" s="140"/>
      <c r="H624" s="159"/>
      <c r="I624" s="140"/>
      <c r="J624" s="140"/>
      <c r="K624" s="140"/>
      <c r="L624" s="120">
        <v>1</v>
      </c>
      <c r="M624" s="121">
        <f t="shared" si="60"/>
        <v>1</v>
      </c>
      <c r="N624" s="122" t="s">
        <v>14</v>
      </c>
      <c r="O624" s="119"/>
      <c r="P624" s="119"/>
      <c r="Q624" s="119"/>
      <c r="R624" s="119"/>
      <c r="S624" s="123">
        <v>80000</v>
      </c>
      <c r="T624" s="138"/>
      <c r="U624" s="135">
        <f t="shared" si="69"/>
        <v>80000</v>
      </c>
      <c r="V624" s="122">
        <f t="shared" si="70"/>
        <v>80000</v>
      </c>
      <c r="W624" s="136"/>
      <c r="X624" s="117"/>
      <c r="Y624" s="117"/>
      <c r="Z624" s="117"/>
      <c r="AA624" s="117"/>
      <c r="AB624" s="117"/>
      <c r="AC624" s="117"/>
    </row>
    <row r="625" spans="2:29" s="126" customFormat="1">
      <c r="B625" s="125">
        <v>10</v>
      </c>
      <c r="C625" s="139" t="s">
        <v>45</v>
      </c>
      <c r="D625" s="140">
        <v>0</v>
      </c>
      <c r="E625" s="140"/>
      <c r="F625" s="140"/>
      <c r="G625" s="140"/>
      <c r="H625" s="159"/>
      <c r="I625" s="140"/>
      <c r="J625" s="140"/>
      <c r="K625" s="140"/>
      <c r="L625" s="120">
        <v>1</v>
      </c>
      <c r="M625" s="121">
        <f t="shared" si="60"/>
        <v>1</v>
      </c>
      <c r="N625" s="122" t="s">
        <v>14</v>
      </c>
      <c r="O625" s="119"/>
      <c r="P625" s="119"/>
      <c r="Q625" s="119"/>
      <c r="R625" s="119"/>
      <c r="S625" s="123">
        <v>40000</v>
      </c>
      <c r="T625" s="138"/>
      <c r="U625" s="135">
        <f t="shared" si="69"/>
        <v>40000</v>
      </c>
      <c r="V625" s="122">
        <f t="shared" si="70"/>
        <v>40000</v>
      </c>
      <c r="W625" s="136"/>
      <c r="X625" s="117"/>
      <c r="Y625" s="117"/>
      <c r="Z625" s="117"/>
      <c r="AA625" s="117"/>
      <c r="AB625" s="117"/>
      <c r="AC625" s="117"/>
    </row>
    <row r="626" spans="2:29" s="126" customFormat="1">
      <c r="B626" s="125">
        <v>11</v>
      </c>
      <c r="C626" s="139" t="s">
        <v>46</v>
      </c>
      <c r="D626" s="140">
        <v>0</v>
      </c>
      <c r="E626" s="140"/>
      <c r="F626" s="140"/>
      <c r="G626" s="140"/>
      <c r="H626" s="159"/>
      <c r="I626" s="140"/>
      <c r="J626" s="140"/>
      <c r="K626" s="140"/>
      <c r="L626" s="120">
        <v>1</v>
      </c>
      <c r="M626" s="121">
        <f t="shared" si="60"/>
        <v>1</v>
      </c>
      <c r="N626" s="122" t="s">
        <v>14</v>
      </c>
      <c r="O626" s="119"/>
      <c r="P626" s="119"/>
      <c r="Q626" s="119"/>
      <c r="R626" s="119"/>
      <c r="S626" s="123">
        <v>20000</v>
      </c>
      <c r="T626" s="138"/>
      <c r="U626" s="135">
        <f t="shared" si="69"/>
        <v>20000</v>
      </c>
      <c r="V626" s="122">
        <f t="shared" si="70"/>
        <v>20000</v>
      </c>
      <c r="W626" s="136"/>
      <c r="X626" s="117"/>
      <c r="Y626" s="117"/>
      <c r="Z626" s="117"/>
      <c r="AA626" s="117"/>
      <c r="AB626" s="117"/>
      <c r="AC626" s="117"/>
    </row>
    <row r="627" spans="2:29" s="126" customFormat="1">
      <c r="B627" s="125">
        <v>12</v>
      </c>
      <c r="C627" s="139" t="s">
        <v>52</v>
      </c>
      <c r="D627" s="140">
        <v>0</v>
      </c>
      <c r="E627" s="140"/>
      <c r="F627" s="140"/>
      <c r="G627" s="140"/>
      <c r="H627" s="159"/>
      <c r="I627" s="140"/>
      <c r="J627" s="140"/>
      <c r="K627" s="140"/>
      <c r="L627" s="120">
        <v>1</v>
      </c>
      <c r="M627" s="121">
        <f t="shared" si="60"/>
        <v>1</v>
      </c>
      <c r="N627" s="122" t="s">
        <v>14</v>
      </c>
      <c r="O627" s="119"/>
      <c r="P627" s="119"/>
      <c r="Q627" s="119"/>
      <c r="R627" s="119"/>
      <c r="S627" s="123">
        <v>7500</v>
      </c>
      <c r="T627" s="138"/>
      <c r="U627" s="135">
        <f t="shared" si="69"/>
        <v>7500</v>
      </c>
      <c r="V627" s="122">
        <f t="shared" si="70"/>
        <v>7500</v>
      </c>
      <c r="W627" s="136"/>
      <c r="X627" s="117"/>
      <c r="Y627" s="117"/>
      <c r="Z627" s="117"/>
      <c r="AA627" s="117"/>
      <c r="AB627" s="117"/>
      <c r="AC627" s="117"/>
    </row>
    <row r="628" spans="2:29" s="126" customFormat="1">
      <c r="B628" s="125"/>
      <c r="C628" s="139"/>
      <c r="D628" s="140"/>
      <c r="E628" s="140"/>
      <c r="F628" s="140"/>
      <c r="G628" s="140"/>
      <c r="H628" s="159"/>
      <c r="I628" s="140"/>
      <c r="J628" s="140"/>
      <c r="K628" s="140"/>
      <c r="L628" s="120"/>
      <c r="M628" s="121"/>
      <c r="N628" s="122"/>
      <c r="O628" s="119"/>
      <c r="P628" s="119"/>
      <c r="Q628" s="119"/>
      <c r="R628" s="119"/>
      <c r="S628" s="123"/>
      <c r="T628" s="138"/>
      <c r="U628" s="119"/>
      <c r="V628" s="122"/>
      <c r="W628" s="136"/>
      <c r="X628" s="117"/>
      <c r="Y628" s="117"/>
      <c r="Z628" s="117"/>
      <c r="AA628" s="117"/>
      <c r="AB628" s="117"/>
      <c r="AC628" s="117"/>
    </row>
    <row r="629" spans="2:29" s="126" customFormat="1">
      <c r="B629" s="125"/>
      <c r="C629" s="139" t="s">
        <v>259</v>
      </c>
      <c r="D629" s="140"/>
      <c r="E629" s="140"/>
      <c r="F629" s="140"/>
      <c r="G629" s="140"/>
      <c r="H629" s="159"/>
      <c r="I629" s="140"/>
      <c r="J629" s="140"/>
      <c r="K629" s="140"/>
      <c r="L629" s="120"/>
      <c r="M629" s="121"/>
      <c r="N629" s="122"/>
      <c r="O629" s="119"/>
      <c r="P629" s="119"/>
      <c r="Q629" s="119"/>
      <c r="R629" s="119"/>
      <c r="S629" s="123"/>
      <c r="T629" s="138"/>
      <c r="U629" s="119"/>
      <c r="V629" s="122"/>
      <c r="W629" s="136"/>
      <c r="X629" s="117"/>
      <c r="Y629" s="117"/>
      <c r="Z629" s="117"/>
      <c r="AA629" s="117"/>
      <c r="AB629" s="117"/>
      <c r="AC629" s="117"/>
    </row>
    <row r="630" spans="2:29" s="126" customFormat="1">
      <c r="B630" s="125"/>
      <c r="C630" s="139"/>
      <c r="D630" s="140"/>
      <c r="E630" s="140"/>
      <c r="F630" s="140"/>
      <c r="G630" s="140"/>
      <c r="H630" s="159"/>
      <c r="I630" s="140"/>
      <c r="J630" s="140"/>
      <c r="K630" s="140"/>
      <c r="L630" s="120"/>
      <c r="M630" s="121"/>
      <c r="N630" s="122"/>
      <c r="O630" s="119"/>
      <c r="P630" s="119"/>
      <c r="Q630" s="119"/>
      <c r="R630" s="119"/>
      <c r="S630" s="123"/>
      <c r="T630" s="138"/>
      <c r="U630" s="119"/>
      <c r="V630" s="122"/>
      <c r="W630" s="136"/>
      <c r="X630" s="117"/>
      <c r="Y630" s="117"/>
      <c r="Z630" s="117"/>
      <c r="AA630" s="117"/>
      <c r="AB630" s="117"/>
      <c r="AC630" s="117"/>
    </row>
    <row r="631" spans="2:29" s="126" customFormat="1">
      <c r="B631" s="125"/>
      <c r="C631" s="139"/>
      <c r="D631" s="140"/>
      <c r="E631" s="140"/>
      <c r="F631" s="140"/>
      <c r="G631" s="140"/>
      <c r="H631" s="159"/>
      <c r="I631" s="140"/>
      <c r="J631" s="140"/>
      <c r="K631" s="140"/>
      <c r="L631" s="120"/>
      <c r="M631" s="121"/>
      <c r="N631" s="122"/>
      <c r="O631" s="119"/>
      <c r="P631" s="119"/>
      <c r="Q631" s="119"/>
      <c r="R631" s="119"/>
      <c r="S631" s="123"/>
      <c r="T631" s="138"/>
      <c r="U631" s="119"/>
      <c r="V631" s="122"/>
      <c r="W631" s="136"/>
      <c r="X631" s="117"/>
      <c r="Y631" s="117"/>
      <c r="Z631" s="117"/>
      <c r="AA631" s="117"/>
      <c r="AB631" s="117"/>
      <c r="AC631" s="117"/>
    </row>
    <row r="632" spans="2:29" s="126" customFormat="1">
      <c r="B632" s="125"/>
      <c r="C632" s="139"/>
      <c r="D632" s="140"/>
      <c r="E632" s="140"/>
      <c r="F632" s="140"/>
      <c r="G632" s="140"/>
      <c r="H632" s="159"/>
      <c r="I632" s="140"/>
      <c r="J632" s="140"/>
      <c r="K632" s="140"/>
      <c r="L632" s="120"/>
      <c r="M632" s="121"/>
      <c r="N632" s="122"/>
      <c r="O632" s="119"/>
      <c r="P632" s="119"/>
      <c r="Q632" s="119"/>
      <c r="R632" s="119"/>
      <c r="S632" s="123"/>
      <c r="T632" s="138"/>
      <c r="U632" s="119"/>
      <c r="V632" s="122"/>
      <c r="W632" s="136"/>
      <c r="X632" s="117"/>
      <c r="Y632" s="117"/>
      <c r="Z632" s="117"/>
      <c r="AA632" s="117"/>
      <c r="AB632" s="117"/>
      <c r="AC632" s="117"/>
    </row>
    <row r="633" spans="2:29" s="126" customFormat="1">
      <c r="B633" s="125"/>
      <c r="C633" s="139"/>
      <c r="D633" s="140"/>
      <c r="E633" s="140"/>
      <c r="F633" s="140"/>
      <c r="G633" s="140"/>
      <c r="H633" s="159"/>
      <c r="I633" s="140"/>
      <c r="J633" s="140"/>
      <c r="K633" s="140"/>
      <c r="L633" s="120"/>
      <c r="M633" s="121"/>
      <c r="N633" s="122"/>
      <c r="O633" s="119"/>
      <c r="P633" s="119"/>
      <c r="Q633" s="119"/>
      <c r="R633" s="119"/>
      <c r="S633" s="123"/>
      <c r="T633" s="138"/>
      <c r="U633" s="119"/>
      <c r="V633" s="122"/>
      <c r="W633" s="136"/>
      <c r="X633" s="117"/>
      <c r="Y633" s="117"/>
      <c r="Z633" s="117"/>
      <c r="AA633" s="117"/>
      <c r="AB633" s="117"/>
      <c r="AC633" s="117"/>
    </row>
    <row r="634" spans="2:29" s="126" customFormat="1">
      <c r="B634" s="125"/>
      <c r="C634" s="139"/>
      <c r="D634" s="140"/>
      <c r="E634" s="140"/>
      <c r="F634" s="140"/>
      <c r="G634" s="140"/>
      <c r="H634" s="159"/>
      <c r="I634" s="140"/>
      <c r="J634" s="140"/>
      <c r="K634" s="140"/>
      <c r="L634" s="120"/>
      <c r="M634" s="121"/>
      <c r="N634" s="122"/>
      <c r="O634" s="119"/>
      <c r="P634" s="119"/>
      <c r="Q634" s="119"/>
      <c r="R634" s="119"/>
      <c r="S634" s="123"/>
      <c r="T634" s="138"/>
      <c r="U634" s="119"/>
      <c r="V634" s="122"/>
      <c r="W634" s="136"/>
      <c r="X634" s="117"/>
      <c r="Y634" s="117"/>
      <c r="Z634" s="117"/>
      <c r="AA634" s="117"/>
      <c r="AB634" s="117"/>
      <c r="AC634" s="117"/>
    </row>
    <row r="635" spans="2:29" s="126" customFormat="1">
      <c r="B635" s="125"/>
      <c r="C635" s="139"/>
      <c r="D635" s="140"/>
      <c r="E635" s="140"/>
      <c r="F635" s="140"/>
      <c r="G635" s="140"/>
      <c r="H635" s="159"/>
      <c r="I635" s="140"/>
      <c r="J635" s="140"/>
      <c r="K635" s="140"/>
      <c r="L635" s="120"/>
      <c r="M635" s="121"/>
      <c r="N635" s="122"/>
      <c r="O635" s="119"/>
      <c r="P635" s="119"/>
      <c r="Q635" s="119"/>
      <c r="R635" s="119"/>
      <c r="S635" s="123"/>
      <c r="T635" s="138"/>
      <c r="U635" s="119"/>
      <c r="V635" s="122"/>
      <c r="W635" s="136"/>
      <c r="X635" s="117"/>
      <c r="Y635" s="117"/>
      <c r="Z635" s="117"/>
      <c r="AA635" s="117"/>
      <c r="AB635" s="117"/>
      <c r="AC635" s="117"/>
    </row>
    <row r="636" spans="2:29" s="126" customFormat="1">
      <c r="B636" s="125"/>
      <c r="C636" s="139"/>
      <c r="D636" s="140"/>
      <c r="E636" s="140"/>
      <c r="F636" s="140"/>
      <c r="G636" s="140"/>
      <c r="H636" s="159"/>
      <c r="I636" s="140"/>
      <c r="J636" s="140"/>
      <c r="K636" s="140"/>
      <c r="L636" s="120"/>
      <c r="M636" s="121"/>
      <c r="N636" s="122"/>
      <c r="O636" s="119"/>
      <c r="P636" s="119"/>
      <c r="Q636" s="119"/>
      <c r="R636" s="119"/>
      <c r="S636" s="123"/>
      <c r="T636" s="138"/>
      <c r="U636" s="119"/>
      <c r="V636" s="122"/>
      <c r="W636" s="136"/>
      <c r="X636" s="117"/>
      <c r="Y636" s="117"/>
      <c r="Z636" s="117"/>
      <c r="AA636" s="117"/>
      <c r="AB636" s="117"/>
      <c r="AC636" s="117"/>
    </row>
    <row r="637" spans="2:29" s="126" customFormat="1">
      <c r="B637" s="125"/>
      <c r="C637" s="139"/>
      <c r="D637" s="140"/>
      <c r="E637" s="140"/>
      <c r="F637" s="140"/>
      <c r="G637" s="140"/>
      <c r="H637" s="159"/>
      <c r="I637" s="140"/>
      <c r="J637" s="140"/>
      <c r="K637" s="140"/>
      <c r="L637" s="120"/>
      <c r="M637" s="121"/>
      <c r="N637" s="122"/>
      <c r="O637" s="119"/>
      <c r="P637" s="119"/>
      <c r="Q637" s="119"/>
      <c r="R637" s="119"/>
      <c r="S637" s="123"/>
      <c r="T637" s="138"/>
      <c r="U637" s="119"/>
      <c r="V637" s="122"/>
      <c r="W637" s="136"/>
      <c r="X637" s="117"/>
      <c r="Y637" s="117"/>
      <c r="Z637" s="117"/>
      <c r="AA637" s="117"/>
      <c r="AB637" s="117"/>
      <c r="AC637" s="117"/>
    </row>
    <row r="638" spans="2:29" s="126" customFormat="1">
      <c r="B638" s="125"/>
      <c r="C638" s="139"/>
      <c r="D638" s="140"/>
      <c r="E638" s="140"/>
      <c r="F638" s="140"/>
      <c r="G638" s="140"/>
      <c r="H638" s="159"/>
      <c r="I638" s="140"/>
      <c r="J638" s="140"/>
      <c r="K638" s="140"/>
      <c r="L638" s="120"/>
      <c r="M638" s="121"/>
      <c r="N638" s="122"/>
      <c r="O638" s="119"/>
      <c r="P638" s="119"/>
      <c r="Q638" s="119"/>
      <c r="R638" s="119"/>
      <c r="S638" s="123"/>
      <c r="T638" s="138"/>
      <c r="U638" s="119"/>
      <c r="V638" s="122"/>
      <c r="W638" s="136"/>
      <c r="X638" s="117"/>
      <c r="Y638" s="117"/>
      <c r="Z638" s="117"/>
      <c r="AA638" s="117"/>
      <c r="AB638" s="117"/>
      <c r="AC638" s="117"/>
    </row>
    <row r="639" spans="2:29" s="126" customFormat="1">
      <c r="B639" s="125"/>
      <c r="C639" s="139"/>
      <c r="D639" s="140"/>
      <c r="E639" s="140"/>
      <c r="F639" s="140"/>
      <c r="G639" s="140"/>
      <c r="H639" s="159"/>
      <c r="I639" s="140"/>
      <c r="J639" s="140"/>
      <c r="K639" s="140"/>
      <c r="L639" s="120"/>
      <c r="M639" s="121"/>
      <c r="N639" s="122"/>
      <c r="O639" s="119"/>
      <c r="P639" s="119"/>
      <c r="Q639" s="119"/>
      <c r="R639" s="119"/>
      <c r="S639" s="123"/>
      <c r="T639" s="138"/>
      <c r="U639" s="119"/>
      <c r="V639" s="122"/>
      <c r="W639" s="136"/>
      <c r="X639" s="117"/>
      <c r="Y639" s="117"/>
      <c r="Z639" s="117"/>
      <c r="AA639" s="117"/>
      <c r="AB639" s="117"/>
      <c r="AC639" s="117"/>
    </row>
    <row r="640" spans="2:29" s="126" customFormat="1">
      <c r="B640" s="125"/>
      <c r="C640" s="139"/>
      <c r="D640" s="140"/>
      <c r="E640" s="140"/>
      <c r="F640" s="140"/>
      <c r="G640" s="140"/>
      <c r="H640" s="159"/>
      <c r="I640" s="140"/>
      <c r="J640" s="140"/>
      <c r="K640" s="140"/>
      <c r="L640" s="120"/>
      <c r="M640" s="121"/>
      <c r="N640" s="122"/>
      <c r="O640" s="119"/>
      <c r="P640" s="119"/>
      <c r="Q640" s="119"/>
      <c r="R640" s="119"/>
      <c r="S640" s="123"/>
      <c r="T640" s="138"/>
      <c r="U640" s="119"/>
      <c r="V640" s="122"/>
      <c r="W640" s="136"/>
      <c r="X640" s="117"/>
      <c r="Y640" s="117"/>
      <c r="Z640" s="117"/>
      <c r="AA640" s="117"/>
      <c r="AB640" s="117"/>
      <c r="AC640" s="117"/>
    </row>
    <row r="641" spans="2:29" s="126" customFormat="1">
      <c r="B641" s="125"/>
      <c r="C641" s="139"/>
      <c r="D641" s="140"/>
      <c r="E641" s="140"/>
      <c r="F641" s="140"/>
      <c r="G641" s="140"/>
      <c r="H641" s="159"/>
      <c r="I641" s="140"/>
      <c r="J641" s="140"/>
      <c r="K641" s="140"/>
      <c r="L641" s="120"/>
      <c r="M641" s="121"/>
      <c r="N641" s="122"/>
      <c r="O641" s="119"/>
      <c r="P641" s="119"/>
      <c r="Q641" s="119"/>
      <c r="R641" s="119"/>
      <c r="S641" s="123"/>
      <c r="T641" s="138"/>
      <c r="U641" s="119"/>
      <c r="V641" s="122"/>
      <c r="W641" s="136"/>
      <c r="X641" s="117"/>
      <c r="Y641" s="117"/>
      <c r="Z641" s="117"/>
      <c r="AA641" s="117"/>
      <c r="AB641" s="117"/>
      <c r="AC641" s="117"/>
    </row>
    <row r="642" spans="2:29" s="126" customFormat="1">
      <c r="B642" s="125"/>
      <c r="C642" s="139"/>
      <c r="D642" s="140"/>
      <c r="E642" s="140"/>
      <c r="F642" s="140"/>
      <c r="G642" s="140"/>
      <c r="H642" s="159"/>
      <c r="I642" s="140"/>
      <c r="J642" s="140"/>
      <c r="K642" s="140"/>
      <c r="L642" s="120"/>
      <c r="M642" s="121"/>
      <c r="N642" s="122"/>
      <c r="O642" s="119"/>
      <c r="P642" s="119"/>
      <c r="Q642" s="119"/>
      <c r="R642" s="119"/>
      <c r="S642" s="123"/>
      <c r="T642" s="138"/>
      <c r="U642" s="119"/>
      <c r="V642" s="122"/>
      <c r="W642" s="136"/>
      <c r="X642" s="117"/>
      <c r="Y642" s="117"/>
      <c r="Z642" s="117"/>
      <c r="AA642" s="117"/>
      <c r="AB642" s="117"/>
      <c r="AC642" s="117"/>
    </row>
    <row r="643" spans="2:29" s="126" customFormat="1">
      <c r="B643" s="125"/>
      <c r="C643" s="139"/>
      <c r="D643" s="140"/>
      <c r="E643" s="140"/>
      <c r="F643" s="140"/>
      <c r="G643" s="140"/>
      <c r="H643" s="159"/>
      <c r="I643" s="140"/>
      <c r="J643" s="140"/>
      <c r="K643" s="140"/>
      <c r="L643" s="120"/>
      <c r="M643" s="121"/>
      <c r="N643" s="122"/>
      <c r="O643" s="119"/>
      <c r="P643" s="119"/>
      <c r="Q643" s="119"/>
      <c r="R643" s="119"/>
      <c r="S643" s="123"/>
      <c r="T643" s="138"/>
      <c r="U643" s="119"/>
      <c r="V643" s="122"/>
      <c r="W643" s="136"/>
      <c r="X643" s="117"/>
      <c r="Y643" s="117"/>
      <c r="Z643" s="117"/>
      <c r="AA643" s="117"/>
      <c r="AB643" s="117"/>
      <c r="AC643" s="117"/>
    </row>
    <row r="644" spans="2:29" s="126" customFormat="1">
      <c r="B644" s="125"/>
      <c r="C644" s="139"/>
      <c r="D644" s="140"/>
      <c r="E644" s="140"/>
      <c r="F644" s="140"/>
      <c r="G644" s="140"/>
      <c r="H644" s="159"/>
      <c r="I644" s="140"/>
      <c r="J644" s="140"/>
      <c r="K644" s="140"/>
      <c r="L644" s="120"/>
      <c r="M644" s="121"/>
      <c r="N644" s="122"/>
      <c r="O644" s="119"/>
      <c r="P644" s="119"/>
      <c r="Q644" s="119"/>
      <c r="R644" s="119"/>
      <c r="S644" s="123"/>
      <c r="T644" s="138"/>
      <c r="U644" s="119"/>
      <c r="V644" s="122"/>
      <c r="W644" s="136"/>
      <c r="X644" s="117"/>
      <c r="Y644" s="117"/>
      <c r="Z644" s="117"/>
      <c r="AA644" s="117"/>
      <c r="AB644" s="117"/>
      <c r="AC644" s="117"/>
    </row>
    <row r="645" spans="2:29" s="126" customFormat="1">
      <c r="B645" s="164"/>
      <c r="C645" s="118"/>
      <c r="D645" s="165"/>
      <c r="E645" s="165"/>
      <c r="F645" s="165"/>
      <c r="G645" s="165"/>
      <c r="H645" s="166"/>
      <c r="I645" s="165"/>
      <c r="J645" s="165"/>
      <c r="K645" s="165"/>
      <c r="L645" s="170"/>
      <c r="M645" s="168"/>
      <c r="N645" s="169"/>
      <c r="O645" s="170"/>
      <c r="P645" s="170"/>
      <c r="Q645" s="170"/>
      <c r="R645" s="170"/>
      <c r="S645" s="171"/>
      <c r="T645" s="172"/>
      <c r="U645" s="173">
        <f>SUM(U614:U629)</f>
        <v>402500</v>
      </c>
      <c r="V645" s="174">
        <f>SUM(V614:V629)</f>
        <v>402500</v>
      </c>
      <c r="W645" s="175"/>
      <c r="X645" s="176"/>
      <c r="Y645" s="117"/>
      <c r="Z645" s="117"/>
      <c r="AA645" s="117"/>
      <c r="AB645" s="117"/>
      <c r="AC645" s="117"/>
    </row>
    <row r="646" spans="2:29" s="126" customFormat="1">
      <c r="B646" s="125"/>
      <c r="C646" s="139"/>
      <c r="D646" s="140"/>
      <c r="E646" s="140"/>
      <c r="F646" s="140"/>
      <c r="G646" s="140"/>
      <c r="H646" s="159"/>
      <c r="I646" s="140"/>
      <c r="J646" s="140"/>
      <c r="K646" s="140"/>
      <c r="L646" s="119"/>
      <c r="M646" s="121"/>
      <c r="N646" s="122"/>
      <c r="O646" s="119"/>
      <c r="P646" s="119"/>
      <c r="Q646" s="119"/>
      <c r="R646" s="119"/>
      <c r="S646" s="123"/>
      <c r="T646" s="138"/>
      <c r="U646" s="119"/>
      <c r="V646" s="122"/>
      <c r="W646" s="136"/>
      <c r="X646" s="117"/>
      <c r="Y646" s="117"/>
      <c r="Z646" s="117"/>
      <c r="AA646" s="117"/>
      <c r="AB646" s="117"/>
      <c r="AC646" s="117"/>
    </row>
    <row r="647" spans="2:29" s="126" customFormat="1">
      <c r="B647" s="125"/>
      <c r="C647" s="139"/>
      <c r="D647" s="140"/>
      <c r="E647" s="140"/>
      <c r="F647" s="140"/>
      <c r="G647" s="140"/>
      <c r="H647" s="159"/>
      <c r="I647" s="140"/>
      <c r="J647" s="140"/>
      <c r="K647" s="140"/>
      <c r="L647" s="119"/>
      <c r="M647" s="121"/>
      <c r="N647" s="122"/>
      <c r="O647" s="119"/>
      <c r="P647" s="119"/>
      <c r="Q647" s="119"/>
      <c r="R647" s="119"/>
      <c r="S647" s="123"/>
      <c r="T647" s="138"/>
      <c r="U647" s="119"/>
      <c r="V647" s="122"/>
      <c r="W647" s="136"/>
      <c r="X647" s="117"/>
      <c r="Y647" s="117"/>
      <c r="Z647" s="117"/>
      <c r="AA647" s="117"/>
      <c r="AB647" s="117"/>
      <c r="AC647" s="117"/>
    </row>
    <row r="648" spans="2:29" s="126" customFormat="1">
      <c r="B648" s="125"/>
      <c r="C648" s="139"/>
      <c r="D648" s="140"/>
      <c r="E648" s="140"/>
      <c r="F648" s="140"/>
      <c r="G648" s="140"/>
      <c r="H648" s="159"/>
      <c r="I648" s="140"/>
      <c r="J648" s="140"/>
      <c r="K648" s="140"/>
      <c r="L648" s="119"/>
      <c r="M648" s="121"/>
      <c r="N648" s="122"/>
      <c r="O648" s="119"/>
      <c r="P648" s="119"/>
      <c r="Q648" s="119"/>
      <c r="R648" s="119"/>
      <c r="S648" s="123"/>
      <c r="T648" s="138"/>
      <c r="U648" s="119"/>
      <c r="V648" s="122"/>
      <c r="W648" s="136"/>
      <c r="X648" s="117"/>
      <c r="Y648" s="117"/>
      <c r="Z648" s="117"/>
      <c r="AA648" s="117"/>
      <c r="AB648" s="117"/>
      <c r="AC648" s="117"/>
    </row>
    <row r="649" spans="2:29" s="126" customFormat="1">
      <c r="B649" s="125"/>
      <c r="C649" s="118" t="s">
        <v>50</v>
      </c>
      <c r="D649" s="140"/>
      <c r="E649" s="140"/>
      <c r="F649" s="140"/>
      <c r="G649" s="140"/>
      <c r="H649" s="159"/>
      <c r="I649" s="140"/>
      <c r="J649" s="140"/>
      <c r="K649" s="140"/>
      <c r="L649" s="119"/>
      <c r="M649" s="121"/>
      <c r="N649" s="122"/>
      <c r="O649" s="119"/>
      <c r="P649" s="119"/>
      <c r="Q649" s="119"/>
      <c r="R649" s="119"/>
      <c r="S649" s="123"/>
      <c r="T649" s="138"/>
      <c r="U649" s="119"/>
      <c r="V649" s="122"/>
      <c r="W649" s="136"/>
      <c r="X649" s="117"/>
      <c r="Y649" s="117"/>
      <c r="Z649" s="117"/>
      <c r="AA649" s="117"/>
      <c r="AB649" s="117"/>
      <c r="AC649" s="117"/>
    </row>
    <row r="650" spans="2:29" s="126" customFormat="1">
      <c r="B650" s="125"/>
      <c r="C650" s="139"/>
      <c r="D650" s="140"/>
      <c r="E650" s="140"/>
      <c r="F650" s="140"/>
      <c r="G650" s="140"/>
      <c r="H650" s="159"/>
      <c r="I650" s="140"/>
      <c r="J650" s="140"/>
      <c r="K650" s="140"/>
      <c r="L650" s="119"/>
      <c r="M650" s="121"/>
      <c r="N650" s="122"/>
      <c r="O650" s="119"/>
      <c r="P650" s="119"/>
      <c r="Q650" s="119"/>
      <c r="R650" s="119"/>
      <c r="S650" s="123"/>
      <c r="T650" s="138"/>
      <c r="U650" s="119"/>
      <c r="V650" s="122"/>
      <c r="W650" s="136"/>
      <c r="X650" s="117"/>
      <c r="Y650" s="117"/>
      <c r="Z650" s="117"/>
      <c r="AA650" s="117"/>
      <c r="AB650" s="117"/>
      <c r="AC650" s="117"/>
    </row>
    <row r="651" spans="2:29" s="126" customFormat="1">
      <c r="B651" s="125"/>
      <c r="C651" s="139" t="s">
        <v>258</v>
      </c>
      <c r="D651" s="140"/>
      <c r="E651" s="140"/>
      <c r="F651" s="140"/>
      <c r="G651" s="140"/>
      <c r="H651" s="159"/>
      <c r="I651" s="140"/>
      <c r="J651" s="140"/>
      <c r="K651" s="140"/>
      <c r="L651" s="119"/>
      <c r="M651" s="121"/>
      <c r="N651" s="122"/>
      <c r="O651" s="119"/>
      <c r="P651" s="119"/>
      <c r="Q651" s="119"/>
      <c r="R651" s="119"/>
      <c r="S651" s="123"/>
      <c r="T651" s="138"/>
      <c r="U651" s="119"/>
      <c r="V651" s="122"/>
      <c r="W651" s="136"/>
      <c r="X651" s="117"/>
      <c r="Y651" s="117"/>
      <c r="Z651" s="117"/>
      <c r="AA651" s="117"/>
      <c r="AB651" s="117"/>
      <c r="AC651" s="117"/>
    </row>
    <row r="652" spans="2:29" s="126" customFormat="1">
      <c r="C652" s="139"/>
      <c r="D652" s="136"/>
      <c r="E652" s="136"/>
      <c r="F652" s="136"/>
      <c r="G652" s="136"/>
      <c r="H652" s="180"/>
      <c r="I652" s="136"/>
      <c r="J652" s="136"/>
      <c r="K652" s="136"/>
      <c r="L652" s="119"/>
      <c r="M652" s="119"/>
      <c r="N652" s="122"/>
      <c r="O652" s="119"/>
      <c r="P652" s="119"/>
      <c r="Q652" s="119"/>
      <c r="R652" s="119"/>
      <c r="S652" s="123"/>
      <c r="T652" s="138"/>
      <c r="U652" s="119"/>
      <c r="V652" s="122"/>
      <c r="W652" s="136"/>
      <c r="X652" s="117"/>
      <c r="Y652" s="117"/>
      <c r="Z652" s="117"/>
      <c r="AA652" s="117"/>
      <c r="AB652" s="117"/>
      <c r="AC652" s="117"/>
    </row>
    <row r="653" spans="2:29" s="126" customFormat="1">
      <c r="C653" s="139"/>
      <c r="D653" s="136"/>
      <c r="E653" s="136"/>
      <c r="F653" s="136"/>
      <c r="G653" s="136"/>
      <c r="H653" s="180"/>
      <c r="I653" s="136"/>
      <c r="J653" s="136"/>
      <c r="K653" s="136"/>
      <c r="L653" s="119"/>
      <c r="M653" s="119"/>
      <c r="N653" s="122"/>
      <c r="O653" s="119"/>
      <c r="P653" s="119"/>
      <c r="Q653" s="119"/>
      <c r="R653" s="119"/>
      <c r="S653" s="123"/>
      <c r="T653" s="138"/>
      <c r="U653" s="119"/>
      <c r="V653" s="122"/>
      <c r="W653" s="136"/>
      <c r="X653" s="117"/>
      <c r="Y653" s="117"/>
      <c r="Z653" s="117"/>
      <c r="AA653" s="117"/>
      <c r="AB653" s="117"/>
      <c r="AC653" s="117"/>
    </row>
    <row r="654" spans="2:29" s="126" customFormat="1">
      <c r="C654" s="139"/>
      <c r="D654" s="136"/>
      <c r="E654" s="136"/>
      <c r="F654" s="136"/>
      <c r="G654" s="136"/>
      <c r="H654" s="180"/>
      <c r="I654" s="136"/>
      <c r="J654" s="136"/>
      <c r="K654" s="136"/>
      <c r="L654" s="119"/>
      <c r="M654" s="119"/>
      <c r="N654" s="122"/>
      <c r="O654" s="119"/>
      <c r="P654" s="119"/>
      <c r="Q654" s="119"/>
      <c r="R654" s="119"/>
      <c r="S654" s="123"/>
      <c r="T654" s="138"/>
      <c r="U654" s="119"/>
      <c r="V654" s="122"/>
      <c r="W654" s="136"/>
      <c r="X654" s="117"/>
      <c r="Y654" s="117"/>
      <c r="Z654" s="117"/>
      <c r="AA654" s="117"/>
      <c r="AB654" s="117"/>
      <c r="AC654" s="117"/>
    </row>
    <row r="655" spans="2:29" s="126" customFormat="1">
      <c r="B655" s="181"/>
      <c r="C655" s="118"/>
      <c r="D655" s="175"/>
      <c r="E655" s="175"/>
      <c r="F655" s="175"/>
      <c r="G655" s="175"/>
      <c r="H655" s="182"/>
      <c r="I655" s="175"/>
      <c r="J655" s="175"/>
      <c r="K655" s="175"/>
      <c r="L655" s="170"/>
      <c r="M655" s="170"/>
      <c r="N655" s="169"/>
      <c r="O655" s="170"/>
      <c r="P655" s="170"/>
      <c r="Q655" s="170"/>
      <c r="R655" s="170"/>
      <c r="S655" s="170"/>
      <c r="T655" s="172"/>
      <c r="U655" s="173">
        <f>SUM(U652:U654)</f>
        <v>0</v>
      </c>
      <c r="V655" s="174">
        <f>SUM(V652:V654)</f>
        <v>0</v>
      </c>
      <c r="W655" s="175"/>
      <c r="X655" s="176"/>
      <c r="Y655" s="117"/>
      <c r="Z655" s="117"/>
      <c r="AA655" s="117"/>
      <c r="AB655" s="117"/>
      <c r="AC655" s="117"/>
    </row>
  </sheetData>
  <mergeCells count="8">
    <mergeCell ref="B2:N2"/>
    <mergeCell ref="B3:B4"/>
    <mergeCell ref="L3:L4"/>
    <mergeCell ref="M3:M4"/>
    <mergeCell ref="N3:N4"/>
    <mergeCell ref="D3:G3"/>
    <mergeCell ref="H3:K3"/>
    <mergeCell ref="C3:C4"/>
  </mergeCells>
  <pageMargins left="0.70866141732283472" right="0.70866141732283472" top="0.74803149606299213" bottom="0.74803149606299213" header="0.31496062992125984" footer="0.31496062992125984"/>
  <pageSetup scale="40" orientation="landscape" horizontalDpi="300" verticalDpi="300" r:id="rId1"/>
  <headerFooter>
    <oddFooter>Page &amp;P of &amp;N</oddFooter>
  </headerFooter>
  <rowBreaks count="1" manualBreakCount="1">
    <brk id="533" min="1" max="1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3:K92"/>
  <sheetViews>
    <sheetView view="pageBreakPreview" topLeftCell="A52" zoomScale="95" zoomScaleNormal="100" zoomScaleSheetLayoutView="95" workbookViewId="0">
      <selection activeCell="C89" sqref="C89"/>
    </sheetView>
  </sheetViews>
  <sheetFormatPr defaultRowHeight="13"/>
  <cols>
    <col min="3" max="3" width="96.296875" customWidth="1"/>
    <col min="4" max="5" width="8.796875" style="188"/>
    <col min="6" max="6" width="17.796875" customWidth="1"/>
  </cols>
  <sheetData>
    <row r="3" spans="2:7" ht="17.5">
      <c r="B3" s="188" t="s">
        <v>387</v>
      </c>
      <c r="C3" s="185" t="s">
        <v>350</v>
      </c>
      <c r="D3" s="184" t="s">
        <v>263</v>
      </c>
      <c r="E3" s="184" t="s">
        <v>374</v>
      </c>
      <c r="F3" s="186" t="s">
        <v>376</v>
      </c>
      <c r="G3" s="186"/>
    </row>
    <row r="4" spans="2:7" ht="15.5">
      <c r="B4" s="188">
        <v>1</v>
      </c>
      <c r="C4" s="1" t="s">
        <v>329</v>
      </c>
      <c r="D4" s="70">
        <v>5</v>
      </c>
      <c r="E4" s="64" t="s">
        <v>14</v>
      </c>
      <c r="F4" s="186"/>
      <c r="G4" s="186"/>
    </row>
    <row r="5" spans="2:7" ht="15.5">
      <c r="B5" s="188">
        <v>2</v>
      </c>
      <c r="C5" s="1" t="s">
        <v>330</v>
      </c>
      <c r="D5" s="70">
        <v>5</v>
      </c>
      <c r="E5" s="64" t="s">
        <v>14</v>
      </c>
      <c r="F5" s="186"/>
      <c r="G5" s="186"/>
    </row>
    <row r="6" spans="2:7" ht="15.5">
      <c r="B6" s="188">
        <v>3</v>
      </c>
      <c r="C6" s="1" t="s">
        <v>316</v>
      </c>
      <c r="D6" s="70">
        <v>1</v>
      </c>
      <c r="E6" s="64" t="s">
        <v>14</v>
      </c>
      <c r="F6" s="186"/>
      <c r="G6" s="186"/>
    </row>
    <row r="7" spans="2:7" ht="15.5">
      <c r="B7" s="188">
        <v>4</v>
      </c>
      <c r="C7" s="1" t="s">
        <v>331</v>
      </c>
      <c r="D7" s="70">
        <v>1</v>
      </c>
      <c r="E7" s="64" t="s">
        <v>14</v>
      </c>
      <c r="F7" s="186"/>
      <c r="G7" s="186"/>
    </row>
    <row r="8" spans="2:7" ht="15.5">
      <c r="B8" s="188">
        <v>5</v>
      </c>
      <c r="C8" s="1" t="s">
        <v>332</v>
      </c>
      <c r="D8" s="70">
        <v>1</v>
      </c>
      <c r="E8" s="64" t="s">
        <v>14</v>
      </c>
      <c r="F8" s="186"/>
      <c r="G8" s="186"/>
    </row>
    <row r="9" spans="2:7" ht="15.5">
      <c r="B9" s="188">
        <v>6</v>
      </c>
      <c r="C9" s="1" t="s">
        <v>32</v>
      </c>
      <c r="D9" s="70">
        <v>1</v>
      </c>
      <c r="E9" s="64" t="s">
        <v>14</v>
      </c>
      <c r="F9" s="186"/>
      <c r="G9" s="186"/>
    </row>
    <row r="10" spans="2:7" ht="15.5">
      <c r="B10" s="188">
        <v>7</v>
      </c>
      <c r="C10" s="1" t="s">
        <v>333</v>
      </c>
      <c r="D10" s="70">
        <v>1</v>
      </c>
      <c r="E10" s="64" t="s">
        <v>14</v>
      </c>
      <c r="F10" s="186"/>
      <c r="G10" s="186"/>
    </row>
    <row r="11" spans="2:7" ht="15.5">
      <c r="B11" s="188">
        <v>8</v>
      </c>
      <c r="C11" s="1" t="s">
        <v>334</v>
      </c>
      <c r="D11" s="70">
        <v>1</v>
      </c>
      <c r="E11" s="64" t="s">
        <v>14</v>
      </c>
      <c r="F11" s="186"/>
      <c r="G11" s="186"/>
    </row>
    <row r="12" spans="2:7" ht="15.5">
      <c r="B12" s="188">
        <v>9</v>
      </c>
      <c r="C12" s="1" t="s">
        <v>335</v>
      </c>
      <c r="D12" s="70">
        <v>1</v>
      </c>
      <c r="E12" s="64" t="s">
        <v>14</v>
      </c>
      <c r="F12" s="186"/>
      <c r="G12" s="186"/>
    </row>
    <row r="13" spans="2:7" ht="15.5">
      <c r="B13" s="188">
        <v>10</v>
      </c>
      <c r="C13" s="1" t="s">
        <v>336</v>
      </c>
      <c r="D13" s="70">
        <v>2</v>
      </c>
      <c r="E13" s="64" t="s">
        <v>14</v>
      </c>
      <c r="F13" s="186"/>
      <c r="G13" s="186"/>
    </row>
    <row r="14" spans="2:7" ht="15.5">
      <c r="B14" s="188">
        <v>11</v>
      </c>
      <c r="C14" s="1" t="s">
        <v>337</v>
      </c>
      <c r="D14" s="70">
        <v>2</v>
      </c>
      <c r="E14" s="64" t="s">
        <v>14</v>
      </c>
      <c r="F14" s="186"/>
      <c r="G14" s="186"/>
    </row>
    <row r="15" spans="2:7" ht="15.5">
      <c r="B15" s="188">
        <v>12</v>
      </c>
      <c r="C15" s="1" t="s">
        <v>338</v>
      </c>
      <c r="D15" s="70">
        <v>2</v>
      </c>
      <c r="E15" s="64" t="s">
        <v>14</v>
      </c>
      <c r="F15" s="186"/>
      <c r="G15" s="186"/>
    </row>
    <row r="16" spans="2:7" ht="15.5">
      <c r="B16" s="188">
        <v>13</v>
      </c>
      <c r="C16" s="4" t="s">
        <v>342</v>
      </c>
      <c r="D16" s="16">
        <v>5</v>
      </c>
      <c r="E16" s="64" t="s">
        <v>14</v>
      </c>
      <c r="F16" s="186"/>
      <c r="G16" s="186"/>
    </row>
    <row r="17" spans="2:7">
      <c r="B17" s="188"/>
      <c r="C17" s="186"/>
      <c r="D17" s="187"/>
      <c r="E17" s="187"/>
      <c r="F17" s="186"/>
      <c r="G17" s="186"/>
    </row>
    <row r="18" spans="2:7" ht="17.5">
      <c r="B18" s="188"/>
      <c r="C18" s="185" t="s">
        <v>351</v>
      </c>
      <c r="D18" s="187"/>
      <c r="E18" s="187"/>
      <c r="F18" s="186"/>
      <c r="G18" s="186"/>
    </row>
    <row r="19" spans="2:7" ht="62">
      <c r="B19" s="188">
        <v>14</v>
      </c>
      <c r="C19" s="189" t="s">
        <v>386</v>
      </c>
      <c r="D19" s="77">
        <v>536.11</v>
      </c>
      <c r="E19" s="64" t="s">
        <v>62</v>
      </c>
      <c r="F19" s="186"/>
      <c r="G19" s="186"/>
    </row>
    <row r="20" spans="2:7" ht="62">
      <c r="B20" s="188">
        <v>15</v>
      </c>
      <c r="C20" s="90" t="s">
        <v>317</v>
      </c>
      <c r="D20" s="84">
        <v>3.89</v>
      </c>
      <c r="E20" s="7" t="s">
        <v>57</v>
      </c>
      <c r="F20" s="186"/>
      <c r="G20" s="186"/>
    </row>
    <row r="21" spans="2:7" ht="62">
      <c r="B21" s="188">
        <v>16</v>
      </c>
      <c r="C21" s="90" t="s">
        <v>318</v>
      </c>
      <c r="D21" s="77">
        <v>37.130000000000003</v>
      </c>
      <c r="E21" s="7" t="s">
        <v>62</v>
      </c>
      <c r="F21" s="186"/>
      <c r="G21" s="186"/>
    </row>
    <row r="22" spans="2:7" ht="62">
      <c r="B22" s="188">
        <v>17</v>
      </c>
      <c r="C22" s="90" t="s">
        <v>319</v>
      </c>
      <c r="D22" s="91">
        <v>0.7</v>
      </c>
      <c r="E22" s="7" t="s">
        <v>57</v>
      </c>
      <c r="F22" s="186"/>
      <c r="G22" s="186"/>
    </row>
    <row r="23" spans="2:7" ht="139.5">
      <c r="B23" s="188">
        <v>18</v>
      </c>
      <c r="C23" s="61" t="s">
        <v>295</v>
      </c>
      <c r="D23" s="77">
        <v>107.18</v>
      </c>
      <c r="E23" s="7" t="s">
        <v>60</v>
      </c>
      <c r="F23" s="186"/>
      <c r="G23" s="186"/>
    </row>
    <row r="24" spans="2:7" ht="248">
      <c r="B24" s="188">
        <v>19</v>
      </c>
      <c r="C24" s="4" t="s">
        <v>15</v>
      </c>
      <c r="D24" s="77">
        <v>23.463000000000001</v>
      </c>
      <c r="E24" s="7" t="s">
        <v>62</v>
      </c>
      <c r="F24" s="186"/>
      <c r="G24" s="186"/>
    </row>
    <row r="25" spans="2:7" ht="139.5">
      <c r="B25" s="188">
        <v>20</v>
      </c>
      <c r="C25" s="92" t="s">
        <v>63</v>
      </c>
      <c r="D25" s="77">
        <v>10.17</v>
      </c>
      <c r="E25" s="7" t="s">
        <v>62</v>
      </c>
      <c r="F25" s="186"/>
      <c r="G25" s="186"/>
    </row>
    <row r="26" spans="2:7" ht="15.5">
      <c r="B26" s="188">
        <v>21</v>
      </c>
      <c r="C26" s="4" t="s">
        <v>22</v>
      </c>
      <c r="D26" s="77">
        <v>1</v>
      </c>
      <c r="E26" s="7" t="s">
        <v>14</v>
      </c>
      <c r="F26" s="186"/>
      <c r="G26" s="186"/>
    </row>
    <row r="27" spans="2:7" ht="15.5">
      <c r="B27" s="188">
        <v>22</v>
      </c>
      <c r="C27" s="92" t="s">
        <v>303</v>
      </c>
      <c r="D27" s="77">
        <v>5</v>
      </c>
      <c r="E27" s="7" t="s">
        <v>14</v>
      </c>
      <c r="F27" s="186"/>
      <c r="G27" s="186"/>
    </row>
    <row r="28" spans="2:7" ht="15.5">
      <c r="B28" s="188">
        <v>23</v>
      </c>
      <c r="C28" s="92" t="s">
        <v>304</v>
      </c>
      <c r="D28" s="77">
        <v>5</v>
      </c>
      <c r="E28" s="7" t="s">
        <v>14</v>
      </c>
      <c r="F28" s="186"/>
      <c r="G28" s="186"/>
    </row>
    <row r="29" spans="2:7" ht="15.5">
      <c r="B29" s="188">
        <v>24</v>
      </c>
      <c r="C29" s="92" t="s">
        <v>343</v>
      </c>
      <c r="D29" s="77">
        <v>2</v>
      </c>
      <c r="E29" s="7" t="s">
        <v>14</v>
      </c>
      <c r="F29" s="186"/>
      <c r="G29" s="186"/>
    </row>
    <row r="30" spans="2:7" ht="15.5">
      <c r="B30" s="188">
        <v>25</v>
      </c>
      <c r="C30" s="92" t="s">
        <v>344</v>
      </c>
      <c r="D30" s="77">
        <v>31</v>
      </c>
      <c r="E30" s="7" t="s">
        <v>14</v>
      </c>
      <c r="F30" s="186"/>
      <c r="G30" s="186"/>
    </row>
    <row r="31" spans="2:7" ht="15.5">
      <c r="B31" s="188">
        <v>26</v>
      </c>
      <c r="C31" s="92" t="s">
        <v>345</v>
      </c>
      <c r="D31" s="77">
        <v>14</v>
      </c>
      <c r="E31" s="7" t="s">
        <v>14</v>
      </c>
      <c r="F31" s="186"/>
      <c r="G31" s="186"/>
    </row>
    <row r="32" spans="2:7" ht="62">
      <c r="B32" s="188">
        <v>27</v>
      </c>
      <c r="C32" s="61" t="s">
        <v>348</v>
      </c>
      <c r="D32" s="77">
        <v>7.2</v>
      </c>
      <c r="E32" s="7" t="s">
        <v>62</v>
      </c>
      <c r="F32" s="186"/>
      <c r="G32" s="186"/>
    </row>
    <row r="33" spans="2:7" ht="15.5">
      <c r="B33" s="188">
        <v>28</v>
      </c>
      <c r="C33" s="105" t="s">
        <v>349</v>
      </c>
      <c r="D33" s="77">
        <v>89.11</v>
      </c>
      <c r="E33" s="7" t="s">
        <v>62</v>
      </c>
      <c r="F33" s="186"/>
      <c r="G33" s="186"/>
    </row>
    <row r="34" spans="2:7" ht="15.5">
      <c r="B34" s="188">
        <v>29</v>
      </c>
      <c r="C34" s="116" t="s">
        <v>247</v>
      </c>
      <c r="D34" s="77">
        <v>7.14</v>
      </c>
      <c r="E34" s="7" t="s">
        <v>62</v>
      </c>
      <c r="F34" s="186"/>
      <c r="G34" s="186"/>
    </row>
    <row r="35" spans="2:7" ht="62">
      <c r="B35" s="188">
        <v>30</v>
      </c>
      <c r="C35" s="183" t="s">
        <v>378</v>
      </c>
      <c r="D35" s="77">
        <v>18.579999999999998</v>
      </c>
      <c r="E35" s="7" t="s">
        <v>62</v>
      </c>
      <c r="F35" s="186"/>
      <c r="G35" s="186"/>
    </row>
    <row r="36" spans="2:7" ht="186">
      <c r="B36" s="188">
        <v>31</v>
      </c>
      <c r="C36" s="183" t="s">
        <v>377</v>
      </c>
      <c r="D36" s="77">
        <v>7.58</v>
      </c>
      <c r="E36" s="7" t="s">
        <v>62</v>
      </c>
      <c r="F36" s="186"/>
      <c r="G36" s="186"/>
    </row>
    <row r="37" spans="2:7" ht="46.5">
      <c r="B37" s="188">
        <v>32</v>
      </c>
      <c r="C37" s="183" t="s">
        <v>356</v>
      </c>
      <c r="D37" s="77">
        <v>2.58</v>
      </c>
      <c r="E37" s="7" t="s">
        <v>62</v>
      </c>
      <c r="F37" s="186"/>
      <c r="G37" s="186"/>
    </row>
    <row r="38" spans="2:7" ht="46.5">
      <c r="B38" s="188">
        <v>33</v>
      </c>
      <c r="C38" s="183" t="s">
        <v>357</v>
      </c>
      <c r="D38" s="77">
        <v>7.5</v>
      </c>
      <c r="E38" s="7" t="s">
        <v>62</v>
      </c>
      <c r="F38" s="186"/>
      <c r="G38" s="186"/>
    </row>
    <row r="39" spans="2:7" ht="62">
      <c r="B39" s="188">
        <v>34</v>
      </c>
      <c r="C39" s="183" t="s">
        <v>358</v>
      </c>
      <c r="D39" s="77">
        <v>1</v>
      </c>
      <c r="E39" s="7" t="s">
        <v>14</v>
      </c>
      <c r="F39" s="186"/>
      <c r="G39" s="186"/>
    </row>
    <row r="40" spans="2:7" ht="31">
      <c r="B40" s="188">
        <v>35</v>
      </c>
      <c r="C40" s="183" t="s">
        <v>359</v>
      </c>
      <c r="D40" s="77">
        <v>4.45</v>
      </c>
      <c r="E40" s="7" t="s">
        <v>62</v>
      </c>
      <c r="F40" s="186"/>
      <c r="G40" s="186"/>
    </row>
    <row r="41" spans="2:7" ht="31">
      <c r="B41" s="188">
        <v>36</v>
      </c>
      <c r="C41" s="183" t="s">
        <v>360</v>
      </c>
      <c r="D41" s="77">
        <v>38</v>
      </c>
      <c r="E41" s="7" t="s">
        <v>60</v>
      </c>
      <c r="F41" s="186"/>
      <c r="G41" s="186"/>
    </row>
    <row r="42" spans="2:7" ht="31">
      <c r="B42" s="188">
        <v>37</v>
      </c>
      <c r="C42" s="183" t="s">
        <v>361</v>
      </c>
      <c r="D42" s="77">
        <v>7</v>
      </c>
      <c r="E42" s="7" t="s">
        <v>14</v>
      </c>
      <c r="F42" s="186"/>
      <c r="G42" s="186"/>
    </row>
    <row r="43" spans="2:7" ht="46.5">
      <c r="B43" s="188">
        <v>38</v>
      </c>
      <c r="C43" s="183" t="s">
        <v>362</v>
      </c>
      <c r="D43" s="77">
        <v>11.58</v>
      </c>
      <c r="E43" s="7" t="s">
        <v>60</v>
      </c>
      <c r="F43" s="186"/>
      <c r="G43" s="186"/>
    </row>
    <row r="44" spans="2:7" ht="31">
      <c r="B44" s="188">
        <v>39</v>
      </c>
      <c r="C44" s="183" t="s">
        <v>363</v>
      </c>
      <c r="D44" s="77">
        <v>1.32</v>
      </c>
      <c r="E44" s="7" t="s">
        <v>62</v>
      </c>
      <c r="F44" s="186"/>
      <c r="G44" s="186"/>
    </row>
    <row r="45" spans="2:7" ht="62">
      <c r="B45" s="188">
        <v>40</v>
      </c>
      <c r="C45" s="183" t="s">
        <v>364</v>
      </c>
      <c r="D45" s="77">
        <v>1</v>
      </c>
      <c r="E45" s="7" t="s">
        <v>14</v>
      </c>
      <c r="F45" s="186"/>
      <c r="G45" s="186"/>
    </row>
    <row r="46" spans="2:7" ht="46.5">
      <c r="B46" s="188">
        <v>41</v>
      </c>
      <c r="C46" s="183" t="s">
        <v>365</v>
      </c>
      <c r="D46" s="77">
        <v>10.97</v>
      </c>
      <c r="E46" s="7" t="s">
        <v>60</v>
      </c>
      <c r="F46" s="186"/>
      <c r="G46" s="186"/>
    </row>
    <row r="47" spans="2:7" ht="15.5">
      <c r="B47" s="188">
        <v>42</v>
      </c>
      <c r="C47" s="116" t="s">
        <v>366</v>
      </c>
      <c r="D47" s="77">
        <v>2</v>
      </c>
      <c r="E47" s="7" t="s">
        <v>14</v>
      </c>
      <c r="F47" s="186"/>
      <c r="G47" s="186"/>
    </row>
    <row r="48" spans="2:7" ht="15.5">
      <c r="B48" s="188">
        <v>43</v>
      </c>
      <c r="C48" s="116" t="s">
        <v>367</v>
      </c>
      <c r="D48" s="77">
        <v>1</v>
      </c>
      <c r="E48" s="7" t="s">
        <v>222</v>
      </c>
      <c r="F48" s="186"/>
      <c r="G48" s="186"/>
    </row>
    <row r="49" spans="2:7" ht="15.5">
      <c r="B49" s="188">
        <v>44</v>
      </c>
      <c r="C49" s="116" t="s">
        <v>368</v>
      </c>
      <c r="D49" s="77">
        <v>5.01</v>
      </c>
      <c r="E49" s="7" t="s">
        <v>62</v>
      </c>
      <c r="F49" s="186"/>
      <c r="G49" s="186"/>
    </row>
    <row r="50" spans="2:7" ht="15.5">
      <c r="B50" s="188">
        <v>45</v>
      </c>
      <c r="C50" s="116" t="s">
        <v>369</v>
      </c>
      <c r="D50" s="77">
        <v>1</v>
      </c>
      <c r="E50" s="7" t="s">
        <v>222</v>
      </c>
      <c r="F50" s="186"/>
      <c r="G50" s="186"/>
    </row>
    <row r="51" spans="2:7" ht="15.5">
      <c r="B51" s="188">
        <v>46</v>
      </c>
      <c r="C51" s="116" t="s">
        <v>390</v>
      </c>
      <c r="D51" s="77">
        <v>8</v>
      </c>
      <c r="E51" s="7" t="s">
        <v>14</v>
      </c>
      <c r="F51" s="186"/>
      <c r="G51" s="186"/>
    </row>
    <row r="52" spans="2:7" ht="17.5">
      <c r="B52" s="188"/>
      <c r="C52" s="185" t="s">
        <v>352</v>
      </c>
      <c r="D52" s="187"/>
      <c r="E52" s="187"/>
      <c r="F52" s="186"/>
      <c r="G52" s="186"/>
    </row>
    <row r="53" spans="2:7" ht="46.5">
      <c r="B53" s="188">
        <v>47</v>
      </c>
      <c r="C53" s="61" t="s">
        <v>320</v>
      </c>
      <c r="D53" s="77">
        <v>5</v>
      </c>
      <c r="E53" s="64" t="s">
        <v>14</v>
      </c>
      <c r="F53" s="186"/>
      <c r="G53" s="186"/>
    </row>
    <row r="54" spans="2:7" ht="15.5">
      <c r="B54" s="188">
        <v>48</v>
      </c>
      <c r="C54" s="61" t="s">
        <v>282</v>
      </c>
      <c r="D54" s="77">
        <v>3</v>
      </c>
      <c r="E54" s="64" t="s">
        <v>14</v>
      </c>
      <c r="F54" s="186"/>
      <c r="G54" s="186"/>
    </row>
    <row r="55" spans="2:7" ht="108.5">
      <c r="B55" s="188">
        <v>49</v>
      </c>
      <c r="C55" s="61" t="s">
        <v>321</v>
      </c>
      <c r="D55" s="77">
        <v>35.1</v>
      </c>
      <c r="E55" s="7" t="s">
        <v>60</v>
      </c>
      <c r="F55" s="186"/>
      <c r="G55" s="186"/>
    </row>
    <row r="56" spans="2:7">
      <c r="B56" s="188"/>
      <c r="C56" s="186"/>
      <c r="D56" s="187"/>
      <c r="E56" s="187"/>
      <c r="F56" s="186"/>
      <c r="G56" s="186"/>
    </row>
    <row r="57" spans="2:7" ht="17.5">
      <c r="B57" s="188"/>
      <c r="C57" s="185" t="s">
        <v>353</v>
      </c>
      <c r="D57" s="187"/>
      <c r="E57" s="187"/>
      <c r="F57" s="186"/>
      <c r="G57" s="186"/>
    </row>
    <row r="58" spans="2:7" ht="46.5">
      <c r="B58" s="188">
        <v>50</v>
      </c>
      <c r="C58" s="1" t="s">
        <v>283</v>
      </c>
      <c r="D58" s="70">
        <v>20</v>
      </c>
      <c r="E58" s="64" t="s">
        <v>60</v>
      </c>
      <c r="F58" s="186"/>
      <c r="G58" s="186"/>
    </row>
    <row r="59" spans="2:7" ht="46.5">
      <c r="B59" s="188">
        <v>51</v>
      </c>
      <c r="C59" s="1" t="s">
        <v>284</v>
      </c>
      <c r="D59" s="70">
        <v>19</v>
      </c>
      <c r="E59" s="64" t="s">
        <v>60</v>
      </c>
      <c r="F59" s="186"/>
      <c r="G59" s="186"/>
    </row>
    <row r="60" spans="2:7" ht="15.5">
      <c r="B60" s="188">
        <v>52</v>
      </c>
      <c r="C60" s="1" t="s">
        <v>285</v>
      </c>
      <c r="D60" s="70">
        <v>48</v>
      </c>
      <c r="E60" s="64" t="s">
        <v>60</v>
      </c>
      <c r="F60" s="186"/>
      <c r="G60" s="186"/>
    </row>
    <row r="61" spans="2:7" ht="15.5">
      <c r="B61" s="188">
        <v>53</v>
      </c>
      <c r="C61" s="4" t="s">
        <v>347</v>
      </c>
      <c r="D61" s="77">
        <v>1</v>
      </c>
      <c r="E61" s="7" t="s">
        <v>14</v>
      </c>
      <c r="F61" s="186"/>
      <c r="G61" s="186"/>
    </row>
    <row r="62" spans="2:7" ht="93">
      <c r="B62" s="188">
        <v>54</v>
      </c>
      <c r="C62" s="100" t="s">
        <v>296</v>
      </c>
      <c r="D62" s="77">
        <v>12</v>
      </c>
      <c r="E62" s="7" t="s">
        <v>14</v>
      </c>
      <c r="F62" s="186"/>
      <c r="G62" s="186"/>
    </row>
    <row r="63" spans="2:7" ht="31">
      <c r="B63" s="188">
        <v>55</v>
      </c>
      <c r="C63" s="101" t="s">
        <v>297</v>
      </c>
      <c r="D63" s="77">
        <v>14</v>
      </c>
      <c r="E63" s="7" t="s">
        <v>14</v>
      </c>
      <c r="F63" s="186"/>
      <c r="G63" s="186"/>
    </row>
    <row r="64" spans="2:7" ht="15.5">
      <c r="B64" s="188">
        <v>56</v>
      </c>
      <c r="C64" s="101" t="s">
        <v>298</v>
      </c>
      <c r="D64" s="77">
        <v>14</v>
      </c>
      <c r="E64" s="7" t="s">
        <v>14</v>
      </c>
      <c r="F64" s="186"/>
      <c r="G64" s="186"/>
    </row>
    <row r="65" spans="2:7" ht="15.5">
      <c r="B65" s="188">
        <v>57</v>
      </c>
      <c r="C65" s="101" t="s">
        <v>299</v>
      </c>
      <c r="D65" s="77">
        <v>14</v>
      </c>
      <c r="E65" s="7" t="s">
        <v>14</v>
      </c>
      <c r="F65" s="186"/>
      <c r="G65" s="186"/>
    </row>
    <row r="66" spans="2:7" ht="46.5">
      <c r="B66" s="188">
        <v>58</v>
      </c>
      <c r="C66" s="102" t="s">
        <v>300</v>
      </c>
      <c r="D66" s="77">
        <v>30</v>
      </c>
      <c r="E66" s="7" t="s">
        <v>14</v>
      </c>
      <c r="F66" s="186"/>
      <c r="G66" s="186"/>
    </row>
    <row r="67" spans="2:7" ht="31">
      <c r="B67" s="188">
        <v>59</v>
      </c>
      <c r="C67" s="103" t="s">
        <v>301</v>
      </c>
      <c r="D67" s="77">
        <v>14</v>
      </c>
      <c r="E67" s="7" t="s">
        <v>14</v>
      </c>
      <c r="F67" s="186"/>
      <c r="G67" s="186"/>
    </row>
    <row r="68" spans="2:7" ht="15.5">
      <c r="B68" s="188">
        <v>60</v>
      </c>
      <c r="C68" s="102" t="s">
        <v>302</v>
      </c>
      <c r="D68" s="77">
        <v>1</v>
      </c>
      <c r="E68" s="7" t="s">
        <v>14</v>
      </c>
      <c r="F68" s="186"/>
      <c r="G68" s="186"/>
    </row>
    <row r="69" spans="2:7" ht="31">
      <c r="B69" s="188">
        <v>61</v>
      </c>
      <c r="C69" s="61" t="s">
        <v>310</v>
      </c>
      <c r="D69" s="7">
        <v>92.2</v>
      </c>
      <c r="E69" s="7" t="s">
        <v>312</v>
      </c>
      <c r="F69" s="186"/>
      <c r="G69" s="186"/>
    </row>
    <row r="70" spans="2:7" ht="31">
      <c r="B70" s="188">
        <v>62</v>
      </c>
      <c r="C70" s="61" t="s">
        <v>311</v>
      </c>
      <c r="D70" s="7">
        <v>25.5</v>
      </c>
      <c r="E70" s="7" t="s">
        <v>312</v>
      </c>
      <c r="F70" s="186"/>
      <c r="G70" s="186"/>
    </row>
    <row r="71" spans="2:7" ht="15.5">
      <c r="B71" s="188">
        <v>63</v>
      </c>
      <c r="C71" s="105" t="s">
        <v>313</v>
      </c>
      <c r="D71" s="6">
        <v>2</v>
      </c>
      <c r="E71" s="7" t="s">
        <v>14</v>
      </c>
      <c r="F71" s="186"/>
      <c r="G71" s="186"/>
    </row>
    <row r="72" spans="2:7" ht="15.5">
      <c r="B72" s="188">
        <v>64</v>
      </c>
      <c r="C72" s="105" t="s">
        <v>314</v>
      </c>
      <c r="D72" s="6">
        <v>74.099999999999994</v>
      </c>
      <c r="E72" s="7" t="s">
        <v>60</v>
      </c>
      <c r="F72" s="186"/>
      <c r="G72" s="186"/>
    </row>
    <row r="73" spans="2:7" ht="15.5">
      <c r="B73" s="188">
        <v>65</v>
      </c>
      <c r="C73" s="102" t="s">
        <v>315</v>
      </c>
      <c r="D73" s="108">
        <v>3.95</v>
      </c>
      <c r="E73" s="7" t="s">
        <v>60</v>
      </c>
      <c r="F73" s="186"/>
      <c r="G73" s="186"/>
    </row>
    <row r="74" spans="2:7" ht="217">
      <c r="B74" s="188">
        <v>66</v>
      </c>
      <c r="C74" s="1" t="s">
        <v>346</v>
      </c>
      <c r="D74" s="77">
        <v>1</v>
      </c>
      <c r="E74" s="7" t="s">
        <v>14</v>
      </c>
      <c r="F74" s="186"/>
      <c r="G74" s="186"/>
    </row>
    <row r="75" spans="2:7" ht="15.5">
      <c r="B75" s="188">
        <v>67</v>
      </c>
      <c r="C75" s="4" t="s">
        <v>16</v>
      </c>
      <c r="D75" s="77">
        <v>1</v>
      </c>
      <c r="E75" s="7" t="s">
        <v>14</v>
      </c>
      <c r="F75" s="186"/>
      <c r="G75" s="186"/>
    </row>
    <row r="76" spans="2:7" ht="62">
      <c r="B76" s="188">
        <v>68</v>
      </c>
      <c r="C76" s="59" t="s">
        <v>370</v>
      </c>
      <c r="D76" s="77">
        <v>13</v>
      </c>
      <c r="E76" s="7" t="s">
        <v>14</v>
      </c>
      <c r="F76" s="186"/>
      <c r="G76" s="186"/>
    </row>
    <row r="77" spans="2:7" ht="15.5">
      <c r="B77" s="188">
        <v>69</v>
      </c>
      <c r="C77" s="4" t="s">
        <v>371</v>
      </c>
      <c r="D77" s="77">
        <v>10.66</v>
      </c>
      <c r="E77" s="7" t="s">
        <v>60</v>
      </c>
      <c r="F77" s="186"/>
      <c r="G77" s="186"/>
    </row>
    <row r="78" spans="2:7" ht="15.5">
      <c r="B78" s="188">
        <v>70</v>
      </c>
      <c r="C78" s="4" t="s">
        <v>372</v>
      </c>
      <c r="D78" s="77">
        <v>1</v>
      </c>
      <c r="E78" s="7" t="s">
        <v>201</v>
      </c>
      <c r="F78" s="186"/>
      <c r="G78" s="186"/>
    </row>
    <row r="79" spans="2:7" ht="15.5">
      <c r="B79" s="188">
        <v>71</v>
      </c>
      <c r="C79" s="4" t="s">
        <v>373</v>
      </c>
      <c r="D79" s="77">
        <v>2.89</v>
      </c>
      <c r="E79" s="7" t="s">
        <v>60</v>
      </c>
      <c r="F79" s="186"/>
      <c r="G79" s="186"/>
    </row>
    <row r="80" spans="2:7" ht="17.5">
      <c r="B80" s="188"/>
      <c r="C80" s="185" t="s">
        <v>277</v>
      </c>
      <c r="D80" s="187"/>
      <c r="E80" s="187"/>
      <c r="F80" s="186"/>
      <c r="G80" s="186"/>
    </row>
    <row r="81" spans="2:11" ht="28">
      <c r="B81" s="188">
        <v>72</v>
      </c>
      <c r="C81" s="112" t="s">
        <v>322</v>
      </c>
      <c r="D81" s="187">
        <v>1</v>
      </c>
      <c r="E81" s="187" t="s">
        <v>222</v>
      </c>
      <c r="F81" s="186"/>
      <c r="G81" s="186"/>
    </row>
    <row r="82" spans="2:11" ht="42">
      <c r="B82" s="188">
        <v>73</v>
      </c>
      <c r="C82" s="112" t="s">
        <v>323</v>
      </c>
      <c r="D82" s="187">
        <v>1</v>
      </c>
      <c r="E82" s="187" t="s">
        <v>222</v>
      </c>
      <c r="F82" s="186"/>
      <c r="G82" s="186"/>
      <c r="K82" t="s">
        <v>391</v>
      </c>
    </row>
    <row r="83" spans="2:11" ht="42">
      <c r="B83" s="188">
        <v>74</v>
      </c>
      <c r="C83" s="112" t="s">
        <v>324</v>
      </c>
      <c r="D83" s="187">
        <v>1</v>
      </c>
      <c r="E83" s="187" t="s">
        <v>222</v>
      </c>
      <c r="F83" s="186"/>
      <c r="G83" s="186"/>
    </row>
    <row r="84" spans="2:11" ht="42">
      <c r="B84" s="188">
        <v>75</v>
      </c>
      <c r="C84" s="112" t="s">
        <v>325</v>
      </c>
      <c r="D84" s="187">
        <v>1</v>
      </c>
      <c r="E84" s="187" t="s">
        <v>222</v>
      </c>
      <c r="F84" s="186"/>
      <c r="G84" s="186"/>
    </row>
    <row r="85" spans="2:11" ht="56">
      <c r="B85" s="188">
        <v>76</v>
      </c>
      <c r="C85" s="112" t="s">
        <v>326</v>
      </c>
      <c r="D85" s="187">
        <v>1</v>
      </c>
      <c r="E85" s="187" t="s">
        <v>222</v>
      </c>
      <c r="F85" s="186"/>
      <c r="G85" s="186"/>
    </row>
    <row r="86" spans="2:11" ht="28">
      <c r="B86" s="188">
        <v>77</v>
      </c>
      <c r="C86" s="112" t="s">
        <v>327</v>
      </c>
      <c r="D86" s="187">
        <v>6</v>
      </c>
      <c r="E86" s="187" t="s">
        <v>14</v>
      </c>
      <c r="F86" s="186"/>
      <c r="G86" s="186"/>
    </row>
    <row r="87" spans="2:11" ht="28">
      <c r="B87" s="188">
        <v>78</v>
      </c>
      <c r="C87" s="112" t="s">
        <v>328</v>
      </c>
      <c r="D87" s="187">
        <v>3</v>
      </c>
      <c r="E87" s="187" t="s">
        <v>375</v>
      </c>
      <c r="F87" s="186"/>
      <c r="G87" s="186"/>
    </row>
    <row r="88" spans="2:11" ht="15.5">
      <c r="B88" s="188">
        <v>79</v>
      </c>
      <c r="C88" s="1" t="s">
        <v>26</v>
      </c>
      <c r="D88" s="187">
        <v>4</v>
      </c>
      <c r="E88" s="187" t="s">
        <v>14</v>
      </c>
      <c r="F88" s="186"/>
      <c r="G88" s="186"/>
    </row>
    <row r="89" spans="2:11" ht="15.5">
      <c r="B89" s="188">
        <v>80</v>
      </c>
      <c r="C89" s="1" t="s">
        <v>339</v>
      </c>
      <c r="D89" s="187">
        <v>4</v>
      </c>
      <c r="E89" s="187" t="s">
        <v>14</v>
      </c>
      <c r="F89" s="186"/>
      <c r="G89" s="186"/>
    </row>
    <row r="90" spans="2:11" ht="15.5">
      <c r="B90" s="188">
        <v>81</v>
      </c>
      <c r="C90" s="1" t="s">
        <v>340</v>
      </c>
      <c r="D90" s="187">
        <v>12</v>
      </c>
      <c r="E90" s="187" t="s">
        <v>14</v>
      </c>
      <c r="F90" s="186"/>
      <c r="G90" s="186"/>
    </row>
    <row r="91" spans="2:11" ht="15.5">
      <c r="B91" s="188">
        <v>82</v>
      </c>
      <c r="C91" s="1" t="s">
        <v>29</v>
      </c>
      <c r="D91" s="187">
        <v>12</v>
      </c>
      <c r="E91" s="187" t="s">
        <v>14</v>
      </c>
      <c r="F91" s="186"/>
      <c r="G91" s="186"/>
    </row>
    <row r="92" spans="2:11" ht="15.5">
      <c r="B92" s="188">
        <v>83</v>
      </c>
      <c r="C92" s="4" t="s">
        <v>341</v>
      </c>
      <c r="D92" s="187">
        <v>2</v>
      </c>
      <c r="E92" s="187" t="s">
        <v>14</v>
      </c>
      <c r="F92" s="186"/>
      <c r="G92" s="186"/>
    </row>
  </sheetData>
  <pageMargins left="0" right="0" top="0" bottom="0" header="0.31496062992125984" footer="0.31496062992125984"/>
  <pageSetup paperSize="9" scale="80" fitToHeight="4" orientation="portrait" r:id="rId1"/>
  <rowBreaks count="1" manualBreakCount="1">
    <brk id="70" min="1" max="5"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S93"/>
  <sheetViews>
    <sheetView topLeftCell="A45" zoomScaleNormal="100" workbookViewId="0">
      <selection activeCell="F30" sqref="F30:F31"/>
    </sheetView>
  </sheetViews>
  <sheetFormatPr defaultColWidth="8.796875" defaultRowHeight="13"/>
  <cols>
    <col min="1" max="1" width="8.796875" style="208"/>
    <col min="2" max="2" width="3.296875" style="208" bestFit="1" customWidth="1"/>
    <col min="3" max="3" width="46.796875" style="236" customWidth="1"/>
    <col min="4" max="4" width="7.5" style="235" bestFit="1" customWidth="1"/>
    <col min="5" max="5" width="5.5" style="235" bestFit="1" customWidth="1"/>
    <col min="6" max="6" width="12.296875" style="235" bestFit="1" customWidth="1"/>
    <col min="7" max="7" width="13.69921875" style="235" bestFit="1" customWidth="1"/>
    <col min="8" max="8" width="17.19921875" style="208" customWidth="1"/>
    <col min="9" max="9" width="18.69921875" style="259" customWidth="1"/>
    <col min="10" max="13" width="18.69921875" style="265" customWidth="1"/>
    <col min="14" max="17" width="9.796875" style="208" bestFit="1" customWidth="1"/>
    <col min="18" max="18" width="11.296875" style="208" bestFit="1" customWidth="1"/>
    <col min="19" max="19" width="12.296875" style="208" bestFit="1" customWidth="1"/>
    <col min="20" max="16384" width="8.796875" style="208"/>
  </cols>
  <sheetData>
    <row r="1" spans="2:19">
      <c r="B1" s="1232" t="s">
        <v>517</v>
      </c>
      <c r="C1" s="1232"/>
      <c r="D1" s="1232"/>
      <c r="E1" s="1232"/>
      <c r="F1" s="1232"/>
      <c r="G1" s="1232"/>
      <c r="H1" s="1232"/>
      <c r="I1" s="281"/>
      <c r="J1" s="282"/>
      <c r="K1" s="282"/>
      <c r="L1" s="260"/>
      <c r="M1" s="260"/>
    </row>
    <row r="2" spans="2:19">
      <c r="B2" s="211">
        <v>1</v>
      </c>
      <c r="C2" s="212" t="s">
        <v>329</v>
      </c>
      <c r="D2" s="213">
        <v>5</v>
      </c>
      <c r="E2" s="211" t="s">
        <v>14</v>
      </c>
      <c r="F2" s="237">
        <v>31200</v>
      </c>
      <c r="G2" s="238">
        <f t="shared" ref="G2:G66" si="0">D2*F2</f>
        <v>156000</v>
      </c>
      <c r="H2" s="239"/>
      <c r="I2" s="279">
        <v>0.2</v>
      </c>
      <c r="J2" s="271">
        <v>39000</v>
      </c>
      <c r="K2" s="280">
        <f>J2*D2</f>
        <v>195000</v>
      </c>
      <c r="L2" s="261"/>
      <c r="M2" s="261"/>
      <c r="N2" s="251">
        <f>F2*0.1</f>
        <v>3120</v>
      </c>
      <c r="O2" s="251">
        <f>F2*0.1365</f>
        <v>4258.8</v>
      </c>
      <c r="P2" s="251">
        <f>F2*0.1</f>
        <v>3120</v>
      </c>
      <c r="Q2" s="251">
        <f>SUM(N2:P2)</f>
        <v>10498.8</v>
      </c>
      <c r="R2" s="251">
        <f>F2+Q2</f>
        <v>41698.800000000003</v>
      </c>
      <c r="S2" s="251">
        <f>R2*D2</f>
        <v>208494</v>
      </c>
    </row>
    <row r="3" spans="2:19">
      <c r="B3" s="211">
        <v>2</v>
      </c>
      <c r="C3" s="212" t="s">
        <v>330</v>
      </c>
      <c r="D3" s="213">
        <v>5</v>
      </c>
      <c r="E3" s="211" t="s">
        <v>14</v>
      </c>
      <c r="F3" s="237">
        <v>6500</v>
      </c>
      <c r="G3" s="238">
        <f t="shared" si="0"/>
        <v>32500</v>
      </c>
      <c r="H3" s="239"/>
      <c r="I3" s="279">
        <v>0.2</v>
      </c>
      <c r="J3" s="271">
        <v>9000</v>
      </c>
      <c r="K3" s="280">
        <f t="shared" ref="K3:K68" si="1">J3*D3</f>
        <v>45000</v>
      </c>
      <c r="L3" s="261"/>
      <c r="M3" s="261"/>
      <c r="N3" s="251">
        <f t="shared" ref="N3:N68" si="2">F3*0.1</f>
        <v>650</v>
      </c>
      <c r="O3" s="251">
        <f t="shared" ref="O3:O68" si="3">F3*0.1365</f>
        <v>887.25000000000011</v>
      </c>
      <c r="P3" s="251">
        <f t="shared" ref="P3:P68" si="4">F3*0.1</f>
        <v>650</v>
      </c>
      <c r="Q3" s="251">
        <f t="shared" ref="Q3:Q68" si="5">SUM(N3:P3)</f>
        <v>2187.25</v>
      </c>
      <c r="R3" s="251">
        <f t="shared" ref="R3:R68" si="6">F3+Q3</f>
        <v>8687.25</v>
      </c>
      <c r="S3" s="251">
        <f t="shared" ref="S3:S68" si="7">R3*D3</f>
        <v>43436.25</v>
      </c>
    </row>
    <row r="4" spans="2:19">
      <c r="B4" s="211">
        <v>3</v>
      </c>
      <c r="C4" s="212" t="s">
        <v>316</v>
      </c>
      <c r="D4" s="213">
        <v>1</v>
      </c>
      <c r="E4" s="211" t="s">
        <v>14</v>
      </c>
      <c r="F4" s="237">
        <v>17000</v>
      </c>
      <c r="G4" s="238">
        <f t="shared" si="0"/>
        <v>17000</v>
      </c>
      <c r="H4" s="239"/>
      <c r="I4" s="279"/>
      <c r="J4" s="271">
        <v>32000</v>
      </c>
      <c r="K4" s="280">
        <f t="shared" si="1"/>
        <v>32000</v>
      </c>
      <c r="L4" s="261"/>
      <c r="M4" s="261"/>
      <c r="N4" s="251">
        <f t="shared" si="2"/>
        <v>1700</v>
      </c>
      <c r="O4" s="251">
        <f t="shared" si="3"/>
        <v>2320.5</v>
      </c>
      <c r="P4" s="251">
        <f t="shared" si="4"/>
        <v>1700</v>
      </c>
      <c r="Q4" s="251">
        <f t="shared" si="5"/>
        <v>5720.5</v>
      </c>
      <c r="R4" s="251">
        <f t="shared" si="6"/>
        <v>22720.5</v>
      </c>
      <c r="S4" s="251">
        <f t="shared" si="7"/>
        <v>22720.5</v>
      </c>
    </row>
    <row r="5" spans="2:19">
      <c r="B5" s="211">
        <v>4</v>
      </c>
      <c r="C5" s="212" t="s">
        <v>331</v>
      </c>
      <c r="D5" s="213">
        <v>1</v>
      </c>
      <c r="E5" s="211" t="s">
        <v>14</v>
      </c>
      <c r="F5" s="237">
        <v>69700</v>
      </c>
      <c r="G5" s="238">
        <f t="shared" si="0"/>
        <v>69700</v>
      </c>
      <c r="H5" s="239"/>
      <c r="I5" s="279"/>
      <c r="J5" s="271">
        <v>97000</v>
      </c>
      <c r="K5" s="280">
        <f t="shared" si="1"/>
        <v>97000</v>
      </c>
      <c r="L5" s="261"/>
      <c r="M5" s="261"/>
      <c r="N5" s="251">
        <f t="shared" si="2"/>
        <v>6970</v>
      </c>
      <c r="O5" s="251">
        <f t="shared" si="3"/>
        <v>9514.0500000000011</v>
      </c>
      <c r="P5" s="251">
        <f t="shared" si="4"/>
        <v>6970</v>
      </c>
      <c r="Q5" s="251">
        <f t="shared" si="5"/>
        <v>23454.050000000003</v>
      </c>
      <c r="R5" s="251">
        <f t="shared" si="6"/>
        <v>93154.05</v>
      </c>
      <c r="S5" s="251">
        <f t="shared" si="7"/>
        <v>93154.05</v>
      </c>
    </row>
    <row r="6" spans="2:19">
      <c r="B6" s="211">
        <v>5</v>
      </c>
      <c r="C6" s="212" t="s">
        <v>332</v>
      </c>
      <c r="D6" s="213">
        <v>1</v>
      </c>
      <c r="E6" s="211" t="s">
        <v>14</v>
      </c>
      <c r="F6" s="237">
        <v>16900</v>
      </c>
      <c r="G6" s="238">
        <f t="shared" si="0"/>
        <v>16900</v>
      </c>
      <c r="H6" s="239"/>
      <c r="I6" s="279"/>
      <c r="J6" s="271">
        <v>29000</v>
      </c>
      <c r="K6" s="280">
        <f t="shared" si="1"/>
        <v>29000</v>
      </c>
      <c r="L6" s="261"/>
      <c r="M6" s="261"/>
      <c r="N6" s="251">
        <f t="shared" si="2"/>
        <v>1690</v>
      </c>
      <c r="O6" s="251">
        <f t="shared" si="3"/>
        <v>2306.8500000000004</v>
      </c>
      <c r="P6" s="251">
        <f t="shared" si="4"/>
        <v>1690</v>
      </c>
      <c r="Q6" s="251">
        <f t="shared" si="5"/>
        <v>5686.85</v>
      </c>
      <c r="R6" s="251">
        <f t="shared" si="6"/>
        <v>22586.85</v>
      </c>
      <c r="S6" s="251">
        <f t="shared" si="7"/>
        <v>22586.85</v>
      </c>
    </row>
    <row r="7" spans="2:19">
      <c r="B7" s="211">
        <v>6</v>
      </c>
      <c r="C7" s="212" t="s">
        <v>32</v>
      </c>
      <c r="D7" s="213">
        <v>1</v>
      </c>
      <c r="E7" s="211" t="s">
        <v>14</v>
      </c>
      <c r="F7" s="237">
        <v>12050</v>
      </c>
      <c r="G7" s="238">
        <f t="shared" si="0"/>
        <v>12050</v>
      </c>
      <c r="H7" s="239"/>
      <c r="I7" s="279"/>
      <c r="J7" s="271">
        <v>16200</v>
      </c>
      <c r="K7" s="280">
        <f t="shared" si="1"/>
        <v>16200</v>
      </c>
      <c r="L7" s="261"/>
      <c r="M7" s="261"/>
      <c r="N7" s="251">
        <f t="shared" si="2"/>
        <v>1205</v>
      </c>
      <c r="O7" s="251">
        <f t="shared" si="3"/>
        <v>1644.825</v>
      </c>
      <c r="P7" s="251">
        <f t="shared" si="4"/>
        <v>1205</v>
      </c>
      <c r="Q7" s="251">
        <f t="shared" si="5"/>
        <v>4054.8249999999998</v>
      </c>
      <c r="R7" s="251">
        <f t="shared" si="6"/>
        <v>16104.825000000001</v>
      </c>
      <c r="S7" s="251">
        <f t="shared" si="7"/>
        <v>16104.825000000001</v>
      </c>
    </row>
    <row r="8" spans="2:19">
      <c r="B8" s="211">
        <v>7</v>
      </c>
      <c r="C8" s="212" t="s">
        <v>392</v>
      </c>
      <c r="D8" s="213">
        <v>1</v>
      </c>
      <c r="E8" s="211" t="s">
        <v>14</v>
      </c>
      <c r="F8" s="237">
        <v>64407</v>
      </c>
      <c r="G8" s="238">
        <f t="shared" si="0"/>
        <v>64407</v>
      </c>
      <c r="H8" s="239"/>
      <c r="I8" s="279"/>
      <c r="J8" s="271"/>
      <c r="K8" s="280">
        <f t="shared" si="1"/>
        <v>0</v>
      </c>
      <c r="L8" s="261"/>
      <c r="M8" s="261"/>
      <c r="N8" s="251">
        <f t="shared" si="2"/>
        <v>6440.7000000000007</v>
      </c>
      <c r="O8" s="251">
        <f t="shared" si="3"/>
        <v>8791.5555000000004</v>
      </c>
      <c r="P8" s="251">
        <f t="shared" si="4"/>
        <v>6440.7000000000007</v>
      </c>
      <c r="Q8" s="251">
        <f t="shared" si="5"/>
        <v>21672.955500000004</v>
      </c>
      <c r="R8" s="251">
        <f t="shared" si="6"/>
        <v>86079.955500000011</v>
      </c>
      <c r="S8" s="251">
        <f t="shared" si="7"/>
        <v>86079.955500000011</v>
      </c>
    </row>
    <row r="9" spans="2:19">
      <c r="B9" s="211">
        <v>8</v>
      </c>
      <c r="C9" s="212" t="s">
        <v>334</v>
      </c>
      <c r="D9" s="213">
        <v>1</v>
      </c>
      <c r="E9" s="211" t="s">
        <v>14</v>
      </c>
      <c r="F9" s="237">
        <v>30550</v>
      </c>
      <c r="G9" s="238">
        <f t="shared" si="0"/>
        <v>30550</v>
      </c>
      <c r="H9" s="239"/>
      <c r="I9" s="279"/>
      <c r="J9" s="271">
        <v>46000</v>
      </c>
      <c r="K9" s="280">
        <f t="shared" si="1"/>
        <v>46000</v>
      </c>
      <c r="L9" s="261"/>
      <c r="M9" s="261"/>
      <c r="N9" s="251">
        <f t="shared" si="2"/>
        <v>3055</v>
      </c>
      <c r="O9" s="251">
        <f t="shared" si="3"/>
        <v>4170.0750000000007</v>
      </c>
      <c r="P9" s="251">
        <f t="shared" si="4"/>
        <v>3055</v>
      </c>
      <c r="Q9" s="251">
        <f t="shared" si="5"/>
        <v>10280.075000000001</v>
      </c>
      <c r="R9" s="251">
        <f t="shared" si="6"/>
        <v>40830.074999999997</v>
      </c>
      <c r="S9" s="251">
        <f t="shared" si="7"/>
        <v>40830.074999999997</v>
      </c>
    </row>
    <row r="10" spans="2:19">
      <c r="B10" s="211">
        <v>9</v>
      </c>
      <c r="C10" s="212" t="s">
        <v>336</v>
      </c>
      <c r="D10" s="213">
        <v>2</v>
      </c>
      <c r="E10" s="211" t="s">
        <v>14</v>
      </c>
      <c r="F10" s="237">
        <v>1350</v>
      </c>
      <c r="G10" s="238">
        <f t="shared" si="0"/>
        <v>2700</v>
      </c>
      <c r="H10" s="239"/>
      <c r="I10" s="279"/>
      <c r="J10" s="271">
        <v>2100</v>
      </c>
      <c r="K10" s="280">
        <f t="shared" si="1"/>
        <v>4200</v>
      </c>
      <c r="L10" s="261"/>
      <c r="M10" s="261"/>
      <c r="N10" s="251">
        <f t="shared" si="2"/>
        <v>135</v>
      </c>
      <c r="O10" s="251">
        <f t="shared" si="3"/>
        <v>184.27500000000001</v>
      </c>
      <c r="P10" s="251">
        <f t="shared" si="4"/>
        <v>135</v>
      </c>
      <c r="Q10" s="251">
        <f t="shared" si="5"/>
        <v>454.27499999999998</v>
      </c>
      <c r="R10" s="251">
        <f t="shared" si="6"/>
        <v>1804.2750000000001</v>
      </c>
      <c r="S10" s="251">
        <f t="shared" si="7"/>
        <v>3608.55</v>
      </c>
    </row>
    <row r="11" spans="2:19">
      <c r="B11" s="211">
        <v>10</v>
      </c>
      <c r="C11" s="212" t="s">
        <v>337</v>
      </c>
      <c r="D11" s="213">
        <v>2</v>
      </c>
      <c r="E11" s="211" t="s">
        <v>14</v>
      </c>
      <c r="F11" s="237">
        <v>9250</v>
      </c>
      <c r="G11" s="238">
        <f t="shared" si="0"/>
        <v>18500</v>
      </c>
      <c r="H11" s="239"/>
      <c r="I11" s="279"/>
      <c r="J11" s="271">
        <v>14500</v>
      </c>
      <c r="K11" s="280">
        <f t="shared" si="1"/>
        <v>29000</v>
      </c>
      <c r="L11" s="261"/>
      <c r="M11" s="261"/>
      <c r="N11" s="251">
        <f t="shared" si="2"/>
        <v>925</v>
      </c>
      <c r="O11" s="251">
        <f t="shared" si="3"/>
        <v>1262.625</v>
      </c>
      <c r="P11" s="251">
        <f t="shared" si="4"/>
        <v>925</v>
      </c>
      <c r="Q11" s="251">
        <f t="shared" si="5"/>
        <v>3112.625</v>
      </c>
      <c r="R11" s="251">
        <f t="shared" si="6"/>
        <v>12362.625</v>
      </c>
      <c r="S11" s="251">
        <f t="shared" si="7"/>
        <v>24725.25</v>
      </c>
    </row>
    <row r="12" spans="2:19">
      <c r="B12" s="211">
        <v>11</v>
      </c>
      <c r="C12" s="212" t="s">
        <v>338</v>
      </c>
      <c r="D12" s="213">
        <v>2</v>
      </c>
      <c r="E12" s="211" t="s">
        <v>14</v>
      </c>
      <c r="F12" s="237">
        <v>19182</v>
      </c>
      <c r="G12" s="238">
        <f t="shared" si="0"/>
        <v>38364</v>
      </c>
      <c r="H12" s="239"/>
      <c r="I12" s="279"/>
      <c r="J12" s="271">
        <v>22500</v>
      </c>
      <c r="K12" s="280">
        <f t="shared" si="1"/>
        <v>45000</v>
      </c>
      <c r="L12" s="261"/>
      <c r="M12" s="261"/>
      <c r="N12" s="251">
        <f t="shared" si="2"/>
        <v>1918.2</v>
      </c>
      <c r="O12" s="251">
        <f t="shared" si="3"/>
        <v>2618.3430000000003</v>
      </c>
      <c r="P12" s="251">
        <f t="shared" si="4"/>
        <v>1918.2</v>
      </c>
      <c r="Q12" s="251">
        <f t="shared" si="5"/>
        <v>6454.7430000000004</v>
      </c>
      <c r="R12" s="251">
        <f t="shared" si="6"/>
        <v>25636.743000000002</v>
      </c>
      <c r="S12" s="251">
        <f t="shared" si="7"/>
        <v>51273.486000000004</v>
      </c>
    </row>
    <row r="13" spans="2:19">
      <c r="B13" s="211">
        <v>12</v>
      </c>
      <c r="C13" s="214" t="s">
        <v>342</v>
      </c>
      <c r="D13" s="215">
        <v>5</v>
      </c>
      <c r="E13" s="211" t="s">
        <v>14</v>
      </c>
      <c r="F13" s="237">
        <v>10560</v>
      </c>
      <c r="G13" s="238">
        <f t="shared" si="0"/>
        <v>52800</v>
      </c>
      <c r="H13" s="239"/>
      <c r="I13" s="279"/>
      <c r="J13" s="271">
        <v>15400</v>
      </c>
      <c r="K13" s="280">
        <f t="shared" si="1"/>
        <v>77000</v>
      </c>
      <c r="L13" s="261"/>
      <c r="M13" s="261"/>
      <c r="N13" s="251">
        <f t="shared" si="2"/>
        <v>1056</v>
      </c>
      <c r="O13" s="251">
        <f t="shared" si="3"/>
        <v>1441.44</v>
      </c>
      <c r="P13" s="251">
        <f t="shared" si="4"/>
        <v>1056</v>
      </c>
      <c r="Q13" s="251">
        <f t="shared" si="5"/>
        <v>3553.44</v>
      </c>
      <c r="R13" s="251">
        <f t="shared" si="6"/>
        <v>14113.44</v>
      </c>
      <c r="S13" s="251">
        <f t="shared" si="7"/>
        <v>70567.199999999997</v>
      </c>
    </row>
    <row r="14" spans="2:19" ht="78">
      <c r="B14" s="266">
        <v>13</v>
      </c>
      <c r="C14" s="267" t="s">
        <v>386</v>
      </c>
      <c r="D14" s="219">
        <v>536.11</v>
      </c>
      <c r="E14" s="266" t="s">
        <v>62</v>
      </c>
      <c r="F14" s="268">
        <v>217</v>
      </c>
      <c r="G14" s="240">
        <f t="shared" si="0"/>
        <v>116335.87000000001</v>
      </c>
      <c r="H14" s="269" t="s">
        <v>279</v>
      </c>
      <c r="I14" s="283"/>
      <c r="J14" s="272">
        <f>F14*1.1</f>
        <v>238.70000000000002</v>
      </c>
      <c r="K14" s="280">
        <f t="shared" si="1"/>
        <v>127969.45700000001</v>
      </c>
      <c r="L14" s="270"/>
      <c r="M14" s="270"/>
      <c r="N14" s="251">
        <f t="shared" si="2"/>
        <v>21.700000000000003</v>
      </c>
      <c r="O14" s="251">
        <f t="shared" si="3"/>
        <v>29.620500000000003</v>
      </c>
      <c r="P14" s="251">
        <f t="shared" si="4"/>
        <v>21.700000000000003</v>
      </c>
      <c r="Q14" s="251">
        <f t="shared" si="5"/>
        <v>73.020500000000013</v>
      </c>
      <c r="R14" s="251">
        <f t="shared" si="6"/>
        <v>290.02050000000003</v>
      </c>
      <c r="S14" s="251">
        <f t="shared" si="7"/>
        <v>155482.89025500001</v>
      </c>
    </row>
    <row r="15" spans="2:19" ht="78">
      <c r="B15" s="211">
        <v>14</v>
      </c>
      <c r="C15" s="217" t="s">
        <v>317</v>
      </c>
      <c r="D15" s="250">
        <v>3.89</v>
      </c>
      <c r="E15" s="218" t="s">
        <v>57</v>
      </c>
      <c r="F15" s="240">
        <v>4036</v>
      </c>
      <c r="G15" s="238">
        <f t="shared" si="0"/>
        <v>15700.04</v>
      </c>
      <c r="H15" s="239"/>
      <c r="I15" s="279"/>
      <c r="J15" s="272">
        <f t="shared" ref="J15:J18" si="8">F15*1.1</f>
        <v>4439.6000000000004</v>
      </c>
      <c r="K15" s="280">
        <f t="shared" si="1"/>
        <v>17270.044000000002</v>
      </c>
      <c r="L15" s="270"/>
      <c r="M15" s="270"/>
      <c r="N15" s="251">
        <f t="shared" si="2"/>
        <v>403.6</v>
      </c>
      <c r="O15" s="251">
        <f t="shared" si="3"/>
        <v>550.91399999999999</v>
      </c>
      <c r="P15" s="251">
        <f t="shared" si="4"/>
        <v>403.6</v>
      </c>
      <c r="Q15" s="251">
        <f t="shared" si="5"/>
        <v>1358.114</v>
      </c>
      <c r="R15" s="251">
        <f t="shared" si="6"/>
        <v>5394.1139999999996</v>
      </c>
      <c r="S15" s="251">
        <f t="shared" si="7"/>
        <v>20983.103459999998</v>
      </c>
    </row>
    <row r="16" spans="2:19" ht="91">
      <c r="B16" s="211">
        <v>15</v>
      </c>
      <c r="C16" s="217" t="s">
        <v>318</v>
      </c>
      <c r="D16" s="249">
        <v>37.130000000000003</v>
      </c>
      <c r="E16" s="218" t="s">
        <v>62</v>
      </c>
      <c r="F16" s="238">
        <v>11</v>
      </c>
      <c r="G16" s="238">
        <f t="shared" si="0"/>
        <v>408.43</v>
      </c>
      <c r="H16" s="239"/>
      <c r="I16" s="279"/>
      <c r="J16" s="272">
        <f t="shared" si="8"/>
        <v>12.100000000000001</v>
      </c>
      <c r="K16" s="280">
        <f t="shared" si="1"/>
        <v>449.27300000000008</v>
      </c>
      <c r="L16" s="270"/>
      <c r="M16" s="270"/>
      <c r="N16" s="251">
        <f t="shared" si="2"/>
        <v>1.1000000000000001</v>
      </c>
      <c r="O16" s="251">
        <f t="shared" si="3"/>
        <v>1.5015000000000001</v>
      </c>
      <c r="P16" s="251">
        <f t="shared" si="4"/>
        <v>1.1000000000000001</v>
      </c>
      <c r="Q16" s="251">
        <f t="shared" si="5"/>
        <v>3.7015000000000002</v>
      </c>
      <c r="R16" s="251">
        <f t="shared" si="6"/>
        <v>14.701499999999999</v>
      </c>
      <c r="S16" s="251">
        <f t="shared" si="7"/>
        <v>545.86669500000005</v>
      </c>
    </row>
    <row r="17" spans="2:19" ht="91">
      <c r="B17" s="211">
        <v>16</v>
      </c>
      <c r="C17" s="217" t="s">
        <v>319</v>
      </c>
      <c r="D17" s="250">
        <v>0.7</v>
      </c>
      <c r="E17" s="218" t="s">
        <v>57</v>
      </c>
      <c r="F17" s="238">
        <v>4424</v>
      </c>
      <c r="G17" s="238">
        <f t="shared" si="0"/>
        <v>3096.7999999999997</v>
      </c>
      <c r="H17" s="239"/>
      <c r="I17" s="279"/>
      <c r="J17" s="272">
        <f t="shared" si="8"/>
        <v>4866.4000000000005</v>
      </c>
      <c r="K17" s="280">
        <f t="shared" si="1"/>
        <v>3406.48</v>
      </c>
      <c r="L17" s="270"/>
      <c r="M17" s="270"/>
      <c r="N17" s="251">
        <f t="shared" si="2"/>
        <v>442.40000000000003</v>
      </c>
      <c r="O17" s="251">
        <f t="shared" si="3"/>
        <v>603.87600000000009</v>
      </c>
      <c r="P17" s="251">
        <f t="shared" si="4"/>
        <v>442.40000000000003</v>
      </c>
      <c r="Q17" s="251">
        <f t="shared" si="5"/>
        <v>1488.6760000000002</v>
      </c>
      <c r="R17" s="251">
        <f t="shared" si="6"/>
        <v>5912.6760000000004</v>
      </c>
      <c r="S17" s="251">
        <f t="shared" si="7"/>
        <v>4138.8732</v>
      </c>
    </row>
    <row r="18" spans="2:19" ht="195">
      <c r="B18" s="211">
        <v>17</v>
      </c>
      <c r="C18" s="220" t="s">
        <v>295</v>
      </c>
      <c r="D18" s="249">
        <v>107.18</v>
      </c>
      <c r="E18" s="218" t="s">
        <v>60</v>
      </c>
      <c r="F18" s="238">
        <v>156</v>
      </c>
      <c r="G18" s="238">
        <f t="shared" si="0"/>
        <v>16720.080000000002</v>
      </c>
      <c r="H18" s="239"/>
      <c r="I18" s="279"/>
      <c r="J18" s="272">
        <f t="shared" si="8"/>
        <v>171.60000000000002</v>
      </c>
      <c r="K18" s="280">
        <f t="shared" si="1"/>
        <v>18392.088000000003</v>
      </c>
      <c r="L18" s="270"/>
      <c r="M18" s="270"/>
      <c r="N18" s="251">
        <f t="shared" si="2"/>
        <v>15.600000000000001</v>
      </c>
      <c r="O18" s="251">
        <f t="shared" si="3"/>
        <v>21.294</v>
      </c>
      <c r="P18" s="251">
        <f t="shared" si="4"/>
        <v>15.600000000000001</v>
      </c>
      <c r="Q18" s="251">
        <f t="shared" si="5"/>
        <v>52.494000000000007</v>
      </c>
      <c r="R18" s="251">
        <f t="shared" si="6"/>
        <v>208.494</v>
      </c>
      <c r="S18" s="251">
        <f t="shared" si="7"/>
        <v>22346.386920000001</v>
      </c>
    </row>
    <row r="19" spans="2:19" ht="351">
      <c r="B19" s="211">
        <v>18</v>
      </c>
      <c r="C19" s="221" t="s">
        <v>15</v>
      </c>
      <c r="D19" s="216">
        <v>23.463000000000001</v>
      </c>
      <c r="E19" s="218" t="s">
        <v>62</v>
      </c>
      <c r="F19" s="241">
        <v>9241</v>
      </c>
      <c r="G19" s="238">
        <f>D19*F19</f>
        <v>216821.58300000001</v>
      </c>
      <c r="H19" s="239" t="s">
        <v>514</v>
      </c>
      <c r="I19" s="279"/>
      <c r="J19" s="271">
        <v>10165</v>
      </c>
      <c r="K19" s="280">
        <f t="shared" si="1"/>
        <v>238501.39500000002</v>
      </c>
      <c r="L19" s="261"/>
      <c r="M19" s="261"/>
      <c r="N19" s="251">
        <f t="shared" si="2"/>
        <v>924.1</v>
      </c>
      <c r="O19" s="251">
        <f t="shared" si="3"/>
        <v>1261.3965000000001</v>
      </c>
      <c r="P19" s="251">
        <f t="shared" si="4"/>
        <v>924.1</v>
      </c>
      <c r="Q19" s="251">
        <f t="shared" si="5"/>
        <v>3109.5965000000001</v>
      </c>
      <c r="R19" s="251">
        <f t="shared" si="6"/>
        <v>12350.5965</v>
      </c>
      <c r="S19" s="251">
        <f t="shared" si="7"/>
        <v>289782.04567949998</v>
      </c>
    </row>
    <row r="20" spans="2:19" ht="195">
      <c r="B20" s="211">
        <v>19</v>
      </c>
      <c r="C20" s="222" t="s">
        <v>63</v>
      </c>
      <c r="D20" s="216">
        <v>10.17</v>
      </c>
      <c r="E20" s="218" t="s">
        <v>62</v>
      </c>
      <c r="F20" s="238">
        <v>6528</v>
      </c>
      <c r="G20" s="238">
        <f t="shared" si="0"/>
        <v>66389.759999999995</v>
      </c>
      <c r="H20" s="239"/>
      <c r="I20" s="279"/>
      <c r="J20" s="271">
        <f>F20*1.1</f>
        <v>7180.8</v>
      </c>
      <c r="K20" s="280">
        <f t="shared" si="1"/>
        <v>73028.736000000004</v>
      </c>
      <c r="L20" s="261"/>
      <c r="M20" s="261"/>
      <c r="N20" s="251">
        <f t="shared" si="2"/>
        <v>652.80000000000007</v>
      </c>
      <c r="O20" s="251">
        <f t="shared" si="3"/>
        <v>891.07200000000012</v>
      </c>
      <c r="P20" s="251">
        <f t="shared" si="4"/>
        <v>652.80000000000007</v>
      </c>
      <c r="Q20" s="251">
        <f t="shared" si="5"/>
        <v>2196.6720000000005</v>
      </c>
      <c r="R20" s="251">
        <f t="shared" si="6"/>
        <v>8724.6720000000005</v>
      </c>
      <c r="S20" s="251">
        <f t="shared" si="7"/>
        <v>88729.914239999998</v>
      </c>
    </row>
    <row r="21" spans="2:19" ht="26">
      <c r="B21" s="211">
        <v>20</v>
      </c>
      <c r="C21" s="214" t="s">
        <v>22</v>
      </c>
      <c r="D21" s="216">
        <v>1</v>
      </c>
      <c r="E21" s="218" t="s">
        <v>14</v>
      </c>
      <c r="F21" s="238">
        <f>57150+15000</f>
        <v>72150</v>
      </c>
      <c r="G21" s="238">
        <f t="shared" si="0"/>
        <v>72150</v>
      </c>
      <c r="H21" s="239" t="s">
        <v>515</v>
      </c>
      <c r="I21" s="279"/>
      <c r="J21" s="271">
        <f>F21*1.25</f>
        <v>90187.5</v>
      </c>
      <c r="K21" s="280">
        <f t="shared" si="1"/>
        <v>90187.5</v>
      </c>
      <c r="L21" s="261"/>
      <c r="M21" s="261"/>
      <c r="N21" s="251">
        <f t="shared" si="2"/>
        <v>7215</v>
      </c>
      <c r="O21" s="251">
        <f t="shared" si="3"/>
        <v>9848.4750000000004</v>
      </c>
      <c r="P21" s="251">
        <f t="shared" si="4"/>
        <v>7215</v>
      </c>
      <c r="Q21" s="251">
        <f t="shared" si="5"/>
        <v>24278.474999999999</v>
      </c>
      <c r="R21" s="251">
        <f t="shared" si="6"/>
        <v>96428.475000000006</v>
      </c>
      <c r="S21" s="251">
        <f t="shared" si="7"/>
        <v>96428.475000000006</v>
      </c>
    </row>
    <row r="22" spans="2:19">
      <c r="B22" s="211">
        <v>21</v>
      </c>
      <c r="C22" s="222" t="s">
        <v>303</v>
      </c>
      <c r="D22" s="216">
        <v>5</v>
      </c>
      <c r="E22" s="218" t="s">
        <v>14</v>
      </c>
      <c r="F22" s="238">
        <v>340</v>
      </c>
      <c r="G22" s="238">
        <f t="shared" si="0"/>
        <v>1700</v>
      </c>
      <c r="H22" s="239"/>
      <c r="I22" s="279"/>
      <c r="J22" s="271">
        <v>510</v>
      </c>
      <c r="K22" s="280">
        <f t="shared" si="1"/>
        <v>2550</v>
      </c>
      <c r="L22" s="261"/>
      <c r="M22" s="261"/>
      <c r="N22" s="251">
        <f t="shared" si="2"/>
        <v>34</v>
      </c>
      <c r="O22" s="251">
        <f t="shared" si="3"/>
        <v>46.410000000000004</v>
      </c>
      <c r="P22" s="251">
        <f t="shared" si="4"/>
        <v>34</v>
      </c>
      <c r="Q22" s="251">
        <f t="shared" si="5"/>
        <v>114.41</v>
      </c>
      <c r="R22" s="251">
        <f t="shared" si="6"/>
        <v>454.40999999999997</v>
      </c>
      <c r="S22" s="251">
        <f t="shared" si="7"/>
        <v>2272.0499999999997</v>
      </c>
    </row>
    <row r="23" spans="2:19">
      <c r="B23" s="211">
        <v>22</v>
      </c>
      <c r="C23" s="223" t="s">
        <v>304</v>
      </c>
      <c r="D23" s="216">
        <v>5</v>
      </c>
      <c r="E23" s="218" t="s">
        <v>14</v>
      </c>
      <c r="F23" s="242">
        <v>600</v>
      </c>
      <c r="G23" s="238">
        <f t="shared" si="0"/>
        <v>3000</v>
      </c>
      <c r="H23" s="239"/>
      <c r="I23" s="279"/>
      <c r="J23" s="271">
        <v>750</v>
      </c>
      <c r="K23" s="280">
        <f t="shared" si="1"/>
        <v>3750</v>
      </c>
      <c r="L23" s="261"/>
      <c r="M23" s="261"/>
      <c r="N23" s="251">
        <f t="shared" si="2"/>
        <v>60</v>
      </c>
      <c r="O23" s="251">
        <f t="shared" si="3"/>
        <v>81.900000000000006</v>
      </c>
      <c r="P23" s="251">
        <f t="shared" si="4"/>
        <v>60</v>
      </c>
      <c r="Q23" s="251">
        <f t="shared" si="5"/>
        <v>201.9</v>
      </c>
      <c r="R23" s="251">
        <f t="shared" si="6"/>
        <v>801.9</v>
      </c>
      <c r="S23" s="251">
        <f t="shared" si="7"/>
        <v>4009.5</v>
      </c>
    </row>
    <row r="24" spans="2:19">
      <c r="B24" s="211">
        <v>23</v>
      </c>
      <c r="C24" s="222" t="s">
        <v>343</v>
      </c>
      <c r="D24" s="216">
        <v>2</v>
      </c>
      <c r="E24" s="218" t="s">
        <v>14</v>
      </c>
      <c r="F24" s="238">
        <v>4000</v>
      </c>
      <c r="G24" s="238">
        <f t="shared" si="0"/>
        <v>8000</v>
      </c>
      <c r="H24" s="239"/>
      <c r="I24" s="279"/>
      <c r="J24" s="271">
        <v>6000</v>
      </c>
      <c r="K24" s="280">
        <f t="shared" si="1"/>
        <v>12000</v>
      </c>
      <c r="L24" s="261"/>
      <c r="M24" s="261"/>
      <c r="N24" s="251">
        <f t="shared" si="2"/>
        <v>400</v>
      </c>
      <c r="O24" s="251">
        <f t="shared" si="3"/>
        <v>546</v>
      </c>
      <c r="P24" s="251">
        <f t="shared" si="4"/>
        <v>400</v>
      </c>
      <c r="Q24" s="251">
        <f t="shared" si="5"/>
        <v>1346</v>
      </c>
      <c r="R24" s="251">
        <f t="shared" si="6"/>
        <v>5346</v>
      </c>
      <c r="S24" s="251">
        <f t="shared" si="7"/>
        <v>10692</v>
      </c>
    </row>
    <row r="25" spans="2:19">
      <c r="B25" s="211">
        <v>24</v>
      </c>
      <c r="C25" s="223" t="s">
        <v>344</v>
      </c>
      <c r="D25" s="216">
        <v>31</v>
      </c>
      <c r="E25" s="218" t="s">
        <v>14</v>
      </c>
      <c r="F25" s="242">
        <v>400</v>
      </c>
      <c r="G25" s="238">
        <f t="shared" si="0"/>
        <v>12400</v>
      </c>
      <c r="H25" s="239"/>
      <c r="I25" s="279"/>
      <c r="J25" s="271">
        <v>600</v>
      </c>
      <c r="K25" s="280">
        <f t="shared" si="1"/>
        <v>18600</v>
      </c>
      <c r="L25" s="261"/>
      <c r="M25" s="261"/>
      <c r="N25" s="251">
        <f t="shared" si="2"/>
        <v>40</v>
      </c>
      <c r="O25" s="251">
        <f t="shared" si="3"/>
        <v>54.6</v>
      </c>
      <c r="P25" s="251">
        <f t="shared" si="4"/>
        <v>40</v>
      </c>
      <c r="Q25" s="251">
        <f t="shared" si="5"/>
        <v>134.6</v>
      </c>
      <c r="R25" s="251">
        <f t="shared" si="6"/>
        <v>534.6</v>
      </c>
      <c r="S25" s="251">
        <f t="shared" si="7"/>
        <v>16572.600000000002</v>
      </c>
    </row>
    <row r="26" spans="2:19">
      <c r="B26" s="211">
        <v>25</v>
      </c>
      <c r="C26" s="222" t="s">
        <v>345</v>
      </c>
      <c r="D26" s="216">
        <v>14</v>
      </c>
      <c r="E26" s="218" t="s">
        <v>14</v>
      </c>
      <c r="F26" s="238">
        <v>4500</v>
      </c>
      <c r="G26" s="238">
        <f t="shared" si="0"/>
        <v>63000</v>
      </c>
      <c r="H26" s="239"/>
      <c r="I26" s="279"/>
      <c r="J26" s="271">
        <v>9000</v>
      </c>
      <c r="K26" s="280">
        <f t="shared" si="1"/>
        <v>126000</v>
      </c>
      <c r="L26" s="261"/>
      <c r="M26" s="261"/>
      <c r="N26" s="251">
        <f t="shared" si="2"/>
        <v>450</v>
      </c>
      <c r="O26" s="251">
        <f t="shared" si="3"/>
        <v>614.25</v>
      </c>
      <c r="P26" s="251">
        <f t="shared" si="4"/>
        <v>450</v>
      </c>
      <c r="Q26" s="251">
        <f t="shared" si="5"/>
        <v>1514.25</v>
      </c>
      <c r="R26" s="251">
        <f t="shared" si="6"/>
        <v>6014.25</v>
      </c>
      <c r="S26" s="251">
        <f t="shared" si="7"/>
        <v>84199.5</v>
      </c>
    </row>
    <row r="27" spans="2:19" ht="78">
      <c r="B27" s="211">
        <v>26</v>
      </c>
      <c r="C27" s="224" t="s">
        <v>519</v>
      </c>
      <c r="D27" s="216">
        <v>7.2</v>
      </c>
      <c r="E27" s="218" t="s">
        <v>62</v>
      </c>
      <c r="F27" s="238">
        <v>2454</v>
      </c>
      <c r="G27" s="238">
        <f>D27*F27</f>
        <v>17668.8</v>
      </c>
      <c r="H27" s="239"/>
      <c r="I27" s="279"/>
      <c r="J27" s="271"/>
      <c r="K27" s="280">
        <f t="shared" si="1"/>
        <v>0</v>
      </c>
      <c r="L27" s="261"/>
      <c r="M27" s="261"/>
      <c r="N27" s="251">
        <f t="shared" si="2"/>
        <v>245.4</v>
      </c>
      <c r="O27" s="251">
        <f t="shared" si="3"/>
        <v>334.971</v>
      </c>
      <c r="P27" s="251">
        <f t="shared" si="4"/>
        <v>245.4</v>
      </c>
      <c r="Q27" s="251">
        <f t="shared" si="5"/>
        <v>825.77099999999996</v>
      </c>
      <c r="R27" s="251">
        <f t="shared" si="6"/>
        <v>3279.7709999999997</v>
      </c>
      <c r="S27" s="251">
        <f t="shared" si="7"/>
        <v>23614.351199999997</v>
      </c>
    </row>
    <row r="28" spans="2:19">
      <c r="B28" s="211">
        <v>27</v>
      </c>
      <c r="C28" s="233" t="s">
        <v>349</v>
      </c>
      <c r="D28" s="216">
        <v>89.11</v>
      </c>
      <c r="E28" s="218" t="s">
        <v>62</v>
      </c>
      <c r="F28" s="238">
        <v>1625</v>
      </c>
      <c r="G28" s="238">
        <f t="shared" si="0"/>
        <v>144803.75</v>
      </c>
      <c r="H28" s="239"/>
      <c r="I28" s="279"/>
      <c r="J28" s="271">
        <v>3250</v>
      </c>
      <c r="K28" s="280">
        <f t="shared" si="1"/>
        <v>289607.5</v>
      </c>
      <c r="L28" s="261"/>
      <c r="M28" s="261"/>
      <c r="N28" s="251">
        <f t="shared" si="2"/>
        <v>162.5</v>
      </c>
      <c r="O28" s="251">
        <f t="shared" si="3"/>
        <v>221.81250000000003</v>
      </c>
      <c r="P28" s="251">
        <f t="shared" si="4"/>
        <v>162.5</v>
      </c>
      <c r="Q28" s="251">
        <f t="shared" si="5"/>
        <v>546.8125</v>
      </c>
      <c r="R28" s="251">
        <f t="shared" si="6"/>
        <v>2171.8125</v>
      </c>
      <c r="S28" s="251">
        <f t="shared" si="7"/>
        <v>193530.21187500001</v>
      </c>
    </row>
    <row r="29" spans="2:19">
      <c r="B29" s="252">
        <v>28</v>
      </c>
      <c r="C29" s="273" t="s">
        <v>247</v>
      </c>
      <c r="D29" s="249">
        <v>7.14</v>
      </c>
      <c r="E29" s="234" t="s">
        <v>62</v>
      </c>
      <c r="F29" s="242">
        <v>4627</v>
      </c>
      <c r="G29" s="242">
        <f t="shared" si="0"/>
        <v>33036.78</v>
      </c>
      <c r="H29" s="274"/>
      <c r="I29" s="284"/>
      <c r="J29" s="275">
        <v>3250</v>
      </c>
      <c r="K29" s="275">
        <f t="shared" si="1"/>
        <v>23205</v>
      </c>
      <c r="L29" s="261"/>
      <c r="M29" s="261"/>
      <c r="N29" s="251">
        <f t="shared" si="2"/>
        <v>462.70000000000005</v>
      </c>
      <c r="O29" s="251">
        <f t="shared" si="3"/>
        <v>631.58550000000002</v>
      </c>
      <c r="P29" s="251">
        <f t="shared" si="4"/>
        <v>462.70000000000005</v>
      </c>
      <c r="Q29" s="251">
        <f t="shared" si="5"/>
        <v>1556.9855</v>
      </c>
      <c r="R29" s="251">
        <f t="shared" si="6"/>
        <v>6183.9854999999998</v>
      </c>
      <c r="S29" s="251">
        <f t="shared" si="7"/>
        <v>44153.656469999994</v>
      </c>
    </row>
    <row r="30" spans="2:19" ht="156">
      <c r="B30" s="210"/>
      <c r="C30" s="214" t="s">
        <v>540</v>
      </c>
      <c r="D30" s="209"/>
      <c r="E30" s="209" t="s">
        <v>60</v>
      </c>
      <c r="F30" s="243">
        <v>749</v>
      </c>
      <c r="G30" s="243"/>
      <c r="H30" s="244"/>
      <c r="I30" s="277"/>
      <c r="J30" s="278"/>
      <c r="K30" s="278"/>
    </row>
    <row r="31" spans="2:19" ht="221">
      <c r="B31" s="210"/>
      <c r="C31" s="214" t="s">
        <v>541</v>
      </c>
      <c r="D31" s="216">
        <v>7.14</v>
      </c>
      <c r="E31" s="218" t="s">
        <v>62</v>
      </c>
      <c r="F31" s="238">
        <v>1937</v>
      </c>
      <c r="G31" s="238">
        <f t="shared" ref="G31" si="9">D31*F31</f>
        <v>13830.179999999998</v>
      </c>
      <c r="H31" s="239"/>
      <c r="I31" s="279"/>
      <c r="J31" s="287">
        <v>3250</v>
      </c>
      <c r="K31" s="280">
        <f t="shared" ref="K31" si="10">J31*D31</f>
        <v>23205</v>
      </c>
    </row>
    <row r="32" spans="2:19" ht="65">
      <c r="B32" s="211">
        <v>29</v>
      </c>
      <c r="C32" s="225" t="s">
        <v>520</v>
      </c>
      <c r="D32" s="216">
        <v>18.579999999999998</v>
      </c>
      <c r="E32" s="218" t="s">
        <v>62</v>
      </c>
      <c r="F32" s="238">
        <v>10334</v>
      </c>
      <c r="G32" s="238">
        <f t="shared" si="0"/>
        <v>192005.71999999997</v>
      </c>
      <c r="H32" s="239"/>
      <c r="I32" s="279"/>
      <c r="J32" s="271">
        <f>F32*1.5</f>
        <v>15501</v>
      </c>
      <c r="K32" s="280">
        <f>J32*D32</f>
        <v>288008.57999999996</v>
      </c>
      <c r="L32" s="261"/>
      <c r="M32" s="261"/>
      <c r="N32" s="251">
        <f t="shared" si="2"/>
        <v>1033.4000000000001</v>
      </c>
      <c r="O32" s="251">
        <f t="shared" si="3"/>
        <v>1410.5910000000001</v>
      </c>
      <c r="P32" s="251">
        <f t="shared" si="4"/>
        <v>1033.4000000000001</v>
      </c>
      <c r="Q32" s="251">
        <f t="shared" si="5"/>
        <v>3477.3910000000001</v>
      </c>
      <c r="R32" s="251">
        <f t="shared" si="6"/>
        <v>13811.391</v>
      </c>
      <c r="S32" s="251">
        <f t="shared" si="7"/>
        <v>256615.64477999997</v>
      </c>
    </row>
    <row r="33" spans="2:19" ht="260">
      <c r="B33" s="211">
        <v>30</v>
      </c>
      <c r="C33" s="225" t="s">
        <v>521</v>
      </c>
      <c r="D33" s="216">
        <v>7.58</v>
      </c>
      <c r="E33" s="218" t="s">
        <v>62</v>
      </c>
      <c r="F33" s="238">
        <v>11634</v>
      </c>
      <c r="G33" s="238">
        <f t="shared" si="0"/>
        <v>88185.72</v>
      </c>
      <c r="H33" s="239"/>
      <c r="I33" s="279"/>
      <c r="J33" s="271">
        <f t="shared" ref="J33:J89" si="11">F33*1.5</f>
        <v>17451</v>
      </c>
      <c r="K33" s="280">
        <f t="shared" si="1"/>
        <v>132278.57999999999</v>
      </c>
      <c r="L33" s="261"/>
      <c r="M33" s="261"/>
      <c r="N33" s="251">
        <f t="shared" si="2"/>
        <v>1163.4000000000001</v>
      </c>
      <c r="O33" s="251">
        <f t="shared" si="3"/>
        <v>1588.0410000000002</v>
      </c>
      <c r="P33" s="251">
        <f t="shared" si="4"/>
        <v>1163.4000000000001</v>
      </c>
      <c r="Q33" s="251">
        <f t="shared" si="5"/>
        <v>3914.8410000000003</v>
      </c>
      <c r="R33" s="251">
        <f t="shared" si="6"/>
        <v>15548.841</v>
      </c>
      <c r="S33" s="251">
        <f t="shared" si="7"/>
        <v>117860.21478000001</v>
      </c>
    </row>
    <row r="34" spans="2:19" ht="65">
      <c r="B34" s="211">
        <v>31</v>
      </c>
      <c r="C34" s="225" t="s">
        <v>522</v>
      </c>
      <c r="D34" s="216">
        <v>2.58</v>
      </c>
      <c r="E34" s="218" t="s">
        <v>62</v>
      </c>
      <c r="F34" s="238">
        <v>7556</v>
      </c>
      <c r="G34" s="238">
        <f t="shared" si="0"/>
        <v>19494.48</v>
      </c>
      <c r="H34" s="239"/>
      <c r="I34" s="279"/>
      <c r="J34" s="271">
        <f t="shared" si="11"/>
        <v>11334</v>
      </c>
      <c r="K34" s="280">
        <f t="shared" si="1"/>
        <v>29241.72</v>
      </c>
      <c r="L34" s="261"/>
      <c r="M34" s="261"/>
      <c r="N34" s="251">
        <f t="shared" si="2"/>
        <v>755.6</v>
      </c>
      <c r="O34" s="251">
        <f t="shared" si="3"/>
        <v>1031.394</v>
      </c>
      <c r="P34" s="251">
        <f t="shared" si="4"/>
        <v>755.6</v>
      </c>
      <c r="Q34" s="251">
        <f t="shared" si="5"/>
        <v>2542.5940000000001</v>
      </c>
      <c r="R34" s="251">
        <f t="shared" si="6"/>
        <v>10098.594000000001</v>
      </c>
      <c r="S34" s="251">
        <f t="shared" si="7"/>
        <v>26054.372520000004</v>
      </c>
    </row>
    <row r="35" spans="2:19" ht="65">
      <c r="B35" s="211">
        <v>32</v>
      </c>
      <c r="C35" s="225" t="s">
        <v>523</v>
      </c>
      <c r="D35" s="216">
        <v>7.5</v>
      </c>
      <c r="E35" s="218" t="s">
        <v>62</v>
      </c>
      <c r="F35" s="238">
        <v>6999</v>
      </c>
      <c r="G35" s="238">
        <f t="shared" si="0"/>
        <v>52492.5</v>
      </c>
      <c r="H35" s="239"/>
      <c r="I35" s="279"/>
      <c r="J35" s="271">
        <f t="shared" si="11"/>
        <v>10498.5</v>
      </c>
      <c r="K35" s="280">
        <f t="shared" si="1"/>
        <v>78738.75</v>
      </c>
      <c r="L35" s="261"/>
      <c r="M35" s="261"/>
      <c r="N35" s="251">
        <f t="shared" si="2"/>
        <v>699.90000000000009</v>
      </c>
      <c r="O35" s="251">
        <f t="shared" si="3"/>
        <v>955.36350000000004</v>
      </c>
      <c r="P35" s="251">
        <f t="shared" si="4"/>
        <v>699.90000000000009</v>
      </c>
      <c r="Q35" s="251">
        <f t="shared" si="5"/>
        <v>2355.1635000000001</v>
      </c>
      <c r="R35" s="251">
        <f t="shared" si="6"/>
        <v>9354.1635000000006</v>
      </c>
      <c r="S35" s="251">
        <f t="shared" si="7"/>
        <v>70156.226250000007</v>
      </c>
    </row>
    <row r="36" spans="2:19" ht="78">
      <c r="B36" s="211">
        <v>33</v>
      </c>
      <c r="C36" s="225" t="s">
        <v>524</v>
      </c>
      <c r="D36" s="216">
        <v>1</v>
      </c>
      <c r="E36" s="218" t="s">
        <v>14</v>
      </c>
      <c r="F36" s="238">
        <v>9200</v>
      </c>
      <c r="G36" s="238">
        <f t="shared" si="0"/>
        <v>9200</v>
      </c>
      <c r="H36" s="239"/>
      <c r="I36" s="279"/>
      <c r="J36" s="271">
        <f t="shared" si="11"/>
        <v>13800</v>
      </c>
      <c r="K36" s="280">
        <f t="shared" si="1"/>
        <v>13800</v>
      </c>
      <c r="L36" s="261"/>
      <c r="M36" s="261"/>
      <c r="N36" s="251">
        <f t="shared" si="2"/>
        <v>920</v>
      </c>
      <c r="O36" s="251">
        <f t="shared" si="3"/>
        <v>1255.8000000000002</v>
      </c>
      <c r="P36" s="251">
        <f t="shared" si="4"/>
        <v>920</v>
      </c>
      <c r="Q36" s="251">
        <f t="shared" si="5"/>
        <v>3095.8</v>
      </c>
      <c r="R36" s="251">
        <f t="shared" si="6"/>
        <v>12295.8</v>
      </c>
      <c r="S36" s="251">
        <f t="shared" si="7"/>
        <v>12295.8</v>
      </c>
    </row>
    <row r="37" spans="2:19" ht="52">
      <c r="B37" s="211">
        <v>34</v>
      </c>
      <c r="C37" s="225" t="s">
        <v>525</v>
      </c>
      <c r="D37" s="216">
        <v>4.45</v>
      </c>
      <c r="E37" s="218" t="s">
        <v>62</v>
      </c>
      <c r="F37" s="238">
        <v>4315</v>
      </c>
      <c r="G37" s="238">
        <f t="shared" si="0"/>
        <v>19201.75</v>
      </c>
      <c r="H37" s="239"/>
      <c r="I37" s="279"/>
      <c r="J37" s="271">
        <f t="shared" si="11"/>
        <v>6472.5</v>
      </c>
      <c r="K37" s="280">
        <f t="shared" si="1"/>
        <v>28802.625</v>
      </c>
      <c r="L37" s="261"/>
      <c r="M37" s="261"/>
      <c r="N37" s="251">
        <f t="shared" si="2"/>
        <v>431.5</v>
      </c>
      <c r="O37" s="251">
        <f t="shared" si="3"/>
        <v>588.99750000000006</v>
      </c>
      <c r="P37" s="251">
        <f t="shared" si="4"/>
        <v>431.5</v>
      </c>
      <c r="Q37" s="251">
        <f t="shared" si="5"/>
        <v>1451.9974999999999</v>
      </c>
      <c r="R37" s="251">
        <f t="shared" si="6"/>
        <v>5766.9974999999995</v>
      </c>
      <c r="S37" s="251">
        <f t="shared" si="7"/>
        <v>25663.138875000001</v>
      </c>
    </row>
    <row r="38" spans="2:19" ht="26">
      <c r="B38" s="211">
        <v>35</v>
      </c>
      <c r="C38" s="225" t="s">
        <v>526</v>
      </c>
      <c r="D38" s="216">
        <v>38</v>
      </c>
      <c r="E38" s="218" t="s">
        <v>60</v>
      </c>
      <c r="F38" s="238">
        <v>152</v>
      </c>
      <c r="G38" s="238">
        <f t="shared" si="0"/>
        <v>5776</v>
      </c>
      <c r="H38" s="239"/>
      <c r="I38" s="279"/>
      <c r="J38" s="271">
        <f t="shared" si="11"/>
        <v>228</v>
      </c>
      <c r="K38" s="280">
        <f t="shared" si="1"/>
        <v>8664</v>
      </c>
      <c r="L38" s="261"/>
      <c r="M38" s="261"/>
      <c r="N38" s="251">
        <f t="shared" si="2"/>
        <v>15.200000000000001</v>
      </c>
      <c r="O38" s="251">
        <f t="shared" si="3"/>
        <v>20.748000000000001</v>
      </c>
      <c r="P38" s="251">
        <f t="shared" si="4"/>
        <v>15.200000000000001</v>
      </c>
      <c r="Q38" s="251">
        <f t="shared" si="5"/>
        <v>51.148000000000003</v>
      </c>
      <c r="R38" s="251">
        <f t="shared" si="6"/>
        <v>203.148</v>
      </c>
      <c r="S38" s="251">
        <f t="shared" si="7"/>
        <v>7719.6239999999998</v>
      </c>
    </row>
    <row r="39" spans="2:19" ht="26">
      <c r="B39" s="211">
        <v>36</v>
      </c>
      <c r="C39" s="225" t="s">
        <v>527</v>
      </c>
      <c r="D39" s="216">
        <v>7</v>
      </c>
      <c r="E39" s="218" t="s">
        <v>14</v>
      </c>
      <c r="F39" s="238">
        <v>1000</v>
      </c>
      <c r="G39" s="238">
        <f t="shared" si="0"/>
        <v>7000</v>
      </c>
      <c r="H39" s="239"/>
      <c r="I39" s="279"/>
      <c r="J39" s="271">
        <f t="shared" si="11"/>
        <v>1500</v>
      </c>
      <c r="K39" s="280">
        <f t="shared" si="1"/>
        <v>10500</v>
      </c>
      <c r="L39" s="261"/>
      <c r="M39" s="261"/>
      <c r="N39" s="251">
        <f t="shared" si="2"/>
        <v>100</v>
      </c>
      <c r="O39" s="251">
        <f t="shared" si="3"/>
        <v>136.5</v>
      </c>
      <c r="P39" s="251">
        <f t="shared" si="4"/>
        <v>100</v>
      </c>
      <c r="Q39" s="251">
        <f t="shared" si="5"/>
        <v>336.5</v>
      </c>
      <c r="R39" s="251">
        <f t="shared" si="6"/>
        <v>1336.5</v>
      </c>
      <c r="S39" s="251">
        <f t="shared" si="7"/>
        <v>9355.5</v>
      </c>
    </row>
    <row r="40" spans="2:19" ht="52">
      <c r="B40" s="211">
        <v>37</v>
      </c>
      <c r="C40" s="225" t="s">
        <v>528</v>
      </c>
      <c r="D40" s="216">
        <v>11.58</v>
      </c>
      <c r="E40" s="218" t="s">
        <v>60</v>
      </c>
      <c r="F40" s="238">
        <v>1444</v>
      </c>
      <c r="G40" s="238">
        <f t="shared" si="0"/>
        <v>16721.52</v>
      </c>
      <c r="H40" s="239"/>
      <c r="I40" s="279"/>
      <c r="J40" s="271">
        <f t="shared" si="11"/>
        <v>2166</v>
      </c>
      <c r="K40" s="280">
        <f t="shared" si="1"/>
        <v>25082.28</v>
      </c>
      <c r="L40" s="261"/>
      <c r="M40" s="261"/>
      <c r="N40" s="251">
        <f t="shared" si="2"/>
        <v>144.4</v>
      </c>
      <c r="O40" s="251">
        <f t="shared" si="3"/>
        <v>197.10600000000002</v>
      </c>
      <c r="P40" s="251">
        <f t="shared" si="4"/>
        <v>144.4</v>
      </c>
      <c r="Q40" s="251">
        <f t="shared" si="5"/>
        <v>485.90600000000006</v>
      </c>
      <c r="R40" s="251">
        <f t="shared" si="6"/>
        <v>1929.9059999999999</v>
      </c>
      <c r="S40" s="251">
        <f t="shared" si="7"/>
        <v>22348.31148</v>
      </c>
    </row>
    <row r="41" spans="2:19" ht="39">
      <c r="B41" s="211">
        <v>38</v>
      </c>
      <c r="C41" s="225" t="s">
        <v>363</v>
      </c>
      <c r="D41" s="216">
        <v>1.32</v>
      </c>
      <c r="E41" s="218" t="s">
        <v>62</v>
      </c>
      <c r="F41" s="238">
        <v>7341</v>
      </c>
      <c r="G41" s="238">
        <f t="shared" si="0"/>
        <v>9690.1200000000008</v>
      </c>
      <c r="H41" s="239"/>
      <c r="I41" s="279"/>
      <c r="J41" s="271">
        <f t="shared" si="11"/>
        <v>11011.5</v>
      </c>
      <c r="K41" s="280">
        <f t="shared" si="1"/>
        <v>14535.18</v>
      </c>
      <c r="L41" s="261"/>
      <c r="M41" s="261"/>
      <c r="N41" s="251">
        <f t="shared" si="2"/>
        <v>734.1</v>
      </c>
      <c r="O41" s="251">
        <f t="shared" si="3"/>
        <v>1002.0465</v>
      </c>
      <c r="P41" s="251">
        <f t="shared" si="4"/>
        <v>734.1</v>
      </c>
      <c r="Q41" s="251">
        <f t="shared" si="5"/>
        <v>2470.2465000000002</v>
      </c>
      <c r="R41" s="251">
        <f t="shared" si="6"/>
        <v>9811.2465000000011</v>
      </c>
      <c r="S41" s="251">
        <f t="shared" si="7"/>
        <v>12950.845380000002</v>
      </c>
    </row>
    <row r="42" spans="2:19" ht="78">
      <c r="B42" s="211">
        <v>39</v>
      </c>
      <c r="C42" s="225" t="s">
        <v>364</v>
      </c>
      <c r="D42" s="216">
        <v>1</v>
      </c>
      <c r="E42" s="218" t="s">
        <v>14</v>
      </c>
      <c r="F42" s="238">
        <v>33600</v>
      </c>
      <c r="G42" s="238">
        <f t="shared" si="0"/>
        <v>33600</v>
      </c>
      <c r="H42" s="239"/>
      <c r="I42" s="279"/>
      <c r="J42" s="271">
        <f t="shared" si="11"/>
        <v>50400</v>
      </c>
      <c r="K42" s="280">
        <f t="shared" si="1"/>
        <v>50400</v>
      </c>
      <c r="L42" s="261"/>
      <c r="M42" s="261"/>
      <c r="N42" s="251">
        <f t="shared" si="2"/>
        <v>3360</v>
      </c>
      <c r="O42" s="251">
        <f t="shared" si="3"/>
        <v>4586.4000000000005</v>
      </c>
      <c r="P42" s="251">
        <f t="shared" si="4"/>
        <v>3360</v>
      </c>
      <c r="Q42" s="251">
        <f t="shared" si="5"/>
        <v>11306.400000000001</v>
      </c>
      <c r="R42" s="251">
        <f t="shared" si="6"/>
        <v>44906.400000000001</v>
      </c>
      <c r="S42" s="251">
        <f t="shared" si="7"/>
        <v>44906.400000000001</v>
      </c>
    </row>
    <row r="43" spans="2:19" ht="65">
      <c r="B43" s="211">
        <v>40</v>
      </c>
      <c r="C43" s="225" t="s">
        <v>365</v>
      </c>
      <c r="D43" s="216">
        <v>10.97</v>
      </c>
      <c r="E43" s="218" t="s">
        <v>60</v>
      </c>
      <c r="F43" s="238">
        <v>1444</v>
      </c>
      <c r="G43" s="238">
        <f t="shared" si="0"/>
        <v>15840.68</v>
      </c>
      <c r="H43" s="239"/>
      <c r="I43" s="279"/>
      <c r="J43" s="271">
        <f t="shared" si="11"/>
        <v>2166</v>
      </c>
      <c r="K43" s="280">
        <f t="shared" si="1"/>
        <v>23761.02</v>
      </c>
      <c r="L43" s="261"/>
      <c r="M43" s="261"/>
      <c r="N43" s="251">
        <f t="shared" si="2"/>
        <v>144.4</v>
      </c>
      <c r="O43" s="251">
        <f t="shared" si="3"/>
        <v>197.10600000000002</v>
      </c>
      <c r="P43" s="251">
        <f t="shared" si="4"/>
        <v>144.4</v>
      </c>
      <c r="Q43" s="251">
        <f t="shared" si="5"/>
        <v>485.90600000000006</v>
      </c>
      <c r="R43" s="251">
        <f t="shared" si="6"/>
        <v>1929.9059999999999</v>
      </c>
      <c r="S43" s="251">
        <f t="shared" si="7"/>
        <v>21171.06882</v>
      </c>
    </row>
    <row r="44" spans="2:19">
      <c r="B44" s="211">
        <v>41</v>
      </c>
      <c r="C44" s="225" t="s">
        <v>366</v>
      </c>
      <c r="D44" s="216">
        <v>2</v>
      </c>
      <c r="E44" s="218" t="s">
        <v>14</v>
      </c>
      <c r="F44" s="238">
        <v>3450</v>
      </c>
      <c r="G44" s="238">
        <f t="shared" si="0"/>
        <v>6900</v>
      </c>
      <c r="H44" s="239"/>
      <c r="I44" s="279"/>
      <c r="J44" s="271">
        <f t="shared" si="11"/>
        <v>5175</v>
      </c>
      <c r="K44" s="280">
        <f t="shared" si="1"/>
        <v>10350</v>
      </c>
      <c r="L44" s="261"/>
      <c r="M44" s="261"/>
      <c r="N44" s="251">
        <f t="shared" si="2"/>
        <v>345</v>
      </c>
      <c r="O44" s="251">
        <f t="shared" si="3"/>
        <v>470.92500000000001</v>
      </c>
      <c r="P44" s="251">
        <f t="shared" si="4"/>
        <v>345</v>
      </c>
      <c r="Q44" s="251">
        <f t="shared" si="5"/>
        <v>1160.925</v>
      </c>
      <c r="R44" s="251">
        <f t="shared" si="6"/>
        <v>4610.9250000000002</v>
      </c>
      <c r="S44" s="251">
        <f t="shared" si="7"/>
        <v>9221.85</v>
      </c>
    </row>
    <row r="45" spans="2:19">
      <c r="B45" s="211">
        <v>42</v>
      </c>
      <c r="C45" s="225" t="s">
        <v>367</v>
      </c>
      <c r="D45" s="216">
        <v>1</v>
      </c>
      <c r="E45" s="218" t="s">
        <v>222</v>
      </c>
      <c r="F45" s="238">
        <v>7650</v>
      </c>
      <c r="G45" s="238">
        <f t="shared" si="0"/>
        <v>7650</v>
      </c>
      <c r="H45" s="239"/>
      <c r="I45" s="279"/>
      <c r="J45" s="271">
        <f t="shared" si="11"/>
        <v>11475</v>
      </c>
      <c r="K45" s="280">
        <f t="shared" si="1"/>
        <v>11475</v>
      </c>
      <c r="L45" s="261"/>
      <c r="M45" s="261"/>
      <c r="N45" s="251">
        <f t="shared" si="2"/>
        <v>765</v>
      </c>
      <c r="O45" s="251">
        <f t="shared" si="3"/>
        <v>1044.2250000000001</v>
      </c>
      <c r="P45" s="251">
        <f t="shared" si="4"/>
        <v>765</v>
      </c>
      <c r="Q45" s="251">
        <f t="shared" si="5"/>
        <v>2574.2250000000004</v>
      </c>
      <c r="R45" s="251">
        <f t="shared" si="6"/>
        <v>10224.225</v>
      </c>
      <c r="S45" s="251">
        <f t="shared" si="7"/>
        <v>10224.225</v>
      </c>
    </row>
    <row r="46" spans="2:19">
      <c r="B46" s="211">
        <v>43</v>
      </c>
      <c r="C46" s="225" t="s">
        <v>368</v>
      </c>
      <c r="D46" s="216">
        <v>5.01</v>
      </c>
      <c r="E46" s="218" t="s">
        <v>62</v>
      </c>
      <c r="F46" s="238">
        <v>1595</v>
      </c>
      <c r="G46" s="238">
        <f t="shared" si="0"/>
        <v>7990.95</v>
      </c>
      <c r="H46" s="239"/>
      <c r="I46" s="279"/>
      <c r="J46" s="271">
        <f t="shared" si="11"/>
        <v>2392.5</v>
      </c>
      <c r="K46" s="280">
        <f t="shared" si="1"/>
        <v>11986.424999999999</v>
      </c>
      <c r="L46" s="261"/>
      <c r="M46" s="261"/>
      <c r="N46" s="251">
        <f t="shared" si="2"/>
        <v>159.5</v>
      </c>
      <c r="O46" s="251">
        <f t="shared" si="3"/>
        <v>217.71750000000003</v>
      </c>
      <c r="P46" s="251">
        <f t="shared" si="4"/>
        <v>159.5</v>
      </c>
      <c r="Q46" s="251">
        <f t="shared" si="5"/>
        <v>536.71749999999997</v>
      </c>
      <c r="R46" s="251">
        <f t="shared" si="6"/>
        <v>2131.7174999999997</v>
      </c>
      <c r="S46" s="251">
        <f t="shared" si="7"/>
        <v>10679.904674999998</v>
      </c>
    </row>
    <row r="47" spans="2:19" ht="26">
      <c r="B47" s="211">
        <v>44</v>
      </c>
      <c r="C47" s="225" t="s">
        <v>369</v>
      </c>
      <c r="D47" s="216">
        <v>1</v>
      </c>
      <c r="E47" s="218" t="s">
        <v>222</v>
      </c>
      <c r="F47" s="238">
        <v>29500</v>
      </c>
      <c r="G47" s="238">
        <f t="shared" si="0"/>
        <v>29500</v>
      </c>
      <c r="H47" s="239"/>
      <c r="I47" s="279"/>
      <c r="J47" s="271">
        <f t="shared" si="11"/>
        <v>44250</v>
      </c>
      <c r="K47" s="280">
        <f t="shared" si="1"/>
        <v>44250</v>
      </c>
      <c r="L47" s="261"/>
      <c r="M47" s="261"/>
      <c r="N47" s="251">
        <f t="shared" si="2"/>
        <v>2950</v>
      </c>
      <c r="O47" s="251">
        <f t="shared" si="3"/>
        <v>4026.7500000000005</v>
      </c>
      <c r="P47" s="251">
        <f t="shared" si="4"/>
        <v>2950</v>
      </c>
      <c r="Q47" s="251">
        <f t="shared" si="5"/>
        <v>9926.75</v>
      </c>
      <c r="R47" s="251">
        <f t="shared" si="6"/>
        <v>39426.75</v>
      </c>
      <c r="S47" s="251">
        <f t="shared" si="7"/>
        <v>39426.75</v>
      </c>
    </row>
    <row r="48" spans="2:19">
      <c r="B48" s="211">
        <v>45</v>
      </c>
      <c r="C48" s="225" t="s">
        <v>388</v>
      </c>
      <c r="D48" s="216">
        <v>8</v>
      </c>
      <c r="E48" s="218" t="s">
        <v>14</v>
      </c>
      <c r="F48" s="238">
        <v>2819</v>
      </c>
      <c r="G48" s="238">
        <f t="shared" si="0"/>
        <v>22552</v>
      </c>
      <c r="H48" s="239"/>
      <c r="I48" s="279"/>
      <c r="J48" s="271">
        <f t="shared" si="11"/>
        <v>4228.5</v>
      </c>
      <c r="K48" s="280">
        <f t="shared" si="1"/>
        <v>33828</v>
      </c>
      <c r="L48" s="261"/>
      <c r="M48" s="261"/>
      <c r="N48" s="251">
        <f t="shared" si="2"/>
        <v>281.90000000000003</v>
      </c>
      <c r="O48" s="251">
        <f t="shared" si="3"/>
        <v>384.79350000000005</v>
      </c>
      <c r="P48" s="251">
        <f t="shared" si="4"/>
        <v>281.90000000000003</v>
      </c>
      <c r="Q48" s="251">
        <f t="shared" si="5"/>
        <v>948.59350000000018</v>
      </c>
      <c r="R48" s="251">
        <f t="shared" si="6"/>
        <v>3767.5934999999999</v>
      </c>
      <c r="S48" s="251">
        <f t="shared" si="7"/>
        <v>30140.748</v>
      </c>
    </row>
    <row r="49" spans="2:19">
      <c r="B49" s="211">
        <v>46</v>
      </c>
      <c r="C49" s="222" t="s">
        <v>389</v>
      </c>
      <c r="D49" s="216">
        <v>167</v>
      </c>
      <c r="E49" s="218" t="s">
        <v>312</v>
      </c>
      <c r="F49" s="238">
        <v>195</v>
      </c>
      <c r="G49" s="238">
        <f t="shared" si="0"/>
        <v>32565</v>
      </c>
      <c r="H49" s="239"/>
      <c r="I49" s="279"/>
      <c r="J49" s="271">
        <f t="shared" si="11"/>
        <v>292.5</v>
      </c>
      <c r="K49" s="280">
        <f t="shared" si="1"/>
        <v>48847.5</v>
      </c>
      <c r="L49" s="261"/>
      <c r="M49" s="261"/>
      <c r="N49" s="251">
        <f t="shared" si="2"/>
        <v>19.5</v>
      </c>
      <c r="O49" s="251">
        <f t="shared" si="3"/>
        <v>26.617500000000003</v>
      </c>
      <c r="P49" s="251">
        <f t="shared" si="4"/>
        <v>19.5</v>
      </c>
      <c r="Q49" s="251">
        <f t="shared" si="5"/>
        <v>65.617500000000007</v>
      </c>
      <c r="R49" s="251">
        <f t="shared" si="6"/>
        <v>260.61750000000001</v>
      </c>
      <c r="S49" s="251">
        <f t="shared" si="7"/>
        <v>43523.122499999998</v>
      </c>
    </row>
    <row r="50" spans="2:19">
      <c r="B50" s="211">
        <v>47</v>
      </c>
      <c r="C50" s="222" t="s">
        <v>402</v>
      </c>
      <c r="D50" s="216">
        <v>1</v>
      </c>
      <c r="E50" s="218"/>
      <c r="F50" s="238">
        <v>2800</v>
      </c>
      <c r="G50" s="238">
        <f t="shared" si="0"/>
        <v>2800</v>
      </c>
      <c r="H50" s="239"/>
      <c r="I50" s="279"/>
      <c r="J50" s="271">
        <f t="shared" si="11"/>
        <v>4200</v>
      </c>
      <c r="K50" s="280">
        <f t="shared" si="1"/>
        <v>4200</v>
      </c>
      <c r="L50" s="261"/>
      <c r="M50" s="261"/>
      <c r="N50" s="251">
        <f t="shared" si="2"/>
        <v>280</v>
      </c>
      <c r="O50" s="251">
        <f t="shared" si="3"/>
        <v>382.20000000000005</v>
      </c>
      <c r="P50" s="251">
        <f t="shared" si="4"/>
        <v>280</v>
      </c>
      <c r="Q50" s="251">
        <f t="shared" si="5"/>
        <v>942.2</v>
      </c>
      <c r="R50" s="251">
        <f t="shared" si="6"/>
        <v>3742.2</v>
      </c>
      <c r="S50" s="251">
        <f t="shared" si="7"/>
        <v>3742.2</v>
      </c>
    </row>
    <row r="51" spans="2:19">
      <c r="B51" s="211">
        <v>48</v>
      </c>
      <c r="C51" s="222" t="s">
        <v>403</v>
      </c>
      <c r="D51" s="216">
        <v>1</v>
      </c>
      <c r="E51" s="218"/>
      <c r="F51" s="238">
        <v>6200</v>
      </c>
      <c r="G51" s="238">
        <f t="shared" si="0"/>
        <v>6200</v>
      </c>
      <c r="H51" s="239"/>
      <c r="I51" s="279"/>
      <c r="J51" s="271">
        <f t="shared" si="11"/>
        <v>9300</v>
      </c>
      <c r="K51" s="280">
        <f t="shared" si="1"/>
        <v>9300</v>
      </c>
      <c r="L51" s="261"/>
      <c r="M51" s="261"/>
      <c r="N51" s="251">
        <f t="shared" si="2"/>
        <v>620</v>
      </c>
      <c r="O51" s="251">
        <f t="shared" si="3"/>
        <v>846.30000000000007</v>
      </c>
      <c r="P51" s="251">
        <f t="shared" si="4"/>
        <v>620</v>
      </c>
      <c r="Q51" s="251">
        <f t="shared" si="5"/>
        <v>2086.3000000000002</v>
      </c>
      <c r="R51" s="251">
        <f t="shared" si="6"/>
        <v>8286.2999999999993</v>
      </c>
      <c r="S51" s="251">
        <f t="shared" si="7"/>
        <v>8286.2999999999993</v>
      </c>
    </row>
    <row r="52" spans="2:19">
      <c r="B52" s="211">
        <v>49</v>
      </c>
      <c r="C52" s="214" t="s">
        <v>404</v>
      </c>
      <c r="D52" s="215">
        <v>1</v>
      </c>
      <c r="E52" s="211"/>
      <c r="F52" s="237">
        <v>5600</v>
      </c>
      <c r="G52" s="238">
        <f t="shared" si="0"/>
        <v>5600</v>
      </c>
      <c r="H52" s="239"/>
      <c r="I52" s="279"/>
      <c r="J52" s="271">
        <f t="shared" si="11"/>
        <v>8400</v>
      </c>
      <c r="K52" s="280">
        <f t="shared" si="1"/>
        <v>8400</v>
      </c>
      <c r="L52" s="261"/>
      <c r="M52" s="261"/>
      <c r="N52" s="251">
        <f t="shared" si="2"/>
        <v>560</v>
      </c>
      <c r="O52" s="251">
        <f t="shared" si="3"/>
        <v>764.40000000000009</v>
      </c>
      <c r="P52" s="251">
        <f t="shared" si="4"/>
        <v>560</v>
      </c>
      <c r="Q52" s="251">
        <f t="shared" si="5"/>
        <v>1884.4</v>
      </c>
      <c r="R52" s="251">
        <f t="shared" si="6"/>
        <v>7484.4</v>
      </c>
      <c r="S52" s="251">
        <f t="shared" si="7"/>
        <v>7484.4</v>
      </c>
    </row>
    <row r="53" spans="2:19" ht="78">
      <c r="B53" s="211">
        <v>50</v>
      </c>
      <c r="C53" s="220" t="s">
        <v>529</v>
      </c>
      <c r="D53" s="216">
        <v>5</v>
      </c>
      <c r="E53" s="211" t="s">
        <v>14</v>
      </c>
      <c r="F53" s="237">
        <v>133</v>
      </c>
      <c r="G53" s="238">
        <f t="shared" si="0"/>
        <v>665</v>
      </c>
      <c r="H53" s="239"/>
      <c r="I53" s="279"/>
      <c r="J53" s="271">
        <f t="shared" si="11"/>
        <v>199.5</v>
      </c>
      <c r="K53" s="280">
        <f t="shared" si="1"/>
        <v>997.5</v>
      </c>
      <c r="L53" s="261"/>
      <c r="M53" s="261"/>
      <c r="N53" s="251">
        <f t="shared" si="2"/>
        <v>13.3</v>
      </c>
      <c r="O53" s="251">
        <f t="shared" si="3"/>
        <v>18.154500000000002</v>
      </c>
      <c r="P53" s="251">
        <f t="shared" si="4"/>
        <v>13.3</v>
      </c>
      <c r="Q53" s="251">
        <f t="shared" si="5"/>
        <v>44.754500000000007</v>
      </c>
      <c r="R53" s="251">
        <f t="shared" si="6"/>
        <v>177.75450000000001</v>
      </c>
      <c r="S53" s="251">
        <f t="shared" si="7"/>
        <v>888.77250000000004</v>
      </c>
    </row>
    <row r="54" spans="2:19">
      <c r="B54" s="211">
        <v>51</v>
      </c>
      <c r="C54" s="220" t="s">
        <v>282</v>
      </c>
      <c r="D54" s="216">
        <v>3</v>
      </c>
      <c r="E54" s="211" t="s">
        <v>14</v>
      </c>
      <c r="F54" s="237"/>
      <c r="G54" s="238">
        <f t="shared" si="0"/>
        <v>0</v>
      </c>
      <c r="H54" s="239"/>
      <c r="I54" s="279"/>
      <c r="J54" s="271">
        <f t="shared" si="11"/>
        <v>0</v>
      </c>
      <c r="K54" s="280">
        <f t="shared" si="1"/>
        <v>0</v>
      </c>
      <c r="L54" s="261"/>
      <c r="M54" s="261"/>
      <c r="N54" s="251">
        <f t="shared" si="2"/>
        <v>0</v>
      </c>
      <c r="O54" s="251">
        <f t="shared" si="3"/>
        <v>0</v>
      </c>
      <c r="P54" s="251">
        <f t="shared" si="4"/>
        <v>0</v>
      </c>
      <c r="Q54" s="251">
        <f t="shared" si="5"/>
        <v>0</v>
      </c>
      <c r="R54" s="251">
        <f t="shared" si="6"/>
        <v>0</v>
      </c>
      <c r="S54" s="251">
        <f t="shared" si="7"/>
        <v>0</v>
      </c>
    </row>
    <row r="55" spans="2:19" ht="156">
      <c r="B55" s="211">
        <v>52</v>
      </c>
      <c r="C55" s="220" t="s">
        <v>530</v>
      </c>
      <c r="D55" s="216">
        <v>35.1</v>
      </c>
      <c r="E55" s="218" t="s">
        <v>60</v>
      </c>
      <c r="F55" s="238">
        <v>1137</v>
      </c>
      <c r="G55" s="238">
        <f t="shared" si="0"/>
        <v>39908.700000000004</v>
      </c>
      <c r="H55" s="239"/>
      <c r="I55" s="279"/>
      <c r="J55" s="271">
        <f t="shared" si="11"/>
        <v>1705.5</v>
      </c>
      <c r="K55" s="280">
        <f t="shared" si="1"/>
        <v>59863.05</v>
      </c>
      <c r="L55" s="261"/>
      <c r="M55" s="261"/>
      <c r="N55" s="251">
        <f t="shared" si="2"/>
        <v>113.7</v>
      </c>
      <c r="O55" s="251">
        <f t="shared" si="3"/>
        <v>155.20050000000001</v>
      </c>
      <c r="P55" s="251">
        <f t="shared" si="4"/>
        <v>113.7</v>
      </c>
      <c r="Q55" s="251">
        <f t="shared" si="5"/>
        <v>382.60050000000001</v>
      </c>
      <c r="R55" s="251">
        <f t="shared" si="6"/>
        <v>1519.6005</v>
      </c>
      <c r="S55" s="251">
        <f t="shared" si="7"/>
        <v>53337.977550000003</v>
      </c>
    </row>
    <row r="56" spans="2:19" ht="52">
      <c r="B56" s="211">
        <v>53</v>
      </c>
      <c r="C56" s="212" t="s">
        <v>283</v>
      </c>
      <c r="D56" s="213">
        <v>20</v>
      </c>
      <c r="E56" s="211" t="s">
        <v>60</v>
      </c>
      <c r="F56" s="237">
        <v>150</v>
      </c>
      <c r="G56" s="238">
        <f t="shared" si="0"/>
        <v>3000</v>
      </c>
      <c r="H56" s="239"/>
      <c r="I56" s="279"/>
      <c r="J56" s="271">
        <f t="shared" si="11"/>
        <v>225</v>
      </c>
      <c r="K56" s="280">
        <f t="shared" si="1"/>
        <v>4500</v>
      </c>
      <c r="L56" s="261"/>
      <c r="M56" s="261"/>
      <c r="N56" s="251">
        <f t="shared" si="2"/>
        <v>15</v>
      </c>
      <c r="O56" s="251">
        <f t="shared" si="3"/>
        <v>20.475000000000001</v>
      </c>
      <c r="P56" s="251">
        <f t="shared" si="4"/>
        <v>15</v>
      </c>
      <c r="Q56" s="251">
        <f t="shared" si="5"/>
        <v>50.475000000000001</v>
      </c>
      <c r="R56" s="251">
        <f t="shared" si="6"/>
        <v>200.47499999999999</v>
      </c>
      <c r="S56" s="251">
        <f t="shared" si="7"/>
        <v>4009.5</v>
      </c>
    </row>
    <row r="57" spans="2:19" ht="52">
      <c r="B57" s="211">
        <v>54</v>
      </c>
      <c r="C57" s="212" t="s">
        <v>284</v>
      </c>
      <c r="D57" s="226">
        <v>190</v>
      </c>
      <c r="E57" s="211" t="s">
        <v>60</v>
      </c>
      <c r="F57" s="237">
        <v>160</v>
      </c>
      <c r="G57" s="238">
        <f t="shared" si="0"/>
        <v>30400</v>
      </c>
      <c r="H57" s="239" t="s">
        <v>518</v>
      </c>
      <c r="I57" s="279"/>
      <c r="J57" s="271">
        <f t="shared" si="11"/>
        <v>240</v>
      </c>
      <c r="K57" s="280">
        <f t="shared" si="1"/>
        <v>45600</v>
      </c>
      <c r="L57" s="261"/>
      <c r="M57" s="261"/>
      <c r="N57" s="251">
        <f t="shared" si="2"/>
        <v>16</v>
      </c>
      <c r="O57" s="251">
        <f t="shared" si="3"/>
        <v>21.840000000000003</v>
      </c>
      <c r="P57" s="251">
        <f t="shared" si="4"/>
        <v>16</v>
      </c>
      <c r="Q57" s="251">
        <f t="shared" si="5"/>
        <v>53.84</v>
      </c>
      <c r="R57" s="251">
        <f t="shared" si="6"/>
        <v>213.84</v>
      </c>
      <c r="S57" s="251">
        <f t="shared" si="7"/>
        <v>40629.599999999999</v>
      </c>
    </row>
    <row r="58" spans="2:19" ht="130">
      <c r="B58" s="211">
        <v>55</v>
      </c>
      <c r="C58" s="227" t="s">
        <v>296</v>
      </c>
      <c r="D58" s="216">
        <v>12</v>
      </c>
      <c r="E58" s="218" t="s">
        <v>14</v>
      </c>
      <c r="F58" s="238">
        <v>18000</v>
      </c>
      <c r="G58" s="238">
        <f t="shared" si="0"/>
        <v>216000</v>
      </c>
      <c r="H58" s="239"/>
      <c r="I58" s="279"/>
      <c r="J58" s="271">
        <f t="shared" si="11"/>
        <v>27000</v>
      </c>
      <c r="K58" s="280">
        <f t="shared" si="1"/>
        <v>324000</v>
      </c>
      <c r="L58" s="261"/>
      <c r="M58" s="261"/>
      <c r="N58" s="251">
        <f t="shared" si="2"/>
        <v>1800</v>
      </c>
      <c r="O58" s="251">
        <f t="shared" si="3"/>
        <v>2457</v>
      </c>
      <c r="P58" s="251">
        <f t="shared" si="4"/>
        <v>1800</v>
      </c>
      <c r="Q58" s="251">
        <f t="shared" si="5"/>
        <v>6057</v>
      </c>
      <c r="R58" s="251">
        <f t="shared" si="6"/>
        <v>24057</v>
      </c>
      <c r="S58" s="251">
        <f t="shared" si="7"/>
        <v>288684</v>
      </c>
    </row>
    <row r="59" spans="2:19" ht="39">
      <c r="B59" s="211">
        <v>56</v>
      </c>
      <c r="C59" s="228" t="s">
        <v>297</v>
      </c>
      <c r="D59" s="216">
        <v>14</v>
      </c>
      <c r="E59" s="218" t="s">
        <v>14</v>
      </c>
      <c r="F59" s="238">
        <v>4010</v>
      </c>
      <c r="G59" s="238">
        <f t="shared" si="0"/>
        <v>56140</v>
      </c>
      <c r="H59" s="239"/>
      <c r="I59" s="279"/>
      <c r="J59" s="271">
        <f t="shared" si="11"/>
        <v>6015</v>
      </c>
      <c r="K59" s="280">
        <f t="shared" si="1"/>
        <v>84210</v>
      </c>
      <c r="L59" s="261"/>
      <c r="M59" s="261"/>
      <c r="N59" s="251">
        <f t="shared" si="2"/>
        <v>401</v>
      </c>
      <c r="O59" s="251">
        <f t="shared" si="3"/>
        <v>547.36500000000001</v>
      </c>
      <c r="P59" s="251">
        <f t="shared" si="4"/>
        <v>401</v>
      </c>
      <c r="Q59" s="251">
        <f t="shared" si="5"/>
        <v>1349.365</v>
      </c>
      <c r="R59" s="251">
        <f t="shared" si="6"/>
        <v>5359.3649999999998</v>
      </c>
      <c r="S59" s="251">
        <f t="shared" si="7"/>
        <v>75031.11</v>
      </c>
    </row>
    <row r="60" spans="2:19">
      <c r="B60" s="211">
        <v>57</v>
      </c>
      <c r="C60" s="228" t="s">
        <v>298</v>
      </c>
      <c r="D60" s="216">
        <v>14</v>
      </c>
      <c r="E60" s="218" t="s">
        <v>14</v>
      </c>
      <c r="F60" s="238">
        <v>190</v>
      </c>
      <c r="G60" s="238">
        <f t="shared" si="0"/>
        <v>2660</v>
      </c>
      <c r="H60" s="239"/>
      <c r="I60" s="279"/>
      <c r="J60" s="271">
        <f t="shared" si="11"/>
        <v>285</v>
      </c>
      <c r="K60" s="280">
        <f t="shared" si="1"/>
        <v>3990</v>
      </c>
      <c r="L60" s="261"/>
      <c r="M60" s="261"/>
      <c r="N60" s="251">
        <f t="shared" si="2"/>
        <v>19</v>
      </c>
      <c r="O60" s="251">
        <f t="shared" si="3"/>
        <v>25.935000000000002</v>
      </c>
      <c r="P60" s="251">
        <f t="shared" si="4"/>
        <v>19</v>
      </c>
      <c r="Q60" s="251">
        <f t="shared" si="5"/>
        <v>63.935000000000002</v>
      </c>
      <c r="R60" s="251">
        <f t="shared" si="6"/>
        <v>253.935</v>
      </c>
      <c r="S60" s="251">
        <f t="shared" si="7"/>
        <v>3555.09</v>
      </c>
    </row>
    <row r="61" spans="2:19">
      <c r="B61" s="211">
        <v>58</v>
      </c>
      <c r="C61" s="228" t="s">
        <v>299</v>
      </c>
      <c r="D61" s="216">
        <v>14</v>
      </c>
      <c r="E61" s="218" t="s">
        <v>14</v>
      </c>
      <c r="F61" s="238">
        <v>250</v>
      </c>
      <c r="G61" s="238">
        <f t="shared" si="0"/>
        <v>3500</v>
      </c>
      <c r="H61" s="239"/>
      <c r="I61" s="279"/>
      <c r="J61" s="271">
        <f t="shared" si="11"/>
        <v>375</v>
      </c>
      <c r="K61" s="280">
        <f t="shared" si="1"/>
        <v>5250</v>
      </c>
      <c r="L61" s="261"/>
      <c r="M61" s="261"/>
      <c r="N61" s="251">
        <f t="shared" si="2"/>
        <v>25</v>
      </c>
      <c r="O61" s="251">
        <f t="shared" si="3"/>
        <v>34.125</v>
      </c>
      <c r="P61" s="251">
        <f t="shared" si="4"/>
        <v>25</v>
      </c>
      <c r="Q61" s="251">
        <f t="shared" si="5"/>
        <v>84.125</v>
      </c>
      <c r="R61" s="251">
        <f t="shared" si="6"/>
        <v>334.125</v>
      </c>
      <c r="S61" s="251">
        <f t="shared" si="7"/>
        <v>4677.75</v>
      </c>
    </row>
    <row r="62" spans="2:19" ht="65">
      <c r="B62" s="211">
        <v>59</v>
      </c>
      <c r="C62" s="229" t="s">
        <v>300</v>
      </c>
      <c r="D62" s="216">
        <v>30</v>
      </c>
      <c r="E62" s="218" t="s">
        <v>14</v>
      </c>
      <c r="F62" s="238">
        <v>1096</v>
      </c>
      <c r="G62" s="238">
        <f t="shared" si="0"/>
        <v>32880</v>
      </c>
      <c r="H62" s="239"/>
      <c r="I62" s="279"/>
      <c r="J62" s="271">
        <f t="shared" si="11"/>
        <v>1644</v>
      </c>
      <c r="K62" s="280">
        <f t="shared" si="1"/>
        <v>49320</v>
      </c>
      <c r="L62" s="261"/>
      <c r="M62" s="261"/>
      <c r="N62" s="251">
        <f t="shared" si="2"/>
        <v>109.60000000000001</v>
      </c>
      <c r="O62" s="251">
        <f t="shared" si="3"/>
        <v>149.60400000000001</v>
      </c>
      <c r="P62" s="251">
        <f t="shared" si="4"/>
        <v>109.60000000000001</v>
      </c>
      <c r="Q62" s="251">
        <f t="shared" si="5"/>
        <v>368.80400000000003</v>
      </c>
      <c r="R62" s="251">
        <f t="shared" si="6"/>
        <v>1464.8040000000001</v>
      </c>
      <c r="S62" s="251">
        <f t="shared" si="7"/>
        <v>43944.12</v>
      </c>
    </row>
    <row r="63" spans="2:19" ht="39">
      <c r="B63" s="211">
        <v>60</v>
      </c>
      <c r="C63" s="230" t="s">
        <v>301</v>
      </c>
      <c r="D63" s="216">
        <v>14</v>
      </c>
      <c r="E63" s="218" t="s">
        <v>14</v>
      </c>
      <c r="F63" s="238">
        <v>144</v>
      </c>
      <c r="G63" s="238">
        <f t="shared" si="0"/>
        <v>2016</v>
      </c>
      <c r="H63" s="239"/>
      <c r="I63" s="279"/>
      <c r="J63" s="271">
        <f t="shared" si="11"/>
        <v>216</v>
      </c>
      <c r="K63" s="280">
        <f t="shared" si="1"/>
        <v>3024</v>
      </c>
      <c r="L63" s="261"/>
      <c r="M63" s="261"/>
      <c r="N63" s="251">
        <f t="shared" si="2"/>
        <v>14.4</v>
      </c>
      <c r="O63" s="251">
        <f t="shared" si="3"/>
        <v>19.656000000000002</v>
      </c>
      <c r="P63" s="251">
        <f t="shared" si="4"/>
        <v>14.4</v>
      </c>
      <c r="Q63" s="251">
        <f t="shared" si="5"/>
        <v>48.456000000000003</v>
      </c>
      <c r="R63" s="251">
        <f t="shared" si="6"/>
        <v>192.45600000000002</v>
      </c>
      <c r="S63" s="251">
        <f t="shared" si="7"/>
        <v>2694.384</v>
      </c>
    </row>
    <row r="64" spans="2:19" ht="26">
      <c r="B64" s="211">
        <v>61</v>
      </c>
      <c r="C64" s="229" t="s">
        <v>302</v>
      </c>
      <c r="D64" s="216">
        <v>1</v>
      </c>
      <c r="E64" s="218" t="s">
        <v>14</v>
      </c>
      <c r="F64" s="238">
        <v>7500</v>
      </c>
      <c r="G64" s="238">
        <f t="shared" si="0"/>
        <v>7500</v>
      </c>
      <c r="H64" s="239"/>
      <c r="I64" s="279"/>
      <c r="J64" s="271">
        <f t="shared" si="11"/>
        <v>11250</v>
      </c>
      <c r="K64" s="280">
        <f t="shared" si="1"/>
        <v>11250</v>
      </c>
      <c r="L64" s="261"/>
      <c r="M64" s="261"/>
      <c r="N64" s="251">
        <f t="shared" si="2"/>
        <v>750</v>
      </c>
      <c r="O64" s="251">
        <f t="shared" si="3"/>
        <v>1023.7500000000001</v>
      </c>
      <c r="P64" s="251">
        <f t="shared" si="4"/>
        <v>750</v>
      </c>
      <c r="Q64" s="251">
        <f t="shared" si="5"/>
        <v>2523.75</v>
      </c>
      <c r="R64" s="251">
        <f t="shared" si="6"/>
        <v>10023.75</v>
      </c>
      <c r="S64" s="251">
        <f t="shared" si="7"/>
        <v>10023.75</v>
      </c>
    </row>
    <row r="65" spans="2:19" ht="91">
      <c r="B65" s="211">
        <v>62</v>
      </c>
      <c r="C65" s="229" t="s">
        <v>431</v>
      </c>
      <c r="D65" s="216">
        <v>1</v>
      </c>
      <c r="E65" s="218" t="s">
        <v>14</v>
      </c>
      <c r="F65" s="238">
        <v>11000</v>
      </c>
      <c r="G65" s="238">
        <f t="shared" si="0"/>
        <v>11000</v>
      </c>
      <c r="H65" s="239"/>
      <c r="I65" s="279"/>
      <c r="J65" s="271">
        <f t="shared" si="11"/>
        <v>16500</v>
      </c>
      <c r="K65" s="280">
        <f t="shared" si="1"/>
        <v>16500</v>
      </c>
      <c r="L65" s="261"/>
      <c r="M65" s="261"/>
      <c r="N65" s="251">
        <f t="shared" si="2"/>
        <v>1100</v>
      </c>
      <c r="O65" s="251">
        <f t="shared" si="3"/>
        <v>1501.5</v>
      </c>
      <c r="P65" s="251">
        <f t="shared" si="4"/>
        <v>1100</v>
      </c>
      <c r="Q65" s="251">
        <f t="shared" si="5"/>
        <v>3701.5</v>
      </c>
      <c r="R65" s="251">
        <f t="shared" si="6"/>
        <v>14701.5</v>
      </c>
      <c r="S65" s="251">
        <f t="shared" si="7"/>
        <v>14701.5</v>
      </c>
    </row>
    <row r="66" spans="2:19" ht="23.15" customHeight="1">
      <c r="B66" s="211">
        <v>63</v>
      </c>
      <c r="C66" s="233" t="s">
        <v>314</v>
      </c>
      <c r="D66" s="209">
        <v>74.099999999999994</v>
      </c>
      <c r="E66" s="218" t="s">
        <v>60</v>
      </c>
      <c r="F66" s="238"/>
      <c r="G66" s="238">
        <f t="shared" si="0"/>
        <v>0</v>
      </c>
      <c r="H66" s="239"/>
      <c r="I66" s="279"/>
      <c r="J66" s="271">
        <f t="shared" si="11"/>
        <v>0</v>
      </c>
      <c r="K66" s="280">
        <f t="shared" si="1"/>
        <v>0</v>
      </c>
      <c r="L66" s="261"/>
      <c r="M66" s="261"/>
      <c r="N66" s="251">
        <f t="shared" si="2"/>
        <v>0</v>
      </c>
      <c r="O66" s="251">
        <f t="shared" si="3"/>
        <v>0</v>
      </c>
      <c r="P66" s="251">
        <f t="shared" si="4"/>
        <v>0</v>
      </c>
      <c r="Q66" s="251">
        <f t="shared" si="5"/>
        <v>0</v>
      </c>
      <c r="R66" s="251">
        <f t="shared" si="6"/>
        <v>0</v>
      </c>
      <c r="S66" s="251">
        <f t="shared" si="7"/>
        <v>0</v>
      </c>
    </row>
    <row r="67" spans="2:19" ht="91">
      <c r="B67" s="211">
        <v>64</v>
      </c>
      <c r="C67" s="231" t="s">
        <v>531</v>
      </c>
      <c r="D67" s="216">
        <v>13</v>
      </c>
      <c r="E67" s="218" t="s">
        <v>14</v>
      </c>
      <c r="F67" s="238">
        <v>1200</v>
      </c>
      <c r="G67" s="238">
        <f t="shared" ref="G67:G70" si="12">D67*F67</f>
        <v>15600</v>
      </c>
      <c r="H67" s="239"/>
      <c r="I67" s="279"/>
      <c r="J67" s="271">
        <f t="shared" si="11"/>
        <v>1800</v>
      </c>
      <c r="K67" s="280">
        <f t="shared" si="1"/>
        <v>23400</v>
      </c>
      <c r="L67" s="261"/>
      <c r="M67" s="261"/>
      <c r="N67" s="251">
        <f t="shared" si="2"/>
        <v>120</v>
      </c>
      <c r="O67" s="251">
        <f t="shared" si="3"/>
        <v>163.80000000000001</v>
      </c>
      <c r="P67" s="251">
        <f t="shared" si="4"/>
        <v>120</v>
      </c>
      <c r="Q67" s="251">
        <f t="shared" si="5"/>
        <v>403.8</v>
      </c>
      <c r="R67" s="251">
        <f t="shared" si="6"/>
        <v>1603.8</v>
      </c>
      <c r="S67" s="251">
        <f t="shared" si="7"/>
        <v>20849.399999999998</v>
      </c>
    </row>
    <row r="68" spans="2:19">
      <c r="B68" s="211">
        <v>65</v>
      </c>
      <c r="C68" s="214" t="s">
        <v>371</v>
      </c>
      <c r="D68" s="216">
        <v>10.66</v>
      </c>
      <c r="E68" s="218" t="s">
        <v>60</v>
      </c>
      <c r="F68" s="238">
        <v>1182</v>
      </c>
      <c r="G68" s="238">
        <f t="shared" si="12"/>
        <v>12600.12</v>
      </c>
      <c r="H68" s="239"/>
      <c r="I68" s="279"/>
      <c r="J68" s="271">
        <f t="shared" si="11"/>
        <v>1773</v>
      </c>
      <c r="K68" s="280">
        <f t="shared" si="1"/>
        <v>18900.18</v>
      </c>
      <c r="L68" s="261"/>
      <c r="M68" s="261"/>
      <c r="N68" s="251">
        <f t="shared" si="2"/>
        <v>118.2</v>
      </c>
      <c r="O68" s="251">
        <f t="shared" si="3"/>
        <v>161.34300000000002</v>
      </c>
      <c r="P68" s="251">
        <f t="shared" si="4"/>
        <v>118.2</v>
      </c>
      <c r="Q68" s="251">
        <f t="shared" si="5"/>
        <v>397.74299999999999</v>
      </c>
      <c r="R68" s="251">
        <f t="shared" si="6"/>
        <v>1579.7429999999999</v>
      </c>
      <c r="S68" s="251">
        <f t="shared" si="7"/>
        <v>16840.060379999999</v>
      </c>
    </row>
    <row r="69" spans="2:19" ht="26">
      <c r="B69" s="211">
        <v>66</v>
      </c>
      <c r="C69" s="214" t="s">
        <v>372</v>
      </c>
      <c r="D69" s="216">
        <v>1</v>
      </c>
      <c r="E69" s="218" t="s">
        <v>201</v>
      </c>
      <c r="F69" s="238">
        <v>9600</v>
      </c>
      <c r="G69" s="238">
        <f t="shared" si="12"/>
        <v>9600</v>
      </c>
      <c r="H69" s="239"/>
      <c r="I69" s="279"/>
      <c r="J69" s="271">
        <f t="shared" si="11"/>
        <v>14400</v>
      </c>
      <c r="K69" s="280">
        <f t="shared" ref="K69:K89" si="13">J69*D69</f>
        <v>14400</v>
      </c>
      <c r="L69" s="261"/>
      <c r="M69" s="261"/>
      <c r="N69" s="251">
        <f t="shared" ref="N69:N89" si="14">F69*0.1</f>
        <v>960</v>
      </c>
      <c r="O69" s="251">
        <f t="shared" ref="O69:O89" si="15">F69*0.1365</f>
        <v>1310.4000000000001</v>
      </c>
      <c r="P69" s="251">
        <f t="shared" ref="P69:P89" si="16">F69*0.1</f>
        <v>960</v>
      </c>
      <c r="Q69" s="251">
        <f t="shared" ref="Q69:Q89" si="17">SUM(N69:P69)</f>
        <v>3230.4</v>
      </c>
      <c r="R69" s="251">
        <f t="shared" ref="R69:R89" si="18">F69+Q69</f>
        <v>12830.4</v>
      </c>
      <c r="S69" s="251">
        <f t="shared" ref="S69:S89" si="19">R69*D69</f>
        <v>12830.4</v>
      </c>
    </row>
    <row r="70" spans="2:19">
      <c r="B70" s="211">
        <v>67</v>
      </c>
      <c r="C70" s="214" t="s">
        <v>373</v>
      </c>
      <c r="D70" s="216">
        <v>2.89</v>
      </c>
      <c r="E70" s="218" t="s">
        <v>60</v>
      </c>
      <c r="F70" s="238">
        <v>1182</v>
      </c>
      <c r="G70" s="238">
        <f t="shared" si="12"/>
        <v>3415.98</v>
      </c>
      <c r="H70" s="239"/>
      <c r="I70" s="279"/>
      <c r="J70" s="271">
        <f t="shared" si="11"/>
        <v>1773</v>
      </c>
      <c r="K70" s="280">
        <f t="shared" si="13"/>
        <v>5123.97</v>
      </c>
      <c r="L70" s="261"/>
      <c r="M70" s="261"/>
      <c r="N70" s="251">
        <f t="shared" si="14"/>
        <v>118.2</v>
      </c>
      <c r="O70" s="251">
        <f t="shared" si="15"/>
        <v>161.34300000000002</v>
      </c>
      <c r="P70" s="251">
        <f t="shared" si="16"/>
        <v>118.2</v>
      </c>
      <c r="Q70" s="251">
        <f t="shared" si="17"/>
        <v>397.74299999999999</v>
      </c>
      <c r="R70" s="251">
        <f t="shared" si="18"/>
        <v>1579.7429999999999</v>
      </c>
      <c r="S70" s="251">
        <f t="shared" si="19"/>
        <v>4565.4572699999999</v>
      </c>
    </row>
    <row r="71" spans="2:19">
      <c r="B71" s="211">
        <v>68</v>
      </c>
      <c r="C71" s="214" t="s">
        <v>16</v>
      </c>
      <c r="D71" s="216">
        <v>1</v>
      </c>
      <c r="E71" s="218" t="s">
        <v>14</v>
      </c>
      <c r="F71" s="238">
        <v>162336</v>
      </c>
      <c r="G71" s="238">
        <f t="shared" ref="G71:G77" si="20">D71*F71</f>
        <v>162336</v>
      </c>
      <c r="H71" s="239"/>
      <c r="I71" s="279"/>
      <c r="J71" s="271">
        <f t="shared" si="11"/>
        <v>243504</v>
      </c>
      <c r="K71" s="280">
        <f t="shared" si="13"/>
        <v>243504</v>
      </c>
      <c r="L71" s="261"/>
      <c r="M71" s="261"/>
      <c r="N71" s="251">
        <f t="shared" si="14"/>
        <v>16233.6</v>
      </c>
      <c r="O71" s="251">
        <f t="shared" si="15"/>
        <v>22158.864000000001</v>
      </c>
      <c r="P71" s="251">
        <f t="shared" si="16"/>
        <v>16233.6</v>
      </c>
      <c r="Q71" s="251">
        <f t="shared" si="17"/>
        <v>54626.063999999998</v>
      </c>
      <c r="R71" s="251">
        <f t="shared" si="18"/>
        <v>216962.06400000001</v>
      </c>
      <c r="S71" s="251">
        <f t="shared" si="19"/>
        <v>216962.06400000001</v>
      </c>
    </row>
    <row r="72" spans="2:19">
      <c r="B72" s="211">
        <v>69</v>
      </c>
      <c r="C72" s="212" t="s">
        <v>285</v>
      </c>
      <c r="D72" s="213">
        <v>48</v>
      </c>
      <c r="E72" s="211" t="s">
        <v>60</v>
      </c>
      <c r="F72" s="237">
        <v>200</v>
      </c>
      <c r="G72" s="238">
        <f t="shared" si="20"/>
        <v>9600</v>
      </c>
      <c r="H72" s="239"/>
      <c r="I72" s="279"/>
      <c r="J72" s="271">
        <f t="shared" si="11"/>
        <v>300</v>
      </c>
      <c r="K72" s="280">
        <f t="shared" si="13"/>
        <v>14400</v>
      </c>
      <c r="L72" s="261"/>
      <c r="M72" s="261"/>
      <c r="N72" s="251">
        <f t="shared" si="14"/>
        <v>20</v>
      </c>
      <c r="O72" s="251">
        <f t="shared" si="15"/>
        <v>27.3</v>
      </c>
      <c r="P72" s="251">
        <f t="shared" si="16"/>
        <v>20</v>
      </c>
      <c r="Q72" s="251">
        <f t="shared" si="17"/>
        <v>67.3</v>
      </c>
      <c r="R72" s="251">
        <f t="shared" si="18"/>
        <v>267.3</v>
      </c>
      <c r="S72" s="251">
        <f t="shared" si="19"/>
        <v>12830.400000000001</v>
      </c>
    </row>
    <row r="73" spans="2:19">
      <c r="B73" s="211">
        <v>70</v>
      </c>
      <c r="C73" s="214" t="s">
        <v>347</v>
      </c>
      <c r="D73" s="216">
        <v>1</v>
      </c>
      <c r="E73" s="218" t="s">
        <v>14</v>
      </c>
      <c r="F73" s="238">
        <v>74225</v>
      </c>
      <c r="G73" s="238">
        <f t="shared" si="20"/>
        <v>74225</v>
      </c>
      <c r="H73" s="239"/>
      <c r="I73" s="279"/>
      <c r="J73" s="271">
        <f t="shared" si="11"/>
        <v>111337.5</v>
      </c>
      <c r="K73" s="280">
        <f t="shared" si="13"/>
        <v>111337.5</v>
      </c>
      <c r="L73" s="261"/>
      <c r="M73" s="261"/>
      <c r="N73" s="251">
        <f t="shared" si="14"/>
        <v>7422.5</v>
      </c>
      <c r="O73" s="251">
        <f t="shared" si="15"/>
        <v>10131.712500000001</v>
      </c>
      <c r="P73" s="251">
        <f t="shared" si="16"/>
        <v>7422.5</v>
      </c>
      <c r="Q73" s="251">
        <f t="shared" si="17"/>
        <v>24976.712500000001</v>
      </c>
      <c r="R73" s="251">
        <f t="shared" si="18"/>
        <v>99201.712499999994</v>
      </c>
      <c r="S73" s="251">
        <f t="shared" si="19"/>
        <v>99201.712499999994</v>
      </c>
    </row>
    <row r="74" spans="2:19" ht="39">
      <c r="B74" s="211">
        <v>71</v>
      </c>
      <c r="C74" s="220" t="s">
        <v>310</v>
      </c>
      <c r="D74" s="234">
        <v>92.2</v>
      </c>
      <c r="E74" s="218" t="s">
        <v>312</v>
      </c>
      <c r="F74" s="238">
        <v>190</v>
      </c>
      <c r="G74" s="238">
        <f t="shared" si="20"/>
        <v>17518</v>
      </c>
      <c r="H74" s="1233" t="s">
        <v>539</v>
      </c>
      <c r="I74" s="285"/>
      <c r="J74" s="271">
        <f t="shared" si="11"/>
        <v>285</v>
      </c>
      <c r="K74" s="280">
        <f t="shared" si="13"/>
        <v>26277</v>
      </c>
      <c r="L74" s="262"/>
      <c r="M74" s="262"/>
      <c r="N74" s="251">
        <f t="shared" si="14"/>
        <v>19</v>
      </c>
      <c r="O74" s="251">
        <f t="shared" si="15"/>
        <v>25.935000000000002</v>
      </c>
      <c r="P74" s="251">
        <f t="shared" si="16"/>
        <v>19</v>
      </c>
      <c r="Q74" s="251">
        <f t="shared" si="17"/>
        <v>63.935000000000002</v>
      </c>
      <c r="R74" s="251">
        <f t="shared" si="18"/>
        <v>253.935</v>
      </c>
      <c r="S74" s="251">
        <f t="shared" si="19"/>
        <v>23412.807000000001</v>
      </c>
    </row>
    <row r="75" spans="2:19" ht="39">
      <c r="B75" s="211">
        <v>72</v>
      </c>
      <c r="C75" s="220" t="s">
        <v>311</v>
      </c>
      <c r="D75" s="234">
        <v>25.5</v>
      </c>
      <c r="E75" s="218" t="s">
        <v>312</v>
      </c>
      <c r="F75" s="238">
        <v>190</v>
      </c>
      <c r="G75" s="238">
        <f t="shared" si="20"/>
        <v>4845</v>
      </c>
      <c r="H75" s="1233"/>
      <c r="I75" s="285"/>
      <c r="J75" s="271">
        <f t="shared" si="11"/>
        <v>285</v>
      </c>
      <c r="K75" s="280">
        <f t="shared" si="13"/>
        <v>7267.5</v>
      </c>
      <c r="L75" s="262"/>
      <c r="M75" s="262"/>
      <c r="N75" s="251">
        <f t="shared" si="14"/>
        <v>19</v>
      </c>
      <c r="O75" s="251">
        <f t="shared" si="15"/>
        <v>25.935000000000002</v>
      </c>
      <c r="P75" s="251">
        <f t="shared" si="16"/>
        <v>19</v>
      </c>
      <c r="Q75" s="251">
        <f t="shared" si="17"/>
        <v>63.935000000000002</v>
      </c>
      <c r="R75" s="251">
        <f t="shared" si="18"/>
        <v>253.935</v>
      </c>
      <c r="S75" s="251">
        <f t="shared" si="19"/>
        <v>6475.3424999999997</v>
      </c>
    </row>
    <row r="76" spans="2:19" ht="26">
      <c r="B76" s="211">
        <v>73</v>
      </c>
      <c r="C76" s="233" t="s">
        <v>313</v>
      </c>
      <c r="D76" s="209">
        <v>2</v>
      </c>
      <c r="E76" s="218" t="s">
        <v>14</v>
      </c>
      <c r="F76" s="238">
        <v>6500</v>
      </c>
      <c r="G76" s="238">
        <f t="shared" si="20"/>
        <v>13000</v>
      </c>
      <c r="H76" s="239"/>
      <c r="I76" s="279"/>
      <c r="J76" s="271">
        <f t="shared" si="11"/>
        <v>9750</v>
      </c>
      <c r="K76" s="280">
        <f t="shared" si="13"/>
        <v>19500</v>
      </c>
      <c r="L76" s="261"/>
      <c r="M76" s="261"/>
      <c r="N76" s="251">
        <f t="shared" si="14"/>
        <v>650</v>
      </c>
      <c r="O76" s="251">
        <f t="shared" si="15"/>
        <v>887.25000000000011</v>
      </c>
      <c r="P76" s="251">
        <f t="shared" si="16"/>
        <v>650</v>
      </c>
      <c r="Q76" s="251">
        <f t="shared" si="17"/>
        <v>2187.25</v>
      </c>
      <c r="R76" s="251">
        <f t="shared" si="18"/>
        <v>8687.25</v>
      </c>
      <c r="S76" s="251">
        <f t="shared" si="19"/>
        <v>17374.5</v>
      </c>
    </row>
    <row r="77" spans="2:19" ht="26">
      <c r="B77" s="211">
        <v>74</v>
      </c>
      <c r="C77" s="229" t="s">
        <v>315</v>
      </c>
      <c r="D77" s="232">
        <v>3.95</v>
      </c>
      <c r="E77" s="218" t="s">
        <v>60</v>
      </c>
      <c r="F77" s="238">
        <v>329</v>
      </c>
      <c r="G77" s="238">
        <f t="shared" si="20"/>
        <v>1299.55</v>
      </c>
      <c r="H77" s="239" t="s">
        <v>516</v>
      </c>
      <c r="I77" s="279"/>
      <c r="J77" s="271">
        <f t="shared" si="11"/>
        <v>493.5</v>
      </c>
      <c r="K77" s="280">
        <f t="shared" si="13"/>
        <v>1949.325</v>
      </c>
      <c r="L77" s="261"/>
      <c r="M77" s="261"/>
      <c r="N77" s="251">
        <f t="shared" si="14"/>
        <v>32.9</v>
      </c>
      <c r="O77" s="251">
        <f t="shared" si="15"/>
        <v>44.908500000000004</v>
      </c>
      <c r="P77" s="251">
        <f t="shared" si="16"/>
        <v>32.9</v>
      </c>
      <c r="Q77" s="251">
        <f t="shared" si="17"/>
        <v>110.70850000000002</v>
      </c>
      <c r="R77" s="251">
        <f t="shared" si="18"/>
        <v>439.70850000000002</v>
      </c>
      <c r="S77" s="251">
        <f t="shared" si="19"/>
        <v>1736.8485750000002</v>
      </c>
    </row>
    <row r="78" spans="2:19" ht="39">
      <c r="B78" s="211">
        <v>75</v>
      </c>
      <c r="C78" s="214" t="s">
        <v>532</v>
      </c>
      <c r="D78" s="215">
        <v>1</v>
      </c>
      <c r="E78" s="209" t="s">
        <v>222</v>
      </c>
      <c r="F78" s="243">
        <v>116786</v>
      </c>
      <c r="G78" s="238">
        <f t="shared" ref="G78:G89" si="21">D78*F78</f>
        <v>116786</v>
      </c>
      <c r="H78" s="244"/>
      <c r="I78" s="277"/>
      <c r="J78" s="271">
        <f t="shared" si="11"/>
        <v>175179</v>
      </c>
      <c r="K78" s="280">
        <f t="shared" si="13"/>
        <v>175179</v>
      </c>
      <c r="L78" s="263"/>
      <c r="M78" s="263"/>
      <c r="N78" s="251">
        <f t="shared" si="14"/>
        <v>11678.6</v>
      </c>
      <c r="O78" s="251">
        <f t="shared" si="15"/>
        <v>15941.289000000001</v>
      </c>
      <c r="P78" s="251">
        <f t="shared" si="16"/>
        <v>11678.6</v>
      </c>
      <c r="Q78" s="251">
        <f t="shared" si="17"/>
        <v>39298.489000000001</v>
      </c>
      <c r="R78" s="251">
        <f t="shared" si="18"/>
        <v>156084.489</v>
      </c>
      <c r="S78" s="251">
        <f t="shared" si="19"/>
        <v>156084.489</v>
      </c>
    </row>
    <row r="79" spans="2:19" ht="52">
      <c r="B79" s="211">
        <v>76</v>
      </c>
      <c r="C79" s="214" t="s">
        <v>533</v>
      </c>
      <c r="D79" s="215">
        <v>1</v>
      </c>
      <c r="E79" s="209" t="s">
        <v>222</v>
      </c>
      <c r="F79" s="243">
        <v>6414</v>
      </c>
      <c r="G79" s="238">
        <f t="shared" si="21"/>
        <v>6414</v>
      </c>
      <c r="H79" s="244"/>
      <c r="I79" s="277"/>
      <c r="J79" s="271">
        <f t="shared" si="11"/>
        <v>9621</v>
      </c>
      <c r="K79" s="280">
        <f t="shared" si="13"/>
        <v>9621</v>
      </c>
      <c r="L79" s="263"/>
      <c r="M79" s="263"/>
      <c r="N79" s="251">
        <f t="shared" si="14"/>
        <v>641.40000000000009</v>
      </c>
      <c r="O79" s="251">
        <f t="shared" si="15"/>
        <v>875.51100000000008</v>
      </c>
      <c r="P79" s="251">
        <f t="shared" si="16"/>
        <v>641.40000000000009</v>
      </c>
      <c r="Q79" s="251">
        <f t="shared" si="17"/>
        <v>2158.3110000000001</v>
      </c>
      <c r="R79" s="251">
        <f t="shared" si="18"/>
        <v>8572.3109999999997</v>
      </c>
      <c r="S79" s="251">
        <f t="shared" si="19"/>
        <v>8572.3109999999997</v>
      </c>
    </row>
    <row r="80" spans="2:19" ht="52">
      <c r="B80" s="211">
        <v>77</v>
      </c>
      <c r="C80" s="214" t="s">
        <v>534</v>
      </c>
      <c r="D80" s="215">
        <v>1</v>
      </c>
      <c r="E80" s="209" t="s">
        <v>222</v>
      </c>
      <c r="F80" s="243">
        <v>116786</v>
      </c>
      <c r="G80" s="238">
        <f t="shared" si="21"/>
        <v>116786</v>
      </c>
      <c r="H80" s="244"/>
      <c r="I80" s="277"/>
      <c r="J80" s="271">
        <f t="shared" si="11"/>
        <v>175179</v>
      </c>
      <c r="K80" s="280">
        <f t="shared" si="13"/>
        <v>175179</v>
      </c>
      <c r="L80" s="263"/>
      <c r="M80" s="263"/>
      <c r="N80" s="251">
        <f t="shared" si="14"/>
        <v>11678.6</v>
      </c>
      <c r="O80" s="251">
        <f t="shared" si="15"/>
        <v>15941.289000000001</v>
      </c>
      <c r="P80" s="251">
        <f t="shared" si="16"/>
        <v>11678.6</v>
      </c>
      <c r="Q80" s="251">
        <f t="shared" si="17"/>
        <v>39298.489000000001</v>
      </c>
      <c r="R80" s="251">
        <f t="shared" si="18"/>
        <v>156084.489</v>
      </c>
      <c r="S80" s="251">
        <f t="shared" si="19"/>
        <v>156084.489</v>
      </c>
    </row>
    <row r="81" spans="2:19" ht="52">
      <c r="B81" s="211">
        <v>78</v>
      </c>
      <c r="C81" s="214" t="s">
        <v>535</v>
      </c>
      <c r="D81" s="215">
        <v>1</v>
      </c>
      <c r="E81" s="209" t="s">
        <v>222</v>
      </c>
      <c r="F81" s="243">
        <v>116786</v>
      </c>
      <c r="G81" s="238">
        <f t="shared" si="21"/>
        <v>116786</v>
      </c>
      <c r="H81" s="244"/>
      <c r="I81" s="277"/>
      <c r="J81" s="271">
        <f t="shared" si="11"/>
        <v>175179</v>
      </c>
      <c r="K81" s="280">
        <f t="shared" si="13"/>
        <v>175179</v>
      </c>
      <c r="L81" s="263"/>
      <c r="M81" s="263"/>
      <c r="N81" s="251">
        <f t="shared" si="14"/>
        <v>11678.6</v>
      </c>
      <c r="O81" s="251">
        <f t="shared" si="15"/>
        <v>15941.289000000001</v>
      </c>
      <c r="P81" s="251">
        <f t="shared" si="16"/>
        <v>11678.6</v>
      </c>
      <c r="Q81" s="251">
        <f t="shared" si="17"/>
        <v>39298.489000000001</v>
      </c>
      <c r="R81" s="251">
        <f t="shared" si="18"/>
        <v>156084.489</v>
      </c>
      <c r="S81" s="251">
        <f t="shared" si="19"/>
        <v>156084.489</v>
      </c>
    </row>
    <row r="82" spans="2:19" s="258" customFormat="1" ht="65">
      <c r="B82" s="252">
        <v>79</v>
      </c>
      <c r="C82" s="221" t="s">
        <v>536</v>
      </c>
      <c r="D82" s="253">
        <v>1</v>
      </c>
      <c r="E82" s="254" t="s">
        <v>222</v>
      </c>
      <c r="F82" s="255">
        <v>11964</v>
      </c>
      <c r="G82" s="242">
        <f t="shared" si="21"/>
        <v>11964</v>
      </c>
      <c r="H82" s="256"/>
      <c r="I82" s="286"/>
      <c r="J82" s="271">
        <f t="shared" si="11"/>
        <v>17946</v>
      </c>
      <c r="K82" s="280">
        <f t="shared" si="13"/>
        <v>17946</v>
      </c>
      <c r="L82" s="264"/>
      <c r="M82" s="264"/>
      <c r="N82" s="257">
        <f t="shared" si="14"/>
        <v>1196.4000000000001</v>
      </c>
      <c r="O82" s="257">
        <f t="shared" si="15"/>
        <v>1633.086</v>
      </c>
      <c r="P82" s="257">
        <f t="shared" si="16"/>
        <v>1196.4000000000001</v>
      </c>
      <c r="Q82" s="257">
        <f t="shared" si="17"/>
        <v>4025.886</v>
      </c>
      <c r="R82" s="257">
        <f t="shared" si="18"/>
        <v>15989.886</v>
      </c>
      <c r="S82" s="257">
        <f t="shared" si="19"/>
        <v>15989.886</v>
      </c>
    </row>
    <row r="83" spans="2:19" ht="39">
      <c r="B83" s="211">
        <v>80</v>
      </c>
      <c r="C83" s="214" t="s">
        <v>537</v>
      </c>
      <c r="D83" s="215">
        <v>6</v>
      </c>
      <c r="E83" s="209" t="s">
        <v>14</v>
      </c>
      <c r="F83" s="243">
        <v>8311</v>
      </c>
      <c r="G83" s="238">
        <f t="shared" si="21"/>
        <v>49866</v>
      </c>
      <c r="H83" s="244"/>
      <c r="I83" s="277"/>
      <c r="J83" s="271">
        <f t="shared" si="11"/>
        <v>12466.5</v>
      </c>
      <c r="K83" s="280">
        <f t="shared" si="13"/>
        <v>74799</v>
      </c>
      <c r="L83" s="263"/>
      <c r="M83" s="263"/>
      <c r="N83" s="251">
        <f t="shared" si="14"/>
        <v>831.1</v>
      </c>
      <c r="O83" s="251">
        <f t="shared" si="15"/>
        <v>1134.4515000000001</v>
      </c>
      <c r="P83" s="251">
        <f t="shared" si="16"/>
        <v>831.1</v>
      </c>
      <c r="Q83" s="251">
        <f t="shared" si="17"/>
        <v>2796.6514999999999</v>
      </c>
      <c r="R83" s="251">
        <f t="shared" si="18"/>
        <v>11107.6515</v>
      </c>
      <c r="S83" s="251">
        <f t="shared" si="19"/>
        <v>66645.909</v>
      </c>
    </row>
    <row r="84" spans="2:19" ht="26">
      <c r="B84" s="211">
        <v>81</v>
      </c>
      <c r="C84" s="214" t="s">
        <v>538</v>
      </c>
      <c r="D84" s="215">
        <v>3</v>
      </c>
      <c r="E84" s="209" t="s">
        <v>375</v>
      </c>
      <c r="F84" s="243">
        <v>620</v>
      </c>
      <c r="G84" s="238">
        <f t="shared" si="21"/>
        <v>1860</v>
      </c>
      <c r="H84" s="244"/>
      <c r="I84" s="277"/>
      <c r="J84" s="271">
        <f t="shared" si="11"/>
        <v>930</v>
      </c>
      <c r="K84" s="280">
        <f t="shared" si="13"/>
        <v>2790</v>
      </c>
      <c r="L84" s="263"/>
      <c r="M84" s="263"/>
      <c r="N84" s="251">
        <f t="shared" si="14"/>
        <v>62</v>
      </c>
      <c r="O84" s="251">
        <f t="shared" si="15"/>
        <v>84.63000000000001</v>
      </c>
      <c r="P84" s="251">
        <f t="shared" si="16"/>
        <v>62</v>
      </c>
      <c r="Q84" s="251">
        <f t="shared" si="17"/>
        <v>208.63</v>
      </c>
      <c r="R84" s="251">
        <f t="shared" si="18"/>
        <v>828.63</v>
      </c>
      <c r="S84" s="251">
        <f t="shared" si="19"/>
        <v>2485.89</v>
      </c>
    </row>
    <row r="85" spans="2:19">
      <c r="B85" s="211">
        <v>82</v>
      </c>
      <c r="C85" s="212" t="s">
        <v>340</v>
      </c>
      <c r="D85" s="213">
        <v>12</v>
      </c>
      <c r="E85" s="211" t="s">
        <v>14</v>
      </c>
      <c r="F85" s="245"/>
      <c r="G85" s="238">
        <f t="shared" si="21"/>
        <v>0</v>
      </c>
      <c r="H85" s="244"/>
      <c r="I85" s="277"/>
      <c r="J85" s="271">
        <f t="shared" si="11"/>
        <v>0</v>
      </c>
      <c r="K85" s="280">
        <f t="shared" si="13"/>
        <v>0</v>
      </c>
      <c r="L85" s="263"/>
      <c r="M85" s="263"/>
      <c r="N85" s="251">
        <f t="shared" si="14"/>
        <v>0</v>
      </c>
      <c r="O85" s="251">
        <f t="shared" si="15"/>
        <v>0</v>
      </c>
      <c r="P85" s="251">
        <f t="shared" si="16"/>
        <v>0</v>
      </c>
      <c r="Q85" s="251">
        <f t="shared" si="17"/>
        <v>0</v>
      </c>
      <c r="R85" s="251">
        <f t="shared" si="18"/>
        <v>0</v>
      </c>
      <c r="S85" s="251">
        <f t="shared" si="19"/>
        <v>0</v>
      </c>
    </row>
    <row r="86" spans="2:19">
      <c r="B86" s="211">
        <v>83</v>
      </c>
      <c r="C86" s="212" t="s">
        <v>29</v>
      </c>
      <c r="D86" s="213">
        <v>12</v>
      </c>
      <c r="E86" s="211" t="s">
        <v>14</v>
      </c>
      <c r="F86" s="245"/>
      <c r="G86" s="238">
        <f t="shared" si="21"/>
        <v>0</v>
      </c>
      <c r="H86" s="244"/>
      <c r="I86" s="277"/>
      <c r="J86" s="271">
        <f t="shared" si="11"/>
        <v>0</v>
      </c>
      <c r="K86" s="280">
        <f t="shared" si="13"/>
        <v>0</v>
      </c>
      <c r="L86" s="263"/>
      <c r="M86" s="263"/>
      <c r="N86" s="251">
        <f t="shared" si="14"/>
        <v>0</v>
      </c>
      <c r="O86" s="251">
        <f t="shared" si="15"/>
        <v>0</v>
      </c>
      <c r="P86" s="251">
        <f t="shared" si="16"/>
        <v>0</v>
      </c>
      <c r="Q86" s="251">
        <f t="shared" si="17"/>
        <v>0</v>
      </c>
      <c r="R86" s="251">
        <f t="shared" si="18"/>
        <v>0</v>
      </c>
      <c r="S86" s="251">
        <f t="shared" si="19"/>
        <v>0</v>
      </c>
    </row>
    <row r="87" spans="2:19">
      <c r="B87" s="211">
        <v>84</v>
      </c>
      <c r="C87" s="212" t="s">
        <v>26</v>
      </c>
      <c r="D87" s="209">
        <v>4</v>
      </c>
      <c r="E87" s="209" t="s">
        <v>14</v>
      </c>
      <c r="F87" s="245">
        <v>19500</v>
      </c>
      <c r="G87" s="238">
        <f t="shared" si="21"/>
        <v>78000</v>
      </c>
      <c r="H87" s="244"/>
      <c r="I87" s="277"/>
      <c r="J87" s="271">
        <f t="shared" si="11"/>
        <v>29250</v>
      </c>
      <c r="K87" s="280">
        <f t="shared" si="13"/>
        <v>117000</v>
      </c>
      <c r="L87" s="263"/>
      <c r="M87" s="263"/>
      <c r="N87" s="251">
        <f t="shared" si="14"/>
        <v>1950</v>
      </c>
      <c r="O87" s="251">
        <f t="shared" si="15"/>
        <v>2661.75</v>
      </c>
      <c r="P87" s="251">
        <f t="shared" si="16"/>
        <v>1950</v>
      </c>
      <c r="Q87" s="251">
        <f t="shared" si="17"/>
        <v>6561.75</v>
      </c>
      <c r="R87" s="251">
        <f t="shared" si="18"/>
        <v>26061.75</v>
      </c>
      <c r="S87" s="251">
        <f t="shared" si="19"/>
        <v>104247</v>
      </c>
    </row>
    <row r="88" spans="2:19">
      <c r="B88" s="211">
        <v>85</v>
      </c>
      <c r="C88" s="212" t="s">
        <v>339</v>
      </c>
      <c r="D88" s="209">
        <v>4</v>
      </c>
      <c r="E88" s="209" t="s">
        <v>14</v>
      </c>
      <c r="F88" s="245">
        <v>11900</v>
      </c>
      <c r="G88" s="238">
        <f t="shared" si="21"/>
        <v>47600</v>
      </c>
      <c r="H88" s="244"/>
      <c r="I88" s="277"/>
      <c r="J88" s="271">
        <f t="shared" si="11"/>
        <v>17850</v>
      </c>
      <c r="K88" s="280">
        <f t="shared" si="13"/>
        <v>71400</v>
      </c>
      <c r="L88" s="263"/>
      <c r="M88" s="263"/>
      <c r="N88" s="251">
        <f t="shared" si="14"/>
        <v>1190</v>
      </c>
      <c r="O88" s="251">
        <f t="shared" si="15"/>
        <v>1624.3500000000001</v>
      </c>
      <c r="P88" s="251">
        <f t="shared" si="16"/>
        <v>1190</v>
      </c>
      <c r="Q88" s="251">
        <f t="shared" si="17"/>
        <v>4004.3500000000004</v>
      </c>
      <c r="R88" s="251">
        <f t="shared" si="18"/>
        <v>15904.35</v>
      </c>
      <c r="S88" s="251">
        <f t="shared" si="19"/>
        <v>63617.4</v>
      </c>
    </row>
    <row r="89" spans="2:19">
      <c r="B89" s="211">
        <v>86</v>
      </c>
      <c r="C89" s="214" t="s">
        <v>341</v>
      </c>
      <c r="D89" s="209">
        <v>2</v>
      </c>
      <c r="E89" s="209" t="s">
        <v>14</v>
      </c>
      <c r="F89" s="245">
        <v>22000</v>
      </c>
      <c r="G89" s="238">
        <f t="shared" si="21"/>
        <v>44000</v>
      </c>
      <c r="H89" s="244"/>
      <c r="I89" s="277"/>
      <c r="J89" s="271">
        <f t="shared" si="11"/>
        <v>33000</v>
      </c>
      <c r="K89" s="280">
        <f t="shared" si="13"/>
        <v>66000</v>
      </c>
      <c r="L89" s="263"/>
      <c r="M89" s="263"/>
      <c r="N89" s="251">
        <f t="shared" si="14"/>
        <v>2200</v>
      </c>
      <c r="O89" s="251">
        <f t="shared" si="15"/>
        <v>3003</v>
      </c>
      <c r="P89" s="251">
        <f t="shared" si="16"/>
        <v>2200</v>
      </c>
      <c r="Q89" s="251">
        <f t="shared" si="17"/>
        <v>7403</v>
      </c>
      <c r="R89" s="251">
        <f t="shared" si="18"/>
        <v>29403</v>
      </c>
      <c r="S89" s="251">
        <f t="shared" si="19"/>
        <v>58806</v>
      </c>
    </row>
    <row r="90" spans="2:19">
      <c r="B90" s="210"/>
      <c r="C90" s="214"/>
      <c r="D90" s="209"/>
      <c r="E90" s="209"/>
      <c r="F90" s="243"/>
      <c r="G90" s="246">
        <f>SUM(G2:G86)</f>
        <v>3057670.8629999999</v>
      </c>
      <c r="H90" s="244"/>
      <c r="I90" s="277"/>
      <c r="J90" s="278"/>
      <c r="K90" s="246">
        <f>SUM(K2:K86)</f>
        <v>4295229.1579999998</v>
      </c>
      <c r="L90" s="263"/>
      <c r="M90" s="263"/>
      <c r="S90" s="251">
        <f>SUM(S2:S89)</f>
        <v>4294763.4728295011</v>
      </c>
    </row>
    <row r="91" spans="2:19">
      <c r="F91" s="247"/>
      <c r="G91" s="247"/>
      <c r="H91" s="248"/>
    </row>
    <row r="92" spans="2:19" ht="169">
      <c r="B92" s="210"/>
      <c r="C92" s="214" t="s">
        <v>540</v>
      </c>
      <c r="D92" s="209"/>
      <c r="E92" s="209"/>
      <c r="F92" s="243">
        <v>749</v>
      </c>
      <c r="G92" s="243"/>
      <c r="H92" s="244"/>
      <c r="I92" s="277"/>
      <c r="J92" s="278"/>
      <c r="K92" s="278"/>
    </row>
    <row r="93" spans="2:19" ht="221">
      <c r="B93" s="210"/>
      <c r="C93" s="214" t="s">
        <v>541</v>
      </c>
      <c r="D93" s="216">
        <v>7.14</v>
      </c>
      <c r="E93" s="218" t="s">
        <v>62</v>
      </c>
      <c r="F93" s="238">
        <v>1937</v>
      </c>
      <c r="G93" s="238">
        <f t="shared" ref="G93" si="22">D93*F93</f>
        <v>13830.179999999998</v>
      </c>
      <c r="H93" s="239"/>
      <c r="I93" s="279"/>
      <c r="J93" s="271">
        <v>3250</v>
      </c>
      <c r="K93" s="280">
        <f t="shared" ref="K93" si="23">J93*D93</f>
        <v>23205</v>
      </c>
    </row>
  </sheetData>
  <mergeCells count="2">
    <mergeCell ref="B1:H1"/>
    <mergeCell ref="H74:H75"/>
  </mergeCells>
  <conditionalFormatting sqref="F2:F13">
    <cfRule type="cellIs" dxfId="33" priority="12" operator="equal">
      <formula>0</formula>
    </cfRule>
  </conditionalFormatting>
  <conditionalFormatting sqref="C14:E18 C19:F29 B2:F5 C71:I74 C87:E87 C6:F13 B6:B29 F87:F89 C86:F86 H86:I87 G86:G90 C76:I85 C75:G75 L76:M87 G2:M29 G33:I70 J33:J89 G32:J32 K32:K90 L32:M74 B32:B89 C32:F70">
    <cfRule type="expression" dxfId="32" priority="11">
      <formula>ROW()=CELL("row")</formula>
    </cfRule>
  </conditionalFormatting>
  <conditionalFormatting sqref="F19:F29 F32:F52">
    <cfRule type="cellIs" dxfId="31" priority="10" operator="equal">
      <formula>0</formula>
    </cfRule>
  </conditionalFormatting>
  <conditionalFormatting sqref="F14:F18">
    <cfRule type="cellIs" dxfId="30" priority="9" operator="equal">
      <formula>0</formula>
    </cfRule>
  </conditionalFormatting>
  <conditionalFormatting sqref="F14:F18">
    <cfRule type="expression" dxfId="29" priority="8">
      <formula>ROW()=CELL("row")</formula>
    </cfRule>
  </conditionalFormatting>
  <conditionalFormatting sqref="F53:F55">
    <cfRule type="cellIs" dxfId="28" priority="7" operator="equal">
      <formula>0</formula>
    </cfRule>
  </conditionalFormatting>
  <conditionalFormatting sqref="F56:F70">
    <cfRule type="cellIs" dxfId="27" priority="6" operator="equal">
      <formula>0</formula>
    </cfRule>
  </conditionalFormatting>
  <conditionalFormatting sqref="F72:F77">
    <cfRule type="cellIs" dxfId="26" priority="5" operator="equal">
      <formula>0</formula>
    </cfRule>
  </conditionalFormatting>
  <conditionalFormatting sqref="D93:K93">
    <cfRule type="expression" dxfId="25" priority="4">
      <formula>ROW()=CELL("row")</formula>
    </cfRule>
  </conditionalFormatting>
  <conditionalFormatting sqref="F93">
    <cfRule type="cellIs" dxfId="24" priority="3" operator="equal">
      <formula>0</formula>
    </cfRule>
  </conditionalFormatting>
  <conditionalFormatting sqref="D31:K31">
    <cfRule type="expression" dxfId="23" priority="2">
      <formula>ROW()=CELL("row")</formula>
    </cfRule>
  </conditionalFormatting>
  <conditionalFormatting sqref="F31">
    <cfRule type="cellIs" dxfId="22" priority="1" operator="equal">
      <formula>0</formula>
    </cfRule>
  </conditionalFormatting>
  <pageMargins left="0.70866141732283472" right="0.70866141732283472" top="0.15748031496062992" bottom="0.15748031496062992" header="0.31496062992125984" footer="0.31496062992125984"/>
  <pageSetup paperSize="9" scale="9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F821"/>
  <sheetViews>
    <sheetView tabSelected="1" zoomScale="70" zoomScaleNormal="70" zoomScaleSheetLayoutView="75" workbookViewId="0">
      <pane ySplit="4" topLeftCell="A622" activePane="bottomLeft" state="frozen"/>
      <selection pane="bottomLeft" activeCell="G648" sqref="G648"/>
    </sheetView>
  </sheetViews>
  <sheetFormatPr defaultColWidth="8.796875" defaultRowHeight="15.5" outlineLevelRow="1"/>
  <cols>
    <col min="1" max="1" width="5.59765625" style="1016" customWidth="1"/>
    <col min="2" max="2" width="5.19921875" style="1016" customWidth="1"/>
    <col min="3" max="3" width="10" style="1016" customWidth="1"/>
    <col min="4" max="4" width="75.19921875" style="1153" customWidth="1"/>
    <col min="5" max="5" width="6.5" style="1016" bestFit="1" customWidth="1"/>
    <col min="6" max="6" width="6.09765625" style="1016" customWidth="1"/>
    <col min="7" max="7" width="12.296875" style="1016" customWidth="1"/>
    <col min="8" max="8" width="17.69921875" style="1016" customWidth="1"/>
    <col min="9" max="9" width="10.796875" style="1157" customWidth="1"/>
    <col min="10" max="10" width="6.09765625" style="1040" customWidth="1"/>
    <col min="11" max="11" width="12.09765625" style="1040" customWidth="1"/>
    <col min="12" max="12" width="18.3984375" style="1040" bestFit="1" customWidth="1"/>
    <col min="13" max="13" width="16" style="1040" customWidth="1"/>
    <col min="14" max="14" width="15.796875" style="1040" customWidth="1"/>
    <col min="15" max="15" width="31.09765625" style="1158" customWidth="1"/>
    <col min="16" max="16" width="8" style="1040" customWidth="1"/>
    <col min="17" max="17" width="12.19921875" style="1040" bestFit="1" customWidth="1"/>
    <col min="18" max="19" width="21.796875" style="1016" customWidth="1"/>
    <col min="20" max="20" width="21.796875" style="1079" customWidth="1"/>
    <col min="21" max="24" width="21.796875" style="1016" customWidth="1"/>
    <col min="25" max="16384" width="8.796875" style="1016"/>
  </cols>
  <sheetData>
    <row r="1" spans="1:32" s="1014" customFormat="1">
      <c r="D1" s="1009"/>
      <c r="E1" s="1008"/>
      <c r="F1" s="1008"/>
      <c r="G1" s="1008"/>
      <c r="H1" s="1008"/>
      <c r="I1" s="1010"/>
      <c r="J1" s="1011"/>
      <c r="K1" s="1011"/>
      <c r="L1" s="1011"/>
      <c r="M1" s="1011"/>
      <c r="N1" s="1011"/>
      <c r="O1" s="1012"/>
      <c r="P1" s="1013"/>
      <c r="Q1" s="1013"/>
      <c r="T1" s="1015"/>
      <c r="AE1" s="1016"/>
      <c r="AF1" s="1017"/>
    </row>
    <row r="2" spans="1:32" s="1014" customFormat="1" ht="28.9" customHeight="1">
      <c r="A2" s="1239" t="s">
        <v>309</v>
      </c>
      <c r="B2" s="1240"/>
      <c r="C2" s="1240"/>
      <c r="D2" s="1240"/>
      <c r="E2" s="1240"/>
      <c r="F2" s="1240"/>
      <c r="G2" s="1240"/>
      <c r="H2" s="1240"/>
      <c r="I2" s="1240"/>
      <c r="J2" s="1240"/>
      <c r="K2" s="1240"/>
      <c r="L2" s="1240"/>
      <c r="M2" s="1240"/>
      <c r="N2" s="1240"/>
      <c r="O2" s="1241"/>
      <c r="P2" s="1018"/>
      <c r="Q2" s="1013"/>
      <c r="T2" s="1015"/>
      <c r="AE2" s="1016"/>
      <c r="AF2" s="1017"/>
    </row>
    <row r="3" spans="1:32" ht="27.75" customHeight="1">
      <c r="A3" s="1242" t="s">
        <v>2445</v>
      </c>
      <c r="B3" s="1243" t="s">
        <v>471</v>
      </c>
      <c r="C3" s="1243" t="s">
        <v>472</v>
      </c>
      <c r="D3" s="1244" t="s">
        <v>64</v>
      </c>
      <c r="E3" s="1245" t="s">
        <v>2435</v>
      </c>
      <c r="F3" s="1245"/>
      <c r="G3" s="1245"/>
      <c r="H3" s="1245"/>
      <c r="I3" s="1246" t="s">
        <v>432</v>
      </c>
      <c r="J3" s="1246"/>
      <c r="K3" s="1246"/>
      <c r="L3" s="1246"/>
      <c r="M3" s="1247" t="s">
        <v>269</v>
      </c>
      <c r="N3" s="1247" t="s">
        <v>270</v>
      </c>
      <c r="O3" s="1238" t="s">
        <v>271</v>
      </c>
      <c r="P3" s="1021"/>
      <c r="Q3" s="1022"/>
      <c r="R3" s="1023"/>
      <c r="S3" s="1023"/>
      <c r="T3" s="1023"/>
      <c r="X3" s="1024"/>
      <c r="Y3" s="1024"/>
      <c r="Z3" s="1024"/>
      <c r="AA3" s="1024"/>
      <c r="AB3" s="1024"/>
      <c r="AC3" s="1024"/>
      <c r="AD3" s="1024"/>
    </row>
    <row r="4" spans="1:32" ht="31">
      <c r="A4" s="1242"/>
      <c r="B4" s="1243"/>
      <c r="C4" s="1243"/>
      <c r="D4" s="1244"/>
      <c r="E4" s="1019" t="s">
        <v>263</v>
      </c>
      <c r="F4" s="1019" t="s">
        <v>264</v>
      </c>
      <c r="G4" s="1019" t="s">
        <v>265</v>
      </c>
      <c r="H4" s="1019" t="s">
        <v>266</v>
      </c>
      <c r="I4" s="1025" t="s">
        <v>263</v>
      </c>
      <c r="J4" s="1019" t="s">
        <v>264</v>
      </c>
      <c r="K4" s="1019" t="s">
        <v>265</v>
      </c>
      <c r="L4" s="1019" t="s">
        <v>266</v>
      </c>
      <c r="M4" s="1247"/>
      <c r="N4" s="1247"/>
      <c r="O4" s="1238"/>
      <c r="P4" s="1026"/>
      <c r="Q4" s="1019"/>
      <c r="R4" s="1019"/>
      <c r="S4" s="1019"/>
      <c r="T4" s="1027"/>
      <c r="U4" s="1028"/>
      <c r="V4" s="1028"/>
      <c r="W4" s="1028"/>
      <c r="X4" s="1014"/>
      <c r="Y4" s="1014"/>
      <c r="Z4" s="1014"/>
      <c r="AA4" s="1014"/>
      <c r="AB4" s="1014"/>
      <c r="AC4" s="1014"/>
      <c r="AD4" s="1014"/>
    </row>
    <row r="5" spans="1:32" s="1082" customFormat="1">
      <c r="A5" s="1028">
        <v>1</v>
      </c>
      <c r="B5" s="1028">
        <v>2</v>
      </c>
      <c r="C5" s="1028">
        <v>3</v>
      </c>
      <c r="D5" s="1019">
        <v>4</v>
      </c>
      <c r="E5" s="1019">
        <v>5</v>
      </c>
      <c r="F5" s="1019">
        <v>6</v>
      </c>
      <c r="G5" s="1019">
        <v>7</v>
      </c>
      <c r="H5" s="1019">
        <v>8</v>
      </c>
      <c r="I5" s="1025">
        <v>9</v>
      </c>
      <c r="J5" s="1019">
        <v>10</v>
      </c>
      <c r="K5" s="1019">
        <v>11</v>
      </c>
      <c r="L5" s="1019">
        <v>12</v>
      </c>
      <c r="M5" s="1019">
        <v>13</v>
      </c>
      <c r="N5" s="1019">
        <v>14</v>
      </c>
      <c r="O5" s="1019">
        <v>15</v>
      </c>
      <c r="P5" s="1026"/>
      <c r="Q5" s="1019"/>
      <c r="R5" s="1019"/>
      <c r="S5" s="1019"/>
      <c r="T5" s="1027"/>
      <c r="U5" s="1028"/>
      <c r="V5" s="1028"/>
      <c r="W5" s="1028"/>
      <c r="X5" s="1219"/>
      <c r="Y5" s="1219"/>
      <c r="Z5" s="1219"/>
      <c r="AA5" s="1219"/>
      <c r="AB5" s="1219"/>
      <c r="AC5" s="1219"/>
      <c r="AD5" s="1219"/>
    </row>
    <row r="6" spans="1:32" ht="31">
      <c r="A6" s="1014"/>
      <c r="B6" s="1014"/>
      <c r="C6" s="1014"/>
      <c r="D6" s="1029" t="s">
        <v>275</v>
      </c>
      <c r="E6" s="1019"/>
      <c r="F6" s="1019"/>
      <c r="G6" s="1019"/>
      <c r="H6" s="1019"/>
      <c r="I6" s="1025"/>
      <c r="J6" s="1019"/>
      <c r="K6" s="1019"/>
      <c r="L6" s="1019"/>
      <c r="M6" s="1019"/>
      <c r="N6" s="1019"/>
      <c r="O6" s="1020"/>
      <c r="P6" s="1026"/>
      <c r="Q6" s="1019"/>
      <c r="R6" s="1030" t="s">
        <v>425</v>
      </c>
      <c r="S6" s="1030" t="s">
        <v>426</v>
      </c>
      <c r="T6" s="1015" t="s">
        <v>427</v>
      </c>
      <c r="U6" s="1011" t="s">
        <v>428</v>
      </c>
      <c r="V6" s="1028"/>
      <c r="W6" s="1028"/>
      <c r="X6" s="1014"/>
      <c r="Y6" s="1014"/>
      <c r="Z6" s="1014"/>
      <c r="AA6" s="1014"/>
      <c r="AB6" s="1014"/>
      <c r="AC6" s="1014"/>
      <c r="AD6" s="1014"/>
    </row>
    <row r="7" spans="1:32" ht="38" customHeight="1" outlineLevel="1">
      <c r="A7" s="1031">
        <v>1</v>
      </c>
      <c r="B7" s="1013">
        <f>IF(ISBLANK(A7),"",A7)</f>
        <v>1</v>
      </c>
      <c r="C7" s="1125" t="str">
        <f>IF(ISBLANK(B7), "", IF(B7&lt;10, "IVF00" &amp; B7, IF(AND(B7&gt;=10, B7&lt;=99), "IVF0" &amp; B7, IF(B7&gt;99, "IVF" &amp; B7))))</f>
        <v>IVF001</v>
      </c>
      <c r="D7" s="1009" t="s">
        <v>65</v>
      </c>
      <c r="E7" s="1031">
        <v>2</v>
      </c>
      <c r="F7" s="1030" t="s">
        <v>66</v>
      </c>
      <c r="G7" s="1032">
        <v>240000</v>
      </c>
      <c r="H7" s="1033">
        <f>ROUND(E7*G7,0)</f>
        <v>480000</v>
      </c>
      <c r="I7" s="1034">
        <f>E7</f>
        <v>2</v>
      </c>
      <c r="J7" s="1031" t="str">
        <f>F7</f>
        <v>No</v>
      </c>
      <c r="K7" s="1033">
        <f>G7</f>
        <v>240000</v>
      </c>
      <c r="L7" s="1033">
        <f>ROUND(I7*K7,0)</f>
        <v>480000</v>
      </c>
      <c r="M7" s="1035">
        <f>IF(L7&gt;H7,L7-H7,0)</f>
        <v>0</v>
      </c>
      <c r="N7" s="1033">
        <f>IF(H7&gt;L7,H7-L7,0)</f>
        <v>0</v>
      </c>
      <c r="O7" s="1012" t="s">
        <v>2353</v>
      </c>
      <c r="P7" s="1018" t="s">
        <v>429</v>
      </c>
      <c r="Q7" s="1013" t="s">
        <v>429</v>
      </c>
      <c r="R7" s="1036">
        <f ca="1">SUMIF($P$7:$P$756,Q7,$H$7:$H$755)</f>
        <v>26018225</v>
      </c>
      <c r="S7" s="1036">
        <f ca="1">SUMIF($P$7:$P$756,Q7,$L$7:$L$755)</f>
        <v>25908225</v>
      </c>
      <c r="T7" s="1036">
        <f t="shared" ref="T7:T12" si="0">SUMIF($P$7:$P$755,Q7,$M$7:$M$755)</f>
        <v>0</v>
      </c>
      <c r="U7" s="1036">
        <f t="shared" ref="U7:U12" si="1">SUMIF($P$7:$P$755,Q7,$N$7:$N$755)</f>
        <v>110000</v>
      </c>
      <c r="V7" s="1037"/>
      <c r="W7" s="1038"/>
      <c r="X7" s="1014"/>
      <c r="Y7" s="1014"/>
      <c r="Z7" s="1014"/>
      <c r="AA7" s="1014"/>
      <c r="AB7" s="1014"/>
      <c r="AC7" s="1014"/>
      <c r="AD7" s="1014"/>
    </row>
    <row r="8" spans="1:32" ht="17.25" customHeight="1" outlineLevel="1">
      <c r="A8" s="1011"/>
      <c r="B8" s="1013"/>
      <c r="C8" s="1125" t="str">
        <f t="shared" ref="C8:C70" si="2">IF(ISBLANK(B8), "", IF(B8&lt;10, "IVF00" &amp; B8, IF(AND(B8&gt;=10, B8&lt;=99), "IVF0" &amp; B8, IF(B8&gt;99, "IVF" &amp; B8))))</f>
        <v/>
      </c>
      <c r="D8" s="1122" t="s">
        <v>2490</v>
      </c>
      <c r="E8" s="1011"/>
      <c r="F8" s="1011"/>
      <c r="G8" s="1035"/>
      <c r="H8" s="1035"/>
      <c r="I8" s="1010"/>
      <c r="J8" s="1011"/>
      <c r="K8" s="1035"/>
      <c r="L8" s="1035"/>
      <c r="M8" s="1035"/>
      <c r="N8" s="1035"/>
      <c r="O8" s="1012"/>
      <c r="P8" s="1018" t="s">
        <v>429</v>
      </c>
      <c r="Q8" s="1013" t="s">
        <v>413</v>
      </c>
      <c r="R8" s="1036">
        <f t="shared" ref="R8:R12" ca="1" si="3">SUMIF($P$7:$P$756,Q8,$H$7:$H$755)</f>
        <v>7431553</v>
      </c>
      <c r="S8" s="1036">
        <f t="shared" ref="S8:S12" ca="1" si="4">SUMIF($P$7:$P$756,Q8,$L$7:$L$755)</f>
        <v>5592765</v>
      </c>
      <c r="T8" s="1036">
        <f t="shared" si="0"/>
        <v>459997</v>
      </c>
      <c r="U8" s="1036">
        <f t="shared" si="1"/>
        <v>2298785</v>
      </c>
      <c r="V8" s="1037"/>
      <c r="W8" s="1038"/>
      <c r="X8" s="1014"/>
      <c r="Y8" s="1014"/>
      <c r="Z8" s="1014"/>
      <c r="AA8" s="1014"/>
      <c r="AB8" s="1014"/>
      <c r="AC8" s="1014"/>
      <c r="AD8" s="1014"/>
    </row>
    <row r="9" spans="1:32" ht="17.25" customHeight="1" outlineLevel="1">
      <c r="A9" s="1011"/>
      <c r="B9" s="1013"/>
      <c r="C9" s="1125" t="str">
        <f t="shared" si="2"/>
        <v/>
      </c>
      <c r="D9" s="1122"/>
      <c r="E9" s="1011"/>
      <c r="F9" s="1011"/>
      <c r="G9" s="1035"/>
      <c r="H9" s="1035"/>
      <c r="I9" s="1010"/>
      <c r="J9" s="1011"/>
      <c r="K9" s="1035"/>
      <c r="L9" s="1035"/>
      <c r="M9" s="1035"/>
      <c r="N9" s="1035"/>
      <c r="O9" s="1012"/>
      <c r="P9" s="1018" t="s">
        <v>429</v>
      </c>
      <c r="Q9" s="1013" t="s">
        <v>414</v>
      </c>
      <c r="R9" s="1036">
        <f t="shared" ca="1" si="3"/>
        <v>204480</v>
      </c>
      <c r="S9" s="1036">
        <f t="shared" ca="1" si="4"/>
        <v>102352</v>
      </c>
      <c r="T9" s="1036">
        <f t="shared" si="0"/>
        <v>0</v>
      </c>
      <c r="U9" s="1036">
        <f t="shared" si="1"/>
        <v>102128</v>
      </c>
      <c r="V9" s="1037"/>
      <c r="W9" s="1038"/>
      <c r="X9" s="1014"/>
      <c r="Y9" s="1014"/>
      <c r="Z9" s="1014"/>
      <c r="AA9" s="1014"/>
      <c r="AB9" s="1014"/>
      <c r="AC9" s="1014"/>
      <c r="AD9" s="1014"/>
    </row>
    <row r="10" spans="1:32" ht="31" outlineLevel="1">
      <c r="A10" s="1031">
        <v>2</v>
      </c>
      <c r="B10" s="1013">
        <f t="shared" ref="B10:B71" si="5">IF(ISBLANK(A10),"",A10)</f>
        <v>2</v>
      </c>
      <c r="C10" s="1125" t="str">
        <f t="shared" si="2"/>
        <v>IVF002</v>
      </c>
      <c r="D10" s="1009" t="s">
        <v>67</v>
      </c>
      <c r="E10" s="1031">
        <v>2</v>
      </c>
      <c r="F10" s="1030" t="s">
        <v>66</v>
      </c>
      <c r="G10" s="1032">
        <v>49500</v>
      </c>
      <c r="H10" s="1033">
        <f>ROUND(E10*G10,0)</f>
        <v>99000</v>
      </c>
      <c r="I10" s="1034">
        <f>E10</f>
        <v>2</v>
      </c>
      <c r="J10" s="1031" t="str">
        <f>F10</f>
        <v>No</v>
      </c>
      <c r="K10" s="1033">
        <f>G10</f>
        <v>49500</v>
      </c>
      <c r="L10" s="1033">
        <f>ROUND(I10*K10,0)</f>
        <v>99000</v>
      </c>
      <c r="M10" s="1035">
        <f>IF(L10&gt;H10,L10-H10,0)</f>
        <v>0</v>
      </c>
      <c r="N10" s="1033">
        <f>IF(H10&gt;L10,H10-L10,0)</f>
        <v>0</v>
      </c>
      <c r="O10" s="1012" t="s">
        <v>2353</v>
      </c>
      <c r="P10" s="1018" t="s">
        <v>429</v>
      </c>
      <c r="Q10" s="1013" t="s">
        <v>412</v>
      </c>
      <c r="R10" s="1036">
        <f t="shared" ca="1" si="3"/>
        <v>3732008</v>
      </c>
      <c r="S10" s="1036">
        <f t="shared" ca="1" si="4"/>
        <v>4056397</v>
      </c>
      <c r="T10" s="1036">
        <f t="shared" si="0"/>
        <v>905315</v>
      </c>
      <c r="U10" s="1036">
        <f t="shared" si="1"/>
        <v>580926</v>
      </c>
      <c r="V10" s="1037"/>
      <c r="W10" s="1038"/>
      <c r="X10" s="1014"/>
      <c r="Y10" s="1014"/>
      <c r="Z10" s="1014"/>
      <c r="AA10" s="1014"/>
      <c r="AB10" s="1014"/>
      <c r="AC10" s="1014"/>
      <c r="AD10" s="1014"/>
    </row>
    <row r="11" spans="1:32" ht="17.25" customHeight="1" outlineLevel="1">
      <c r="A11" s="1011"/>
      <c r="B11" s="1013" t="str">
        <f t="shared" si="5"/>
        <v/>
      </c>
      <c r="C11" s="1125"/>
      <c r="D11" s="1122" t="s">
        <v>2488</v>
      </c>
      <c r="E11" s="1011"/>
      <c r="F11" s="1011"/>
      <c r="G11" s="1035"/>
      <c r="H11" s="1035"/>
      <c r="I11" s="1010"/>
      <c r="J11" s="1011"/>
      <c r="K11" s="1035"/>
      <c r="L11" s="1035"/>
      <c r="M11" s="1035"/>
      <c r="N11" s="1035"/>
      <c r="O11" s="1012"/>
      <c r="P11" s="1018" t="s">
        <v>429</v>
      </c>
      <c r="Q11" s="1013" t="s">
        <v>415</v>
      </c>
      <c r="R11" s="1036">
        <f t="shared" ca="1" si="3"/>
        <v>827000</v>
      </c>
      <c r="S11" s="1036">
        <f t="shared" ca="1" si="4"/>
        <v>827000</v>
      </c>
      <c r="T11" s="1036">
        <f t="shared" si="0"/>
        <v>0</v>
      </c>
      <c r="U11" s="1036">
        <f t="shared" si="1"/>
        <v>0</v>
      </c>
      <c r="V11" s="1037"/>
      <c r="W11" s="1038"/>
      <c r="X11" s="1014"/>
      <c r="Y11" s="1014"/>
      <c r="Z11" s="1014"/>
      <c r="AA11" s="1014"/>
      <c r="AB11" s="1014"/>
      <c r="AC11" s="1014"/>
      <c r="AD11" s="1014"/>
    </row>
    <row r="12" spans="1:32" ht="17.25" customHeight="1" outlineLevel="1">
      <c r="A12" s="1011"/>
      <c r="B12" s="1013" t="str">
        <f t="shared" si="5"/>
        <v/>
      </c>
      <c r="C12" s="1125"/>
      <c r="D12" s="1122"/>
      <c r="E12" s="1011"/>
      <c r="F12" s="1011"/>
      <c r="G12" s="1035"/>
      <c r="H12" s="1035"/>
      <c r="I12" s="1010"/>
      <c r="J12" s="1011"/>
      <c r="K12" s="1035"/>
      <c r="L12" s="1035"/>
      <c r="M12" s="1035"/>
      <c r="N12" s="1035"/>
      <c r="O12" s="1012"/>
      <c r="P12" s="1018" t="s">
        <v>429</v>
      </c>
      <c r="Q12" s="1040" t="s">
        <v>416</v>
      </c>
      <c r="R12" s="1220">
        <f t="shared" ca="1" si="3"/>
        <v>735880</v>
      </c>
      <c r="S12" s="1220">
        <f t="shared" ca="1" si="4"/>
        <v>735880</v>
      </c>
      <c r="T12" s="1221">
        <f t="shared" si="0"/>
        <v>0</v>
      </c>
      <c r="U12" s="1220">
        <f t="shared" si="1"/>
        <v>0</v>
      </c>
      <c r="V12" s="1037"/>
      <c r="W12" s="1038"/>
      <c r="X12" s="1014"/>
      <c r="Y12" s="1014"/>
      <c r="Z12" s="1014"/>
      <c r="AA12" s="1014"/>
      <c r="AB12" s="1014"/>
      <c r="AC12" s="1014"/>
      <c r="AD12" s="1014"/>
    </row>
    <row r="13" spans="1:32" ht="31" outlineLevel="1">
      <c r="A13" s="1031">
        <v>3</v>
      </c>
      <c r="B13" s="1013">
        <f t="shared" si="5"/>
        <v>3</v>
      </c>
      <c r="C13" s="1125" t="str">
        <f t="shared" si="2"/>
        <v>IVF003</v>
      </c>
      <c r="D13" s="1009" t="s">
        <v>68</v>
      </c>
      <c r="E13" s="1031">
        <v>2</v>
      </c>
      <c r="F13" s="1030" t="s">
        <v>66</v>
      </c>
      <c r="G13" s="1032">
        <v>1365000</v>
      </c>
      <c r="H13" s="1033">
        <f>ROUND(E13*G13,0)</f>
        <v>2730000</v>
      </c>
      <c r="I13" s="1034">
        <f>E13</f>
        <v>2</v>
      </c>
      <c r="J13" s="1031" t="str">
        <f>F13</f>
        <v>No</v>
      </c>
      <c r="K13" s="1033">
        <f>G13</f>
        <v>1365000</v>
      </c>
      <c r="L13" s="1033">
        <f>ROUND(I13*K13,0)</f>
        <v>2730000</v>
      </c>
      <c r="M13" s="1035">
        <f>IF(L13&gt;H13,L13-H13,0)</f>
        <v>0</v>
      </c>
      <c r="N13" s="1033">
        <f>IF(H13&gt;L13,H13-L13,0)</f>
        <v>0</v>
      </c>
      <c r="O13" s="1008" t="s">
        <v>2353</v>
      </c>
      <c r="P13" s="1018" t="s">
        <v>429</v>
      </c>
      <c r="Q13" s="1013" t="s">
        <v>417</v>
      </c>
      <c r="R13" s="1036">
        <f t="shared" ref="R13:R21" ca="1" si="6">SUMIF($P$7:$P$756,Q13,$H$7:$H$755)</f>
        <v>3879885</v>
      </c>
      <c r="S13" s="1036">
        <f t="shared" ref="S13:S21" ca="1" si="7">SUMIF($P$7:$P$756,Q13,$L$7:$L$755)</f>
        <v>3839005</v>
      </c>
      <c r="T13" s="1036">
        <f t="shared" ref="T13:T21" si="8">SUMIF($P$7:$P$755,Q13,$M$7:$M$755)</f>
        <v>355055</v>
      </c>
      <c r="U13" s="1036">
        <f t="shared" ref="U13:U21" si="9">SUMIF($P$7:$P$755,Q13,$N$7:$N$755)</f>
        <v>395935</v>
      </c>
      <c r="V13" s="1037"/>
      <c r="W13" s="1038"/>
      <c r="X13" s="1014"/>
      <c r="Y13" s="1014"/>
      <c r="Z13" s="1014"/>
      <c r="AA13" s="1014"/>
      <c r="AB13" s="1014"/>
      <c r="AC13" s="1014"/>
      <c r="AD13" s="1014"/>
    </row>
    <row r="14" spans="1:32" outlineLevel="1">
      <c r="A14" s="1011"/>
      <c r="B14" s="1013" t="str">
        <f t="shared" si="5"/>
        <v/>
      </c>
      <c r="C14" s="1125"/>
      <c r="D14" s="1122" t="s">
        <v>2488</v>
      </c>
      <c r="E14" s="1011"/>
      <c r="F14" s="1011"/>
      <c r="G14" s="1035"/>
      <c r="H14" s="1035"/>
      <c r="I14" s="1010"/>
      <c r="J14" s="1011"/>
      <c r="K14" s="1035"/>
      <c r="L14" s="1035"/>
      <c r="M14" s="1035"/>
      <c r="N14" s="1035"/>
      <c r="O14" s="1008"/>
      <c r="P14" s="1018" t="s">
        <v>429</v>
      </c>
      <c r="Q14" s="1013" t="s">
        <v>418</v>
      </c>
      <c r="R14" s="1036">
        <f t="shared" ca="1" si="6"/>
        <v>1025822</v>
      </c>
      <c r="S14" s="1036">
        <f t="shared" ca="1" si="7"/>
        <v>1159401.6000000001</v>
      </c>
      <c r="T14" s="1036">
        <f t="shared" si="8"/>
        <v>133579.6</v>
      </c>
      <c r="U14" s="1036">
        <f t="shared" si="9"/>
        <v>0</v>
      </c>
      <c r="V14" s="1037"/>
      <c r="W14" s="1038"/>
      <c r="X14" s="1014"/>
      <c r="Y14" s="1014"/>
      <c r="Z14" s="1014"/>
      <c r="AA14" s="1014"/>
      <c r="AB14" s="1014"/>
      <c r="AC14" s="1014"/>
      <c r="AD14" s="1014"/>
    </row>
    <row r="15" spans="1:32" outlineLevel="1">
      <c r="A15" s="1011"/>
      <c r="B15" s="1013"/>
      <c r="C15" s="1125"/>
      <c r="D15" s="1122"/>
      <c r="E15" s="1011"/>
      <c r="F15" s="1011"/>
      <c r="G15" s="1035"/>
      <c r="H15" s="1035"/>
      <c r="I15" s="1010"/>
      <c r="J15" s="1011"/>
      <c r="K15" s="1035"/>
      <c r="L15" s="1035"/>
      <c r="M15" s="1035"/>
      <c r="N15" s="1035"/>
      <c r="O15" s="1008"/>
      <c r="P15" s="1018" t="s">
        <v>429</v>
      </c>
      <c r="Q15" s="1013" t="s">
        <v>430</v>
      </c>
      <c r="R15" s="1036">
        <f t="shared" ca="1" si="6"/>
        <v>0</v>
      </c>
      <c r="S15" s="1036">
        <f t="shared" ca="1" si="7"/>
        <v>931300</v>
      </c>
      <c r="T15" s="1036">
        <f t="shared" si="8"/>
        <v>931300</v>
      </c>
      <c r="U15" s="1036">
        <f t="shared" si="9"/>
        <v>0</v>
      </c>
      <c r="V15" s="1037"/>
      <c r="W15" s="1038"/>
      <c r="X15" s="1014"/>
      <c r="Y15" s="1014"/>
      <c r="Z15" s="1014"/>
      <c r="AA15" s="1014"/>
      <c r="AB15" s="1014"/>
      <c r="AC15" s="1014"/>
      <c r="AD15" s="1014"/>
    </row>
    <row r="16" spans="1:32" ht="66" customHeight="1" outlineLevel="1">
      <c r="A16" s="1031">
        <v>4</v>
      </c>
      <c r="B16" s="1013">
        <f t="shared" si="5"/>
        <v>4</v>
      </c>
      <c r="C16" s="1125" t="str">
        <f t="shared" si="2"/>
        <v>IVF004</v>
      </c>
      <c r="D16" s="1009" t="s">
        <v>69</v>
      </c>
      <c r="E16" s="1031">
        <v>1</v>
      </c>
      <c r="F16" s="1030" t="s">
        <v>66</v>
      </c>
      <c r="G16" s="1032">
        <v>563750</v>
      </c>
      <c r="H16" s="1033">
        <f>ROUND(E16*G16,0)</f>
        <v>563750</v>
      </c>
      <c r="I16" s="1034">
        <v>1</v>
      </c>
      <c r="J16" s="1031" t="str">
        <f>F16</f>
        <v>No</v>
      </c>
      <c r="K16" s="1033">
        <f>G16</f>
        <v>563750</v>
      </c>
      <c r="L16" s="1033">
        <f>ROUND(I16*K16,0)</f>
        <v>563750</v>
      </c>
      <c r="M16" s="1035">
        <f>IF(L16&gt;H16,L16-H16,0)</f>
        <v>0</v>
      </c>
      <c r="N16" s="1033">
        <f>IF(H16&gt;L16,H16-L16,0)</f>
        <v>0</v>
      </c>
      <c r="O16" s="1008" t="s">
        <v>2353</v>
      </c>
      <c r="P16" s="1018" t="s">
        <v>429</v>
      </c>
      <c r="Q16" s="1013" t="s">
        <v>420</v>
      </c>
      <c r="R16" s="1036">
        <f t="shared" ca="1" si="6"/>
        <v>0</v>
      </c>
      <c r="S16" s="1036">
        <f t="shared" ca="1" si="7"/>
        <v>2029092</v>
      </c>
      <c r="T16" s="1036">
        <f t="shared" si="8"/>
        <v>2029092</v>
      </c>
      <c r="U16" s="1036">
        <f t="shared" si="9"/>
        <v>0</v>
      </c>
      <c r="V16" s="1037"/>
      <c r="W16" s="1038"/>
      <c r="X16" s="1014"/>
      <c r="Y16" s="1014"/>
      <c r="Z16" s="1014"/>
      <c r="AA16" s="1014"/>
      <c r="AB16" s="1014"/>
      <c r="AC16" s="1014"/>
      <c r="AD16" s="1014"/>
    </row>
    <row r="17" spans="1:30" outlineLevel="1">
      <c r="A17" s="1011"/>
      <c r="B17" s="1013" t="str">
        <f t="shared" si="5"/>
        <v/>
      </c>
      <c r="C17" s="1125"/>
      <c r="D17" s="1122" t="s">
        <v>2489</v>
      </c>
      <c r="E17" s="1011"/>
      <c r="F17" s="1011"/>
      <c r="G17" s="1035"/>
      <c r="H17" s="1035"/>
      <c r="I17" s="1010"/>
      <c r="J17" s="1031"/>
      <c r="K17" s="1033"/>
      <c r="L17" s="1033"/>
      <c r="M17" s="1035"/>
      <c r="N17" s="1033"/>
      <c r="O17" s="1008"/>
      <c r="P17" s="1018" t="s">
        <v>429</v>
      </c>
      <c r="Q17" s="1013" t="s">
        <v>421</v>
      </c>
      <c r="R17" s="1036">
        <f t="shared" ca="1" si="6"/>
        <v>0</v>
      </c>
      <c r="S17" s="1036">
        <f t="shared" ca="1" si="7"/>
        <v>21690</v>
      </c>
      <c r="T17" s="1036">
        <f t="shared" si="8"/>
        <v>21690</v>
      </c>
      <c r="U17" s="1036">
        <f t="shared" si="9"/>
        <v>0</v>
      </c>
      <c r="V17" s="1037"/>
      <c r="W17" s="1038"/>
      <c r="X17" s="1014"/>
      <c r="Y17" s="1014"/>
      <c r="Z17" s="1014"/>
      <c r="AA17" s="1014"/>
      <c r="AB17" s="1014"/>
      <c r="AC17" s="1014"/>
      <c r="AD17" s="1014"/>
    </row>
    <row r="18" spans="1:30" outlineLevel="1">
      <c r="A18" s="1011"/>
      <c r="B18" s="1013" t="str">
        <f t="shared" si="5"/>
        <v/>
      </c>
      <c r="C18" s="1125"/>
      <c r="D18" s="1039"/>
      <c r="E18" s="1011"/>
      <c r="F18" s="1011"/>
      <c r="G18" s="1035"/>
      <c r="H18" s="1035"/>
      <c r="I18" s="1010"/>
      <c r="J18" s="1031"/>
      <c r="K18" s="1033"/>
      <c r="L18" s="1033"/>
      <c r="M18" s="1035"/>
      <c r="N18" s="1033"/>
      <c r="O18" s="1008"/>
      <c r="P18" s="1018" t="s">
        <v>429</v>
      </c>
      <c r="Q18" s="1013" t="s">
        <v>419</v>
      </c>
      <c r="R18" s="1036">
        <f t="shared" ca="1" si="6"/>
        <v>0</v>
      </c>
      <c r="S18" s="1036">
        <f t="shared" ca="1" si="7"/>
        <v>458203.1</v>
      </c>
      <c r="T18" s="1036">
        <f t="shared" si="8"/>
        <v>458203.1</v>
      </c>
      <c r="U18" s="1036">
        <f t="shared" si="9"/>
        <v>0</v>
      </c>
      <c r="V18" s="1037"/>
      <c r="W18" s="1038"/>
      <c r="X18" s="1014"/>
      <c r="Y18" s="1014"/>
      <c r="Z18" s="1014"/>
      <c r="AA18" s="1014"/>
      <c r="AB18" s="1014"/>
      <c r="AC18" s="1014"/>
      <c r="AD18" s="1014"/>
    </row>
    <row r="19" spans="1:30" ht="31" outlineLevel="1">
      <c r="A19" s="1031">
        <v>5</v>
      </c>
      <c r="B19" s="1013">
        <f t="shared" si="5"/>
        <v>5</v>
      </c>
      <c r="C19" s="1125" t="str">
        <f t="shared" si="2"/>
        <v>IVF005</v>
      </c>
      <c r="D19" s="1009" t="s">
        <v>70</v>
      </c>
      <c r="E19" s="1031">
        <v>1</v>
      </c>
      <c r="F19" s="1030" t="s">
        <v>66</v>
      </c>
      <c r="G19" s="1032">
        <v>312500</v>
      </c>
      <c r="H19" s="1033">
        <f>ROUND(E19*G19,0)</f>
        <v>312500</v>
      </c>
      <c r="I19" s="1034">
        <f>E19</f>
        <v>1</v>
      </c>
      <c r="J19" s="1031" t="str">
        <f>F19</f>
        <v>No</v>
      </c>
      <c r="K19" s="1033">
        <f>G19</f>
        <v>312500</v>
      </c>
      <c r="L19" s="1033">
        <f>ROUND(I19*K19,0)</f>
        <v>312500</v>
      </c>
      <c r="M19" s="1035">
        <f>IF(L19&gt;H19,L19-H19,0)</f>
        <v>0</v>
      </c>
      <c r="N19" s="1033">
        <f>IF(H19&gt;L19,H19-L19,0)</f>
        <v>0</v>
      </c>
      <c r="O19" s="1008" t="s">
        <v>2353</v>
      </c>
      <c r="P19" s="1018" t="s">
        <v>429</v>
      </c>
      <c r="Q19" s="1013" t="s">
        <v>422</v>
      </c>
      <c r="R19" s="1036">
        <f t="shared" ca="1" si="6"/>
        <v>0</v>
      </c>
      <c r="S19" s="1036">
        <f t="shared" ca="1" si="7"/>
        <v>291366</v>
      </c>
      <c r="T19" s="1036">
        <f t="shared" si="8"/>
        <v>291366</v>
      </c>
      <c r="U19" s="1036">
        <f t="shared" si="9"/>
        <v>0</v>
      </c>
      <c r="V19" s="1037"/>
      <c r="W19" s="1038"/>
      <c r="X19" s="1014"/>
      <c r="Y19" s="1014"/>
      <c r="Z19" s="1014"/>
      <c r="AA19" s="1014"/>
      <c r="AB19" s="1014"/>
      <c r="AC19" s="1014"/>
      <c r="AD19" s="1014"/>
    </row>
    <row r="20" spans="1:30" outlineLevel="1">
      <c r="A20" s="1011"/>
      <c r="B20" s="1013" t="str">
        <f t="shared" si="5"/>
        <v/>
      </c>
      <c r="C20" s="1125"/>
      <c r="D20" s="1122" t="s">
        <v>2489</v>
      </c>
      <c r="E20" s="1011"/>
      <c r="F20" s="1011"/>
      <c r="G20" s="1035"/>
      <c r="H20" s="1035"/>
      <c r="I20" s="1010"/>
      <c r="J20" s="1011"/>
      <c r="K20" s="1035"/>
      <c r="L20" s="1035"/>
      <c r="M20" s="1035"/>
      <c r="N20" s="1035"/>
      <c r="O20" s="1008"/>
      <c r="P20" s="1018" t="s">
        <v>429</v>
      </c>
      <c r="Q20" s="1040" t="s">
        <v>423</v>
      </c>
      <c r="R20" s="1036">
        <f t="shared" ca="1" si="6"/>
        <v>0</v>
      </c>
      <c r="S20" s="1036">
        <f t="shared" ca="1" si="7"/>
        <v>120788</v>
      </c>
      <c r="T20" s="1036">
        <f t="shared" si="8"/>
        <v>120788</v>
      </c>
      <c r="U20" s="1036">
        <f t="shared" si="9"/>
        <v>0</v>
      </c>
      <c r="V20" s="1037"/>
      <c r="W20" s="1038"/>
      <c r="X20" s="1014"/>
      <c r="Y20" s="1014"/>
      <c r="Z20" s="1014"/>
      <c r="AA20" s="1014"/>
      <c r="AB20" s="1014"/>
      <c r="AC20" s="1014"/>
      <c r="AD20" s="1014"/>
    </row>
    <row r="21" spans="1:30" outlineLevel="1">
      <c r="A21" s="1011"/>
      <c r="B21" s="1013" t="str">
        <f t="shared" si="5"/>
        <v/>
      </c>
      <c r="C21" s="1125"/>
      <c r="D21" s="1122"/>
      <c r="E21" s="1011"/>
      <c r="F21" s="1011"/>
      <c r="G21" s="1035"/>
      <c r="H21" s="1035"/>
      <c r="I21" s="1010"/>
      <c r="J21" s="1011"/>
      <c r="K21" s="1035"/>
      <c r="L21" s="1035"/>
      <c r="M21" s="1035"/>
      <c r="N21" s="1035"/>
      <c r="O21" s="1008"/>
      <c r="P21" s="1018" t="s">
        <v>429</v>
      </c>
      <c r="Q21" s="1013" t="s">
        <v>424</v>
      </c>
      <c r="R21" s="1036">
        <f t="shared" ca="1" si="6"/>
        <v>0</v>
      </c>
      <c r="S21" s="1036">
        <f t="shared" ca="1" si="7"/>
        <v>832620</v>
      </c>
      <c r="T21" s="1036">
        <f t="shared" si="8"/>
        <v>832620</v>
      </c>
      <c r="U21" s="1036">
        <f t="shared" si="9"/>
        <v>0</v>
      </c>
      <c r="V21" s="1037"/>
      <c r="W21" s="1038"/>
      <c r="X21" s="1014"/>
      <c r="Y21" s="1014"/>
      <c r="Z21" s="1014"/>
      <c r="AA21" s="1014"/>
      <c r="AB21" s="1014"/>
      <c r="AC21" s="1014"/>
      <c r="AD21" s="1014"/>
    </row>
    <row r="22" spans="1:30" ht="31" outlineLevel="1">
      <c r="A22" s="1031">
        <v>6</v>
      </c>
      <c r="B22" s="1013">
        <f t="shared" si="5"/>
        <v>6</v>
      </c>
      <c r="C22" s="1125" t="str">
        <f t="shared" si="2"/>
        <v>IVF006</v>
      </c>
      <c r="D22" s="1009" t="s">
        <v>71</v>
      </c>
      <c r="E22" s="1031">
        <v>1</v>
      </c>
      <c r="F22" s="1030" t="s">
        <v>66</v>
      </c>
      <c r="G22" s="1032">
        <v>187500</v>
      </c>
      <c r="H22" s="1033">
        <f>ROUND(E22*G22,0)</f>
        <v>187500</v>
      </c>
      <c r="I22" s="1034">
        <f>E22</f>
        <v>1</v>
      </c>
      <c r="J22" s="1031" t="str">
        <f>F22</f>
        <v>No</v>
      </c>
      <c r="K22" s="1033">
        <f>G22</f>
        <v>187500</v>
      </c>
      <c r="L22" s="1033">
        <f>ROUND(I22*K22,0)</f>
        <v>187500</v>
      </c>
      <c r="M22" s="1035">
        <f>IF(L22&gt;H22,L22-H22,0)</f>
        <v>0</v>
      </c>
      <c r="N22" s="1033">
        <f>IF(H22&gt;L22,H22-L22,0)</f>
        <v>0</v>
      </c>
      <c r="O22" s="1008" t="s">
        <v>2353</v>
      </c>
      <c r="P22" s="1018" t="s">
        <v>429</v>
      </c>
      <c r="V22" s="1037"/>
      <c r="W22" s="1038"/>
      <c r="X22" s="1014"/>
      <c r="Y22" s="1014"/>
      <c r="Z22" s="1014"/>
      <c r="AA22" s="1014"/>
      <c r="AB22" s="1014"/>
      <c r="AC22" s="1014"/>
      <c r="AD22" s="1014"/>
    </row>
    <row r="23" spans="1:30" outlineLevel="1">
      <c r="A23" s="1011"/>
      <c r="B23" s="1013" t="str">
        <f t="shared" si="5"/>
        <v/>
      </c>
      <c r="C23" s="1125"/>
      <c r="D23" s="1122" t="s">
        <v>2489</v>
      </c>
      <c r="E23" s="1011"/>
      <c r="F23" s="1011"/>
      <c r="G23" s="1035"/>
      <c r="H23" s="1035"/>
      <c r="I23" s="1010"/>
      <c r="J23" s="1011"/>
      <c r="K23" s="1035"/>
      <c r="L23" s="1035"/>
      <c r="M23" s="1035"/>
      <c r="N23" s="1035"/>
      <c r="O23" s="1008"/>
      <c r="P23" s="1018" t="s">
        <v>429</v>
      </c>
      <c r="R23" s="1036"/>
      <c r="S23" s="1036"/>
      <c r="T23" s="1036"/>
      <c r="U23" s="1036"/>
      <c r="V23" s="1037"/>
      <c r="W23" s="1038"/>
      <c r="X23" s="1014"/>
      <c r="Y23" s="1014"/>
      <c r="Z23" s="1014"/>
      <c r="AA23" s="1014"/>
      <c r="AB23" s="1014"/>
      <c r="AC23" s="1014"/>
      <c r="AD23" s="1014"/>
    </row>
    <row r="24" spans="1:30" outlineLevel="1">
      <c r="A24" s="1011"/>
      <c r="B24" s="1013" t="str">
        <f t="shared" si="5"/>
        <v/>
      </c>
      <c r="C24" s="1125"/>
      <c r="D24" s="1122"/>
      <c r="E24" s="1011"/>
      <c r="F24" s="1011"/>
      <c r="G24" s="1035"/>
      <c r="H24" s="1035"/>
      <c r="I24" s="1010"/>
      <c r="J24" s="1011"/>
      <c r="K24" s="1035"/>
      <c r="L24" s="1035"/>
      <c r="M24" s="1035"/>
      <c r="N24" s="1035"/>
      <c r="O24" s="1008"/>
      <c r="P24" s="1018" t="s">
        <v>429</v>
      </c>
      <c r="Q24" s="1013"/>
      <c r="V24" s="1037"/>
      <c r="W24" s="1038"/>
      <c r="X24" s="1014"/>
      <c r="Y24" s="1014"/>
      <c r="Z24" s="1014"/>
      <c r="AA24" s="1014"/>
      <c r="AB24" s="1014"/>
      <c r="AC24" s="1014"/>
      <c r="AD24" s="1014"/>
    </row>
    <row r="25" spans="1:30" ht="31" outlineLevel="1">
      <c r="A25" s="1031">
        <v>7</v>
      </c>
      <c r="B25" s="1013">
        <f t="shared" si="5"/>
        <v>7</v>
      </c>
      <c r="C25" s="1125" t="str">
        <f t="shared" si="2"/>
        <v>IVF007</v>
      </c>
      <c r="D25" s="1009" t="s">
        <v>72</v>
      </c>
      <c r="E25" s="1031">
        <v>1</v>
      </c>
      <c r="F25" s="1030" t="s">
        <v>66</v>
      </c>
      <c r="G25" s="1032">
        <v>687500</v>
      </c>
      <c r="H25" s="1033">
        <f>ROUND(E25*G25,0)</f>
        <v>687500</v>
      </c>
      <c r="I25" s="1034">
        <f>E25</f>
        <v>1</v>
      </c>
      <c r="J25" s="1031" t="str">
        <f>F25</f>
        <v>No</v>
      </c>
      <c r="K25" s="1033">
        <f>G25</f>
        <v>687500</v>
      </c>
      <c r="L25" s="1033">
        <f>ROUND(I25*K25,0)</f>
        <v>687500</v>
      </c>
      <c r="M25" s="1035">
        <f>IF(L25&gt;H25,L25-H25,0)</f>
        <v>0</v>
      </c>
      <c r="N25" s="1033">
        <f>IF(H25&gt;L25,H25-L25,0)</f>
        <v>0</v>
      </c>
      <c r="O25" s="1008" t="s">
        <v>2353</v>
      </c>
      <c r="P25" s="1018" t="s">
        <v>429</v>
      </c>
      <c r="V25" s="1037"/>
      <c r="W25" s="1038"/>
      <c r="X25" s="1014"/>
      <c r="Y25" s="1014"/>
      <c r="Z25" s="1014"/>
      <c r="AA25" s="1014"/>
      <c r="AB25" s="1014"/>
      <c r="AC25" s="1014"/>
      <c r="AD25" s="1014"/>
    </row>
    <row r="26" spans="1:30" outlineLevel="1">
      <c r="A26" s="1011"/>
      <c r="B26" s="1013" t="str">
        <f t="shared" si="5"/>
        <v/>
      </c>
      <c r="C26" s="1125"/>
      <c r="D26" s="1122" t="s">
        <v>2490</v>
      </c>
      <c r="E26" s="1011"/>
      <c r="F26" s="1011"/>
      <c r="G26" s="1035"/>
      <c r="H26" s="1035"/>
      <c r="I26" s="1010"/>
      <c r="J26" s="1011"/>
      <c r="K26" s="1035"/>
      <c r="L26" s="1035"/>
      <c r="M26" s="1035"/>
      <c r="N26" s="1035"/>
      <c r="O26" s="1008"/>
      <c r="P26" s="1018" t="s">
        <v>429</v>
      </c>
      <c r="V26" s="1037"/>
      <c r="W26" s="1038"/>
      <c r="X26" s="1014"/>
      <c r="Y26" s="1014"/>
      <c r="Z26" s="1014"/>
      <c r="AA26" s="1014"/>
      <c r="AB26" s="1014"/>
      <c r="AC26" s="1014"/>
      <c r="AD26" s="1014"/>
    </row>
    <row r="27" spans="1:30" outlineLevel="1">
      <c r="A27" s="1011"/>
      <c r="B27" s="1013" t="str">
        <f t="shared" si="5"/>
        <v/>
      </c>
      <c r="C27" s="1125"/>
      <c r="D27" s="1122"/>
      <c r="E27" s="1011"/>
      <c r="F27" s="1011"/>
      <c r="G27" s="1035"/>
      <c r="H27" s="1035"/>
      <c r="I27" s="1010"/>
      <c r="J27" s="1011"/>
      <c r="K27" s="1035"/>
      <c r="L27" s="1035"/>
      <c r="M27" s="1035"/>
      <c r="N27" s="1035"/>
      <c r="O27" s="1008"/>
      <c r="P27" s="1018" t="s">
        <v>429</v>
      </c>
      <c r="V27" s="1037"/>
      <c r="W27" s="1038"/>
      <c r="X27" s="1014"/>
      <c r="Y27" s="1014"/>
      <c r="Z27" s="1014"/>
      <c r="AA27" s="1014"/>
      <c r="AB27" s="1014"/>
      <c r="AC27" s="1014"/>
      <c r="AD27" s="1014"/>
    </row>
    <row r="28" spans="1:30" ht="31" outlineLevel="1">
      <c r="A28" s="1031">
        <v>8</v>
      </c>
      <c r="B28" s="1013">
        <f t="shared" si="5"/>
        <v>8</v>
      </c>
      <c r="C28" s="1125" t="str">
        <f t="shared" si="2"/>
        <v>IVF008</v>
      </c>
      <c r="D28" s="1009" t="s">
        <v>73</v>
      </c>
      <c r="E28" s="1031">
        <v>1</v>
      </c>
      <c r="F28" s="1030" t="s">
        <v>66</v>
      </c>
      <c r="G28" s="1032">
        <v>96250</v>
      </c>
      <c r="H28" s="1033">
        <f>ROUND(E28*G28,0)</f>
        <v>96250</v>
      </c>
      <c r="I28" s="1034">
        <f>E28</f>
        <v>1</v>
      </c>
      <c r="J28" s="1031" t="str">
        <f>F28</f>
        <v>No</v>
      </c>
      <c r="K28" s="1033">
        <f>G28</f>
        <v>96250</v>
      </c>
      <c r="L28" s="1033">
        <f>ROUND(I28*K28,0)</f>
        <v>96250</v>
      </c>
      <c r="M28" s="1035">
        <f>IF(L28&gt;H28,L28-H28,0)</f>
        <v>0</v>
      </c>
      <c r="N28" s="1033">
        <f>IF(H28&gt;L28,H28-L28,0)</f>
        <v>0</v>
      </c>
      <c r="O28" s="1008" t="s">
        <v>2353</v>
      </c>
      <c r="P28" s="1018" t="s">
        <v>429</v>
      </c>
      <c r="V28" s="1037"/>
      <c r="W28" s="1038"/>
      <c r="X28" s="1014"/>
      <c r="Y28" s="1014"/>
      <c r="Z28" s="1014"/>
      <c r="AA28" s="1014"/>
      <c r="AB28" s="1014"/>
      <c r="AC28" s="1014"/>
      <c r="AD28" s="1014"/>
    </row>
    <row r="29" spans="1:30" outlineLevel="1">
      <c r="A29" s="1011"/>
      <c r="B29" s="1013" t="str">
        <f t="shared" si="5"/>
        <v/>
      </c>
      <c r="C29" s="1125"/>
      <c r="D29" s="1122" t="s">
        <v>2490</v>
      </c>
      <c r="E29" s="1011"/>
      <c r="F29" s="1011"/>
      <c r="G29" s="1035"/>
      <c r="H29" s="1035"/>
      <c r="I29" s="1010"/>
      <c r="J29" s="1011"/>
      <c r="K29" s="1035"/>
      <c r="L29" s="1035"/>
      <c r="M29" s="1035"/>
      <c r="N29" s="1035"/>
      <c r="O29" s="1008"/>
      <c r="P29" s="1018" t="s">
        <v>429</v>
      </c>
      <c r="Q29" s="1013"/>
      <c r="R29" s="1036"/>
      <c r="S29" s="1036"/>
      <c r="T29" s="1036"/>
      <c r="U29" s="1036"/>
      <c r="V29" s="1037"/>
      <c r="W29" s="1038"/>
      <c r="X29" s="1014"/>
      <c r="Y29" s="1014"/>
      <c r="Z29" s="1014"/>
      <c r="AA29" s="1014"/>
      <c r="AB29" s="1014"/>
      <c r="AC29" s="1014"/>
      <c r="AD29" s="1014"/>
    </row>
    <row r="30" spans="1:30" outlineLevel="1">
      <c r="A30" s="1011"/>
      <c r="B30" s="1013" t="str">
        <f t="shared" si="5"/>
        <v/>
      </c>
      <c r="C30" s="1125"/>
      <c r="D30" s="1122"/>
      <c r="E30" s="1011"/>
      <c r="F30" s="1011"/>
      <c r="G30" s="1035"/>
      <c r="H30" s="1035"/>
      <c r="I30" s="1010"/>
      <c r="J30" s="1011"/>
      <c r="K30" s="1035"/>
      <c r="L30" s="1035"/>
      <c r="M30" s="1035"/>
      <c r="N30" s="1035"/>
      <c r="O30" s="1008"/>
      <c r="P30" s="1018" t="s">
        <v>429</v>
      </c>
      <c r="Q30" s="1013"/>
      <c r="R30" s="1036"/>
      <c r="S30" s="1036"/>
      <c r="T30" s="1036"/>
      <c r="U30" s="1210"/>
      <c r="V30" s="1037"/>
      <c r="W30" s="1038"/>
      <c r="X30" s="1014"/>
      <c r="Y30" s="1014"/>
      <c r="Z30" s="1014"/>
      <c r="AA30" s="1014"/>
      <c r="AB30" s="1014"/>
      <c r="AC30" s="1014"/>
      <c r="AD30" s="1014"/>
    </row>
    <row r="31" spans="1:30" ht="31" outlineLevel="1">
      <c r="A31" s="1031">
        <v>9</v>
      </c>
      <c r="B31" s="1013">
        <f t="shared" si="5"/>
        <v>9</v>
      </c>
      <c r="C31" s="1125" t="str">
        <f t="shared" si="2"/>
        <v>IVF009</v>
      </c>
      <c r="D31" s="1009" t="s">
        <v>74</v>
      </c>
      <c r="E31" s="1031">
        <v>2</v>
      </c>
      <c r="F31" s="1030" t="s">
        <v>66</v>
      </c>
      <c r="G31" s="1032">
        <v>825000</v>
      </c>
      <c r="H31" s="1033">
        <f>ROUND(E31*G31,0)</f>
        <v>1650000</v>
      </c>
      <c r="I31" s="1034">
        <f>E31</f>
        <v>2</v>
      </c>
      <c r="J31" s="1031" t="str">
        <f>F31</f>
        <v>No</v>
      </c>
      <c r="K31" s="1033">
        <f>G31</f>
        <v>825000</v>
      </c>
      <c r="L31" s="1033">
        <f>ROUND(I31*K31,0)</f>
        <v>1650000</v>
      </c>
      <c r="M31" s="1035">
        <f>IF(L31&gt;H31,L31-H31,0)</f>
        <v>0</v>
      </c>
      <c r="N31" s="1033">
        <f>IF(H31&gt;L31,H31-L31,0)</f>
        <v>0</v>
      </c>
      <c r="O31" s="1008" t="s">
        <v>2353</v>
      </c>
      <c r="P31" s="1018" t="s">
        <v>429</v>
      </c>
      <c r="Q31" s="1013"/>
      <c r="R31" s="1014"/>
      <c r="S31" s="1014"/>
      <c r="T31" s="1014"/>
      <c r="U31" s="1041"/>
      <c r="V31" s="1037"/>
      <c r="W31" s="1038"/>
      <c r="X31" s="1014"/>
      <c r="Y31" s="1014"/>
      <c r="Z31" s="1014"/>
      <c r="AA31" s="1014"/>
      <c r="AB31" s="1014"/>
      <c r="AC31" s="1014"/>
      <c r="AD31" s="1014"/>
    </row>
    <row r="32" spans="1:30" outlineLevel="1">
      <c r="A32" s="1011"/>
      <c r="B32" s="1013" t="str">
        <f t="shared" si="5"/>
        <v/>
      </c>
      <c r="C32" s="1125"/>
      <c r="D32" s="1122" t="s">
        <v>2490</v>
      </c>
      <c r="E32" s="1011"/>
      <c r="F32" s="1011"/>
      <c r="G32" s="1035"/>
      <c r="H32" s="1035"/>
      <c r="I32" s="1010"/>
      <c r="J32" s="1011"/>
      <c r="K32" s="1035"/>
      <c r="L32" s="1035"/>
      <c r="M32" s="1035"/>
      <c r="N32" s="1035"/>
      <c r="O32" s="1008"/>
      <c r="P32" s="1018" t="s">
        <v>429</v>
      </c>
      <c r="Q32" s="1013"/>
      <c r="R32" s="1042"/>
      <c r="S32" s="1014"/>
      <c r="T32" s="1014"/>
      <c r="U32" s="1041"/>
      <c r="V32" s="1037"/>
      <c r="W32" s="1038"/>
      <c r="X32" s="1014"/>
      <c r="Y32" s="1014"/>
      <c r="Z32" s="1014"/>
      <c r="AA32" s="1014"/>
      <c r="AB32" s="1014"/>
      <c r="AC32" s="1014"/>
      <c r="AD32" s="1014"/>
    </row>
    <row r="33" spans="1:30" outlineLevel="1">
      <c r="A33" s="1011"/>
      <c r="B33" s="1013" t="str">
        <f t="shared" si="5"/>
        <v/>
      </c>
      <c r="C33" s="1125"/>
      <c r="D33" s="1122"/>
      <c r="E33" s="1011"/>
      <c r="F33" s="1011"/>
      <c r="G33" s="1035"/>
      <c r="H33" s="1035"/>
      <c r="I33" s="1010"/>
      <c r="J33" s="1011"/>
      <c r="K33" s="1035"/>
      <c r="L33" s="1035"/>
      <c r="M33" s="1035"/>
      <c r="N33" s="1035"/>
      <c r="O33" s="1008"/>
      <c r="P33" s="1018" t="s">
        <v>429</v>
      </c>
      <c r="Q33" s="1013"/>
      <c r="R33" s="1042"/>
      <c r="S33" s="1014"/>
      <c r="T33" s="1014"/>
      <c r="U33" s="1041"/>
      <c r="V33" s="1037"/>
      <c r="W33" s="1038"/>
      <c r="X33" s="1014"/>
      <c r="Y33" s="1014"/>
      <c r="Z33" s="1014"/>
      <c r="AA33" s="1014"/>
      <c r="AB33" s="1014"/>
      <c r="AC33" s="1014"/>
      <c r="AD33" s="1014"/>
    </row>
    <row r="34" spans="1:30" ht="31" outlineLevel="1">
      <c r="A34" s="1031">
        <v>10</v>
      </c>
      <c r="B34" s="1013">
        <f t="shared" si="5"/>
        <v>10</v>
      </c>
      <c r="C34" s="1125" t="str">
        <f t="shared" si="2"/>
        <v>IVF010</v>
      </c>
      <c r="D34" s="1009" t="s">
        <v>75</v>
      </c>
      <c r="E34" s="1031">
        <v>1</v>
      </c>
      <c r="F34" s="1030" t="s">
        <v>66</v>
      </c>
      <c r="G34" s="1032">
        <v>825000</v>
      </c>
      <c r="H34" s="1033">
        <f>ROUND(E34*G34,0)</f>
        <v>825000</v>
      </c>
      <c r="I34" s="1034">
        <f>E34</f>
        <v>1</v>
      </c>
      <c r="J34" s="1031" t="str">
        <f>F34</f>
        <v>No</v>
      </c>
      <c r="K34" s="1033">
        <f>G34</f>
        <v>825000</v>
      </c>
      <c r="L34" s="1033">
        <f>ROUND(I34*K34,0)</f>
        <v>825000</v>
      </c>
      <c r="M34" s="1035">
        <f>IF(L34&gt;H34,L34-H34,0)</f>
        <v>0</v>
      </c>
      <c r="N34" s="1033">
        <f>IF(H34&gt;L34,H34-L34,0)</f>
        <v>0</v>
      </c>
      <c r="O34" s="1008" t="s">
        <v>2353</v>
      </c>
      <c r="P34" s="1018" t="s">
        <v>429</v>
      </c>
      <c r="Q34" s="1013"/>
      <c r="R34" s="1014"/>
      <c r="S34" s="1014"/>
      <c r="T34" s="1014"/>
      <c r="U34" s="1041"/>
      <c r="V34" s="1037"/>
      <c r="W34" s="1038"/>
      <c r="X34" s="1014"/>
      <c r="Y34" s="1014"/>
      <c r="Z34" s="1014"/>
      <c r="AA34" s="1014"/>
      <c r="AB34" s="1014"/>
      <c r="AC34" s="1014"/>
      <c r="AD34" s="1014"/>
    </row>
    <row r="35" spans="1:30" outlineLevel="1">
      <c r="A35" s="1011"/>
      <c r="B35" s="1013" t="str">
        <f t="shared" si="5"/>
        <v/>
      </c>
      <c r="C35" s="1125"/>
      <c r="D35" s="1122" t="s">
        <v>2490</v>
      </c>
      <c r="E35" s="1011"/>
      <c r="F35" s="1011"/>
      <c r="G35" s="1035"/>
      <c r="H35" s="1035"/>
      <c r="I35" s="1010"/>
      <c r="J35" s="1011"/>
      <c r="K35" s="1035"/>
      <c r="L35" s="1035"/>
      <c r="M35" s="1035"/>
      <c r="N35" s="1035"/>
      <c r="O35" s="1008"/>
      <c r="P35" s="1018" t="s">
        <v>429</v>
      </c>
      <c r="Q35" s="1013"/>
      <c r="R35" s="1042"/>
      <c r="S35" s="1014"/>
      <c r="T35" s="1014"/>
      <c r="U35" s="1041"/>
      <c r="V35" s="1037"/>
      <c r="W35" s="1038"/>
      <c r="X35" s="1014"/>
      <c r="Y35" s="1014"/>
      <c r="Z35" s="1014"/>
      <c r="AA35" s="1014"/>
      <c r="AB35" s="1014"/>
      <c r="AC35" s="1014"/>
      <c r="AD35" s="1014"/>
    </row>
    <row r="36" spans="1:30" outlineLevel="1">
      <c r="A36" s="1011"/>
      <c r="B36" s="1013" t="str">
        <f t="shared" si="5"/>
        <v/>
      </c>
      <c r="C36" s="1125"/>
      <c r="D36" s="1122"/>
      <c r="E36" s="1011"/>
      <c r="F36" s="1011"/>
      <c r="G36" s="1035"/>
      <c r="H36" s="1035"/>
      <c r="I36" s="1010"/>
      <c r="J36" s="1011"/>
      <c r="K36" s="1035"/>
      <c r="L36" s="1035"/>
      <c r="M36" s="1035"/>
      <c r="N36" s="1035"/>
      <c r="O36" s="1008"/>
      <c r="P36" s="1018" t="s">
        <v>429</v>
      </c>
      <c r="Q36" s="1013"/>
      <c r="R36" s="1042"/>
      <c r="S36" s="1014"/>
      <c r="T36" s="1014"/>
      <c r="U36" s="1041"/>
      <c r="V36" s="1037"/>
      <c r="W36" s="1038"/>
      <c r="X36" s="1014"/>
      <c r="Y36" s="1014"/>
      <c r="Z36" s="1014"/>
      <c r="AA36" s="1014"/>
      <c r="AB36" s="1014"/>
      <c r="AC36" s="1014"/>
      <c r="AD36" s="1014"/>
    </row>
    <row r="37" spans="1:30" ht="31" outlineLevel="1">
      <c r="A37" s="1031">
        <v>11</v>
      </c>
      <c r="B37" s="1013">
        <f t="shared" si="5"/>
        <v>11</v>
      </c>
      <c r="C37" s="1125" t="str">
        <f t="shared" si="2"/>
        <v>IVF011</v>
      </c>
      <c r="D37" s="1009" t="s">
        <v>76</v>
      </c>
      <c r="E37" s="1031">
        <v>1</v>
      </c>
      <c r="F37" s="1030" t="s">
        <v>66</v>
      </c>
      <c r="G37" s="1032">
        <v>309000</v>
      </c>
      <c r="H37" s="1033">
        <f>ROUND(E37*G37,0)</f>
        <v>309000</v>
      </c>
      <c r="I37" s="1034">
        <f>E37</f>
        <v>1</v>
      </c>
      <c r="J37" s="1031" t="str">
        <f>F37</f>
        <v>No</v>
      </c>
      <c r="K37" s="1033">
        <f>G37</f>
        <v>309000</v>
      </c>
      <c r="L37" s="1033">
        <f>ROUND(I37*K37,0)</f>
        <v>309000</v>
      </c>
      <c r="M37" s="1035">
        <f>IF(L37&gt;H37,L37-H37,0)</f>
        <v>0</v>
      </c>
      <c r="N37" s="1033">
        <f>IF(H37&gt;L37,H37-L37,0)</f>
        <v>0</v>
      </c>
      <c r="O37" s="1008" t="s">
        <v>2353</v>
      </c>
      <c r="P37" s="1018" t="s">
        <v>429</v>
      </c>
      <c r="Q37" s="1013"/>
      <c r="R37" s="1014"/>
      <c r="S37" s="1014"/>
      <c r="T37" s="1014"/>
      <c r="U37" s="1041"/>
      <c r="V37" s="1037"/>
      <c r="W37" s="1038"/>
      <c r="X37" s="1014"/>
      <c r="Y37" s="1014"/>
      <c r="Z37" s="1014"/>
      <c r="AA37" s="1014"/>
      <c r="AB37" s="1014"/>
      <c r="AC37" s="1014"/>
      <c r="AD37" s="1014"/>
    </row>
    <row r="38" spans="1:30" outlineLevel="1">
      <c r="A38" s="1011"/>
      <c r="B38" s="1013" t="str">
        <f t="shared" si="5"/>
        <v/>
      </c>
      <c r="C38" s="1125"/>
      <c r="D38" s="1122" t="s">
        <v>2490</v>
      </c>
      <c r="E38" s="1011"/>
      <c r="F38" s="1011"/>
      <c r="G38" s="1035"/>
      <c r="H38" s="1035"/>
      <c r="I38" s="1010"/>
      <c r="J38" s="1011"/>
      <c r="K38" s="1035"/>
      <c r="L38" s="1035"/>
      <c r="M38" s="1035"/>
      <c r="N38" s="1035"/>
      <c r="O38" s="1008"/>
      <c r="P38" s="1018" t="s">
        <v>429</v>
      </c>
      <c r="Q38" s="1013"/>
      <c r="R38" s="1042"/>
      <c r="S38" s="1014"/>
      <c r="T38" s="1014"/>
      <c r="U38" s="1041"/>
      <c r="V38" s="1037"/>
      <c r="W38" s="1038"/>
      <c r="X38" s="1014"/>
      <c r="Y38" s="1014"/>
      <c r="Z38" s="1014"/>
      <c r="AA38" s="1014"/>
      <c r="AB38" s="1014"/>
      <c r="AC38" s="1014"/>
      <c r="AD38" s="1014"/>
    </row>
    <row r="39" spans="1:30" outlineLevel="1">
      <c r="A39" s="1011"/>
      <c r="B39" s="1013" t="str">
        <f t="shared" si="5"/>
        <v/>
      </c>
      <c r="C39" s="1125"/>
      <c r="D39" s="1122"/>
      <c r="E39" s="1011"/>
      <c r="F39" s="1011"/>
      <c r="G39" s="1035"/>
      <c r="H39" s="1035"/>
      <c r="I39" s="1010"/>
      <c r="J39" s="1011"/>
      <c r="K39" s="1035"/>
      <c r="L39" s="1035"/>
      <c r="M39" s="1035"/>
      <c r="N39" s="1035"/>
      <c r="O39" s="1008"/>
      <c r="P39" s="1018" t="s">
        <v>429</v>
      </c>
      <c r="Q39" s="1013"/>
      <c r="R39" s="1042"/>
      <c r="S39" s="1014"/>
      <c r="T39" s="1014"/>
      <c r="U39" s="1041"/>
      <c r="V39" s="1037"/>
      <c r="W39" s="1038"/>
      <c r="X39" s="1014"/>
      <c r="Y39" s="1014"/>
      <c r="Z39" s="1014"/>
      <c r="AA39" s="1014"/>
      <c r="AB39" s="1014"/>
      <c r="AC39" s="1014"/>
      <c r="AD39" s="1014"/>
    </row>
    <row r="40" spans="1:30" ht="31" outlineLevel="1">
      <c r="A40" s="1031">
        <v>12</v>
      </c>
      <c r="B40" s="1013">
        <f t="shared" si="5"/>
        <v>12</v>
      </c>
      <c r="C40" s="1125" t="str">
        <f t="shared" si="2"/>
        <v>IVF012</v>
      </c>
      <c r="D40" s="1009" t="s">
        <v>77</v>
      </c>
      <c r="E40" s="1031">
        <v>1</v>
      </c>
      <c r="F40" s="1030" t="s">
        <v>66</v>
      </c>
      <c r="G40" s="1032">
        <v>2625000</v>
      </c>
      <c r="H40" s="1033">
        <f>ROUND(E40*G40,0)</f>
        <v>2625000</v>
      </c>
      <c r="I40" s="1034">
        <f>E40</f>
        <v>1</v>
      </c>
      <c r="J40" s="1031" t="str">
        <f>F40</f>
        <v>No</v>
      </c>
      <c r="K40" s="1033">
        <f>G40</f>
        <v>2625000</v>
      </c>
      <c r="L40" s="1033">
        <f>ROUND(I40*K40,0)</f>
        <v>2625000</v>
      </c>
      <c r="M40" s="1035">
        <f>IF(L40&gt;H40,L40-H40,0)</f>
        <v>0</v>
      </c>
      <c r="N40" s="1033">
        <f>IF(H40&gt;L40,H40-L40,0)</f>
        <v>0</v>
      </c>
      <c r="O40" s="1008" t="s">
        <v>2353</v>
      </c>
      <c r="P40" s="1018" t="s">
        <v>429</v>
      </c>
      <c r="Q40" s="1013"/>
      <c r="R40" s="1014"/>
      <c r="S40" s="1014"/>
      <c r="T40" s="1014"/>
      <c r="U40" s="1041"/>
      <c r="V40" s="1037"/>
      <c r="W40" s="1038"/>
      <c r="X40" s="1014"/>
      <c r="Y40" s="1014"/>
      <c r="Z40" s="1014"/>
      <c r="AA40" s="1014"/>
      <c r="AB40" s="1014"/>
      <c r="AC40" s="1014"/>
      <c r="AD40" s="1014"/>
    </row>
    <row r="41" spans="1:30" outlineLevel="1">
      <c r="A41" s="1011"/>
      <c r="B41" s="1013" t="str">
        <f t="shared" si="5"/>
        <v/>
      </c>
      <c r="C41" s="1125"/>
      <c r="D41" s="1122" t="s">
        <v>2490</v>
      </c>
      <c r="E41" s="1011"/>
      <c r="F41" s="1011"/>
      <c r="G41" s="1035"/>
      <c r="H41" s="1035"/>
      <c r="I41" s="1010"/>
      <c r="J41" s="1011"/>
      <c r="K41" s="1035"/>
      <c r="L41" s="1035"/>
      <c r="M41" s="1035"/>
      <c r="N41" s="1035"/>
      <c r="O41" s="1008"/>
      <c r="P41" s="1018" t="s">
        <v>429</v>
      </c>
      <c r="Q41" s="1013"/>
      <c r="R41" s="1042"/>
      <c r="S41" s="1014"/>
      <c r="T41" s="1014"/>
      <c r="U41" s="1041"/>
      <c r="V41" s="1037"/>
      <c r="W41" s="1038"/>
      <c r="X41" s="1014"/>
      <c r="Y41" s="1014"/>
      <c r="Z41" s="1014"/>
      <c r="AA41" s="1014"/>
      <c r="AB41" s="1014"/>
      <c r="AC41" s="1014"/>
      <c r="AD41" s="1014"/>
    </row>
    <row r="42" spans="1:30" outlineLevel="1">
      <c r="A42" s="1011"/>
      <c r="B42" s="1013" t="str">
        <f t="shared" si="5"/>
        <v/>
      </c>
      <c r="C42" s="1125"/>
      <c r="D42" s="1122"/>
      <c r="E42" s="1011"/>
      <c r="F42" s="1011"/>
      <c r="G42" s="1035"/>
      <c r="H42" s="1035"/>
      <c r="I42" s="1010"/>
      <c r="J42" s="1011"/>
      <c r="K42" s="1035"/>
      <c r="L42" s="1035"/>
      <c r="M42" s="1035"/>
      <c r="N42" s="1035"/>
      <c r="O42" s="1008"/>
      <c r="P42" s="1018" t="s">
        <v>429</v>
      </c>
      <c r="Q42" s="1013"/>
      <c r="R42" s="1042"/>
      <c r="S42" s="1014"/>
      <c r="T42" s="1014"/>
      <c r="U42" s="1041"/>
      <c r="V42" s="1037"/>
      <c r="W42" s="1038"/>
      <c r="X42" s="1014"/>
      <c r="Y42" s="1014"/>
      <c r="Z42" s="1014"/>
      <c r="AA42" s="1014"/>
      <c r="AB42" s="1014"/>
      <c r="AC42" s="1014"/>
      <c r="AD42" s="1014"/>
    </row>
    <row r="43" spans="1:30" ht="31" outlineLevel="1">
      <c r="A43" s="1031">
        <v>13</v>
      </c>
      <c r="B43" s="1013">
        <f t="shared" si="5"/>
        <v>13</v>
      </c>
      <c r="C43" s="1125" t="str">
        <f t="shared" si="2"/>
        <v>IVF013</v>
      </c>
      <c r="D43" s="1009" t="s">
        <v>78</v>
      </c>
      <c r="E43" s="1031">
        <v>1</v>
      </c>
      <c r="F43" s="1030" t="s">
        <v>66</v>
      </c>
      <c r="G43" s="1032">
        <v>2560000</v>
      </c>
      <c r="H43" s="1033">
        <f>ROUND(E43*G43,0)</f>
        <v>2560000</v>
      </c>
      <c r="I43" s="1034">
        <f>E43</f>
        <v>1</v>
      </c>
      <c r="J43" s="1031" t="str">
        <f>F43</f>
        <v>No</v>
      </c>
      <c r="K43" s="1033">
        <f>G43</f>
        <v>2560000</v>
      </c>
      <c r="L43" s="1033">
        <f>ROUND(I43*K43,0)</f>
        <v>2560000</v>
      </c>
      <c r="M43" s="1035">
        <f>IF(L43&gt;H43,L43-H43,0)</f>
        <v>0</v>
      </c>
      <c r="N43" s="1033">
        <f>IF(H43&gt;L43,H43-L43,0)</f>
        <v>0</v>
      </c>
      <c r="O43" s="1008" t="s">
        <v>2353</v>
      </c>
      <c r="P43" s="1018" t="s">
        <v>429</v>
      </c>
      <c r="Q43" s="1013"/>
      <c r="R43" s="1014"/>
      <c r="S43" s="1014"/>
      <c r="T43" s="1014"/>
      <c r="U43" s="1041"/>
      <c r="V43" s="1037"/>
      <c r="W43" s="1038"/>
      <c r="X43" s="1014"/>
      <c r="Y43" s="1014"/>
      <c r="Z43" s="1014"/>
      <c r="AA43" s="1014"/>
      <c r="AB43" s="1014"/>
      <c r="AC43" s="1014"/>
      <c r="AD43" s="1014"/>
    </row>
    <row r="44" spans="1:30" outlineLevel="1">
      <c r="A44" s="1011"/>
      <c r="B44" s="1013" t="str">
        <f t="shared" si="5"/>
        <v/>
      </c>
      <c r="C44" s="1125"/>
      <c r="D44" s="1122" t="s">
        <v>2490</v>
      </c>
      <c r="E44" s="1011"/>
      <c r="F44" s="1011"/>
      <c r="G44" s="1035"/>
      <c r="H44" s="1035"/>
      <c r="I44" s="1010"/>
      <c r="J44" s="1011"/>
      <c r="K44" s="1035"/>
      <c r="L44" s="1035"/>
      <c r="M44" s="1035"/>
      <c r="N44" s="1035"/>
      <c r="O44" s="1008"/>
      <c r="P44" s="1018" t="s">
        <v>429</v>
      </c>
      <c r="Q44" s="1013"/>
      <c r="R44" s="1042"/>
      <c r="S44" s="1014"/>
      <c r="T44" s="1014"/>
      <c r="U44" s="1041"/>
      <c r="V44" s="1037"/>
      <c r="W44" s="1038"/>
      <c r="X44" s="1014"/>
      <c r="Y44" s="1014"/>
      <c r="Z44" s="1014"/>
      <c r="AA44" s="1014"/>
      <c r="AB44" s="1014"/>
      <c r="AC44" s="1014"/>
      <c r="AD44" s="1014"/>
    </row>
    <row r="45" spans="1:30" outlineLevel="1">
      <c r="A45" s="1011"/>
      <c r="B45" s="1013" t="str">
        <f t="shared" si="5"/>
        <v/>
      </c>
      <c r="C45" s="1125"/>
      <c r="D45" s="1122"/>
      <c r="E45" s="1011"/>
      <c r="F45" s="1011"/>
      <c r="G45" s="1035"/>
      <c r="H45" s="1035"/>
      <c r="I45" s="1010"/>
      <c r="J45" s="1011"/>
      <c r="K45" s="1035"/>
      <c r="L45" s="1035"/>
      <c r="M45" s="1035"/>
      <c r="N45" s="1035"/>
      <c r="O45" s="1008"/>
      <c r="P45" s="1018" t="s">
        <v>429</v>
      </c>
      <c r="Q45" s="1013"/>
      <c r="R45" s="1042"/>
      <c r="S45" s="1014"/>
      <c r="T45" s="1014"/>
      <c r="U45" s="1041"/>
      <c r="V45" s="1037"/>
      <c r="W45" s="1038"/>
      <c r="X45" s="1014"/>
      <c r="Y45" s="1014"/>
      <c r="Z45" s="1014"/>
      <c r="AA45" s="1014"/>
      <c r="AB45" s="1014"/>
      <c r="AC45" s="1014"/>
      <c r="AD45" s="1014"/>
    </row>
    <row r="46" spans="1:30" ht="31" outlineLevel="1">
      <c r="A46" s="1031">
        <v>14</v>
      </c>
      <c r="B46" s="1013">
        <f t="shared" si="5"/>
        <v>14</v>
      </c>
      <c r="C46" s="1125" t="str">
        <f t="shared" si="2"/>
        <v>IVF014</v>
      </c>
      <c r="D46" s="1009" t="s">
        <v>79</v>
      </c>
      <c r="E46" s="1031">
        <v>1</v>
      </c>
      <c r="F46" s="1030" t="s">
        <v>66</v>
      </c>
      <c r="G46" s="1032">
        <v>61875</v>
      </c>
      <c r="H46" s="1033">
        <f>ROUND(E46*G46,0)</f>
        <v>61875</v>
      </c>
      <c r="I46" s="1034">
        <f>E46</f>
        <v>1</v>
      </c>
      <c r="J46" s="1031" t="str">
        <f>F46</f>
        <v>No</v>
      </c>
      <c r="K46" s="1033">
        <f>G46</f>
        <v>61875</v>
      </c>
      <c r="L46" s="1033">
        <f>ROUND(I46*K46,0)</f>
        <v>61875</v>
      </c>
      <c r="M46" s="1035">
        <f>IF(L46&gt;H46,L46-H46,0)</f>
        <v>0</v>
      </c>
      <c r="N46" s="1033">
        <f>IF(H46&gt;L46,H46-L46,0)</f>
        <v>0</v>
      </c>
      <c r="O46" s="1012" t="s">
        <v>2353</v>
      </c>
      <c r="P46" s="1018" t="s">
        <v>429</v>
      </c>
      <c r="Q46" s="1013"/>
      <c r="R46" s="1014"/>
      <c r="S46" s="1014"/>
      <c r="T46" s="1014"/>
      <c r="U46" s="1041"/>
      <c r="V46" s="1037"/>
      <c r="W46" s="1038"/>
      <c r="X46" s="1014"/>
      <c r="Y46" s="1014"/>
      <c r="Z46" s="1014"/>
      <c r="AA46" s="1014"/>
      <c r="AB46" s="1014"/>
      <c r="AC46" s="1014"/>
      <c r="AD46" s="1014"/>
    </row>
    <row r="47" spans="1:30" outlineLevel="1">
      <c r="A47" s="1011"/>
      <c r="B47" s="1013" t="str">
        <f t="shared" si="5"/>
        <v/>
      </c>
      <c r="C47" s="1125"/>
      <c r="D47" s="1122" t="s">
        <v>2489</v>
      </c>
      <c r="E47" s="1011"/>
      <c r="F47" s="1011"/>
      <c r="G47" s="1035"/>
      <c r="H47" s="1035"/>
      <c r="I47" s="1010"/>
      <c r="J47" s="1011"/>
      <c r="K47" s="1035"/>
      <c r="L47" s="1035"/>
      <c r="M47" s="1035"/>
      <c r="N47" s="1035"/>
      <c r="O47" s="1012"/>
      <c r="P47" s="1018" t="s">
        <v>429</v>
      </c>
      <c r="Q47" s="1013"/>
      <c r="R47" s="1042"/>
      <c r="S47" s="1014"/>
      <c r="T47" s="1014"/>
      <c r="U47" s="1041"/>
      <c r="V47" s="1037"/>
      <c r="W47" s="1038"/>
      <c r="X47" s="1014"/>
      <c r="Y47" s="1014"/>
      <c r="Z47" s="1014"/>
      <c r="AA47" s="1014"/>
      <c r="AB47" s="1014"/>
      <c r="AC47" s="1014"/>
      <c r="AD47" s="1014"/>
    </row>
    <row r="48" spans="1:30" outlineLevel="1">
      <c r="A48" s="1011"/>
      <c r="B48" s="1013" t="str">
        <f t="shared" si="5"/>
        <v/>
      </c>
      <c r="C48" s="1125"/>
      <c r="D48" s="1122"/>
      <c r="E48" s="1011"/>
      <c r="F48" s="1011"/>
      <c r="G48" s="1035"/>
      <c r="H48" s="1035"/>
      <c r="I48" s="1010"/>
      <c r="J48" s="1011"/>
      <c r="K48" s="1035"/>
      <c r="L48" s="1035"/>
      <c r="M48" s="1035"/>
      <c r="N48" s="1035"/>
      <c r="O48" s="1012"/>
      <c r="P48" s="1018" t="s">
        <v>429</v>
      </c>
      <c r="Q48" s="1013"/>
      <c r="R48" s="1042"/>
      <c r="S48" s="1014"/>
      <c r="T48" s="1014"/>
      <c r="U48" s="1041"/>
      <c r="V48" s="1037"/>
      <c r="W48" s="1038"/>
      <c r="X48" s="1014"/>
      <c r="Y48" s="1014"/>
      <c r="Z48" s="1014"/>
      <c r="AA48" s="1014"/>
      <c r="AB48" s="1014"/>
      <c r="AC48" s="1014"/>
      <c r="AD48" s="1014"/>
    </row>
    <row r="49" spans="1:30" ht="31" outlineLevel="1">
      <c r="A49" s="1031">
        <v>15</v>
      </c>
      <c r="B49" s="1013">
        <f t="shared" si="5"/>
        <v>15</v>
      </c>
      <c r="C49" s="1125" t="str">
        <f t="shared" si="2"/>
        <v>IVF015</v>
      </c>
      <c r="D49" s="1009" t="s">
        <v>80</v>
      </c>
      <c r="E49" s="1031">
        <v>2</v>
      </c>
      <c r="F49" s="1030" t="s">
        <v>66</v>
      </c>
      <c r="G49" s="1032">
        <v>50000</v>
      </c>
      <c r="H49" s="1033">
        <f>ROUND(E49*G49,0)</f>
        <v>100000</v>
      </c>
      <c r="I49" s="1034">
        <f>E49</f>
        <v>2</v>
      </c>
      <c r="J49" s="1031" t="str">
        <f>F49</f>
        <v>No</v>
      </c>
      <c r="K49" s="1033">
        <f>G49</f>
        <v>50000</v>
      </c>
      <c r="L49" s="1033">
        <f>ROUND(I49*K49,0)</f>
        <v>100000</v>
      </c>
      <c r="M49" s="1035">
        <f>IF(L49&gt;H49,L49-H49,0)</f>
        <v>0</v>
      </c>
      <c r="N49" s="1033">
        <f>IF(H49&gt;L49,H49-L49,0)</f>
        <v>0</v>
      </c>
      <c r="O49" s="1012" t="s">
        <v>2353</v>
      </c>
      <c r="P49" s="1018" t="s">
        <v>429</v>
      </c>
      <c r="Q49" s="1013"/>
      <c r="R49" s="1014"/>
      <c r="S49" s="1014"/>
      <c r="T49" s="1014"/>
      <c r="U49" s="1041"/>
      <c r="V49" s="1037"/>
      <c r="W49" s="1038"/>
      <c r="X49" s="1014"/>
      <c r="Y49" s="1014"/>
      <c r="Z49" s="1014"/>
      <c r="AA49" s="1014"/>
      <c r="AB49" s="1014"/>
      <c r="AC49" s="1014"/>
      <c r="AD49" s="1014"/>
    </row>
    <row r="50" spans="1:30" outlineLevel="1">
      <c r="A50" s="1011"/>
      <c r="B50" s="1013" t="str">
        <f t="shared" si="5"/>
        <v/>
      </c>
      <c r="C50" s="1125"/>
      <c r="D50" s="1122" t="s">
        <v>2489</v>
      </c>
      <c r="E50" s="1011"/>
      <c r="F50" s="1011"/>
      <c r="G50" s="1035"/>
      <c r="H50" s="1035"/>
      <c r="I50" s="1010"/>
      <c r="J50" s="1011"/>
      <c r="K50" s="1035"/>
      <c r="L50" s="1035"/>
      <c r="M50" s="1035"/>
      <c r="N50" s="1035"/>
      <c r="O50" s="1012"/>
      <c r="P50" s="1018" t="s">
        <v>429</v>
      </c>
      <c r="Q50" s="1013"/>
      <c r="R50" s="1042"/>
      <c r="S50" s="1014"/>
      <c r="T50" s="1014"/>
      <c r="U50" s="1041"/>
      <c r="V50" s="1037"/>
      <c r="W50" s="1038"/>
      <c r="X50" s="1014"/>
      <c r="Y50" s="1014"/>
      <c r="Z50" s="1014"/>
      <c r="AA50" s="1014"/>
      <c r="AB50" s="1014"/>
      <c r="AC50" s="1014"/>
      <c r="AD50" s="1014"/>
    </row>
    <row r="51" spans="1:30" outlineLevel="1">
      <c r="A51" s="1011"/>
      <c r="B51" s="1013" t="str">
        <f t="shared" si="5"/>
        <v/>
      </c>
      <c r="C51" s="1125"/>
      <c r="D51" s="1122"/>
      <c r="E51" s="1011"/>
      <c r="F51" s="1011"/>
      <c r="G51" s="1035"/>
      <c r="H51" s="1035"/>
      <c r="I51" s="1010"/>
      <c r="J51" s="1011"/>
      <c r="K51" s="1035"/>
      <c r="L51" s="1035"/>
      <c r="M51" s="1035"/>
      <c r="N51" s="1035"/>
      <c r="O51" s="1012"/>
      <c r="P51" s="1018" t="s">
        <v>429</v>
      </c>
      <c r="Q51" s="1013"/>
      <c r="R51" s="1042"/>
      <c r="S51" s="1014"/>
      <c r="T51" s="1014"/>
      <c r="U51" s="1041"/>
      <c r="V51" s="1037"/>
      <c r="W51" s="1038"/>
      <c r="X51" s="1014"/>
      <c r="Y51" s="1014"/>
      <c r="Z51" s="1014"/>
      <c r="AA51" s="1014"/>
      <c r="AB51" s="1014"/>
      <c r="AC51" s="1014"/>
      <c r="AD51" s="1014"/>
    </row>
    <row r="52" spans="1:30" ht="31" outlineLevel="1">
      <c r="A52" s="1031">
        <v>16</v>
      </c>
      <c r="B52" s="1013">
        <f t="shared" si="5"/>
        <v>16</v>
      </c>
      <c r="C52" s="1125" t="str">
        <f t="shared" si="2"/>
        <v>IVF016</v>
      </c>
      <c r="D52" s="1009" t="s">
        <v>81</v>
      </c>
      <c r="E52" s="1031">
        <v>1</v>
      </c>
      <c r="F52" s="1030" t="s">
        <v>66</v>
      </c>
      <c r="G52" s="1032">
        <v>378000</v>
      </c>
      <c r="H52" s="1033">
        <f>ROUND(E52*G52,0)</f>
        <v>378000</v>
      </c>
      <c r="I52" s="1034">
        <f>E52</f>
        <v>1</v>
      </c>
      <c r="J52" s="1031" t="str">
        <f>F52</f>
        <v>No</v>
      </c>
      <c r="K52" s="1033">
        <f>G52</f>
        <v>378000</v>
      </c>
      <c r="L52" s="1033">
        <f>ROUND(I52*K52,0)</f>
        <v>378000</v>
      </c>
      <c r="M52" s="1035">
        <f>IF(L52&gt;H52,L52-H52,0)</f>
        <v>0</v>
      </c>
      <c r="N52" s="1033">
        <f>IF(H52&gt;L52,H52-L52,0)</f>
        <v>0</v>
      </c>
      <c r="O52" s="1012" t="s">
        <v>2353</v>
      </c>
      <c r="P52" s="1018" t="s">
        <v>429</v>
      </c>
      <c r="Q52" s="1013"/>
      <c r="R52" s="1014"/>
      <c r="S52" s="1014"/>
      <c r="T52" s="1014"/>
      <c r="U52" s="1041"/>
      <c r="V52" s="1037"/>
      <c r="W52" s="1038"/>
      <c r="X52" s="1014"/>
      <c r="Y52" s="1014"/>
      <c r="Z52" s="1014"/>
      <c r="AA52" s="1014"/>
      <c r="AB52" s="1014"/>
      <c r="AC52" s="1014"/>
      <c r="AD52" s="1014"/>
    </row>
    <row r="53" spans="1:30" outlineLevel="1">
      <c r="A53" s="1011"/>
      <c r="B53" s="1013" t="str">
        <f t="shared" si="5"/>
        <v/>
      </c>
      <c r="C53" s="1125"/>
      <c r="D53" s="1122" t="s">
        <v>2444</v>
      </c>
      <c r="E53" s="1011"/>
      <c r="F53" s="1011"/>
      <c r="G53" s="1035"/>
      <c r="H53" s="1035"/>
      <c r="I53" s="1010"/>
      <c r="J53" s="1011"/>
      <c r="K53" s="1035"/>
      <c r="L53" s="1035"/>
      <c r="M53" s="1035"/>
      <c r="N53" s="1035"/>
      <c r="O53" s="1012"/>
      <c r="P53" s="1018" t="s">
        <v>429</v>
      </c>
      <c r="Q53" s="1013"/>
      <c r="R53" s="1042"/>
      <c r="S53" s="1014"/>
      <c r="T53" s="1014"/>
      <c r="U53" s="1041"/>
      <c r="V53" s="1037"/>
      <c r="W53" s="1038"/>
      <c r="X53" s="1014"/>
      <c r="Y53" s="1014"/>
      <c r="Z53" s="1014"/>
      <c r="AA53" s="1014"/>
      <c r="AB53" s="1014"/>
      <c r="AC53" s="1014"/>
      <c r="AD53" s="1014"/>
    </row>
    <row r="54" spans="1:30" outlineLevel="1">
      <c r="A54" s="1011"/>
      <c r="B54" s="1013" t="str">
        <f t="shared" si="5"/>
        <v/>
      </c>
      <c r="C54" s="1125"/>
      <c r="D54" s="1122"/>
      <c r="E54" s="1011"/>
      <c r="F54" s="1011"/>
      <c r="G54" s="1035"/>
      <c r="H54" s="1035"/>
      <c r="I54" s="1010"/>
      <c r="J54" s="1011"/>
      <c r="K54" s="1035"/>
      <c r="L54" s="1035"/>
      <c r="M54" s="1035"/>
      <c r="N54" s="1035"/>
      <c r="O54" s="1012"/>
      <c r="P54" s="1018" t="s">
        <v>429</v>
      </c>
      <c r="Q54" s="1013"/>
      <c r="R54" s="1042"/>
      <c r="S54" s="1014"/>
      <c r="T54" s="1014"/>
      <c r="U54" s="1041"/>
      <c r="V54" s="1037"/>
      <c r="W54" s="1038"/>
      <c r="X54" s="1014"/>
      <c r="Y54" s="1014"/>
      <c r="Z54" s="1014"/>
      <c r="AA54" s="1014"/>
      <c r="AB54" s="1014"/>
      <c r="AC54" s="1014"/>
      <c r="AD54" s="1014"/>
    </row>
    <row r="55" spans="1:30" ht="31" outlineLevel="1">
      <c r="A55" s="1031">
        <v>17</v>
      </c>
      <c r="B55" s="1013">
        <f t="shared" si="5"/>
        <v>17</v>
      </c>
      <c r="C55" s="1125" t="str">
        <f t="shared" si="2"/>
        <v>IVF017</v>
      </c>
      <c r="D55" s="1009" t="s">
        <v>82</v>
      </c>
      <c r="E55" s="1031">
        <v>1</v>
      </c>
      <c r="F55" s="1030" t="s">
        <v>66</v>
      </c>
      <c r="G55" s="1032">
        <v>93750</v>
      </c>
      <c r="H55" s="1033">
        <f>ROUND(E55*G55,0)</f>
        <v>93750</v>
      </c>
      <c r="I55" s="1034">
        <f>E55</f>
        <v>1</v>
      </c>
      <c r="J55" s="1031" t="str">
        <f>F55</f>
        <v>No</v>
      </c>
      <c r="K55" s="1033">
        <f>G55</f>
        <v>93750</v>
      </c>
      <c r="L55" s="1033">
        <f>ROUND(I55*K55,0)</f>
        <v>93750</v>
      </c>
      <c r="M55" s="1035">
        <f>IF(L55&gt;H55,L55-H55,0)</f>
        <v>0</v>
      </c>
      <c r="N55" s="1033">
        <f>IF(H55&gt;L55,H55-L55,0)</f>
        <v>0</v>
      </c>
      <c r="O55" s="1012" t="s">
        <v>2353</v>
      </c>
      <c r="P55" s="1018" t="s">
        <v>429</v>
      </c>
      <c r="Q55" s="1013"/>
      <c r="R55" s="1014"/>
      <c r="S55" s="1014"/>
      <c r="T55" s="1014"/>
      <c r="U55" s="1041"/>
      <c r="V55" s="1037"/>
      <c r="W55" s="1038"/>
      <c r="X55" s="1014"/>
      <c r="Y55" s="1014"/>
      <c r="Z55" s="1014"/>
      <c r="AA55" s="1014"/>
      <c r="AB55" s="1014"/>
      <c r="AC55" s="1014"/>
      <c r="AD55" s="1014"/>
    </row>
    <row r="56" spans="1:30" outlineLevel="1">
      <c r="A56" s="1011"/>
      <c r="B56" s="1013" t="str">
        <f t="shared" si="5"/>
        <v/>
      </c>
      <c r="C56" s="1125"/>
      <c r="D56" s="1122" t="s">
        <v>2489</v>
      </c>
      <c r="E56" s="1011"/>
      <c r="F56" s="1011"/>
      <c r="G56" s="1035"/>
      <c r="H56" s="1035"/>
      <c r="I56" s="1010"/>
      <c r="J56" s="1011"/>
      <c r="K56" s="1035"/>
      <c r="L56" s="1035"/>
      <c r="M56" s="1035"/>
      <c r="N56" s="1035"/>
      <c r="O56" s="1012"/>
      <c r="P56" s="1018" t="s">
        <v>429</v>
      </c>
      <c r="Q56" s="1013"/>
      <c r="R56" s="1042"/>
      <c r="S56" s="1014"/>
      <c r="T56" s="1014"/>
      <c r="U56" s="1041"/>
      <c r="V56" s="1037"/>
      <c r="W56" s="1038"/>
      <c r="X56" s="1014"/>
      <c r="Y56" s="1014"/>
      <c r="Z56" s="1014"/>
      <c r="AA56" s="1014"/>
      <c r="AB56" s="1014"/>
      <c r="AC56" s="1014"/>
      <c r="AD56" s="1014"/>
    </row>
    <row r="57" spans="1:30" outlineLevel="1">
      <c r="A57" s="1011"/>
      <c r="B57" s="1013" t="str">
        <f t="shared" si="5"/>
        <v/>
      </c>
      <c r="C57" s="1125"/>
      <c r="D57" s="1122"/>
      <c r="E57" s="1011"/>
      <c r="F57" s="1011"/>
      <c r="G57" s="1035"/>
      <c r="H57" s="1035"/>
      <c r="I57" s="1010"/>
      <c r="J57" s="1011"/>
      <c r="K57" s="1035"/>
      <c r="L57" s="1035"/>
      <c r="M57" s="1035"/>
      <c r="N57" s="1035"/>
      <c r="O57" s="1012"/>
      <c r="P57" s="1018" t="s">
        <v>429</v>
      </c>
      <c r="Q57" s="1013"/>
      <c r="R57" s="1042"/>
      <c r="S57" s="1014"/>
      <c r="T57" s="1014"/>
      <c r="U57" s="1041"/>
      <c r="V57" s="1037"/>
      <c r="W57" s="1038"/>
      <c r="X57" s="1014"/>
      <c r="Y57" s="1014"/>
      <c r="Z57" s="1014"/>
      <c r="AA57" s="1014"/>
      <c r="AB57" s="1014"/>
      <c r="AC57" s="1014"/>
      <c r="AD57" s="1014"/>
    </row>
    <row r="58" spans="1:30" ht="31" outlineLevel="1">
      <c r="A58" s="1031">
        <v>18</v>
      </c>
      <c r="B58" s="1013">
        <f t="shared" si="5"/>
        <v>18</v>
      </c>
      <c r="C58" s="1125" t="str">
        <f t="shared" si="2"/>
        <v>IVF018</v>
      </c>
      <c r="D58" s="1009" t="s">
        <v>83</v>
      </c>
      <c r="E58" s="1031">
        <v>1</v>
      </c>
      <c r="F58" s="1030" t="s">
        <v>66</v>
      </c>
      <c r="G58" s="1032">
        <v>731250</v>
      </c>
      <c r="H58" s="1033">
        <f>ROUND(E58*G58,0)</f>
        <v>731250</v>
      </c>
      <c r="I58" s="1034">
        <f>E58</f>
        <v>1</v>
      </c>
      <c r="J58" s="1031" t="str">
        <f>F58</f>
        <v>No</v>
      </c>
      <c r="K58" s="1033">
        <f>G58</f>
        <v>731250</v>
      </c>
      <c r="L58" s="1033">
        <f>ROUND(I58*K58,0)</f>
        <v>731250</v>
      </c>
      <c r="M58" s="1035">
        <f>IF(L58&gt;H58,L58-H58,0)</f>
        <v>0</v>
      </c>
      <c r="N58" s="1033">
        <f>IF(H58&gt;L58,H58-L58,0)</f>
        <v>0</v>
      </c>
      <c r="O58" s="1012" t="s">
        <v>2353</v>
      </c>
      <c r="P58" s="1018" t="s">
        <v>429</v>
      </c>
      <c r="Q58" s="1013"/>
      <c r="R58" s="1014"/>
      <c r="S58" s="1014"/>
      <c r="T58" s="1014"/>
      <c r="U58" s="1041"/>
      <c r="V58" s="1037"/>
      <c r="W58" s="1038"/>
      <c r="X58" s="1014"/>
      <c r="Y58" s="1014"/>
      <c r="Z58" s="1014"/>
      <c r="AA58" s="1014"/>
      <c r="AB58" s="1014"/>
      <c r="AC58" s="1014"/>
      <c r="AD58" s="1014"/>
    </row>
    <row r="59" spans="1:30" outlineLevel="1">
      <c r="A59" s="1011"/>
      <c r="B59" s="1013" t="str">
        <f t="shared" si="5"/>
        <v/>
      </c>
      <c r="C59" s="1125"/>
      <c r="D59" s="1122" t="s">
        <v>2490</v>
      </c>
      <c r="E59" s="1011"/>
      <c r="F59" s="1011"/>
      <c r="G59" s="1035"/>
      <c r="H59" s="1035"/>
      <c r="I59" s="1010"/>
      <c r="J59" s="1011"/>
      <c r="K59" s="1035"/>
      <c r="L59" s="1035"/>
      <c r="M59" s="1035"/>
      <c r="N59" s="1035"/>
      <c r="O59" s="1012"/>
      <c r="P59" s="1018" t="s">
        <v>429</v>
      </c>
      <c r="Q59" s="1013"/>
      <c r="R59" s="1042"/>
      <c r="S59" s="1014"/>
      <c r="T59" s="1014"/>
      <c r="U59" s="1041"/>
      <c r="V59" s="1037"/>
      <c r="W59" s="1038"/>
      <c r="X59" s="1014"/>
      <c r="Y59" s="1014"/>
      <c r="Z59" s="1014"/>
      <c r="AA59" s="1014"/>
      <c r="AB59" s="1014"/>
      <c r="AC59" s="1014"/>
      <c r="AD59" s="1014"/>
    </row>
    <row r="60" spans="1:30" outlineLevel="1">
      <c r="A60" s="1011"/>
      <c r="B60" s="1013" t="str">
        <f t="shared" si="5"/>
        <v/>
      </c>
      <c r="C60" s="1125"/>
      <c r="D60" s="1122"/>
      <c r="E60" s="1011"/>
      <c r="F60" s="1011"/>
      <c r="G60" s="1035"/>
      <c r="H60" s="1035"/>
      <c r="I60" s="1010"/>
      <c r="J60" s="1011"/>
      <c r="K60" s="1035"/>
      <c r="L60" s="1035"/>
      <c r="M60" s="1035"/>
      <c r="N60" s="1035"/>
      <c r="O60" s="1012"/>
      <c r="P60" s="1018" t="s">
        <v>429</v>
      </c>
      <c r="Q60" s="1013"/>
      <c r="R60" s="1042"/>
      <c r="S60" s="1014"/>
      <c r="T60" s="1014"/>
      <c r="U60" s="1041"/>
      <c r="V60" s="1037"/>
      <c r="W60" s="1038"/>
      <c r="X60" s="1014"/>
      <c r="Y60" s="1014"/>
      <c r="Z60" s="1014"/>
      <c r="AA60" s="1014"/>
      <c r="AB60" s="1014"/>
      <c r="AC60" s="1014"/>
      <c r="AD60" s="1014"/>
    </row>
    <row r="61" spans="1:30" ht="31" outlineLevel="1">
      <c r="A61" s="1031">
        <v>19</v>
      </c>
      <c r="B61" s="1013">
        <f t="shared" si="5"/>
        <v>19</v>
      </c>
      <c r="C61" s="1125" t="str">
        <f t="shared" si="2"/>
        <v>IVF019</v>
      </c>
      <c r="D61" s="1009" t="s">
        <v>84</v>
      </c>
      <c r="E61" s="1031">
        <v>1</v>
      </c>
      <c r="F61" s="1030" t="s">
        <v>66</v>
      </c>
      <c r="G61" s="1032">
        <v>75625</v>
      </c>
      <c r="H61" s="1033">
        <f>ROUND(E61*G61,0)</f>
        <v>75625</v>
      </c>
      <c r="I61" s="1034">
        <f>E61</f>
        <v>1</v>
      </c>
      <c r="J61" s="1031" t="str">
        <f>F61</f>
        <v>No</v>
      </c>
      <c r="K61" s="1033">
        <f>G61</f>
        <v>75625</v>
      </c>
      <c r="L61" s="1033">
        <f>ROUND(I61*K61,0)</f>
        <v>75625</v>
      </c>
      <c r="M61" s="1035">
        <f>IF(L61&gt;H61,L61-H61,0)</f>
        <v>0</v>
      </c>
      <c r="N61" s="1033">
        <f>IF(H61&gt;L61,H61-L61,0)</f>
        <v>0</v>
      </c>
      <c r="O61" s="1012" t="s">
        <v>2353</v>
      </c>
      <c r="P61" s="1018" t="s">
        <v>429</v>
      </c>
      <c r="Q61" s="1013"/>
      <c r="R61" s="1014"/>
      <c r="S61" s="1014"/>
      <c r="T61" s="1014"/>
      <c r="U61" s="1041"/>
      <c r="V61" s="1037"/>
      <c r="W61" s="1038"/>
      <c r="X61" s="1014"/>
      <c r="Y61" s="1014"/>
      <c r="Z61" s="1014"/>
      <c r="AA61" s="1014"/>
      <c r="AB61" s="1014"/>
      <c r="AC61" s="1014"/>
      <c r="AD61" s="1014"/>
    </row>
    <row r="62" spans="1:30" outlineLevel="1">
      <c r="A62" s="1011"/>
      <c r="B62" s="1013" t="str">
        <f t="shared" si="5"/>
        <v/>
      </c>
      <c r="C62" s="1125"/>
      <c r="D62" s="1122" t="s">
        <v>2489</v>
      </c>
      <c r="E62" s="1011"/>
      <c r="F62" s="1011"/>
      <c r="G62" s="1035"/>
      <c r="H62" s="1035"/>
      <c r="I62" s="1010"/>
      <c r="J62" s="1011"/>
      <c r="K62" s="1035"/>
      <c r="L62" s="1035"/>
      <c r="M62" s="1035"/>
      <c r="N62" s="1035"/>
      <c r="O62" s="1012"/>
      <c r="P62" s="1018" t="s">
        <v>429</v>
      </c>
      <c r="Q62" s="1013"/>
      <c r="R62" s="1042"/>
      <c r="S62" s="1014"/>
      <c r="T62" s="1014"/>
      <c r="U62" s="1041"/>
      <c r="V62" s="1037"/>
      <c r="W62" s="1038"/>
      <c r="X62" s="1014"/>
      <c r="Y62" s="1014"/>
      <c r="Z62" s="1014"/>
      <c r="AA62" s="1014"/>
      <c r="AB62" s="1014"/>
      <c r="AC62" s="1014"/>
      <c r="AD62" s="1014"/>
    </row>
    <row r="63" spans="1:30" outlineLevel="1">
      <c r="A63" s="1011"/>
      <c r="B63" s="1013" t="str">
        <f t="shared" si="5"/>
        <v/>
      </c>
      <c r="C63" s="1125"/>
      <c r="D63" s="1122"/>
      <c r="E63" s="1011"/>
      <c r="F63" s="1011"/>
      <c r="G63" s="1035"/>
      <c r="H63" s="1035"/>
      <c r="I63" s="1010"/>
      <c r="J63" s="1011"/>
      <c r="K63" s="1035"/>
      <c r="L63" s="1035"/>
      <c r="M63" s="1035"/>
      <c r="N63" s="1035"/>
      <c r="O63" s="1012"/>
      <c r="P63" s="1018" t="s">
        <v>429</v>
      </c>
      <c r="Q63" s="1013"/>
      <c r="R63" s="1042"/>
      <c r="S63" s="1014"/>
      <c r="T63" s="1014"/>
      <c r="U63" s="1041"/>
      <c r="V63" s="1037"/>
      <c r="W63" s="1038"/>
      <c r="X63" s="1014"/>
      <c r="Y63" s="1014"/>
      <c r="Z63" s="1014"/>
      <c r="AA63" s="1014"/>
      <c r="AB63" s="1014"/>
      <c r="AC63" s="1014"/>
      <c r="AD63" s="1014"/>
    </row>
    <row r="64" spans="1:30" ht="31" outlineLevel="1">
      <c r="A64" s="1031">
        <v>20</v>
      </c>
      <c r="B64" s="1013">
        <f t="shared" si="5"/>
        <v>20</v>
      </c>
      <c r="C64" s="1125" t="str">
        <f t="shared" si="2"/>
        <v>IVF020</v>
      </c>
      <c r="D64" s="1009" t="s">
        <v>85</v>
      </c>
      <c r="E64" s="1031">
        <v>1</v>
      </c>
      <c r="F64" s="1030" t="s">
        <v>66</v>
      </c>
      <c r="G64" s="1032">
        <v>41250</v>
      </c>
      <c r="H64" s="1033">
        <f>ROUND(E64*G64,0)</f>
        <v>41250</v>
      </c>
      <c r="I64" s="1034">
        <f>E64</f>
        <v>1</v>
      </c>
      <c r="J64" s="1031" t="str">
        <f>F64</f>
        <v>No</v>
      </c>
      <c r="K64" s="1033">
        <f>G64</f>
        <v>41250</v>
      </c>
      <c r="L64" s="1033">
        <f>ROUND(I64*K64,0)</f>
        <v>41250</v>
      </c>
      <c r="M64" s="1035">
        <f>IF(L64&gt;H64,L64-H64,0)</f>
        <v>0</v>
      </c>
      <c r="N64" s="1033">
        <f>IF(H64&gt;L64,H64-L64,0)</f>
        <v>0</v>
      </c>
      <c r="O64" s="1012" t="s">
        <v>2353</v>
      </c>
      <c r="P64" s="1018" t="s">
        <v>429</v>
      </c>
      <c r="Q64" s="1013"/>
      <c r="R64" s="1014"/>
      <c r="S64" s="1014"/>
      <c r="T64" s="1014"/>
      <c r="U64" s="1041"/>
      <c r="V64" s="1037"/>
      <c r="W64" s="1038"/>
      <c r="X64" s="1014"/>
      <c r="Y64" s="1014"/>
      <c r="Z64" s="1014"/>
      <c r="AA64" s="1014"/>
      <c r="AB64" s="1014"/>
      <c r="AC64" s="1014"/>
      <c r="AD64" s="1014"/>
    </row>
    <row r="65" spans="1:30" outlineLevel="1">
      <c r="A65" s="1011"/>
      <c r="B65" s="1013" t="str">
        <f t="shared" si="5"/>
        <v/>
      </c>
      <c r="C65" s="1125"/>
      <c r="D65" s="1122" t="s">
        <v>2489</v>
      </c>
      <c r="E65" s="1011"/>
      <c r="F65" s="1011"/>
      <c r="G65" s="1035"/>
      <c r="H65" s="1035"/>
      <c r="I65" s="1010"/>
      <c r="J65" s="1011"/>
      <c r="K65" s="1035"/>
      <c r="L65" s="1035"/>
      <c r="M65" s="1035"/>
      <c r="N65" s="1035"/>
      <c r="O65" s="1012"/>
      <c r="P65" s="1018" t="s">
        <v>429</v>
      </c>
      <c r="Q65" s="1013"/>
      <c r="R65" s="1042"/>
      <c r="S65" s="1014"/>
      <c r="T65" s="1014"/>
      <c r="U65" s="1041"/>
      <c r="V65" s="1037"/>
      <c r="W65" s="1038"/>
      <c r="X65" s="1014"/>
      <c r="Y65" s="1014"/>
      <c r="Z65" s="1014"/>
      <c r="AA65" s="1014"/>
      <c r="AB65" s="1014"/>
      <c r="AC65" s="1014"/>
      <c r="AD65" s="1014"/>
    </row>
    <row r="66" spans="1:30" outlineLevel="1">
      <c r="A66" s="1011"/>
      <c r="B66" s="1013" t="str">
        <f t="shared" si="5"/>
        <v/>
      </c>
      <c r="C66" s="1125"/>
      <c r="D66" s="1122"/>
      <c r="E66" s="1011"/>
      <c r="F66" s="1011"/>
      <c r="G66" s="1035"/>
      <c r="H66" s="1035"/>
      <c r="I66" s="1010"/>
      <c r="J66" s="1011"/>
      <c r="K66" s="1035"/>
      <c r="L66" s="1035"/>
      <c r="M66" s="1035"/>
      <c r="N66" s="1035"/>
      <c r="O66" s="1012"/>
      <c r="P66" s="1018" t="s">
        <v>429</v>
      </c>
      <c r="Q66" s="1013"/>
      <c r="R66" s="1042"/>
      <c r="S66" s="1014"/>
      <c r="T66" s="1014"/>
      <c r="U66" s="1041"/>
      <c r="V66" s="1037"/>
      <c r="W66" s="1038"/>
      <c r="X66" s="1014"/>
      <c r="Y66" s="1014"/>
      <c r="Z66" s="1014"/>
      <c r="AA66" s="1014"/>
      <c r="AB66" s="1014"/>
      <c r="AC66" s="1014"/>
      <c r="AD66" s="1014"/>
    </row>
    <row r="67" spans="1:30" ht="31" outlineLevel="1">
      <c r="A67" s="1031">
        <v>21</v>
      </c>
      <c r="B67" s="1013">
        <f t="shared" si="5"/>
        <v>21</v>
      </c>
      <c r="C67" s="1125" t="str">
        <f t="shared" si="2"/>
        <v>IVF021</v>
      </c>
      <c r="D67" s="1009" t="s">
        <v>86</v>
      </c>
      <c r="E67" s="1031">
        <v>1</v>
      </c>
      <c r="F67" s="1030" t="s">
        <v>66</v>
      </c>
      <c r="G67" s="1032">
        <v>250000</v>
      </c>
      <c r="H67" s="1033">
        <f>ROUND(E67*G67,0)</f>
        <v>250000</v>
      </c>
      <c r="I67" s="1034">
        <f>E67</f>
        <v>1</v>
      </c>
      <c r="J67" s="1031" t="str">
        <f>F67</f>
        <v>No</v>
      </c>
      <c r="K67" s="1033">
        <f>G67</f>
        <v>250000</v>
      </c>
      <c r="L67" s="1033">
        <f>ROUND(I67*K67,0)</f>
        <v>250000</v>
      </c>
      <c r="M67" s="1035">
        <f>IF(L67&gt;H67,L67-H67,0)</f>
        <v>0</v>
      </c>
      <c r="N67" s="1033">
        <f>IF(H67&gt;L67,H67-L67,0)</f>
        <v>0</v>
      </c>
      <c r="O67" s="1012" t="s">
        <v>2353</v>
      </c>
      <c r="P67" s="1018" t="s">
        <v>429</v>
      </c>
      <c r="Q67" s="1013"/>
      <c r="R67" s="1014"/>
      <c r="S67" s="1014"/>
      <c r="T67" s="1014"/>
      <c r="U67" s="1041"/>
      <c r="V67" s="1037"/>
      <c r="W67" s="1038"/>
      <c r="X67" s="1014"/>
      <c r="Y67" s="1014"/>
      <c r="Z67" s="1014"/>
      <c r="AA67" s="1014"/>
      <c r="AB67" s="1014"/>
      <c r="AC67" s="1014"/>
      <c r="AD67" s="1014"/>
    </row>
    <row r="68" spans="1:30" outlineLevel="1">
      <c r="A68" s="1011"/>
      <c r="B68" s="1013" t="str">
        <f t="shared" si="5"/>
        <v/>
      </c>
      <c r="C68" s="1125"/>
      <c r="D68" s="1122" t="s">
        <v>2490</v>
      </c>
      <c r="E68" s="1011"/>
      <c r="F68" s="1011"/>
      <c r="G68" s="1035"/>
      <c r="H68" s="1035"/>
      <c r="I68" s="1010"/>
      <c r="J68" s="1011"/>
      <c r="K68" s="1035"/>
      <c r="L68" s="1035"/>
      <c r="M68" s="1035"/>
      <c r="N68" s="1035"/>
      <c r="O68" s="1012"/>
      <c r="P68" s="1018" t="s">
        <v>429</v>
      </c>
      <c r="Q68" s="1013"/>
      <c r="R68" s="1042"/>
      <c r="S68" s="1014"/>
      <c r="T68" s="1014"/>
      <c r="U68" s="1041"/>
      <c r="V68" s="1037"/>
      <c r="W68" s="1038"/>
      <c r="X68" s="1014"/>
      <c r="Y68" s="1014"/>
      <c r="Z68" s="1014"/>
      <c r="AA68" s="1014"/>
      <c r="AB68" s="1014"/>
      <c r="AC68" s="1014"/>
      <c r="AD68" s="1014"/>
    </row>
    <row r="69" spans="1:30" outlineLevel="1">
      <c r="A69" s="1011"/>
      <c r="B69" s="1013" t="str">
        <f t="shared" si="5"/>
        <v/>
      </c>
      <c r="C69" s="1125"/>
      <c r="D69" s="1122"/>
      <c r="E69" s="1011"/>
      <c r="F69" s="1011"/>
      <c r="G69" s="1035"/>
      <c r="H69" s="1035"/>
      <c r="I69" s="1010"/>
      <c r="J69" s="1011"/>
      <c r="K69" s="1035"/>
      <c r="L69" s="1035"/>
      <c r="M69" s="1035"/>
      <c r="N69" s="1035"/>
      <c r="O69" s="1012"/>
      <c r="P69" s="1018" t="s">
        <v>429</v>
      </c>
      <c r="Q69" s="1013"/>
      <c r="R69" s="1042"/>
      <c r="S69" s="1014"/>
      <c r="T69" s="1014"/>
      <c r="U69" s="1041"/>
      <c r="V69" s="1037"/>
      <c r="W69" s="1038"/>
      <c r="X69" s="1014"/>
      <c r="Y69" s="1014"/>
      <c r="Z69" s="1014"/>
      <c r="AA69" s="1014"/>
      <c r="AB69" s="1014"/>
      <c r="AC69" s="1014"/>
      <c r="AD69" s="1014"/>
    </row>
    <row r="70" spans="1:30" ht="31" outlineLevel="1">
      <c r="A70" s="1031">
        <v>22</v>
      </c>
      <c r="B70" s="1013">
        <f t="shared" si="5"/>
        <v>22</v>
      </c>
      <c r="C70" s="1125" t="str">
        <f t="shared" si="2"/>
        <v>IVF022</v>
      </c>
      <c r="D70" s="1009" t="s">
        <v>87</v>
      </c>
      <c r="E70" s="1031">
        <v>1</v>
      </c>
      <c r="F70" s="1030" t="s">
        <v>66</v>
      </c>
      <c r="G70" s="1032">
        <v>34500</v>
      </c>
      <c r="H70" s="1033">
        <f>ROUND(E70*G70,0)</f>
        <v>34500</v>
      </c>
      <c r="I70" s="1034">
        <f>E70</f>
        <v>1</v>
      </c>
      <c r="J70" s="1031" t="str">
        <f>F70</f>
        <v>No</v>
      </c>
      <c r="K70" s="1033">
        <f>G70</f>
        <v>34500</v>
      </c>
      <c r="L70" s="1033">
        <f>ROUND(I70*K70,0)</f>
        <v>34500</v>
      </c>
      <c r="M70" s="1035">
        <f>IF(L70&gt;H70,L70-H70,0)</f>
        <v>0</v>
      </c>
      <c r="N70" s="1033">
        <f>IF(H70&gt;L70,H70-L70,0)</f>
        <v>0</v>
      </c>
      <c r="O70" s="1012" t="s">
        <v>2353</v>
      </c>
      <c r="P70" s="1018" t="s">
        <v>429</v>
      </c>
      <c r="Q70" s="1013"/>
      <c r="R70" s="1014"/>
      <c r="S70" s="1014"/>
      <c r="T70" s="1014"/>
      <c r="U70" s="1041"/>
      <c r="V70" s="1037"/>
      <c r="W70" s="1038"/>
      <c r="X70" s="1014"/>
      <c r="Y70" s="1014"/>
      <c r="Z70" s="1014"/>
      <c r="AA70" s="1014"/>
      <c r="AB70" s="1014"/>
      <c r="AC70" s="1014"/>
      <c r="AD70" s="1014"/>
    </row>
    <row r="71" spans="1:30" outlineLevel="1">
      <c r="A71" s="1011"/>
      <c r="B71" s="1013" t="str">
        <f t="shared" si="5"/>
        <v/>
      </c>
      <c r="C71" s="1125"/>
      <c r="D71" s="1122" t="s">
        <v>2489</v>
      </c>
      <c r="E71" s="1011"/>
      <c r="F71" s="1011"/>
      <c r="G71" s="1035"/>
      <c r="H71" s="1035"/>
      <c r="I71" s="1010"/>
      <c r="J71" s="1011"/>
      <c r="K71" s="1035"/>
      <c r="L71" s="1035"/>
      <c r="M71" s="1035"/>
      <c r="N71" s="1035"/>
      <c r="O71" s="1012"/>
      <c r="P71" s="1018" t="s">
        <v>429</v>
      </c>
      <c r="Q71" s="1013"/>
      <c r="R71" s="1014"/>
      <c r="S71" s="1014"/>
      <c r="T71" s="1014"/>
      <c r="U71" s="1041"/>
      <c r="V71" s="1037"/>
      <c r="W71" s="1038"/>
      <c r="X71" s="1014"/>
      <c r="Y71" s="1014"/>
      <c r="Z71" s="1014"/>
      <c r="AA71" s="1014"/>
      <c r="AB71" s="1014"/>
      <c r="AC71" s="1014"/>
      <c r="AD71" s="1014"/>
    </row>
    <row r="72" spans="1:30" outlineLevel="1">
      <c r="A72" s="1011"/>
      <c r="B72" s="1013" t="str">
        <f t="shared" ref="B72:B135" si="10">IF(ISBLANK(A72),"",A72)</f>
        <v/>
      </c>
      <c r="C72" s="1125"/>
      <c r="D72" s="1122"/>
      <c r="E72" s="1011"/>
      <c r="F72" s="1011"/>
      <c r="G72" s="1035"/>
      <c r="H72" s="1035"/>
      <c r="I72" s="1010"/>
      <c r="J72" s="1011"/>
      <c r="K72" s="1035"/>
      <c r="L72" s="1035"/>
      <c r="M72" s="1035"/>
      <c r="N72" s="1035"/>
      <c r="O72" s="1012"/>
      <c r="P72" s="1018" t="s">
        <v>429</v>
      </c>
      <c r="Q72" s="1013"/>
      <c r="R72" s="1014"/>
      <c r="S72" s="1014"/>
      <c r="T72" s="1014"/>
      <c r="U72" s="1041"/>
      <c r="V72" s="1037"/>
      <c r="W72" s="1038"/>
      <c r="X72" s="1014"/>
      <c r="Y72" s="1014"/>
      <c r="Z72" s="1014"/>
      <c r="AA72" s="1014"/>
      <c r="AB72" s="1014"/>
      <c r="AC72" s="1014"/>
      <c r="AD72" s="1014"/>
    </row>
    <row r="73" spans="1:30" ht="31" outlineLevel="1">
      <c r="A73" s="1031">
        <v>23</v>
      </c>
      <c r="B73" s="1013">
        <f t="shared" si="10"/>
        <v>23</v>
      </c>
      <c r="C73" s="1125" t="str">
        <f t="shared" ref="C73:C134" si="11">IF(ISBLANK(B73), "", IF(B73&lt;10, "IVF00" &amp; B73, IF(AND(B73&gt;=10, B73&lt;=99), "IVF0" &amp; B73, IF(B73&gt;99, "IVF" &amp; B73))))</f>
        <v>IVF023</v>
      </c>
      <c r="D73" s="1009" t="s">
        <v>88</v>
      </c>
      <c r="E73" s="1031">
        <v>1</v>
      </c>
      <c r="F73" s="1030" t="s">
        <v>66</v>
      </c>
      <c r="G73" s="1032">
        <v>563750</v>
      </c>
      <c r="H73" s="1033">
        <f>ROUND(E73*G73,0)</f>
        <v>563750</v>
      </c>
      <c r="I73" s="1034">
        <f>E73</f>
        <v>1</v>
      </c>
      <c r="J73" s="1031" t="str">
        <f>F73</f>
        <v>No</v>
      </c>
      <c r="K73" s="1033">
        <f>G73</f>
        <v>563750</v>
      </c>
      <c r="L73" s="1033">
        <f>ROUND(I73*K73,0)</f>
        <v>563750</v>
      </c>
      <c r="M73" s="1035">
        <f>IF(L73&gt;H73,L73-H73,0)</f>
        <v>0</v>
      </c>
      <c r="N73" s="1033">
        <f>IF(H73&gt;L73,H73-L73,0)</f>
        <v>0</v>
      </c>
      <c r="O73" s="1012" t="s">
        <v>2353</v>
      </c>
      <c r="P73" s="1018" t="s">
        <v>429</v>
      </c>
      <c r="Q73" s="1013"/>
      <c r="R73" s="1014"/>
      <c r="S73" s="1014"/>
      <c r="T73" s="1014"/>
      <c r="U73" s="1041"/>
      <c r="V73" s="1037"/>
      <c r="W73" s="1038"/>
      <c r="X73" s="1014"/>
      <c r="Y73" s="1014"/>
      <c r="Z73" s="1014"/>
      <c r="AA73" s="1014"/>
      <c r="AB73" s="1014"/>
      <c r="AC73" s="1014"/>
      <c r="AD73" s="1014"/>
    </row>
    <row r="74" spans="1:30" outlineLevel="1">
      <c r="A74" s="1011"/>
      <c r="B74" s="1013" t="str">
        <f t="shared" si="10"/>
        <v/>
      </c>
      <c r="C74" s="1125"/>
      <c r="D74" s="1122" t="s">
        <v>2489</v>
      </c>
      <c r="E74" s="1011"/>
      <c r="F74" s="1011"/>
      <c r="G74" s="1035"/>
      <c r="H74" s="1035"/>
      <c r="I74" s="1010"/>
      <c r="J74" s="1011"/>
      <c r="K74" s="1035"/>
      <c r="L74" s="1035"/>
      <c r="M74" s="1035"/>
      <c r="N74" s="1035"/>
      <c r="O74" s="1012"/>
      <c r="P74" s="1018" t="s">
        <v>429</v>
      </c>
      <c r="Q74" s="1013"/>
      <c r="R74" s="1014"/>
      <c r="S74" s="1014"/>
      <c r="T74" s="1014"/>
      <c r="U74" s="1041"/>
      <c r="V74" s="1037"/>
      <c r="W74" s="1038"/>
      <c r="X74" s="1014"/>
      <c r="Y74" s="1014"/>
      <c r="Z74" s="1014"/>
      <c r="AA74" s="1014"/>
      <c r="AB74" s="1014"/>
      <c r="AC74" s="1014"/>
      <c r="AD74" s="1014"/>
    </row>
    <row r="75" spans="1:30" outlineLevel="1">
      <c r="A75" s="1011"/>
      <c r="B75" s="1013" t="str">
        <f t="shared" si="10"/>
        <v/>
      </c>
      <c r="C75" s="1125"/>
      <c r="D75" s="1122"/>
      <c r="E75" s="1011"/>
      <c r="F75" s="1011"/>
      <c r="G75" s="1035"/>
      <c r="H75" s="1035"/>
      <c r="I75" s="1010"/>
      <c r="J75" s="1011"/>
      <c r="K75" s="1035"/>
      <c r="L75" s="1035"/>
      <c r="M75" s="1035"/>
      <c r="N75" s="1035"/>
      <c r="O75" s="1012"/>
      <c r="P75" s="1018" t="s">
        <v>429</v>
      </c>
      <c r="Q75" s="1013"/>
      <c r="R75" s="1014"/>
      <c r="S75" s="1014"/>
      <c r="T75" s="1014"/>
      <c r="U75" s="1041"/>
      <c r="V75" s="1037"/>
      <c r="W75" s="1038"/>
      <c r="X75" s="1014"/>
      <c r="Y75" s="1014"/>
      <c r="Z75" s="1014"/>
      <c r="AA75" s="1014"/>
      <c r="AB75" s="1014"/>
      <c r="AC75" s="1014"/>
      <c r="AD75" s="1014"/>
    </row>
    <row r="76" spans="1:30" s="1047" customFormat="1" ht="17.25" customHeight="1" outlineLevel="1">
      <c r="A76" s="1031">
        <v>24</v>
      </c>
      <c r="B76" s="1013">
        <f t="shared" si="10"/>
        <v>24</v>
      </c>
      <c r="C76" s="1125" t="str">
        <f t="shared" si="11"/>
        <v>IVF024</v>
      </c>
      <c r="D76" s="1009" t="s">
        <v>89</v>
      </c>
      <c r="E76" s="1031">
        <v>1</v>
      </c>
      <c r="F76" s="1030" t="s">
        <v>66</v>
      </c>
      <c r="G76" s="1032">
        <v>103125</v>
      </c>
      <c r="H76" s="1033">
        <f>ROUND(E76*G76,0)</f>
        <v>103125</v>
      </c>
      <c r="I76" s="1034">
        <f>E76</f>
        <v>1</v>
      </c>
      <c r="J76" s="1031" t="str">
        <f>F76</f>
        <v>No</v>
      </c>
      <c r="K76" s="1033">
        <f>G76</f>
        <v>103125</v>
      </c>
      <c r="L76" s="1033">
        <f>ROUND(I76*K76,0)</f>
        <v>103125</v>
      </c>
      <c r="M76" s="1035">
        <f>IF(L76&gt;H76,L76-H76,0)</f>
        <v>0</v>
      </c>
      <c r="N76" s="1033">
        <f>IF(H76&gt;L76,H76-L76,0)</f>
        <v>0</v>
      </c>
      <c r="O76" s="1012" t="s">
        <v>2353</v>
      </c>
      <c r="P76" s="1018" t="s">
        <v>429</v>
      </c>
      <c r="Q76" s="1013"/>
      <c r="R76" s="1014"/>
      <c r="S76" s="1043"/>
      <c r="T76" s="1043"/>
      <c r="U76" s="1044"/>
      <c r="V76" s="1045"/>
      <c r="W76" s="1046"/>
      <c r="X76" s="1043"/>
      <c r="Y76" s="1043"/>
      <c r="Z76" s="1043"/>
      <c r="AA76" s="1043"/>
      <c r="AB76" s="1043"/>
      <c r="AC76" s="1043"/>
      <c r="AD76" s="1043"/>
    </row>
    <row r="77" spans="1:30" outlineLevel="1">
      <c r="A77" s="1011"/>
      <c r="B77" s="1013" t="str">
        <f t="shared" si="10"/>
        <v/>
      </c>
      <c r="C77" s="1125"/>
      <c r="D77" s="1122" t="s">
        <v>2490</v>
      </c>
      <c r="E77" s="1011"/>
      <c r="F77" s="1011"/>
      <c r="G77" s="1035"/>
      <c r="H77" s="1035"/>
      <c r="I77" s="1010"/>
      <c r="J77" s="1011"/>
      <c r="K77" s="1035"/>
      <c r="L77" s="1035"/>
      <c r="M77" s="1035"/>
      <c r="N77" s="1035"/>
      <c r="O77" s="1012"/>
      <c r="P77" s="1018" t="s">
        <v>429</v>
      </c>
      <c r="Q77" s="1013"/>
      <c r="R77" s="1014"/>
      <c r="S77" s="1014"/>
      <c r="T77" s="1014"/>
      <c r="U77" s="1041"/>
      <c r="V77" s="1037"/>
      <c r="W77" s="1038"/>
      <c r="X77" s="1014"/>
      <c r="Y77" s="1014"/>
      <c r="Z77" s="1014"/>
      <c r="AA77" s="1014"/>
      <c r="AB77" s="1014"/>
      <c r="AC77" s="1014"/>
      <c r="AD77" s="1014"/>
    </row>
    <row r="78" spans="1:30" outlineLevel="1">
      <c r="A78" s="1011"/>
      <c r="B78" s="1013" t="str">
        <f t="shared" si="10"/>
        <v/>
      </c>
      <c r="C78" s="1125"/>
      <c r="D78" s="1122"/>
      <c r="E78" s="1011"/>
      <c r="F78" s="1011"/>
      <c r="G78" s="1035"/>
      <c r="H78" s="1035"/>
      <c r="I78" s="1010"/>
      <c r="J78" s="1011"/>
      <c r="K78" s="1035"/>
      <c r="L78" s="1035"/>
      <c r="M78" s="1035"/>
      <c r="N78" s="1035"/>
      <c r="O78" s="1012"/>
      <c r="P78" s="1018" t="s">
        <v>429</v>
      </c>
      <c r="Q78" s="1013"/>
      <c r="R78" s="1014"/>
      <c r="S78" s="1014"/>
      <c r="T78" s="1014"/>
      <c r="U78" s="1041"/>
      <c r="V78" s="1037"/>
      <c r="W78" s="1038"/>
      <c r="X78" s="1014"/>
      <c r="Y78" s="1014"/>
      <c r="Z78" s="1014"/>
      <c r="AA78" s="1014"/>
      <c r="AB78" s="1014"/>
      <c r="AC78" s="1014"/>
      <c r="AD78" s="1014"/>
    </row>
    <row r="79" spans="1:30" ht="31" outlineLevel="1">
      <c r="A79" s="1031">
        <v>25</v>
      </c>
      <c r="B79" s="1013">
        <f t="shared" si="10"/>
        <v>25</v>
      </c>
      <c r="C79" s="1125" t="str">
        <f t="shared" si="11"/>
        <v>IVF025</v>
      </c>
      <c r="D79" s="1009" t="s">
        <v>90</v>
      </c>
      <c r="E79" s="1031">
        <v>1</v>
      </c>
      <c r="F79" s="1030" t="s">
        <v>66</v>
      </c>
      <c r="G79" s="1032">
        <v>225000</v>
      </c>
      <c r="H79" s="1033">
        <f>ROUND(E79*G79,0)</f>
        <v>225000</v>
      </c>
      <c r="I79" s="1034">
        <f>E79</f>
        <v>1</v>
      </c>
      <c r="J79" s="1031" t="str">
        <f>F79</f>
        <v>No</v>
      </c>
      <c r="K79" s="1033">
        <f>G79</f>
        <v>225000</v>
      </c>
      <c r="L79" s="1033">
        <f>ROUND(I79*K79,0)</f>
        <v>225000</v>
      </c>
      <c r="M79" s="1035">
        <f>IF(L79&gt;H79,L79-H79,0)</f>
        <v>0</v>
      </c>
      <c r="N79" s="1033">
        <f>IF(H79&gt;L79,H79-L79,0)</f>
        <v>0</v>
      </c>
      <c r="O79" s="1012" t="s">
        <v>2353</v>
      </c>
      <c r="P79" s="1018" t="s">
        <v>429</v>
      </c>
      <c r="Q79" s="1013"/>
      <c r="R79" s="1014"/>
      <c r="S79" s="1014"/>
      <c r="T79" s="1014"/>
      <c r="U79" s="1041"/>
      <c r="V79" s="1037"/>
      <c r="W79" s="1038"/>
      <c r="X79" s="1014"/>
      <c r="Y79" s="1014"/>
      <c r="Z79" s="1014"/>
      <c r="AA79" s="1014"/>
      <c r="AB79" s="1014"/>
      <c r="AC79" s="1014"/>
      <c r="AD79" s="1014"/>
    </row>
    <row r="80" spans="1:30" outlineLevel="1">
      <c r="A80" s="1011"/>
      <c r="B80" s="1013" t="str">
        <f t="shared" si="10"/>
        <v/>
      </c>
      <c r="C80" s="1125"/>
      <c r="D80" s="1122" t="s">
        <v>2490</v>
      </c>
      <c r="E80" s="1011"/>
      <c r="F80" s="1011"/>
      <c r="G80" s="1035"/>
      <c r="H80" s="1035"/>
      <c r="I80" s="1010"/>
      <c r="J80" s="1011"/>
      <c r="K80" s="1035"/>
      <c r="L80" s="1035"/>
      <c r="M80" s="1035"/>
      <c r="N80" s="1035"/>
      <c r="O80" s="1012"/>
      <c r="P80" s="1018" t="s">
        <v>429</v>
      </c>
      <c r="Q80" s="1013"/>
      <c r="R80" s="1014"/>
      <c r="S80" s="1014"/>
      <c r="T80" s="1014"/>
      <c r="U80" s="1041"/>
      <c r="V80" s="1037"/>
      <c r="W80" s="1038"/>
      <c r="X80" s="1014"/>
      <c r="Y80" s="1014"/>
      <c r="Z80" s="1014"/>
      <c r="AA80" s="1014"/>
      <c r="AB80" s="1014"/>
      <c r="AC80" s="1014"/>
      <c r="AD80" s="1014"/>
    </row>
    <row r="81" spans="1:30" outlineLevel="1">
      <c r="A81" s="1011"/>
      <c r="B81" s="1013" t="str">
        <f t="shared" si="10"/>
        <v/>
      </c>
      <c r="C81" s="1125"/>
      <c r="D81" s="1122"/>
      <c r="E81" s="1011"/>
      <c r="F81" s="1011"/>
      <c r="G81" s="1035"/>
      <c r="H81" s="1035"/>
      <c r="I81" s="1010"/>
      <c r="J81" s="1011"/>
      <c r="K81" s="1035"/>
      <c r="L81" s="1035"/>
      <c r="M81" s="1035"/>
      <c r="N81" s="1035"/>
      <c r="O81" s="1012"/>
      <c r="P81" s="1018" t="s">
        <v>429</v>
      </c>
      <c r="Q81" s="1013"/>
      <c r="R81" s="1014"/>
      <c r="S81" s="1014"/>
      <c r="T81" s="1014"/>
      <c r="U81" s="1041"/>
      <c r="V81" s="1037"/>
      <c r="W81" s="1038"/>
      <c r="X81" s="1014"/>
      <c r="Y81" s="1014"/>
      <c r="Z81" s="1014"/>
      <c r="AA81" s="1014"/>
      <c r="AB81" s="1014"/>
      <c r="AC81" s="1014"/>
      <c r="AD81" s="1014"/>
    </row>
    <row r="82" spans="1:30" ht="31" outlineLevel="1">
      <c r="A82" s="1031">
        <v>26</v>
      </c>
      <c r="B82" s="1013">
        <f t="shared" si="10"/>
        <v>26</v>
      </c>
      <c r="C82" s="1125" t="str">
        <f t="shared" si="11"/>
        <v>IVF026</v>
      </c>
      <c r="D82" s="1009" t="s">
        <v>91</v>
      </c>
      <c r="E82" s="1031">
        <v>2</v>
      </c>
      <c r="F82" s="1030" t="s">
        <v>66</v>
      </c>
      <c r="G82" s="1032">
        <v>61875</v>
      </c>
      <c r="H82" s="1033">
        <f>ROUND(E82*G82,0)</f>
        <v>123750</v>
      </c>
      <c r="I82" s="1034">
        <f>E82</f>
        <v>2</v>
      </c>
      <c r="J82" s="1031" t="str">
        <f>F82</f>
        <v>No</v>
      </c>
      <c r="K82" s="1033">
        <f>G82</f>
        <v>61875</v>
      </c>
      <c r="L82" s="1033">
        <f>ROUND(I82*K82,0)</f>
        <v>123750</v>
      </c>
      <c r="M82" s="1035">
        <f>IF(L82&gt;H82,L82-H82,0)</f>
        <v>0</v>
      </c>
      <c r="N82" s="1033">
        <f>IF(H82&gt;L82,H82-L82,0)</f>
        <v>0</v>
      </c>
      <c r="O82" s="1012" t="s">
        <v>2353</v>
      </c>
      <c r="P82" s="1018" t="s">
        <v>429</v>
      </c>
      <c r="Q82" s="1013"/>
      <c r="R82" s="1014"/>
      <c r="S82" s="1014"/>
      <c r="T82" s="1014"/>
      <c r="U82" s="1041"/>
      <c r="V82" s="1037"/>
      <c r="W82" s="1038"/>
      <c r="X82" s="1014"/>
      <c r="Y82" s="1014"/>
      <c r="Z82" s="1014"/>
      <c r="AA82" s="1014"/>
      <c r="AB82" s="1014"/>
      <c r="AC82" s="1014"/>
      <c r="AD82" s="1014"/>
    </row>
    <row r="83" spans="1:30" outlineLevel="1">
      <c r="A83" s="1011"/>
      <c r="B83" s="1013" t="str">
        <f t="shared" si="10"/>
        <v/>
      </c>
      <c r="C83" s="1125"/>
      <c r="D83" s="1122" t="s">
        <v>2489</v>
      </c>
      <c r="E83" s="1011"/>
      <c r="F83" s="1011"/>
      <c r="G83" s="1035"/>
      <c r="H83" s="1035"/>
      <c r="I83" s="1010"/>
      <c r="J83" s="1011"/>
      <c r="K83" s="1035"/>
      <c r="L83" s="1035"/>
      <c r="M83" s="1035"/>
      <c r="N83" s="1035"/>
      <c r="O83" s="1012"/>
      <c r="P83" s="1018" t="s">
        <v>429</v>
      </c>
      <c r="Q83" s="1013"/>
      <c r="R83" s="1014"/>
      <c r="S83" s="1014"/>
      <c r="T83" s="1014"/>
      <c r="U83" s="1041"/>
      <c r="V83" s="1037"/>
      <c r="W83" s="1038"/>
      <c r="X83" s="1014"/>
      <c r="Y83" s="1014"/>
      <c r="Z83" s="1014"/>
      <c r="AA83" s="1014"/>
      <c r="AB83" s="1014"/>
      <c r="AC83" s="1014"/>
      <c r="AD83" s="1014"/>
    </row>
    <row r="84" spans="1:30" outlineLevel="1">
      <c r="A84" s="1011"/>
      <c r="B84" s="1013" t="str">
        <f t="shared" si="10"/>
        <v/>
      </c>
      <c r="C84" s="1125"/>
      <c r="D84" s="1122"/>
      <c r="E84" s="1011"/>
      <c r="F84" s="1011"/>
      <c r="G84" s="1035"/>
      <c r="H84" s="1035"/>
      <c r="I84" s="1010"/>
      <c r="J84" s="1011"/>
      <c r="K84" s="1035"/>
      <c r="L84" s="1035"/>
      <c r="M84" s="1035"/>
      <c r="N84" s="1035"/>
      <c r="O84" s="1012"/>
      <c r="P84" s="1018" t="s">
        <v>429</v>
      </c>
      <c r="Q84" s="1013"/>
      <c r="R84" s="1014"/>
      <c r="S84" s="1014"/>
      <c r="T84" s="1014"/>
      <c r="U84" s="1041"/>
      <c r="V84" s="1037"/>
      <c r="W84" s="1038"/>
      <c r="X84" s="1014"/>
      <c r="Y84" s="1014"/>
      <c r="Z84" s="1014"/>
      <c r="AA84" s="1014"/>
      <c r="AB84" s="1014"/>
      <c r="AC84" s="1014"/>
      <c r="AD84" s="1014"/>
    </row>
    <row r="85" spans="1:30" s="1047" customFormat="1" ht="31" outlineLevel="1">
      <c r="A85" s="1031">
        <v>27</v>
      </c>
      <c r="B85" s="1013">
        <f t="shared" si="10"/>
        <v>27</v>
      </c>
      <c r="C85" s="1125" t="str">
        <f t="shared" si="11"/>
        <v>IVF027</v>
      </c>
      <c r="D85" s="1009" t="s">
        <v>92</v>
      </c>
      <c r="E85" s="1031">
        <v>1</v>
      </c>
      <c r="F85" s="1030" t="s">
        <v>66</v>
      </c>
      <c r="G85" s="1032">
        <v>312500</v>
      </c>
      <c r="H85" s="1033">
        <f>ROUND(E85*G85,0)</f>
        <v>312500</v>
      </c>
      <c r="I85" s="1034">
        <f>E85</f>
        <v>1</v>
      </c>
      <c r="J85" s="1031" t="str">
        <f>F85</f>
        <v>No</v>
      </c>
      <c r="K85" s="1033">
        <f>G85</f>
        <v>312500</v>
      </c>
      <c r="L85" s="1033">
        <f>ROUND(I85*K85,0)</f>
        <v>312500</v>
      </c>
      <c r="M85" s="1035">
        <f>IF(L85&gt;H85,L85-H85,0)</f>
        <v>0</v>
      </c>
      <c r="N85" s="1033">
        <f>IF(H85&gt;L85,H85-L85,0)</f>
        <v>0</v>
      </c>
      <c r="O85" s="1012" t="s">
        <v>2353</v>
      </c>
      <c r="P85" s="1018" t="s">
        <v>429</v>
      </c>
      <c r="Q85" s="1013"/>
      <c r="R85" s="1014"/>
      <c r="S85" s="1043"/>
      <c r="T85" s="1043"/>
      <c r="U85" s="1044"/>
      <c r="V85" s="1045"/>
      <c r="W85" s="1046"/>
      <c r="X85" s="1043"/>
      <c r="Y85" s="1043"/>
      <c r="Z85" s="1043"/>
      <c r="AA85" s="1043"/>
      <c r="AB85" s="1043"/>
      <c r="AC85" s="1043"/>
      <c r="AD85" s="1043"/>
    </row>
    <row r="86" spans="1:30" outlineLevel="1">
      <c r="A86" s="1011"/>
      <c r="B86" s="1013" t="str">
        <f t="shared" si="10"/>
        <v/>
      </c>
      <c r="C86" s="1125"/>
      <c r="D86" s="1122" t="s">
        <v>2488</v>
      </c>
      <c r="E86" s="1011"/>
      <c r="F86" s="1011"/>
      <c r="G86" s="1035"/>
      <c r="H86" s="1035"/>
      <c r="I86" s="1010"/>
      <c r="J86" s="1011"/>
      <c r="K86" s="1035"/>
      <c r="L86" s="1035"/>
      <c r="M86" s="1035"/>
      <c r="N86" s="1035"/>
      <c r="O86" s="1012"/>
      <c r="P86" s="1018" t="s">
        <v>429</v>
      </c>
      <c r="Q86" s="1013"/>
      <c r="R86" s="1014"/>
      <c r="S86" s="1014"/>
      <c r="T86" s="1014"/>
      <c r="U86" s="1041"/>
      <c r="V86" s="1037"/>
      <c r="W86" s="1038"/>
      <c r="X86" s="1014"/>
      <c r="Y86" s="1014"/>
      <c r="Z86" s="1014"/>
      <c r="AA86" s="1014"/>
      <c r="AB86" s="1014"/>
      <c r="AC86" s="1014"/>
      <c r="AD86" s="1014"/>
    </row>
    <row r="87" spans="1:30" outlineLevel="1">
      <c r="A87" s="1011"/>
      <c r="B87" s="1013" t="str">
        <f t="shared" si="10"/>
        <v/>
      </c>
      <c r="C87" s="1125"/>
      <c r="D87" s="1122"/>
      <c r="E87" s="1011"/>
      <c r="F87" s="1011"/>
      <c r="G87" s="1035"/>
      <c r="H87" s="1035"/>
      <c r="I87" s="1010"/>
      <c r="J87" s="1011"/>
      <c r="K87" s="1035"/>
      <c r="L87" s="1035"/>
      <c r="M87" s="1035"/>
      <c r="N87" s="1035"/>
      <c r="O87" s="1012"/>
      <c r="P87" s="1018" t="s">
        <v>429</v>
      </c>
      <c r="Q87" s="1013"/>
      <c r="R87" s="1014"/>
      <c r="S87" s="1014"/>
      <c r="T87" s="1014"/>
      <c r="U87" s="1041"/>
      <c r="V87" s="1037"/>
      <c r="W87" s="1038"/>
      <c r="X87" s="1014"/>
      <c r="Y87" s="1014"/>
      <c r="Z87" s="1014"/>
      <c r="AA87" s="1014"/>
      <c r="AB87" s="1014"/>
      <c r="AC87" s="1014"/>
      <c r="AD87" s="1014"/>
    </row>
    <row r="88" spans="1:30" ht="31" outlineLevel="1">
      <c r="A88" s="1031">
        <v>28</v>
      </c>
      <c r="B88" s="1013">
        <f t="shared" si="10"/>
        <v>28</v>
      </c>
      <c r="C88" s="1125" t="str">
        <f t="shared" si="11"/>
        <v>IVF028</v>
      </c>
      <c r="D88" s="1009" t="s">
        <v>93</v>
      </c>
      <c r="E88" s="1031">
        <v>2</v>
      </c>
      <c r="F88" s="1030" t="s">
        <v>66</v>
      </c>
      <c r="G88" s="1032">
        <v>280000</v>
      </c>
      <c r="H88" s="1033">
        <f>ROUND(E88*G88,0)</f>
        <v>560000</v>
      </c>
      <c r="I88" s="1034">
        <f>E88</f>
        <v>2</v>
      </c>
      <c r="J88" s="1031" t="str">
        <f>F88</f>
        <v>No</v>
      </c>
      <c r="K88" s="1033">
        <f>G88</f>
        <v>280000</v>
      </c>
      <c r="L88" s="1033">
        <f>ROUND(I88*K88,0)</f>
        <v>560000</v>
      </c>
      <c r="M88" s="1035">
        <f>IF(L88&gt;H88,L88-H88,0)</f>
        <v>0</v>
      </c>
      <c r="N88" s="1033">
        <f>IF(H88&gt;L88,H88-L88,0)</f>
        <v>0</v>
      </c>
      <c r="O88" s="1012" t="s">
        <v>2353</v>
      </c>
      <c r="P88" s="1018" t="s">
        <v>429</v>
      </c>
      <c r="Q88" s="1013"/>
      <c r="R88" s="1014"/>
      <c r="S88" s="1014"/>
      <c r="T88" s="1014"/>
      <c r="U88" s="1041"/>
      <c r="V88" s="1037"/>
      <c r="W88" s="1038"/>
      <c r="X88" s="1014"/>
      <c r="Y88" s="1014"/>
      <c r="Z88" s="1014"/>
      <c r="AA88" s="1014"/>
      <c r="AB88" s="1014"/>
      <c r="AC88" s="1014"/>
      <c r="AD88" s="1014"/>
    </row>
    <row r="89" spans="1:30" outlineLevel="1">
      <c r="A89" s="1011"/>
      <c r="B89" s="1013" t="str">
        <f t="shared" si="10"/>
        <v/>
      </c>
      <c r="C89" s="1125"/>
      <c r="D89" s="1122" t="s">
        <v>2490</v>
      </c>
      <c r="E89" s="1011"/>
      <c r="F89" s="1011"/>
      <c r="G89" s="1035"/>
      <c r="H89" s="1035"/>
      <c r="I89" s="1010"/>
      <c r="J89" s="1011"/>
      <c r="K89" s="1035"/>
      <c r="L89" s="1035"/>
      <c r="M89" s="1035"/>
      <c r="N89" s="1035"/>
      <c r="O89" s="1012"/>
      <c r="P89" s="1018" t="s">
        <v>429</v>
      </c>
      <c r="Q89" s="1013"/>
      <c r="R89" s="1014"/>
      <c r="S89" s="1014"/>
      <c r="T89" s="1014"/>
      <c r="U89" s="1041"/>
      <c r="V89" s="1037"/>
      <c r="W89" s="1038"/>
      <c r="X89" s="1014"/>
      <c r="Y89" s="1014"/>
      <c r="Z89" s="1014"/>
      <c r="AA89" s="1014"/>
      <c r="AB89" s="1014"/>
      <c r="AC89" s="1014"/>
      <c r="AD89" s="1014"/>
    </row>
    <row r="90" spans="1:30" outlineLevel="1">
      <c r="A90" s="1011"/>
      <c r="B90" s="1013" t="str">
        <f t="shared" si="10"/>
        <v/>
      </c>
      <c r="C90" s="1125"/>
      <c r="D90" s="1122"/>
      <c r="E90" s="1011"/>
      <c r="F90" s="1011"/>
      <c r="G90" s="1035"/>
      <c r="H90" s="1035"/>
      <c r="I90" s="1010"/>
      <c r="J90" s="1011"/>
      <c r="K90" s="1035"/>
      <c r="L90" s="1035"/>
      <c r="M90" s="1035"/>
      <c r="N90" s="1035"/>
      <c r="O90" s="1012"/>
      <c r="P90" s="1018" t="s">
        <v>429</v>
      </c>
      <c r="Q90" s="1013"/>
      <c r="R90" s="1014"/>
      <c r="S90" s="1014"/>
      <c r="T90" s="1014"/>
      <c r="U90" s="1041"/>
      <c r="V90" s="1037"/>
      <c r="W90" s="1038"/>
      <c r="X90" s="1014"/>
      <c r="Y90" s="1014"/>
      <c r="Z90" s="1014"/>
      <c r="AA90" s="1014"/>
      <c r="AB90" s="1014"/>
      <c r="AC90" s="1014"/>
      <c r="AD90" s="1014"/>
    </row>
    <row r="91" spans="1:30" ht="31" outlineLevel="1">
      <c r="A91" s="1031">
        <v>29</v>
      </c>
      <c r="B91" s="1013">
        <f t="shared" si="10"/>
        <v>29</v>
      </c>
      <c r="C91" s="1125" t="str">
        <f t="shared" si="11"/>
        <v>IVF029</v>
      </c>
      <c r="D91" s="1009" t="s">
        <v>94</v>
      </c>
      <c r="E91" s="1031">
        <v>1</v>
      </c>
      <c r="F91" s="1030" t="s">
        <v>66</v>
      </c>
      <c r="G91" s="1032">
        <v>49500</v>
      </c>
      <c r="H91" s="1033">
        <f>ROUND(E91*G91,0)</f>
        <v>49500</v>
      </c>
      <c r="I91" s="1034">
        <f>E91</f>
        <v>1</v>
      </c>
      <c r="J91" s="1031" t="str">
        <f>F91</f>
        <v>No</v>
      </c>
      <c r="K91" s="1033">
        <f>G91</f>
        <v>49500</v>
      </c>
      <c r="L91" s="1033">
        <f>ROUND(I91*K91,0)</f>
        <v>49500</v>
      </c>
      <c r="M91" s="1035">
        <f>IF(L91&gt;H91,L91-H91,0)</f>
        <v>0</v>
      </c>
      <c r="N91" s="1033">
        <f>IF(H91&gt;L91,H91-L91,0)</f>
        <v>0</v>
      </c>
      <c r="O91" s="1012" t="s">
        <v>2353</v>
      </c>
      <c r="P91" s="1018" t="s">
        <v>429</v>
      </c>
      <c r="Q91" s="1013"/>
      <c r="R91" s="1014"/>
      <c r="S91" s="1014"/>
      <c r="T91" s="1014"/>
      <c r="U91" s="1041"/>
      <c r="V91" s="1037"/>
      <c r="W91" s="1038"/>
      <c r="X91" s="1014"/>
      <c r="Y91" s="1014"/>
      <c r="Z91" s="1014"/>
      <c r="AA91" s="1014"/>
      <c r="AB91" s="1014"/>
      <c r="AC91" s="1014"/>
      <c r="AD91" s="1014"/>
    </row>
    <row r="92" spans="1:30" outlineLevel="1">
      <c r="A92" s="1011"/>
      <c r="B92" s="1013" t="str">
        <f t="shared" si="10"/>
        <v/>
      </c>
      <c r="C92" s="1125"/>
      <c r="D92" s="1122" t="s">
        <v>2491</v>
      </c>
      <c r="E92" s="1011"/>
      <c r="F92" s="1011"/>
      <c r="G92" s="1035"/>
      <c r="H92" s="1035"/>
      <c r="I92" s="1010"/>
      <c r="J92" s="1011"/>
      <c r="K92" s="1035"/>
      <c r="L92" s="1035"/>
      <c r="M92" s="1035"/>
      <c r="N92" s="1035"/>
      <c r="O92" s="1012"/>
      <c r="P92" s="1018" t="s">
        <v>429</v>
      </c>
      <c r="Q92" s="1013"/>
      <c r="R92" s="1014"/>
      <c r="S92" s="1014"/>
      <c r="T92" s="1014"/>
      <c r="U92" s="1041"/>
      <c r="V92" s="1037"/>
      <c r="W92" s="1038"/>
      <c r="X92" s="1014"/>
      <c r="Y92" s="1014"/>
      <c r="Z92" s="1014"/>
      <c r="AA92" s="1014"/>
      <c r="AB92" s="1014"/>
      <c r="AC92" s="1014"/>
      <c r="AD92" s="1014"/>
    </row>
    <row r="93" spans="1:30" outlineLevel="1">
      <c r="A93" s="1011"/>
      <c r="B93" s="1013" t="str">
        <f t="shared" si="10"/>
        <v/>
      </c>
      <c r="C93" s="1125"/>
      <c r="D93" s="1122"/>
      <c r="E93" s="1011"/>
      <c r="F93" s="1011"/>
      <c r="G93" s="1035"/>
      <c r="H93" s="1035"/>
      <c r="I93" s="1010"/>
      <c r="J93" s="1011"/>
      <c r="K93" s="1035"/>
      <c r="L93" s="1035"/>
      <c r="M93" s="1035"/>
      <c r="N93" s="1035"/>
      <c r="O93" s="1012"/>
      <c r="P93" s="1018" t="s">
        <v>429</v>
      </c>
      <c r="Q93" s="1013"/>
      <c r="R93" s="1014"/>
      <c r="S93" s="1014"/>
      <c r="T93" s="1014"/>
      <c r="U93" s="1041"/>
      <c r="V93" s="1037"/>
      <c r="W93" s="1038"/>
      <c r="X93" s="1014"/>
      <c r="Y93" s="1014"/>
      <c r="Z93" s="1014"/>
      <c r="AA93" s="1014"/>
      <c r="AB93" s="1014"/>
      <c r="AC93" s="1014"/>
      <c r="AD93" s="1014"/>
    </row>
    <row r="94" spans="1:30" ht="31" outlineLevel="1">
      <c r="A94" s="1031">
        <v>30</v>
      </c>
      <c r="B94" s="1013">
        <f t="shared" si="10"/>
        <v>30</v>
      </c>
      <c r="C94" s="1125" t="str">
        <f t="shared" si="11"/>
        <v>IVF030</v>
      </c>
      <c r="D94" s="1009" t="s">
        <v>95</v>
      </c>
      <c r="E94" s="1031">
        <v>1</v>
      </c>
      <c r="F94" s="1030" t="s">
        <v>66</v>
      </c>
      <c r="G94" s="1032">
        <v>937500</v>
      </c>
      <c r="H94" s="1033">
        <f>ROUND(E94*G94,0)</f>
        <v>937500</v>
      </c>
      <c r="I94" s="1034">
        <f>E94</f>
        <v>1</v>
      </c>
      <c r="J94" s="1031" t="str">
        <f>F94</f>
        <v>No</v>
      </c>
      <c r="K94" s="1033">
        <f>G94</f>
        <v>937500</v>
      </c>
      <c r="L94" s="1033">
        <f>ROUND(I94*K94,0)</f>
        <v>937500</v>
      </c>
      <c r="M94" s="1035">
        <f>IF(L94&gt;H94,L94-H94,0)</f>
        <v>0</v>
      </c>
      <c r="N94" s="1033">
        <f>IF(H94&gt;L94,H94-L94,0)</f>
        <v>0</v>
      </c>
      <c r="O94" s="1012" t="s">
        <v>2353</v>
      </c>
      <c r="P94" s="1018" t="s">
        <v>429</v>
      </c>
      <c r="Q94" s="1013"/>
      <c r="R94" s="1014"/>
      <c r="S94" s="1014"/>
      <c r="T94" s="1014"/>
      <c r="U94" s="1041"/>
      <c r="V94" s="1037"/>
      <c r="W94" s="1038"/>
      <c r="X94" s="1014"/>
      <c r="Y94" s="1014"/>
      <c r="Z94" s="1014"/>
      <c r="AA94" s="1014"/>
      <c r="AB94" s="1014"/>
      <c r="AC94" s="1014"/>
      <c r="AD94" s="1014"/>
    </row>
    <row r="95" spans="1:30" s="1047" customFormat="1" outlineLevel="1">
      <c r="A95" s="1011"/>
      <c r="B95" s="1013" t="str">
        <f t="shared" si="10"/>
        <v/>
      </c>
      <c r="C95" s="1125"/>
      <c r="D95" s="1122" t="s">
        <v>2488</v>
      </c>
      <c r="E95" s="1011"/>
      <c r="F95" s="1011"/>
      <c r="G95" s="1035"/>
      <c r="H95" s="1035"/>
      <c r="I95" s="1010"/>
      <c r="J95" s="1011"/>
      <c r="K95" s="1035"/>
      <c r="L95" s="1035"/>
      <c r="M95" s="1035"/>
      <c r="N95" s="1035"/>
      <c r="O95" s="1012"/>
      <c r="P95" s="1018" t="s">
        <v>429</v>
      </c>
      <c r="Q95" s="1013"/>
      <c r="R95" s="1014"/>
      <c r="S95" s="1043"/>
      <c r="T95" s="1043"/>
      <c r="U95" s="1044"/>
      <c r="V95" s="1045"/>
      <c r="W95" s="1046"/>
      <c r="X95" s="1043"/>
      <c r="Y95" s="1043"/>
      <c r="Z95" s="1043"/>
      <c r="AA95" s="1043"/>
      <c r="AB95" s="1043"/>
      <c r="AC95" s="1043"/>
      <c r="AD95" s="1043"/>
    </row>
    <row r="96" spans="1:30" s="1047" customFormat="1" outlineLevel="1">
      <c r="A96" s="1011"/>
      <c r="B96" s="1013" t="str">
        <f t="shared" si="10"/>
        <v/>
      </c>
      <c r="C96" s="1125"/>
      <c r="D96" s="1122"/>
      <c r="E96" s="1011"/>
      <c r="F96" s="1011"/>
      <c r="G96" s="1035"/>
      <c r="H96" s="1035"/>
      <c r="I96" s="1010"/>
      <c r="J96" s="1011"/>
      <c r="K96" s="1035"/>
      <c r="L96" s="1035"/>
      <c r="M96" s="1035"/>
      <c r="N96" s="1035"/>
      <c r="O96" s="1012"/>
      <c r="P96" s="1018" t="s">
        <v>429</v>
      </c>
      <c r="Q96" s="1013"/>
      <c r="R96" s="1014"/>
      <c r="S96" s="1043"/>
      <c r="T96" s="1043"/>
      <c r="U96" s="1044"/>
      <c r="V96" s="1045"/>
      <c r="W96" s="1046"/>
      <c r="X96" s="1043"/>
      <c r="Y96" s="1043"/>
      <c r="Z96" s="1043"/>
      <c r="AA96" s="1043"/>
      <c r="AB96" s="1043"/>
      <c r="AC96" s="1043"/>
      <c r="AD96" s="1043"/>
    </row>
    <row r="97" spans="1:30" ht="31" outlineLevel="1">
      <c r="A97" s="1031">
        <v>31</v>
      </c>
      <c r="B97" s="1013">
        <f t="shared" si="10"/>
        <v>31</v>
      </c>
      <c r="C97" s="1125" t="str">
        <f t="shared" si="11"/>
        <v>IVF031</v>
      </c>
      <c r="D97" s="1009" t="s">
        <v>96</v>
      </c>
      <c r="E97" s="1031">
        <v>1</v>
      </c>
      <c r="F97" s="1030" t="s">
        <v>66</v>
      </c>
      <c r="G97" s="1032">
        <v>562500</v>
      </c>
      <c r="H97" s="1033">
        <f>ROUND(E97*G97,0)</f>
        <v>562500</v>
      </c>
      <c r="I97" s="1034">
        <f>E97</f>
        <v>1</v>
      </c>
      <c r="J97" s="1031" t="str">
        <f>F97</f>
        <v>No</v>
      </c>
      <c r="K97" s="1033">
        <f>G97</f>
        <v>562500</v>
      </c>
      <c r="L97" s="1033">
        <f>ROUND(I97*K97,0)</f>
        <v>562500</v>
      </c>
      <c r="M97" s="1035">
        <f>IF(L97&gt;H97,L97-H97,0)</f>
        <v>0</v>
      </c>
      <c r="N97" s="1033">
        <f>IF(H97&gt;L97,H97-L97,0)</f>
        <v>0</v>
      </c>
      <c r="O97" s="1012" t="s">
        <v>2353</v>
      </c>
      <c r="P97" s="1018" t="s">
        <v>429</v>
      </c>
      <c r="Q97" s="1013"/>
      <c r="R97" s="1014"/>
      <c r="S97" s="1014"/>
      <c r="T97" s="1014"/>
      <c r="U97" s="1041"/>
      <c r="V97" s="1037"/>
      <c r="W97" s="1038"/>
      <c r="X97" s="1014"/>
      <c r="Y97" s="1014"/>
      <c r="Z97" s="1014"/>
      <c r="AA97" s="1014"/>
      <c r="AB97" s="1014"/>
      <c r="AC97" s="1014"/>
      <c r="AD97" s="1014"/>
    </row>
    <row r="98" spans="1:30" outlineLevel="1">
      <c r="A98" s="1011"/>
      <c r="B98" s="1013" t="str">
        <f t="shared" si="10"/>
        <v/>
      </c>
      <c r="C98" s="1125"/>
      <c r="D98" s="1122" t="s">
        <v>2488</v>
      </c>
      <c r="E98" s="1011"/>
      <c r="F98" s="1011"/>
      <c r="G98" s="1035"/>
      <c r="H98" s="1035"/>
      <c r="I98" s="1010"/>
      <c r="J98" s="1011"/>
      <c r="K98" s="1035"/>
      <c r="L98" s="1035"/>
      <c r="M98" s="1035"/>
      <c r="N98" s="1035"/>
      <c r="O98" s="1012"/>
      <c r="P98" s="1018" t="s">
        <v>429</v>
      </c>
      <c r="Q98" s="1013"/>
      <c r="R98" s="1014"/>
      <c r="S98" s="1014"/>
      <c r="T98" s="1014"/>
      <c r="U98" s="1041"/>
      <c r="V98" s="1037"/>
      <c r="W98" s="1038"/>
      <c r="X98" s="1014"/>
      <c r="Y98" s="1014"/>
      <c r="Z98" s="1014"/>
      <c r="AA98" s="1014"/>
      <c r="AB98" s="1014"/>
      <c r="AC98" s="1014"/>
      <c r="AD98" s="1014"/>
    </row>
    <row r="99" spans="1:30" outlineLevel="1">
      <c r="A99" s="1011"/>
      <c r="B99" s="1013" t="str">
        <f t="shared" si="10"/>
        <v/>
      </c>
      <c r="C99" s="1125"/>
      <c r="D99" s="1122"/>
      <c r="E99" s="1011"/>
      <c r="F99" s="1011"/>
      <c r="G99" s="1035"/>
      <c r="H99" s="1035"/>
      <c r="I99" s="1010"/>
      <c r="J99" s="1011"/>
      <c r="K99" s="1035"/>
      <c r="L99" s="1035"/>
      <c r="M99" s="1035"/>
      <c r="N99" s="1035"/>
      <c r="O99" s="1012"/>
      <c r="P99" s="1018" t="s">
        <v>429</v>
      </c>
      <c r="Q99" s="1013"/>
      <c r="R99" s="1014"/>
      <c r="S99" s="1014"/>
      <c r="T99" s="1014"/>
      <c r="U99" s="1041"/>
      <c r="V99" s="1037"/>
      <c r="W99" s="1038"/>
      <c r="X99" s="1014"/>
      <c r="Y99" s="1014"/>
      <c r="Z99" s="1014"/>
      <c r="AA99" s="1014"/>
      <c r="AB99" s="1014"/>
      <c r="AC99" s="1014"/>
      <c r="AD99" s="1014"/>
    </row>
    <row r="100" spans="1:30" ht="31" outlineLevel="1">
      <c r="A100" s="1031">
        <v>32</v>
      </c>
      <c r="B100" s="1013">
        <f t="shared" si="10"/>
        <v>32</v>
      </c>
      <c r="C100" s="1125" t="str">
        <f t="shared" si="11"/>
        <v>IVF032</v>
      </c>
      <c r="D100" s="1009" t="s">
        <v>97</v>
      </c>
      <c r="E100" s="1031">
        <v>1</v>
      </c>
      <c r="F100" s="1030" t="s">
        <v>66</v>
      </c>
      <c r="G100" s="1032">
        <v>2125000</v>
      </c>
      <c r="H100" s="1033">
        <f>ROUND(E100*G100,0)</f>
        <v>2125000</v>
      </c>
      <c r="I100" s="1034">
        <f>E100</f>
        <v>1</v>
      </c>
      <c r="J100" s="1031" t="str">
        <f>F100</f>
        <v>No</v>
      </c>
      <c r="K100" s="1033">
        <f>G100</f>
        <v>2125000</v>
      </c>
      <c r="L100" s="1033">
        <f>ROUND(I100*K100,0)</f>
        <v>2125000</v>
      </c>
      <c r="M100" s="1035">
        <f>IF(L100&gt;H100,L100-H100,0)</f>
        <v>0</v>
      </c>
      <c r="N100" s="1033">
        <f>IF(H100&gt;L100,H100-L100,0)</f>
        <v>0</v>
      </c>
      <c r="O100" s="1012" t="s">
        <v>2353</v>
      </c>
      <c r="P100" s="1018" t="s">
        <v>429</v>
      </c>
      <c r="Q100" s="1013"/>
      <c r="R100" s="1014"/>
      <c r="S100" s="1014"/>
      <c r="T100" s="1014"/>
      <c r="U100" s="1041"/>
      <c r="V100" s="1037"/>
      <c r="W100" s="1038"/>
      <c r="X100" s="1014"/>
      <c r="Y100" s="1014"/>
      <c r="Z100" s="1014"/>
      <c r="AA100" s="1014"/>
      <c r="AB100" s="1014"/>
      <c r="AC100" s="1014"/>
      <c r="AD100" s="1014"/>
    </row>
    <row r="101" spans="1:30" outlineLevel="1">
      <c r="A101" s="1011"/>
      <c r="B101" s="1013" t="str">
        <f t="shared" si="10"/>
        <v/>
      </c>
      <c r="C101" s="1125"/>
      <c r="D101" s="1122" t="s">
        <v>2491</v>
      </c>
      <c r="E101" s="1011"/>
      <c r="F101" s="1011"/>
      <c r="G101" s="1035"/>
      <c r="H101" s="1035"/>
      <c r="I101" s="1010"/>
      <c r="J101" s="1011"/>
      <c r="K101" s="1035"/>
      <c r="L101" s="1035"/>
      <c r="M101" s="1035"/>
      <c r="N101" s="1035"/>
      <c r="O101" s="1012"/>
      <c r="P101" s="1018" t="s">
        <v>429</v>
      </c>
      <c r="Q101" s="1013"/>
      <c r="R101" s="1014"/>
      <c r="S101" s="1014"/>
      <c r="T101" s="1014"/>
      <c r="U101" s="1041"/>
      <c r="V101" s="1037"/>
      <c r="W101" s="1038"/>
      <c r="X101" s="1014"/>
      <c r="Y101" s="1014"/>
      <c r="Z101" s="1014"/>
      <c r="AA101" s="1014"/>
      <c r="AB101" s="1014"/>
      <c r="AC101" s="1014"/>
      <c r="AD101" s="1014"/>
    </row>
    <row r="102" spans="1:30" outlineLevel="1">
      <c r="A102" s="1011"/>
      <c r="B102" s="1013" t="str">
        <f t="shared" si="10"/>
        <v/>
      </c>
      <c r="C102" s="1125"/>
      <c r="D102" s="1122"/>
      <c r="E102" s="1011"/>
      <c r="F102" s="1011"/>
      <c r="G102" s="1035"/>
      <c r="H102" s="1035"/>
      <c r="I102" s="1010"/>
      <c r="J102" s="1011"/>
      <c r="K102" s="1035"/>
      <c r="L102" s="1035"/>
      <c r="M102" s="1035"/>
      <c r="N102" s="1035"/>
      <c r="O102" s="1012"/>
      <c r="P102" s="1018" t="s">
        <v>429</v>
      </c>
      <c r="Q102" s="1013"/>
      <c r="R102" s="1014"/>
      <c r="S102" s="1014"/>
      <c r="T102" s="1014"/>
      <c r="U102" s="1041"/>
      <c r="V102" s="1037"/>
      <c r="W102" s="1038"/>
      <c r="X102" s="1014"/>
      <c r="Y102" s="1014"/>
      <c r="Z102" s="1014"/>
      <c r="AA102" s="1014"/>
      <c r="AB102" s="1014"/>
      <c r="AC102" s="1014"/>
      <c r="AD102" s="1014"/>
    </row>
    <row r="103" spans="1:30" ht="31" outlineLevel="1">
      <c r="A103" s="1031">
        <v>33</v>
      </c>
      <c r="B103" s="1013">
        <f t="shared" si="10"/>
        <v>33</v>
      </c>
      <c r="C103" s="1125" t="str">
        <f t="shared" si="11"/>
        <v>IVF033</v>
      </c>
      <c r="D103" s="1009" t="s">
        <v>98</v>
      </c>
      <c r="E103" s="1031">
        <v>1</v>
      </c>
      <c r="F103" s="1030" t="s">
        <v>66</v>
      </c>
      <c r="G103" s="1032">
        <v>4200000</v>
      </c>
      <c r="H103" s="1033">
        <f>ROUND(E103*G103,0)</f>
        <v>4200000</v>
      </c>
      <c r="I103" s="1034">
        <f>E103</f>
        <v>1</v>
      </c>
      <c r="J103" s="1031" t="str">
        <f>F103</f>
        <v>No</v>
      </c>
      <c r="K103" s="1033">
        <f>G103</f>
        <v>4200000</v>
      </c>
      <c r="L103" s="1033">
        <f>ROUND(I103*K103,0)</f>
        <v>4200000</v>
      </c>
      <c r="M103" s="1035">
        <f>IF(L103&gt;H103,L103-H103,0)</f>
        <v>0</v>
      </c>
      <c r="N103" s="1033">
        <f>IF(H103&gt;L103,H103-L103,0)</f>
        <v>0</v>
      </c>
      <c r="O103" s="1012" t="s">
        <v>2353</v>
      </c>
      <c r="P103" s="1018" t="s">
        <v>429</v>
      </c>
      <c r="Q103" s="1013"/>
      <c r="R103" s="1014"/>
      <c r="S103" s="1014"/>
      <c r="T103" s="1014"/>
      <c r="U103" s="1041"/>
      <c r="V103" s="1037"/>
      <c r="W103" s="1038"/>
      <c r="X103" s="1014"/>
      <c r="Y103" s="1014"/>
      <c r="Z103" s="1014"/>
      <c r="AA103" s="1014"/>
      <c r="AB103" s="1014"/>
      <c r="AC103" s="1014"/>
      <c r="AD103" s="1014"/>
    </row>
    <row r="104" spans="1:30" outlineLevel="1">
      <c r="A104" s="1011"/>
      <c r="B104" s="1013" t="str">
        <f t="shared" si="10"/>
        <v/>
      </c>
      <c r="C104" s="1125"/>
      <c r="D104" s="1122" t="s">
        <v>2491</v>
      </c>
      <c r="E104" s="1011"/>
      <c r="F104" s="1011"/>
      <c r="G104" s="1035"/>
      <c r="H104" s="1035"/>
      <c r="I104" s="1010"/>
      <c r="J104" s="1011"/>
      <c r="K104" s="1035"/>
      <c r="L104" s="1035"/>
      <c r="M104" s="1035"/>
      <c r="N104" s="1035"/>
      <c r="O104" s="1012"/>
      <c r="P104" s="1018" t="s">
        <v>429</v>
      </c>
      <c r="Q104" s="1013"/>
      <c r="R104" s="1014"/>
      <c r="S104" s="1014"/>
      <c r="T104" s="1014"/>
      <c r="U104" s="1041"/>
      <c r="V104" s="1037"/>
      <c r="W104" s="1038"/>
      <c r="X104" s="1014"/>
      <c r="Y104" s="1014"/>
      <c r="Z104" s="1014"/>
      <c r="AA104" s="1014"/>
      <c r="AB104" s="1014"/>
      <c r="AC104" s="1014"/>
      <c r="AD104" s="1014"/>
    </row>
    <row r="105" spans="1:30" outlineLevel="1">
      <c r="A105" s="1011"/>
      <c r="B105" s="1013" t="str">
        <f t="shared" si="10"/>
        <v/>
      </c>
      <c r="C105" s="1125"/>
      <c r="D105" s="1122"/>
      <c r="E105" s="1011"/>
      <c r="F105" s="1011"/>
      <c r="G105" s="1035"/>
      <c r="H105" s="1035"/>
      <c r="I105" s="1010"/>
      <c r="J105" s="1011"/>
      <c r="K105" s="1035"/>
      <c r="L105" s="1035"/>
      <c r="M105" s="1035"/>
      <c r="N105" s="1035"/>
      <c r="O105" s="1012"/>
      <c r="P105" s="1018" t="s">
        <v>429</v>
      </c>
      <c r="Q105" s="1013"/>
      <c r="R105" s="1014"/>
      <c r="S105" s="1014"/>
      <c r="T105" s="1014"/>
      <c r="U105" s="1041"/>
      <c r="V105" s="1037"/>
      <c r="W105" s="1038"/>
      <c r="X105" s="1014"/>
      <c r="Y105" s="1014"/>
      <c r="Z105" s="1014"/>
      <c r="AA105" s="1014"/>
      <c r="AB105" s="1014"/>
      <c r="AC105" s="1014"/>
      <c r="AD105" s="1014"/>
    </row>
    <row r="106" spans="1:30" ht="31" outlineLevel="1">
      <c r="A106" s="1031">
        <v>34</v>
      </c>
      <c r="B106" s="1013">
        <f t="shared" si="10"/>
        <v>34</v>
      </c>
      <c r="C106" s="1125" t="str">
        <f t="shared" si="11"/>
        <v>IVF034</v>
      </c>
      <c r="D106" s="1009" t="s">
        <v>99</v>
      </c>
      <c r="E106" s="1031">
        <v>1</v>
      </c>
      <c r="F106" s="1030" t="s">
        <v>66</v>
      </c>
      <c r="G106" s="1032">
        <v>43750</v>
      </c>
      <c r="H106" s="1033">
        <f>ROUND(E106*G106,0)</f>
        <v>43750</v>
      </c>
      <c r="I106" s="1034">
        <f>E106</f>
        <v>1</v>
      </c>
      <c r="J106" s="1031" t="str">
        <f>F106</f>
        <v>No</v>
      </c>
      <c r="K106" s="1033">
        <f>G106</f>
        <v>43750</v>
      </c>
      <c r="L106" s="1033">
        <f>ROUND(I106*K106,0)</f>
        <v>43750</v>
      </c>
      <c r="M106" s="1035">
        <f>IF(L106&gt;H106,L106-H106,0)</f>
        <v>0</v>
      </c>
      <c r="N106" s="1033">
        <f>IF(H106&gt;L106,H106-L106,0)</f>
        <v>0</v>
      </c>
      <c r="O106" s="1012" t="s">
        <v>2353</v>
      </c>
      <c r="P106" s="1018" t="s">
        <v>429</v>
      </c>
      <c r="Q106" s="1013"/>
      <c r="R106" s="1014"/>
      <c r="S106" s="1014"/>
      <c r="T106" s="1014"/>
      <c r="U106" s="1041"/>
      <c r="V106" s="1037"/>
      <c r="W106" s="1038"/>
      <c r="X106" s="1014"/>
      <c r="Y106" s="1014"/>
      <c r="Z106" s="1014"/>
      <c r="AA106" s="1014"/>
      <c r="AB106" s="1014"/>
      <c r="AC106" s="1014"/>
      <c r="AD106" s="1014"/>
    </row>
    <row r="107" spans="1:30" outlineLevel="1">
      <c r="A107" s="1011"/>
      <c r="B107" s="1013" t="str">
        <f t="shared" si="10"/>
        <v/>
      </c>
      <c r="C107" s="1125"/>
      <c r="D107" s="1122" t="s">
        <v>2489</v>
      </c>
      <c r="E107" s="1011"/>
      <c r="F107" s="1011"/>
      <c r="G107" s="1035"/>
      <c r="H107" s="1035"/>
      <c r="I107" s="1010"/>
      <c r="J107" s="1011"/>
      <c r="K107" s="1035"/>
      <c r="L107" s="1035"/>
      <c r="M107" s="1035"/>
      <c r="N107" s="1035"/>
      <c r="O107" s="1012"/>
      <c r="P107" s="1018" t="s">
        <v>429</v>
      </c>
      <c r="Q107" s="1013"/>
      <c r="R107" s="1014"/>
      <c r="S107" s="1014"/>
      <c r="T107" s="1014"/>
      <c r="U107" s="1041"/>
      <c r="V107" s="1037"/>
      <c r="W107" s="1038"/>
      <c r="X107" s="1014"/>
      <c r="Y107" s="1014"/>
      <c r="Z107" s="1014"/>
      <c r="AA107" s="1014"/>
      <c r="AB107" s="1014"/>
      <c r="AC107" s="1014"/>
      <c r="AD107" s="1014"/>
    </row>
    <row r="108" spans="1:30" ht="31" outlineLevel="1">
      <c r="A108" s="1031">
        <v>35</v>
      </c>
      <c r="B108" s="1013">
        <f t="shared" si="10"/>
        <v>35</v>
      </c>
      <c r="C108" s="1125" t="str">
        <f t="shared" si="11"/>
        <v>IVF035</v>
      </c>
      <c r="D108" s="1009" t="s">
        <v>100</v>
      </c>
      <c r="E108" s="1031">
        <v>1</v>
      </c>
      <c r="F108" s="1030" t="s">
        <v>66</v>
      </c>
      <c r="G108" s="1032">
        <v>81250</v>
      </c>
      <c r="H108" s="1033">
        <f>ROUND(E108*G108,0)</f>
        <v>81250</v>
      </c>
      <c r="I108" s="1034">
        <f>E108</f>
        <v>1</v>
      </c>
      <c r="J108" s="1031" t="str">
        <f>F108</f>
        <v>No</v>
      </c>
      <c r="K108" s="1033">
        <f>G108</f>
        <v>81250</v>
      </c>
      <c r="L108" s="1033">
        <f>ROUND(I108*K108,0)</f>
        <v>81250</v>
      </c>
      <c r="M108" s="1035">
        <f>IF(L108&gt;H108,L108-H108,0)</f>
        <v>0</v>
      </c>
      <c r="N108" s="1033">
        <f>IF(H108&gt;L108,H108-L108,0)</f>
        <v>0</v>
      </c>
      <c r="O108" s="1012" t="s">
        <v>2353</v>
      </c>
      <c r="P108" s="1018" t="s">
        <v>429</v>
      </c>
      <c r="Q108" s="1013"/>
      <c r="R108" s="1014"/>
      <c r="S108" s="1014"/>
      <c r="T108" s="1014"/>
      <c r="U108" s="1041"/>
      <c r="V108" s="1037"/>
      <c r="W108" s="1038"/>
      <c r="X108" s="1014"/>
      <c r="Y108" s="1014"/>
      <c r="Z108" s="1014"/>
      <c r="AA108" s="1014"/>
      <c r="AB108" s="1014"/>
      <c r="AC108" s="1014"/>
      <c r="AD108" s="1014"/>
    </row>
    <row r="109" spans="1:30" outlineLevel="1">
      <c r="A109" s="1011"/>
      <c r="B109" s="1013" t="str">
        <f t="shared" si="10"/>
        <v/>
      </c>
      <c r="C109" s="1125"/>
      <c r="D109" s="1122" t="s">
        <v>2488</v>
      </c>
      <c r="E109" s="1011"/>
      <c r="F109" s="1011"/>
      <c r="G109" s="1035"/>
      <c r="H109" s="1035"/>
      <c r="I109" s="1010"/>
      <c r="J109" s="1011"/>
      <c r="K109" s="1035"/>
      <c r="L109" s="1035"/>
      <c r="M109" s="1035"/>
      <c r="N109" s="1035"/>
      <c r="O109" s="1012"/>
      <c r="P109" s="1018" t="s">
        <v>429</v>
      </c>
      <c r="Q109" s="1013"/>
      <c r="R109" s="1014"/>
      <c r="S109" s="1014"/>
      <c r="T109" s="1014"/>
      <c r="U109" s="1041"/>
      <c r="V109" s="1037"/>
      <c r="W109" s="1038"/>
      <c r="X109" s="1014"/>
      <c r="Y109" s="1014"/>
      <c r="Z109" s="1014"/>
      <c r="AA109" s="1014"/>
      <c r="AB109" s="1014"/>
      <c r="AC109" s="1014"/>
      <c r="AD109" s="1014"/>
    </row>
    <row r="110" spans="1:30" outlineLevel="1">
      <c r="A110" s="1011"/>
      <c r="B110" s="1013" t="str">
        <f t="shared" si="10"/>
        <v/>
      </c>
      <c r="C110" s="1125"/>
      <c r="D110" s="1122"/>
      <c r="E110" s="1011"/>
      <c r="F110" s="1011"/>
      <c r="G110" s="1035"/>
      <c r="H110" s="1035"/>
      <c r="I110" s="1010"/>
      <c r="J110" s="1011"/>
      <c r="K110" s="1035"/>
      <c r="L110" s="1035"/>
      <c r="M110" s="1035"/>
      <c r="N110" s="1035"/>
      <c r="O110" s="1012"/>
      <c r="P110" s="1018" t="s">
        <v>429</v>
      </c>
      <c r="Q110" s="1013"/>
      <c r="R110" s="1014"/>
      <c r="S110" s="1014"/>
      <c r="T110" s="1014"/>
      <c r="U110" s="1041"/>
      <c r="V110" s="1037"/>
      <c r="W110" s="1038"/>
      <c r="X110" s="1014"/>
      <c r="Y110" s="1014"/>
      <c r="Z110" s="1014"/>
      <c r="AA110" s="1014"/>
      <c r="AB110" s="1014"/>
      <c r="AC110" s="1014"/>
      <c r="AD110" s="1014"/>
    </row>
    <row r="111" spans="1:30" ht="31" outlineLevel="1">
      <c r="A111" s="1031">
        <v>36</v>
      </c>
      <c r="B111" s="1013">
        <f t="shared" si="10"/>
        <v>36</v>
      </c>
      <c r="C111" s="1125" t="str">
        <f t="shared" si="11"/>
        <v>IVF036</v>
      </c>
      <c r="D111" s="1009" t="s">
        <v>101</v>
      </c>
      <c r="E111" s="1031">
        <v>1</v>
      </c>
      <c r="F111" s="1030" t="s">
        <v>66</v>
      </c>
      <c r="G111" s="1032">
        <v>0</v>
      </c>
      <c r="H111" s="1033">
        <f>ROUND(E111*G111,0)</f>
        <v>0</v>
      </c>
      <c r="I111" s="1034">
        <v>0</v>
      </c>
      <c r="J111" s="1031" t="str">
        <f>F111</f>
        <v>No</v>
      </c>
      <c r="K111" s="1033">
        <f>G111</f>
        <v>0</v>
      </c>
      <c r="L111" s="1033">
        <f>ROUND(I111*K111,0)</f>
        <v>0</v>
      </c>
      <c r="M111" s="1035">
        <f>IF(L111&gt;H111,L111-H111,0)</f>
        <v>0</v>
      </c>
      <c r="N111" s="1033">
        <f>IF(H111&gt;L111,H111-L111,0)</f>
        <v>0</v>
      </c>
      <c r="O111" s="1012" t="s">
        <v>2353</v>
      </c>
      <c r="P111" s="1018" t="s">
        <v>429</v>
      </c>
      <c r="Q111" s="1013"/>
      <c r="R111" s="1014"/>
      <c r="S111" s="1014"/>
      <c r="T111" s="1014"/>
      <c r="U111" s="1041"/>
      <c r="V111" s="1037"/>
      <c r="W111" s="1038"/>
      <c r="X111" s="1014"/>
      <c r="Y111" s="1014"/>
      <c r="Z111" s="1014"/>
      <c r="AA111" s="1014"/>
      <c r="AB111" s="1014"/>
      <c r="AC111" s="1014"/>
      <c r="AD111" s="1014"/>
    </row>
    <row r="112" spans="1:30" outlineLevel="1">
      <c r="A112" s="1011"/>
      <c r="B112" s="1013" t="str">
        <f t="shared" si="10"/>
        <v/>
      </c>
      <c r="C112" s="1125"/>
      <c r="D112" s="1009"/>
      <c r="E112" s="1011"/>
      <c r="F112" s="1011"/>
      <c r="G112" s="1035"/>
      <c r="H112" s="1035"/>
      <c r="I112" s="1010"/>
      <c r="J112" s="1011"/>
      <c r="K112" s="1035"/>
      <c r="L112" s="1035"/>
      <c r="M112" s="1035"/>
      <c r="N112" s="1035"/>
      <c r="O112" s="1012"/>
      <c r="P112" s="1018" t="s">
        <v>429</v>
      </c>
      <c r="Q112" s="1013"/>
      <c r="R112" s="1014"/>
      <c r="S112" s="1014"/>
      <c r="T112" s="1014"/>
      <c r="U112" s="1041"/>
      <c r="V112" s="1037"/>
      <c r="W112" s="1038"/>
      <c r="X112" s="1014"/>
      <c r="Y112" s="1014"/>
      <c r="Z112" s="1014"/>
      <c r="AA112" s="1014"/>
      <c r="AB112" s="1014"/>
      <c r="AC112" s="1014"/>
      <c r="AD112" s="1014"/>
    </row>
    <row r="113" spans="1:30" ht="31" outlineLevel="1">
      <c r="A113" s="1031">
        <v>37</v>
      </c>
      <c r="B113" s="1013">
        <f t="shared" si="10"/>
        <v>37</v>
      </c>
      <c r="C113" s="1125" t="str">
        <f t="shared" si="11"/>
        <v>IVF037</v>
      </c>
      <c r="D113" s="1009" t="s">
        <v>102</v>
      </c>
      <c r="E113" s="1031">
        <v>2</v>
      </c>
      <c r="F113" s="1030" t="s">
        <v>66</v>
      </c>
      <c r="G113" s="1032">
        <v>115000</v>
      </c>
      <c r="H113" s="1033">
        <f>ROUND(E113*G113,0)</f>
        <v>230000</v>
      </c>
      <c r="I113" s="1034">
        <f>E113</f>
        <v>2</v>
      </c>
      <c r="J113" s="1031" t="str">
        <f>F113</f>
        <v>No</v>
      </c>
      <c r="K113" s="1033">
        <f>G113</f>
        <v>115000</v>
      </c>
      <c r="L113" s="1033">
        <f>ROUND(I113*K113,0)</f>
        <v>230000</v>
      </c>
      <c r="M113" s="1035">
        <f>IF(L113&gt;H113,L113-H113,0)</f>
        <v>0</v>
      </c>
      <c r="N113" s="1033">
        <f>IF(H113&gt;L113,H113-L113,0)</f>
        <v>0</v>
      </c>
      <c r="O113" s="1012" t="s">
        <v>2353</v>
      </c>
      <c r="P113" s="1018" t="s">
        <v>429</v>
      </c>
      <c r="Q113" s="1013"/>
      <c r="R113" s="1014"/>
      <c r="S113" s="1014"/>
      <c r="T113" s="1014"/>
      <c r="U113" s="1041"/>
      <c r="V113" s="1037"/>
      <c r="W113" s="1038"/>
      <c r="X113" s="1014"/>
      <c r="Y113" s="1014"/>
      <c r="Z113" s="1014"/>
      <c r="AA113" s="1014"/>
      <c r="AB113" s="1014"/>
      <c r="AC113" s="1014"/>
      <c r="AD113" s="1014"/>
    </row>
    <row r="114" spans="1:30" outlineLevel="1">
      <c r="A114" s="1011"/>
      <c r="B114" s="1013" t="str">
        <f t="shared" si="10"/>
        <v/>
      </c>
      <c r="C114" s="1125"/>
      <c r="D114" s="1122" t="s">
        <v>2489</v>
      </c>
      <c r="E114" s="1011"/>
      <c r="F114" s="1011"/>
      <c r="G114" s="1035"/>
      <c r="H114" s="1035"/>
      <c r="I114" s="1010"/>
      <c r="J114" s="1011"/>
      <c r="K114" s="1035"/>
      <c r="L114" s="1035"/>
      <c r="M114" s="1035"/>
      <c r="N114" s="1035"/>
      <c r="O114" s="1012"/>
      <c r="P114" s="1018" t="s">
        <v>429</v>
      </c>
      <c r="Q114" s="1013"/>
      <c r="R114" s="1014"/>
      <c r="S114" s="1014"/>
      <c r="T114" s="1014"/>
      <c r="U114" s="1041"/>
      <c r="V114" s="1037"/>
      <c r="W114" s="1038"/>
      <c r="X114" s="1014"/>
      <c r="Y114" s="1014"/>
      <c r="Z114" s="1014"/>
      <c r="AA114" s="1014"/>
      <c r="AB114" s="1014"/>
      <c r="AC114" s="1014"/>
      <c r="AD114" s="1014"/>
    </row>
    <row r="115" spans="1:30" outlineLevel="1">
      <c r="A115" s="1011"/>
      <c r="B115" s="1013" t="str">
        <f t="shared" si="10"/>
        <v/>
      </c>
      <c r="C115" s="1125"/>
      <c r="D115" s="1122"/>
      <c r="E115" s="1011"/>
      <c r="F115" s="1011"/>
      <c r="G115" s="1035"/>
      <c r="H115" s="1035"/>
      <c r="I115" s="1010"/>
      <c r="J115" s="1011"/>
      <c r="K115" s="1035"/>
      <c r="L115" s="1035"/>
      <c r="M115" s="1035"/>
      <c r="N115" s="1035"/>
      <c r="O115" s="1012"/>
      <c r="P115" s="1018" t="s">
        <v>429</v>
      </c>
      <c r="Q115" s="1013"/>
      <c r="R115" s="1014"/>
      <c r="S115" s="1014"/>
      <c r="T115" s="1014"/>
      <c r="U115" s="1041"/>
      <c r="V115" s="1037"/>
      <c r="W115" s="1038"/>
      <c r="X115" s="1014"/>
      <c r="Y115" s="1014"/>
      <c r="Z115" s="1014"/>
      <c r="AA115" s="1014"/>
      <c r="AB115" s="1014"/>
      <c r="AC115" s="1014"/>
      <c r="AD115" s="1014"/>
    </row>
    <row r="116" spans="1:30" ht="31" outlineLevel="1">
      <c r="A116" s="1031">
        <v>38</v>
      </c>
      <c r="B116" s="1013">
        <f t="shared" si="10"/>
        <v>38</v>
      </c>
      <c r="C116" s="1125" t="str">
        <f t="shared" si="11"/>
        <v>IVF038</v>
      </c>
      <c r="D116" s="1161" t="s">
        <v>103</v>
      </c>
      <c r="E116" s="1031">
        <v>1</v>
      </c>
      <c r="F116" s="1030" t="s">
        <v>66</v>
      </c>
      <c r="G116" s="1032">
        <v>110000</v>
      </c>
      <c r="H116" s="1033">
        <f>ROUND(E116*G116,0)</f>
        <v>110000</v>
      </c>
      <c r="I116" s="1034">
        <v>0</v>
      </c>
      <c r="J116" s="1031" t="str">
        <f>F116</f>
        <v>No</v>
      </c>
      <c r="K116" s="1033">
        <f>G116</f>
        <v>110000</v>
      </c>
      <c r="L116" s="1033">
        <f>ROUND(I116*K116,0)</f>
        <v>0</v>
      </c>
      <c r="M116" s="1035">
        <f>IF(L116&gt;H116,L116-H116,0)</f>
        <v>0</v>
      </c>
      <c r="N116" s="1033">
        <f>IF(H116&gt;L116,H116-L116,0)</f>
        <v>110000</v>
      </c>
      <c r="O116" s="1012" t="s">
        <v>2354</v>
      </c>
      <c r="P116" s="1018" t="s">
        <v>429</v>
      </c>
      <c r="Q116" s="1013"/>
      <c r="R116" s="1014"/>
      <c r="S116" s="1014"/>
      <c r="T116" s="1014"/>
      <c r="U116" s="1041"/>
      <c r="V116" s="1037"/>
      <c r="W116" s="1038"/>
      <c r="X116" s="1014"/>
      <c r="Y116" s="1014"/>
      <c r="Z116" s="1014"/>
      <c r="AA116" s="1014"/>
      <c r="AB116" s="1014"/>
      <c r="AC116" s="1014"/>
      <c r="AD116" s="1014"/>
    </row>
    <row r="117" spans="1:30" outlineLevel="1">
      <c r="A117" s="1011"/>
      <c r="B117" s="1013" t="str">
        <f t="shared" si="10"/>
        <v/>
      </c>
      <c r="C117" s="1125"/>
      <c r="D117" s="1009"/>
      <c r="E117" s="1011"/>
      <c r="F117" s="1011"/>
      <c r="G117" s="1035"/>
      <c r="H117" s="1035"/>
      <c r="I117" s="1010"/>
      <c r="J117" s="1011"/>
      <c r="K117" s="1035"/>
      <c r="L117" s="1035"/>
      <c r="M117" s="1035"/>
      <c r="N117" s="1035"/>
      <c r="O117" s="1012"/>
      <c r="P117" s="1018" t="s">
        <v>429</v>
      </c>
      <c r="Q117" s="1013"/>
      <c r="R117" s="1014"/>
      <c r="S117" s="1014"/>
      <c r="T117" s="1014"/>
      <c r="U117" s="1041"/>
      <c r="V117" s="1037"/>
      <c r="W117" s="1038"/>
      <c r="X117" s="1014"/>
      <c r="Y117" s="1014"/>
      <c r="Z117" s="1014"/>
      <c r="AA117" s="1014"/>
      <c r="AB117" s="1014"/>
      <c r="AC117" s="1014"/>
      <c r="AD117" s="1014"/>
    </row>
    <row r="118" spans="1:30" ht="31" outlineLevel="1">
      <c r="A118" s="1031">
        <v>39</v>
      </c>
      <c r="B118" s="1013">
        <f t="shared" si="10"/>
        <v>39</v>
      </c>
      <c r="C118" s="1125" t="str">
        <f t="shared" si="11"/>
        <v>IVF039</v>
      </c>
      <c r="D118" s="1009" t="s">
        <v>104</v>
      </c>
      <c r="E118" s="1031">
        <v>2</v>
      </c>
      <c r="F118" s="1030" t="s">
        <v>66</v>
      </c>
      <c r="G118" s="1032">
        <v>34500</v>
      </c>
      <c r="H118" s="1033">
        <f>ROUND(E118*G118,0)</f>
        <v>69000</v>
      </c>
      <c r="I118" s="1034">
        <f>E118</f>
        <v>2</v>
      </c>
      <c r="J118" s="1031" t="str">
        <f>F118</f>
        <v>No</v>
      </c>
      <c r="K118" s="1033">
        <f>G118</f>
        <v>34500</v>
      </c>
      <c r="L118" s="1033">
        <f>ROUND(I118*K118,0)</f>
        <v>69000</v>
      </c>
      <c r="M118" s="1035">
        <f>IF(L118&gt;H118,L118-H118,0)</f>
        <v>0</v>
      </c>
      <c r="N118" s="1033">
        <f>IF(H118&gt;L118,H118-L118,0)</f>
        <v>0</v>
      </c>
      <c r="O118" s="1012" t="s">
        <v>2353</v>
      </c>
      <c r="P118" s="1018" t="s">
        <v>429</v>
      </c>
      <c r="Q118" s="1013"/>
      <c r="R118" s="1014"/>
      <c r="S118" s="1014"/>
      <c r="T118" s="1014"/>
      <c r="U118" s="1041"/>
      <c r="V118" s="1037"/>
      <c r="W118" s="1038"/>
      <c r="X118" s="1014"/>
      <c r="Y118" s="1014"/>
      <c r="Z118" s="1014"/>
      <c r="AA118" s="1014"/>
      <c r="AB118" s="1014"/>
      <c r="AC118" s="1014"/>
      <c r="AD118" s="1014"/>
    </row>
    <row r="119" spans="1:30" outlineLevel="1">
      <c r="A119" s="1011"/>
      <c r="B119" s="1013" t="str">
        <f t="shared" si="10"/>
        <v/>
      </c>
      <c r="C119" s="1125"/>
      <c r="D119" s="1122" t="s">
        <v>2491</v>
      </c>
      <c r="E119" s="1011"/>
      <c r="F119" s="1011"/>
      <c r="G119" s="1035"/>
      <c r="H119" s="1035"/>
      <c r="I119" s="1010"/>
      <c r="J119" s="1011"/>
      <c r="K119" s="1035"/>
      <c r="L119" s="1035"/>
      <c r="M119" s="1035"/>
      <c r="N119" s="1035"/>
      <c r="O119" s="1012"/>
      <c r="P119" s="1018" t="s">
        <v>429</v>
      </c>
      <c r="Q119" s="1013"/>
      <c r="R119" s="1014"/>
      <c r="S119" s="1014"/>
      <c r="T119" s="1014"/>
      <c r="U119" s="1041"/>
      <c r="V119" s="1037"/>
      <c r="W119" s="1038"/>
      <c r="X119" s="1014"/>
      <c r="Y119" s="1014"/>
      <c r="Z119" s="1014"/>
      <c r="AA119" s="1014"/>
      <c r="AB119" s="1014"/>
      <c r="AC119" s="1014"/>
      <c r="AD119" s="1014"/>
    </row>
    <row r="120" spans="1:30" outlineLevel="1">
      <c r="A120" s="1011"/>
      <c r="B120" s="1013" t="str">
        <f t="shared" si="10"/>
        <v/>
      </c>
      <c r="C120" s="1125"/>
      <c r="D120" s="1122"/>
      <c r="E120" s="1011"/>
      <c r="F120" s="1011"/>
      <c r="G120" s="1035"/>
      <c r="H120" s="1035"/>
      <c r="I120" s="1010"/>
      <c r="J120" s="1011"/>
      <c r="K120" s="1035"/>
      <c r="L120" s="1035"/>
      <c r="M120" s="1035"/>
      <c r="N120" s="1035"/>
      <c r="O120" s="1012"/>
      <c r="P120" s="1018" t="s">
        <v>429</v>
      </c>
      <c r="Q120" s="1013"/>
      <c r="R120" s="1014"/>
      <c r="S120" s="1014"/>
      <c r="T120" s="1014"/>
      <c r="U120" s="1041"/>
      <c r="V120" s="1037"/>
      <c r="W120" s="1038"/>
      <c r="X120" s="1014"/>
      <c r="Y120" s="1014"/>
      <c r="Z120" s="1014"/>
      <c r="AA120" s="1014"/>
      <c r="AB120" s="1014"/>
      <c r="AC120" s="1014"/>
      <c r="AD120" s="1014"/>
    </row>
    <row r="121" spans="1:30" outlineLevel="1">
      <c r="A121" s="1031">
        <v>40</v>
      </c>
      <c r="B121" s="1013">
        <f t="shared" si="10"/>
        <v>40</v>
      </c>
      <c r="C121" s="1125" t="str">
        <f t="shared" si="11"/>
        <v>IVF040</v>
      </c>
      <c r="D121" s="1161" t="s">
        <v>105</v>
      </c>
      <c r="E121" s="1031">
        <v>2</v>
      </c>
      <c r="F121" s="1030" t="s">
        <v>66</v>
      </c>
      <c r="G121" s="1032">
        <v>34500</v>
      </c>
      <c r="H121" s="1033">
        <f>ROUND(E121*G121,0)</f>
        <v>69000</v>
      </c>
      <c r="I121" s="1034">
        <v>2</v>
      </c>
      <c r="J121" s="1031" t="str">
        <f>F121</f>
        <v>No</v>
      </c>
      <c r="K121" s="1033">
        <f>G121</f>
        <v>34500</v>
      </c>
      <c r="L121" s="1033">
        <f>ROUND(I121*K121,0)</f>
        <v>69000</v>
      </c>
      <c r="M121" s="1035">
        <f>IF(L121&gt;H121,L121-H121,0)</f>
        <v>0</v>
      </c>
      <c r="N121" s="1033">
        <f>IF(H121&gt;L121,H121-L121,0)</f>
        <v>0</v>
      </c>
      <c r="O121" s="1012"/>
      <c r="P121" s="1018" t="s">
        <v>429</v>
      </c>
      <c r="Q121" s="1013"/>
      <c r="R121" s="1014"/>
      <c r="S121" s="1014"/>
      <c r="T121" s="1014"/>
      <c r="U121" s="1041"/>
      <c r="V121" s="1037"/>
      <c r="W121" s="1038"/>
      <c r="X121" s="1014"/>
      <c r="Y121" s="1014"/>
      <c r="Z121" s="1014"/>
      <c r="AA121" s="1014"/>
      <c r="AB121" s="1014"/>
      <c r="AC121" s="1014"/>
      <c r="AD121" s="1014"/>
    </row>
    <row r="122" spans="1:30" outlineLevel="1">
      <c r="A122" s="1011"/>
      <c r="B122" s="1013" t="str">
        <f t="shared" si="10"/>
        <v/>
      </c>
      <c r="C122" s="1125"/>
      <c r="D122" s="1009"/>
      <c r="E122" s="1011"/>
      <c r="F122" s="1011"/>
      <c r="G122" s="1035"/>
      <c r="H122" s="1035"/>
      <c r="I122" s="1010"/>
      <c r="J122" s="1011"/>
      <c r="K122" s="1035"/>
      <c r="L122" s="1035"/>
      <c r="M122" s="1035"/>
      <c r="N122" s="1035"/>
      <c r="O122" s="1012"/>
      <c r="P122" s="1018" t="s">
        <v>429</v>
      </c>
      <c r="Q122" s="1013"/>
      <c r="R122" s="1014"/>
      <c r="S122" s="1014"/>
      <c r="T122" s="1014"/>
      <c r="U122" s="1041"/>
      <c r="V122" s="1037"/>
      <c r="W122" s="1038"/>
      <c r="X122" s="1014"/>
      <c r="Y122" s="1014"/>
      <c r="Z122" s="1014"/>
      <c r="AA122" s="1014"/>
      <c r="AB122" s="1014"/>
      <c r="AC122" s="1014"/>
      <c r="AD122" s="1014"/>
    </row>
    <row r="123" spans="1:30" outlineLevel="1">
      <c r="A123" s="1031">
        <v>41</v>
      </c>
      <c r="B123" s="1013">
        <f t="shared" si="10"/>
        <v>41</v>
      </c>
      <c r="C123" s="1125" t="str">
        <f t="shared" si="11"/>
        <v>IVF041</v>
      </c>
      <c r="D123" s="1161" t="s">
        <v>106</v>
      </c>
      <c r="E123" s="1031">
        <v>3</v>
      </c>
      <c r="F123" s="1030" t="s">
        <v>66</v>
      </c>
      <c r="G123" s="1032">
        <v>38500</v>
      </c>
      <c r="H123" s="1033">
        <f>ROUND(E123*G123,0)</f>
        <v>115500</v>
      </c>
      <c r="I123" s="1034">
        <v>3</v>
      </c>
      <c r="J123" s="1031" t="str">
        <f>F123</f>
        <v>No</v>
      </c>
      <c r="K123" s="1033">
        <f>G123</f>
        <v>38500</v>
      </c>
      <c r="L123" s="1033">
        <f>ROUND(I123*K123,0)</f>
        <v>115500</v>
      </c>
      <c r="M123" s="1035">
        <f>IF(L123&gt;H123,L123-H123,0)</f>
        <v>0</v>
      </c>
      <c r="N123" s="1033">
        <f>IF(H123&gt;L123,H123-L123,0)</f>
        <v>0</v>
      </c>
      <c r="O123" s="1012"/>
      <c r="P123" s="1018" t="s">
        <v>429</v>
      </c>
      <c r="Q123" s="1013"/>
      <c r="R123" s="1014"/>
      <c r="S123" s="1014"/>
      <c r="T123" s="1014"/>
      <c r="U123" s="1041"/>
      <c r="V123" s="1037"/>
      <c r="W123" s="1038"/>
      <c r="X123" s="1014"/>
      <c r="Y123" s="1014"/>
      <c r="Z123" s="1014"/>
      <c r="AA123" s="1014"/>
      <c r="AB123" s="1014"/>
      <c r="AC123" s="1014"/>
      <c r="AD123" s="1014"/>
    </row>
    <row r="124" spans="1:30" outlineLevel="1">
      <c r="A124" s="1011"/>
      <c r="B124" s="1013" t="str">
        <f t="shared" si="10"/>
        <v/>
      </c>
      <c r="C124" s="1125"/>
      <c r="D124" s="1009"/>
      <c r="E124" s="1011"/>
      <c r="F124" s="1011"/>
      <c r="G124" s="1035"/>
      <c r="H124" s="1035"/>
      <c r="I124" s="1010"/>
      <c r="J124" s="1011"/>
      <c r="K124" s="1035"/>
      <c r="L124" s="1035"/>
      <c r="M124" s="1035"/>
      <c r="N124" s="1035"/>
      <c r="O124" s="1012"/>
      <c r="P124" s="1018" t="s">
        <v>429</v>
      </c>
      <c r="Q124" s="1013"/>
      <c r="R124" s="1014"/>
      <c r="S124" s="1014"/>
      <c r="T124" s="1014"/>
      <c r="U124" s="1041"/>
      <c r="V124" s="1037"/>
      <c r="W124" s="1038"/>
      <c r="X124" s="1014"/>
      <c r="Y124" s="1014"/>
      <c r="Z124" s="1014"/>
      <c r="AA124" s="1014"/>
      <c r="AB124" s="1014"/>
      <c r="AC124" s="1014"/>
      <c r="AD124" s="1014"/>
    </row>
    <row r="125" spans="1:30" ht="31" outlineLevel="1">
      <c r="A125" s="1031">
        <v>42</v>
      </c>
      <c r="B125" s="1013">
        <f t="shared" si="10"/>
        <v>42</v>
      </c>
      <c r="C125" s="1125" t="str">
        <f t="shared" si="11"/>
        <v>IVF042</v>
      </c>
      <c r="D125" s="1009" t="s">
        <v>107</v>
      </c>
      <c r="E125" s="1031">
        <v>3</v>
      </c>
      <c r="F125" s="1030" t="s">
        <v>66</v>
      </c>
      <c r="G125" s="1032">
        <v>19250</v>
      </c>
      <c r="H125" s="1033">
        <f>ROUND(E125*G125,0)</f>
        <v>57750</v>
      </c>
      <c r="I125" s="1034">
        <f>E125</f>
        <v>3</v>
      </c>
      <c r="J125" s="1031" t="str">
        <f>F125</f>
        <v>No</v>
      </c>
      <c r="K125" s="1033">
        <f>G125</f>
        <v>19250</v>
      </c>
      <c r="L125" s="1033">
        <f>ROUND(I125*K125,0)</f>
        <v>57750</v>
      </c>
      <c r="M125" s="1035">
        <f>IF(L125&gt;H125,L125-H125,0)</f>
        <v>0</v>
      </c>
      <c r="N125" s="1033">
        <f>IF(H125&gt;L125,H125-L125,0)</f>
        <v>0</v>
      </c>
      <c r="O125" s="1012" t="s">
        <v>2353</v>
      </c>
      <c r="P125" s="1018" t="s">
        <v>429</v>
      </c>
      <c r="Q125" s="1013"/>
      <c r="R125" s="1014"/>
      <c r="S125" s="1014"/>
      <c r="T125" s="1014"/>
      <c r="U125" s="1041"/>
      <c r="V125" s="1037"/>
      <c r="W125" s="1038"/>
      <c r="X125" s="1014"/>
      <c r="Y125" s="1014"/>
      <c r="Z125" s="1014"/>
      <c r="AA125" s="1014"/>
      <c r="AB125" s="1014"/>
      <c r="AC125" s="1014"/>
      <c r="AD125" s="1014"/>
    </row>
    <row r="126" spans="1:30" outlineLevel="1">
      <c r="A126" s="1011"/>
      <c r="B126" s="1013" t="str">
        <f t="shared" si="10"/>
        <v/>
      </c>
      <c r="C126" s="1125"/>
      <c r="D126" s="1122" t="s">
        <v>2491</v>
      </c>
      <c r="E126" s="1011"/>
      <c r="F126" s="1011"/>
      <c r="G126" s="1035"/>
      <c r="H126" s="1035"/>
      <c r="I126" s="1010"/>
      <c r="J126" s="1011"/>
      <c r="K126" s="1035"/>
      <c r="L126" s="1035"/>
      <c r="M126" s="1035"/>
      <c r="N126" s="1035"/>
      <c r="O126" s="1012"/>
      <c r="P126" s="1018" t="s">
        <v>429</v>
      </c>
      <c r="Q126" s="1013"/>
      <c r="R126" s="1014"/>
      <c r="S126" s="1014"/>
      <c r="T126" s="1014"/>
      <c r="U126" s="1041"/>
      <c r="V126" s="1037"/>
      <c r="W126" s="1038"/>
      <c r="X126" s="1014"/>
      <c r="Y126" s="1014"/>
      <c r="Z126" s="1014"/>
      <c r="AA126" s="1014"/>
      <c r="AB126" s="1014"/>
      <c r="AC126" s="1014"/>
      <c r="AD126" s="1014"/>
    </row>
    <row r="127" spans="1:30" outlineLevel="1">
      <c r="A127" s="1011"/>
      <c r="B127" s="1013" t="str">
        <f t="shared" si="10"/>
        <v/>
      </c>
      <c r="C127" s="1125"/>
      <c r="D127" s="1122"/>
      <c r="E127" s="1011"/>
      <c r="F127" s="1011"/>
      <c r="G127" s="1035"/>
      <c r="H127" s="1035"/>
      <c r="I127" s="1010"/>
      <c r="J127" s="1011"/>
      <c r="K127" s="1035"/>
      <c r="L127" s="1035"/>
      <c r="M127" s="1035"/>
      <c r="N127" s="1035"/>
      <c r="O127" s="1012"/>
      <c r="P127" s="1018" t="s">
        <v>429</v>
      </c>
      <c r="Q127" s="1013"/>
      <c r="R127" s="1014"/>
      <c r="S127" s="1014"/>
      <c r="T127" s="1014"/>
      <c r="U127" s="1041"/>
      <c r="V127" s="1037"/>
      <c r="W127" s="1038"/>
      <c r="X127" s="1014"/>
      <c r="Y127" s="1014"/>
      <c r="Z127" s="1014"/>
      <c r="AA127" s="1014"/>
      <c r="AB127" s="1014"/>
      <c r="AC127" s="1014"/>
      <c r="AD127" s="1014"/>
    </row>
    <row r="128" spans="1:30" ht="31" outlineLevel="1">
      <c r="A128" s="1031">
        <v>43</v>
      </c>
      <c r="B128" s="1013">
        <f t="shared" si="10"/>
        <v>43</v>
      </c>
      <c r="C128" s="1125" t="str">
        <f t="shared" si="11"/>
        <v>IVF043</v>
      </c>
      <c r="D128" s="1009" t="s">
        <v>108</v>
      </c>
      <c r="E128" s="1031">
        <v>6</v>
      </c>
      <c r="F128" s="1030" t="s">
        <v>66</v>
      </c>
      <c r="G128" s="1032">
        <v>13750</v>
      </c>
      <c r="H128" s="1033">
        <f>ROUND(E128*G128,0)</f>
        <v>82500</v>
      </c>
      <c r="I128" s="1034">
        <f>E128</f>
        <v>6</v>
      </c>
      <c r="J128" s="1031" t="str">
        <f>F128</f>
        <v>No</v>
      </c>
      <c r="K128" s="1033">
        <f>G128</f>
        <v>13750</v>
      </c>
      <c r="L128" s="1033">
        <f>ROUND(I128*K128,0)</f>
        <v>82500</v>
      </c>
      <c r="M128" s="1035">
        <f>IF(L128&gt;H128,L128-H128,0)</f>
        <v>0</v>
      </c>
      <c r="N128" s="1033">
        <f>IF(H128&gt;L128,H128-L128,0)</f>
        <v>0</v>
      </c>
      <c r="O128" s="1012" t="s">
        <v>2353</v>
      </c>
      <c r="P128" s="1018" t="s">
        <v>429</v>
      </c>
      <c r="Q128" s="1013"/>
      <c r="R128" s="1014"/>
      <c r="S128" s="1014"/>
      <c r="T128" s="1014"/>
      <c r="U128" s="1041"/>
      <c r="V128" s="1037"/>
      <c r="W128" s="1038"/>
      <c r="X128" s="1014"/>
      <c r="Y128" s="1014"/>
      <c r="Z128" s="1014"/>
      <c r="AA128" s="1014"/>
      <c r="AB128" s="1014"/>
      <c r="AC128" s="1014"/>
      <c r="AD128" s="1014"/>
    </row>
    <row r="129" spans="1:30" outlineLevel="1">
      <c r="A129" s="1011"/>
      <c r="B129" s="1013" t="str">
        <f t="shared" si="10"/>
        <v/>
      </c>
      <c r="C129" s="1125"/>
      <c r="D129" s="1122" t="s">
        <v>2491</v>
      </c>
      <c r="E129" s="1011"/>
      <c r="F129" s="1011"/>
      <c r="G129" s="1035"/>
      <c r="H129" s="1035"/>
      <c r="I129" s="1010"/>
      <c r="J129" s="1011"/>
      <c r="K129" s="1035"/>
      <c r="L129" s="1035"/>
      <c r="M129" s="1035"/>
      <c r="N129" s="1035"/>
      <c r="O129" s="1012"/>
      <c r="P129" s="1018" t="s">
        <v>429</v>
      </c>
      <c r="Q129" s="1013"/>
      <c r="R129" s="1014"/>
      <c r="S129" s="1014"/>
      <c r="T129" s="1014"/>
      <c r="U129" s="1041"/>
      <c r="V129" s="1037"/>
      <c r="W129" s="1038"/>
      <c r="X129" s="1014"/>
      <c r="Y129" s="1014"/>
      <c r="Z129" s="1014"/>
      <c r="AA129" s="1014"/>
      <c r="AB129" s="1014"/>
      <c r="AC129" s="1014"/>
      <c r="AD129" s="1014"/>
    </row>
    <row r="130" spans="1:30" outlineLevel="1">
      <c r="A130" s="1011"/>
      <c r="B130" s="1013" t="str">
        <f t="shared" si="10"/>
        <v/>
      </c>
      <c r="C130" s="1125"/>
      <c r="D130" s="1122"/>
      <c r="E130" s="1011"/>
      <c r="F130" s="1011"/>
      <c r="G130" s="1035"/>
      <c r="H130" s="1035"/>
      <c r="I130" s="1010"/>
      <c r="J130" s="1011"/>
      <c r="K130" s="1035"/>
      <c r="L130" s="1035"/>
      <c r="M130" s="1035"/>
      <c r="N130" s="1035"/>
      <c r="O130" s="1012"/>
      <c r="P130" s="1018" t="s">
        <v>429</v>
      </c>
      <c r="Q130" s="1013"/>
      <c r="R130" s="1014"/>
      <c r="S130" s="1014"/>
      <c r="T130" s="1014"/>
      <c r="U130" s="1041"/>
      <c r="V130" s="1037"/>
      <c r="W130" s="1038"/>
      <c r="X130" s="1014"/>
      <c r="Y130" s="1014"/>
      <c r="Z130" s="1014"/>
      <c r="AA130" s="1014"/>
      <c r="AB130" s="1014"/>
      <c r="AC130" s="1014"/>
      <c r="AD130" s="1014"/>
    </row>
    <row r="131" spans="1:30" ht="31" outlineLevel="1">
      <c r="A131" s="1031">
        <v>44</v>
      </c>
      <c r="B131" s="1013">
        <f t="shared" si="10"/>
        <v>44</v>
      </c>
      <c r="C131" s="1125" t="str">
        <f t="shared" si="11"/>
        <v>IVF044</v>
      </c>
      <c r="D131" s="1009" t="s">
        <v>109</v>
      </c>
      <c r="E131" s="1031">
        <v>3</v>
      </c>
      <c r="F131" s="1030" t="s">
        <v>66</v>
      </c>
      <c r="G131" s="1032">
        <v>39200</v>
      </c>
      <c r="H131" s="1033">
        <f>ROUND(E131*G131,0)</f>
        <v>117600</v>
      </c>
      <c r="I131" s="1034">
        <f>E131</f>
        <v>3</v>
      </c>
      <c r="J131" s="1031" t="str">
        <f>F131</f>
        <v>No</v>
      </c>
      <c r="K131" s="1033">
        <f>G131</f>
        <v>39200</v>
      </c>
      <c r="L131" s="1033">
        <f>ROUND(I131*K131,0)</f>
        <v>117600</v>
      </c>
      <c r="M131" s="1035">
        <f>IF(L131&gt;H131,L131-H131,0)</f>
        <v>0</v>
      </c>
      <c r="N131" s="1033">
        <f>IF(H131&gt;L131,H131-L131,0)</f>
        <v>0</v>
      </c>
      <c r="O131" s="1012" t="s">
        <v>2353</v>
      </c>
      <c r="P131" s="1018" t="s">
        <v>429</v>
      </c>
      <c r="Q131" s="1013"/>
      <c r="R131" s="1014"/>
      <c r="S131" s="1014"/>
      <c r="T131" s="1014"/>
      <c r="U131" s="1041"/>
      <c r="V131" s="1037"/>
      <c r="W131" s="1038"/>
      <c r="X131" s="1014"/>
      <c r="Y131" s="1014"/>
      <c r="Z131" s="1014"/>
      <c r="AA131" s="1014"/>
      <c r="AB131" s="1014"/>
      <c r="AC131" s="1014"/>
      <c r="AD131" s="1014"/>
    </row>
    <row r="132" spans="1:30" outlineLevel="1">
      <c r="A132" s="1011"/>
      <c r="B132" s="1013" t="str">
        <f t="shared" si="10"/>
        <v/>
      </c>
      <c r="C132" s="1125"/>
      <c r="D132" s="1122" t="s">
        <v>2491</v>
      </c>
      <c r="E132" s="1011"/>
      <c r="F132" s="1011"/>
      <c r="G132" s="1035"/>
      <c r="H132" s="1035"/>
      <c r="I132" s="1010"/>
      <c r="J132" s="1011"/>
      <c r="K132" s="1035"/>
      <c r="L132" s="1035"/>
      <c r="M132" s="1035"/>
      <c r="N132" s="1035"/>
      <c r="O132" s="1012"/>
      <c r="P132" s="1018" t="s">
        <v>429</v>
      </c>
      <c r="Q132" s="1013"/>
      <c r="R132" s="1014"/>
      <c r="S132" s="1014"/>
      <c r="T132" s="1014"/>
      <c r="U132" s="1041"/>
      <c r="V132" s="1037"/>
      <c r="W132" s="1038"/>
      <c r="X132" s="1014"/>
      <c r="Y132" s="1014"/>
      <c r="Z132" s="1014"/>
      <c r="AA132" s="1014"/>
      <c r="AB132" s="1014"/>
      <c r="AC132" s="1014"/>
      <c r="AD132" s="1014"/>
    </row>
    <row r="133" spans="1:30" outlineLevel="1">
      <c r="A133" s="1011"/>
      <c r="B133" s="1013" t="str">
        <f t="shared" si="10"/>
        <v/>
      </c>
      <c r="C133" s="1125"/>
      <c r="D133" s="1122"/>
      <c r="E133" s="1011"/>
      <c r="F133" s="1011"/>
      <c r="G133" s="1035"/>
      <c r="H133" s="1035"/>
      <c r="I133" s="1010"/>
      <c r="J133" s="1011"/>
      <c r="K133" s="1035"/>
      <c r="L133" s="1035"/>
      <c r="M133" s="1035"/>
      <c r="N133" s="1035"/>
      <c r="O133" s="1012"/>
      <c r="P133" s="1018" t="s">
        <v>429</v>
      </c>
      <c r="Q133" s="1013"/>
      <c r="R133" s="1014"/>
      <c r="S133" s="1014"/>
      <c r="T133" s="1014"/>
      <c r="U133" s="1041"/>
      <c r="V133" s="1037"/>
      <c r="W133" s="1038"/>
      <c r="X133" s="1014"/>
      <c r="Y133" s="1014"/>
      <c r="Z133" s="1014"/>
      <c r="AA133" s="1014"/>
      <c r="AB133" s="1014"/>
      <c r="AC133" s="1014"/>
      <c r="AD133" s="1014"/>
    </row>
    <row r="134" spans="1:30" ht="31" outlineLevel="1">
      <c r="A134" s="1031">
        <v>45</v>
      </c>
      <c r="B134" s="1013">
        <f t="shared" si="10"/>
        <v>45</v>
      </c>
      <c r="C134" s="1125" t="str">
        <f t="shared" si="11"/>
        <v>IVF045</v>
      </c>
      <c r="D134" s="1009" t="s">
        <v>110</v>
      </c>
      <c r="E134" s="1031">
        <v>3</v>
      </c>
      <c r="F134" s="1030" t="s">
        <v>66</v>
      </c>
      <c r="G134" s="1032">
        <v>62500</v>
      </c>
      <c r="H134" s="1033">
        <f>ROUND(E134*G134,0)</f>
        <v>187500</v>
      </c>
      <c r="I134" s="1034">
        <f>E134</f>
        <v>3</v>
      </c>
      <c r="J134" s="1031" t="str">
        <f>F134</f>
        <v>No</v>
      </c>
      <c r="K134" s="1033">
        <f>G134</f>
        <v>62500</v>
      </c>
      <c r="L134" s="1033">
        <f>ROUND(I134*K134,0)</f>
        <v>187500</v>
      </c>
      <c r="M134" s="1035">
        <f>IF(L134&gt;H134,L134-H134,0)</f>
        <v>0</v>
      </c>
      <c r="N134" s="1033">
        <f>IF(H134&gt;L134,H134-L134,0)</f>
        <v>0</v>
      </c>
      <c r="O134" s="1012" t="s">
        <v>2353</v>
      </c>
      <c r="P134" s="1018" t="s">
        <v>429</v>
      </c>
      <c r="Q134" s="1013"/>
      <c r="R134" s="1014"/>
      <c r="S134" s="1014"/>
      <c r="T134" s="1014"/>
      <c r="U134" s="1041"/>
      <c r="V134" s="1037"/>
      <c r="W134" s="1038"/>
      <c r="X134" s="1014"/>
      <c r="Y134" s="1014"/>
      <c r="Z134" s="1014"/>
      <c r="AA134" s="1014"/>
      <c r="AB134" s="1014"/>
      <c r="AC134" s="1014"/>
      <c r="AD134" s="1014"/>
    </row>
    <row r="135" spans="1:30" outlineLevel="1">
      <c r="A135" s="1011"/>
      <c r="B135" s="1013" t="str">
        <f t="shared" si="10"/>
        <v/>
      </c>
      <c r="C135" s="1125"/>
      <c r="D135" s="1122" t="s">
        <v>2491</v>
      </c>
      <c r="E135" s="1011"/>
      <c r="F135" s="1011"/>
      <c r="G135" s="1035"/>
      <c r="H135" s="1035"/>
      <c r="I135" s="1010"/>
      <c r="J135" s="1011"/>
      <c r="K135" s="1035"/>
      <c r="L135" s="1035"/>
      <c r="M135" s="1035"/>
      <c r="N135" s="1035"/>
      <c r="O135" s="1012"/>
      <c r="P135" s="1018" t="s">
        <v>429</v>
      </c>
      <c r="Q135" s="1013"/>
      <c r="R135" s="1014"/>
      <c r="S135" s="1014"/>
      <c r="T135" s="1014"/>
      <c r="U135" s="1041"/>
      <c r="V135" s="1037"/>
      <c r="W135" s="1038"/>
      <c r="X135" s="1014"/>
      <c r="Y135" s="1014"/>
      <c r="Z135" s="1014"/>
      <c r="AA135" s="1014"/>
      <c r="AB135" s="1014"/>
      <c r="AC135" s="1014"/>
      <c r="AD135" s="1014"/>
    </row>
    <row r="136" spans="1:30" outlineLevel="1">
      <c r="A136" s="1011"/>
      <c r="B136" s="1013" t="str">
        <f t="shared" ref="B136:B213" si="12">IF(ISBLANK(A136),"",A136)</f>
        <v/>
      </c>
      <c r="C136" s="1125"/>
      <c r="D136" s="1122"/>
      <c r="E136" s="1011"/>
      <c r="F136" s="1011"/>
      <c r="G136" s="1035"/>
      <c r="H136" s="1035"/>
      <c r="I136" s="1010"/>
      <c r="J136" s="1011"/>
      <c r="K136" s="1035"/>
      <c r="L136" s="1035"/>
      <c r="M136" s="1035"/>
      <c r="N136" s="1035"/>
      <c r="O136" s="1012"/>
      <c r="P136" s="1018" t="s">
        <v>429</v>
      </c>
      <c r="Q136" s="1013"/>
      <c r="R136" s="1014"/>
      <c r="S136" s="1014"/>
      <c r="T136" s="1014"/>
      <c r="U136" s="1041"/>
      <c r="V136" s="1037"/>
      <c r="W136" s="1038"/>
      <c r="X136" s="1014"/>
      <c r="Y136" s="1014"/>
      <c r="Z136" s="1014"/>
      <c r="AA136" s="1014"/>
      <c r="AB136" s="1014"/>
      <c r="AC136" s="1014"/>
      <c r="AD136" s="1014"/>
    </row>
    <row r="137" spans="1:30" ht="31" outlineLevel="1">
      <c r="A137" s="1031">
        <v>46</v>
      </c>
      <c r="B137" s="1013">
        <f t="shared" si="12"/>
        <v>46</v>
      </c>
      <c r="C137" s="1125" t="str">
        <f t="shared" ref="C137:C213" si="13">IF(ISBLANK(B137), "", IF(B137&lt;10, "IVF00" &amp; B137, IF(AND(B137&gt;=10, B137&lt;=99), "IVF0" &amp; B137, IF(B137&gt;99, "IVF" &amp; B137))))</f>
        <v>IVF046</v>
      </c>
      <c r="D137" s="1009" t="s">
        <v>111</v>
      </c>
      <c r="E137" s="1031">
        <v>8</v>
      </c>
      <c r="F137" s="1030" t="s">
        <v>66</v>
      </c>
      <c r="G137" s="1032">
        <v>17500</v>
      </c>
      <c r="H137" s="1033">
        <f>ROUND(E137*G137,0)</f>
        <v>140000</v>
      </c>
      <c r="I137" s="1034">
        <f>E137</f>
        <v>8</v>
      </c>
      <c r="J137" s="1031" t="str">
        <f>F137</f>
        <v>No</v>
      </c>
      <c r="K137" s="1033">
        <f>G137</f>
        <v>17500</v>
      </c>
      <c r="L137" s="1033">
        <f>ROUND(I137*K137,0)</f>
        <v>140000</v>
      </c>
      <c r="M137" s="1035">
        <f>IF(L137&gt;H137,L137-H137,0)</f>
        <v>0</v>
      </c>
      <c r="N137" s="1033">
        <f>IF(H137&gt;L137,H137-L137,0)</f>
        <v>0</v>
      </c>
      <c r="O137" s="1012" t="s">
        <v>2353</v>
      </c>
      <c r="P137" s="1018" t="s">
        <v>429</v>
      </c>
      <c r="Q137" s="1013"/>
      <c r="R137" s="1014"/>
      <c r="S137" s="1014"/>
      <c r="T137" s="1014"/>
      <c r="U137" s="1041"/>
      <c r="V137" s="1037"/>
      <c r="W137" s="1038"/>
      <c r="X137" s="1014"/>
      <c r="Y137" s="1014"/>
      <c r="Z137" s="1014"/>
      <c r="AA137" s="1014"/>
      <c r="AB137" s="1014"/>
      <c r="AC137" s="1014"/>
      <c r="AD137" s="1014"/>
    </row>
    <row r="138" spans="1:30" outlineLevel="1">
      <c r="A138" s="1011"/>
      <c r="B138" s="1013" t="str">
        <f t="shared" si="12"/>
        <v/>
      </c>
      <c r="C138" s="1125"/>
      <c r="D138" s="1122" t="s">
        <v>2491</v>
      </c>
      <c r="E138" s="1011"/>
      <c r="F138" s="1011"/>
      <c r="G138" s="1035"/>
      <c r="H138" s="1035"/>
      <c r="I138" s="1010"/>
      <c r="J138" s="1011"/>
      <c r="K138" s="1035"/>
      <c r="L138" s="1035"/>
      <c r="M138" s="1035"/>
      <c r="N138" s="1035"/>
      <c r="O138" s="1012"/>
      <c r="P138" s="1018" t="s">
        <v>429</v>
      </c>
      <c r="Q138" s="1013"/>
      <c r="R138" s="1014"/>
      <c r="S138" s="1014"/>
      <c r="T138" s="1014"/>
      <c r="U138" s="1041"/>
      <c r="V138" s="1037"/>
      <c r="W138" s="1038"/>
      <c r="X138" s="1014"/>
      <c r="Y138" s="1014"/>
      <c r="Z138" s="1014"/>
      <c r="AA138" s="1014"/>
      <c r="AB138" s="1014"/>
      <c r="AC138" s="1014"/>
      <c r="AD138" s="1014"/>
    </row>
    <row r="139" spans="1:30" outlineLevel="1">
      <c r="A139" s="1011"/>
      <c r="B139" s="1013" t="str">
        <f t="shared" si="12"/>
        <v/>
      </c>
      <c r="C139" s="1125"/>
      <c r="D139" s="1122"/>
      <c r="E139" s="1011"/>
      <c r="F139" s="1011"/>
      <c r="G139" s="1035"/>
      <c r="H139" s="1035"/>
      <c r="I139" s="1010"/>
      <c r="J139" s="1011"/>
      <c r="K139" s="1035"/>
      <c r="L139" s="1035"/>
      <c r="M139" s="1035"/>
      <c r="N139" s="1035"/>
      <c r="O139" s="1012"/>
      <c r="P139" s="1018" t="s">
        <v>429</v>
      </c>
      <c r="Q139" s="1013"/>
      <c r="R139" s="1014"/>
      <c r="S139" s="1014"/>
      <c r="T139" s="1014"/>
      <c r="U139" s="1041"/>
      <c r="V139" s="1037"/>
      <c r="W139" s="1038"/>
      <c r="X139" s="1014"/>
      <c r="Y139" s="1014"/>
      <c r="Z139" s="1014"/>
      <c r="AA139" s="1014"/>
      <c r="AB139" s="1014"/>
      <c r="AC139" s="1014"/>
      <c r="AD139" s="1014"/>
    </row>
    <row r="140" spans="1:30" ht="31" outlineLevel="1">
      <c r="A140" s="1031">
        <v>47</v>
      </c>
      <c r="B140" s="1013">
        <f t="shared" si="12"/>
        <v>47</v>
      </c>
      <c r="C140" s="1125" t="str">
        <f t="shared" si="13"/>
        <v>IVF047</v>
      </c>
      <c r="D140" s="1161" t="s">
        <v>112</v>
      </c>
      <c r="E140" s="1031">
        <v>3</v>
      </c>
      <c r="F140" s="1030" t="s">
        <v>66</v>
      </c>
      <c r="G140" s="1032">
        <v>20000</v>
      </c>
      <c r="H140" s="1033">
        <f>ROUND(E140*G140,0)</f>
        <v>60000</v>
      </c>
      <c r="I140" s="1034">
        <f>E140</f>
        <v>3</v>
      </c>
      <c r="J140" s="1031" t="str">
        <f>F140</f>
        <v>No</v>
      </c>
      <c r="K140" s="1033">
        <f>G140</f>
        <v>20000</v>
      </c>
      <c r="L140" s="1033">
        <f>ROUND(I140*K140,0)</f>
        <v>60000</v>
      </c>
      <c r="M140" s="1035">
        <f>IF(L140&gt;H140,L140-H140,0)</f>
        <v>0</v>
      </c>
      <c r="N140" s="1033">
        <f>IF(H140&gt;L140,H140-L140,0)</f>
        <v>0</v>
      </c>
      <c r="O140" s="1012" t="s">
        <v>2353</v>
      </c>
      <c r="P140" s="1018" t="s">
        <v>429</v>
      </c>
      <c r="Q140" s="1048"/>
      <c r="R140" s="1043"/>
      <c r="S140" s="1014"/>
      <c r="T140" s="1014"/>
      <c r="U140" s="1041"/>
      <c r="V140" s="1037"/>
      <c r="W140" s="1038"/>
      <c r="X140" s="1014"/>
      <c r="Y140" s="1014"/>
      <c r="Z140" s="1014"/>
      <c r="AA140" s="1014"/>
      <c r="AB140" s="1014"/>
      <c r="AC140" s="1014"/>
      <c r="AD140" s="1014"/>
    </row>
    <row r="141" spans="1:30" outlineLevel="1">
      <c r="A141" s="1011"/>
      <c r="B141" s="1013" t="str">
        <f t="shared" si="12"/>
        <v/>
      </c>
      <c r="C141" s="1125"/>
      <c r="D141" s="1009"/>
      <c r="E141" s="1011"/>
      <c r="F141" s="1011"/>
      <c r="G141" s="1035"/>
      <c r="H141" s="1035"/>
      <c r="I141" s="1010"/>
      <c r="J141" s="1011"/>
      <c r="K141" s="1035"/>
      <c r="L141" s="1035"/>
      <c r="M141" s="1035"/>
      <c r="N141" s="1035"/>
      <c r="O141" s="1012"/>
      <c r="P141" s="1018" t="s">
        <v>429</v>
      </c>
      <c r="Q141" s="1013"/>
      <c r="R141" s="1014"/>
      <c r="S141" s="1014"/>
      <c r="T141" s="1014"/>
      <c r="U141" s="1041"/>
      <c r="V141" s="1037"/>
      <c r="W141" s="1038"/>
      <c r="X141" s="1014"/>
      <c r="Y141" s="1014"/>
      <c r="Z141" s="1014"/>
      <c r="AA141" s="1014"/>
      <c r="AB141" s="1014"/>
      <c r="AC141" s="1014"/>
      <c r="AD141" s="1014"/>
    </row>
    <row r="142" spans="1:30" outlineLevel="1">
      <c r="A142" s="1031">
        <v>48</v>
      </c>
      <c r="B142" s="1013">
        <f t="shared" si="12"/>
        <v>48</v>
      </c>
      <c r="C142" s="1125" t="str">
        <f t="shared" si="13"/>
        <v>IVF048</v>
      </c>
      <c r="D142" s="1009" t="s">
        <v>113</v>
      </c>
      <c r="E142" s="1031">
        <v>1</v>
      </c>
      <c r="F142" s="1030" t="s">
        <v>114</v>
      </c>
      <c r="G142" s="1035"/>
      <c r="H142" s="1033">
        <f>ROUND(E142*G142,0)</f>
        <v>0</v>
      </c>
      <c r="I142" s="1034">
        <f>E142</f>
        <v>1</v>
      </c>
      <c r="J142" s="1031" t="str">
        <f>F142</f>
        <v>Lot</v>
      </c>
      <c r="K142" s="1033">
        <f>G142</f>
        <v>0</v>
      </c>
      <c r="L142" s="1033">
        <f>ROUND(I142*K142,0)</f>
        <v>0</v>
      </c>
      <c r="M142" s="1035">
        <f>IF(L142&gt;H142,L142-H142,0)</f>
        <v>0</v>
      </c>
      <c r="N142" s="1033">
        <f>IF(H142&gt;L142,H142-L142,0)</f>
        <v>0</v>
      </c>
      <c r="O142" s="1012"/>
      <c r="P142" s="1018" t="s">
        <v>429</v>
      </c>
      <c r="Q142" s="1013"/>
      <c r="R142" s="1014"/>
      <c r="S142" s="1014"/>
      <c r="T142" s="1014"/>
      <c r="U142" s="1041"/>
      <c r="V142" s="1037"/>
      <c r="W142" s="1038"/>
      <c r="X142" s="1014"/>
      <c r="Y142" s="1014"/>
      <c r="Z142" s="1014"/>
      <c r="AA142" s="1014"/>
      <c r="AB142" s="1014"/>
      <c r="AC142" s="1014"/>
      <c r="AD142" s="1014"/>
    </row>
    <row r="143" spans="1:30" outlineLevel="1">
      <c r="A143" s="1031"/>
      <c r="B143" s="1013" t="str">
        <f t="shared" si="12"/>
        <v/>
      </c>
      <c r="C143" s="1125"/>
      <c r="D143" s="1009"/>
      <c r="E143" s="1031"/>
      <c r="F143" s="1030"/>
      <c r="G143" s="1035"/>
      <c r="H143" s="1033"/>
      <c r="I143" s="1034"/>
      <c r="J143" s="1031"/>
      <c r="K143" s="1033"/>
      <c r="L143" s="1033"/>
      <c r="M143" s="1035"/>
      <c r="N143" s="1033"/>
      <c r="O143" s="1012"/>
      <c r="P143" s="1018" t="s">
        <v>429</v>
      </c>
      <c r="Q143" s="1013"/>
      <c r="R143" s="1014"/>
      <c r="S143" s="1014"/>
      <c r="T143" s="1014"/>
      <c r="U143" s="1041"/>
      <c r="V143" s="1037"/>
      <c r="W143" s="1038"/>
      <c r="X143" s="1014"/>
      <c r="Y143" s="1014"/>
      <c r="Z143" s="1014"/>
      <c r="AA143" s="1014"/>
      <c r="AB143" s="1014"/>
      <c r="AC143" s="1014"/>
      <c r="AD143" s="1014"/>
    </row>
    <row r="144" spans="1:30" ht="24" customHeight="1">
      <c r="A144" s="1011"/>
      <c r="B144" s="1013" t="str">
        <f t="shared" si="12"/>
        <v/>
      </c>
      <c r="C144" s="1125"/>
      <c r="D144" s="1009"/>
      <c r="E144" s="1011"/>
      <c r="F144" s="1011"/>
      <c r="G144" s="1035"/>
      <c r="H144" s="1035"/>
      <c r="I144" s="1010"/>
      <c r="J144" s="1011"/>
      <c r="K144" s="1049" t="s">
        <v>405</v>
      </c>
      <c r="L144" s="1050">
        <f>SUM(L7:L143)</f>
        <v>25908225</v>
      </c>
      <c r="M144" s="1050">
        <f>SUM(M7:M143)</f>
        <v>0</v>
      </c>
      <c r="N144" s="1050">
        <f>SUM(N7:N143)</f>
        <v>110000</v>
      </c>
      <c r="O144" s="1012"/>
      <c r="P144" s="1018"/>
      <c r="Q144" s="1013"/>
      <c r="R144" s="1014"/>
      <c r="S144" s="1014"/>
      <c r="T144" s="1014"/>
      <c r="U144" s="1041"/>
      <c r="V144" s="1037"/>
      <c r="W144" s="1038"/>
      <c r="X144" s="1014"/>
      <c r="Y144" s="1014"/>
      <c r="Z144" s="1014"/>
      <c r="AA144" s="1014"/>
      <c r="AB144" s="1014"/>
      <c r="AC144" s="1014"/>
      <c r="AD144" s="1014"/>
    </row>
    <row r="145" spans="1:30" ht="23.5" customHeight="1">
      <c r="A145" s="1031"/>
      <c r="B145" s="1013" t="str">
        <f t="shared" si="12"/>
        <v/>
      </c>
      <c r="C145" s="1125"/>
      <c r="D145" s="1029" t="s">
        <v>273</v>
      </c>
      <c r="E145" s="1031"/>
      <c r="F145" s="1030"/>
      <c r="G145" s="1035"/>
      <c r="H145" s="1033"/>
      <c r="I145" s="1034"/>
      <c r="J145" s="1031"/>
      <c r="K145" s="1051"/>
      <c r="L145" s="1051"/>
      <c r="M145" s="1052"/>
      <c r="N145" s="1051"/>
      <c r="O145" s="1012"/>
      <c r="P145" s="1018"/>
      <c r="Q145" s="1013"/>
      <c r="R145" s="1014"/>
      <c r="S145" s="1014"/>
      <c r="T145" s="1014"/>
      <c r="U145" s="1041"/>
      <c r="V145" s="1037"/>
      <c r="W145" s="1038"/>
      <c r="X145" s="1014"/>
      <c r="Y145" s="1014"/>
      <c r="Z145" s="1014"/>
      <c r="AA145" s="1014"/>
      <c r="AB145" s="1014"/>
      <c r="AC145" s="1014"/>
      <c r="AD145" s="1014"/>
    </row>
    <row r="146" spans="1:30" ht="80.5" customHeight="1" outlineLevel="1">
      <c r="A146" s="1031">
        <v>49</v>
      </c>
      <c r="B146" s="1013">
        <f t="shared" si="12"/>
        <v>49</v>
      </c>
      <c r="C146" s="1125" t="str">
        <f t="shared" si="13"/>
        <v>IVF049</v>
      </c>
      <c r="D146" s="1009" t="s">
        <v>115</v>
      </c>
      <c r="E146" s="1031">
        <v>110</v>
      </c>
      <c r="F146" s="1030" t="s">
        <v>57</v>
      </c>
      <c r="G146" s="1032">
        <v>398</v>
      </c>
      <c r="H146" s="1033">
        <f>ROUND(E146*G146,0)</f>
        <v>43780</v>
      </c>
      <c r="I146" s="1010">
        <f>31.21+1.467</f>
        <v>32.677</v>
      </c>
      <c r="J146" s="1031" t="str">
        <f>F146</f>
        <v>Cum</v>
      </c>
      <c r="K146" s="1033">
        <f>G146</f>
        <v>398</v>
      </c>
      <c r="L146" s="1033">
        <f>ROUND(I146*K146,0)</f>
        <v>13005</v>
      </c>
      <c r="M146" s="1035">
        <f>IF(L146&gt;H146,L146-H146,0)</f>
        <v>0</v>
      </c>
      <c r="N146" s="1033">
        <f>IF(H146&gt;L146,H146-L146,0)</f>
        <v>30775</v>
      </c>
      <c r="O146" s="1012" t="s">
        <v>2440</v>
      </c>
      <c r="P146" s="1018" t="s">
        <v>413</v>
      </c>
      <c r="Q146" s="1013"/>
      <c r="R146" s="1014"/>
      <c r="S146" s="1014"/>
      <c r="T146" s="1014"/>
      <c r="U146" s="1041"/>
      <c r="V146" s="1037"/>
      <c r="W146" s="1038"/>
      <c r="X146" s="1014"/>
      <c r="Y146" s="1014"/>
      <c r="Z146" s="1014"/>
      <c r="AA146" s="1014"/>
      <c r="AB146" s="1014"/>
      <c r="AC146" s="1014"/>
      <c r="AD146" s="1014"/>
    </row>
    <row r="147" spans="1:30" outlineLevel="1">
      <c r="A147" s="1011"/>
      <c r="B147" s="1013" t="str">
        <f t="shared" si="12"/>
        <v/>
      </c>
      <c r="C147" s="1125"/>
      <c r="D147" s="1122" t="s">
        <v>2495</v>
      </c>
      <c r="E147" s="1011"/>
      <c r="F147" s="1011"/>
      <c r="G147" s="1035"/>
      <c r="H147" s="1035"/>
      <c r="I147" s="1010"/>
      <c r="J147" s="1011"/>
      <c r="K147" s="1035"/>
      <c r="L147" s="1035"/>
      <c r="M147" s="1035"/>
      <c r="N147" s="1035"/>
      <c r="O147" s="1012"/>
      <c r="P147" s="1018" t="s">
        <v>413</v>
      </c>
      <c r="Q147" s="1013"/>
      <c r="R147" s="1014"/>
      <c r="S147" s="1014"/>
      <c r="T147" s="1014"/>
      <c r="U147" s="1041"/>
      <c r="V147" s="1037"/>
      <c r="W147" s="1038"/>
      <c r="X147" s="1014"/>
      <c r="Y147" s="1014"/>
      <c r="Z147" s="1014"/>
      <c r="AA147" s="1014"/>
      <c r="AB147" s="1014"/>
      <c r="AC147" s="1014"/>
      <c r="AD147" s="1014"/>
    </row>
    <row r="148" spans="1:30" outlineLevel="1">
      <c r="A148" s="1011"/>
      <c r="B148" s="1013" t="str">
        <f t="shared" si="12"/>
        <v/>
      </c>
      <c r="C148" s="1125"/>
      <c r="D148" s="1122"/>
      <c r="E148" s="1011"/>
      <c r="F148" s="1011"/>
      <c r="G148" s="1035"/>
      <c r="H148" s="1035"/>
      <c r="I148" s="1010"/>
      <c r="J148" s="1011"/>
      <c r="K148" s="1035"/>
      <c r="L148" s="1035"/>
      <c r="M148" s="1035"/>
      <c r="N148" s="1035"/>
      <c r="O148" s="1012"/>
      <c r="P148" s="1018" t="s">
        <v>413</v>
      </c>
      <c r="Q148" s="1013"/>
      <c r="R148" s="1014"/>
      <c r="S148" s="1014"/>
      <c r="T148" s="1014"/>
      <c r="U148" s="1041"/>
      <c r="V148" s="1037"/>
      <c r="W148" s="1038"/>
      <c r="X148" s="1014"/>
      <c r="Y148" s="1014"/>
      <c r="Z148" s="1014"/>
      <c r="AA148" s="1014"/>
      <c r="AB148" s="1014"/>
      <c r="AC148" s="1014"/>
      <c r="AD148" s="1014"/>
    </row>
    <row r="149" spans="1:30" s="1057" customFormat="1" ht="96" customHeight="1" outlineLevel="1">
      <c r="A149" s="1031">
        <v>50</v>
      </c>
      <c r="B149" s="1013">
        <f t="shared" si="12"/>
        <v>50</v>
      </c>
      <c r="C149" s="1125" t="str">
        <f t="shared" si="13"/>
        <v>IVF050</v>
      </c>
      <c r="D149" s="1009" t="s">
        <v>116</v>
      </c>
      <c r="E149" s="1031">
        <v>16</v>
      </c>
      <c r="F149" s="1030" t="s">
        <v>66</v>
      </c>
      <c r="G149" s="1032">
        <v>350</v>
      </c>
      <c r="H149" s="1033">
        <f>ROUND(E149*G149,0)</f>
        <v>5600</v>
      </c>
      <c r="I149" s="1010">
        <v>0</v>
      </c>
      <c r="J149" s="1031" t="str">
        <f>F149</f>
        <v>No</v>
      </c>
      <c r="K149" s="1033">
        <f>G149</f>
        <v>350</v>
      </c>
      <c r="L149" s="1033">
        <f>ROUND(I149*K149,0)</f>
        <v>0</v>
      </c>
      <c r="M149" s="1035">
        <f>IF(L149&gt;H149,L149-H149,0)</f>
        <v>0</v>
      </c>
      <c r="N149" s="1033">
        <f>IF(H149&gt;L149,H149-L149,0)</f>
        <v>5600</v>
      </c>
      <c r="O149" s="1012" t="s">
        <v>2440</v>
      </c>
      <c r="P149" s="1018" t="s">
        <v>413</v>
      </c>
      <c r="Q149" s="1013"/>
      <c r="R149" s="1014"/>
      <c r="S149" s="1053"/>
      <c r="T149" s="1053"/>
      <c r="U149" s="1054"/>
      <c r="V149" s="1055"/>
      <c r="W149" s="1056"/>
      <c r="X149" s="1053"/>
      <c r="Y149" s="1053"/>
      <c r="Z149" s="1053"/>
      <c r="AA149" s="1053"/>
      <c r="AB149" s="1053"/>
      <c r="AC149" s="1053"/>
      <c r="AD149" s="1053"/>
    </row>
    <row r="150" spans="1:30" s="1057" customFormat="1" outlineLevel="1">
      <c r="A150" s="1011"/>
      <c r="B150" s="1013" t="str">
        <f t="shared" si="12"/>
        <v/>
      </c>
      <c r="C150" s="1125"/>
      <c r="D150" s="1016"/>
      <c r="E150" s="1011"/>
      <c r="F150" s="1011"/>
      <c r="G150" s="1035"/>
      <c r="H150" s="1035"/>
      <c r="I150" s="1010"/>
      <c r="J150" s="1011"/>
      <c r="K150" s="1035"/>
      <c r="L150" s="1035"/>
      <c r="M150" s="1035"/>
      <c r="N150" s="1035"/>
      <c r="O150" s="1012"/>
      <c r="P150" s="1018" t="s">
        <v>413</v>
      </c>
      <c r="Q150" s="1013"/>
      <c r="R150" s="1014"/>
      <c r="S150" s="1053"/>
      <c r="T150" s="1053"/>
      <c r="U150" s="1054"/>
      <c r="V150" s="1055"/>
      <c r="W150" s="1056"/>
      <c r="X150" s="1053"/>
      <c r="Y150" s="1053"/>
      <c r="Z150" s="1053"/>
      <c r="AA150" s="1053"/>
      <c r="AB150" s="1053"/>
      <c r="AC150" s="1053"/>
      <c r="AD150" s="1053"/>
    </row>
    <row r="151" spans="1:30" s="1057" customFormat="1" outlineLevel="1">
      <c r="A151" s="1011"/>
      <c r="B151" s="1013"/>
      <c r="C151" s="1125"/>
      <c r="D151" s="1122"/>
      <c r="E151" s="1011"/>
      <c r="F151" s="1011"/>
      <c r="G151" s="1035"/>
      <c r="H151" s="1035"/>
      <c r="I151" s="1010"/>
      <c r="J151" s="1011"/>
      <c r="K151" s="1035"/>
      <c r="L151" s="1035"/>
      <c r="M151" s="1035"/>
      <c r="N151" s="1035"/>
      <c r="O151" s="1012"/>
      <c r="P151" s="1018" t="s">
        <v>413</v>
      </c>
      <c r="Q151" s="1013"/>
      <c r="R151" s="1014"/>
      <c r="S151" s="1053"/>
      <c r="T151" s="1053"/>
      <c r="U151" s="1054"/>
      <c r="V151" s="1055"/>
      <c r="W151" s="1056"/>
      <c r="X151" s="1053"/>
      <c r="Y151" s="1053"/>
      <c r="Z151" s="1053"/>
      <c r="AA151" s="1053"/>
      <c r="AB151" s="1053"/>
      <c r="AC151" s="1053"/>
      <c r="AD151" s="1053"/>
    </row>
    <row r="152" spans="1:30" ht="94" customHeight="1" outlineLevel="1">
      <c r="A152" s="1031">
        <v>51</v>
      </c>
      <c r="B152" s="1013">
        <f t="shared" si="12"/>
        <v>51</v>
      </c>
      <c r="C152" s="1125" t="str">
        <f t="shared" si="13"/>
        <v>IVF051</v>
      </c>
      <c r="D152" s="1009" t="s">
        <v>117</v>
      </c>
      <c r="E152" s="1031">
        <v>5</v>
      </c>
      <c r="F152" s="1030" t="s">
        <v>66</v>
      </c>
      <c r="G152" s="1032">
        <v>468</v>
      </c>
      <c r="H152" s="1033">
        <f>ROUND(E152*G152,0)</f>
        <v>2340</v>
      </c>
      <c r="I152" s="1010">
        <v>5</v>
      </c>
      <c r="J152" s="1031" t="str">
        <f>F152</f>
        <v>No</v>
      </c>
      <c r="K152" s="1033">
        <f>G152</f>
        <v>468</v>
      </c>
      <c r="L152" s="1033">
        <f>ROUND(I152*K152,0)</f>
        <v>2340</v>
      </c>
      <c r="M152" s="1035">
        <f>IF(L152&gt;H152,L152-H152,0)</f>
        <v>0</v>
      </c>
      <c r="N152" s="1033">
        <f>IF(H152&gt;L152,H152-L152,0)</f>
        <v>0</v>
      </c>
      <c r="O152" s="1012" t="s">
        <v>2440</v>
      </c>
      <c r="P152" s="1018" t="s">
        <v>413</v>
      </c>
      <c r="Q152" s="1013"/>
      <c r="R152" s="1014"/>
      <c r="S152" s="1014"/>
      <c r="T152" s="1014"/>
      <c r="U152" s="1041"/>
      <c r="V152" s="1037"/>
      <c r="W152" s="1038"/>
      <c r="X152" s="1014"/>
      <c r="Y152" s="1014"/>
      <c r="Z152" s="1014"/>
      <c r="AA152" s="1014"/>
      <c r="AB152" s="1014"/>
      <c r="AC152" s="1014"/>
      <c r="AD152" s="1014"/>
    </row>
    <row r="153" spans="1:30" s="1062" customFormat="1" outlineLevel="1">
      <c r="A153" s="1011"/>
      <c r="B153" s="1013" t="str">
        <f t="shared" si="12"/>
        <v/>
      </c>
      <c r="C153" s="1125"/>
      <c r="D153" s="1039" t="s">
        <v>294</v>
      </c>
      <c r="E153" s="1011"/>
      <c r="F153" s="1011"/>
      <c r="G153" s="1035"/>
      <c r="H153" s="1035"/>
      <c r="I153" s="1010">
        <v>2</v>
      </c>
      <c r="J153" s="1031" t="s">
        <v>66</v>
      </c>
      <c r="K153" s="1035">
        <f>K152</f>
        <v>468</v>
      </c>
      <c r="L153" s="1033">
        <f>ROUND(I153*K153,0)</f>
        <v>936</v>
      </c>
      <c r="M153" s="1035">
        <f>IF(L153&gt;H153,L153-H153,0)</f>
        <v>936</v>
      </c>
      <c r="N153" s="1033">
        <f>IF(H153&gt;L153,H153-L153,0)</f>
        <v>0</v>
      </c>
      <c r="O153" s="1012"/>
      <c r="P153" s="1018" t="s">
        <v>413</v>
      </c>
      <c r="Q153" s="1013"/>
      <c r="R153" s="1014"/>
      <c r="S153" s="1058"/>
      <c r="T153" s="1058"/>
      <c r="U153" s="1059"/>
      <c r="V153" s="1060"/>
      <c r="W153" s="1061"/>
      <c r="X153" s="1058"/>
      <c r="Y153" s="1058"/>
      <c r="Z153" s="1058"/>
      <c r="AA153" s="1058"/>
      <c r="AB153" s="1058"/>
      <c r="AC153" s="1058"/>
      <c r="AD153" s="1058"/>
    </row>
    <row r="154" spans="1:30" s="1062" customFormat="1" outlineLevel="1">
      <c r="A154" s="1011"/>
      <c r="B154" s="1013" t="str">
        <f t="shared" si="12"/>
        <v/>
      </c>
      <c r="C154" s="1125"/>
      <c r="D154" s="1122" t="s">
        <v>2459</v>
      </c>
      <c r="E154" s="1011"/>
      <c r="F154" s="1011"/>
      <c r="G154" s="1035"/>
      <c r="H154" s="1035"/>
      <c r="I154" s="1010"/>
      <c r="J154" s="1031"/>
      <c r="K154" s="1035"/>
      <c r="L154" s="1033"/>
      <c r="M154" s="1035"/>
      <c r="N154" s="1033"/>
      <c r="O154" s="1012"/>
      <c r="P154" s="1018" t="s">
        <v>413</v>
      </c>
      <c r="Q154" s="1013"/>
      <c r="R154" s="1014"/>
      <c r="S154" s="1058"/>
      <c r="T154" s="1058"/>
      <c r="U154" s="1059"/>
      <c r="V154" s="1060"/>
      <c r="W154" s="1061"/>
      <c r="X154" s="1058"/>
      <c r="Y154" s="1058"/>
      <c r="Z154" s="1058"/>
      <c r="AA154" s="1058"/>
      <c r="AB154" s="1058"/>
      <c r="AC154" s="1058"/>
      <c r="AD154" s="1058"/>
    </row>
    <row r="155" spans="1:30" s="1062" customFormat="1" outlineLevel="1">
      <c r="A155" s="1011"/>
      <c r="B155" s="1013" t="str">
        <f t="shared" si="12"/>
        <v/>
      </c>
      <c r="C155" s="1125"/>
      <c r="D155" s="1039"/>
      <c r="E155" s="1011"/>
      <c r="F155" s="1011"/>
      <c r="G155" s="1035"/>
      <c r="H155" s="1035"/>
      <c r="I155" s="1010"/>
      <c r="J155" s="1031"/>
      <c r="K155" s="1035"/>
      <c r="L155" s="1033"/>
      <c r="M155" s="1035"/>
      <c r="N155" s="1033"/>
      <c r="O155" s="1012"/>
      <c r="P155" s="1018" t="s">
        <v>413</v>
      </c>
      <c r="Q155" s="1013"/>
      <c r="R155" s="1014"/>
      <c r="S155" s="1058"/>
      <c r="T155" s="1058"/>
      <c r="U155" s="1059"/>
      <c r="V155" s="1060"/>
      <c r="W155" s="1061"/>
      <c r="X155" s="1058"/>
      <c r="Y155" s="1058"/>
      <c r="Z155" s="1058"/>
      <c r="AA155" s="1058"/>
      <c r="AB155" s="1058"/>
      <c r="AC155" s="1058"/>
      <c r="AD155" s="1058"/>
    </row>
    <row r="156" spans="1:30" ht="62" outlineLevel="1">
      <c r="A156" s="1031">
        <v>52</v>
      </c>
      <c r="B156" s="1013">
        <f t="shared" si="12"/>
        <v>52</v>
      </c>
      <c r="C156" s="1125" t="str">
        <f t="shared" si="13"/>
        <v>IVF052</v>
      </c>
      <c r="D156" s="1161" t="s">
        <v>118</v>
      </c>
      <c r="E156" s="1031">
        <v>110</v>
      </c>
      <c r="F156" s="1030" t="s">
        <v>57</v>
      </c>
      <c r="G156" s="1032">
        <v>454</v>
      </c>
      <c r="H156" s="1033">
        <f>ROUND(E156*G156,0)</f>
        <v>49940</v>
      </c>
      <c r="I156" s="1010">
        <v>48.7</v>
      </c>
      <c r="J156" s="1031" t="str">
        <f>F156</f>
        <v>Cum</v>
      </c>
      <c r="K156" s="1033">
        <f>G156</f>
        <v>454</v>
      </c>
      <c r="L156" s="1033">
        <f>ROUND(I156*K156,0)</f>
        <v>22110</v>
      </c>
      <c r="M156" s="1035">
        <f>IF(L156&gt;H156,L156-H156,0)</f>
        <v>0</v>
      </c>
      <c r="N156" s="1033">
        <f>IF(H156&gt;L156,H156-L156,0)</f>
        <v>27830</v>
      </c>
      <c r="O156" s="1012" t="s">
        <v>2440</v>
      </c>
      <c r="P156" s="1018" t="s">
        <v>413</v>
      </c>
      <c r="Q156" s="1013"/>
      <c r="R156" s="1014"/>
      <c r="S156" s="1014"/>
      <c r="T156" s="1014"/>
      <c r="U156" s="1041"/>
      <c r="V156" s="1037"/>
      <c r="W156" s="1038"/>
      <c r="X156" s="1014"/>
      <c r="Y156" s="1014"/>
      <c r="Z156" s="1014"/>
      <c r="AA156" s="1014"/>
      <c r="AB156" s="1014"/>
      <c r="AC156" s="1014"/>
      <c r="AD156" s="1014"/>
    </row>
    <row r="157" spans="1:30" s="1062" customFormat="1" outlineLevel="1">
      <c r="A157" s="1011"/>
      <c r="B157" s="1013" t="str">
        <f t="shared" si="12"/>
        <v/>
      </c>
      <c r="C157" s="1125"/>
      <c r="D157" s="1009"/>
      <c r="E157" s="1011"/>
      <c r="F157" s="1011"/>
      <c r="G157" s="1035"/>
      <c r="H157" s="1035"/>
      <c r="I157" s="1010"/>
      <c r="J157" s="1011"/>
      <c r="K157" s="1035"/>
      <c r="L157" s="1035"/>
      <c r="M157" s="1035"/>
      <c r="N157" s="1035"/>
      <c r="O157" s="1012"/>
      <c r="P157" s="1018" t="s">
        <v>413</v>
      </c>
      <c r="Q157" s="1013"/>
      <c r="R157" s="1014"/>
      <c r="S157" s="1058"/>
      <c r="T157" s="1058"/>
      <c r="U157" s="1059"/>
      <c r="V157" s="1060"/>
      <c r="W157" s="1061"/>
      <c r="X157" s="1058"/>
      <c r="Y157" s="1058"/>
      <c r="Z157" s="1058"/>
      <c r="AA157" s="1058"/>
      <c r="AB157" s="1058"/>
      <c r="AC157" s="1058"/>
      <c r="AD157" s="1058"/>
    </row>
    <row r="158" spans="1:30" s="1062" customFormat="1" ht="143.5" customHeight="1" outlineLevel="1">
      <c r="A158" s="1031">
        <v>53</v>
      </c>
      <c r="B158" s="1013">
        <f t="shared" si="12"/>
        <v>53</v>
      </c>
      <c r="C158" s="1125" t="str">
        <f t="shared" si="13"/>
        <v>IVF053</v>
      </c>
      <c r="D158" s="1009" t="s">
        <v>119</v>
      </c>
      <c r="E158" s="1031">
        <v>12</v>
      </c>
      <c r="F158" s="1030" t="s">
        <v>57</v>
      </c>
      <c r="G158" s="1032">
        <v>16055</v>
      </c>
      <c r="H158" s="1033">
        <f>ROUND(E158*G158,0)</f>
        <v>192660</v>
      </c>
      <c r="I158" s="1010">
        <v>12</v>
      </c>
      <c r="J158" s="1031" t="str">
        <f>F158</f>
        <v>Cum</v>
      </c>
      <c r="K158" s="1033">
        <f>G158</f>
        <v>16055</v>
      </c>
      <c r="L158" s="1033">
        <f>ROUND(I158*K158,0)</f>
        <v>192660</v>
      </c>
      <c r="M158" s="1035">
        <f>IF(L158&gt;H158,L158-H158,0)</f>
        <v>0</v>
      </c>
      <c r="N158" s="1033">
        <f>IF(H158&gt;L158,H158-L158,0)</f>
        <v>0</v>
      </c>
      <c r="O158" s="1234" t="s">
        <v>2355</v>
      </c>
      <c r="P158" s="1018" t="s">
        <v>413</v>
      </c>
      <c r="Q158" s="1013"/>
      <c r="R158" s="1014"/>
      <c r="S158" s="1058"/>
      <c r="T158" s="1058"/>
      <c r="U158" s="1059"/>
      <c r="V158" s="1060"/>
      <c r="W158" s="1061"/>
      <c r="X158" s="1058"/>
      <c r="Y158" s="1058"/>
      <c r="Z158" s="1058"/>
      <c r="AA158" s="1058"/>
      <c r="AB158" s="1058"/>
      <c r="AC158" s="1058"/>
      <c r="AD158" s="1058"/>
    </row>
    <row r="159" spans="1:30" s="1062" customFormat="1" ht="16" customHeight="1" outlineLevel="1">
      <c r="A159" s="1011"/>
      <c r="B159" s="1013" t="str">
        <f t="shared" si="12"/>
        <v/>
      </c>
      <c r="C159" s="1125"/>
      <c r="D159" s="1039" t="s">
        <v>294</v>
      </c>
      <c r="E159" s="1011"/>
      <c r="F159" s="1011"/>
      <c r="G159" s="1035"/>
      <c r="H159" s="1035"/>
      <c r="I159" s="1010">
        <v>3.27</v>
      </c>
      <c r="J159" s="1030" t="s">
        <v>57</v>
      </c>
      <c r="K159" s="1032">
        <v>16055</v>
      </c>
      <c r="L159" s="1033">
        <f>ROUND(I159*K159,0)</f>
        <v>52500</v>
      </c>
      <c r="M159" s="1035">
        <f>IF(L159&gt;H159,L159-H159,0)</f>
        <v>52500</v>
      </c>
      <c r="N159" s="1033">
        <f>IF(H159&gt;L159,H159-L159,0)</f>
        <v>0</v>
      </c>
      <c r="O159" s="1235"/>
      <c r="P159" s="1018" t="s">
        <v>413</v>
      </c>
      <c r="Q159" s="1013"/>
      <c r="R159" s="1014"/>
      <c r="S159" s="1058"/>
      <c r="T159" s="1058"/>
      <c r="U159" s="1059"/>
      <c r="V159" s="1060"/>
      <c r="W159" s="1061"/>
      <c r="X159" s="1058"/>
      <c r="Y159" s="1058"/>
      <c r="Z159" s="1058"/>
      <c r="AA159" s="1058"/>
      <c r="AB159" s="1058"/>
      <c r="AC159" s="1058"/>
      <c r="AD159" s="1058"/>
    </row>
    <row r="160" spans="1:30" s="1062" customFormat="1" outlineLevel="1">
      <c r="A160" s="1011"/>
      <c r="B160" s="1013" t="str">
        <f t="shared" si="12"/>
        <v/>
      </c>
      <c r="C160" s="1125"/>
      <c r="D160" s="1122" t="s">
        <v>2496</v>
      </c>
      <c r="E160" s="1011"/>
      <c r="F160" s="1011"/>
      <c r="G160" s="1035"/>
      <c r="H160" s="1035"/>
      <c r="I160" s="1010"/>
      <c r="J160" s="1030"/>
      <c r="K160" s="1032"/>
      <c r="L160" s="1033"/>
      <c r="M160" s="1035"/>
      <c r="N160" s="1033"/>
      <c r="O160" s="1012"/>
      <c r="P160" s="1018" t="s">
        <v>413</v>
      </c>
      <c r="Q160" s="1013"/>
      <c r="R160" s="1014"/>
      <c r="S160" s="1058"/>
      <c r="T160" s="1058"/>
      <c r="U160" s="1063"/>
      <c r="V160" s="1063"/>
      <c r="W160" s="1063"/>
      <c r="X160" s="1058"/>
      <c r="Y160" s="1058"/>
      <c r="Z160" s="1058"/>
      <c r="AA160" s="1058"/>
      <c r="AB160" s="1058"/>
      <c r="AC160" s="1058"/>
      <c r="AD160" s="1058"/>
    </row>
    <row r="161" spans="1:30" s="1062" customFormat="1" outlineLevel="1">
      <c r="A161" s="1011"/>
      <c r="B161" s="1013" t="str">
        <f t="shared" si="12"/>
        <v/>
      </c>
      <c r="C161" s="1125"/>
      <c r="D161" s="1122"/>
      <c r="E161" s="1011"/>
      <c r="F161" s="1011"/>
      <c r="G161" s="1035"/>
      <c r="H161" s="1035"/>
      <c r="I161" s="1010"/>
      <c r="J161" s="1030"/>
      <c r="K161" s="1032"/>
      <c r="L161" s="1033"/>
      <c r="M161" s="1035"/>
      <c r="N161" s="1033"/>
      <c r="O161" s="1012"/>
      <c r="P161" s="1018" t="s">
        <v>413</v>
      </c>
      <c r="Q161" s="1013"/>
      <c r="R161" s="1014"/>
      <c r="S161" s="1058"/>
      <c r="T161" s="1058"/>
      <c r="U161" s="1063"/>
      <c r="V161" s="1063"/>
      <c r="W161" s="1063"/>
      <c r="X161" s="1058"/>
      <c r="Y161" s="1058"/>
      <c r="Z161" s="1058"/>
      <c r="AA161" s="1058"/>
      <c r="AB161" s="1058"/>
      <c r="AC161" s="1058"/>
      <c r="AD161" s="1058"/>
    </row>
    <row r="162" spans="1:30" s="1062" customFormat="1" ht="171.5" customHeight="1" outlineLevel="1">
      <c r="A162" s="1031">
        <v>54</v>
      </c>
      <c r="B162" s="1013">
        <f t="shared" si="12"/>
        <v>54</v>
      </c>
      <c r="C162" s="1125" t="str">
        <f t="shared" si="13"/>
        <v>IVF054</v>
      </c>
      <c r="D162" s="1009" t="s">
        <v>2448</v>
      </c>
      <c r="E162" s="1031">
        <v>395</v>
      </c>
      <c r="F162" s="1030" t="s">
        <v>62</v>
      </c>
      <c r="G162" s="1032">
        <v>1952</v>
      </c>
      <c r="H162" s="1033">
        <f>ROUND(E162*G162,0)</f>
        <v>771040</v>
      </c>
      <c r="I162" s="1010">
        <v>191.03</v>
      </c>
      <c r="J162" s="1031" t="str">
        <f>F162</f>
        <v>Sqm</v>
      </c>
      <c r="K162" s="1033">
        <f>G162</f>
        <v>1952</v>
      </c>
      <c r="L162" s="1033">
        <f>ROUND(I162*K162,0)</f>
        <v>372891</v>
      </c>
      <c r="M162" s="1035">
        <f>IF(L162&gt;H162,L162-H162,0)</f>
        <v>0</v>
      </c>
      <c r="N162" s="1033">
        <f>IF(H162&gt;L162,H162-L162,0)</f>
        <v>398149</v>
      </c>
      <c r="O162" s="1012" t="s">
        <v>2440</v>
      </c>
      <c r="P162" s="1018" t="s">
        <v>413</v>
      </c>
      <c r="Q162" s="1013"/>
      <c r="R162" s="1014"/>
      <c r="S162" s="1058"/>
      <c r="T162" s="1058"/>
      <c r="U162" s="1063"/>
      <c r="V162" s="1063"/>
      <c r="W162" s="1063"/>
      <c r="X162" s="1058"/>
      <c r="Y162" s="1058"/>
      <c r="Z162" s="1058"/>
      <c r="AA162" s="1058"/>
      <c r="AB162" s="1058"/>
      <c r="AC162" s="1058"/>
      <c r="AD162" s="1058"/>
    </row>
    <row r="163" spans="1:30" s="1066" customFormat="1" outlineLevel="1">
      <c r="A163" s="1011"/>
      <c r="B163" s="1013" t="str">
        <f t="shared" si="12"/>
        <v/>
      </c>
      <c r="C163" s="1125"/>
      <c r="D163" s="1122" t="s">
        <v>2451</v>
      </c>
      <c r="E163" s="1011"/>
      <c r="F163" s="1011"/>
      <c r="G163" s="1035"/>
      <c r="H163" s="1035"/>
      <c r="I163" s="1010"/>
      <c r="J163" s="1011"/>
      <c r="K163" s="1035"/>
      <c r="L163" s="1035"/>
      <c r="M163" s="1035"/>
      <c r="N163" s="1035"/>
      <c r="O163" s="1012"/>
      <c r="P163" s="1018" t="s">
        <v>413</v>
      </c>
      <c r="Q163" s="1013"/>
      <c r="R163" s="1014"/>
      <c r="S163" s="1064"/>
      <c r="T163" s="1064"/>
      <c r="U163" s="1065"/>
      <c r="V163" s="1065"/>
      <c r="W163" s="1065"/>
      <c r="X163" s="1064"/>
      <c r="Y163" s="1064"/>
      <c r="Z163" s="1064"/>
      <c r="AA163" s="1064"/>
      <c r="AB163" s="1064"/>
      <c r="AC163" s="1064"/>
      <c r="AD163" s="1064"/>
    </row>
    <row r="164" spans="1:30" s="1066" customFormat="1" outlineLevel="1">
      <c r="A164" s="1011"/>
      <c r="B164" s="1013"/>
      <c r="C164" s="1125"/>
      <c r="D164" s="1122"/>
      <c r="E164" s="1011"/>
      <c r="F164" s="1011"/>
      <c r="G164" s="1035"/>
      <c r="H164" s="1035"/>
      <c r="I164" s="1010"/>
      <c r="J164" s="1011"/>
      <c r="K164" s="1035"/>
      <c r="L164" s="1035"/>
      <c r="M164" s="1035"/>
      <c r="N164" s="1035"/>
      <c r="O164" s="1012"/>
      <c r="P164" s="1018" t="s">
        <v>413</v>
      </c>
      <c r="Q164" s="1013"/>
      <c r="R164" s="1014"/>
      <c r="S164" s="1064"/>
      <c r="T164" s="1064"/>
      <c r="U164" s="1065"/>
      <c r="V164" s="1065"/>
      <c r="W164" s="1065"/>
      <c r="X164" s="1064"/>
      <c r="Y164" s="1064"/>
      <c r="Z164" s="1064"/>
      <c r="AA164" s="1064"/>
      <c r="AB164" s="1064"/>
      <c r="AC164" s="1064"/>
      <c r="AD164" s="1064"/>
    </row>
    <row r="165" spans="1:30" s="1066" customFormat="1" ht="201.5" outlineLevel="1">
      <c r="A165" s="1031">
        <v>55</v>
      </c>
      <c r="B165" s="1013">
        <f t="shared" si="12"/>
        <v>55</v>
      </c>
      <c r="C165" s="1125" t="str">
        <f t="shared" si="13"/>
        <v>IVF055</v>
      </c>
      <c r="D165" s="1009" t="s">
        <v>121</v>
      </c>
      <c r="E165" s="1034">
        <v>2.15</v>
      </c>
      <c r="F165" s="1030" t="s">
        <v>122</v>
      </c>
      <c r="G165" s="1032">
        <v>116500</v>
      </c>
      <c r="H165" s="1033">
        <f>ROUND(E165*G165,0)</f>
        <v>250475</v>
      </c>
      <c r="I165" s="1010">
        <v>0.104</v>
      </c>
      <c r="J165" s="1031" t="str">
        <f>F165</f>
        <v>MT</v>
      </c>
      <c r="K165" s="1033">
        <f>G165</f>
        <v>116500</v>
      </c>
      <c r="L165" s="1033">
        <f>ROUND(I165*K165,0)</f>
        <v>12116</v>
      </c>
      <c r="M165" s="1035">
        <f>IF(L165&gt;H165,L165-H165,0)</f>
        <v>0</v>
      </c>
      <c r="N165" s="1033">
        <f>IF(H165&gt;L165,H165-L165,0)</f>
        <v>238359</v>
      </c>
      <c r="O165" s="1012" t="s">
        <v>2440</v>
      </c>
      <c r="P165" s="1018" t="s">
        <v>413</v>
      </c>
      <c r="Q165" s="1013"/>
      <c r="R165" s="1014"/>
      <c r="S165" s="1064"/>
      <c r="T165" s="1064"/>
      <c r="U165" s="1065"/>
      <c r="V165" s="1065"/>
      <c r="W165" s="1065"/>
      <c r="X165" s="1064"/>
      <c r="Y165" s="1064"/>
      <c r="Z165" s="1064"/>
      <c r="AA165" s="1064"/>
      <c r="AB165" s="1064"/>
      <c r="AC165" s="1064"/>
      <c r="AD165" s="1064"/>
    </row>
    <row r="166" spans="1:30" s="1062" customFormat="1" outlineLevel="1">
      <c r="A166" s="1011"/>
      <c r="B166" s="1013" t="str">
        <f t="shared" si="12"/>
        <v/>
      </c>
      <c r="C166" s="1125"/>
      <c r="D166" s="1122" t="s">
        <v>2452</v>
      </c>
      <c r="E166" s="1011"/>
      <c r="F166" s="1011"/>
      <c r="G166" s="1035"/>
      <c r="H166" s="1035"/>
      <c r="I166" s="1010"/>
      <c r="J166" s="1011"/>
      <c r="K166" s="1035"/>
      <c r="L166" s="1035"/>
      <c r="M166" s="1035"/>
      <c r="N166" s="1035"/>
      <c r="O166" s="1012"/>
      <c r="P166" s="1018" t="s">
        <v>413</v>
      </c>
      <c r="Q166" s="1013"/>
      <c r="R166" s="1014"/>
      <c r="S166" s="1058"/>
      <c r="T166" s="1058"/>
      <c r="U166" s="1063"/>
      <c r="V166" s="1063"/>
      <c r="W166" s="1063"/>
      <c r="X166" s="1058"/>
      <c r="Y166" s="1058"/>
      <c r="Z166" s="1058"/>
      <c r="AA166" s="1058"/>
      <c r="AB166" s="1058"/>
      <c r="AC166" s="1058"/>
      <c r="AD166" s="1058"/>
    </row>
    <row r="167" spans="1:30" s="1062" customFormat="1" outlineLevel="1">
      <c r="A167" s="1011"/>
      <c r="B167" s="1013"/>
      <c r="C167" s="1125"/>
      <c r="D167" s="1122"/>
      <c r="E167" s="1011"/>
      <c r="F167" s="1011"/>
      <c r="G167" s="1035"/>
      <c r="H167" s="1035"/>
      <c r="I167" s="1010"/>
      <c r="J167" s="1011"/>
      <c r="K167" s="1035"/>
      <c r="L167" s="1035"/>
      <c r="M167" s="1035"/>
      <c r="N167" s="1035"/>
      <c r="O167" s="1012"/>
      <c r="P167" s="1018" t="s">
        <v>413</v>
      </c>
      <c r="Q167" s="1013"/>
      <c r="R167" s="1014"/>
      <c r="S167" s="1058"/>
      <c r="T167" s="1058"/>
      <c r="U167" s="1063"/>
      <c r="V167" s="1063"/>
      <c r="W167" s="1063"/>
      <c r="X167" s="1058"/>
      <c r="Y167" s="1058"/>
      <c r="Z167" s="1058"/>
      <c r="AA167" s="1058"/>
      <c r="AB167" s="1058"/>
      <c r="AC167" s="1058"/>
      <c r="AD167" s="1058"/>
    </row>
    <row r="168" spans="1:30" s="1062" customFormat="1" ht="155" outlineLevel="1">
      <c r="A168" s="1031">
        <v>56</v>
      </c>
      <c r="B168" s="1013">
        <f t="shared" si="12"/>
        <v>56</v>
      </c>
      <c r="C168" s="1125" t="str">
        <f t="shared" si="13"/>
        <v>IVF056</v>
      </c>
      <c r="D168" s="1009" t="s">
        <v>123</v>
      </c>
      <c r="E168" s="1031">
        <v>45</v>
      </c>
      <c r="F168" s="1030" t="s">
        <v>62</v>
      </c>
      <c r="G168" s="1032">
        <v>1077</v>
      </c>
      <c r="H168" s="1033">
        <f>ROUND(E168*G168,0)</f>
        <v>48465</v>
      </c>
      <c r="I168" s="1010">
        <v>11.04</v>
      </c>
      <c r="J168" s="1031" t="str">
        <f>F168</f>
        <v>Sqm</v>
      </c>
      <c r="K168" s="1033">
        <f>G168</f>
        <v>1077</v>
      </c>
      <c r="L168" s="1033">
        <f>ROUND(I168*K168,0)</f>
        <v>11890</v>
      </c>
      <c r="M168" s="1035">
        <f>IF(L168&gt;H168,L168-H168,0)</f>
        <v>0</v>
      </c>
      <c r="N168" s="1033">
        <f>IF(H168&gt;L168,H168-L168,0)</f>
        <v>36575</v>
      </c>
      <c r="O168" s="1012" t="s">
        <v>2440</v>
      </c>
      <c r="P168" s="1018" t="s">
        <v>413</v>
      </c>
      <c r="Q168" s="1013"/>
      <c r="R168" s="1014"/>
      <c r="S168" s="1058"/>
      <c r="T168" s="1058"/>
      <c r="U168" s="1063"/>
      <c r="V168" s="1063"/>
      <c r="W168" s="1063"/>
      <c r="X168" s="1058"/>
      <c r="Y168" s="1058"/>
      <c r="Z168" s="1058"/>
      <c r="AA168" s="1058"/>
      <c r="AB168" s="1058"/>
      <c r="AC168" s="1058"/>
      <c r="AD168" s="1058"/>
    </row>
    <row r="169" spans="1:30" s="1062" customFormat="1" outlineLevel="1">
      <c r="A169" s="1011"/>
      <c r="B169" s="1013" t="str">
        <f t="shared" si="12"/>
        <v/>
      </c>
      <c r="C169" s="1125"/>
      <c r="D169" s="1122" t="s">
        <v>2497</v>
      </c>
      <c r="E169" s="1011"/>
      <c r="F169" s="1011"/>
      <c r="G169" s="1035"/>
      <c r="H169" s="1035"/>
      <c r="I169" s="1010"/>
      <c r="J169" s="1011"/>
      <c r="K169" s="1035"/>
      <c r="L169" s="1035"/>
      <c r="M169" s="1035"/>
      <c r="N169" s="1035"/>
      <c r="O169" s="1012"/>
      <c r="P169" s="1018" t="s">
        <v>413</v>
      </c>
      <c r="Q169" s="1013"/>
      <c r="R169" s="1014"/>
      <c r="S169" s="1058"/>
      <c r="T169" s="1058"/>
      <c r="U169" s="1063"/>
      <c r="V169" s="1063"/>
      <c r="W169" s="1063"/>
      <c r="X169" s="1058"/>
      <c r="Y169" s="1058"/>
      <c r="Z169" s="1058"/>
      <c r="AA169" s="1058"/>
      <c r="AB169" s="1058"/>
      <c r="AC169" s="1058"/>
      <c r="AD169" s="1058"/>
    </row>
    <row r="170" spans="1:30" s="1062" customFormat="1" outlineLevel="1">
      <c r="A170" s="1011"/>
      <c r="B170" s="1013"/>
      <c r="C170" s="1125"/>
      <c r="D170" s="1122"/>
      <c r="E170" s="1011"/>
      <c r="F170" s="1011"/>
      <c r="G170" s="1035"/>
      <c r="H170" s="1035"/>
      <c r="I170" s="1010"/>
      <c r="J170" s="1011"/>
      <c r="K170" s="1035"/>
      <c r="L170" s="1035"/>
      <c r="M170" s="1035"/>
      <c r="N170" s="1035"/>
      <c r="O170" s="1012"/>
      <c r="P170" s="1018" t="s">
        <v>413</v>
      </c>
      <c r="Q170" s="1013"/>
      <c r="R170" s="1014"/>
      <c r="S170" s="1058"/>
      <c r="T170" s="1058"/>
      <c r="U170" s="1063"/>
      <c r="V170" s="1063"/>
      <c r="W170" s="1063"/>
      <c r="X170" s="1058"/>
      <c r="Y170" s="1058"/>
      <c r="Z170" s="1058"/>
      <c r="AA170" s="1058"/>
      <c r="AB170" s="1058"/>
      <c r="AC170" s="1058"/>
      <c r="AD170" s="1058"/>
    </row>
    <row r="171" spans="1:30" s="1062" customFormat="1" ht="140.25" customHeight="1" outlineLevel="1">
      <c r="A171" s="1031">
        <v>57</v>
      </c>
      <c r="B171" s="1013">
        <f t="shared" si="12"/>
        <v>57</v>
      </c>
      <c r="C171" s="1125" t="str">
        <f t="shared" si="13"/>
        <v>IVF057</v>
      </c>
      <c r="D171" s="1009" t="s">
        <v>124</v>
      </c>
      <c r="E171" s="1031">
        <v>905</v>
      </c>
      <c r="F171" s="1030" t="s">
        <v>62</v>
      </c>
      <c r="G171" s="1032">
        <v>1041</v>
      </c>
      <c r="H171" s="1033">
        <f>ROUND(E171*G171,0)</f>
        <v>942105</v>
      </c>
      <c r="I171" s="1010">
        <f>536.11+11.04</f>
        <v>547.15</v>
      </c>
      <c r="J171" s="1031" t="str">
        <f>F171</f>
        <v>Sqm</v>
      </c>
      <c r="K171" s="1033">
        <f>G171</f>
        <v>1041</v>
      </c>
      <c r="L171" s="1033">
        <f>ROUND(I171*K171,0)</f>
        <v>569583</v>
      </c>
      <c r="M171" s="1035">
        <f>IF(L171&gt;H171,L171-H171,0)</f>
        <v>0</v>
      </c>
      <c r="N171" s="1033">
        <f>IF(H171&gt;L171,H171-L171,0)</f>
        <v>372522</v>
      </c>
      <c r="O171" s="1012" t="s">
        <v>2440</v>
      </c>
      <c r="P171" s="1018" t="s">
        <v>413</v>
      </c>
      <c r="Q171" s="1013"/>
      <c r="R171" s="1014"/>
      <c r="S171" s="1058"/>
      <c r="T171" s="1058"/>
      <c r="U171" s="1063"/>
      <c r="V171" s="1063"/>
      <c r="W171" s="1063"/>
      <c r="X171" s="1058"/>
      <c r="Y171" s="1058"/>
      <c r="Z171" s="1058"/>
      <c r="AA171" s="1058"/>
      <c r="AB171" s="1058"/>
      <c r="AC171" s="1058"/>
      <c r="AD171" s="1058"/>
    </row>
    <row r="172" spans="1:30" s="1062" customFormat="1" outlineLevel="1">
      <c r="A172" s="1011"/>
      <c r="B172" s="1013" t="str">
        <f t="shared" si="12"/>
        <v/>
      </c>
      <c r="C172" s="1125"/>
      <c r="D172" s="1122" t="s">
        <v>2453</v>
      </c>
      <c r="E172" s="1011"/>
      <c r="F172" s="1011"/>
      <c r="G172" s="1035"/>
      <c r="H172" s="1035"/>
      <c r="I172" s="1010"/>
      <c r="J172" s="1011"/>
      <c r="K172" s="1035"/>
      <c r="L172" s="1035"/>
      <c r="M172" s="1035"/>
      <c r="N172" s="1035"/>
      <c r="O172" s="1012"/>
      <c r="P172" s="1018" t="s">
        <v>413</v>
      </c>
      <c r="Q172" s="1013"/>
      <c r="R172" s="1014"/>
      <c r="S172" s="1058"/>
      <c r="T172" s="1058"/>
      <c r="U172" s="1063"/>
      <c r="V172" s="1063"/>
      <c r="W172" s="1063"/>
      <c r="X172" s="1058"/>
      <c r="Y172" s="1058"/>
      <c r="Z172" s="1058"/>
      <c r="AA172" s="1058"/>
      <c r="AB172" s="1058"/>
      <c r="AC172" s="1058"/>
      <c r="AD172" s="1058"/>
    </row>
    <row r="173" spans="1:30" s="1062" customFormat="1" outlineLevel="1">
      <c r="A173" s="1011"/>
      <c r="B173" s="1013"/>
      <c r="C173" s="1125"/>
      <c r="D173" s="1122"/>
      <c r="E173" s="1011"/>
      <c r="F173" s="1011"/>
      <c r="G173" s="1035"/>
      <c r="H173" s="1035"/>
      <c r="I173" s="1010"/>
      <c r="J173" s="1011"/>
      <c r="K173" s="1035"/>
      <c r="L173" s="1035"/>
      <c r="M173" s="1035"/>
      <c r="N173" s="1035"/>
      <c r="O173" s="1012"/>
      <c r="P173" s="1018" t="s">
        <v>413</v>
      </c>
      <c r="Q173" s="1013"/>
      <c r="R173" s="1014"/>
      <c r="S173" s="1058"/>
      <c r="T173" s="1058"/>
      <c r="U173" s="1063"/>
      <c r="V173" s="1063"/>
      <c r="W173" s="1063"/>
      <c r="X173" s="1058"/>
      <c r="Y173" s="1058"/>
      <c r="Z173" s="1058"/>
      <c r="AA173" s="1058"/>
      <c r="AB173" s="1058"/>
      <c r="AC173" s="1058"/>
      <c r="AD173" s="1058"/>
    </row>
    <row r="174" spans="1:30" s="1062" customFormat="1" ht="201.5" outlineLevel="1">
      <c r="A174" s="1031">
        <v>58</v>
      </c>
      <c r="B174" s="1013">
        <f t="shared" si="12"/>
        <v>58</v>
      </c>
      <c r="C174" s="1125" t="str">
        <f t="shared" si="13"/>
        <v>IVF058</v>
      </c>
      <c r="D174" s="1009" t="s">
        <v>2361</v>
      </c>
      <c r="E174" s="1067">
        <v>19.5</v>
      </c>
      <c r="F174" s="1030" t="s">
        <v>62</v>
      </c>
      <c r="G174" s="1032">
        <v>9055</v>
      </c>
      <c r="H174" s="1033">
        <f>ROUND(E174*G174,0)</f>
        <v>176573</v>
      </c>
      <c r="I174" s="1010">
        <v>16.829999999999998</v>
      </c>
      <c r="J174" s="1031" t="str">
        <f>F174</f>
        <v>Sqm</v>
      </c>
      <c r="K174" s="1033">
        <f>G174</f>
        <v>9055</v>
      </c>
      <c r="L174" s="1033">
        <f>ROUND(I174*K174,0)</f>
        <v>152396</v>
      </c>
      <c r="M174" s="1035">
        <f>IF(L174&gt;H174,L174-H174,0)</f>
        <v>0</v>
      </c>
      <c r="N174" s="1033">
        <f>IF(H174&gt;L174,H174-L174,0)</f>
        <v>24177</v>
      </c>
      <c r="O174" s="1012" t="s">
        <v>2440</v>
      </c>
      <c r="P174" s="1018" t="s">
        <v>413</v>
      </c>
      <c r="Q174" s="1013"/>
      <c r="R174" s="1014"/>
      <c r="S174" s="1058"/>
      <c r="T174" s="1058"/>
      <c r="U174" s="1063"/>
      <c r="V174" s="1063"/>
      <c r="W174" s="1063"/>
      <c r="X174" s="1058"/>
      <c r="Y174" s="1058"/>
      <c r="Z174" s="1058"/>
      <c r="AA174" s="1058"/>
      <c r="AB174" s="1058"/>
      <c r="AC174" s="1058"/>
      <c r="AD174" s="1058"/>
    </row>
    <row r="175" spans="1:30" s="1070" customFormat="1" outlineLevel="1">
      <c r="A175" s="1011"/>
      <c r="B175" s="1013" t="str">
        <f t="shared" si="12"/>
        <v/>
      </c>
      <c r="C175" s="1125"/>
      <c r="D175" s="1122" t="s">
        <v>2497</v>
      </c>
      <c r="E175" s="1011"/>
      <c r="F175" s="1011"/>
      <c r="G175" s="1035"/>
      <c r="H175" s="1035"/>
      <c r="I175" s="1010"/>
      <c r="J175" s="1011"/>
      <c r="K175" s="1035"/>
      <c r="L175" s="1035"/>
      <c r="M175" s="1035"/>
      <c r="N175" s="1035"/>
      <c r="O175" s="1012"/>
      <c r="P175" s="1018" t="s">
        <v>413</v>
      </c>
      <c r="Q175" s="1013"/>
      <c r="R175" s="1014"/>
      <c r="S175" s="1068"/>
      <c r="T175" s="1068"/>
      <c r="U175" s="1069"/>
      <c r="V175" s="1069"/>
      <c r="W175" s="1069"/>
      <c r="X175" s="1068"/>
      <c r="Y175" s="1068"/>
      <c r="Z175" s="1068"/>
      <c r="AA175" s="1068"/>
      <c r="AB175" s="1068"/>
      <c r="AC175" s="1068"/>
      <c r="AD175" s="1068"/>
    </row>
    <row r="176" spans="1:30" s="1070" customFormat="1" outlineLevel="1">
      <c r="A176" s="1011"/>
      <c r="B176" s="1013"/>
      <c r="C176" s="1125"/>
      <c r="D176" s="1122"/>
      <c r="E176" s="1011"/>
      <c r="F176" s="1011"/>
      <c r="G176" s="1035"/>
      <c r="H176" s="1035"/>
      <c r="I176" s="1010"/>
      <c r="J176" s="1011"/>
      <c r="K176" s="1035"/>
      <c r="L176" s="1035"/>
      <c r="M176" s="1035"/>
      <c r="N176" s="1035"/>
      <c r="O176" s="1012"/>
      <c r="P176" s="1018" t="s">
        <v>413</v>
      </c>
      <c r="Q176" s="1013"/>
      <c r="R176" s="1014"/>
      <c r="S176" s="1068"/>
      <c r="T176" s="1068"/>
      <c r="U176" s="1069"/>
      <c r="V176" s="1069"/>
      <c r="W176" s="1069"/>
      <c r="X176" s="1068"/>
      <c r="Y176" s="1068"/>
      <c r="Z176" s="1068"/>
      <c r="AA176" s="1068"/>
      <c r="AB176" s="1068"/>
      <c r="AC176" s="1068"/>
      <c r="AD176" s="1068"/>
    </row>
    <row r="177" spans="1:30" s="1070" customFormat="1" ht="77.5" outlineLevel="1">
      <c r="A177" s="1031">
        <v>59</v>
      </c>
      <c r="B177" s="1013">
        <f t="shared" si="12"/>
        <v>59</v>
      </c>
      <c r="C177" s="1125" t="str">
        <f t="shared" si="13"/>
        <v>IVF059</v>
      </c>
      <c r="D177" s="1009" t="s">
        <v>126</v>
      </c>
      <c r="E177" s="1031">
        <v>25</v>
      </c>
      <c r="F177" s="1030" t="s">
        <v>57</v>
      </c>
      <c r="G177" s="1032">
        <v>4700</v>
      </c>
      <c r="H177" s="1033">
        <f>ROUND(E177*G177,0)</f>
        <v>117500</v>
      </c>
      <c r="I177" s="1010">
        <v>0</v>
      </c>
      <c r="J177" s="1031" t="str">
        <f>F177</f>
        <v>Cum</v>
      </c>
      <c r="K177" s="1033">
        <f>G177</f>
        <v>4700</v>
      </c>
      <c r="L177" s="1033">
        <f>ROUND(I177*K177,0)</f>
        <v>0</v>
      </c>
      <c r="M177" s="1035">
        <f>IF(L177&gt;H177,L177-H177,0)</f>
        <v>0</v>
      </c>
      <c r="N177" s="1033">
        <f>IF(H177&gt;L177,H177-L177,0)</f>
        <v>117500</v>
      </c>
      <c r="O177" s="1012" t="s">
        <v>2440</v>
      </c>
      <c r="P177" s="1018" t="s">
        <v>413</v>
      </c>
      <c r="Q177" s="1048"/>
      <c r="R177" s="1043"/>
      <c r="S177" s="1068"/>
      <c r="T177" s="1068"/>
      <c r="U177" s="1069"/>
      <c r="V177" s="1069"/>
      <c r="W177" s="1069"/>
      <c r="X177" s="1068"/>
      <c r="Y177" s="1068"/>
      <c r="Z177" s="1068"/>
      <c r="AA177" s="1068"/>
      <c r="AB177" s="1068"/>
      <c r="AC177" s="1068"/>
      <c r="AD177" s="1068"/>
    </row>
    <row r="178" spans="1:30" s="1062" customFormat="1" outlineLevel="1">
      <c r="A178" s="1011"/>
      <c r="B178" s="1013" t="str">
        <f t="shared" si="12"/>
        <v/>
      </c>
      <c r="C178" s="1125"/>
      <c r="D178" s="1009"/>
      <c r="E178" s="1011"/>
      <c r="F178" s="1011"/>
      <c r="G178" s="1035"/>
      <c r="H178" s="1035"/>
      <c r="I178" s="1010"/>
      <c r="J178" s="1011"/>
      <c r="K178" s="1035"/>
      <c r="L178" s="1035"/>
      <c r="M178" s="1035"/>
      <c r="N178" s="1035"/>
      <c r="O178" s="1012"/>
      <c r="P178" s="1018" t="s">
        <v>413</v>
      </c>
      <c r="Q178" s="1013"/>
      <c r="R178" s="1014"/>
      <c r="S178" s="1058"/>
      <c r="T178" s="1058"/>
      <c r="U178" s="1063"/>
      <c r="V178" s="1063"/>
      <c r="W178" s="1063"/>
      <c r="X178" s="1058"/>
      <c r="Y178" s="1058"/>
      <c r="Z178" s="1058"/>
      <c r="AA178" s="1058"/>
      <c r="AB178" s="1058"/>
      <c r="AC178" s="1058"/>
      <c r="AD178" s="1058"/>
    </row>
    <row r="179" spans="1:30" s="1066" customFormat="1" ht="356.5" outlineLevel="1">
      <c r="A179" s="1031">
        <v>60</v>
      </c>
      <c r="B179" s="1013">
        <f t="shared" si="12"/>
        <v>60</v>
      </c>
      <c r="C179" s="1125" t="str">
        <f t="shared" si="13"/>
        <v>IVF060</v>
      </c>
      <c r="D179" s="1009" t="s">
        <v>2392</v>
      </c>
      <c r="E179" s="1031">
        <v>5</v>
      </c>
      <c r="F179" s="1030" t="s">
        <v>62</v>
      </c>
      <c r="G179" s="1032">
        <v>13713</v>
      </c>
      <c r="H179" s="1033">
        <f>ROUND(E179*G179,0)</f>
        <v>68565</v>
      </c>
      <c r="I179" s="1010">
        <v>0</v>
      </c>
      <c r="J179" s="1031" t="str">
        <f>F179</f>
        <v>Sqm</v>
      </c>
      <c r="K179" s="1033">
        <f>G179</f>
        <v>13713</v>
      </c>
      <c r="L179" s="1033">
        <f>ROUND(I179*K179,0)</f>
        <v>0</v>
      </c>
      <c r="M179" s="1035">
        <f>IF(L179&gt;H179,L179-H179,0)</f>
        <v>0</v>
      </c>
      <c r="N179" s="1033">
        <f>IF(H179&gt;L179,H179-L179,0)</f>
        <v>68565</v>
      </c>
      <c r="O179" s="1012" t="s">
        <v>2437</v>
      </c>
      <c r="P179" s="1018" t="s">
        <v>413</v>
      </c>
      <c r="Q179" s="1013"/>
      <c r="R179" s="1014"/>
      <c r="S179" s="1064"/>
      <c r="T179" s="1064"/>
      <c r="U179" s="1065"/>
      <c r="V179" s="1065"/>
      <c r="W179" s="1065"/>
      <c r="X179" s="1064"/>
      <c r="Y179" s="1064"/>
      <c r="Z179" s="1064"/>
      <c r="AA179" s="1064"/>
      <c r="AB179" s="1064"/>
      <c r="AC179" s="1064"/>
      <c r="AD179" s="1064"/>
    </row>
    <row r="180" spans="1:30" s="1062" customFormat="1" outlineLevel="1">
      <c r="A180" s="1011"/>
      <c r="B180" s="1013" t="str">
        <f t="shared" si="12"/>
        <v/>
      </c>
      <c r="C180" s="1125"/>
      <c r="D180" s="1009"/>
      <c r="E180" s="1011"/>
      <c r="F180" s="1011"/>
      <c r="G180" s="1035"/>
      <c r="H180" s="1035"/>
      <c r="I180" s="1010"/>
      <c r="J180" s="1011"/>
      <c r="K180" s="1035"/>
      <c r="L180" s="1035"/>
      <c r="M180" s="1035"/>
      <c r="N180" s="1035"/>
      <c r="O180" s="1012"/>
      <c r="P180" s="1018" t="s">
        <v>413</v>
      </c>
      <c r="Q180" s="1013"/>
      <c r="R180" s="1014"/>
      <c r="S180" s="1058"/>
      <c r="T180" s="1058"/>
      <c r="U180" s="1063"/>
      <c r="V180" s="1063"/>
      <c r="W180" s="1063"/>
      <c r="X180" s="1058"/>
      <c r="Y180" s="1058"/>
      <c r="Z180" s="1058"/>
      <c r="AA180" s="1058"/>
      <c r="AB180" s="1058"/>
      <c r="AC180" s="1058"/>
      <c r="AD180" s="1058"/>
    </row>
    <row r="181" spans="1:30" s="1062" customFormat="1" ht="304.14999999999998" customHeight="1" outlineLevel="1">
      <c r="A181" s="1031">
        <v>61</v>
      </c>
      <c r="B181" s="1013">
        <f t="shared" si="12"/>
        <v>61</v>
      </c>
      <c r="C181" s="1125" t="str">
        <f t="shared" si="13"/>
        <v>IVF061</v>
      </c>
      <c r="D181" s="1009" t="s">
        <v>288</v>
      </c>
      <c r="E181" s="1031">
        <v>15</v>
      </c>
      <c r="F181" s="1030" t="s">
        <v>62</v>
      </c>
      <c r="G181" s="1032">
        <v>9517</v>
      </c>
      <c r="H181" s="1033">
        <f>ROUND(E181*G181,0)</f>
        <v>142755</v>
      </c>
      <c r="I181" s="1010">
        <v>2.823</v>
      </c>
      <c r="J181" s="1031" t="str">
        <f>F181</f>
        <v>Sqm</v>
      </c>
      <c r="K181" s="1033">
        <f>G181</f>
        <v>9517</v>
      </c>
      <c r="L181" s="1033">
        <f>ROUND(I181*K181,0)</f>
        <v>26866</v>
      </c>
      <c r="M181" s="1035">
        <f>IF(L181&gt;H181,L181-H181,0)</f>
        <v>0</v>
      </c>
      <c r="N181" s="1033">
        <f>IF(H181&gt;L181,H181-L181,0)</f>
        <v>115889</v>
      </c>
      <c r="O181" s="1012" t="s">
        <v>2440</v>
      </c>
      <c r="P181" s="1018" t="s">
        <v>413</v>
      </c>
      <c r="Q181" s="1013"/>
      <c r="R181" s="1014"/>
      <c r="S181" s="1058"/>
      <c r="T181" s="1058"/>
      <c r="U181" s="1063"/>
      <c r="V181" s="1063"/>
      <c r="W181" s="1063"/>
      <c r="X181" s="1058"/>
      <c r="Y181" s="1058"/>
      <c r="Z181" s="1058"/>
      <c r="AA181" s="1058"/>
      <c r="AB181" s="1058"/>
      <c r="AC181" s="1058"/>
      <c r="AD181" s="1058"/>
    </row>
    <row r="182" spans="1:30" s="1066" customFormat="1" outlineLevel="1">
      <c r="A182" s="1011"/>
      <c r="B182" s="1013" t="str">
        <f t="shared" si="12"/>
        <v/>
      </c>
      <c r="C182" s="1125"/>
      <c r="D182" s="1122" t="s">
        <v>2512</v>
      </c>
      <c r="E182" s="1011"/>
      <c r="F182" s="1011"/>
      <c r="G182" s="1035"/>
      <c r="H182" s="1035"/>
      <c r="I182" s="1010"/>
      <c r="J182" s="1011"/>
      <c r="K182" s="1035"/>
      <c r="L182" s="1035"/>
      <c r="M182" s="1035"/>
      <c r="N182" s="1035"/>
      <c r="O182" s="1012"/>
      <c r="P182" s="1018" t="s">
        <v>413</v>
      </c>
      <c r="Q182" s="1013"/>
      <c r="R182" s="1014"/>
      <c r="S182" s="1064"/>
      <c r="T182" s="1064"/>
      <c r="U182" s="1065"/>
      <c r="V182" s="1065"/>
      <c r="W182" s="1065"/>
      <c r="X182" s="1064"/>
      <c r="Y182" s="1064"/>
      <c r="Z182" s="1064"/>
      <c r="AA182" s="1064"/>
      <c r="AB182" s="1064"/>
      <c r="AC182" s="1064"/>
      <c r="AD182" s="1064"/>
    </row>
    <row r="183" spans="1:30" s="1066" customFormat="1" outlineLevel="1">
      <c r="A183" s="1011"/>
      <c r="B183" s="1013"/>
      <c r="C183" s="1125"/>
      <c r="D183" s="1122"/>
      <c r="E183" s="1011"/>
      <c r="F183" s="1011"/>
      <c r="G183" s="1035"/>
      <c r="H183" s="1035"/>
      <c r="I183" s="1010"/>
      <c r="J183" s="1011"/>
      <c r="K183" s="1035"/>
      <c r="L183" s="1035"/>
      <c r="M183" s="1035"/>
      <c r="N183" s="1035"/>
      <c r="O183" s="1012"/>
      <c r="P183" s="1018" t="s">
        <v>413</v>
      </c>
      <c r="Q183" s="1013"/>
      <c r="R183" s="1014"/>
      <c r="S183" s="1064"/>
      <c r="T183" s="1064"/>
      <c r="U183" s="1065"/>
      <c r="V183" s="1065"/>
      <c r="W183" s="1065"/>
      <c r="X183" s="1064"/>
      <c r="Y183" s="1064"/>
      <c r="Z183" s="1064"/>
      <c r="AA183" s="1064"/>
      <c r="AB183" s="1064"/>
      <c r="AC183" s="1064"/>
      <c r="AD183" s="1064"/>
    </row>
    <row r="184" spans="1:30" s="1066" customFormat="1" ht="225" customHeight="1" outlineLevel="1">
      <c r="A184" s="1031">
        <v>62</v>
      </c>
      <c r="B184" s="1013">
        <f t="shared" si="12"/>
        <v>62</v>
      </c>
      <c r="C184" s="1125" t="str">
        <f t="shared" si="13"/>
        <v>IVF062</v>
      </c>
      <c r="D184" s="1009" t="s">
        <v>2362</v>
      </c>
      <c r="E184" s="1031">
        <v>5</v>
      </c>
      <c r="F184" s="1030" t="s">
        <v>62</v>
      </c>
      <c r="G184" s="1032">
        <v>8564</v>
      </c>
      <c r="H184" s="1033">
        <f>ROUND(E184*G184,0)</f>
        <v>42820</v>
      </c>
      <c r="I184" s="1010">
        <v>1.53</v>
      </c>
      <c r="J184" s="1031" t="str">
        <f>F184</f>
        <v>Sqm</v>
      </c>
      <c r="K184" s="1033">
        <f>G184</f>
        <v>8564</v>
      </c>
      <c r="L184" s="1033">
        <f>ROUND(I184*K184,0)</f>
        <v>13103</v>
      </c>
      <c r="M184" s="1035">
        <f>IF(L184&gt;H184,L184-H184,0)</f>
        <v>0</v>
      </c>
      <c r="N184" s="1033">
        <f>IF(H184&gt;L184,H184-L184,0)</f>
        <v>29717</v>
      </c>
      <c r="O184" s="1012" t="s">
        <v>2440</v>
      </c>
      <c r="P184" s="1018" t="s">
        <v>413</v>
      </c>
      <c r="Q184" s="1013"/>
      <c r="R184" s="1014"/>
      <c r="S184" s="1064"/>
      <c r="T184" s="1064"/>
      <c r="U184" s="1065"/>
      <c r="V184" s="1065"/>
      <c r="W184" s="1065"/>
      <c r="X184" s="1064"/>
      <c r="Y184" s="1064"/>
      <c r="Z184" s="1064"/>
      <c r="AA184" s="1064"/>
      <c r="AB184" s="1064"/>
      <c r="AC184" s="1064"/>
      <c r="AD184" s="1064"/>
    </row>
    <row r="185" spans="1:30" s="1066" customFormat="1" outlineLevel="1">
      <c r="A185" s="1011"/>
      <c r="B185" s="1013" t="str">
        <f t="shared" si="12"/>
        <v/>
      </c>
      <c r="C185" s="1125"/>
      <c r="D185" s="1122" t="s">
        <v>2513</v>
      </c>
      <c r="E185" s="1011"/>
      <c r="F185" s="1011"/>
      <c r="G185" s="1035"/>
      <c r="H185" s="1035"/>
      <c r="I185" s="1010"/>
      <c r="J185" s="1011"/>
      <c r="K185" s="1035"/>
      <c r="L185" s="1035"/>
      <c r="M185" s="1035"/>
      <c r="N185" s="1035"/>
      <c r="O185" s="1012"/>
      <c r="P185" s="1018" t="s">
        <v>413</v>
      </c>
      <c r="Q185" s="1013"/>
      <c r="R185" s="1014"/>
      <c r="S185" s="1064"/>
      <c r="T185" s="1064"/>
      <c r="U185" s="1065"/>
      <c r="V185" s="1065"/>
      <c r="W185" s="1065"/>
      <c r="X185" s="1064"/>
      <c r="Y185" s="1064"/>
      <c r="Z185" s="1064"/>
      <c r="AA185" s="1064"/>
      <c r="AB185" s="1064"/>
      <c r="AC185" s="1064"/>
      <c r="AD185" s="1064"/>
    </row>
    <row r="186" spans="1:30" s="1066" customFormat="1" outlineLevel="1">
      <c r="A186" s="1011"/>
      <c r="B186" s="1013"/>
      <c r="C186" s="1125"/>
      <c r="D186" s="1122"/>
      <c r="E186" s="1011"/>
      <c r="F186" s="1011"/>
      <c r="G186" s="1035"/>
      <c r="H186" s="1035"/>
      <c r="I186" s="1010"/>
      <c r="J186" s="1011"/>
      <c r="K186" s="1035"/>
      <c r="L186" s="1035"/>
      <c r="M186" s="1035"/>
      <c r="N186" s="1035"/>
      <c r="O186" s="1012"/>
      <c r="P186" s="1018" t="s">
        <v>413</v>
      </c>
      <c r="Q186" s="1013"/>
      <c r="R186" s="1014"/>
      <c r="S186" s="1064"/>
      <c r="T186" s="1064"/>
      <c r="U186" s="1065"/>
      <c r="V186" s="1065"/>
      <c r="W186" s="1065"/>
      <c r="X186" s="1064"/>
      <c r="Y186" s="1064"/>
      <c r="Z186" s="1064"/>
      <c r="AA186" s="1064"/>
      <c r="AB186" s="1064"/>
      <c r="AC186" s="1064"/>
      <c r="AD186" s="1064"/>
    </row>
    <row r="187" spans="1:30" s="1062" customFormat="1" ht="279" outlineLevel="1">
      <c r="A187" s="1031">
        <v>63</v>
      </c>
      <c r="B187" s="1013">
        <f t="shared" si="12"/>
        <v>63</v>
      </c>
      <c r="C187" s="1125" t="str">
        <f t="shared" si="13"/>
        <v>IVF063</v>
      </c>
      <c r="D187" s="1009" t="s">
        <v>129</v>
      </c>
      <c r="E187" s="1031">
        <v>30</v>
      </c>
      <c r="F187" s="1030" t="s">
        <v>62</v>
      </c>
      <c r="G187" s="1032">
        <v>5593</v>
      </c>
      <c r="H187" s="1033">
        <f>ROUND(E187*G187,0)</f>
        <v>167790</v>
      </c>
      <c r="I187" s="1010">
        <v>0</v>
      </c>
      <c r="J187" s="1031" t="str">
        <f>F187</f>
        <v>Sqm</v>
      </c>
      <c r="K187" s="1033">
        <f>G187</f>
        <v>5593</v>
      </c>
      <c r="L187" s="1033">
        <f>ROUND(I187*K187,0)</f>
        <v>0</v>
      </c>
      <c r="M187" s="1035">
        <f>IF(L187&gt;H187,L187-H187,0)</f>
        <v>0</v>
      </c>
      <c r="N187" s="1033">
        <f>IF(H187&gt;L187,H187-L187,0)</f>
        <v>167790</v>
      </c>
      <c r="O187" s="1012" t="s">
        <v>2440</v>
      </c>
      <c r="P187" s="1018" t="s">
        <v>413</v>
      </c>
      <c r="Q187" s="1013"/>
      <c r="R187" s="1014"/>
      <c r="S187" s="1058"/>
      <c r="T187" s="1058"/>
      <c r="U187" s="1063"/>
      <c r="V187" s="1063"/>
      <c r="W187" s="1063"/>
      <c r="X187" s="1058"/>
      <c r="Y187" s="1058"/>
      <c r="Z187" s="1058"/>
      <c r="AA187" s="1058"/>
      <c r="AB187" s="1058"/>
      <c r="AC187" s="1058"/>
      <c r="AD187" s="1058"/>
    </row>
    <row r="188" spans="1:30" s="1062" customFormat="1" outlineLevel="1">
      <c r="A188" s="1011"/>
      <c r="B188" s="1013" t="str">
        <f t="shared" si="12"/>
        <v/>
      </c>
      <c r="C188" s="1125"/>
      <c r="D188" s="1009"/>
      <c r="E188" s="1011"/>
      <c r="F188" s="1011"/>
      <c r="G188" s="1035"/>
      <c r="H188" s="1035"/>
      <c r="I188" s="1010"/>
      <c r="J188" s="1011"/>
      <c r="K188" s="1035"/>
      <c r="L188" s="1035"/>
      <c r="M188" s="1035"/>
      <c r="N188" s="1035"/>
      <c r="O188" s="1012"/>
      <c r="P188" s="1018" t="s">
        <v>413</v>
      </c>
      <c r="Q188" s="1013"/>
      <c r="R188" s="1014"/>
      <c r="S188" s="1058"/>
      <c r="T188" s="1058"/>
      <c r="U188" s="1063"/>
      <c r="V188" s="1063"/>
      <c r="W188" s="1063"/>
      <c r="X188" s="1058"/>
      <c r="Y188" s="1058"/>
      <c r="Z188" s="1058"/>
      <c r="AA188" s="1058"/>
      <c r="AB188" s="1058"/>
      <c r="AC188" s="1058"/>
      <c r="AD188" s="1058"/>
    </row>
    <row r="189" spans="1:30" s="1062" customFormat="1" ht="310" outlineLevel="1">
      <c r="A189" s="1031">
        <v>64</v>
      </c>
      <c r="B189" s="1013">
        <f t="shared" si="12"/>
        <v>64</v>
      </c>
      <c r="C189" s="1125" t="str">
        <f t="shared" si="13"/>
        <v>IVF064</v>
      </c>
      <c r="D189" s="1009" t="s">
        <v>267</v>
      </c>
      <c r="E189" s="1031">
        <v>12</v>
      </c>
      <c r="F189" s="1030" t="s">
        <v>62</v>
      </c>
      <c r="G189" s="1032">
        <v>6510</v>
      </c>
      <c r="H189" s="1033">
        <f>ROUND(E189*G189,0)</f>
        <v>78120</v>
      </c>
      <c r="I189" s="1010">
        <v>0</v>
      </c>
      <c r="J189" s="1031" t="str">
        <f>F189</f>
        <v>Sqm</v>
      </c>
      <c r="K189" s="1033">
        <f>G189</f>
        <v>6510</v>
      </c>
      <c r="L189" s="1033">
        <f>ROUND(I189*K189,0)</f>
        <v>0</v>
      </c>
      <c r="M189" s="1035">
        <f>IF(L189&gt;H189,L189-H189,0)</f>
        <v>0</v>
      </c>
      <c r="N189" s="1033">
        <f>IF(H189&gt;L189,H189-L189,0)</f>
        <v>78120</v>
      </c>
      <c r="O189" s="1012" t="s">
        <v>2440</v>
      </c>
      <c r="P189" s="1018" t="s">
        <v>413</v>
      </c>
      <c r="Q189" s="1013"/>
      <c r="R189" s="1014"/>
      <c r="S189" s="1058"/>
      <c r="T189" s="1058"/>
      <c r="U189" s="1063"/>
      <c r="V189" s="1063"/>
      <c r="W189" s="1063"/>
      <c r="X189" s="1058"/>
      <c r="Y189" s="1058"/>
      <c r="Z189" s="1058"/>
      <c r="AA189" s="1058"/>
      <c r="AB189" s="1058"/>
      <c r="AC189" s="1058"/>
      <c r="AD189" s="1058"/>
    </row>
    <row r="190" spans="1:30" s="1062" customFormat="1" outlineLevel="1">
      <c r="A190" s="1011"/>
      <c r="B190" s="1013" t="str">
        <f t="shared" si="12"/>
        <v/>
      </c>
      <c r="C190" s="1125"/>
      <c r="D190" s="1009"/>
      <c r="E190" s="1011"/>
      <c r="F190" s="1011"/>
      <c r="G190" s="1035"/>
      <c r="H190" s="1035"/>
      <c r="I190" s="1010"/>
      <c r="J190" s="1011"/>
      <c r="K190" s="1035"/>
      <c r="L190" s="1035"/>
      <c r="M190" s="1035"/>
      <c r="N190" s="1035"/>
      <c r="O190" s="1012"/>
      <c r="P190" s="1018" t="s">
        <v>413</v>
      </c>
      <c r="Q190" s="1013"/>
      <c r="R190" s="1014"/>
      <c r="S190" s="1058"/>
      <c r="T190" s="1058"/>
      <c r="U190" s="1063"/>
      <c r="V190" s="1063"/>
      <c r="W190" s="1063"/>
      <c r="X190" s="1058"/>
      <c r="Y190" s="1058"/>
      <c r="Z190" s="1058"/>
      <c r="AA190" s="1058"/>
      <c r="AB190" s="1058"/>
      <c r="AC190" s="1058"/>
      <c r="AD190" s="1058"/>
    </row>
    <row r="191" spans="1:30" s="1066" customFormat="1" ht="219.65" customHeight="1" outlineLevel="1">
      <c r="A191" s="1031">
        <v>65</v>
      </c>
      <c r="B191" s="1013">
        <f t="shared" si="12"/>
        <v>65</v>
      </c>
      <c r="C191" s="1125" t="str">
        <f t="shared" si="13"/>
        <v>IVF065</v>
      </c>
      <c r="D191" s="1009" t="s">
        <v>130</v>
      </c>
      <c r="E191" s="1031">
        <v>225</v>
      </c>
      <c r="F191" s="1030" t="s">
        <v>62</v>
      </c>
      <c r="G191" s="1032">
        <v>1725</v>
      </c>
      <c r="H191" s="1033">
        <f>ROUND(E191*G191,0)</f>
        <v>388125</v>
      </c>
      <c r="I191" s="1010">
        <v>225</v>
      </c>
      <c r="J191" s="1031" t="str">
        <f>F191</f>
        <v>Sqm</v>
      </c>
      <c r="K191" s="1033">
        <f>G191</f>
        <v>1725</v>
      </c>
      <c r="L191" s="1033">
        <f>ROUND(I191*K191,0)</f>
        <v>388125</v>
      </c>
      <c r="M191" s="1035">
        <f>IF(L191&gt;H191,L191-H191,0)</f>
        <v>0</v>
      </c>
      <c r="N191" s="1033">
        <f>IF(H191&gt;L191,H191-L191,0)</f>
        <v>0</v>
      </c>
      <c r="O191" s="1236" t="s">
        <v>2355</v>
      </c>
      <c r="P191" s="1018" t="s">
        <v>413</v>
      </c>
      <c r="Q191" s="1013"/>
      <c r="R191" s="1014"/>
      <c r="S191" s="1064"/>
      <c r="T191" s="1064">
        <f>374.81-225</f>
        <v>149.81</v>
      </c>
      <c r="U191" s="1065"/>
      <c r="V191" s="1065"/>
      <c r="W191" s="1065"/>
      <c r="X191" s="1064"/>
      <c r="Y191" s="1064"/>
      <c r="Z191" s="1064"/>
      <c r="AA191" s="1064"/>
      <c r="AB191" s="1064"/>
      <c r="AC191" s="1064"/>
      <c r="AD191" s="1064"/>
    </row>
    <row r="192" spans="1:30" s="1062" customFormat="1" outlineLevel="1">
      <c r="A192" s="1011"/>
      <c r="B192" s="1013" t="str">
        <f t="shared" si="12"/>
        <v/>
      </c>
      <c r="C192" s="1125"/>
      <c r="D192" s="1039" t="s">
        <v>294</v>
      </c>
      <c r="E192" s="1011"/>
      <c r="F192" s="1011"/>
      <c r="G192" s="1035"/>
      <c r="H192" s="1035"/>
      <c r="I192" s="1010">
        <v>149.81</v>
      </c>
      <c r="J192" s="1011" t="s">
        <v>62</v>
      </c>
      <c r="K192" s="1032">
        <v>1725</v>
      </c>
      <c r="L192" s="1033">
        <f>ROUND(I192*K192,0)</f>
        <v>258422</v>
      </c>
      <c r="M192" s="1035">
        <f>IF(L192&gt;H192,L192-H192,0)</f>
        <v>258422</v>
      </c>
      <c r="N192" s="1033">
        <f>IF(H192&gt;L192,H192-L192,0)</f>
        <v>0</v>
      </c>
      <c r="O192" s="1237"/>
      <c r="P192" s="1018" t="s">
        <v>413</v>
      </c>
      <c r="Q192" s="1013"/>
      <c r="R192" s="1014"/>
      <c r="S192" s="1058"/>
      <c r="T192" s="1058"/>
      <c r="U192" s="1063"/>
      <c r="V192" s="1063"/>
      <c r="W192" s="1063"/>
      <c r="X192" s="1058"/>
      <c r="Y192" s="1058"/>
      <c r="Z192" s="1058"/>
      <c r="AA192" s="1058"/>
      <c r="AB192" s="1058"/>
      <c r="AC192" s="1058"/>
      <c r="AD192" s="1058"/>
    </row>
    <row r="193" spans="1:30" s="1062" customFormat="1" outlineLevel="1">
      <c r="A193" s="1011"/>
      <c r="B193" s="1013" t="str">
        <f t="shared" si="12"/>
        <v/>
      </c>
      <c r="C193" s="1125"/>
      <c r="D193" s="1122" t="s">
        <v>2455</v>
      </c>
      <c r="E193" s="1011"/>
      <c r="F193" s="1011"/>
      <c r="G193" s="1035"/>
      <c r="H193" s="1035"/>
      <c r="I193" s="1010"/>
      <c r="J193" s="1011"/>
      <c r="K193" s="1032"/>
      <c r="L193" s="1033"/>
      <c r="M193" s="1035"/>
      <c r="N193" s="1033"/>
      <c r="O193" s="1012"/>
      <c r="P193" s="1018" t="s">
        <v>413</v>
      </c>
      <c r="Q193" s="1013"/>
      <c r="R193" s="1014"/>
      <c r="S193" s="1058"/>
      <c r="T193" s="1058"/>
      <c r="U193" s="1063"/>
      <c r="V193" s="1063"/>
      <c r="W193" s="1063"/>
      <c r="X193" s="1058"/>
      <c r="Y193" s="1058"/>
      <c r="Z193" s="1058"/>
      <c r="AA193" s="1058"/>
      <c r="AB193" s="1058"/>
      <c r="AC193" s="1058"/>
      <c r="AD193" s="1058"/>
    </row>
    <row r="194" spans="1:30" s="1062" customFormat="1" outlineLevel="1">
      <c r="A194" s="1011"/>
      <c r="B194" s="1013"/>
      <c r="C194" s="1125"/>
      <c r="D194" s="1122"/>
      <c r="E194" s="1011"/>
      <c r="F194" s="1011"/>
      <c r="G194" s="1035"/>
      <c r="H194" s="1035"/>
      <c r="I194" s="1010"/>
      <c r="J194" s="1011"/>
      <c r="K194" s="1032"/>
      <c r="L194" s="1033"/>
      <c r="M194" s="1035"/>
      <c r="N194" s="1033"/>
      <c r="O194" s="1012"/>
      <c r="P194" s="1018" t="s">
        <v>413</v>
      </c>
      <c r="Q194" s="1013"/>
      <c r="R194" s="1014"/>
      <c r="S194" s="1058"/>
      <c r="T194" s="1058"/>
      <c r="U194" s="1063"/>
      <c r="V194" s="1063"/>
      <c r="W194" s="1063"/>
      <c r="X194" s="1058"/>
      <c r="Y194" s="1058"/>
      <c r="Z194" s="1058"/>
      <c r="AA194" s="1058"/>
      <c r="AB194" s="1058"/>
      <c r="AC194" s="1058"/>
      <c r="AD194" s="1058"/>
    </row>
    <row r="195" spans="1:30" s="1062" customFormat="1" ht="201.5" outlineLevel="1">
      <c r="A195" s="1031">
        <v>66</v>
      </c>
      <c r="B195" s="1013">
        <f t="shared" si="12"/>
        <v>66</v>
      </c>
      <c r="C195" s="1125" t="str">
        <f t="shared" si="13"/>
        <v>IVF066</v>
      </c>
      <c r="D195" s="1009" t="s">
        <v>131</v>
      </c>
      <c r="E195" s="1031">
        <v>15</v>
      </c>
      <c r="F195" s="1030" t="s">
        <v>62</v>
      </c>
      <c r="G195" s="1032">
        <v>1525</v>
      </c>
      <c r="H195" s="1033">
        <f>ROUND(E195*G195,0)</f>
        <v>22875</v>
      </c>
      <c r="I195" s="1010">
        <v>13.85</v>
      </c>
      <c r="J195" s="1031" t="str">
        <f>F195</f>
        <v>Sqm</v>
      </c>
      <c r="K195" s="1033">
        <f>G195</f>
        <v>1525</v>
      </c>
      <c r="L195" s="1033">
        <f>ROUND(I195*K195,0)</f>
        <v>21121</v>
      </c>
      <c r="M195" s="1035">
        <f>IF(L195&gt;H195,L195-H195,0)</f>
        <v>0</v>
      </c>
      <c r="N195" s="1033">
        <f>IF(H195&gt;L195,H195-L195,0)</f>
        <v>1754</v>
      </c>
      <c r="O195" s="1012" t="s">
        <v>2440</v>
      </c>
      <c r="P195" s="1018" t="s">
        <v>413</v>
      </c>
      <c r="Q195" s="1013"/>
      <c r="R195" s="1014"/>
      <c r="S195" s="1058"/>
      <c r="T195" s="1058"/>
      <c r="U195" s="1063"/>
      <c r="V195" s="1063"/>
      <c r="W195" s="1063"/>
      <c r="X195" s="1058"/>
      <c r="Y195" s="1058"/>
      <c r="Z195" s="1058"/>
      <c r="AA195" s="1058"/>
      <c r="AB195" s="1058"/>
      <c r="AC195" s="1058"/>
      <c r="AD195" s="1058"/>
    </row>
    <row r="196" spans="1:30" s="1062" customFormat="1" outlineLevel="1">
      <c r="A196" s="1011"/>
      <c r="B196" s="1013" t="str">
        <f t="shared" si="12"/>
        <v/>
      </c>
      <c r="C196" s="1125"/>
      <c r="D196" s="1217" t="s">
        <v>2457</v>
      </c>
      <c r="E196" s="1011"/>
      <c r="F196" s="1011"/>
      <c r="G196" s="1035"/>
      <c r="H196" s="1035"/>
      <c r="I196" s="1010"/>
      <c r="J196" s="1011"/>
      <c r="K196" s="1035"/>
      <c r="L196" s="1035"/>
      <c r="M196" s="1035"/>
      <c r="N196" s="1035"/>
      <c r="O196" s="1012"/>
      <c r="P196" s="1018" t="s">
        <v>413</v>
      </c>
      <c r="Q196" s="1013"/>
      <c r="R196" s="1014"/>
      <c r="S196" s="1058"/>
      <c r="T196" s="1058"/>
      <c r="U196" s="1063"/>
      <c r="V196" s="1063"/>
      <c r="W196" s="1063"/>
      <c r="X196" s="1058"/>
      <c r="Y196" s="1058"/>
      <c r="Z196" s="1058"/>
      <c r="AA196" s="1058"/>
      <c r="AB196" s="1058"/>
      <c r="AC196" s="1058"/>
      <c r="AD196" s="1058"/>
    </row>
    <row r="197" spans="1:30" s="1062" customFormat="1" outlineLevel="1">
      <c r="A197" s="1011"/>
      <c r="B197" s="1013"/>
      <c r="C197" s="1125"/>
      <c r="D197" s="1217"/>
      <c r="E197" s="1011"/>
      <c r="F197" s="1011"/>
      <c r="G197" s="1035"/>
      <c r="H197" s="1035"/>
      <c r="I197" s="1010"/>
      <c r="J197" s="1011"/>
      <c r="K197" s="1035"/>
      <c r="L197" s="1035"/>
      <c r="M197" s="1035"/>
      <c r="N197" s="1035"/>
      <c r="O197" s="1012"/>
      <c r="P197" s="1018" t="s">
        <v>413</v>
      </c>
      <c r="Q197" s="1013"/>
      <c r="R197" s="1014"/>
      <c r="S197" s="1058"/>
      <c r="T197" s="1058"/>
      <c r="U197" s="1063"/>
      <c r="V197" s="1063"/>
      <c r="W197" s="1063"/>
      <c r="X197" s="1058"/>
      <c r="Y197" s="1058"/>
      <c r="Z197" s="1058"/>
      <c r="AA197" s="1058"/>
      <c r="AB197" s="1058"/>
      <c r="AC197" s="1058"/>
      <c r="AD197" s="1058"/>
    </row>
    <row r="198" spans="1:30" s="1062" customFormat="1" ht="248" outlineLevel="1">
      <c r="A198" s="1031">
        <v>67</v>
      </c>
      <c r="B198" s="1013">
        <f t="shared" si="12"/>
        <v>67</v>
      </c>
      <c r="C198" s="1125" t="str">
        <f t="shared" si="13"/>
        <v>IVF067</v>
      </c>
      <c r="D198" s="1009" t="s">
        <v>132</v>
      </c>
      <c r="E198" s="1031">
        <v>375</v>
      </c>
      <c r="F198" s="1030" t="s">
        <v>62</v>
      </c>
      <c r="G198" s="1032">
        <v>1636</v>
      </c>
      <c r="H198" s="1033">
        <f>ROUND(E198*G198,0)</f>
        <v>613500</v>
      </c>
      <c r="I198" s="1010">
        <v>316.82</v>
      </c>
      <c r="J198" s="1031" t="str">
        <f>F198</f>
        <v>Sqm</v>
      </c>
      <c r="K198" s="1033">
        <f>G198</f>
        <v>1636</v>
      </c>
      <c r="L198" s="1033">
        <f>ROUND(I198*K198,0)</f>
        <v>518318</v>
      </c>
      <c r="M198" s="1035">
        <f>IF(L198&gt;H198,L198-H198,0)</f>
        <v>0</v>
      </c>
      <c r="N198" s="1033">
        <f>IF(H198&gt;L198,H198-L198,0)</f>
        <v>95182</v>
      </c>
      <c r="O198" s="1012" t="s">
        <v>2440</v>
      </c>
      <c r="P198" s="1018" t="s">
        <v>413</v>
      </c>
      <c r="Q198" s="1013"/>
      <c r="R198" s="1014"/>
      <c r="S198" s="1058"/>
      <c r="T198" s="1058"/>
      <c r="U198" s="1063"/>
      <c r="V198" s="1063"/>
      <c r="W198" s="1063"/>
      <c r="X198" s="1058"/>
      <c r="Y198" s="1058"/>
      <c r="Z198" s="1058"/>
      <c r="AA198" s="1058"/>
      <c r="AB198" s="1058"/>
      <c r="AC198" s="1058"/>
      <c r="AD198" s="1058"/>
    </row>
    <row r="199" spans="1:30" s="1062" customFormat="1" outlineLevel="1">
      <c r="A199" s="1011"/>
      <c r="B199" s="1013" t="str">
        <f t="shared" si="12"/>
        <v/>
      </c>
      <c r="C199" s="1125"/>
      <c r="D199" s="1122" t="s">
        <v>2500</v>
      </c>
      <c r="E199" s="1011"/>
      <c r="F199" s="1011"/>
      <c r="G199" s="1035"/>
      <c r="H199" s="1035"/>
      <c r="I199" s="1010"/>
      <c r="J199" s="1011"/>
      <c r="K199" s="1035"/>
      <c r="L199" s="1035"/>
      <c r="M199" s="1035"/>
      <c r="N199" s="1035"/>
      <c r="O199" s="1012"/>
      <c r="P199" s="1018" t="s">
        <v>413</v>
      </c>
      <c r="Q199" s="1013"/>
      <c r="R199" s="1014"/>
      <c r="S199" s="1058"/>
      <c r="T199" s="1058"/>
      <c r="U199" s="1063"/>
      <c r="V199" s="1063"/>
      <c r="W199" s="1063"/>
      <c r="X199" s="1058"/>
      <c r="Y199" s="1058"/>
      <c r="Z199" s="1058"/>
      <c r="AA199" s="1058"/>
      <c r="AB199" s="1058"/>
      <c r="AC199" s="1058"/>
      <c r="AD199" s="1058"/>
    </row>
    <row r="200" spans="1:30" s="1062" customFormat="1" outlineLevel="1">
      <c r="A200" s="1011"/>
      <c r="B200" s="1013"/>
      <c r="C200" s="1125"/>
      <c r="D200" s="1122"/>
      <c r="E200" s="1011"/>
      <c r="F200" s="1011"/>
      <c r="G200" s="1035"/>
      <c r="H200" s="1035"/>
      <c r="I200" s="1010"/>
      <c r="J200" s="1011"/>
      <c r="K200" s="1035"/>
      <c r="L200" s="1035"/>
      <c r="M200" s="1035"/>
      <c r="N200" s="1035"/>
      <c r="O200" s="1214"/>
      <c r="P200" s="1018" t="s">
        <v>413</v>
      </c>
      <c r="Q200" s="1013"/>
      <c r="R200" s="1014"/>
      <c r="S200" s="1058"/>
      <c r="T200" s="1058"/>
      <c r="U200" s="1063"/>
      <c r="V200" s="1063"/>
      <c r="W200" s="1063"/>
      <c r="X200" s="1058"/>
      <c r="Y200" s="1058"/>
      <c r="Z200" s="1058"/>
      <c r="AA200" s="1058"/>
      <c r="AB200" s="1058"/>
      <c r="AC200" s="1058"/>
      <c r="AD200" s="1058"/>
    </row>
    <row r="201" spans="1:30" s="1062" customFormat="1" ht="201.5" outlineLevel="1">
      <c r="A201" s="1031">
        <v>68</v>
      </c>
      <c r="B201" s="1013">
        <f t="shared" si="12"/>
        <v>68</v>
      </c>
      <c r="C201" s="1125" t="str">
        <f t="shared" si="13"/>
        <v>IVF068</v>
      </c>
      <c r="D201" s="1009" t="s">
        <v>289</v>
      </c>
      <c r="E201" s="1031">
        <v>40</v>
      </c>
      <c r="F201" s="1030" t="s">
        <v>62</v>
      </c>
      <c r="G201" s="1032">
        <v>1423</v>
      </c>
      <c r="H201" s="1033">
        <f>ROUND(E201*G201,0)</f>
        <v>56920</v>
      </c>
      <c r="I201" s="1010">
        <v>40</v>
      </c>
      <c r="J201" s="1031" t="str">
        <f>F201</f>
        <v>Sqm</v>
      </c>
      <c r="K201" s="1033">
        <f>G201</f>
        <v>1423</v>
      </c>
      <c r="L201" s="1033">
        <f>ROUND(I201*K201,0)</f>
        <v>56920</v>
      </c>
      <c r="M201" s="1035">
        <f>IF(L201&gt;H201,L201-H201,0)</f>
        <v>0</v>
      </c>
      <c r="N201" s="1033">
        <f>IF(H201&gt;L201,H201-L201,0)</f>
        <v>0</v>
      </c>
      <c r="O201" s="1236" t="s">
        <v>2355</v>
      </c>
      <c r="P201" s="1018" t="s">
        <v>413</v>
      </c>
      <c r="Q201" s="1013"/>
      <c r="R201" s="1014"/>
      <c r="S201" s="1058"/>
      <c r="T201" s="1058"/>
      <c r="U201" s="1063"/>
      <c r="V201" s="1063"/>
      <c r="W201" s="1063"/>
      <c r="X201" s="1058"/>
      <c r="Y201" s="1058"/>
      <c r="Z201" s="1058"/>
      <c r="AA201" s="1058"/>
      <c r="AB201" s="1058"/>
      <c r="AC201" s="1058"/>
      <c r="AD201" s="1058"/>
    </row>
    <row r="202" spans="1:30" s="1072" customFormat="1" outlineLevel="1">
      <c r="A202" s="1011"/>
      <c r="B202" s="1013" t="str">
        <f t="shared" si="12"/>
        <v/>
      </c>
      <c r="C202" s="1125"/>
      <c r="D202" s="1039" t="s">
        <v>294</v>
      </c>
      <c r="E202" s="1011"/>
      <c r="F202" s="1011"/>
      <c r="G202" s="1035"/>
      <c r="H202" s="1035"/>
      <c r="I202" s="1010">
        <v>63.765999999999998</v>
      </c>
      <c r="J202" s="1011" t="s">
        <v>62</v>
      </c>
      <c r="K202" s="1032">
        <v>1423</v>
      </c>
      <c r="L202" s="1033">
        <f>ROUND(I202*K202,0)</f>
        <v>90739</v>
      </c>
      <c r="M202" s="1035">
        <f>IF(L202&gt;H202,L202-H202,0)</f>
        <v>90739</v>
      </c>
      <c r="N202" s="1033">
        <f>IF(H202&gt;L202,H202-L202,0)</f>
        <v>0</v>
      </c>
      <c r="O202" s="1237"/>
      <c r="P202" s="1018" t="s">
        <v>413</v>
      </c>
      <c r="Q202" s="1013"/>
      <c r="R202" s="1014"/>
      <c r="S202" s="1071"/>
      <c r="T202" s="1071"/>
      <c r="U202" s="1063"/>
      <c r="V202" s="1063"/>
      <c r="W202" s="1063"/>
      <c r="X202" s="1071"/>
      <c r="Y202" s="1071"/>
      <c r="Z202" s="1071"/>
      <c r="AA202" s="1071"/>
      <c r="AB202" s="1071"/>
      <c r="AC202" s="1071"/>
      <c r="AD202" s="1071"/>
    </row>
    <row r="203" spans="1:30" s="1072" customFormat="1" outlineLevel="1">
      <c r="A203" s="1011"/>
      <c r="B203" s="1013" t="str">
        <f t="shared" si="12"/>
        <v/>
      </c>
      <c r="C203" s="1125"/>
      <c r="D203" s="1217" t="s">
        <v>2458</v>
      </c>
      <c r="E203" s="1011"/>
      <c r="F203" s="1011"/>
      <c r="G203" s="1035"/>
      <c r="H203" s="1035"/>
      <c r="I203" s="1010"/>
      <c r="J203" s="1011"/>
      <c r="K203" s="1032"/>
      <c r="L203" s="1033"/>
      <c r="M203" s="1035"/>
      <c r="N203" s="1033"/>
      <c r="O203" s="1012"/>
      <c r="P203" s="1018" t="s">
        <v>413</v>
      </c>
      <c r="Q203" s="1013"/>
      <c r="R203" s="1014"/>
      <c r="S203" s="1071"/>
      <c r="T203" s="1071"/>
      <c r="U203" s="1063"/>
      <c r="V203" s="1063"/>
      <c r="W203" s="1063"/>
      <c r="X203" s="1071"/>
      <c r="Y203" s="1071"/>
      <c r="Z203" s="1071"/>
      <c r="AA203" s="1071"/>
      <c r="AB203" s="1071"/>
      <c r="AC203" s="1071"/>
      <c r="AD203" s="1071"/>
    </row>
    <row r="204" spans="1:30" s="1072" customFormat="1" outlineLevel="1">
      <c r="A204" s="1011"/>
      <c r="B204" s="1013"/>
      <c r="C204" s="1125"/>
      <c r="D204" s="1217"/>
      <c r="E204" s="1011"/>
      <c r="F204" s="1011"/>
      <c r="G204" s="1035"/>
      <c r="H204" s="1035"/>
      <c r="I204" s="1010"/>
      <c r="J204" s="1011"/>
      <c r="K204" s="1032"/>
      <c r="L204" s="1033"/>
      <c r="M204" s="1035"/>
      <c r="N204" s="1033"/>
      <c r="O204" s="1012"/>
      <c r="P204" s="1018" t="s">
        <v>413</v>
      </c>
      <c r="Q204" s="1013"/>
      <c r="R204" s="1014"/>
      <c r="S204" s="1071"/>
      <c r="T204" s="1071"/>
      <c r="U204" s="1063"/>
      <c r="V204" s="1063"/>
      <c r="W204" s="1063"/>
      <c r="X204" s="1071"/>
      <c r="Y204" s="1071"/>
      <c r="Z204" s="1071"/>
      <c r="AA204" s="1071"/>
      <c r="AB204" s="1071"/>
      <c r="AC204" s="1071"/>
      <c r="AD204" s="1071"/>
    </row>
    <row r="205" spans="1:30" s="1062" customFormat="1" ht="186" outlineLevel="1">
      <c r="A205" s="1031">
        <v>69</v>
      </c>
      <c r="B205" s="1013">
        <f t="shared" si="12"/>
        <v>69</v>
      </c>
      <c r="C205" s="1125" t="str">
        <f t="shared" si="13"/>
        <v>IVF069</v>
      </c>
      <c r="D205" s="1009" t="s">
        <v>133</v>
      </c>
      <c r="E205" s="1031">
        <v>1050</v>
      </c>
      <c r="F205" s="1030" t="s">
        <v>62</v>
      </c>
      <c r="G205" s="1032">
        <v>315</v>
      </c>
      <c r="H205" s="1033">
        <f>ROUND(E205*G205,0)</f>
        <v>330750</v>
      </c>
      <c r="I205" s="1010">
        <v>1007.64</v>
      </c>
      <c r="J205" s="1031" t="str">
        <f>F205</f>
        <v>Sqm</v>
      </c>
      <c r="K205" s="1033">
        <f>G205</f>
        <v>315</v>
      </c>
      <c r="L205" s="1033">
        <f>ROUND(I205*K205,0)</f>
        <v>317407</v>
      </c>
      <c r="M205" s="1035">
        <f>IF(L205&gt;H205,L205-H205,0)</f>
        <v>0</v>
      </c>
      <c r="N205" s="1033">
        <f>IF(H205&gt;L205,H205-L205,0)</f>
        <v>13343</v>
      </c>
      <c r="O205" s="1012" t="s">
        <v>2440</v>
      </c>
      <c r="P205" s="1018" t="s">
        <v>413</v>
      </c>
      <c r="Q205" s="1013"/>
      <c r="R205" s="1014"/>
      <c r="S205" s="1058"/>
      <c r="T205" s="1058"/>
      <c r="U205" s="1063"/>
      <c r="V205" s="1063"/>
      <c r="W205" s="1063"/>
      <c r="X205" s="1058"/>
      <c r="Y205" s="1058"/>
      <c r="Z205" s="1058"/>
      <c r="AA205" s="1058"/>
      <c r="AB205" s="1058"/>
      <c r="AC205" s="1058"/>
      <c r="AD205" s="1058"/>
    </row>
    <row r="206" spans="1:30" s="1062" customFormat="1" outlineLevel="1">
      <c r="A206" s="1011"/>
      <c r="B206" s="1013" t="str">
        <f t="shared" si="12"/>
        <v/>
      </c>
      <c r="C206" s="1125"/>
      <c r="D206" s="1122" t="s">
        <v>2498</v>
      </c>
      <c r="E206" s="1011"/>
      <c r="F206" s="1011"/>
      <c r="G206" s="1035"/>
      <c r="H206" s="1035"/>
      <c r="I206" s="1010"/>
      <c r="J206" s="1011"/>
      <c r="K206" s="1035"/>
      <c r="L206" s="1035"/>
      <c r="M206" s="1035"/>
      <c r="N206" s="1035"/>
      <c r="O206" s="1012"/>
      <c r="P206" s="1018" t="s">
        <v>413</v>
      </c>
      <c r="Q206" s="1013"/>
      <c r="R206" s="1014"/>
      <c r="S206" s="1058"/>
      <c r="T206" s="1058"/>
      <c r="U206" s="1063"/>
      <c r="V206" s="1063"/>
      <c r="W206" s="1063"/>
      <c r="X206" s="1058"/>
      <c r="Y206" s="1058"/>
      <c r="Z206" s="1058"/>
      <c r="AA206" s="1058"/>
      <c r="AB206" s="1058"/>
      <c r="AC206" s="1058"/>
      <c r="AD206" s="1058"/>
    </row>
    <row r="207" spans="1:30" s="1062" customFormat="1" outlineLevel="1">
      <c r="A207" s="1011"/>
      <c r="B207" s="1013"/>
      <c r="C207" s="1125"/>
      <c r="D207" s="1122"/>
      <c r="E207" s="1011"/>
      <c r="F207" s="1011"/>
      <c r="G207" s="1035"/>
      <c r="H207" s="1035"/>
      <c r="I207" s="1010"/>
      <c r="J207" s="1011"/>
      <c r="K207" s="1035"/>
      <c r="L207" s="1035"/>
      <c r="M207" s="1035"/>
      <c r="N207" s="1035"/>
      <c r="O207" s="1012"/>
      <c r="P207" s="1018" t="s">
        <v>413</v>
      </c>
      <c r="Q207" s="1013"/>
      <c r="R207" s="1014"/>
      <c r="S207" s="1058"/>
      <c r="T207" s="1058"/>
      <c r="U207" s="1063"/>
      <c r="V207" s="1063"/>
      <c r="W207" s="1063"/>
      <c r="X207" s="1058"/>
      <c r="Y207" s="1058"/>
      <c r="Z207" s="1058"/>
      <c r="AA207" s="1058"/>
      <c r="AB207" s="1058"/>
      <c r="AC207" s="1058"/>
      <c r="AD207" s="1058"/>
    </row>
    <row r="208" spans="1:30" s="1062" customFormat="1" ht="139.5" outlineLevel="1">
      <c r="A208" s="1031">
        <v>70</v>
      </c>
      <c r="B208" s="1013">
        <f t="shared" si="12"/>
        <v>70</v>
      </c>
      <c r="C208" s="1125" t="str">
        <f t="shared" si="13"/>
        <v>IVF070</v>
      </c>
      <c r="D208" s="1009" t="s">
        <v>290</v>
      </c>
      <c r="E208" s="1031">
        <v>80</v>
      </c>
      <c r="F208" s="1030" t="s">
        <v>62</v>
      </c>
      <c r="G208" s="1032">
        <v>281</v>
      </c>
      <c r="H208" s="1033">
        <f>ROUND(E208*G208,0)</f>
        <v>22480</v>
      </c>
      <c r="I208" s="1010">
        <v>0</v>
      </c>
      <c r="J208" s="1031" t="str">
        <f>F208</f>
        <v>Sqm</v>
      </c>
      <c r="K208" s="1033">
        <f>G208</f>
        <v>281</v>
      </c>
      <c r="L208" s="1033">
        <f>ROUND(I208*K208,0)</f>
        <v>0</v>
      </c>
      <c r="M208" s="1035">
        <f>IF(L208&gt;H208,L208-H208,0)</f>
        <v>0</v>
      </c>
      <c r="N208" s="1033">
        <f>IF(H208&gt;L208,H208-L208,0)</f>
        <v>22480</v>
      </c>
      <c r="O208" s="1012" t="s">
        <v>2438</v>
      </c>
      <c r="P208" s="1018" t="s">
        <v>413</v>
      </c>
      <c r="Q208" s="1013"/>
      <c r="R208" s="1014"/>
      <c r="S208" s="1058"/>
      <c r="T208" s="1058"/>
      <c r="U208" s="1063"/>
      <c r="V208" s="1063"/>
      <c r="W208" s="1063"/>
      <c r="X208" s="1058"/>
      <c r="Y208" s="1058"/>
      <c r="Z208" s="1058"/>
      <c r="AA208" s="1058"/>
      <c r="AB208" s="1058"/>
      <c r="AC208" s="1058"/>
      <c r="AD208" s="1058"/>
    </row>
    <row r="209" spans="1:30" s="1062" customFormat="1" outlineLevel="1">
      <c r="A209" s="1011"/>
      <c r="B209" s="1013" t="str">
        <f t="shared" si="12"/>
        <v/>
      </c>
      <c r="C209" s="1125"/>
      <c r="D209" s="1009"/>
      <c r="E209" s="1011"/>
      <c r="F209" s="1011"/>
      <c r="G209" s="1035"/>
      <c r="H209" s="1035"/>
      <c r="I209" s="1010"/>
      <c r="J209" s="1011"/>
      <c r="K209" s="1035"/>
      <c r="L209" s="1035"/>
      <c r="M209" s="1035"/>
      <c r="N209" s="1035"/>
      <c r="O209" s="1012"/>
      <c r="P209" s="1018" t="s">
        <v>413</v>
      </c>
      <c r="Q209" s="1013"/>
      <c r="R209" s="1014"/>
      <c r="S209" s="1058"/>
      <c r="T209" s="1058"/>
      <c r="U209" s="1063"/>
      <c r="V209" s="1063"/>
      <c r="W209" s="1063"/>
      <c r="X209" s="1058"/>
      <c r="Y209" s="1058"/>
      <c r="Z209" s="1058"/>
      <c r="AA209" s="1058"/>
      <c r="AB209" s="1058"/>
      <c r="AC209" s="1058"/>
      <c r="AD209" s="1058"/>
    </row>
    <row r="210" spans="1:30" s="1062" customFormat="1" ht="108.5" outlineLevel="1">
      <c r="A210" s="1031">
        <v>71</v>
      </c>
      <c r="B210" s="1013">
        <f t="shared" si="12"/>
        <v>71</v>
      </c>
      <c r="C210" s="1125" t="str">
        <f t="shared" si="13"/>
        <v>IVF071</v>
      </c>
      <c r="D210" s="1009" t="s">
        <v>134</v>
      </c>
      <c r="E210" s="1031">
        <v>1050</v>
      </c>
      <c r="F210" s="1030" t="s">
        <v>62</v>
      </c>
      <c r="G210" s="1032">
        <v>260</v>
      </c>
      <c r="H210" s="1033">
        <f>ROUND(E210*G210,0)</f>
        <v>273000</v>
      </c>
      <c r="I210" s="1010">
        <v>872.09</v>
      </c>
      <c r="J210" s="1031" t="str">
        <f>F210</f>
        <v>Sqm</v>
      </c>
      <c r="K210" s="1033">
        <f>G210</f>
        <v>260</v>
      </c>
      <c r="L210" s="1033">
        <f>ROUND(I210*K210,0)</f>
        <v>226743</v>
      </c>
      <c r="M210" s="1035">
        <f>IF(L210&gt;H210,L210-H210,0)</f>
        <v>0</v>
      </c>
      <c r="N210" s="1033">
        <f>IF(H210&gt;L210,H210-L210,0)</f>
        <v>46257</v>
      </c>
      <c r="O210" s="1012" t="s">
        <v>2353</v>
      </c>
      <c r="P210" s="1018" t="s">
        <v>413</v>
      </c>
      <c r="Q210" s="1013"/>
      <c r="R210" s="1014"/>
      <c r="S210" s="1058"/>
      <c r="T210" s="1058"/>
      <c r="U210" s="1063"/>
      <c r="V210" s="1063"/>
      <c r="W210" s="1063"/>
      <c r="X210" s="1058"/>
      <c r="Y210" s="1058"/>
      <c r="Z210" s="1058"/>
      <c r="AA210" s="1058"/>
      <c r="AB210" s="1058"/>
      <c r="AC210" s="1058"/>
      <c r="AD210" s="1058"/>
    </row>
    <row r="211" spans="1:30" s="1062" customFormat="1" outlineLevel="1">
      <c r="A211" s="1011"/>
      <c r="B211" s="1013" t="str">
        <f t="shared" si="12"/>
        <v/>
      </c>
      <c r="C211" s="1125"/>
      <c r="D211" s="1122" t="s">
        <v>2499</v>
      </c>
      <c r="E211" s="1011"/>
      <c r="F211" s="1011"/>
      <c r="G211" s="1035"/>
      <c r="H211" s="1035"/>
      <c r="I211" s="1010"/>
      <c r="J211" s="1011"/>
      <c r="K211" s="1035"/>
      <c r="L211" s="1035"/>
      <c r="M211" s="1035"/>
      <c r="N211" s="1035"/>
      <c r="O211" s="1012"/>
      <c r="P211" s="1018" t="s">
        <v>413</v>
      </c>
      <c r="Q211" s="1013"/>
      <c r="R211" s="1014"/>
      <c r="S211" s="1058"/>
      <c r="T211" s="1058"/>
      <c r="U211" s="1063"/>
      <c r="V211" s="1063"/>
      <c r="W211" s="1063"/>
      <c r="X211" s="1058"/>
      <c r="Y211" s="1058"/>
      <c r="Z211" s="1058"/>
      <c r="AA211" s="1058"/>
      <c r="AB211" s="1058"/>
      <c r="AC211" s="1058"/>
      <c r="AD211" s="1058"/>
    </row>
    <row r="212" spans="1:30" s="1062" customFormat="1" outlineLevel="1">
      <c r="A212" s="1011"/>
      <c r="B212" s="1013"/>
      <c r="C212" s="1125"/>
      <c r="D212" s="1122"/>
      <c r="E212" s="1011"/>
      <c r="F212" s="1011"/>
      <c r="G212" s="1035"/>
      <c r="H212" s="1035"/>
      <c r="I212" s="1010"/>
      <c r="J212" s="1011"/>
      <c r="K212" s="1035"/>
      <c r="L212" s="1035"/>
      <c r="M212" s="1035"/>
      <c r="N212" s="1035"/>
      <c r="O212" s="1012"/>
      <c r="P212" s="1018" t="s">
        <v>413</v>
      </c>
      <c r="Q212" s="1013"/>
      <c r="R212" s="1014"/>
      <c r="S212" s="1058"/>
      <c r="T212" s="1058"/>
      <c r="U212" s="1063"/>
      <c r="V212" s="1063"/>
      <c r="W212" s="1063"/>
      <c r="X212" s="1058"/>
      <c r="Y212" s="1058"/>
      <c r="Z212" s="1058"/>
      <c r="AA212" s="1058"/>
      <c r="AB212" s="1058"/>
      <c r="AC212" s="1058"/>
      <c r="AD212" s="1058"/>
    </row>
    <row r="213" spans="1:30" s="1062" customFormat="1" ht="124" outlineLevel="1">
      <c r="A213" s="1031">
        <v>72</v>
      </c>
      <c r="B213" s="1013">
        <f t="shared" si="12"/>
        <v>72</v>
      </c>
      <c r="C213" s="1125" t="str">
        <f t="shared" si="13"/>
        <v>IVF072</v>
      </c>
      <c r="D213" s="1161" t="s">
        <v>135</v>
      </c>
      <c r="E213" s="1031">
        <v>150</v>
      </c>
      <c r="F213" s="1030" t="s">
        <v>62</v>
      </c>
      <c r="G213" s="1032">
        <v>229</v>
      </c>
      <c r="H213" s="1033">
        <f>ROUND(E213*G213,0)</f>
        <v>34350</v>
      </c>
      <c r="I213" s="1010">
        <v>0</v>
      </c>
      <c r="J213" s="1031" t="str">
        <f>F213</f>
        <v>Sqm</v>
      </c>
      <c r="K213" s="1033">
        <f>G213</f>
        <v>229</v>
      </c>
      <c r="L213" s="1033">
        <f>ROUND(I213*K213,0)</f>
        <v>0</v>
      </c>
      <c r="M213" s="1035">
        <f>IF(L213&gt;H213,L213-H213,0)</f>
        <v>0</v>
      </c>
      <c r="N213" s="1033">
        <f>IF(H213&gt;L213,H213-L213,0)</f>
        <v>34350</v>
      </c>
      <c r="O213" s="1012"/>
      <c r="P213" s="1018" t="s">
        <v>413</v>
      </c>
      <c r="Q213" s="1013"/>
      <c r="R213" s="1014"/>
      <c r="S213" s="1058"/>
      <c r="T213" s="1058"/>
      <c r="U213" s="1063"/>
      <c r="V213" s="1063"/>
      <c r="W213" s="1063"/>
      <c r="X213" s="1058"/>
      <c r="Y213" s="1058"/>
      <c r="Z213" s="1058"/>
      <c r="AA213" s="1058"/>
      <c r="AB213" s="1058"/>
      <c r="AC213" s="1058"/>
      <c r="AD213" s="1058"/>
    </row>
    <row r="214" spans="1:30" s="1062" customFormat="1" outlineLevel="1">
      <c r="A214" s="1011"/>
      <c r="B214" s="1013" t="str">
        <f t="shared" ref="B214:B302" si="14">IF(ISBLANK(A214),"",A214)</f>
        <v/>
      </c>
      <c r="C214" s="1125"/>
      <c r="D214" s="1009"/>
      <c r="E214" s="1011"/>
      <c r="F214" s="1011"/>
      <c r="G214" s="1035"/>
      <c r="H214" s="1035"/>
      <c r="I214" s="1010"/>
      <c r="J214" s="1011"/>
      <c r="K214" s="1035"/>
      <c r="L214" s="1035"/>
      <c r="M214" s="1035"/>
      <c r="N214" s="1035"/>
      <c r="O214" s="1012"/>
      <c r="P214" s="1018" t="s">
        <v>413</v>
      </c>
      <c r="Q214" s="1013"/>
      <c r="R214" s="1014"/>
      <c r="S214" s="1058"/>
      <c r="T214" s="1058"/>
      <c r="U214" s="1063"/>
      <c r="V214" s="1063"/>
      <c r="W214" s="1063"/>
      <c r="X214" s="1058"/>
      <c r="Y214" s="1058"/>
      <c r="Z214" s="1058"/>
      <c r="AA214" s="1058"/>
      <c r="AB214" s="1058"/>
      <c r="AC214" s="1058"/>
      <c r="AD214" s="1058"/>
    </row>
    <row r="215" spans="1:30" s="1062" customFormat="1" ht="155" outlineLevel="1">
      <c r="A215" s="1031">
        <v>87</v>
      </c>
      <c r="B215" s="1013">
        <f t="shared" si="14"/>
        <v>87</v>
      </c>
      <c r="C215" s="1125" t="str">
        <f t="shared" ref="C215:C302" si="15">IF(ISBLANK(B215), "", IF(B215&lt;10, "IVF00" &amp; B215, IF(AND(B215&gt;=10, B215&lt;=99), "IVF0" &amp; B215, IF(B215&gt;99, "IVF" &amp; B215))))</f>
        <v>IVF087</v>
      </c>
      <c r="D215" s="1009" t="s">
        <v>149</v>
      </c>
      <c r="E215" s="1031">
        <v>125</v>
      </c>
      <c r="F215" s="1030" t="s">
        <v>17</v>
      </c>
      <c r="G215" s="1032">
        <v>5620</v>
      </c>
      <c r="H215" s="1033">
        <f>ROUND(E215*G215,0)</f>
        <v>702500</v>
      </c>
      <c r="I215" s="1010">
        <v>99.85</v>
      </c>
      <c r="J215" s="1031" t="str">
        <f>F215</f>
        <v>sqm</v>
      </c>
      <c r="K215" s="1033">
        <f>G215</f>
        <v>5620</v>
      </c>
      <c r="L215" s="1033">
        <f>ROUND(I215*K215,0)</f>
        <v>561157</v>
      </c>
      <c r="M215" s="1035">
        <f>IF(L215&gt;H215,L215-H215,0)</f>
        <v>0</v>
      </c>
      <c r="N215" s="1033">
        <f>IF(H215&gt;L215,H215-L215,0)</f>
        <v>141343</v>
      </c>
      <c r="O215" s="1012" t="s">
        <v>2440</v>
      </c>
      <c r="P215" s="1018" t="s">
        <v>413</v>
      </c>
      <c r="Q215" s="1013"/>
      <c r="R215" s="1014"/>
      <c r="S215" s="1058"/>
      <c r="T215" s="1058"/>
      <c r="U215" s="1063"/>
      <c r="V215" s="1063"/>
      <c r="W215" s="1063"/>
      <c r="X215" s="1058"/>
      <c r="Y215" s="1058"/>
      <c r="Z215" s="1058"/>
      <c r="AA215" s="1058"/>
      <c r="AB215" s="1058"/>
      <c r="AC215" s="1058"/>
      <c r="AD215" s="1058"/>
    </row>
    <row r="216" spans="1:30" outlineLevel="1">
      <c r="A216" s="1011"/>
      <c r="B216" s="1013" t="str">
        <f t="shared" si="14"/>
        <v/>
      </c>
      <c r="C216" s="1125"/>
      <c r="D216" s="1122" t="s">
        <v>2508</v>
      </c>
      <c r="E216" s="1011"/>
      <c r="F216" s="1011"/>
      <c r="G216" s="1035"/>
      <c r="H216" s="1035"/>
      <c r="I216" s="1010"/>
      <c r="J216" s="1011"/>
      <c r="K216" s="1035"/>
      <c r="L216" s="1035"/>
      <c r="M216" s="1035"/>
      <c r="N216" s="1035"/>
      <c r="O216" s="1012"/>
      <c r="P216" s="1018" t="s">
        <v>413</v>
      </c>
      <c r="Q216" s="1013"/>
      <c r="R216" s="1014"/>
      <c r="S216" s="1014"/>
      <c r="T216" s="1014"/>
      <c r="U216" s="1073"/>
      <c r="V216" s="1073"/>
      <c r="W216" s="1073"/>
      <c r="X216" s="1014"/>
      <c r="Y216" s="1014"/>
      <c r="Z216" s="1014"/>
      <c r="AA216" s="1014"/>
      <c r="AB216" s="1014"/>
      <c r="AC216" s="1014"/>
      <c r="AD216" s="1014"/>
    </row>
    <row r="217" spans="1:30" outlineLevel="1">
      <c r="A217" s="1011"/>
      <c r="B217" s="1013"/>
      <c r="C217" s="1125"/>
      <c r="D217" s="1122"/>
      <c r="E217" s="1011"/>
      <c r="F217" s="1011"/>
      <c r="G217" s="1035"/>
      <c r="H217" s="1035"/>
      <c r="I217" s="1010"/>
      <c r="J217" s="1011"/>
      <c r="K217" s="1035"/>
      <c r="L217" s="1035"/>
      <c r="M217" s="1035"/>
      <c r="N217" s="1035"/>
      <c r="O217" s="1012"/>
      <c r="P217" s="1018" t="s">
        <v>413</v>
      </c>
      <c r="Q217" s="1013"/>
      <c r="R217" s="1014"/>
      <c r="S217" s="1014"/>
      <c r="T217" s="1014"/>
      <c r="U217" s="1073"/>
      <c r="V217" s="1073"/>
      <c r="W217" s="1073"/>
      <c r="X217" s="1014"/>
      <c r="Y217" s="1014"/>
      <c r="Z217" s="1014"/>
      <c r="AA217" s="1014"/>
      <c r="AB217" s="1014"/>
      <c r="AC217" s="1014"/>
      <c r="AD217" s="1014"/>
    </row>
    <row r="218" spans="1:30" ht="170.5" outlineLevel="1">
      <c r="A218" s="1031">
        <v>88</v>
      </c>
      <c r="B218" s="1013">
        <f t="shared" si="14"/>
        <v>88</v>
      </c>
      <c r="C218" s="1125" t="str">
        <f t="shared" si="15"/>
        <v>IVF088</v>
      </c>
      <c r="D218" s="1009" t="s">
        <v>268</v>
      </c>
      <c r="E218" s="1031">
        <v>65</v>
      </c>
      <c r="F218" s="1030" t="s">
        <v>17</v>
      </c>
      <c r="G218" s="1032">
        <v>5135</v>
      </c>
      <c r="H218" s="1033">
        <f>ROUND(E218*G218,0)</f>
        <v>333775</v>
      </c>
      <c r="I218" s="1010">
        <v>48.88</v>
      </c>
      <c r="J218" s="1031" t="str">
        <f>F218</f>
        <v>sqm</v>
      </c>
      <c r="K218" s="1033">
        <f>G218</f>
        <v>5135</v>
      </c>
      <c r="L218" s="1033">
        <f>ROUND(I218*K218,0)</f>
        <v>250999</v>
      </c>
      <c r="M218" s="1035">
        <f>IF(L218&gt;H218,L218-H218,0)</f>
        <v>0</v>
      </c>
      <c r="N218" s="1033">
        <f>IF(H218&gt;L218,H218-L218,0)</f>
        <v>82776</v>
      </c>
      <c r="O218" s="1012" t="s">
        <v>2440</v>
      </c>
      <c r="P218" s="1018" t="s">
        <v>413</v>
      </c>
      <c r="Q218" s="1013"/>
      <c r="R218" s="1014"/>
      <c r="S218" s="1014"/>
      <c r="T218" s="1014"/>
      <c r="U218" s="1073"/>
      <c r="V218" s="1073"/>
      <c r="W218" s="1073"/>
      <c r="X218" s="1014"/>
      <c r="Y218" s="1014"/>
      <c r="Z218" s="1014"/>
      <c r="AA218" s="1014"/>
      <c r="AB218" s="1014"/>
      <c r="AC218" s="1014"/>
      <c r="AD218" s="1014"/>
    </row>
    <row r="219" spans="1:30" outlineLevel="1">
      <c r="A219" s="1011"/>
      <c r="B219" s="1013" t="str">
        <f t="shared" si="14"/>
        <v/>
      </c>
      <c r="C219" s="1125"/>
      <c r="D219" s="1122" t="s">
        <v>2509</v>
      </c>
      <c r="E219" s="1011"/>
      <c r="F219" s="1011"/>
      <c r="G219" s="1035"/>
      <c r="H219" s="1035"/>
      <c r="I219" s="1010"/>
      <c r="J219" s="1011"/>
      <c r="K219" s="1035"/>
      <c r="L219" s="1035"/>
      <c r="M219" s="1035"/>
      <c r="N219" s="1035"/>
      <c r="O219" s="1012"/>
      <c r="P219" s="1018" t="s">
        <v>413</v>
      </c>
      <c r="Q219" s="1013"/>
      <c r="R219" s="1014"/>
      <c r="S219" s="1014"/>
      <c r="T219" s="1014"/>
      <c r="U219" s="1073"/>
      <c r="V219" s="1073"/>
      <c r="W219" s="1073"/>
      <c r="X219" s="1014"/>
      <c r="Y219" s="1014"/>
      <c r="Z219" s="1014"/>
      <c r="AA219" s="1014"/>
      <c r="AB219" s="1014"/>
      <c r="AC219" s="1014"/>
      <c r="AD219" s="1014"/>
    </row>
    <row r="220" spans="1:30" outlineLevel="1">
      <c r="A220" s="1011"/>
      <c r="B220" s="1013"/>
      <c r="C220" s="1125"/>
      <c r="D220" s="1122"/>
      <c r="E220" s="1011"/>
      <c r="F220" s="1011"/>
      <c r="G220" s="1035"/>
      <c r="H220" s="1035"/>
      <c r="I220" s="1010"/>
      <c r="J220" s="1011"/>
      <c r="K220" s="1035"/>
      <c r="L220" s="1035"/>
      <c r="M220" s="1035"/>
      <c r="N220" s="1035"/>
      <c r="O220" s="1012"/>
      <c r="P220" s="1018" t="s">
        <v>413</v>
      </c>
      <c r="Q220" s="1013"/>
      <c r="R220" s="1014"/>
      <c r="S220" s="1014"/>
      <c r="T220" s="1014"/>
      <c r="U220" s="1073"/>
      <c r="V220" s="1073"/>
      <c r="W220" s="1073"/>
      <c r="X220" s="1014"/>
      <c r="Y220" s="1014"/>
      <c r="Z220" s="1014"/>
      <c r="AA220" s="1014"/>
      <c r="AB220" s="1014"/>
      <c r="AC220" s="1014"/>
      <c r="AD220" s="1014"/>
    </row>
    <row r="221" spans="1:30" ht="201.5" outlineLevel="1">
      <c r="A221" s="1031">
        <v>89</v>
      </c>
      <c r="B221" s="1013">
        <f t="shared" si="14"/>
        <v>89</v>
      </c>
      <c r="C221" s="1125" t="str">
        <f t="shared" si="15"/>
        <v>IVF089</v>
      </c>
      <c r="D221" s="1009" t="s">
        <v>150</v>
      </c>
      <c r="E221" s="1031">
        <v>5</v>
      </c>
      <c r="F221" s="1030" t="s">
        <v>66</v>
      </c>
      <c r="G221" s="1032">
        <v>46000</v>
      </c>
      <c r="H221" s="1033">
        <f>ROUND(E221*G221,0)</f>
        <v>230000</v>
      </c>
      <c r="I221" s="1010">
        <v>5</v>
      </c>
      <c r="J221" s="1031" t="str">
        <f>F221</f>
        <v>No</v>
      </c>
      <c r="K221" s="1033">
        <f>G221</f>
        <v>46000</v>
      </c>
      <c r="L221" s="1033">
        <f>ROUND(I221*K221,0)</f>
        <v>230000</v>
      </c>
      <c r="M221" s="1035">
        <f>IF(L221&gt;H221,L221-H221,0)</f>
        <v>0</v>
      </c>
      <c r="N221" s="1033">
        <f>IF(H221&gt;L221,H221-L221,0)</f>
        <v>0</v>
      </c>
      <c r="O221" s="1012" t="s">
        <v>2353</v>
      </c>
      <c r="P221" s="1018" t="s">
        <v>413</v>
      </c>
      <c r="Q221" s="1013"/>
      <c r="R221" s="1014"/>
      <c r="S221" s="1014"/>
      <c r="T221" s="1014"/>
      <c r="U221" s="1073"/>
      <c r="V221" s="1073"/>
      <c r="W221" s="1073"/>
      <c r="X221" s="1014"/>
      <c r="Y221" s="1014"/>
      <c r="Z221" s="1014"/>
      <c r="AA221" s="1014"/>
      <c r="AB221" s="1014"/>
      <c r="AC221" s="1014"/>
      <c r="AD221" s="1014"/>
    </row>
    <row r="222" spans="1:30" outlineLevel="1">
      <c r="A222" s="1011"/>
      <c r="B222" s="1013" t="str">
        <f t="shared" si="14"/>
        <v/>
      </c>
      <c r="C222" s="1125"/>
      <c r="D222" s="1122" t="s">
        <v>2511</v>
      </c>
      <c r="E222" s="1011"/>
      <c r="F222" s="1011"/>
      <c r="G222" s="1035"/>
      <c r="H222" s="1035"/>
      <c r="I222" s="1010"/>
      <c r="J222" s="1011"/>
      <c r="K222" s="1035"/>
      <c r="L222" s="1035"/>
      <c r="M222" s="1035"/>
      <c r="N222" s="1035"/>
      <c r="O222" s="1012"/>
      <c r="P222" s="1018" t="s">
        <v>413</v>
      </c>
      <c r="Q222" s="1013"/>
      <c r="R222" s="1014"/>
      <c r="S222" s="1014"/>
      <c r="T222" s="1014"/>
      <c r="U222" s="1073"/>
      <c r="V222" s="1073"/>
      <c r="W222" s="1073"/>
      <c r="X222" s="1014"/>
      <c r="Y222" s="1014"/>
      <c r="Z222" s="1014"/>
      <c r="AA222" s="1014"/>
      <c r="AB222" s="1014"/>
      <c r="AC222" s="1014"/>
      <c r="AD222" s="1014"/>
    </row>
    <row r="223" spans="1:30" outlineLevel="1">
      <c r="A223" s="1011"/>
      <c r="B223" s="1013"/>
      <c r="C223" s="1125"/>
      <c r="D223" s="1122"/>
      <c r="E223" s="1011"/>
      <c r="F223" s="1011"/>
      <c r="G223" s="1035"/>
      <c r="H223" s="1035"/>
      <c r="I223" s="1010"/>
      <c r="J223" s="1011"/>
      <c r="K223" s="1035"/>
      <c r="L223" s="1035"/>
      <c r="M223" s="1035"/>
      <c r="N223" s="1035"/>
      <c r="O223" s="1214"/>
      <c r="P223" s="1018" t="s">
        <v>413</v>
      </c>
      <c r="Q223" s="1013"/>
      <c r="R223" s="1014"/>
      <c r="S223" s="1014"/>
      <c r="T223" s="1014"/>
      <c r="U223" s="1073"/>
      <c r="V223" s="1073"/>
      <c r="W223" s="1073"/>
      <c r="X223" s="1014"/>
      <c r="Y223" s="1014"/>
      <c r="Z223" s="1014"/>
      <c r="AA223" s="1014"/>
      <c r="AB223" s="1014"/>
      <c r="AC223" s="1014"/>
      <c r="AD223" s="1014"/>
    </row>
    <row r="224" spans="1:30" ht="175.5" customHeight="1" outlineLevel="1">
      <c r="A224" s="1031">
        <v>90</v>
      </c>
      <c r="B224" s="1013">
        <f t="shared" si="14"/>
        <v>90</v>
      </c>
      <c r="C224" s="1125" t="str">
        <f t="shared" si="15"/>
        <v>IVF090</v>
      </c>
      <c r="D224" s="1009" t="s">
        <v>151</v>
      </c>
      <c r="E224" s="1031">
        <v>1</v>
      </c>
      <c r="F224" s="1030" t="s">
        <v>66</v>
      </c>
      <c r="G224" s="1032">
        <v>28700</v>
      </c>
      <c r="H224" s="1033">
        <f>ROUND(E224*G224,0)</f>
        <v>28700</v>
      </c>
      <c r="I224" s="1010">
        <v>1</v>
      </c>
      <c r="J224" s="1031" t="str">
        <f>F224</f>
        <v>No</v>
      </c>
      <c r="K224" s="1033">
        <f>G224</f>
        <v>28700</v>
      </c>
      <c r="L224" s="1033">
        <f>ROUND(I224*K224,0)</f>
        <v>28700</v>
      </c>
      <c r="M224" s="1035">
        <f>IF(L224&gt;H224,L224-H224,0)</f>
        <v>0</v>
      </c>
      <c r="N224" s="1033">
        <f>IF(H224&gt;L224,H224-L224,0)</f>
        <v>0</v>
      </c>
      <c r="O224" s="1236" t="s">
        <v>2355</v>
      </c>
      <c r="P224" s="1018" t="s">
        <v>413</v>
      </c>
      <c r="Q224" s="1013"/>
      <c r="R224" s="1014"/>
      <c r="S224" s="1014"/>
      <c r="T224" s="1014"/>
      <c r="U224" s="1073"/>
      <c r="V224" s="1073"/>
      <c r="W224" s="1073"/>
      <c r="X224" s="1014"/>
      <c r="Y224" s="1014"/>
      <c r="Z224" s="1014"/>
      <c r="AA224" s="1014"/>
      <c r="AB224" s="1014"/>
      <c r="AC224" s="1014"/>
      <c r="AD224" s="1014"/>
    </row>
    <row r="225" spans="1:30" outlineLevel="1">
      <c r="A225" s="1011"/>
      <c r="B225" s="1013" t="str">
        <f t="shared" si="14"/>
        <v/>
      </c>
      <c r="C225" s="1125"/>
      <c r="D225" s="1039" t="s">
        <v>2356</v>
      </c>
      <c r="E225" s="1011"/>
      <c r="F225" s="1011"/>
      <c r="G225" s="1035"/>
      <c r="H225" s="1035"/>
      <c r="I225" s="1010">
        <v>2</v>
      </c>
      <c r="J225" s="1031" t="s">
        <v>66</v>
      </c>
      <c r="K225" s="1032">
        <v>28700</v>
      </c>
      <c r="L225" s="1033">
        <f>ROUND(I225*K225,0)</f>
        <v>57400</v>
      </c>
      <c r="M225" s="1035">
        <f>IF(L225&gt;H225,L225-H225,0)</f>
        <v>57400</v>
      </c>
      <c r="N225" s="1033">
        <f>IF(H225&gt;L225,H225-L225,0)</f>
        <v>0</v>
      </c>
      <c r="O225" s="1237"/>
      <c r="P225" s="1018" t="s">
        <v>413</v>
      </c>
      <c r="Q225" s="1013"/>
      <c r="R225" s="1014"/>
      <c r="S225" s="1014"/>
      <c r="T225" s="1014"/>
      <c r="U225" s="1073"/>
      <c r="V225" s="1073"/>
      <c r="W225" s="1073"/>
      <c r="X225" s="1014"/>
      <c r="Y225" s="1014"/>
      <c r="Z225" s="1014"/>
      <c r="AA225" s="1014"/>
      <c r="AB225" s="1014"/>
      <c r="AC225" s="1014"/>
      <c r="AD225" s="1014"/>
    </row>
    <row r="226" spans="1:30" outlineLevel="1">
      <c r="A226" s="1011"/>
      <c r="B226" s="1013"/>
      <c r="C226" s="1125"/>
      <c r="D226" s="1122" t="s">
        <v>2511</v>
      </c>
      <c r="E226" s="1011"/>
      <c r="F226" s="1011"/>
      <c r="G226" s="1035"/>
      <c r="H226" s="1035"/>
      <c r="I226" s="1010"/>
      <c r="J226" s="1031"/>
      <c r="K226" s="1032"/>
      <c r="L226" s="1033"/>
      <c r="M226" s="1035"/>
      <c r="N226" s="1033"/>
      <c r="O226" s="1215"/>
      <c r="P226" s="1018" t="s">
        <v>413</v>
      </c>
      <c r="Q226" s="1013"/>
      <c r="R226" s="1014"/>
      <c r="S226" s="1014"/>
      <c r="T226" s="1014"/>
      <c r="U226" s="1073"/>
      <c r="V226" s="1073"/>
      <c r="W226" s="1073"/>
      <c r="X226" s="1014"/>
      <c r="Y226" s="1014"/>
      <c r="Z226" s="1014"/>
      <c r="AA226" s="1014"/>
      <c r="AB226" s="1014"/>
      <c r="AC226" s="1014"/>
      <c r="AD226" s="1014"/>
    </row>
    <row r="227" spans="1:30" outlineLevel="1">
      <c r="A227" s="1011"/>
      <c r="B227" s="1013"/>
      <c r="C227" s="1125"/>
      <c r="D227" s="1039"/>
      <c r="E227" s="1011"/>
      <c r="F227" s="1011"/>
      <c r="G227" s="1035"/>
      <c r="H227" s="1035"/>
      <c r="I227" s="1010"/>
      <c r="J227" s="1031"/>
      <c r="K227" s="1032"/>
      <c r="L227" s="1033"/>
      <c r="M227" s="1035"/>
      <c r="N227" s="1033"/>
      <c r="O227" s="1215"/>
      <c r="P227" s="1018" t="s">
        <v>413</v>
      </c>
      <c r="Q227" s="1013"/>
      <c r="R227" s="1014"/>
      <c r="S227" s="1014"/>
      <c r="T227" s="1014"/>
      <c r="U227" s="1073"/>
      <c r="V227" s="1073"/>
      <c r="W227" s="1073"/>
      <c r="X227" s="1014"/>
      <c r="Y227" s="1014"/>
      <c r="Z227" s="1014"/>
      <c r="AA227" s="1014"/>
      <c r="AB227" s="1014"/>
      <c r="AC227" s="1014"/>
      <c r="AD227" s="1014"/>
    </row>
    <row r="228" spans="1:30" ht="201.5" outlineLevel="1">
      <c r="A228" s="1031">
        <v>91</v>
      </c>
      <c r="B228" s="1013">
        <f t="shared" si="14"/>
        <v>91</v>
      </c>
      <c r="C228" s="1125" t="str">
        <f t="shared" si="15"/>
        <v>IVF091</v>
      </c>
      <c r="D228" s="1009" t="s">
        <v>152</v>
      </c>
      <c r="E228" s="1031">
        <v>1</v>
      </c>
      <c r="F228" s="1030" t="s">
        <v>66</v>
      </c>
      <c r="G228" s="1032">
        <v>55000</v>
      </c>
      <c r="H228" s="1033">
        <f>ROUND(E228*G228,0)</f>
        <v>55000</v>
      </c>
      <c r="I228" s="1010">
        <v>1</v>
      </c>
      <c r="J228" s="1031" t="str">
        <f>F228</f>
        <v>No</v>
      </c>
      <c r="K228" s="1033">
        <f>G228</f>
        <v>55000</v>
      </c>
      <c r="L228" s="1033">
        <f>ROUND(I228*K228,0)</f>
        <v>55000</v>
      </c>
      <c r="M228" s="1035">
        <f>IF(L228&gt;H228,L228-H228,0)</f>
        <v>0</v>
      </c>
      <c r="N228" s="1033">
        <f>IF(H228&gt;L228,H228-L228,0)</f>
        <v>0</v>
      </c>
      <c r="O228" s="1012" t="s">
        <v>2353</v>
      </c>
      <c r="P228" s="1018" t="s">
        <v>413</v>
      </c>
      <c r="Q228" s="1013"/>
      <c r="R228" s="1014"/>
      <c r="S228" s="1014"/>
      <c r="T228" s="1014"/>
      <c r="U228" s="1073"/>
      <c r="V228" s="1073"/>
      <c r="W228" s="1073"/>
      <c r="X228" s="1014"/>
      <c r="Y228" s="1014"/>
      <c r="Z228" s="1014"/>
      <c r="AA228" s="1014"/>
      <c r="AB228" s="1014"/>
      <c r="AC228" s="1014"/>
      <c r="AD228" s="1014"/>
    </row>
    <row r="229" spans="1:30" outlineLevel="1">
      <c r="A229" s="1011"/>
      <c r="B229" s="1013" t="str">
        <f t="shared" si="14"/>
        <v/>
      </c>
      <c r="C229" s="1125"/>
      <c r="D229" s="1122" t="s">
        <v>2512</v>
      </c>
      <c r="E229" s="1011"/>
      <c r="F229" s="1011"/>
      <c r="G229" s="1035"/>
      <c r="H229" s="1035"/>
      <c r="I229" s="1010"/>
      <c r="J229" s="1011"/>
      <c r="K229" s="1035"/>
      <c r="L229" s="1035"/>
      <c r="M229" s="1035"/>
      <c r="N229" s="1035"/>
      <c r="O229" s="1012"/>
      <c r="P229" s="1018" t="s">
        <v>413</v>
      </c>
      <c r="Q229" s="1013"/>
      <c r="R229" s="1014"/>
      <c r="S229" s="1014"/>
      <c r="T229" s="1014"/>
      <c r="U229" s="1073"/>
      <c r="V229" s="1073"/>
      <c r="W229" s="1073"/>
      <c r="X229" s="1014"/>
      <c r="Y229" s="1014"/>
      <c r="Z229" s="1014"/>
      <c r="AA229" s="1014"/>
      <c r="AB229" s="1014"/>
      <c r="AC229" s="1014"/>
      <c r="AD229" s="1014"/>
    </row>
    <row r="230" spans="1:30" outlineLevel="1">
      <c r="A230" s="1011"/>
      <c r="B230" s="1013"/>
      <c r="C230" s="1125"/>
      <c r="D230" s="1122"/>
      <c r="E230" s="1011"/>
      <c r="F230" s="1011"/>
      <c r="G230" s="1035"/>
      <c r="H230" s="1035"/>
      <c r="I230" s="1010"/>
      <c r="J230" s="1011"/>
      <c r="K230" s="1035"/>
      <c r="L230" s="1035"/>
      <c r="M230" s="1035"/>
      <c r="N230" s="1035"/>
      <c r="O230" s="1012"/>
      <c r="P230" s="1018" t="s">
        <v>413</v>
      </c>
      <c r="Q230" s="1013"/>
      <c r="R230" s="1014"/>
      <c r="S230" s="1014"/>
      <c r="T230" s="1014"/>
      <c r="U230" s="1073"/>
      <c r="V230" s="1073"/>
      <c r="W230" s="1073"/>
      <c r="X230" s="1014"/>
      <c r="Y230" s="1014"/>
      <c r="Z230" s="1014"/>
      <c r="AA230" s="1014"/>
      <c r="AB230" s="1014"/>
      <c r="AC230" s="1014"/>
      <c r="AD230" s="1014"/>
    </row>
    <row r="231" spans="1:30" ht="46.5" outlineLevel="1">
      <c r="A231" s="1031">
        <v>92</v>
      </c>
      <c r="B231" s="1013">
        <f t="shared" si="14"/>
        <v>92</v>
      </c>
      <c r="C231" s="1125" t="str">
        <f t="shared" si="15"/>
        <v>IVF092</v>
      </c>
      <c r="D231" s="1009" t="s">
        <v>153</v>
      </c>
      <c r="E231" s="1031">
        <v>120</v>
      </c>
      <c r="F231" s="1030" t="s">
        <v>60</v>
      </c>
      <c r="G231" s="1032">
        <v>585</v>
      </c>
      <c r="H231" s="1033">
        <f>ROUND(E231*G231,0)</f>
        <v>70200</v>
      </c>
      <c r="I231" s="1010">
        <v>72</v>
      </c>
      <c r="J231" s="1031" t="str">
        <f>F231</f>
        <v>Rmt</v>
      </c>
      <c r="K231" s="1033">
        <f>G231</f>
        <v>585</v>
      </c>
      <c r="L231" s="1033">
        <f>ROUND(I231*K231,0)</f>
        <v>42120</v>
      </c>
      <c r="M231" s="1035">
        <f>IF(L231&gt;H231,L231-H231,0)</f>
        <v>0</v>
      </c>
      <c r="N231" s="1033">
        <f>IF(H231&gt;L231,H231-L231,0)</f>
        <v>28080</v>
      </c>
      <c r="O231" s="1012" t="s">
        <v>2440</v>
      </c>
      <c r="P231" s="1018" t="s">
        <v>413</v>
      </c>
      <c r="Q231" s="1013"/>
      <c r="R231" s="1014"/>
      <c r="S231" s="1014"/>
      <c r="T231" s="1014"/>
      <c r="U231" s="1073"/>
      <c r="V231" s="1073"/>
      <c r="W231" s="1073"/>
      <c r="X231" s="1014"/>
      <c r="Y231" s="1014"/>
      <c r="Z231" s="1014"/>
      <c r="AA231" s="1014"/>
      <c r="AB231" s="1014"/>
      <c r="AC231" s="1014"/>
      <c r="AD231" s="1014"/>
    </row>
    <row r="232" spans="1:30" outlineLevel="1">
      <c r="A232" s="1011"/>
      <c r="B232" s="1013" t="str">
        <f t="shared" si="14"/>
        <v/>
      </c>
      <c r="C232" s="1125"/>
      <c r="D232" s="1122" t="s">
        <v>2510</v>
      </c>
      <c r="E232" s="1011"/>
      <c r="F232" s="1011"/>
      <c r="G232" s="1035"/>
      <c r="H232" s="1035"/>
      <c r="I232" s="1010"/>
      <c r="J232" s="1011"/>
      <c r="K232" s="1035"/>
      <c r="L232" s="1035"/>
      <c r="M232" s="1035"/>
      <c r="N232" s="1035"/>
      <c r="O232" s="1012"/>
      <c r="P232" s="1018" t="s">
        <v>413</v>
      </c>
      <c r="Q232" s="1013"/>
      <c r="R232" s="1014"/>
      <c r="S232" s="1014"/>
      <c r="T232" s="1014"/>
      <c r="U232" s="1073"/>
      <c r="V232" s="1073"/>
      <c r="W232" s="1073"/>
      <c r="X232" s="1014"/>
      <c r="Y232" s="1014"/>
      <c r="Z232" s="1014"/>
      <c r="AA232" s="1014"/>
      <c r="AB232" s="1014"/>
      <c r="AC232" s="1014"/>
      <c r="AD232" s="1014"/>
    </row>
    <row r="233" spans="1:30" outlineLevel="1">
      <c r="A233" s="1011"/>
      <c r="B233" s="1013"/>
      <c r="C233" s="1125"/>
      <c r="D233" s="1122"/>
      <c r="E233" s="1011"/>
      <c r="F233" s="1011"/>
      <c r="G233" s="1035"/>
      <c r="H233" s="1035"/>
      <c r="I233" s="1010"/>
      <c r="J233" s="1011"/>
      <c r="K233" s="1035"/>
      <c r="L233" s="1035"/>
      <c r="M233" s="1035"/>
      <c r="N233" s="1035"/>
      <c r="O233" s="1012"/>
      <c r="P233" s="1018" t="s">
        <v>413</v>
      </c>
      <c r="Q233" s="1013"/>
      <c r="R233" s="1014"/>
      <c r="S233" s="1014"/>
      <c r="T233" s="1014"/>
      <c r="U233" s="1073"/>
      <c r="V233" s="1073"/>
      <c r="W233" s="1073"/>
      <c r="X233" s="1014"/>
      <c r="Y233" s="1014"/>
      <c r="Z233" s="1014"/>
      <c r="AA233" s="1014"/>
      <c r="AB233" s="1014"/>
      <c r="AC233" s="1014"/>
      <c r="AD233" s="1014"/>
    </row>
    <row r="234" spans="1:30" s="1070" customFormat="1" ht="108.5" outlineLevel="1">
      <c r="A234" s="1031">
        <v>93</v>
      </c>
      <c r="B234" s="1013">
        <f t="shared" si="14"/>
        <v>93</v>
      </c>
      <c r="C234" s="1125" t="str">
        <f t="shared" si="15"/>
        <v>IVF093</v>
      </c>
      <c r="D234" s="1009" t="s">
        <v>291</v>
      </c>
      <c r="E234" s="1031">
        <v>155</v>
      </c>
      <c r="F234" s="1030" t="s">
        <v>62</v>
      </c>
      <c r="G234" s="1032">
        <v>4070</v>
      </c>
      <c r="H234" s="1033">
        <f>ROUND(E234*G234,0)</f>
        <v>630850</v>
      </c>
      <c r="I234" s="1010">
        <v>125.11</v>
      </c>
      <c r="J234" s="1031" t="str">
        <f>F234</f>
        <v>Sqm</v>
      </c>
      <c r="K234" s="1033">
        <f>G234</f>
        <v>4070</v>
      </c>
      <c r="L234" s="1033">
        <f>ROUND(I234*K234,0)</f>
        <v>509198</v>
      </c>
      <c r="M234" s="1035">
        <f>IF(L234&gt;H234,L234-H234,0)</f>
        <v>0</v>
      </c>
      <c r="N234" s="1033">
        <f>IF(H234&gt;L234,H234-L234,0)</f>
        <v>121652</v>
      </c>
      <c r="O234" s="1012" t="s">
        <v>2440</v>
      </c>
      <c r="P234" s="1018" t="s">
        <v>413</v>
      </c>
      <c r="Q234" s="1013"/>
      <c r="R234" s="1014"/>
      <c r="S234" s="1068"/>
      <c r="T234" s="1068"/>
      <c r="U234" s="1069"/>
      <c r="V234" s="1069"/>
      <c r="W234" s="1069"/>
      <c r="X234" s="1068"/>
      <c r="Y234" s="1068"/>
      <c r="Z234" s="1068"/>
      <c r="AA234" s="1068"/>
      <c r="AB234" s="1068"/>
      <c r="AC234" s="1068"/>
      <c r="AD234" s="1068"/>
    </row>
    <row r="235" spans="1:30" outlineLevel="1">
      <c r="A235" s="1011"/>
      <c r="B235" s="1013" t="str">
        <f t="shared" si="14"/>
        <v/>
      </c>
      <c r="C235" s="1125"/>
      <c r="D235" s="1122" t="s">
        <v>2501</v>
      </c>
      <c r="E235" s="1011"/>
      <c r="F235" s="1011"/>
      <c r="G235" s="1035"/>
      <c r="H235" s="1035"/>
      <c r="I235" s="1010"/>
      <c r="J235" s="1011"/>
      <c r="K235" s="1035"/>
      <c r="L235" s="1035"/>
      <c r="M235" s="1035"/>
      <c r="N235" s="1035"/>
      <c r="O235" s="1012"/>
      <c r="P235" s="1018" t="s">
        <v>413</v>
      </c>
      <c r="Q235" s="1013"/>
      <c r="R235" s="1014"/>
      <c r="S235" s="1014"/>
      <c r="T235" s="1014"/>
      <c r="U235" s="1073"/>
      <c r="V235" s="1073"/>
      <c r="W235" s="1073"/>
      <c r="X235" s="1014"/>
      <c r="Y235" s="1014"/>
      <c r="Z235" s="1014"/>
      <c r="AA235" s="1014"/>
      <c r="AB235" s="1014"/>
      <c r="AC235" s="1014"/>
      <c r="AD235" s="1014"/>
    </row>
    <row r="236" spans="1:30" outlineLevel="1">
      <c r="A236" s="1011"/>
      <c r="B236" s="1013"/>
      <c r="C236" s="1125"/>
      <c r="D236" s="1122"/>
      <c r="E236" s="1011"/>
      <c r="F236" s="1011"/>
      <c r="G236" s="1035"/>
      <c r="H236" s="1035"/>
      <c r="I236" s="1010"/>
      <c r="J236" s="1011"/>
      <c r="K236" s="1035"/>
      <c r="L236" s="1035"/>
      <c r="M236" s="1035"/>
      <c r="N236" s="1035"/>
      <c r="O236" s="1012"/>
      <c r="P236" s="1018" t="s">
        <v>413</v>
      </c>
      <c r="Q236" s="1013"/>
      <c r="R236" s="1014"/>
      <c r="S236" s="1014"/>
      <c r="T236" s="1014"/>
      <c r="U236" s="1073"/>
      <c r="V236" s="1073"/>
      <c r="W236" s="1073"/>
      <c r="X236" s="1014"/>
      <c r="Y236" s="1014"/>
      <c r="Z236" s="1014"/>
      <c r="AA236" s="1014"/>
      <c r="AB236" s="1014"/>
      <c r="AC236" s="1014"/>
      <c r="AD236" s="1014"/>
    </row>
    <row r="237" spans="1:30" ht="46.5" outlineLevel="1">
      <c r="A237" s="1031">
        <v>94</v>
      </c>
      <c r="B237" s="1013">
        <f t="shared" si="14"/>
        <v>94</v>
      </c>
      <c r="C237" s="1125" t="str">
        <f t="shared" si="15"/>
        <v>IVF094</v>
      </c>
      <c r="D237" s="1009" t="s">
        <v>2357</v>
      </c>
      <c r="E237" s="1031">
        <v>1</v>
      </c>
      <c r="F237" s="1030" t="s">
        <v>66</v>
      </c>
      <c r="G237" s="1032">
        <v>355000</v>
      </c>
      <c r="H237" s="1033">
        <f>ROUND(E237*G237,0)</f>
        <v>355000</v>
      </c>
      <c r="I237" s="1010">
        <v>1</v>
      </c>
      <c r="J237" s="1031" t="str">
        <f>F237</f>
        <v>No</v>
      </c>
      <c r="K237" s="1033">
        <f>G237</f>
        <v>355000</v>
      </c>
      <c r="L237" s="1033">
        <f>ROUND(I237*K237,0)</f>
        <v>355000</v>
      </c>
      <c r="M237" s="1035">
        <f>IF(L237&gt;H237,L237-H237,0)</f>
        <v>0</v>
      </c>
      <c r="N237" s="1033">
        <f>IF(H237&gt;L237,H237-L237,0)</f>
        <v>0</v>
      </c>
      <c r="O237" s="1012" t="s">
        <v>2353</v>
      </c>
      <c r="P237" s="1018" t="s">
        <v>413</v>
      </c>
      <c r="Q237" s="1013"/>
      <c r="R237" s="1014"/>
      <c r="S237" s="1014"/>
      <c r="T237" s="1014"/>
      <c r="U237" s="1073"/>
      <c r="V237" s="1073"/>
      <c r="W237" s="1073"/>
      <c r="X237" s="1014"/>
      <c r="Y237" s="1014"/>
      <c r="Z237" s="1014"/>
      <c r="AA237" s="1014"/>
      <c r="AB237" s="1014"/>
      <c r="AC237" s="1014"/>
      <c r="AD237" s="1014"/>
    </row>
    <row r="238" spans="1:30" outlineLevel="1">
      <c r="A238" s="1011"/>
      <c r="B238" s="1013" t="str">
        <f t="shared" si="14"/>
        <v/>
      </c>
      <c r="C238" s="1125"/>
      <c r="D238" s="1122" t="s">
        <v>2493</v>
      </c>
      <c r="E238" s="1011"/>
      <c r="F238" s="1011"/>
      <c r="G238" s="1035"/>
      <c r="H238" s="1035"/>
      <c r="I238" s="1010"/>
      <c r="J238" s="1011"/>
      <c r="K238" s="1035"/>
      <c r="L238" s="1035"/>
      <c r="M238" s="1035"/>
      <c r="N238" s="1035"/>
      <c r="O238" s="1012"/>
      <c r="P238" s="1018" t="s">
        <v>413</v>
      </c>
      <c r="Q238" s="1013"/>
      <c r="R238" s="1014"/>
      <c r="S238" s="1014"/>
      <c r="T238" s="1014"/>
      <c r="U238" s="1073"/>
      <c r="V238" s="1073"/>
      <c r="W238" s="1073"/>
      <c r="X238" s="1014"/>
      <c r="Y238" s="1014"/>
      <c r="Z238" s="1014"/>
      <c r="AA238" s="1014"/>
      <c r="AB238" s="1014"/>
      <c r="AC238" s="1014"/>
      <c r="AD238" s="1014"/>
    </row>
    <row r="239" spans="1:30" outlineLevel="1">
      <c r="A239" s="1011"/>
      <c r="B239" s="1013"/>
      <c r="C239" s="1125"/>
      <c r="D239" s="1122"/>
      <c r="E239" s="1011"/>
      <c r="F239" s="1011"/>
      <c r="G239" s="1035"/>
      <c r="H239" s="1035"/>
      <c r="I239" s="1010"/>
      <c r="J239" s="1011"/>
      <c r="K239" s="1035"/>
      <c r="L239" s="1035"/>
      <c r="M239" s="1035"/>
      <c r="N239" s="1035"/>
      <c r="O239" s="1012"/>
      <c r="P239" s="1018" t="s">
        <v>413</v>
      </c>
      <c r="Q239" s="1013"/>
      <c r="R239" s="1014"/>
      <c r="S239" s="1014"/>
      <c r="T239" s="1014"/>
      <c r="U239" s="1073"/>
      <c r="V239" s="1073"/>
      <c r="W239" s="1073"/>
      <c r="X239" s="1014"/>
      <c r="Y239" s="1014"/>
      <c r="Z239" s="1014"/>
      <c r="AA239" s="1014"/>
      <c r="AB239" s="1014"/>
      <c r="AC239" s="1014"/>
      <c r="AD239" s="1014"/>
    </row>
    <row r="240" spans="1:30" ht="77.5" outlineLevel="1">
      <c r="A240" s="1031">
        <v>95</v>
      </c>
      <c r="B240" s="1013">
        <f t="shared" si="14"/>
        <v>95</v>
      </c>
      <c r="C240" s="1125" t="str">
        <f t="shared" si="15"/>
        <v>IVF095</v>
      </c>
      <c r="D240" s="1009" t="s">
        <v>154</v>
      </c>
      <c r="E240" s="1031">
        <v>3</v>
      </c>
      <c r="F240" s="1030" t="s">
        <v>66</v>
      </c>
      <c r="G240" s="1032">
        <v>61000</v>
      </c>
      <c r="H240" s="1033">
        <f>ROUND(E240*G240,0)</f>
        <v>183000</v>
      </c>
      <c r="I240" s="1010">
        <v>3</v>
      </c>
      <c r="J240" s="1031" t="str">
        <f>F240</f>
        <v>No</v>
      </c>
      <c r="K240" s="1033">
        <f>G240</f>
        <v>61000</v>
      </c>
      <c r="L240" s="1033">
        <f>ROUND(I240*K240,0)</f>
        <v>183000</v>
      </c>
      <c r="M240" s="1035">
        <f>IF(L240&gt;H240,L240-H240,0)</f>
        <v>0</v>
      </c>
      <c r="N240" s="1033">
        <f>IF(H240&gt;L240,H240-L240,0)</f>
        <v>0</v>
      </c>
      <c r="O240" s="1012" t="s">
        <v>2353</v>
      </c>
      <c r="P240" s="1018" t="s">
        <v>413</v>
      </c>
      <c r="Q240" s="1013"/>
      <c r="R240" s="1014"/>
      <c r="S240" s="1014"/>
      <c r="T240" s="1014"/>
      <c r="U240" s="1073"/>
      <c r="V240" s="1073"/>
      <c r="W240" s="1073"/>
      <c r="X240" s="1014"/>
      <c r="Y240" s="1014"/>
      <c r="Z240" s="1014"/>
      <c r="AA240" s="1014"/>
      <c r="AB240" s="1014"/>
      <c r="AC240" s="1014"/>
      <c r="AD240" s="1014"/>
    </row>
    <row r="241" spans="1:30" outlineLevel="1">
      <c r="A241" s="1011"/>
      <c r="B241" s="1013" t="str">
        <f t="shared" si="14"/>
        <v/>
      </c>
      <c r="C241" s="1125"/>
      <c r="D241" s="1122" t="s">
        <v>2494</v>
      </c>
      <c r="E241" s="1011"/>
      <c r="F241" s="1011"/>
      <c r="G241" s="1035"/>
      <c r="H241" s="1035"/>
      <c r="I241" s="1010"/>
      <c r="J241" s="1011"/>
      <c r="K241" s="1035"/>
      <c r="L241" s="1035"/>
      <c r="M241" s="1035"/>
      <c r="N241" s="1035"/>
      <c r="O241" s="1012"/>
      <c r="P241" s="1018" t="s">
        <v>413</v>
      </c>
      <c r="Q241" s="1013"/>
      <c r="R241" s="1014"/>
      <c r="S241" s="1014"/>
      <c r="T241" s="1014"/>
      <c r="U241" s="1073"/>
      <c r="V241" s="1073"/>
      <c r="W241" s="1073"/>
      <c r="X241" s="1014"/>
      <c r="Y241" s="1014"/>
      <c r="Z241" s="1014"/>
      <c r="AA241" s="1014"/>
      <c r="AB241" s="1014"/>
      <c r="AC241" s="1014"/>
      <c r="AD241" s="1014"/>
    </row>
    <row r="242" spans="1:30" outlineLevel="1">
      <c r="A242" s="1011"/>
      <c r="B242" s="1013"/>
      <c r="C242" s="1125"/>
      <c r="D242" s="1122"/>
      <c r="E242" s="1011"/>
      <c r="F242" s="1011"/>
      <c r="G242" s="1035"/>
      <c r="H242" s="1035"/>
      <c r="I242" s="1010"/>
      <c r="J242" s="1011"/>
      <c r="K242" s="1035"/>
      <c r="L242" s="1035"/>
      <c r="M242" s="1035"/>
      <c r="N242" s="1035"/>
      <c r="O242" s="1012"/>
      <c r="P242" s="1018" t="s">
        <v>413</v>
      </c>
      <c r="Q242" s="1013"/>
      <c r="R242" s="1014"/>
      <c r="S242" s="1014"/>
      <c r="T242" s="1014"/>
      <c r="U242" s="1073"/>
      <c r="V242" s="1073"/>
      <c r="W242" s="1073"/>
      <c r="X242" s="1014"/>
      <c r="Y242" s="1014"/>
      <c r="Z242" s="1014"/>
      <c r="AA242" s="1014"/>
      <c r="AB242" s="1014"/>
      <c r="AC242" s="1014"/>
      <c r="AD242" s="1014"/>
    </row>
    <row r="243" spans="1:30" ht="21" customHeight="1">
      <c r="A243" s="1011"/>
      <c r="B243" s="1013" t="str">
        <f t="shared" si="14"/>
        <v/>
      </c>
      <c r="C243" s="1125"/>
      <c r="D243" s="1074"/>
      <c r="E243" s="1011"/>
      <c r="F243" s="1011"/>
      <c r="G243" s="1035"/>
      <c r="H243" s="1035"/>
      <c r="I243" s="1010"/>
      <c r="J243" s="1011"/>
      <c r="K243" s="1075" t="s">
        <v>405</v>
      </c>
      <c r="L243" s="1076">
        <f>SUM(L146:L241)</f>
        <v>5592765</v>
      </c>
      <c r="M243" s="1076">
        <f>SUM(M146:M241)</f>
        <v>459997</v>
      </c>
      <c r="N243" s="1076">
        <f>SUM(N146:N241)</f>
        <v>2298785</v>
      </c>
      <c r="O243" s="1012"/>
      <c r="P243" s="1018"/>
      <c r="Q243" s="1013"/>
      <c r="R243" s="1014"/>
      <c r="S243" s="1014"/>
      <c r="T243" s="1014"/>
      <c r="U243" s="1073"/>
      <c r="V243" s="1073"/>
      <c r="W243" s="1073"/>
      <c r="X243" s="1014"/>
      <c r="Y243" s="1014"/>
      <c r="Z243" s="1014"/>
      <c r="AA243" s="1014"/>
      <c r="AB243" s="1014"/>
      <c r="AC243" s="1014"/>
      <c r="AD243" s="1014"/>
    </row>
    <row r="244" spans="1:30" ht="17.5">
      <c r="A244" s="1031"/>
      <c r="B244" s="1013" t="str">
        <f t="shared" si="14"/>
        <v/>
      </c>
      <c r="C244" s="1125"/>
      <c r="D244" s="1077" t="s">
        <v>274</v>
      </c>
      <c r="E244" s="1031"/>
      <c r="F244" s="1030"/>
      <c r="G244" s="1032"/>
      <c r="H244" s="1033"/>
      <c r="I244" s="1010"/>
      <c r="J244" s="1031"/>
      <c r="K244" s="1051"/>
      <c r="L244" s="1051"/>
      <c r="M244" s="1052"/>
      <c r="N244" s="1051"/>
      <c r="O244" s="1012"/>
      <c r="P244" s="1018"/>
      <c r="Q244" s="1013"/>
      <c r="R244" s="1014"/>
      <c r="S244" s="1014"/>
      <c r="T244" s="1014"/>
      <c r="U244" s="1073"/>
      <c r="V244" s="1073"/>
      <c r="W244" s="1073"/>
      <c r="X244" s="1014"/>
      <c r="Y244" s="1014"/>
      <c r="Z244" s="1014"/>
      <c r="AA244" s="1014"/>
      <c r="AB244" s="1014"/>
      <c r="AC244" s="1014"/>
      <c r="AD244" s="1014" t="e">
        <f>#REF!*6</f>
        <v>#REF!</v>
      </c>
    </row>
    <row r="245" spans="1:30" ht="108.5" outlineLevel="1">
      <c r="A245" s="1031">
        <v>73</v>
      </c>
      <c r="B245" s="1013">
        <f t="shared" si="14"/>
        <v>73</v>
      </c>
      <c r="C245" s="1125" t="str">
        <f t="shared" si="15"/>
        <v>IVF073</v>
      </c>
      <c r="D245" s="1009" t="s">
        <v>293</v>
      </c>
      <c r="E245" s="1031">
        <v>5</v>
      </c>
      <c r="F245" s="1030" t="s">
        <v>66</v>
      </c>
      <c r="G245" s="1032">
        <v>881</v>
      </c>
      <c r="H245" s="1033">
        <f>ROUND(E245*G245,0)</f>
        <v>4405</v>
      </c>
      <c r="I245" s="1010">
        <v>1</v>
      </c>
      <c r="J245" s="1031" t="str">
        <f>F245</f>
        <v>No</v>
      </c>
      <c r="K245" s="1033">
        <f>G245</f>
        <v>881</v>
      </c>
      <c r="L245" s="1033">
        <f>ROUND(I245*K245,0)</f>
        <v>881</v>
      </c>
      <c r="M245" s="1035">
        <f>IF(L245&gt;H245,L245-H245,0)</f>
        <v>0</v>
      </c>
      <c r="N245" s="1033">
        <f>IF(H245&gt;L245,H245-L245,0)</f>
        <v>3524</v>
      </c>
      <c r="O245" s="1012" t="s">
        <v>2440</v>
      </c>
      <c r="P245" s="1018" t="s">
        <v>414</v>
      </c>
      <c r="Q245" s="1013"/>
      <c r="R245" s="1014"/>
      <c r="S245" s="1014"/>
      <c r="T245" s="1014"/>
      <c r="U245" s="1073"/>
      <c r="V245" s="1073"/>
      <c r="W245" s="1073"/>
      <c r="X245" s="1014"/>
      <c r="Y245" s="1014"/>
      <c r="Z245" s="1014"/>
      <c r="AA245" s="1014"/>
      <c r="AB245" s="1014">
        <v>0.63</v>
      </c>
      <c r="AC245" s="1014"/>
      <c r="AD245" s="1014"/>
    </row>
    <row r="246" spans="1:30" outlineLevel="1">
      <c r="A246" s="1011"/>
      <c r="B246" s="1013" t="str">
        <f t="shared" si="14"/>
        <v/>
      </c>
      <c r="C246" s="1125"/>
      <c r="D246" s="1122" t="s">
        <v>2517</v>
      </c>
      <c r="E246" s="1011"/>
      <c r="F246" s="1011"/>
      <c r="G246" s="1035"/>
      <c r="H246" s="1035"/>
      <c r="I246" s="1010"/>
      <c r="J246" s="1011"/>
      <c r="K246" s="1035"/>
      <c r="L246" s="1035"/>
      <c r="M246" s="1035"/>
      <c r="N246" s="1035"/>
      <c r="O246" s="1012"/>
      <c r="P246" s="1018" t="s">
        <v>414</v>
      </c>
      <c r="Q246" s="1013"/>
      <c r="R246" s="1014"/>
      <c r="S246" s="1014"/>
      <c r="T246" s="1014"/>
      <c r="U246" s="1041"/>
      <c r="V246" s="1037"/>
      <c r="W246" s="1038"/>
      <c r="X246" s="1042"/>
      <c r="Y246" s="1014"/>
      <c r="Z246" s="1014"/>
      <c r="AA246" s="1014"/>
      <c r="AB246" s="1014"/>
      <c r="AC246" s="1014"/>
      <c r="AD246" s="1014"/>
    </row>
    <row r="247" spans="1:30" outlineLevel="1">
      <c r="A247" s="1011"/>
      <c r="B247" s="1013"/>
      <c r="C247" s="1125"/>
      <c r="D247" s="1122"/>
      <c r="E247" s="1011"/>
      <c r="F247" s="1011"/>
      <c r="G247" s="1035"/>
      <c r="H247" s="1035"/>
      <c r="I247" s="1010"/>
      <c r="J247" s="1011"/>
      <c r="K247" s="1035"/>
      <c r="L247" s="1035"/>
      <c r="M247" s="1035"/>
      <c r="N247" s="1035"/>
      <c r="O247" s="1012"/>
      <c r="P247" s="1018" t="s">
        <v>414</v>
      </c>
      <c r="Q247" s="1013"/>
      <c r="R247" s="1014"/>
      <c r="S247" s="1014"/>
      <c r="T247" s="1014"/>
      <c r="U247" s="1041"/>
      <c r="V247" s="1037"/>
      <c r="W247" s="1038"/>
      <c r="X247" s="1042"/>
      <c r="Y247" s="1014"/>
      <c r="Z247" s="1014"/>
      <c r="AA247" s="1014"/>
      <c r="AB247" s="1014"/>
      <c r="AC247" s="1014"/>
      <c r="AD247" s="1014"/>
    </row>
    <row r="248" spans="1:30" ht="108.5" outlineLevel="1">
      <c r="A248" s="1031">
        <v>74</v>
      </c>
      <c r="B248" s="1013">
        <f t="shared" si="14"/>
        <v>74</v>
      </c>
      <c r="C248" s="1125" t="str">
        <f t="shared" si="15"/>
        <v>IVF074</v>
      </c>
      <c r="D248" s="1009" t="s">
        <v>136</v>
      </c>
      <c r="E248" s="1031">
        <v>75</v>
      </c>
      <c r="F248" s="1030" t="s">
        <v>60</v>
      </c>
      <c r="G248" s="1032">
        <v>199</v>
      </c>
      <c r="H248" s="1033">
        <f>ROUND(E248*G248,0)</f>
        <v>14925</v>
      </c>
      <c r="I248" s="1010">
        <v>39.5</v>
      </c>
      <c r="J248" s="1031" t="str">
        <f>F248</f>
        <v>Rmt</v>
      </c>
      <c r="K248" s="1033">
        <f>G248</f>
        <v>199</v>
      </c>
      <c r="L248" s="1033">
        <f>ROUND(I248*K248,0)</f>
        <v>7861</v>
      </c>
      <c r="M248" s="1035">
        <f>IF(L248&gt;H248,L248-H248,0)</f>
        <v>0</v>
      </c>
      <c r="N248" s="1033">
        <f>IF(H248&gt;L248,H248-L248,0)</f>
        <v>7064</v>
      </c>
      <c r="O248" s="1012" t="s">
        <v>2440</v>
      </c>
      <c r="P248" s="1018" t="s">
        <v>414</v>
      </c>
      <c r="Q248" s="1013"/>
      <c r="R248" s="1014"/>
      <c r="S248" s="1014"/>
      <c r="T248" s="1014"/>
      <c r="U248" s="1041"/>
      <c r="V248" s="1037"/>
      <c r="W248" s="1038"/>
      <c r="X248" s="1042"/>
      <c r="Y248" s="1014"/>
      <c r="Z248" s="1014"/>
      <c r="AA248" s="1014"/>
      <c r="AB248" s="1014"/>
      <c r="AC248" s="1014"/>
      <c r="AD248" s="1014"/>
    </row>
    <row r="249" spans="1:30" outlineLevel="1">
      <c r="A249" s="1011"/>
      <c r="B249" s="1013" t="str">
        <f t="shared" si="14"/>
        <v/>
      </c>
      <c r="C249" s="1125"/>
      <c r="D249" s="1009"/>
      <c r="E249" s="1011"/>
      <c r="F249" s="1011"/>
      <c r="G249" s="1035"/>
      <c r="H249" s="1035"/>
      <c r="I249" s="1010"/>
      <c r="J249" s="1011"/>
      <c r="K249" s="1035"/>
      <c r="L249" s="1035"/>
      <c r="M249" s="1035"/>
      <c r="N249" s="1035"/>
      <c r="O249" s="1012"/>
      <c r="P249" s="1018" t="s">
        <v>414</v>
      </c>
      <c r="Q249" s="1013"/>
      <c r="R249" s="1014"/>
      <c r="S249" s="1014"/>
      <c r="T249" s="1014"/>
      <c r="U249" s="1041"/>
      <c r="V249" s="1037"/>
      <c r="W249" s="1038"/>
      <c r="X249" s="1042"/>
      <c r="Y249" s="1014"/>
      <c r="Z249" s="1014"/>
      <c r="AA249" s="1014"/>
      <c r="AB249" s="1014"/>
      <c r="AC249" s="1014"/>
      <c r="AD249" s="1014"/>
    </row>
    <row r="250" spans="1:30" ht="108.5" outlineLevel="1">
      <c r="A250" s="1031">
        <v>75</v>
      </c>
      <c r="B250" s="1013">
        <f t="shared" si="14"/>
        <v>75</v>
      </c>
      <c r="C250" s="1125" t="str">
        <f t="shared" si="15"/>
        <v>IVF075</v>
      </c>
      <c r="D250" s="1009" t="s">
        <v>137</v>
      </c>
      <c r="E250" s="1031">
        <v>75</v>
      </c>
      <c r="F250" s="1030" t="s">
        <v>60</v>
      </c>
      <c r="G250" s="1032">
        <v>229</v>
      </c>
      <c r="H250" s="1033">
        <f>ROUND(E250*G250,0)</f>
        <v>17175</v>
      </c>
      <c r="I250" s="1010">
        <v>0</v>
      </c>
      <c r="J250" s="1031" t="str">
        <f>F250</f>
        <v>Rmt</v>
      </c>
      <c r="K250" s="1033">
        <f>G250</f>
        <v>229</v>
      </c>
      <c r="L250" s="1033">
        <f>ROUND(I250*K250,0)</f>
        <v>0</v>
      </c>
      <c r="M250" s="1035">
        <f>IF(L250&gt;H250,L250-H250,0)</f>
        <v>0</v>
      </c>
      <c r="N250" s="1033">
        <f>IF(H250&gt;L250,H250-L250,0)</f>
        <v>17175</v>
      </c>
      <c r="O250" s="1012" t="s">
        <v>2439</v>
      </c>
      <c r="P250" s="1018" t="s">
        <v>414</v>
      </c>
      <c r="Q250" s="1013"/>
      <c r="R250" s="1014"/>
      <c r="S250" s="1014"/>
      <c r="T250" s="1014"/>
      <c r="U250" s="1041"/>
      <c r="V250" s="1037"/>
      <c r="W250" s="1038"/>
      <c r="X250" s="1042"/>
      <c r="Y250" s="1014"/>
      <c r="Z250" s="1014"/>
      <c r="AA250" s="1014"/>
      <c r="AB250" s="1014"/>
      <c r="AC250" s="1014"/>
      <c r="AD250" s="1014"/>
    </row>
    <row r="251" spans="1:30" outlineLevel="1">
      <c r="A251" s="1011"/>
      <c r="B251" s="1013" t="str">
        <f t="shared" si="14"/>
        <v/>
      </c>
      <c r="C251" s="1125"/>
      <c r="D251" s="1122" t="s">
        <v>2514</v>
      </c>
      <c r="E251" s="1011"/>
      <c r="F251" s="1011"/>
      <c r="G251" s="1035"/>
      <c r="H251" s="1035"/>
      <c r="I251" s="1010"/>
      <c r="J251" s="1011"/>
      <c r="K251" s="1035"/>
      <c r="L251" s="1035"/>
      <c r="M251" s="1035"/>
      <c r="N251" s="1035"/>
      <c r="O251" s="1012"/>
      <c r="P251" s="1018" t="s">
        <v>414</v>
      </c>
      <c r="Q251" s="1013"/>
      <c r="R251" s="1014"/>
      <c r="S251" s="1014"/>
      <c r="T251" s="1014"/>
      <c r="U251" s="1041"/>
      <c r="V251" s="1037"/>
      <c r="W251" s="1038"/>
      <c r="X251" s="1042"/>
      <c r="Y251" s="1014"/>
      <c r="Z251" s="1014"/>
      <c r="AA251" s="1014"/>
      <c r="AB251" s="1014"/>
      <c r="AC251" s="1014"/>
      <c r="AD251" s="1014"/>
    </row>
    <row r="252" spans="1:30" outlineLevel="1">
      <c r="A252" s="1011"/>
      <c r="B252" s="1013"/>
      <c r="C252" s="1125"/>
      <c r="D252" s="1122"/>
      <c r="E252" s="1011"/>
      <c r="F252" s="1011"/>
      <c r="G252" s="1035"/>
      <c r="H252" s="1035"/>
      <c r="I252" s="1010"/>
      <c r="J252" s="1011"/>
      <c r="K252" s="1035"/>
      <c r="L252" s="1035"/>
      <c r="M252" s="1035"/>
      <c r="N252" s="1035"/>
      <c r="O252" s="1012"/>
      <c r="P252" s="1018" t="s">
        <v>414</v>
      </c>
      <c r="Q252" s="1013"/>
      <c r="R252" s="1014"/>
      <c r="S252" s="1014"/>
      <c r="T252" s="1014"/>
      <c r="U252" s="1041"/>
      <c r="V252" s="1037"/>
      <c r="W252" s="1038"/>
      <c r="X252" s="1042"/>
      <c r="Y252" s="1014"/>
      <c r="Z252" s="1014"/>
      <c r="AA252" s="1014"/>
      <c r="AB252" s="1014"/>
      <c r="AC252" s="1014"/>
      <c r="AD252" s="1014"/>
    </row>
    <row r="253" spans="1:30" ht="124" outlineLevel="1">
      <c r="A253" s="1031">
        <v>76</v>
      </c>
      <c r="B253" s="1013">
        <f t="shared" si="14"/>
        <v>76</v>
      </c>
      <c r="C253" s="1125" t="str">
        <f t="shared" si="15"/>
        <v>IVF076</v>
      </c>
      <c r="D253" s="1009" t="s">
        <v>138</v>
      </c>
      <c r="E253" s="1031">
        <v>90</v>
      </c>
      <c r="F253" s="1030" t="s">
        <v>60</v>
      </c>
      <c r="G253" s="1032">
        <v>327</v>
      </c>
      <c r="H253" s="1033">
        <f>ROUND(E253*G253,0)</f>
        <v>29430</v>
      </c>
      <c r="I253" s="1010">
        <v>0</v>
      </c>
      <c r="J253" s="1031" t="str">
        <f>F253</f>
        <v>Rmt</v>
      </c>
      <c r="K253" s="1033">
        <f>G253</f>
        <v>327</v>
      </c>
      <c r="L253" s="1033">
        <f>ROUND(I253*K253,0)</f>
        <v>0</v>
      </c>
      <c r="M253" s="1035">
        <f>IF(L253&gt;H253,L253-H253,0)</f>
        <v>0</v>
      </c>
      <c r="N253" s="1033">
        <f>IF(H253&gt;L253,H253-L253,0)</f>
        <v>29430</v>
      </c>
      <c r="O253" s="1012" t="s">
        <v>2439</v>
      </c>
      <c r="P253" s="1018" t="s">
        <v>414</v>
      </c>
      <c r="Q253" s="1013"/>
      <c r="R253" s="1014"/>
      <c r="S253" s="1014"/>
      <c r="T253" s="1014"/>
      <c r="U253" s="1041"/>
      <c r="V253" s="1037"/>
      <c r="W253" s="1038"/>
      <c r="X253" s="1042"/>
      <c r="Y253" s="1014"/>
      <c r="Z253" s="1014"/>
      <c r="AA253" s="1014"/>
      <c r="AB253" s="1014"/>
      <c r="AC253" s="1014"/>
      <c r="AD253" s="1014"/>
    </row>
    <row r="254" spans="1:30" outlineLevel="1">
      <c r="A254" s="1011"/>
      <c r="B254" s="1013" t="str">
        <f t="shared" si="14"/>
        <v/>
      </c>
      <c r="C254" s="1125"/>
      <c r="D254" s="1009"/>
      <c r="E254" s="1011"/>
      <c r="F254" s="1011"/>
      <c r="G254" s="1035"/>
      <c r="H254" s="1035"/>
      <c r="I254" s="1010"/>
      <c r="J254" s="1011"/>
      <c r="K254" s="1035"/>
      <c r="L254" s="1035"/>
      <c r="M254" s="1035"/>
      <c r="N254" s="1035"/>
      <c r="O254" s="1012"/>
      <c r="P254" s="1018" t="s">
        <v>414</v>
      </c>
      <c r="Q254" s="1013"/>
      <c r="R254" s="1014"/>
      <c r="S254" s="1014"/>
      <c r="T254" s="1014"/>
      <c r="U254" s="1041"/>
      <c r="V254" s="1037"/>
      <c r="W254" s="1038"/>
      <c r="X254" s="1042"/>
      <c r="Y254" s="1014"/>
      <c r="Z254" s="1014"/>
      <c r="AA254" s="1014"/>
      <c r="AB254" s="1014"/>
      <c r="AC254" s="1014"/>
      <c r="AD254" s="1014"/>
    </row>
    <row r="255" spans="1:30" ht="124" outlineLevel="1">
      <c r="A255" s="1031">
        <v>77</v>
      </c>
      <c r="B255" s="1013">
        <f t="shared" si="14"/>
        <v>77</v>
      </c>
      <c r="C255" s="1125" t="str">
        <f t="shared" si="15"/>
        <v>IVF077</v>
      </c>
      <c r="D255" s="1009" t="s">
        <v>139</v>
      </c>
      <c r="E255" s="1031">
        <v>75</v>
      </c>
      <c r="F255" s="1030" t="s">
        <v>60</v>
      </c>
      <c r="G255" s="1032">
        <v>444</v>
      </c>
      <c r="H255" s="1033">
        <f>ROUND(E255*G255,0)</f>
        <v>33300</v>
      </c>
      <c r="I255" s="1010">
        <v>26.63</v>
      </c>
      <c r="J255" s="1031" t="str">
        <f>F255</f>
        <v>Rmt</v>
      </c>
      <c r="K255" s="1033">
        <f>G255</f>
        <v>444</v>
      </c>
      <c r="L255" s="1033">
        <f>ROUND(I255*K255,0)</f>
        <v>11824</v>
      </c>
      <c r="M255" s="1035">
        <f>IF(L255&gt;H255,L255-H255,0)</f>
        <v>0</v>
      </c>
      <c r="N255" s="1033">
        <f>IF(H255&gt;L255,H255-L255,0)</f>
        <v>21476</v>
      </c>
      <c r="O255" s="1012" t="s">
        <v>2440</v>
      </c>
      <c r="P255" s="1018" t="s">
        <v>414</v>
      </c>
      <c r="Q255" s="1013"/>
      <c r="R255" s="1014"/>
      <c r="S255" s="1014"/>
      <c r="T255" s="1014"/>
      <c r="U255" s="1041"/>
      <c r="V255" s="1037"/>
      <c r="W255" s="1038"/>
      <c r="X255" s="1042"/>
      <c r="Y255" s="1014"/>
      <c r="Z255" s="1014"/>
      <c r="AA255" s="1014"/>
      <c r="AB255" s="1014"/>
      <c r="AC255" s="1014"/>
      <c r="AD255" s="1014"/>
    </row>
    <row r="256" spans="1:30" outlineLevel="1">
      <c r="A256" s="1011"/>
      <c r="B256" s="1013" t="str">
        <f t="shared" si="14"/>
        <v/>
      </c>
      <c r="C256" s="1125"/>
      <c r="D256" s="1122" t="s">
        <v>2513</v>
      </c>
      <c r="E256" s="1011"/>
      <c r="F256" s="1011"/>
      <c r="G256" s="1035"/>
      <c r="H256" s="1035"/>
      <c r="I256" s="1010"/>
      <c r="J256" s="1011"/>
      <c r="K256" s="1035"/>
      <c r="L256" s="1035"/>
      <c r="M256" s="1035"/>
      <c r="N256" s="1035"/>
      <c r="O256" s="1012"/>
      <c r="P256" s="1018" t="s">
        <v>414</v>
      </c>
      <c r="Q256" s="1013"/>
      <c r="R256" s="1014"/>
      <c r="S256" s="1014"/>
      <c r="T256" s="1014"/>
      <c r="U256" s="1041"/>
      <c r="V256" s="1037"/>
      <c r="W256" s="1038"/>
      <c r="X256" s="1042"/>
      <c r="Y256" s="1014"/>
      <c r="Z256" s="1014"/>
      <c r="AA256" s="1014"/>
      <c r="AB256" s="1014"/>
      <c r="AC256" s="1014"/>
      <c r="AD256" s="1014"/>
    </row>
    <row r="257" spans="1:30" outlineLevel="1">
      <c r="A257" s="1011"/>
      <c r="B257" s="1013"/>
      <c r="C257" s="1125"/>
      <c r="D257" s="1122"/>
      <c r="E257" s="1011"/>
      <c r="F257" s="1011"/>
      <c r="G257" s="1035"/>
      <c r="H257" s="1035"/>
      <c r="I257" s="1010"/>
      <c r="J257" s="1011"/>
      <c r="K257" s="1035"/>
      <c r="L257" s="1035"/>
      <c r="M257" s="1035"/>
      <c r="N257" s="1035"/>
      <c r="O257" s="1012"/>
      <c r="P257" s="1018" t="s">
        <v>414</v>
      </c>
      <c r="Q257" s="1013"/>
      <c r="R257" s="1014"/>
      <c r="S257" s="1014"/>
      <c r="T257" s="1014"/>
      <c r="U257" s="1041"/>
      <c r="V257" s="1037"/>
      <c r="W257" s="1038"/>
      <c r="X257" s="1042"/>
      <c r="Y257" s="1014"/>
      <c r="Z257" s="1014"/>
      <c r="AA257" s="1014"/>
      <c r="AB257" s="1014"/>
      <c r="AC257" s="1014"/>
      <c r="AD257" s="1014"/>
    </row>
    <row r="258" spans="1:30" ht="77.5" outlineLevel="1">
      <c r="A258" s="1031">
        <v>78</v>
      </c>
      <c r="B258" s="1013">
        <f t="shared" si="14"/>
        <v>78</v>
      </c>
      <c r="C258" s="1125" t="str">
        <f t="shared" si="15"/>
        <v>IVF078</v>
      </c>
      <c r="D258" s="1009" t="s">
        <v>140</v>
      </c>
      <c r="E258" s="1031">
        <v>5</v>
      </c>
      <c r="F258" s="1030" t="s">
        <v>66</v>
      </c>
      <c r="G258" s="1032">
        <v>1750</v>
      </c>
      <c r="H258" s="1033">
        <f>ROUND(E258*G258,0)</f>
        <v>8750</v>
      </c>
      <c r="I258" s="1010">
        <v>3</v>
      </c>
      <c r="J258" s="1031" t="str">
        <f>F258</f>
        <v>No</v>
      </c>
      <c r="K258" s="1033">
        <f>G258</f>
        <v>1750</v>
      </c>
      <c r="L258" s="1033">
        <f>ROUND(I258*K258,0)</f>
        <v>5250</v>
      </c>
      <c r="M258" s="1035">
        <f>IF(L258&gt;H258,L258-H258,0)</f>
        <v>0</v>
      </c>
      <c r="N258" s="1033">
        <f>IF(H258&gt;L258,H258-L258,0)</f>
        <v>3500</v>
      </c>
      <c r="O258" s="1012" t="s">
        <v>2440</v>
      </c>
      <c r="P258" s="1018" t="s">
        <v>414</v>
      </c>
      <c r="Q258" s="1013"/>
      <c r="R258" s="1014"/>
      <c r="S258" s="1014"/>
      <c r="T258" s="1014"/>
      <c r="U258" s="1041"/>
      <c r="V258" s="1037"/>
      <c r="W258" s="1038"/>
      <c r="X258" s="1042"/>
      <c r="Y258" s="1014"/>
      <c r="Z258" s="1014"/>
      <c r="AA258" s="1014"/>
      <c r="AB258" s="1014"/>
      <c r="AC258" s="1014"/>
      <c r="AD258" s="1014"/>
    </row>
    <row r="259" spans="1:30" outlineLevel="1">
      <c r="A259" s="1011"/>
      <c r="B259" s="1013" t="str">
        <f t="shared" si="14"/>
        <v/>
      </c>
      <c r="C259" s="1125"/>
      <c r="D259" s="1009"/>
      <c r="E259" s="1011"/>
      <c r="F259" s="1011"/>
      <c r="G259" s="1035"/>
      <c r="H259" s="1035"/>
      <c r="I259" s="1010"/>
      <c r="J259" s="1011"/>
      <c r="K259" s="1035"/>
      <c r="L259" s="1035"/>
      <c r="M259" s="1035"/>
      <c r="N259" s="1035"/>
      <c r="O259" s="1012"/>
      <c r="P259" s="1018" t="s">
        <v>414</v>
      </c>
      <c r="Q259" s="1013"/>
      <c r="R259" s="1014"/>
      <c r="S259" s="1014"/>
      <c r="T259" s="1014"/>
      <c r="U259" s="1041"/>
      <c r="V259" s="1037"/>
      <c r="W259" s="1038"/>
      <c r="X259" s="1042"/>
      <c r="Y259" s="1014"/>
      <c r="Z259" s="1014"/>
      <c r="AA259" s="1014"/>
      <c r="AB259" s="1014"/>
      <c r="AC259" s="1014"/>
      <c r="AD259" s="1014"/>
    </row>
    <row r="260" spans="1:30" ht="77.5" outlineLevel="1">
      <c r="A260" s="1031">
        <v>79</v>
      </c>
      <c r="B260" s="1013">
        <f t="shared" si="14"/>
        <v>79</v>
      </c>
      <c r="C260" s="1125" t="str">
        <f t="shared" si="15"/>
        <v>IVF079</v>
      </c>
      <c r="D260" s="1009" t="s">
        <v>141</v>
      </c>
      <c r="E260" s="1031">
        <v>10</v>
      </c>
      <c r="F260" s="1030" t="s">
        <v>66</v>
      </c>
      <c r="G260" s="1032">
        <v>220</v>
      </c>
      <c r="H260" s="1033">
        <f>ROUND(E260*G260,0)</f>
        <v>2200</v>
      </c>
      <c r="I260" s="1010">
        <v>5</v>
      </c>
      <c r="J260" s="1031" t="str">
        <f>F260</f>
        <v>No</v>
      </c>
      <c r="K260" s="1033">
        <f>G260</f>
        <v>220</v>
      </c>
      <c r="L260" s="1033">
        <f>ROUND(I260*K260,0)</f>
        <v>1100</v>
      </c>
      <c r="M260" s="1035">
        <f>IF(L260&gt;H260,L260-H260,0)</f>
        <v>0</v>
      </c>
      <c r="N260" s="1033">
        <f>IF(H260&gt;L260,H260-L260,0)</f>
        <v>1100</v>
      </c>
      <c r="O260" s="1012" t="s">
        <v>2440</v>
      </c>
      <c r="P260" s="1018" t="s">
        <v>414</v>
      </c>
      <c r="Q260" s="1013"/>
      <c r="R260" s="1014"/>
      <c r="S260" s="1014"/>
      <c r="T260" s="1014"/>
      <c r="U260" s="1041"/>
      <c r="V260" s="1037"/>
      <c r="W260" s="1038"/>
      <c r="X260" s="1042"/>
      <c r="Y260" s="1014"/>
      <c r="Z260" s="1014"/>
      <c r="AA260" s="1014"/>
      <c r="AB260" s="1014"/>
      <c r="AC260" s="1014"/>
      <c r="AD260" s="1014"/>
    </row>
    <row r="261" spans="1:30" outlineLevel="1">
      <c r="A261" s="1011"/>
      <c r="B261" s="1013" t="str">
        <f t="shared" si="14"/>
        <v/>
      </c>
      <c r="C261" s="1125"/>
      <c r="D261" s="1122" t="s">
        <v>2518</v>
      </c>
      <c r="E261" s="1011"/>
      <c r="F261" s="1011"/>
      <c r="G261" s="1035"/>
      <c r="H261" s="1035"/>
      <c r="I261" s="1010"/>
      <c r="J261" s="1011"/>
      <c r="K261" s="1035"/>
      <c r="L261" s="1035"/>
      <c r="M261" s="1035"/>
      <c r="N261" s="1035"/>
      <c r="O261" s="1012"/>
      <c r="P261" s="1018" t="s">
        <v>414</v>
      </c>
      <c r="Q261" s="1013"/>
      <c r="R261" s="1014"/>
      <c r="S261" s="1014"/>
      <c r="T261" s="1014"/>
      <c r="U261" s="1041"/>
      <c r="V261" s="1037"/>
      <c r="W261" s="1038"/>
      <c r="X261" s="1042"/>
      <c r="Y261" s="1014"/>
      <c r="Z261" s="1014"/>
      <c r="AA261" s="1014"/>
      <c r="AB261" s="1014"/>
      <c r="AC261" s="1014"/>
      <c r="AD261" s="1014"/>
    </row>
    <row r="262" spans="1:30" outlineLevel="1">
      <c r="A262" s="1011"/>
      <c r="B262" s="1013"/>
      <c r="C262" s="1125"/>
      <c r="D262" s="1122"/>
      <c r="E262" s="1011"/>
      <c r="F262" s="1011"/>
      <c r="G262" s="1035"/>
      <c r="H262" s="1035"/>
      <c r="I262" s="1010"/>
      <c r="J262" s="1011"/>
      <c r="K262" s="1035"/>
      <c r="L262" s="1035"/>
      <c r="M262" s="1035"/>
      <c r="N262" s="1035"/>
      <c r="O262" s="1012"/>
      <c r="P262" s="1018" t="s">
        <v>414</v>
      </c>
      <c r="Q262" s="1013"/>
      <c r="R262" s="1014"/>
      <c r="S262" s="1014"/>
      <c r="T262" s="1014"/>
      <c r="U262" s="1041"/>
      <c r="V262" s="1037"/>
      <c r="W262" s="1038"/>
      <c r="X262" s="1042"/>
      <c r="Y262" s="1014"/>
      <c r="Z262" s="1014"/>
      <c r="AA262" s="1014"/>
      <c r="AB262" s="1014"/>
      <c r="AC262" s="1014"/>
      <c r="AD262" s="1014"/>
    </row>
    <row r="263" spans="1:30" ht="186" outlineLevel="1">
      <c r="A263" s="1031">
        <v>80</v>
      </c>
      <c r="B263" s="1013">
        <f t="shared" si="14"/>
        <v>80</v>
      </c>
      <c r="C263" s="1125" t="str">
        <f t="shared" si="15"/>
        <v>IVF080</v>
      </c>
      <c r="D263" s="1009" t="s">
        <v>2363</v>
      </c>
      <c r="E263" s="1031">
        <v>5</v>
      </c>
      <c r="F263" s="1030" t="s">
        <v>66</v>
      </c>
      <c r="G263" s="1032">
        <v>3800</v>
      </c>
      <c r="H263" s="1033">
        <f>ROUND(E263*G263,0)</f>
        <v>19000</v>
      </c>
      <c r="I263" s="1010">
        <v>4</v>
      </c>
      <c r="J263" s="1031" t="str">
        <f>F263</f>
        <v>No</v>
      </c>
      <c r="K263" s="1033">
        <f>G263</f>
        <v>3800</v>
      </c>
      <c r="L263" s="1033">
        <f>ROUND(I263*K263,0)</f>
        <v>15200</v>
      </c>
      <c r="M263" s="1035">
        <f>IF(L263&gt;H263,L263-H263,0)</f>
        <v>0</v>
      </c>
      <c r="N263" s="1033">
        <f>IF(H263&gt;L263,H263-L263,0)</f>
        <v>3800</v>
      </c>
      <c r="O263" s="1012" t="s">
        <v>2440</v>
      </c>
      <c r="P263" s="1018" t="s">
        <v>414</v>
      </c>
      <c r="Q263" s="1013"/>
      <c r="R263" s="1014"/>
      <c r="S263" s="1014"/>
      <c r="T263" s="1014"/>
      <c r="U263" s="1041"/>
      <c r="V263" s="1037"/>
      <c r="W263" s="1038"/>
      <c r="X263" s="1042"/>
      <c r="Y263" s="1014"/>
      <c r="Z263" s="1014">
        <v>4.17</v>
      </c>
      <c r="AA263" s="1014"/>
      <c r="AB263" s="1014"/>
      <c r="AC263" s="1014"/>
      <c r="AD263" s="1014"/>
    </row>
    <row r="264" spans="1:30" outlineLevel="1">
      <c r="A264" s="1011"/>
      <c r="B264" s="1013" t="str">
        <f t="shared" si="14"/>
        <v/>
      </c>
      <c r="C264" s="1125"/>
      <c r="D264" s="1122" t="s">
        <v>2515</v>
      </c>
      <c r="E264" s="1011"/>
      <c r="F264" s="1011"/>
      <c r="G264" s="1035"/>
      <c r="H264" s="1035"/>
      <c r="I264" s="1010"/>
      <c r="J264" s="1011"/>
      <c r="K264" s="1035"/>
      <c r="L264" s="1035"/>
      <c r="M264" s="1035"/>
      <c r="N264" s="1035"/>
      <c r="O264" s="1012"/>
      <c r="P264" s="1018" t="s">
        <v>414</v>
      </c>
      <c r="Q264" s="1013"/>
      <c r="R264" s="1014"/>
      <c r="S264" s="1014"/>
      <c r="T264" s="1014"/>
      <c r="U264" s="1041"/>
      <c r="V264" s="1037"/>
      <c r="W264" s="1038"/>
      <c r="X264" s="1042"/>
      <c r="Y264" s="1014"/>
      <c r="Z264" s="1014"/>
      <c r="AA264" s="1014"/>
      <c r="AB264" s="1014"/>
      <c r="AC264" s="1014"/>
      <c r="AD264" s="1014"/>
    </row>
    <row r="265" spans="1:30" outlineLevel="1">
      <c r="A265" s="1011"/>
      <c r="B265" s="1013"/>
      <c r="C265" s="1125"/>
      <c r="D265" s="1122"/>
      <c r="E265" s="1011"/>
      <c r="F265" s="1011"/>
      <c r="G265" s="1035"/>
      <c r="H265" s="1035"/>
      <c r="I265" s="1010"/>
      <c r="J265" s="1011"/>
      <c r="K265" s="1035"/>
      <c r="L265" s="1035"/>
      <c r="M265" s="1035"/>
      <c r="N265" s="1035"/>
      <c r="O265" s="1012"/>
      <c r="P265" s="1018" t="s">
        <v>414</v>
      </c>
      <c r="Q265" s="1013"/>
      <c r="R265" s="1014"/>
      <c r="S265" s="1014"/>
      <c r="T265" s="1014"/>
      <c r="U265" s="1041"/>
      <c r="V265" s="1037"/>
      <c r="W265" s="1038"/>
      <c r="X265" s="1042"/>
      <c r="Y265" s="1014"/>
      <c r="Z265" s="1014"/>
      <c r="AA265" s="1014"/>
      <c r="AB265" s="1014"/>
      <c r="AC265" s="1014"/>
      <c r="AD265" s="1014"/>
    </row>
    <row r="266" spans="1:30" ht="139.5" outlineLevel="1">
      <c r="A266" s="1031">
        <v>81</v>
      </c>
      <c r="B266" s="1013">
        <f t="shared" si="14"/>
        <v>81</v>
      </c>
      <c r="C266" s="1125" t="str">
        <f t="shared" si="15"/>
        <v>IVF081</v>
      </c>
      <c r="D266" s="1009" t="s">
        <v>143</v>
      </c>
      <c r="E266" s="1031">
        <v>5</v>
      </c>
      <c r="F266" s="1030" t="s">
        <v>66</v>
      </c>
      <c r="G266" s="1032">
        <v>7590</v>
      </c>
      <c r="H266" s="1033">
        <f>ROUND(E266*G266,0)</f>
        <v>37950</v>
      </c>
      <c r="I266" s="1010">
        <v>4</v>
      </c>
      <c r="J266" s="1031" t="str">
        <f>F266</f>
        <v>No</v>
      </c>
      <c r="K266" s="1033">
        <f>G266</f>
        <v>7590</v>
      </c>
      <c r="L266" s="1033">
        <f>ROUND(I266*K266,0)</f>
        <v>30360</v>
      </c>
      <c r="M266" s="1035">
        <f>IF(L266&gt;H266,L266-H266,0)</f>
        <v>0</v>
      </c>
      <c r="N266" s="1033">
        <f>IF(H266&gt;L266,H266-L266,0)</f>
        <v>7590</v>
      </c>
      <c r="O266" s="1012" t="s">
        <v>2440</v>
      </c>
      <c r="P266" s="1018" t="s">
        <v>414</v>
      </c>
      <c r="Q266" s="1013"/>
      <c r="R266" s="1014"/>
      <c r="S266" s="1014"/>
      <c r="T266" s="1014"/>
      <c r="U266" s="1041"/>
      <c r="V266" s="1037"/>
      <c r="W266" s="1038"/>
      <c r="X266" s="1042"/>
      <c r="Y266" s="1014"/>
      <c r="Z266" s="1014"/>
      <c r="AA266" s="1014"/>
      <c r="AB266" s="1014"/>
      <c r="AC266" s="1014"/>
      <c r="AD266" s="1014"/>
    </row>
    <row r="267" spans="1:30" s="1047" customFormat="1" outlineLevel="1">
      <c r="A267" s="1011"/>
      <c r="B267" s="1013" t="str">
        <f t="shared" si="14"/>
        <v/>
      </c>
      <c r="C267" s="1125"/>
      <c r="D267" s="1122" t="s">
        <v>2515</v>
      </c>
      <c r="E267" s="1011"/>
      <c r="F267" s="1011"/>
      <c r="G267" s="1035"/>
      <c r="H267" s="1035"/>
      <c r="I267" s="1010"/>
      <c r="J267" s="1011"/>
      <c r="K267" s="1035"/>
      <c r="L267" s="1035"/>
      <c r="M267" s="1035"/>
      <c r="N267" s="1035"/>
      <c r="O267" s="1012"/>
      <c r="P267" s="1018" t="s">
        <v>414</v>
      </c>
      <c r="Q267" s="1013"/>
      <c r="R267" s="1014"/>
      <c r="S267" s="1043"/>
      <c r="T267" s="1043"/>
      <c r="U267" s="1044"/>
      <c r="V267" s="1045"/>
      <c r="W267" s="1046"/>
      <c r="X267" s="1078"/>
      <c r="Y267" s="1043"/>
      <c r="Z267" s="1043"/>
      <c r="AA267" s="1043"/>
      <c r="AB267" s="1043"/>
      <c r="AC267" s="1043"/>
      <c r="AD267" s="1043"/>
    </row>
    <row r="268" spans="1:30" s="1047" customFormat="1" outlineLevel="1">
      <c r="A268" s="1011"/>
      <c r="B268" s="1013"/>
      <c r="C268" s="1125"/>
      <c r="D268" s="1122"/>
      <c r="E268" s="1011"/>
      <c r="F268" s="1011"/>
      <c r="G268" s="1035"/>
      <c r="H268" s="1035"/>
      <c r="I268" s="1010"/>
      <c r="J268" s="1011"/>
      <c r="K268" s="1035"/>
      <c r="L268" s="1035"/>
      <c r="M268" s="1035"/>
      <c r="N268" s="1035"/>
      <c r="O268" s="1012"/>
      <c r="P268" s="1018" t="s">
        <v>414</v>
      </c>
      <c r="Q268" s="1013"/>
      <c r="R268" s="1014"/>
      <c r="S268" s="1043"/>
      <c r="T268" s="1043"/>
      <c r="U268" s="1044"/>
      <c r="V268" s="1045"/>
      <c r="W268" s="1046"/>
      <c r="X268" s="1078"/>
      <c r="Y268" s="1043"/>
      <c r="Z268" s="1043"/>
      <c r="AA268" s="1043"/>
      <c r="AB268" s="1043"/>
      <c r="AC268" s="1043"/>
      <c r="AD268" s="1043"/>
    </row>
    <row r="269" spans="1:30" s="1047" customFormat="1" ht="77.5" outlineLevel="1">
      <c r="A269" s="1031">
        <v>82</v>
      </c>
      <c r="B269" s="1013">
        <f t="shared" si="14"/>
        <v>82</v>
      </c>
      <c r="C269" s="1125" t="str">
        <f t="shared" si="15"/>
        <v>IVF082</v>
      </c>
      <c r="D269" s="1009" t="s">
        <v>144</v>
      </c>
      <c r="E269" s="1031">
        <v>5</v>
      </c>
      <c r="F269" s="1030" t="s">
        <v>66</v>
      </c>
      <c r="G269" s="1032">
        <v>4580</v>
      </c>
      <c r="H269" s="1033">
        <f>ROUND(E269*G269,0)</f>
        <v>22900</v>
      </c>
      <c r="I269" s="1010">
        <v>4</v>
      </c>
      <c r="J269" s="1031" t="str">
        <f>F269</f>
        <v>No</v>
      </c>
      <c r="K269" s="1033">
        <f>G269</f>
        <v>4580</v>
      </c>
      <c r="L269" s="1033">
        <f>ROUND(I269*K269,0)</f>
        <v>18320</v>
      </c>
      <c r="M269" s="1035">
        <f>IF(L269&gt;H269,L269-H269,0)</f>
        <v>0</v>
      </c>
      <c r="N269" s="1033">
        <f>IF(H269&gt;L269,H269-L269,0)</f>
        <v>4580</v>
      </c>
      <c r="O269" s="1012" t="s">
        <v>2440</v>
      </c>
      <c r="P269" s="1018" t="s">
        <v>414</v>
      </c>
      <c r="Q269" s="1013"/>
      <c r="R269" s="1014"/>
      <c r="S269" s="1043"/>
      <c r="T269" s="1043"/>
      <c r="U269" s="1044"/>
      <c r="V269" s="1045"/>
      <c r="W269" s="1046"/>
      <c r="X269" s="1078"/>
      <c r="Y269" s="1043"/>
      <c r="Z269" s="1043"/>
      <c r="AA269" s="1043"/>
      <c r="AB269" s="1043"/>
      <c r="AC269" s="1043"/>
      <c r="AD269" s="1043"/>
    </row>
    <row r="270" spans="1:30" outlineLevel="1">
      <c r="A270" s="1011"/>
      <c r="B270" s="1013" t="str">
        <f t="shared" si="14"/>
        <v/>
      </c>
      <c r="C270" s="1125"/>
      <c r="D270" s="1122" t="s">
        <v>2517</v>
      </c>
      <c r="E270" s="1011"/>
      <c r="F270" s="1011"/>
      <c r="G270" s="1035"/>
      <c r="H270" s="1035"/>
      <c r="I270" s="1010"/>
      <c r="J270" s="1011"/>
      <c r="K270" s="1035"/>
      <c r="L270" s="1035"/>
      <c r="M270" s="1035"/>
      <c r="N270" s="1035"/>
      <c r="O270" s="1012"/>
      <c r="P270" s="1018" t="s">
        <v>414</v>
      </c>
      <c r="Q270" s="1013"/>
      <c r="R270" s="1014"/>
      <c r="S270" s="1014"/>
      <c r="T270" s="1014"/>
      <c r="U270" s="1041"/>
      <c r="V270" s="1037"/>
      <c r="W270" s="1038"/>
      <c r="X270" s="1042"/>
      <c r="Y270" s="1014"/>
      <c r="Z270" s="1014"/>
      <c r="AA270" s="1014"/>
      <c r="AB270" s="1014"/>
      <c r="AC270" s="1014"/>
      <c r="AD270" s="1014"/>
    </row>
    <row r="271" spans="1:30" outlineLevel="1">
      <c r="A271" s="1011"/>
      <c r="B271" s="1013"/>
      <c r="C271" s="1125"/>
      <c r="D271" s="1122"/>
      <c r="E271" s="1011"/>
      <c r="F271" s="1011"/>
      <c r="G271" s="1035"/>
      <c r="H271" s="1035"/>
      <c r="I271" s="1010"/>
      <c r="J271" s="1011"/>
      <c r="K271" s="1035"/>
      <c r="L271" s="1035"/>
      <c r="M271" s="1035"/>
      <c r="N271" s="1035"/>
      <c r="O271" s="1012"/>
      <c r="P271" s="1018" t="s">
        <v>414</v>
      </c>
      <c r="Q271" s="1013"/>
      <c r="R271" s="1014"/>
      <c r="S271" s="1014"/>
      <c r="T271" s="1014"/>
      <c r="U271" s="1041"/>
      <c r="V271" s="1037"/>
      <c r="W271" s="1038"/>
      <c r="X271" s="1042"/>
      <c r="Y271" s="1014"/>
      <c r="Z271" s="1014"/>
      <c r="AA271" s="1014"/>
      <c r="AB271" s="1014"/>
      <c r="AC271" s="1014"/>
      <c r="AD271" s="1014"/>
    </row>
    <row r="272" spans="1:30" ht="62" outlineLevel="1">
      <c r="A272" s="1031">
        <v>83</v>
      </c>
      <c r="B272" s="1013">
        <f t="shared" si="14"/>
        <v>83</v>
      </c>
      <c r="C272" s="1125" t="str">
        <f t="shared" si="15"/>
        <v>IVF083</v>
      </c>
      <c r="D272" s="1009" t="s">
        <v>145</v>
      </c>
      <c r="E272" s="1031">
        <v>5</v>
      </c>
      <c r="F272" s="1030" t="s">
        <v>66</v>
      </c>
      <c r="G272" s="1032">
        <v>872</v>
      </c>
      <c r="H272" s="1033">
        <f>ROUND(E272*G272,0)</f>
        <v>4360</v>
      </c>
      <c r="I272" s="1010">
        <v>4</v>
      </c>
      <c r="J272" s="1031" t="str">
        <f>F272</f>
        <v>No</v>
      </c>
      <c r="K272" s="1033">
        <f>G272</f>
        <v>872</v>
      </c>
      <c r="L272" s="1033">
        <f>ROUND(I272*K272,0)</f>
        <v>3488</v>
      </c>
      <c r="M272" s="1035">
        <f>IF(L272&gt;H272,L272-H272,0)</f>
        <v>0</v>
      </c>
      <c r="N272" s="1033">
        <f>IF(H272&gt;L272,H272-L272,0)</f>
        <v>872</v>
      </c>
      <c r="O272" s="1012" t="s">
        <v>2440</v>
      </c>
      <c r="P272" s="1018" t="s">
        <v>414</v>
      </c>
      <c r="Q272" s="1013"/>
      <c r="R272" s="1014"/>
      <c r="S272" s="1014"/>
      <c r="T272" s="1014"/>
      <c r="U272" s="1041"/>
      <c r="V272" s="1037"/>
      <c r="W272" s="1038"/>
      <c r="X272" s="1042"/>
      <c r="Y272" s="1014"/>
      <c r="Z272" s="1014"/>
      <c r="AA272" s="1014"/>
      <c r="AB272" s="1014"/>
      <c r="AC272" s="1014"/>
      <c r="AD272" s="1014"/>
    </row>
    <row r="273" spans="1:30" outlineLevel="1">
      <c r="A273" s="1011"/>
      <c r="B273" s="1013" t="str">
        <f t="shared" si="14"/>
        <v/>
      </c>
      <c r="C273" s="1125"/>
      <c r="D273" s="1122" t="s">
        <v>2516</v>
      </c>
      <c r="E273" s="1011"/>
      <c r="F273" s="1011"/>
      <c r="G273" s="1035"/>
      <c r="H273" s="1035"/>
      <c r="I273" s="1010"/>
      <c r="J273" s="1011"/>
      <c r="K273" s="1035"/>
      <c r="L273" s="1035"/>
      <c r="M273" s="1035"/>
      <c r="N273" s="1035"/>
      <c r="O273" s="1012"/>
      <c r="P273" s="1018" t="s">
        <v>414</v>
      </c>
      <c r="Q273" s="1013"/>
      <c r="R273" s="1014"/>
      <c r="S273" s="1014"/>
      <c r="T273" s="1014"/>
      <c r="U273" s="1041"/>
      <c r="V273" s="1037"/>
      <c r="W273" s="1038"/>
      <c r="X273" s="1042"/>
      <c r="Y273" s="1014"/>
      <c r="Z273" s="1014"/>
      <c r="AA273" s="1014"/>
      <c r="AB273" s="1014"/>
      <c r="AC273" s="1014"/>
      <c r="AD273" s="1014"/>
    </row>
    <row r="274" spans="1:30" outlineLevel="1">
      <c r="A274" s="1011"/>
      <c r="B274" s="1013"/>
      <c r="C274" s="1125"/>
      <c r="D274" s="1122"/>
      <c r="E274" s="1011"/>
      <c r="F274" s="1011"/>
      <c r="G274" s="1035"/>
      <c r="H274" s="1035"/>
      <c r="I274" s="1010"/>
      <c r="J274" s="1011"/>
      <c r="K274" s="1035"/>
      <c r="L274" s="1035"/>
      <c r="M274" s="1035"/>
      <c r="N274" s="1035"/>
      <c r="O274" s="1012"/>
      <c r="P274" s="1018" t="s">
        <v>414</v>
      </c>
      <c r="Q274" s="1013"/>
      <c r="R274" s="1014"/>
      <c r="S274" s="1014"/>
      <c r="T274" s="1014"/>
      <c r="U274" s="1041"/>
      <c r="V274" s="1037"/>
      <c r="W274" s="1038"/>
      <c r="X274" s="1042"/>
      <c r="Y274" s="1014"/>
      <c r="Z274" s="1014"/>
      <c r="AA274" s="1014"/>
      <c r="AB274" s="1014"/>
      <c r="AC274" s="1014"/>
      <c r="AD274" s="1014"/>
    </row>
    <row r="275" spans="1:30" ht="62" outlineLevel="1">
      <c r="A275" s="1031">
        <v>84</v>
      </c>
      <c r="B275" s="1013">
        <f t="shared" si="14"/>
        <v>84</v>
      </c>
      <c r="C275" s="1125" t="str">
        <f t="shared" si="15"/>
        <v>IVF084</v>
      </c>
      <c r="D275" s="1009" t="s">
        <v>146</v>
      </c>
      <c r="E275" s="1031">
        <v>5</v>
      </c>
      <c r="F275" s="1030" t="s">
        <v>66</v>
      </c>
      <c r="G275" s="1032">
        <v>727</v>
      </c>
      <c r="H275" s="1033">
        <f>ROUND(E275*G275,0)</f>
        <v>3635</v>
      </c>
      <c r="I275" s="1010">
        <v>4</v>
      </c>
      <c r="J275" s="1031" t="str">
        <f>F275</f>
        <v>No</v>
      </c>
      <c r="K275" s="1033">
        <f>G275</f>
        <v>727</v>
      </c>
      <c r="L275" s="1033">
        <f>ROUND(I275*K275,0)</f>
        <v>2908</v>
      </c>
      <c r="M275" s="1035">
        <f>IF(L275&gt;H275,L275-H275,0)</f>
        <v>0</v>
      </c>
      <c r="N275" s="1033">
        <f>IF(H275&gt;L275,H275-L275,0)</f>
        <v>727</v>
      </c>
      <c r="O275" s="1012" t="s">
        <v>2440</v>
      </c>
      <c r="P275" s="1018" t="s">
        <v>414</v>
      </c>
      <c r="Q275" s="1013"/>
      <c r="R275" s="1014"/>
      <c r="S275" s="1014"/>
      <c r="T275" s="1014"/>
      <c r="U275" s="1041"/>
      <c r="V275" s="1037"/>
      <c r="W275" s="1038"/>
      <c r="X275" s="1042"/>
      <c r="Y275" s="1014"/>
      <c r="Z275" s="1014"/>
      <c r="AA275" s="1014"/>
      <c r="AB275" s="1014"/>
      <c r="AC275" s="1014"/>
      <c r="AD275" s="1014"/>
    </row>
    <row r="276" spans="1:30" outlineLevel="1">
      <c r="A276" s="1011"/>
      <c r="B276" s="1013" t="str">
        <f t="shared" si="14"/>
        <v/>
      </c>
      <c r="C276" s="1125"/>
      <c r="D276" s="1122" t="s">
        <v>2516</v>
      </c>
      <c r="E276" s="1011"/>
      <c r="F276" s="1011"/>
      <c r="G276" s="1035"/>
      <c r="H276" s="1035"/>
      <c r="I276" s="1010"/>
      <c r="J276" s="1011"/>
      <c r="K276" s="1035"/>
      <c r="L276" s="1035"/>
      <c r="M276" s="1035"/>
      <c r="N276" s="1035"/>
      <c r="O276" s="1012"/>
      <c r="P276" s="1018" t="s">
        <v>414</v>
      </c>
    </row>
    <row r="277" spans="1:30" outlineLevel="1">
      <c r="A277" s="1011"/>
      <c r="B277" s="1013"/>
      <c r="C277" s="1125"/>
      <c r="D277" s="1122"/>
      <c r="E277" s="1011"/>
      <c r="F277" s="1011"/>
      <c r="G277" s="1035"/>
      <c r="H277" s="1035"/>
      <c r="I277" s="1010"/>
      <c r="J277" s="1011"/>
      <c r="K277" s="1035"/>
      <c r="L277" s="1035"/>
      <c r="M277" s="1035"/>
      <c r="N277" s="1035"/>
      <c r="O277" s="1012"/>
      <c r="P277" s="1018" t="s">
        <v>414</v>
      </c>
    </row>
    <row r="278" spans="1:30" ht="27" customHeight="1" outlineLevel="1">
      <c r="A278" s="1031">
        <v>85</v>
      </c>
      <c r="B278" s="1013">
        <f t="shared" si="14"/>
        <v>85</v>
      </c>
      <c r="C278" s="1125" t="str">
        <f t="shared" si="15"/>
        <v>IVF085</v>
      </c>
      <c r="D278" s="1009" t="s">
        <v>147</v>
      </c>
      <c r="E278" s="1031">
        <v>5</v>
      </c>
      <c r="F278" s="1030" t="s">
        <v>66</v>
      </c>
      <c r="G278" s="1032">
        <v>872</v>
      </c>
      <c r="H278" s="1033">
        <f>ROUND(E278*G278,0)</f>
        <v>4360</v>
      </c>
      <c r="I278" s="1010">
        <v>4</v>
      </c>
      <c r="J278" s="1031" t="str">
        <f>F278</f>
        <v>No</v>
      </c>
      <c r="K278" s="1033">
        <f>G278</f>
        <v>872</v>
      </c>
      <c r="L278" s="1033">
        <f>ROUND(I278*K278,0)</f>
        <v>3488</v>
      </c>
      <c r="M278" s="1035">
        <f>IF(L278&gt;H278,L278-H278,0)</f>
        <v>0</v>
      </c>
      <c r="N278" s="1033">
        <f>IF(H278&gt;L278,H278-L278,0)</f>
        <v>872</v>
      </c>
      <c r="O278" s="1012" t="s">
        <v>2440</v>
      </c>
      <c r="P278" s="1018" t="s">
        <v>414</v>
      </c>
      <c r="Q278" s="1013"/>
      <c r="R278" s="1014"/>
      <c r="S278" s="1014"/>
      <c r="T278" s="1014"/>
      <c r="U278" s="1041"/>
      <c r="V278" s="1037"/>
      <c r="W278" s="1038"/>
      <c r="X278" s="1042"/>
      <c r="Y278" s="1014"/>
      <c r="Z278" s="1014"/>
      <c r="AA278" s="1014"/>
      <c r="AB278" s="1014"/>
      <c r="AC278" s="1014"/>
      <c r="AD278" s="1014"/>
    </row>
    <row r="279" spans="1:30" outlineLevel="1">
      <c r="A279" s="1011"/>
      <c r="B279" s="1013" t="str">
        <f t="shared" si="14"/>
        <v/>
      </c>
      <c r="C279" s="1125"/>
      <c r="D279" s="1122" t="s">
        <v>2516</v>
      </c>
      <c r="E279" s="1011"/>
      <c r="F279" s="1011"/>
      <c r="G279" s="1035"/>
      <c r="H279" s="1035"/>
      <c r="I279" s="1010"/>
      <c r="J279" s="1011"/>
      <c r="K279" s="1035"/>
      <c r="L279" s="1035"/>
      <c r="M279" s="1035"/>
      <c r="N279" s="1035"/>
      <c r="O279" s="1012"/>
      <c r="P279" s="1018" t="s">
        <v>414</v>
      </c>
      <c r="Q279" s="1013"/>
      <c r="R279" s="1014"/>
      <c r="S279" s="1014"/>
      <c r="T279" s="1014"/>
      <c r="U279" s="1041"/>
      <c r="V279" s="1037"/>
      <c r="W279" s="1038"/>
      <c r="X279" s="1042"/>
      <c r="Y279" s="1014"/>
      <c r="Z279" s="1014"/>
      <c r="AA279" s="1014"/>
      <c r="AB279" s="1014"/>
      <c r="AC279" s="1014"/>
      <c r="AD279" s="1014"/>
    </row>
    <row r="280" spans="1:30" outlineLevel="1">
      <c r="A280" s="1011"/>
      <c r="B280" s="1013"/>
      <c r="C280" s="1125"/>
      <c r="D280" s="1122"/>
      <c r="E280" s="1011"/>
      <c r="F280" s="1011"/>
      <c r="G280" s="1035"/>
      <c r="H280" s="1035"/>
      <c r="I280" s="1010"/>
      <c r="J280" s="1011"/>
      <c r="K280" s="1035"/>
      <c r="L280" s="1035"/>
      <c r="M280" s="1035"/>
      <c r="N280" s="1035"/>
      <c r="O280" s="1012"/>
      <c r="P280" s="1018" t="s">
        <v>414</v>
      </c>
      <c r="Q280" s="1013"/>
      <c r="R280" s="1014"/>
      <c r="S280" s="1014"/>
      <c r="T280" s="1014"/>
      <c r="U280" s="1041"/>
      <c r="V280" s="1037"/>
      <c r="W280" s="1038"/>
      <c r="X280" s="1042"/>
      <c r="Y280" s="1014"/>
      <c r="Z280" s="1014"/>
      <c r="AA280" s="1014"/>
      <c r="AB280" s="1014"/>
      <c r="AC280" s="1014"/>
      <c r="AD280" s="1014"/>
    </row>
    <row r="281" spans="1:30" ht="77.5" outlineLevel="1">
      <c r="A281" s="1031">
        <v>86</v>
      </c>
      <c r="B281" s="1013">
        <f t="shared" si="14"/>
        <v>86</v>
      </c>
      <c r="C281" s="1125" t="str">
        <f t="shared" si="15"/>
        <v>IVF086</v>
      </c>
      <c r="D281" s="1009" t="s">
        <v>148</v>
      </c>
      <c r="E281" s="1031">
        <v>5</v>
      </c>
      <c r="F281" s="1030" t="s">
        <v>66</v>
      </c>
      <c r="G281" s="1032">
        <v>418</v>
      </c>
      <c r="H281" s="1033">
        <f>ROUND(E281*G281,0)</f>
        <v>2090</v>
      </c>
      <c r="I281" s="1010">
        <v>4</v>
      </c>
      <c r="J281" s="1031" t="str">
        <f>F281</f>
        <v>No</v>
      </c>
      <c r="K281" s="1033">
        <f>G281</f>
        <v>418</v>
      </c>
      <c r="L281" s="1033">
        <f>ROUND(I281*K281,0)</f>
        <v>1672</v>
      </c>
      <c r="M281" s="1035">
        <f>IF(L281&gt;H281,L281-H281,0)</f>
        <v>0</v>
      </c>
      <c r="N281" s="1033">
        <f>IF(H281&gt;L281,H281-L281,0)</f>
        <v>418</v>
      </c>
      <c r="O281" s="1012" t="s">
        <v>2440</v>
      </c>
      <c r="P281" s="1018" t="s">
        <v>414</v>
      </c>
      <c r="Q281" s="1013"/>
      <c r="R281" s="1014"/>
      <c r="S281" s="1014"/>
      <c r="T281" s="1014"/>
      <c r="U281" s="1041"/>
      <c r="V281" s="1037"/>
      <c r="W281" s="1038"/>
      <c r="X281" s="1042"/>
      <c r="Y281" s="1014"/>
      <c r="Z281" s="1014"/>
      <c r="AA281" s="1014"/>
      <c r="AB281" s="1014"/>
      <c r="AC281" s="1014"/>
      <c r="AD281" s="1014"/>
    </row>
    <row r="282" spans="1:30" outlineLevel="1">
      <c r="A282" s="1031"/>
      <c r="B282" s="1013" t="str">
        <f t="shared" si="14"/>
        <v/>
      </c>
      <c r="C282" s="1125"/>
      <c r="D282" s="1122" t="s">
        <v>2517</v>
      </c>
      <c r="E282" s="1031"/>
      <c r="F282" s="1030"/>
      <c r="G282" s="1032"/>
      <c r="H282" s="1033"/>
      <c r="I282" s="1010"/>
      <c r="J282" s="1031"/>
      <c r="K282" s="1051"/>
      <c r="L282" s="1051"/>
      <c r="M282" s="1052"/>
      <c r="N282" s="1051"/>
      <c r="O282" s="1012"/>
      <c r="P282" s="1018" t="s">
        <v>414</v>
      </c>
      <c r="Q282" s="1013"/>
      <c r="R282" s="1014"/>
      <c r="S282" s="1014"/>
      <c r="T282" s="1014"/>
      <c r="U282" s="1041"/>
      <c r="V282" s="1037"/>
      <c r="W282" s="1038"/>
      <c r="X282" s="1042"/>
      <c r="Y282" s="1014"/>
      <c r="Z282" s="1014"/>
      <c r="AA282" s="1014"/>
      <c r="AB282" s="1014"/>
      <c r="AC282" s="1014"/>
      <c r="AD282" s="1014"/>
    </row>
    <row r="283" spans="1:30" outlineLevel="1">
      <c r="A283" s="1031"/>
      <c r="B283" s="1013"/>
      <c r="C283" s="1125"/>
      <c r="D283" s="1122"/>
      <c r="E283" s="1031"/>
      <c r="F283" s="1030"/>
      <c r="G283" s="1032"/>
      <c r="H283" s="1033"/>
      <c r="I283" s="1010"/>
      <c r="J283" s="1031"/>
      <c r="K283" s="1051"/>
      <c r="L283" s="1051"/>
      <c r="M283" s="1052"/>
      <c r="N283" s="1051"/>
      <c r="O283" s="1012"/>
      <c r="P283" s="1018" t="s">
        <v>414</v>
      </c>
      <c r="Q283" s="1013"/>
      <c r="R283" s="1014"/>
      <c r="S283" s="1014"/>
      <c r="T283" s="1014"/>
      <c r="U283" s="1041"/>
      <c r="V283" s="1037"/>
      <c r="W283" s="1038"/>
      <c r="X283" s="1042"/>
      <c r="Y283" s="1014"/>
      <c r="Z283" s="1014"/>
      <c r="AA283" s="1014"/>
      <c r="AB283" s="1014"/>
      <c r="AC283" s="1014"/>
      <c r="AD283" s="1014"/>
    </row>
    <row r="284" spans="1:30">
      <c r="A284" s="1011"/>
      <c r="B284" s="1013" t="str">
        <f t="shared" si="14"/>
        <v/>
      </c>
      <c r="C284" s="1125"/>
      <c r="D284" s="1009"/>
      <c r="E284" s="1011"/>
      <c r="F284" s="1011"/>
      <c r="G284" s="1035"/>
      <c r="H284" s="1035"/>
      <c r="I284" s="1010"/>
      <c r="J284" s="1011"/>
      <c r="K284" s="1075" t="s">
        <v>405</v>
      </c>
      <c r="L284" s="1076">
        <f>SUM(L245:L282)</f>
        <v>102352</v>
      </c>
      <c r="M284" s="1076">
        <f t="shared" ref="M284:N284" si="16">SUM(M245:M282)</f>
        <v>0</v>
      </c>
      <c r="N284" s="1076">
        <f t="shared" si="16"/>
        <v>102128</v>
      </c>
      <c r="O284" s="1012"/>
      <c r="P284" s="1018"/>
      <c r="Q284" s="1013"/>
      <c r="R284" s="1014"/>
      <c r="S284" s="1014"/>
      <c r="T284" s="1014"/>
      <c r="U284" s="1041"/>
      <c r="V284" s="1037"/>
      <c r="W284" s="1038"/>
      <c r="X284" s="1042"/>
      <c r="Y284" s="1014"/>
      <c r="Z284" s="1014"/>
      <c r="AA284" s="1014"/>
      <c r="AB284" s="1014"/>
      <c r="AC284" s="1014"/>
      <c r="AD284" s="1014"/>
    </row>
    <row r="285" spans="1:30" ht="17.5">
      <c r="A285" s="1031"/>
      <c r="B285" s="1013" t="str">
        <f t="shared" si="14"/>
        <v/>
      </c>
      <c r="C285" s="1125"/>
      <c r="D285" s="1077" t="s">
        <v>276</v>
      </c>
      <c r="E285" s="1031"/>
      <c r="F285" s="1030"/>
      <c r="G285" s="1032"/>
      <c r="H285" s="1033"/>
      <c r="I285" s="1010"/>
      <c r="J285" s="1031"/>
      <c r="K285" s="1051"/>
      <c r="L285" s="1051"/>
      <c r="M285" s="1052"/>
      <c r="N285" s="1051"/>
      <c r="O285" s="1012"/>
      <c r="P285" s="1018"/>
      <c r="Q285" s="1013"/>
      <c r="R285" s="1014"/>
      <c r="S285" s="1014"/>
      <c r="T285" s="1014"/>
      <c r="U285" s="1073"/>
      <c r="V285" s="1073"/>
      <c r="W285" s="1073"/>
      <c r="X285" s="1042"/>
      <c r="Y285" s="1014"/>
      <c r="Z285" s="1014"/>
      <c r="AA285" s="1014"/>
      <c r="AB285" s="1014"/>
      <c r="AC285" s="1014"/>
      <c r="AD285" s="1014"/>
    </row>
    <row r="286" spans="1:30" ht="77.5" outlineLevel="1">
      <c r="A286" s="1031">
        <v>96</v>
      </c>
      <c r="B286" s="1013">
        <f t="shared" si="14"/>
        <v>96</v>
      </c>
      <c r="C286" s="1125" t="str">
        <f t="shared" si="15"/>
        <v>IVF096</v>
      </c>
      <c r="D286" s="1009" t="s">
        <v>649</v>
      </c>
      <c r="E286" s="1031">
        <v>200</v>
      </c>
      <c r="F286" s="1030" t="s">
        <v>60</v>
      </c>
      <c r="G286" s="1032">
        <v>116</v>
      </c>
      <c r="H286" s="1033">
        <f>ROUND(E286*G286,0)</f>
        <v>23200</v>
      </c>
      <c r="I286" s="1010">
        <v>200</v>
      </c>
      <c r="J286" s="1031" t="str">
        <f>F286</f>
        <v>Rmt</v>
      </c>
      <c r="K286" s="1033">
        <f>G286</f>
        <v>116</v>
      </c>
      <c r="L286" s="1033">
        <f t="shared" ref="L286:L302" si="17">ROUND(I286*K286,0)</f>
        <v>23200</v>
      </c>
      <c r="M286" s="1035">
        <f t="shared" ref="M286:M302" si="18">IF(L286&gt;H286,L286-H286,0)</f>
        <v>0</v>
      </c>
      <c r="N286" s="1033">
        <f t="shared" ref="N286:N302" si="19">IF(H286&gt;L286,H286-L286,0)</f>
        <v>0</v>
      </c>
      <c r="O286" s="1234" t="s">
        <v>2358</v>
      </c>
      <c r="P286" s="1018" t="s">
        <v>412</v>
      </c>
      <c r="Q286" s="1013"/>
      <c r="R286" s="1014"/>
      <c r="S286" s="1014"/>
      <c r="T286" s="1014"/>
      <c r="U286" s="1073"/>
      <c r="V286" s="1073"/>
      <c r="W286" s="1073"/>
      <c r="X286" s="1042"/>
      <c r="Y286" s="1014"/>
      <c r="Z286" s="1014"/>
      <c r="AA286" s="1014"/>
      <c r="AB286" s="1014"/>
      <c r="AC286" s="1014"/>
      <c r="AD286" s="1014"/>
    </row>
    <row r="287" spans="1:30" outlineLevel="1">
      <c r="A287" s="1011"/>
      <c r="B287" s="1013" t="str">
        <f t="shared" si="14"/>
        <v/>
      </c>
      <c r="C287" s="1125"/>
      <c r="D287" s="1039" t="s">
        <v>294</v>
      </c>
      <c r="E287" s="1011"/>
      <c r="F287" s="1011"/>
      <c r="G287" s="1035"/>
      <c r="H287" s="1035"/>
      <c r="I287" s="1010">
        <v>215.4</v>
      </c>
      <c r="J287" s="1031" t="str">
        <f>F286</f>
        <v>Rmt</v>
      </c>
      <c r="K287" s="1033">
        <f>G286</f>
        <v>116</v>
      </c>
      <c r="L287" s="1033">
        <f t="shared" si="17"/>
        <v>24986</v>
      </c>
      <c r="M287" s="1035">
        <f t="shared" ref="M287" si="20">IF(L287&gt;H287,L287-H287,0)</f>
        <v>24986</v>
      </c>
      <c r="N287" s="1033">
        <f t="shared" ref="N287" si="21">IF(H287&gt;L287,H287-L287,0)</f>
        <v>0</v>
      </c>
      <c r="O287" s="1235"/>
      <c r="P287" s="1018" t="s">
        <v>412</v>
      </c>
      <c r="Q287" s="1013"/>
      <c r="R287" s="1014"/>
      <c r="S287" s="1014"/>
      <c r="T287" s="1014"/>
      <c r="U287" s="1073"/>
      <c r="V287" s="1073"/>
      <c r="W287" s="1073"/>
      <c r="X287" s="1042"/>
      <c r="Y287" s="1014"/>
      <c r="Z287" s="1014"/>
      <c r="AA287" s="1014"/>
      <c r="AB287" s="1014"/>
      <c r="AC287" s="1014"/>
      <c r="AD287" s="1014"/>
    </row>
    <row r="288" spans="1:30" outlineLevel="1">
      <c r="A288" s="1011"/>
      <c r="B288" s="1013" t="str">
        <f t="shared" si="14"/>
        <v/>
      </c>
      <c r="C288" s="1125"/>
      <c r="D288" s="1122" t="s">
        <v>2460</v>
      </c>
      <c r="E288" s="1011"/>
      <c r="F288" s="1011"/>
      <c r="G288" s="1035"/>
      <c r="H288" s="1035"/>
      <c r="I288" s="1010"/>
      <c r="J288" s="1011"/>
      <c r="K288" s="1032"/>
      <c r="L288" s="1033"/>
      <c r="M288" s="1035"/>
      <c r="N288" s="1033"/>
      <c r="O288" s="1012"/>
      <c r="P288" s="1018" t="s">
        <v>412</v>
      </c>
      <c r="Q288" s="1013"/>
      <c r="R288" s="1014"/>
      <c r="S288" s="1014"/>
      <c r="T288" s="1014"/>
      <c r="U288" s="1073"/>
      <c r="V288" s="1073"/>
      <c r="W288" s="1073"/>
      <c r="X288" s="1042"/>
      <c r="Y288" s="1014"/>
      <c r="Z288" s="1014"/>
      <c r="AA288" s="1014"/>
      <c r="AB288" s="1014"/>
      <c r="AC288" s="1014"/>
      <c r="AD288" s="1014"/>
    </row>
    <row r="289" spans="1:30" outlineLevel="1">
      <c r="A289" s="1011"/>
      <c r="B289" s="1013"/>
      <c r="C289" s="1125"/>
      <c r="D289" s="1122"/>
      <c r="E289" s="1011"/>
      <c r="F289" s="1011"/>
      <c r="G289" s="1035"/>
      <c r="H289" s="1035"/>
      <c r="I289" s="1010"/>
      <c r="J289" s="1011"/>
      <c r="K289" s="1032"/>
      <c r="L289" s="1033"/>
      <c r="M289" s="1035"/>
      <c r="N289" s="1033"/>
      <c r="O289" s="1214"/>
      <c r="P289" s="1018" t="s">
        <v>412</v>
      </c>
      <c r="Q289" s="1013"/>
      <c r="R289" s="1014"/>
      <c r="S289" s="1014"/>
      <c r="T289" s="1014"/>
      <c r="U289" s="1073"/>
      <c r="V289" s="1073"/>
      <c r="W289" s="1073"/>
      <c r="X289" s="1042"/>
      <c r="Y289" s="1014"/>
      <c r="Z289" s="1014"/>
      <c r="AA289" s="1014"/>
      <c r="AB289" s="1014"/>
      <c r="AC289" s="1014"/>
      <c r="AD289" s="1014"/>
    </row>
    <row r="290" spans="1:30" ht="77.5" outlineLevel="1">
      <c r="A290" s="1031">
        <v>97</v>
      </c>
      <c r="B290" s="1013">
        <f t="shared" si="14"/>
        <v>97</v>
      </c>
      <c r="C290" s="1125" t="str">
        <f t="shared" si="15"/>
        <v>IVF097</v>
      </c>
      <c r="D290" s="1009" t="s">
        <v>2364</v>
      </c>
      <c r="E290" s="1031">
        <v>500</v>
      </c>
      <c r="F290" s="1030" t="s">
        <v>60</v>
      </c>
      <c r="G290" s="1032">
        <v>107</v>
      </c>
      <c r="H290" s="1033">
        <f>ROUND(E290*G290,0)</f>
        <v>53500</v>
      </c>
      <c r="I290" s="1010">
        <v>500</v>
      </c>
      <c r="J290" s="1031" t="str">
        <f>F290</f>
        <v>Rmt</v>
      </c>
      <c r="K290" s="1033">
        <f>G290</f>
        <v>107</v>
      </c>
      <c r="L290" s="1033">
        <f t="shared" si="17"/>
        <v>53500</v>
      </c>
      <c r="M290" s="1035">
        <f t="shared" si="18"/>
        <v>0</v>
      </c>
      <c r="N290" s="1033">
        <f t="shared" si="19"/>
        <v>0</v>
      </c>
      <c r="O290" s="1236" t="s">
        <v>2358</v>
      </c>
      <c r="P290" s="1018" t="s">
        <v>412</v>
      </c>
      <c r="Q290" s="1013"/>
      <c r="R290" s="1014"/>
      <c r="S290" s="1014"/>
      <c r="T290" s="1014"/>
      <c r="U290" s="1073"/>
      <c r="V290" s="1073"/>
      <c r="W290" s="1073"/>
      <c r="X290" s="1042"/>
      <c r="Y290" s="1014"/>
      <c r="Z290" s="1014"/>
      <c r="AA290" s="1014"/>
      <c r="AB290" s="1014"/>
      <c r="AC290" s="1014"/>
      <c r="AD290" s="1014"/>
    </row>
    <row r="291" spans="1:30" outlineLevel="1">
      <c r="A291" s="1011"/>
      <c r="B291" s="1013" t="str">
        <f t="shared" si="14"/>
        <v/>
      </c>
      <c r="C291" s="1125"/>
      <c r="D291" s="1039" t="s">
        <v>294</v>
      </c>
      <c r="E291" s="1011"/>
      <c r="F291" s="1011"/>
      <c r="G291" s="1035"/>
      <c r="H291" s="1035"/>
      <c r="I291" s="1010">
        <f>928.4</f>
        <v>928.4</v>
      </c>
      <c r="J291" s="1011" t="s">
        <v>60</v>
      </c>
      <c r="K291" s="1032">
        <v>107</v>
      </c>
      <c r="L291" s="1033">
        <f t="shared" si="17"/>
        <v>99339</v>
      </c>
      <c r="M291" s="1035">
        <f t="shared" si="18"/>
        <v>99339</v>
      </c>
      <c r="N291" s="1033">
        <f t="shared" si="19"/>
        <v>0</v>
      </c>
      <c r="O291" s="1237"/>
      <c r="P291" s="1018" t="s">
        <v>412</v>
      </c>
      <c r="Q291" s="1013"/>
      <c r="R291" s="1014"/>
      <c r="S291" s="1014"/>
      <c r="T291" s="1014"/>
      <c r="U291" s="1073"/>
      <c r="V291" s="1073"/>
      <c r="W291" s="1073"/>
      <c r="X291" s="1042"/>
      <c r="Y291" s="1014"/>
      <c r="Z291" s="1014"/>
      <c r="AA291" s="1014"/>
      <c r="AB291" s="1014"/>
      <c r="AC291" s="1014"/>
      <c r="AD291" s="1014"/>
    </row>
    <row r="292" spans="1:30" outlineLevel="1">
      <c r="A292" s="1011"/>
      <c r="B292" s="1013" t="str">
        <f t="shared" si="14"/>
        <v/>
      </c>
      <c r="C292" s="1125"/>
      <c r="D292" s="1122" t="s">
        <v>2476</v>
      </c>
      <c r="E292" s="1011"/>
      <c r="F292" s="1011"/>
      <c r="G292" s="1035"/>
      <c r="H292" s="1035"/>
      <c r="I292" s="1010"/>
      <c r="J292" s="1011"/>
      <c r="K292" s="1032"/>
      <c r="L292" s="1033"/>
      <c r="M292" s="1035"/>
      <c r="N292" s="1033"/>
      <c r="O292" s="1012"/>
      <c r="P292" s="1018" t="s">
        <v>412</v>
      </c>
      <c r="Q292" s="1013"/>
      <c r="R292" s="1014"/>
      <c r="S292" s="1014"/>
      <c r="T292" s="1014"/>
      <c r="U292" s="1073"/>
      <c r="V292" s="1073"/>
      <c r="W292" s="1073"/>
      <c r="X292" s="1042"/>
      <c r="Y292" s="1014"/>
      <c r="Z292" s="1014"/>
      <c r="AA292" s="1014"/>
      <c r="AB292" s="1014"/>
      <c r="AC292" s="1014"/>
      <c r="AD292" s="1014"/>
    </row>
    <row r="293" spans="1:30" outlineLevel="1">
      <c r="A293" s="1011"/>
      <c r="B293" s="1013"/>
      <c r="C293" s="1125"/>
      <c r="D293" s="1122"/>
      <c r="E293" s="1011"/>
      <c r="F293" s="1011"/>
      <c r="G293" s="1035"/>
      <c r="H293" s="1035"/>
      <c r="I293" s="1010"/>
      <c r="J293" s="1011"/>
      <c r="K293" s="1032"/>
      <c r="L293" s="1033"/>
      <c r="M293" s="1035"/>
      <c r="N293" s="1033"/>
      <c r="O293" s="1214"/>
      <c r="P293" s="1018" t="s">
        <v>412</v>
      </c>
      <c r="Q293" s="1013"/>
      <c r="R293" s="1014"/>
      <c r="S293" s="1014"/>
      <c r="T293" s="1014"/>
      <c r="U293" s="1073"/>
      <c r="V293" s="1073"/>
      <c r="W293" s="1073"/>
      <c r="X293" s="1042"/>
      <c r="Y293" s="1014"/>
      <c r="Z293" s="1014"/>
      <c r="AA293" s="1014"/>
      <c r="AB293" s="1014"/>
      <c r="AC293" s="1014"/>
      <c r="AD293" s="1014"/>
    </row>
    <row r="294" spans="1:30" ht="139.5" outlineLevel="1">
      <c r="A294" s="1031">
        <v>98</v>
      </c>
      <c r="B294" s="1013">
        <f t="shared" si="14"/>
        <v>98</v>
      </c>
      <c r="C294" s="1125" t="str">
        <f t="shared" si="15"/>
        <v>IVF098</v>
      </c>
      <c r="D294" s="1009" t="s">
        <v>2365</v>
      </c>
      <c r="E294" s="1031">
        <v>110</v>
      </c>
      <c r="F294" s="1030" t="s">
        <v>158</v>
      </c>
      <c r="G294" s="1032">
        <v>945</v>
      </c>
      <c r="H294" s="1033">
        <f>ROUND(E294*G294,0)</f>
        <v>103950</v>
      </c>
      <c r="I294" s="1010">
        <v>110</v>
      </c>
      <c r="J294" s="1031" t="str">
        <f>F294</f>
        <v>Pts</v>
      </c>
      <c r="K294" s="1033">
        <f>G294</f>
        <v>945</v>
      </c>
      <c r="L294" s="1033">
        <f t="shared" si="17"/>
        <v>103950</v>
      </c>
      <c r="M294" s="1035">
        <f t="shared" si="18"/>
        <v>0</v>
      </c>
      <c r="N294" s="1033">
        <f t="shared" si="19"/>
        <v>0</v>
      </c>
      <c r="O294" s="1236" t="s">
        <v>2358</v>
      </c>
      <c r="P294" s="1018" t="s">
        <v>412</v>
      </c>
      <c r="Q294" s="1013"/>
      <c r="R294" s="1014"/>
      <c r="S294" s="1014"/>
      <c r="T294" s="1014"/>
      <c r="U294" s="1073"/>
      <c r="V294" s="1073"/>
      <c r="W294" s="1073"/>
      <c r="X294" s="1042"/>
      <c r="Y294" s="1014"/>
      <c r="Z294" s="1014"/>
      <c r="AA294" s="1014"/>
      <c r="AB294" s="1014"/>
      <c r="AC294" s="1014"/>
      <c r="AD294" s="1014"/>
    </row>
    <row r="295" spans="1:30" outlineLevel="1">
      <c r="A295" s="1011"/>
      <c r="B295" s="1013" t="str">
        <f t="shared" si="14"/>
        <v/>
      </c>
      <c r="C295" s="1125"/>
      <c r="D295" s="1039" t="s">
        <v>294</v>
      </c>
      <c r="E295" s="1011"/>
      <c r="F295" s="1011"/>
      <c r="G295" s="1035"/>
      <c r="H295" s="1035"/>
      <c r="I295" s="1010">
        <v>36</v>
      </c>
      <c r="J295" s="1011" t="s">
        <v>158</v>
      </c>
      <c r="K295" s="1032">
        <v>945</v>
      </c>
      <c r="L295" s="1033">
        <f t="shared" si="17"/>
        <v>34020</v>
      </c>
      <c r="M295" s="1035">
        <f t="shared" si="18"/>
        <v>34020</v>
      </c>
      <c r="N295" s="1033">
        <f t="shared" si="19"/>
        <v>0</v>
      </c>
      <c r="O295" s="1237"/>
      <c r="P295" s="1018" t="s">
        <v>412</v>
      </c>
      <c r="Q295" s="1013"/>
      <c r="R295" s="1014"/>
      <c r="S295" s="1014"/>
      <c r="T295" s="1014"/>
      <c r="U295" s="1073"/>
      <c r="V295" s="1073"/>
      <c r="W295" s="1073"/>
      <c r="X295" s="1042"/>
      <c r="Y295" s="1014"/>
      <c r="Z295" s="1014"/>
      <c r="AA295" s="1014"/>
      <c r="AB295" s="1014"/>
      <c r="AC295" s="1014"/>
      <c r="AD295" s="1014"/>
    </row>
    <row r="296" spans="1:30" outlineLevel="1">
      <c r="A296" s="1011"/>
      <c r="B296" s="1013" t="str">
        <f t="shared" si="14"/>
        <v/>
      </c>
      <c r="C296" s="1125"/>
      <c r="D296" s="1122" t="s">
        <v>2479</v>
      </c>
      <c r="E296" s="1011"/>
      <c r="F296" s="1011"/>
      <c r="G296" s="1035"/>
      <c r="H296" s="1035"/>
      <c r="I296" s="1010"/>
      <c r="J296" s="1011"/>
      <c r="K296" s="1032"/>
      <c r="L296" s="1033"/>
      <c r="M296" s="1035"/>
      <c r="N296" s="1033"/>
      <c r="O296" s="1012"/>
      <c r="P296" s="1018" t="s">
        <v>412</v>
      </c>
      <c r="Q296" s="1013"/>
      <c r="R296" s="1014"/>
      <c r="S296" s="1014"/>
      <c r="T296" s="1014"/>
      <c r="U296" s="1073"/>
      <c r="V296" s="1073"/>
      <c r="W296" s="1073"/>
      <c r="X296" s="1042"/>
      <c r="Y296" s="1014"/>
      <c r="Z296" s="1014"/>
      <c r="AA296" s="1014"/>
      <c r="AB296" s="1014"/>
      <c r="AC296" s="1014"/>
      <c r="AD296" s="1014"/>
    </row>
    <row r="297" spans="1:30" outlineLevel="1">
      <c r="A297" s="1011"/>
      <c r="B297" s="1013"/>
      <c r="C297" s="1125"/>
      <c r="D297" s="1122"/>
      <c r="E297" s="1011"/>
      <c r="F297" s="1011"/>
      <c r="G297" s="1035"/>
      <c r="H297" s="1035"/>
      <c r="I297" s="1010"/>
      <c r="J297" s="1011"/>
      <c r="K297" s="1032"/>
      <c r="L297" s="1033"/>
      <c r="M297" s="1035"/>
      <c r="N297" s="1033"/>
      <c r="O297" s="1214"/>
      <c r="P297" s="1018" t="s">
        <v>412</v>
      </c>
      <c r="Q297" s="1013"/>
      <c r="R297" s="1014"/>
      <c r="S297" s="1014"/>
      <c r="T297" s="1014"/>
      <c r="U297" s="1073"/>
      <c r="V297" s="1073"/>
      <c r="W297" s="1073"/>
      <c r="X297" s="1042"/>
      <c r="Y297" s="1014"/>
      <c r="Z297" s="1014"/>
      <c r="AA297" s="1014"/>
      <c r="AB297" s="1014"/>
      <c r="AC297" s="1014"/>
      <c r="AD297" s="1014"/>
    </row>
    <row r="298" spans="1:30" ht="108.5" outlineLevel="1">
      <c r="A298" s="1031">
        <v>99</v>
      </c>
      <c r="B298" s="1013">
        <f t="shared" si="14"/>
        <v>99</v>
      </c>
      <c r="C298" s="1125" t="str">
        <f t="shared" si="15"/>
        <v>IVF099</v>
      </c>
      <c r="D298" s="1009" t="s">
        <v>159</v>
      </c>
      <c r="E298" s="1031">
        <v>12</v>
      </c>
      <c r="F298" s="1030" t="s">
        <v>66</v>
      </c>
      <c r="G298" s="1032">
        <v>675</v>
      </c>
      <c r="H298" s="1033">
        <f>ROUND(E298*G298,0)</f>
        <v>8100</v>
      </c>
      <c r="I298" s="1010">
        <v>12</v>
      </c>
      <c r="J298" s="1031" t="str">
        <f>F298</f>
        <v>No</v>
      </c>
      <c r="K298" s="1033">
        <f>G298</f>
        <v>675</v>
      </c>
      <c r="L298" s="1033">
        <f t="shared" si="17"/>
        <v>8100</v>
      </c>
      <c r="M298" s="1035">
        <f t="shared" si="18"/>
        <v>0</v>
      </c>
      <c r="N298" s="1033">
        <f t="shared" si="19"/>
        <v>0</v>
      </c>
      <c r="O298" s="1236" t="s">
        <v>2358</v>
      </c>
      <c r="P298" s="1018" t="s">
        <v>412</v>
      </c>
      <c r="Q298" s="1013"/>
      <c r="R298" s="1014"/>
      <c r="S298" s="1042"/>
      <c r="T298" s="1042"/>
      <c r="U298" s="1080"/>
      <c r="V298" s="1080"/>
      <c r="W298" s="1080"/>
      <c r="X298" s="1042"/>
      <c r="Y298" s="1014"/>
      <c r="Z298" s="1014"/>
      <c r="AA298" s="1014"/>
      <c r="AB298" s="1014"/>
      <c r="AC298" s="1014"/>
      <c r="AD298" s="1014"/>
    </row>
    <row r="299" spans="1:30" outlineLevel="1">
      <c r="A299" s="1011"/>
      <c r="B299" s="1013" t="str">
        <f t="shared" si="14"/>
        <v/>
      </c>
      <c r="C299" s="1125"/>
      <c r="D299" s="1039" t="s">
        <v>294</v>
      </c>
      <c r="E299" s="1011"/>
      <c r="F299" s="1011"/>
      <c r="G299" s="1035"/>
      <c r="H299" s="1035"/>
      <c r="I299" s="1010">
        <v>18</v>
      </c>
      <c r="J299" s="1011" t="s">
        <v>66</v>
      </c>
      <c r="K299" s="1032">
        <v>675</v>
      </c>
      <c r="L299" s="1033">
        <f t="shared" si="17"/>
        <v>12150</v>
      </c>
      <c r="M299" s="1035">
        <f t="shared" si="18"/>
        <v>12150</v>
      </c>
      <c r="N299" s="1033">
        <f t="shared" si="19"/>
        <v>0</v>
      </c>
      <c r="O299" s="1237"/>
      <c r="P299" s="1018" t="s">
        <v>412</v>
      </c>
      <c r="Q299" s="1013"/>
      <c r="R299" s="1014"/>
      <c r="S299" s="1042"/>
      <c r="T299" s="1042"/>
      <c r="U299" s="1080"/>
      <c r="V299" s="1080"/>
      <c r="W299" s="1080"/>
      <c r="X299" s="1042"/>
      <c r="Y299" s="1014"/>
      <c r="Z299" s="1014"/>
      <c r="AA299" s="1014"/>
      <c r="AB299" s="1014"/>
      <c r="AC299" s="1014"/>
      <c r="AD299" s="1014"/>
    </row>
    <row r="300" spans="1:30" outlineLevel="1">
      <c r="A300" s="1011"/>
      <c r="B300" s="1013"/>
      <c r="C300" s="1125"/>
      <c r="D300" s="1122" t="s">
        <v>2461</v>
      </c>
      <c r="E300" s="1011"/>
      <c r="F300" s="1011"/>
      <c r="G300" s="1035"/>
      <c r="H300" s="1035"/>
      <c r="I300" s="1010"/>
      <c r="J300" s="1011"/>
      <c r="K300" s="1032"/>
      <c r="L300" s="1033"/>
      <c r="M300" s="1035"/>
      <c r="N300" s="1033"/>
      <c r="O300" s="1215"/>
      <c r="P300" s="1018" t="s">
        <v>412</v>
      </c>
      <c r="Q300" s="1013"/>
      <c r="R300" s="1014"/>
      <c r="S300" s="1042"/>
      <c r="T300" s="1042"/>
      <c r="U300" s="1080"/>
      <c r="V300" s="1080"/>
      <c r="W300" s="1080"/>
      <c r="X300" s="1042"/>
      <c r="Y300" s="1014"/>
      <c r="Z300" s="1014"/>
      <c r="AA300" s="1014"/>
      <c r="AB300" s="1014"/>
      <c r="AC300" s="1014"/>
      <c r="AD300" s="1014"/>
    </row>
    <row r="301" spans="1:30" outlineLevel="1">
      <c r="A301" s="1011"/>
      <c r="B301" s="1013" t="str">
        <f t="shared" si="14"/>
        <v/>
      </c>
      <c r="C301" s="1125"/>
      <c r="D301" s="1039"/>
      <c r="E301" s="1011"/>
      <c r="F301" s="1011"/>
      <c r="G301" s="1035"/>
      <c r="H301" s="1035"/>
      <c r="I301" s="1010"/>
      <c r="J301" s="1011"/>
      <c r="K301" s="1032"/>
      <c r="L301" s="1033"/>
      <c r="M301" s="1035"/>
      <c r="N301" s="1033"/>
      <c r="O301" s="1012"/>
      <c r="P301" s="1018" t="s">
        <v>412</v>
      </c>
      <c r="Q301" s="1013"/>
      <c r="R301" s="1014"/>
      <c r="S301" s="1042"/>
      <c r="T301" s="1042"/>
      <c r="U301" s="1080"/>
      <c r="V301" s="1080"/>
      <c r="W301" s="1080"/>
      <c r="X301" s="1042"/>
      <c r="Y301" s="1014"/>
      <c r="Z301" s="1014"/>
      <c r="AA301" s="1014"/>
      <c r="AB301" s="1014"/>
      <c r="AC301" s="1014"/>
      <c r="AD301" s="1014"/>
    </row>
    <row r="302" spans="1:30" ht="93" outlineLevel="1">
      <c r="A302" s="1031">
        <v>100</v>
      </c>
      <c r="B302" s="1013">
        <f t="shared" si="14"/>
        <v>100</v>
      </c>
      <c r="C302" s="1125" t="str">
        <f t="shared" si="15"/>
        <v>IVF100</v>
      </c>
      <c r="D302" s="1009" t="s">
        <v>2366</v>
      </c>
      <c r="E302" s="1031">
        <v>40</v>
      </c>
      <c r="F302" s="1030" t="s">
        <v>66</v>
      </c>
      <c r="G302" s="1032">
        <v>1040</v>
      </c>
      <c r="H302" s="1033">
        <f>ROUND(E302*G302,0)</f>
        <v>41600</v>
      </c>
      <c r="I302" s="1010">
        <v>14</v>
      </c>
      <c r="J302" s="1031" t="str">
        <f>F302</f>
        <v>No</v>
      </c>
      <c r="K302" s="1033">
        <f>G302</f>
        <v>1040</v>
      </c>
      <c r="L302" s="1033">
        <f t="shared" si="17"/>
        <v>14560</v>
      </c>
      <c r="M302" s="1035">
        <f t="shared" si="18"/>
        <v>0</v>
      </c>
      <c r="N302" s="1033">
        <f t="shared" si="19"/>
        <v>27040</v>
      </c>
      <c r="O302" s="1012" t="s">
        <v>2440</v>
      </c>
      <c r="P302" s="1018" t="s">
        <v>412</v>
      </c>
      <c r="Q302" s="1013"/>
      <c r="R302" s="1014"/>
      <c r="S302" s="1042"/>
      <c r="T302" s="1042"/>
      <c r="U302" s="1080"/>
      <c r="V302" s="1080"/>
      <c r="W302" s="1080"/>
      <c r="X302" s="1042"/>
      <c r="Y302" s="1014"/>
      <c r="Z302" s="1014"/>
      <c r="AA302" s="1014"/>
      <c r="AB302" s="1014"/>
      <c r="AC302" s="1014"/>
      <c r="AD302" s="1014"/>
    </row>
    <row r="303" spans="1:30" outlineLevel="1">
      <c r="A303" s="1031"/>
      <c r="B303" s="1013"/>
      <c r="C303" s="1125"/>
      <c r="D303" s="1122" t="s">
        <v>2462</v>
      </c>
      <c r="E303" s="1031"/>
      <c r="F303" s="1030"/>
      <c r="G303" s="1032"/>
      <c r="H303" s="1033"/>
      <c r="I303" s="1010"/>
      <c r="J303" s="1031"/>
      <c r="K303" s="1033"/>
      <c r="L303" s="1033"/>
      <c r="M303" s="1035"/>
      <c r="N303" s="1033"/>
      <c r="O303" s="1012"/>
      <c r="P303" s="1018" t="s">
        <v>412</v>
      </c>
      <c r="Q303" s="1013"/>
      <c r="R303" s="1014"/>
      <c r="S303" s="1042"/>
      <c r="T303" s="1042"/>
      <c r="U303" s="1080"/>
      <c r="V303" s="1080"/>
      <c r="W303" s="1080"/>
      <c r="X303" s="1042"/>
      <c r="Y303" s="1014"/>
      <c r="Z303" s="1014"/>
      <c r="AA303" s="1014"/>
      <c r="AB303" s="1014"/>
      <c r="AC303" s="1014"/>
      <c r="AD303" s="1014"/>
    </row>
    <row r="304" spans="1:30" outlineLevel="1">
      <c r="A304" s="1011"/>
      <c r="B304" s="1013" t="str">
        <f t="shared" ref="B304:B386" si="22">IF(ISBLANK(A304),"",A304)</f>
        <v/>
      </c>
      <c r="C304" s="1125"/>
      <c r="D304" s="1009"/>
      <c r="E304" s="1011"/>
      <c r="F304" s="1011"/>
      <c r="G304" s="1035"/>
      <c r="H304" s="1035"/>
      <c r="I304" s="1010"/>
      <c r="J304" s="1011"/>
      <c r="K304" s="1035"/>
      <c r="L304" s="1035"/>
      <c r="M304" s="1035"/>
      <c r="N304" s="1035"/>
      <c r="O304" s="1012"/>
      <c r="P304" s="1018" t="s">
        <v>412</v>
      </c>
      <c r="Q304" s="1013"/>
      <c r="R304" s="1014"/>
      <c r="S304" s="1042"/>
      <c r="T304" s="1042"/>
      <c r="U304" s="1080"/>
      <c r="V304" s="1080"/>
      <c r="W304" s="1080"/>
      <c r="X304" s="1042"/>
      <c r="Y304" s="1014"/>
      <c r="Z304" s="1014"/>
      <c r="AA304" s="1014"/>
      <c r="AB304" s="1014"/>
      <c r="AC304" s="1014"/>
      <c r="AD304" s="1014"/>
    </row>
    <row r="305" spans="1:30" ht="93" outlineLevel="1">
      <c r="A305" s="1031">
        <v>101</v>
      </c>
      <c r="B305" s="1013">
        <f t="shared" si="22"/>
        <v>101</v>
      </c>
      <c r="C305" s="1125" t="str">
        <f t="shared" ref="C305:C385" si="23">IF(ISBLANK(B305), "", IF(B305&lt;10, "IVF00" &amp; B305, IF(AND(B305&gt;=10, B305&lt;=99), "IVF0" &amp; B305, IF(B305&gt;99, "IVF" &amp; B305))))</f>
        <v>IVF101</v>
      </c>
      <c r="D305" s="1009" t="s">
        <v>161</v>
      </c>
      <c r="E305" s="1031">
        <v>60</v>
      </c>
      <c r="F305" s="1030" t="s">
        <v>66</v>
      </c>
      <c r="G305" s="1032">
        <v>1755</v>
      </c>
      <c r="H305" s="1033">
        <f>ROUND(E305*G305,0)</f>
        <v>105300</v>
      </c>
      <c r="I305" s="1010">
        <f>34+19</f>
        <v>53</v>
      </c>
      <c r="J305" s="1031" t="str">
        <f>F305</f>
        <v>No</v>
      </c>
      <c r="K305" s="1033">
        <f>G305</f>
        <v>1755</v>
      </c>
      <c r="L305" s="1033">
        <f>ROUND(I305*K305,0)</f>
        <v>93015</v>
      </c>
      <c r="M305" s="1035">
        <f>IF(L305&gt;H305,L305-H305,0)</f>
        <v>0</v>
      </c>
      <c r="N305" s="1033">
        <f>IF(H305&gt;L305,H305-L305,0)</f>
        <v>12285</v>
      </c>
      <c r="O305" s="1012" t="s">
        <v>2440</v>
      </c>
      <c r="P305" s="1018" t="s">
        <v>412</v>
      </c>
      <c r="Q305" s="1013"/>
      <c r="R305" s="1014"/>
      <c r="S305" s="1042"/>
      <c r="T305" s="1042"/>
      <c r="U305" s="1080"/>
      <c r="V305" s="1080"/>
      <c r="W305" s="1080"/>
      <c r="X305" s="1042"/>
      <c r="Y305" s="1014"/>
      <c r="Z305" s="1014"/>
      <c r="AA305" s="1014"/>
      <c r="AB305" s="1014"/>
      <c r="AC305" s="1014"/>
      <c r="AD305" s="1014"/>
    </row>
    <row r="306" spans="1:30" outlineLevel="1">
      <c r="A306" s="1031"/>
      <c r="B306" s="1013"/>
      <c r="C306" s="1125"/>
      <c r="D306" s="1122" t="s">
        <v>2478</v>
      </c>
      <c r="E306" s="1031"/>
      <c r="F306" s="1030"/>
      <c r="G306" s="1032"/>
      <c r="H306" s="1033"/>
      <c r="I306" s="1010"/>
      <c r="J306" s="1031"/>
      <c r="K306" s="1033"/>
      <c r="L306" s="1033"/>
      <c r="M306" s="1035"/>
      <c r="N306" s="1033"/>
      <c r="O306" s="1012"/>
      <c r="P306" s="1018" t="s">
        <v>412</v>
      </c>
      <c r="Q306" s="1013"/>
      <c r="R306" s="1014"/>
      <c r="S306" s="1042"/>
      <c r="T306" s="1042"/>
      <c r="U306" s="1080"/>
      <c r="V306" s="1080"/>
      <c r="W306" s="1080"/>
      <c r="X306" s="1042"/>
      <c r="Y306" s="1014"/>
      <c r="Z306" s="1014"/>
      <c r="AA306" s="1014"/>
      <c r="AB306" s="1014"/>
      <c r="AC306" s="1014"/>
      <c r="AD306" s="1014"/>
    </row>
    <row r="307" spans="1:30" outlineLevel="1">
      <c r="A307" s="1011"/>
      <c r="B307" s="1013" t="str">
        <f t="shared" si="22"/>
        <v/>
      </c>
      <c r="C307" s="1125"/>
      <c r="D307" s="1009"/>
      <c r="E307" s="1011"/>
      <c r="F307" s="1011"/>
      <c r="G307" s="1035"/>
      <c r="H307" s="1035"/>
      <c r="I307" s="1010"/>
      <c r="J307" s="1011"/>
      <c r="K307" s="1035"/>
      <c r="L307" s="1035"/>
      <c r="M307" s="1035"/>
      <c r="N307" s="1035"/>
      <c r="O307" s="1012"/>
      <c r="P307" s="1018" t="s">
        <v>412</v>
      </c>
      <c r="Q307" s="1013"/>
      <c r="R307" s="1014"/>
      <c r="S307" s="1042"/>
      <c r="T307" s="1042"/>
      <c r="U307" s="1080"/>
      <c r="V307" s="1080"/>
      <c r="W307" s="1080"/>
      <c r="X307" s="1042"/>
      <c r="Y307" s="1014"/>
      <c r="Z307" s="1014"/>
      <c r="AA307" s="1014"/>
      <c r="AB307" s="1014"/>
      <c r="AC307" s="1014"/>
      <c r="AD307" s="1014"/>
    </row>
    <row r="308" spans="1:30" ht="93" outlineLevel="1">
      <c r="A308" s="1031">
        <v>102</v>
      </c>
      <c r="B308" s="1013">
        <f t="shared" si="22"/>
        <v>102</v>
      </c>
      <c r="C308" s="1125" t="str">
        <f t="shared" si="23"/>
        <v>IVF102</v>
      </c>
      <c r="D308" s="1009" t="s">
        <v>162</v>
      </c>
      <c r="E308" s="1031">
        <v>10</v>
      </c>
      <c r="F308" s="1030" t="s">
        <v>66</v>
      </c>
      <c r="G308" s="1032">
        <v>3092</v>
      </c>
      <c r="H308" s="1033">
        <f>ROUND(E308*G308,0)</f>
        <v>30920</v>
      </c>
      <c r="I308" s="1010">
        <v>0</v>
      </c>
      <c r="J308" s="1031" t="str">
        <f>F308</f>
        <v>No</v>
      </c>
      <c r="K308" s="1033">
        <f>G308</f>
        <v>3092</v>
      </c>
      <c r="L308" s="1033">
        <f>ROUND(I308*K308,0)</f>
        <v>0</v>
      </c>
      <c r="M308" s="1035">
        <f>IF(L308&gt;H308,L308-H308,0)</f>
        <v>0</v>
      </c>
      <c r="N308" s="1033">
        <f>IF(H308&gt;L308,H308-L308,0)</f>
        <v>30920</v>
      </c>
      <c r="O308" s="1012"/>
      <c r="P308" s="1018" t="s">
        <v>412</v>
      </c>
      <c r="Q308" s="1013"/>
      <c r="R308" s="1014"/>
      <c r="S308" s="1042"/>
      <c r="T308" s="1042"/>
      <c r="U308" s="1080"/>
      <c r="V308" s="1080"/>
      <c r="W308" s="1080"/>
      <c r="X308" s="1042"/>
      <c r="Y308" s="1014"/>
      <c r="Z308" s="1014"/>
      <c r="AA308" s="1014"/>
      <c r="AB308" s="1014"/>
      <c r="AC308" s="1014"/>
      <c r="AD308" s="1014"/>
    </row>
    <row r="309" spans="1:30" outlineLevel="1">
      <c r="A309" s="1011"/>
      <c r="B309" s="1013" t="str">
        <f t="shared" si="22"/>
        <v/>
      </c>
      <c r="C309" s="1125"/>
      <c r="D309" s="1009"/>
      <c r="E309" s="1011"/>
      <c r="F309" s="1011"/>
      <c r="G309" s="1035"/>
      <c r="H309" s="1035"/>
      <c r="I309" s="1010"/>
      <c r="J309" s="1011"/>
      <c r="K309" s="1035"/>
      <c r="L309" s="1035"/>
      <c r="M309" s="1035"/>
      <c r="N309" s="1035"/>
      <c r="O309" s="1012"/>
      <c r="P309" s="1018" t="s">
        <v>412</v>
      </c>
      <c r="Q309" s="1013"/>
      <c r="R309" s="1014"/>
      <c r="S309" s="1042"/>
      <c r="T309" s="1042"/>
      <c r="U309" s="1080"/>
      <c r="V309" s="1080"/>
      <c r="W309" s="1080"/>
      <c r="X309" s="1042"/>
      <c r="Y309" s="1014"/>
      <c r="Z309" s="1014"/>
      <c r="AA309" s="1014"/>
      <c r="AB309" s="1014"/>
      <c r="AC309" s="1014"/>
      <c r="AD309" s="1014"/>
    </row>
    <row r="310" spans="1:30" ht="77.5" outlineLevel="1">
      <c r="A310" s="1031">
        <v>103</v>
      </c>
      <c r="B310" s="1013">
        <f t="shared" si="22"/>
        <v>103</v>
      </c>
      <c r="C310" s="1125" t="str">
        <f t="shared" si="23"/>
        <v>IVF103</v>
      </c>
      <c r="D310" s="1009" t="s">
        <v>163</v>
      </c>
      <c r="E310" s="1031">
        <v>350</v>
      </c>
      <c r="F310" s="1030" t="s">
        <v>60</v>
      </c>
      <c r="G310" s="1032">
        <v>40</v>
      </c>
      <c r="H310" s="1033">
        <f>ROUND(E310*G310,0)</f>
        <v>14000</v>
      </c>
      <c r="I310" s="1010">
        <v>0</v>
      </c>
      <c r="J310" s="1031" t="str">
        <f>F310</f>
        <v>Rmt</v>
      </c>
      <c r="K310" s="1033">
        <f>G310</f>
        <v>40</v>
      </c>
      <c r="L310" s="1033">
        <f>ROUND(I310*K310,0)</f>
        <v>0</v>
      </c>
      <c r="M310" s="1035">
        <f>IF(L310&gt;H310,L310-H310,0)</f>
        <v>0</v>
      </c>
      <c r="N310" s="1033">
        <f>IF(H310&gt;L310,H310-L310,0)</f>
        <v>14000</v>
      </c>
      <c r="O310" s="1012"/>
      <c r="P310" s="1018" t="s">
        <v>412</v>
      </c>
      <c r="Q310" s="1013"/>
      <c r="R310" s="1014"/>
      <c r="S310" s="1042"/>
      <c r="T310" s="1042"/>
      <c r="U310" s="1080"/>
      <c r="V310" s="1080"/>
      <c r="W310" s="1080"/>
      <c r="X310" s="1042"/>
      <c r="Y310" s="1014"/>
      <c r="Z310" s="1014"/>
      <c r="AA310" s="1014"/>
      <c r="AB310" s="1014"/>
      <c r="AC310" s="1014"/>
      <c r="AD310" s="1014"/>
    </row>
    <row r="311" spans="1:30" outlineLevel="1">
      <c r="A311" s="1011"/>
      <c r="B311" s="1013" t="str">
        <f t="shared" si="22"/>
        <v/>
      </c>
      <c r="C311" s="1125"/>
      <c r="D311" s="1009"/>
      <c r="E311" s="1011"/>
      <c r="F311" s="1011"/>
      <c r="G311" s="1035"/>
      <c r="H311" s="1035"/>
      <c r="I311" s="1010"/>
      <c r="J311" s="1011"/>
      <c r="K311" s="1035"/>
      <c r="L311" s="1035"/>
      <c r="M311" s="1035"/>
      <c r="N311" s="1035"/>
      <c r="O311" s="1012"/>
      <c r="P311" s="1018" t="s">
        <v>412</v>
      </c>
      <c r="Q311" s="1013"/>
      <c r="R311" s="1014"/>
      <c r="S311" s="1042"/>
      <c r="T311" s="1042"/>
      <c r="U311" s="1080"/>
      <c r="V311" s="1080"/>
      <c r="W311" s="1080"/>
      <c r="X311" s="1042"/>
      <c r="Y311" s="1014"/>
      <c r="Z311" s="1014"/>
      <c r="AA311" s="1014"/>
      <c r="AB311" s="1014"/>
      <c r="AC311" s="1014"/>
      <c r="AD311" s="1014"/>
    </row>
    <row r="312" spans="1:30" ht="93" outlineLevel="1">
      <c r="A312" s="1031">
        <v>104</v>
      </c>
      <c r="B312" s="1013">
        <f t="shared" si="22"/>
        <v>104</v>
      </c>
      <c r="C312" s="1125" t="str">
        <f t="shared" si="23"/>
        <v>IVF104</v>
      </c>
      <c r="D312" s="1009" t="s">
        <v>2481</v>
      </c>
      <c r="E312" s="1031">
        <v>600</v>
      </c>
      <c r="F312" s="1030" t="s">
        <v>60</v>
      </c>
      <c r="G312" s="1032">
        <v>177</v>
      </c>
      <c r="H312" s="1033">
        <f>ROUND(E312*G312,0)</f>
        <v>106200</v>
      </c>
      <c r="I312" s="1010">
        <v>600</v>
      </c>
      <c r="J312" s="1031" t="str">
        <f>F312</f>
        <v>Rmt</v>
      </c>
      <c r="K312" s="1033">
        <f>G312</f>
        <v>177</v>
      </c>
      <c r="L312" s="1033">
        <f t="shared" ref="L312:L328" si="24">ROUND(I312*K312,0)</f>
        <v>106200</v>
      </c>
      <c r="M312" s="1035">
        <f t="shared" ref="M312:M328" si="25">IF(L312&gt;H312,L312-H312,0)</f>
        <v>0</v>
      </c>
      <c r="N312" s="1033">
        <f t="shared" ref="N312:N328" si="26">IF(H312&gt;L312,H312-L312,0)</f>
        <v>0</v>
      </c>
      <c r="O312" s="1236" t="s">
        <v>2358</v>
      </c>
      <c r="P312" s="1018" t="s">
        <v>412</v>
      </c>
      <c r="Q312" s="1013"/>
      <c r="R312" s="1014"/>
      <c r="S312" s="1042"/>
      <c r="T312" s="1042"/>
      <c r="U312" s="1080"/>
      <c r="V312" s="1080"/>
      <c r="W312" s="1080"/>
      <c r="X312" s="1042"/>
      <c r="Y312" s="1014"/>
      <c r="Z312" s="1014"/>
      <c r="AA312" s="1014"/>
      <c r="AB312" s="1014"/>
      <c r="AC312" s="1014"/>
      <c r="AD312" s="1014"/>
    </row>
    <row r="313" spans="1:30" outlineLevel="1">
      <c r="A313" s="1011"/>
      <c r="B313" s="1013" t="str">
        <f t="shared" si="22"/>
        <v/>
      </c>
      <c r="C313" s="1125"/>
      <c r="D313" s="1039" t="s">
        <v>294</v>
      </c>
      <c r="E313" s="1011"/>
      <c r="F313" s="1011"/>
      <c r="G313" s="1035"/>
      <c r="H313" s="1035"/>
      <c r="I313" s="1010">
        <v>36.4</v>
      </c>
      <c r="J313" s="1011" t="s">
        <v>60</v>
      </c>
      <c r="K313" s="1032">
        <v>177</v>
      </c>
      <c r="L313" s="1033">
        <f t="shared" si="24"/>
        <v>6443</v>
      </c>
      <c r="M313" s="1035">
        <f t="shared" si="25"/>
        <v>6443</v>
      </c>
      <c r="N313" s="1033">
        <f t="shared" si="26"/>
        <v>0</v>
      </c>
      <c r="O313" s="1237"/>
      <c r="P313" s="1018" t="s">
        <v>412</v>
      </c>
      <c r="Q313" s="1013"/>
      <c r="R313" s="1014"/>
      <c r="S313" s="1042"/>
      <c r="T313" s="1042"/>
      <c r="U313" s="1080"/>
      <c r="V313" s="1080"/>
      <c r="W313" s="1080"/>
      <c r="X313" s="1042"/>
      <c r="Y313" s="1014"/>
      <c r="Z313" s="1014"/>
      <c r="AA313" s="1014"/>
      <c r="AB313" s="1014"/>
      <c r="AC313" s="1014"/>
      <c r="AD313" s="1014"/>
    </row>
    <row r="314" spans="1:30" outlineLevel="1">
      <c r="A314" s="1011"/>
      <c r="B314" s="1013" t="str">
        <f t="shared" si="22"/>
        <v/>
      </c>
      <c r="C314" s="1125"/>
      <c r="D314" s="1122" t="s">
        <v>2482</v>
      </c>
      <c r="E314" s="1011"/>
      <c r="F314" s="1011"/>
      <c r="G314" s="1035"/>
      <c r="H314" s="1035"/>
      <c r="I314" s="1010"/>
      <c r="J314" s="1011"/>
      <c r="K314" s="1032"/>
      <c r="L314" s="1033"/>
      <c r="M314" s="1035"/>
      <c r="N314" s="1033"/>
      <c r="O314" s="1012"/>
      <c r="P314" s="1018" t="s">
        <v>412</v>
      </c>
      <c r="Q314" s="1013"/>
      <c r="R314" s="1014"/>
      <c r="S314" s="1042"/>
      <c r="T314" s="1042"/>
      <c r="U314" s="1080"/>
      <c r="V314" s="1080"/>
      <c r="W314" s="1080"/>
      <c r="X314" s="1042"/>
      <c r="Y314" s="1014"/>
      <c r="Z314" s="1014"/>
      <c r="AA314" s="1014"/>
      <c r="AB314" s="1014"/>
      <c r="AC314" s="1014"/>
      <c r="AD314" s="1014"/>
    </row>
    <row r="315" spans="1:30" outlineLevel="1">
      <c r="A315" s="1011"/>
      <c r="B315" s="1013"/>
      <c r="C315" s="1125"/>
      <c r="D315" s="1122"/>
      <c r="E315" s="1011"/>
      <c r="F315" s="1011"/>
      <c r="G315" s="1035"/>
      <c r="H315" s="1035"/>
      <c r="I315" s="1010"/>
      <c r="J315" s="1011"/>
      <c r="K315" s="1032"/>
      <c r="L315" s="1033"/>
      <c r="M315" s="1035"/>
      <c r="N315" s="1033"/>
      <c r="O315" s="1214"/>
      <c r="P315" s="1018" t="s">
        <v>412</v>
      </c>
      <c r="Q315" s="1013"/>
      <c r="R315" s="1014"/>
      <c r="S315" s="1042"/>
      <c r="T315" s="1042"/>
      <c r="U315" s="1080"/>
      <c r="V315" s="1080"/>
      <c r="W315" s="1080"/>
      <c r="X315" s="1042"/>
      <c r="Y315" s="1014"/>
      <c r="Z315" s="1014"/>
      <c r="AA315" s="1014"/>
      <c r="AB315" s="1014"/>
      <c r="AC315" s="1014"/>
      <c r="AD315" s="1014"/>
    </row>
    <row r="316" spans="1:30" ht="77.5" outlineLevel="1">
      <c r="A316" s="1031">
        <v>105</v>
      </c>
      <c r="B316" s="1013">
        <f t="shared" si="22"/>
        <v>105</v>
      </c>
      <c r="C316" s="1125" t="str">
        <f t="shared" si="23"/>
        <v>IVF105</v>
      </c>
      <c r="D316" s="1009" t="s">
        <v>165</v>
      </c>
      <c r="E316" s="1031">
        <v>1200</v>
      </c>
      <c r="F316" s="1030" t="s">
        <v>60</v>
      </c>
      <c r="G316" s="1032">
        <v>255</v>
      </c>
      <c r="H316" s="1033">
        <f>ROUND(E316*G316,0)</f>
        <v>306000</v>
      </c>
      <c r="I316" s="1010">
        <v>1200</v>
      </c>
      <c r="J316" s="1031" t="str">
        <f>F316</f>
        <v>Rmt</v>
      </c>
      <c r="K316" s="1033">
        <f>G316</f>
        <v>255</v>
      </c>
      <c r="L316" s="1033">
        <f t="shared" si="24"/>
        <v>306000</v>
      </c>
      <c r="M316" s="1035">
        <f t="shared" si="25"/>
        <v>0</v>
      </c>
      <c r="N316" s="1033">
        <f t="shared" si="26"/>
        <v>0</v>
      </c>
      <c r="O316" s="1236" t="s">
        <v>2358</v>
      </c>
      <c r="P316" s="1018" t="s">
        <v>412</v>
      </c>
      <c r="Q316" s="1013"/>
      <c r="R316" s="1014"/>
      <c r="S316" s="1042"/>
      <c r="T316" s="1042"/>
      <c r="U316" s="1080"/>
      <c r="V316" s="1080"/>
      <c r="W316" s="1080"/>
      <c r="X316" s="1042"/>
      <c r="Y316" s="1014"/>
      <c r="Z316" s="1014"/>
      <c r="AA316" s="1014"/>
      <c r="AB316" s="1014"/>
      <c r="AC316" s="1014"/>
      <c r="AD316" s="1014"/>
    </row>
    <row r="317" spans="1:30" outlineLevel="1">
      <c r="A317" s="1011"/>
      <c r="B317" s="1013" t="str">
        <f t="shared" si="22"/>
        <v/>
      </c>
      <c r="C317" s="1125"/>
      <c r="D317" s="1039" t="s">
        <v>294</v>
      </c>
      <c r="E317" s="1011"/>
      <c r="F317" s="1011"/>
      <c r="G317" s="1035"/>
      <c r="H317" s="1035"/>
      <c r="I317" s="1010">
        <v>148.30000000000001</v>
      </c>
      <c r="J317" s="1011" t="s">
        <v>60</v>
      </c>
      <c r="K317" s="1032">
        <v>255</v>
      </c>
      <c r="L317" s="1033">
        <f t="shared" si="24"/>
        <v>37817</v>
      </c>
      <c r="M317" s="1035">
        <f t="shared" si="25"/>
        <v>37817</v>
      </c>
      <c r="N317" s="1033">
        <f t="shared" si="26"/>
        <v>0</v>
      </c>
      <c r="O317" s="1237"/>
      <c r="P317" s="1018" t="s">
        <v>412</v>
      </c>
      <c r="Q317" s="1013"/>
      <c r="R317" s="1014"/>
      <c r="S317" s="1042"/>
      <c r="T317" s="1042"/>
      <c r="U317" s="1080"/>
      <c r="V317" s="1080"/>
      <c r="W317" s="1080"/>
      <c r="X317" s="1042"/>
      <c r="Y317" s="1014"/>
      <c r="Z317" s="1014"/>
      <c r="AA317" s="1014"/>
      <c r="AB317" s="1014"/>
      <c r="AC317" s="1014"/>
      <c r="AD317" s="1014"/>
    </row>
    <row r="318" spans="1:30" outlineLevel="1">
      <c r="A318" s="1011"/>
      <c r="B318" s="1013"/>
      <c r="C318" s="1125"/>
      <c r="D318" s="1122" t="s">
        <v>2477</v>
      </c>
      <c r="E318" s="1011"/>
      <c r="F318" s="1011"/>
      <c r="G318" s="1035"/>
      <c r="H318" s="1035"/>
      <c r="I318" s="1010"/>
      <c r="J318" s="1011"/>
      <c r="K318" s="1032"/>
      <c r="L318" s="1033"/>
      <c r="M318" s="1035"/>
      <c r="N318" s="1033"/>
      <c r="O318" s="1215"/>
      <c r="P318" s="1018" t="s">
        <v>412</v>
      </c>
      <c r="Q318" s="1013"/>
      <c r="R318" s="1014"/>
      <c r="S318" s="1042"/>
      <c r="T318" s="1042"/>
      <c r="U318" s="1080"/>
      <c r="V318" s="1080"/>
      <c r="W318" s="1080"/>
      <c r="X318" s="1042"/>
      <c r="Y318" s="1014"/>
      <c r="Z318" s="1014"/>
      <c r="AA318" s="1014"/>
      <c r="AB318" s="1014"/>
      <c r="AC318" s="1014"/>
      <c r="AD318" s="1014"/>
    </row>
    <row r="319" spans="1:30" outlineLevel="1">
      <c r="A319" s="1011"/>
      <c r="B319" s="1013" t="str">
        <f t="shared" si="22"/>
        <v/>
      </c>
      <c r="C319" s="1125"/>
      <c r="D319" s="1039"/>
      <c r="E319" s="1011"/>
      <c r="F319" s="1011"/>
      <c r="G319" s="1035"/>
      <c r="H319" s="1035"/>
      <c r="I319" s="1010"/>
      <c r="J319" s="1011"/>
      <c r="K319" s="1032"/>
      <c r="L319" s="1033"/>
      <c r="M319" s="1035"/>
      <c r="N319" s="1033"/>
      <c r="O319" s="1012"/>
      <c r="P319" s="1018" t="s">
        <v>412</v>
      </c>
      <c r="Q319" s="1013"/>
      <c r="R319" s="1014"/>
      <c r="S319" s="1042"/>
      <c r="T319" s="1042"/>
      <c r="U319" s="1080"/>
      <c r="V319" s="1080"/>
      <c r="W319" s="1080"/>
      <c r="X319" s="1042"/>
      <c r="Y319" s="1014"/>
      <c r="Z319" s="1014"/>
      <c r="AA319" s="1014"/>
      <c r="AB319" s="1014"/>
      <c r="AC319" s="1014"/>
      <c r="AD319" s="1014"/>
    </row>
    <row r="320" spans="1:30" ht="93" outlineLevel="1">
      <c r="A320" s="1031">
        <v>106</v>
      </c>
      <c r="B320" s="1013">
        <f t="shared" si="22"/>
        <v>106</v>
      </c>
      <c r="C320" s="1125" t="str">
        <f t="shared" si="23"/>
        <v>IVF106</v>
      </c>
      <c r="D320" s="1009" t="s">
        <v>166</v>
      </c>
      <c r="E320" s="1031">
        <v>60</v>
      </c>
      <c r="F320" s="1030" t="s">
        <v>60</v>
      </c>
      <c r="G320" s="1032">
        <v>606</v>
      </c>
      <c r="H320" s="1033">
        <f>ROUND(E320*G320,0)</f>
        <v>36360</v>
      </c>
      <c r="I320" s="1010">
        <v>60</v>
      </c>
      <c r="J320" s="1031" t="str">
        <f>F320</f>
        <v>Rmt</v>
      </c>
      <c r="K320" s="1033">
        <f>G320</f>
        <v>606</v>
      </c>
      <c r="L320" s="1033">
        <f t="shared" si="24"/>
        <v>36360</v>
      </c>
      <c r="M320" s="1035">
        <f t="shared" si="25"/>
        <v>0</v>
      </c>
      <c r="N320" s="1033">
        <f t="shared" si="26"/>
        <v>0</v>
      </c>
      <c r="O320" s="1236" t="s">
        <v>2358</v>
      </c>
      <c r="P320" s="1018" t="s">
        <v>412</v>
      </c>
      <c r="Q320" s="1013"/>
      <c r="R320" s="1014"/>
      <c r="S320" s="1042"/>
      <c r="T320" s="1042">
        <f>333.3-60</f>
        <v>273.3</v>
      </c>
      <c r="U320" s="1080"/>
      <c r="V320" s="1080"/>
      <c r="W320" s="1080"/>
      <c r="X320" s="1042"/>
      <c r="Y320" s="1014"/>
      <c r="Z320" s="1014"/>
      <c r="AA320" s="1014"/>
      <c r="AB320" s="1014"/>
      <c r="AC320" s="1014"/>
      <c r="AD320" s="1014"/>
    </row>
    <row r="321" spans="1:30" outlineLevel="1">
      <c r="A321" s="1011"/>
      <c r="B321" s="1013" t="str">
        <f t="shared" si="22"/>
        <v/>
      </c>
      <c r="C321" s="1125"/>
      <c r="D321" s="1039" t="s">
        <v>294</v>
      </c>
      <c r="E321" s="1011"/>
      <c r="F321" s="1011"/>
      <c r="G321" s="1035"/>
      <c r="H321" s="1035"/>
      <c r="I321" s="1010">
        <v>273.3</v>
      </c>
      <c r="J321" s="1011" t="s">
        <v>60</v>
      </c>
      <c r="K321" s="1032">
        <v>606</v>
      </c>
      <c r="L321" s="1033">
        <f t="shared" si="24"/>
        <v>165620</v>
      </c>
      <c r="M321" s="1035">
        <f t="shared" si="25"/>
        <v>165620</v>
      </c>
      <c r="N321" s="1033">
        <f t="shared" si="26"/>
        <v>0</v>
      </c>
      <c r="O321" s="1237"/>
      <c r="P321" s="1018" t="s">
        <v>412</v>
      </c>
      <c r="Q321" s="1013"/>
      <c r="R321" s="1014"/>
      <c r="S321" s="1042"/>
      <c r="T321" s="1042"/>
      <c r="U321" s="1080"/>
      <c r="V321" s="1080"/>
      <c r="W321" s="1080"/>
      <c r="X321" s="1042"/>
      <c r="Y321" s="1014"/>
      <c r="Z321" s="1014"/>
      <c r="AA321" s="1014"/>
      <c r="AB321" s="1014"/>
      <c r="AC321" s="1014"/>
      <c r="AD321" s="1014"/>
    </row>
    <row r="322" spans="1:30" outlineLevel="1">
      <c r="A322" s="1011"/>
      <c r="B322" s="1013"/>
      <c r="C322" s="1125"/>
      <c r="D322" s="1122" t="s">
        <v>2480</v>
      </c>
      <c r="E322" s="1011"/>
      <c r="F322" s="1011"/>
      <c r="G322" s="1035"/>
      <c r="H322" s="1035"/>
      <c r="I322" s="1010"/>
      <c r="J322" s="1011"/>
      <c r="K322" s="1032"/>
      <c r="L322" s="1033"/>
      <c r="M322" s="1035"/>
      <c r="N322" s="1033"/>
      <c r="O322" s="1215"/>
      <c r="P322" s="1018" t="s">
        <v>412</v>
      </c>
      <c r="Q322" s="1013"/>
      <c r="R322" s="1014"/>
      <c r="S322" s="1042"/>
      <c r="T322" s="1042"/>
      <c r="U322" s="1080"/>
      <c r="V322" s="1080"/>
      <c r="W322" s="1080"/>
      <c r="X322" s="1042"/>
      <c r="Y322" s="1014"/>
      <c r="Z322" s="1014"/>
      <c r="AA322" s="1014"/>
      <c r="AB322" s="1014"/>
      <c r="AC322" s="1014"/>
      <c r="AD322" s="1014"/>
    </row>
    <row r="323" spans="1:30" outlineLevel="1">
      <c r="A323" s="1011"/>
      <c r="B323" s="1013" t="str">
        <f t="shared" si="22"/>
        <v/>
      </c>
      <c r="C323" s="1125"/>
      <c r="D323" s="1039"/>
      <c r="E323" s="1011"/>
      <c r="F323" s="1011"/>
      <c r="G323" s="1035"/>
      <c r="H323" s="1035"/>
      <c r="I323" s="1010"/>
      <c r="J323" s="1011"/>
      <c r="K323" s="1032"/>
      <c r="L323" s="1033"/>
      <c r="M323" s="1035"/>
      <c r="N323" s="1033"/>
      <c r="O323" s="1012"/>
      <c r="P323" s="1018" t="s">
        <v>412</v>
      </c>
      <c r="Q323" s="1013"/>
      <c r="R323" s="1014"/>
      <c r="S323" s="1042"/>
      <c r="T323" s="1042"/>
      <c r="U323" s="1080"/>
      <c r="V323" s="1080"/>
      <c r="W323" s="1080"/>
      <c r="X323" s="1042"/>
      <c r="Y323" s="1014"/>
      <c r="Z323" s="1014"/>
      <c r="AA323" s="1014"/>
      <c r="AB323" s="1014"/>
      <c r="AC323" s="1014"/>
      <c r="AD323" s="1014"/>
    </row>
    <row r="324" spans="1:30" ht="93" outlineLevel="1">
      <c r="A324" s="1031">
        <v>107</v>
      </c>
      <c r="B324" s="1013">
        <f t="shared" si="22"/>
        <v>107</v>
      </c>
      <c r="C324" s="1125" t="str">
        <f t="shared" si="23"/>
        <v>IVF107</v>
      </c>
      <c r="D324" s="1009" t="s">
        <v>167</v>
      </c>
      <c r="E324" s="1031">
        <v>40</v>
      </c>
      <c r="F324" s="1030" t="s">
        <v>60</v>
      </c>
      <c r="G324" s="1032">
        <v>967</v>
      </c>
      <c r="H324" s="1033">
        <f>ROUND(E324*G324,0)</f>
        <v>38680</v>
      </c>
      <c r="I324" s="1010">
        <v>40</v>
      </c>
      <c r="J324" s="1031" t="str">
        <f>F324</f>
        <v>Rmt</v>
      </c>
      <c r="K324" s="1033">
        <f>G324</f>
        <v>967</v>
      </c>
      <c r="L324" s="1033">
        <f t="shared" si="24"/>
        <v>38680</v>
      </c>
      <c r="M324" s="1035">
        <f t="shared" si="25"/>
        <v>0</v>
      </c>
      <c r="N324" s="1033">
        <f t="shared" si="26"/>
        <v>0</v>
      </c>
      <c r="O324" s="1236" t="s">
        <v>2358</v>
      </c>
      <c r="P324" s="1018" t="s">
        <v>412</v>
      </c>
      <c r="Q324" s="1013"/>
      <c r="R324" s="1014"/>
      <c r="S324" s="1042"/>
      <c r="T324" s="1042"/>
      <c r="U324" s="1080"/>
      <c r="V324" s="1080"/>
      <c r="W324" s="1080"/>
      <c r="X324" s="1042"/>
      <c r="Y324" s="1014"/>
      <c r="Z324" s="1014"/>
      <c r="AA324" s="1014"/>
      <c r="AB324" s="1014"/>
      <c r="AC324" s="1014"/>
      <c r="AD324" s="1014"/>
    </row>
    <row r="325" spans="1:30" outlineLevel="1">
      <c r="A325" s="1011"/>
      <c r="B325" s="1013" t="str">
        <f t="shared" si="22"/>
        <v/>
      </c>
      <c r="C325" s="1125"/>
      <c r="D325" s="1039" t="s">
        <v>294</v>
      </c>
      <c r="E325" s="1011"/>
      <c r="F325" s="1011"/>
      <c r="G325" s="1035"/>
      <c r="H325" s="1035"/>
      <c r="I325" s="1010">
        <v>105.1</v>
      </c>
      <c r="J325" s="1011" t="s">
        <v>60</v>
      </c>
      <c r="K325" s="1032">
        <v>967</v>
      </c>
      <c r="L325" s="1033">
        <f t="shared" si="24"/>
        <v>101632</v>
      </c>
      <c r="M325" s="1035">
        <f t="shared" si="25"/>
        <v>101632</v>
      </c>
      <c r="N325" s="1033">
        <f t="shared" si="26"/>
        <v>0</v>
      </c>
      <c r="O325" s="1237"/>
      <c r="P325" s="1018" t="s">
        <v>412</v>
      </c>
      <c r="Q325" s="1013"/>
      <c r="R325" s="1014"/>
      <c r="S325" s="1042"/>
      <c r="T325" s="1042"/>
      <c r="U325" s="1080"/>
      <c r="V325" s="1080"/>
      <c r="W325" s="1080"/>
      <c r="X325" s="1042"/>
      <c r="Y325" s="1014"/>
      <c r="Z325" s="1014"/>
      <c r="AA325" s="1014"/>
      <c r="AB325" s="1014"/>
      <c r="AC325" s="1014"/>
      <c r="AD325" s="1014"/>
    </row>
    <row r="326" spans="1:30" outlineLevel="1">
      <c r="A326" s="1011"/>
      <c r="B326" s="1013"/>
      <c r="C326" s="1125"/>
      <c r="D326" s="1122" t="s">
        <v>2463</v>
      </c>
      <c r="E326" s="1011"/>
      <c r="F326" s="1011"/>
      <c r="G326" s="1035"/>
      <c r="H326" s="1035"/>
      <c r="I326" s="1010"/>
      <c r="J326" s="1011"/>
      <c r="K326" s="1032"/>
      <c r="L326" s="1033"/>
      <c r="M326" s="1035"/>
      <c r="N326" s="1033"/>
      <c r="O326" s="1215"/>
      <c r="P326" s="1018" t="s">
        <v>412</v>
      </c>
      <c r="Q326" s="1013"/>
      <c r="R326" s="1014"/>
      <c r="S326" s="1042"/>
      <c r="T326" s="1042"/>
      <c r="U326" s="1080"/>
      <c r="V326" s="1080"/>
      <c r="W326" s="1080"/>
      <c r="X326" s="1042"/>
      <c r="Y326" s="1014"/>
      <c r="Z326" s="1014"/>
      <c r="AA326" s="1014"/>
      <c r="AB326" s="1014"/>
      <c r="AC326" s="1014"/>
      <c r="AD326" s="1014"/>
    </row>
    <row r="327" spans="1:30" outlineLevel="1">
      <c r="A327" s="1011"/>
      <c r="B327" s="1013" t="str">
        <f t="shared" si="22"/>
        <v/>
      </c>
      <c r="C327" s="1125"/>
      <c r="D327" s="1039"/>
      <c r="E327" s="1011"/>
      <c r="F327" s="1011"/>
      <c r="G327" s="1035"/>
      <c r="H327" s="1035"/>
      <c r="I327" s="1010"/>
      <c r="J327" s="1011"/>
      <c r="K327" s="1032"/>
      <c r="L327" s="1033"/>
      <c r="M327" s="1035"/>
      <c r="N327" s="1033"/>
      <c r="O327" s="1012"/>
      <c r="P327" s="1018" t="s">
        <v>412</v>
      </c>
      <c r="Q327" s="1013"/>
      <c r="R327" s="1014"/>
      <c r="S327" s="1042"/>
      <c r="T327" s="1042"/>
      <c r="U327" s="1080"/>
      <c r="V327" s="1080"/>
      <c r="W327" s="1080"/>
      <c r="X327" s="1042"/>
      <c r="Y327" s="1014"/>
      <c r="Z327" s="1014"/>
      <c r="AA327" s="1014"/>
      <c r="AB327" s="1014"/>
      <c r="AC327" s="1014"/>
      <c r="AD327" s="1014"/>
    </row>
    <row r="328" spans="1:30" ht="77.5" outlineLevel="1">
      <c r="A328" s="1031">
        <v>108</v>
      </c>
      <c r="B328" s="1013">
        <f t="shared" si="22"/>
        <v>108</v>
      </c>
      <c r="C328" s="1125" t="str">
        <f t="shared" si="23"/>
        <v>IVF108</v>
      </c>
      <c r="D328" s="1009" t="s">
        <v>168</v>
      </c>
      <c r="E328" s="1031">
        <v>5</v>
      </c>
      <c r="F328" s="1030" t="s">
        <v>66</v>
      </c>
      <c r="G328" s="1032">
        <v>2562</v>
      </c>
      <c r="H328" s="1033">
        <f>ROUND(E328*G328,0)</f>
        <v>12810</v>
      </c>
      <c r="I328" s="1010">
        <v>1</v>
      </c>
      <c r="J328" s="1031" t="str">
        <f>F328</f>
        <v>No</v>
      </c>
      <c r="K328" s="1033">
        <f>G328</f>
        <v>2562</v>
      </c>
      <c r="L328" s="1033">
        <f t="shared" si="24"/>
        <v>2562</v>
      </c>
      <c r="M328" s="1035">
        <f t="shared" si="25"/>
        <v>0</v>
      </c>
      <c r="N328" s="1033">
        <f t="shared" si="26"/>
        <v>10248</v>
      </c>
      <c r="O328" s="1012" t="s">
        <v>2440</v>
      </c>
      <c r="P328" s="1018" t="s">
        <v>412</v>
      </c>
      <c r="Q328" s="1013"/>
      <c r="R328" s="1014"/>
      <c r="S328" s="1042"/>
      <c r="T328" s="1042"/>
      <c r="U328" s="1080"/>
      <c r="V328" s="1080"/>
      <c r="W328" s="1080"/>
      <c r="X328" s="1042"/>
      <c r="Y328" s="1014"/>
      <c r="Z328" s="1014"/>
      <c r="AA328" s="1014"/>
      <c r="AB328" s="1014"/>
      <c r="AC328" s="1014"/>
      <c r="AD328" s="1014"/>
    </row>
    <row r="329" spans="1:30" outlineLevel="1">
      <c r="A329" s="1011"/>
      <c r="B329" s="1013" t="str">
        <f t="shared" si="22"/>
        <v/>
      </c>
      <c r="C329" s="1125"/>
      <c r="D329" s="1122" t="s">
        <v>2475</v>
      </c>
      <c r="E329" s="1011"/>
      <c r="F329" s="1011"/>
      <c r="G329" s="1035"/>
      <c r="H329" s="1035"/>
      <c r="I329" s="1010"/>
      <c r="J329" s="1011"/>
      <c r="K329" s="1035"/>
      <c r="L329" s="1035"/>
      <c r="M329" s="1035"/>
      <c r="N329" s="1035"/>
      <c r="O329" s="1012"/>
      <c r="P329" s="1018" t="s">
        <v>412</v>
      </c>
      <c r="Q329" s="1013"/>
      <c r="R329" s="1014"/>
      <c r="S329" s="1042"/>
      <c r="T329" s="1042"/>
      <c r="U329" s="1080"/>
      <c r="V329" s="1080"/>
      <c r="W329" s="1080"/>
      <c r="X329" s="1042"/>
      <c r="Y329" s="1014"/>
      <c r="Z329" s="1014"/>
      <c r="AA329" s="1014"/>
      <c r="AB329" s="1014"/>
      <c r="AC329" s="1014"/>
      <c r="AD329" s="1014"/>
    </row>
    <row r="330" spans="1:30" outlineLevel="1">
      <c r="A330" s="1011"/>
      <c r="B330" s="1013"/>
      <c r="C330" s="1125"/>
      <c r="D330" s="1122"/>
      <c r="E330" s="1011"/>
      <c r="F330" s="1011"/>
      <c r="G330" s="1035"/>
      <c r="H330" s="1035"/>
      <c r="I330" s="1010"/>
      <c r="J330" s="1011"/>
      <c r="K330" s="1035"/>
      <c r="L330" s="1035"/>
      <c r="M330" s="1035"/>
      <c r="N330" s="1035"/>
      <c r="O330" s="1214"/>
      <c r="P330" s="1018" t="s">
        <v>412</v>
      </c>
      <c r="Q330" s="1013"/>
      <c r="R330" s="1014"/>
      <c r="S330" s="1042"/>
      <c r="T330" s="1042"/>
      <c r="U330" s="1080"/>
      <c r="V330" s="1080"/>
      <c r="W330" s="1080"/>
      <c r="X330" s="1042"/>
      <c r="Y330" s="1014"/>
      <c r="Z330" s="1014"/>
      <c r="AA330" s="1014"/>
      <c r="AB330" s="1014"/>
      <c r="AC330" s="1014"/>
      <c r="AD330" s="1014"/>
    </row>
    <row r="331" spans="1:30" ht="108.5" outlineLevel="1">
      <c r="A331" s="1031">
        <v>109</v>
      </c>
      <c r="B331" s="1013">
        <f t="shared" si="22"/>
        <v>109</v>
      </c>
      <c r="C331" s="1125" t="str">
        <f t="shared" si="23"/>
        <v>IVF109</v>
      </c>
      <c r="D331" s="1009" t="s">
        <v>2367</v>
      </c>
      <c r="E331" s="1031">
        <v>3</v>
      </c>
      <c r="F331" s="1030" t="s">
        <v>66</v>
      </c>
      <c r="G331" s="1032">
        <v>18325</v>
      </c>
      <c r="H331" s="1033">
        <f>ROUND(E331*G331,0)</f>
        <v>54975</v>
      </c>
      <c r="I331" s="1010">
        <v>3</v>
      </c>
      <c r="J331" s="1031" t="str">
        <f>F331</f>
        <v>No</v>
      </c>
      <c r="K331" s="1033">
        <f>G331</f>
        <v>18325</v>
      </c>
      <c r="L331" s="1033">
        <f>ROUND(I331*K331,0)</f>
        <v>54975</v>
      </c>
      <c r="M331" s="1035">
        <f>IF(L331&gt;H331,L331-H331,0)</f>
        <v>0</v>
      </c>
      <c r="N331" s="1033">
        <f>IF(H331&gt;L331,H331-L331,0)</f>
        <v>0</v>
      </c>
      <c r="O331" s="1236" t="s">
        <v>2358</v>
      </c>
      <c r="P331" s="1018" t="s">
        <v>412</v>
      </c>
      <c r="Q331" s="1013"/>
      <c r="R331" s="1014"/>
      <c r="S331" s="1042"/>
      <c r="T331" s="1042"/>
      <c r="U331" s="1080"/>
      <c r="V331" s="1080"/>
      <c r="W331" s="1080"/>
      <c r="X331" s="1042"/>
      <c r="Y331" s="1014"/>
      <c r="Z331" s="1014"/>
      <c r="AA331" s="1014"/>
      <c r="AB331" s="1014"/>
      <c r="AC331" s="1014"/>
      <c r="AD331" s="1014"/>
    </row>
    <row r="332" spans="1:30" outlineLevel="1">
      <c r="A332" s="1011"/>
      <c r="B332" s="1013" t="str">
        <f t="shared" si="22"/>
        <v/>
      </c>
      <c r="C332" s="1125"/>
      <c r="D332" s="1039" t="s">
        <v>294</v>
      </c>
      <c r="E332" s="1011"/>
      <c r="F332" s="1011"/>
      <c r="G332" s="1035"/>
      <c r="H332" s="1035"/>
      <c r="I332" s="1010">
        <v>5</v>
      </c>
      <c r="J332" s="1011" t="s">
        <v>66</v>
      </c>
      <c r="K332" s="1032">
        <v>18325</v>
      </c>
      <c r="L332" s="1033">
        <f>ROUND(I332*K332,0)</f>
        <v>91625</v>
      </c>
      <c r="M332" s="1035">
        <f>IF(L332&gt;H332,L332-H332,0)</f>
        <v>91625</v>
      </c>
      <c r="N332" s="1033">
        <f>IF(H332&gt;L332,H332-L332,0)</f>
        <v>0</v>
      </c>
      <c r="O332" s="1237"/>
      <c r="P332" s="1018" t="s">
        <v>412</v>
      </c>
      <c r="Q332" s="1013"/>
      <c r="R332" s="1014"/>
      <c r="S332" s="1014"/>
      <c r="T332" s="1014"/>
      <c r="X332" s="1014"/>
      <c r="Y332" s="1014"/>
      <c r="Z332" s="1014"/>
      <c r="AA332" s="1014"/>
      <c r="AB332" s="1014"/>
      <c r="AC332" s="1014"/>
      <c r="AD332" s="1014"/>
    </row>
    <row r="333" spans="1:30" outlineLevel="1">
      <c r="A333" s="1011"/>
      <c r="B333" s="1013"/>
      <c r="C333" s="1125"/>
      <c r="D333" s="1122" t="s">
        <v>2464</v>
      </c>
      <c r="E333" s="1011"/>
      <c r="F333" s="1011"/>
      <c r="G333" s="1035"/>
      <c r="H333" s="1035"/>
      <c r="I333" s="1010"/>
      <c r="J333" s="1011"/>
      <c r="K333" s="1032"/>
      <c r="L333" s="1033"/>
      <c r="M333" s="1035"/>
      <c r="N333" s="1033"/>
      <c r="O333" s="1215"/>
      <c r="P333" s="1018" t="s">
        <v>412</v>
      </c>
      <c r="T333" s="1016"/>
    </row>
    <row r="334" spans="1:30" outlineLevel="1">
      <c r="A334" s="1011"/>
      <c r="B334" s="1013" t="str">
        <f t="shared" si="22"/>
        <v/>
      </c>
      <c r="C334" s="1125"/>
      <c r="D334" s="1039"/>
      <c r="E334" s="1011"/>
      <c r="F334" s="1011"/>
      <c r="G334" s="1035"/>
      <c r="H334" s="1035"/>
      <c r="I334" s="1010"/>
      <c r="J334" s="1011"/>
      <c r="K334" s="1032"/>
      <c r="L334" s="1033"/>
      <c r="M334" s="1035"/>
      <c r="N334" s="1033"/>
      <c r="O334" s="1012"/>
      <c r="P334" s="1018" t="s">
        <v>412</v>
      </c>
      <c r="T334" s="1016"/>
    </row>
    <row r="335" spans="1:30" ht="108.5" outlineLevel="1">
      <c r="A335" s="1031">
        <v>110</v>
      </c>
      <c r="B335" s="1013">
        <f t="shared" si="22"/>
        <v>110</v>
      </c>
      <c r="C335" s="1125" t="str">
        <f t="shared" si="23"/>
        <v>IVF110</v>
      </c>
      <c r="D335" s="1009" t="s">
        <v>170</v>
      </c>
      <c r="E335" s="1031">
        <v>2</v>
      </c>
      <c r="F335" s="1030" t="s">
        <v>66</v>
      </c>
      <c r="G335" s="1032">
        <v>28460</v>
      </c>
      <c r="H335" s="1033">
        <f>ROUND(E335*G335,0)</f>
        <v>56920</v>
      </c>
      <c r="I335" s="1010">
        <v>0</v>
      </c>
      <c r="J335" s="1031" t="str">
        <f>F335</f>
        <v>No</v>
      </c>
      <c r="K335" s="1033">
        <f>G335</f>
        <v>28460</v>
      </c>
      <c r="L335" s="1033">
        <f>ROUND(I335*K335,0)</f>
        <v>0</v>
      </c>
      <c r="M335" s="1035">
        <f>IF(L335&gt;H335,L335-H335,0)</f>
        <v>0</v>
      </c>
      <c r="N335" s="1033">
        <f>IF(H335&gt;L335,H335-L335,0)</f>
        <v>56920</v>
      </c>
      <c r="O335" s="1012"/>
      <c r="P335" s="1018" t="s">
        <v>412</v>
      </c>
    </row>
    <row r="336" spans="1:30" outlineLevel="1">
      <c r="A336" s="1031"/>
      <c r="B336" s="1013"/>
      <c r="C336" s="1125"/>
      <c r="D336" s="1122" t="s">
        <v>2464</v>
      </c>
      <c r="E336" s="1031"/>
      <c r="F336" s="1030"/>
      <c r="G336" s="1032"/>
      <c r="H336" s="1033"/>
      <c r="I336" s="1010"/>
      <c r="J336" s="1031"/>
      <c r="K336" s="1033"/>
      <c r="L336" s="1033"/>
      <c r="M336" s="1035"/>
      <c r="N336" s="1033"/>
      <c r="O336" s="1012"/>
      <c r="P336" s="1018" t="s">
        <v>412</v>
      </c>
    </row>
    <row r="337" spans="1:16" outlineLevel="1">
      <c r="A337" s="1011"/>
      <c r="B337" s="1013" t="str">
        <f t="shared" si="22"/>
        <v/>
      </c>
      <c r="C337" s="1125"/>
      <c r="D337" s="1009"/>
      <c r="E337" s="1011"/>
      <c r="F337" s="1011"/>
      <c r="G337" s="1035"/>
      <c r="H337" s="1035"/>
      <c r="I337" s="1010"/>
      <c r="J337" s="1011"/>
      <c r="K337" s="1035"/>
      <c r="L337" s="1035"/>
      <c r="M337" s="1035"/>
      <c r="N337" s="1035"/>
      <c r="O337" s="1012"/>
      <c r="P337" s="1018" t="s">
        <v>412</v>
      </c>
    </row>
    <row r="338" spans="1:16" ht="108.5" outlineLevel="1">
      <c r="A338" s="1031">
        <v>111</v>
      </c>
      <c r="B338" s="1013">
        <f t="shared" si="22"/>
        <v>111</v>
      </c>
      <c r="C338" s="1125" t="str">
        <f t="shared" si="23"/>
        <v>IVF111</v>
      </c>
      <c r="D338" s="1009" t="s">
        <v>171</v>
      </c>
      <c r="E338" s="1031">
        <v>1</v>
      </c>
      <c r="F338" s="1030" t="s">
        <v>66</v>
      </c>
      <c r="G338" s="1032">
        <v>64067</v>
      </c>
      <c r="H338" s="1033">
        <f>ROUND(E338*G338,0)</f>
        <v>64067</v>
      </c>
      <c r="I338" s="1010">
        <v>1</v>
      </c>
      <c r="J338" s="1031" t="str">
        <f>F338</f>
        <v>No</v>
      </c>
      <c r="K338" s="1033">
        <f>G338</f>
        <v>64067</v>
      </c>
      <c r="L338" s="1033">
        <f>ROUND(I338*K338,0)</f>
        <v>64067</v>
      </c>
      <c r="M338" s="1035">
        <f>IF(L338&gt;H338,L338-H338,0)</f>
        <v>0</v>
      </c>
      <c r="N338" s="1033">
        <f>IF(H338&gt;L338,H338-L338,0)</f>
        <v>0</v>
      </c>
      <c r="O338" s="1012" t="s">
        <v>2353</v>
      </c>
      <c r="P338" s="1018" t="s">
        <v>412</v>
      </c>
    </row>
    <row r="339" spans="1:16" outlineLevel="1">
      <c r="A339" s="1011"/>
      <c r="B339" s="1013" t="str">
        <f t="shared" si="22"/>
        <v/>
      </c>
      <c r="C339" s="1125"/>
      <c r="D339" s="1009"/>
      <c r="E339" s="1011"/>
      <c r="F339" s="1011"/>
      <c r="G339" s="1035"/>
      <c r="H339" s="1035"/>
      <c r="I339" s="1010"/>
      <c r="J339" s="1011"/>
      <c r="K339" s="1035"/>
      <c r="L339" s="1035"/>
      <c r="M339" s="1035"/>
      <c r="N339" s="1035"/>
      <c r="O339" s="1012"/>
      <c r="P339" s="1018" t="s">
        <v>412</v>
      </c>
    </row>
    <row r="340" spans="1:16" ht="124" outlineLevel="1">
      <c r="A340" s="1031">
        <v>112</v>
      </c>
      <c r="B340" s="1013">
        <f t="shared" si="22"/>
        <v>112</v>
      </c>
      <c r="C340" s="1125" t="str">
        <f t="shared" si="23"/>
        <v>IVF112</v>
      </c>
      <c r="D340" s="1009" t="s">
        <v>172</v>
      </c>
      <c r="E340" s="1031">
        <v>1</v>
      </c>
      <c r="F340" s="1030" t="s">
        <v>66</v>
      </c>
      <c r="G340" s="1032">
        <v>28883</v>
      </c>
      <c r="H340" s="1033">
        <f>ROUND(E340*G340,0)</f>
        <v>28883</v>
      </c>
      <c r="I340" s="1010">
        <v>1</v>
      </c>
      <c r="J340" s="1031" t="str">
        <f>F340</f>
        <v>No</v>
      </c>
      <c r="K340" s="1033">
        <f>G340</f>
        <v>28883</v>
      </c>
      <c r="L340" s="1033">
        <f>ROUND(I340*K340,0)</f>
        <v>28883</v>
      </c>
      <c r="M340" s="1035">
        <f>IF(L340&gt;H340,L340-H340,0)</f>
        <v>0</v>
      </c>
      <c r="N340" s="1033">
        <f>IF(H340&gt;L340,H340-L340,0)</f>
        <v>0</v>
      </c>
      <c r="O340" s="1012" t="s">
        <v>2353</v>
      </c>
      <c r="P340" s="1018" t="s">
        <v>412</v>
      </c>
    </row>
    <row r="341" spans="1:16" outlineLevel="1">
      <c r="A341" s="1011"/>
      <c r="B341" s="1013" t="str">
        <f t="shared" si="22"/>
        <v/>
      </c>
      <c r="C341" s="1125"/>
      <c r="D341" s="1122" t="s">
        <v>2475</v>
      </c>
      <c r="E341" s="1011"/>
      <c r="F341" s="1011"/>
      <c r="G341" s="1035"/>
      <c r="H341" s="1035"/>
      <c r="I341" s="1010"/>
      <c r="J341" s="1011"/>
      <c r="K341" s="1035"/>
      <c r="L341" s="1035"/>
      <c r="M341" s="1035"/>
      <c r="N341" s="1035"/>
      <c r="O341" s="1012"/>
      <c r="P341" s="1018" t="s">
        <v>412</v>
      </c>
    </row>
    <row r="342" spans="1:16" outlineLevel="1">
      <c r="A342" s="1011"/>
      <c r="B342" s="1013"/>
      <c r="C342" s="1125"/>
      <c r="D342" s="1122"/>
      <c r="E342" s="1011"/>
      <c r="F342" s="1011"/>
      <c r="G342" s="1035"/>
      <c r="H342" s="1035"/>
      <c r="I342" s="1010"/>
      <c r="J342" s="1011"/>
      <c r="K342" s="1035"/>
      <c r="L342" s="1035"/>
      <c r="M342" s="1035"/>
      <c r="N342" s="1035"/>
      <c r="O342" s="1012"/>
      <c r="P342" s="1018" t="s">
        <v>412</v>
      </c>
    </row>
    <row r="343" spans="1:16" ht="62" outlineLevel="1">
      <c r="A343" s="1031">
        <v>113</v>
      </c>
      <c r="B343" s="1013">
        <f t="shared" si="22"/>
        <v>113</v>
      </c>
      <c r="C343" s="1125" t="str">
        <f t="shared" si="23"/>
        <v>IVF113</v>
      </c>
      <c r="D343" s="1009" t="s">
        <v>173</v>
      </c>
      <c r="E343" s="1031">
        <v>2</v>
      </c>
      <c r="F343" s="1030" t="s">
        <v>66</v>
      </c>
      <c r="G343" s="1032">
        <v>3260</v>
      </c>
      <c r="H343" s="1033">
        <f>ROUND(E343*G343,0)</f>
        <v>6520</v>
      </c>
      <c r="I343" s="1010">
        <v>0</v>
      </c>
      <c r="J343" s="1031" t="str">
        <f>F343</f>
        <v>No</v>
      </c>
      <c r="K343" s="1033">
        <f>G343</f>
        <v>3260</v>
      </c>
      <c r="L343" s="1033">
        <f>ROUND(I343*K343,0)</f>
        <v>0</v>
      </c>
      <c r="M343" s="1035">
        <f>IF(L343&gt;H343,L343-H343,0)</f>
        <v>0</v>
      </c>
      <c r="N343" s="1033">
        <f>IF(H343&gt;L343,H343-L343,0)</f>
        <v>6520</v>
      </c>
      <c r="O343" s="1012"/>
      <c r="P343" s="1018" t="s">
        <v>412</v>
      </c>
    </row>
    <row r="344" spans="1:16" outlineLevel="1">
      <c r="A344" s="1011"/>
      <c r="B344" s="1013" t="str">
        <f t="shared" si="22"/>
        <v/>
      </c>
      <c r="C344" s="1125"/>
      <c r="D344" s="1009"/>
      <c r="E344" s="1011"/>
      <c r="F344" s="1011"/>
      <c r="G344" s="1035"/>
      <c r="H344" s="1035"/>
      <c r="I344" s="1010"/>
      <c r="J344" s="1011"/>
      <c r="K344" s="1035"/>
      <c r="L344" s="1035"/>
      <c r="M344" s="1035"/>
      <c r="N344" s="1035"/>
      <c r="O344" s="1012"/>
      <c r="P344" s="1018" t="s">
        <v>412</v>
      </c>
    </row>
    <row r="345" spans="1:16" ht="155" outlineLevel="1">
      <c r="A345" s="1031">
        <v>114</v>
      </c>
      <c r="B345" s="1013">
        <f t="shared" si="22"/>
        <v>114</v>
      </c>
      <c r="C345" s="1125" t="str">
        <f t="shared" si="23"/>
        <v>IVF114</v>
      </c>
      <c r="D345" s="1009" t="s">
        <v>174</v>
      </c>
      <c r="E345" s="1031">
        <v>50</v>
      </c>
      <c r="F345" s="1030" t="s">
        <v>66</v>
      </c>
      <c r="G345" s="1032">
        <v>2652</v>
      </c>
      <c r="H345" s="1033">
        <f>ROUND(E345*G345,0)</f>
        <v>132600</v>
      </c>
      <c r="I345" s="1010">
        <v>44</v>
      </c>
      <c r="J345" s="1031" t="str">
        <f>F345</f>
        <v>No</v>
      </c>
      <c r="K345" s="1033">
        <f>G345</f>
        <v>2652</v>
      </c>
      <c r="L345" s="1033">
        <f>ROUND(I345*K345,0)</f>
        <v>116688</v>
      </c>
      <c r="M345" s="1035">
        <f>IF(L345&gt;H345,L345-H345,0)</f>
        <v>0</v>
      </c>
      <c r="N345" s="1033">
        <f>IF(H345&gt;L345,H345-L345,0)</f>
        <v>15912</v>
      </c>
      <c r="O345" s="1012" t="s">
        <v>2440</v>
      </c>
      <c r="P345" s="1018" t="s">
        <v>412</v>
      </c>
    </row>
    <row r="346" spans="1:16" s="1122" customFormat="1" outlineLevel="1">
      <c r="D346" s="1122" t="s">
        <v>2464</v>
      </c>
      <c r="P346" s="1018" t="s">
        <v>412</v>
      </c>
    </row>
    <row r="347" spans="1:16" outlineLevel="1">
      <c r="A347" s="1011"/>
      <c r="B347" s="1013" t="str">
        <f t="shared" si="22"/>
        <v/>
      </c>
      <c r="C347" s="1125"/>
      <c r="D347" s="1009"/>
      <c r="E347" s="1011"/>
      <c r="F347" s="1011"/>
      <c r="G347" s="1035"/>
      <c r="H347" s="1035"/>
      <c r="I347" s="1010"/>
      <c r="J347" s="1011"/>
      <c r="K347" s="1035"/>
      <c r="L347" s="1035"/>
      <c r="M347" s="1035"/>
      <c r="N347" s="1035"/>
      <c r="O347" s="1012"/>
      <c r="P347" s="1018" t="s">
        <v>412</v>
      </c>
    </row>
    <row r="348" spans="1:16" ht="155" outlineLevel="1">
      <c r="A348" s="1031">
        <v>115</v>
      </c>
      <c r="B348" s="1013">
        <f t="shared" si="22"/>
        <v>115</v>
      </c>
      <c r="C348" s="1125" t="str">
        <f t="shared" si="23"/>
        <v>IVF115</v>
      </c>
      <c r="D348" s="1009" t="s">
        <v>175</v>
      </c>
      <c r="E348" s="1031">
        <v>30</v>
      </c>
      <c r="F348" s="1030" t="s">
        <v>66</v>
      </c>
      <c r="G348" s="1032">
        <v>4350</v>
      </c>
      <c r="H348" s="1033">
        <f>ROUND(E348*G348,0)</f>
        <v>130500</v>
      </c>
      <c r="I348" s="1010">
        <v>30</v>
      </c>
      <c r="J348" s="1031" t="str">
        <f>F348</f>
        <v>No</v>
      </c>
      <c r="K348" s="1033">
        <f>G348</f>
        <v>4350</v>
      </c>
      <c r="L348" s="1033">
        <f>ROUND(I348*K348,0)</f>
        <v>130500</v>
      </c>
      <c r="M348" s="1035">
        <f>IF(L348&gt;H348,L348-H348,0)</f>
        <v>0</v>
      </c>
      <c r="N348" s="1033">
        <f>IF(H348&gt;L348,H348-L348,0)</f>
        <v>0</v>
      </c>
      <c r="O348" s="1236" t="s">
        <v>2358</v>
      </c>
      <c r="P348" s="1018" t="s">
        <v>412</v>
      </c>
    </row>
    <row r="349" spans="1:16" outlineLevel="1">
      <c r="A349" s="1011"/>
      <c r="B349" s="1013" t="str">
        <f t="shared" si="22"/>
        <v/>
      </c>
      <c r="C349" s="1125"/>
      <c r="D349" s="1039" t="s">
        <v>294</v>
      </c>
      <c r="E349" s="1011"/>
      <c r="F349" s="1011"/>
      <c r="G349" s="1035"/>
      <c r="H349" s="1035"/>
      <c r="I349" s="1010">
        <v>10</v>
      </c>
      <c r="J349" s="1011" t="s">
        <v>66</v>
      </c>
      <c r="K349" s="1032">
        <v>4350</v>
      </c>
      <c r="L349" s="1033">
        <f>ROUND(I349*K349,0)</f>
        <v>43500</v>
      </c>
      <c r="M349" s="1035">
        <f>IF(L349&gt;H349,L349-H349,0)</f>
        <v>43500</v>
      </c>
      <c r="N349" s="1033">
        <f>IF(H349&gt;L349,H349-L349,0)</f>
        <v>0</v>
      </c>
      <c r="O349" s="1237"/>
      <c r="P349" s="1018" t="s">
        <v>412</v>
      </c>
    </row>
    <row r="350" spans="1:16" outlineLevel="1">
      <c r="A350" s="1011"/>
      <c r="B350" s="1013"/>
      <c r="C350" s="1125"/>
      <c r="D350" s="1122" t="s">
        <v>2465</v>
      </c>
      <c r="E350" s="1011"/>
      <c r="F350" s="1011"/>
      <c r="G350" s="1035"/>
      <c r="H350" s="1035"/>
      <c r="I350" s="1010"/>
      <c r="J350" s="1011"/>
      <c r="K350" s="1032"/>
      <c r="L350" s="1033"/>
      <c r="M350" s="1035"/>
      <c r="N350" s="1033"/>
      <c r="O350" s="1215"/>
      <c r="P350" s="1018" t="s">
        <v>412</v>
      </c>
    </row>
    <row r="351" spans="1:16" outlineLevel="1">
      <c r="A351" s="1011"/>
      <c r="B351" s="1013" t="str">
        <f t="shared" si="22"/>
        <v/>
      </c>
      <c r="C351" s="1125"/>
      <c r="D351" s="1039"/>
      <c r="E351" s="1011"/>
      <c r="F351" s="1011"/>
      <c r="G351" s="1035"/>
      <c r="H351" s="1035"/>
      <c r="I351" s="1010"/>
      <c r="J351" s="1011"/>
      <c r="K351" s="1032"/>
      <c r="L351" s="1033"/>
      <c r="M351" s="1035"/>
      <c r="N351" s="1033"/>
      <c r="O351" s="1012"/>
      <c r="P351" s="1018" t="s">
        <v>412</v>
      </c>
    </row>
    <row r="352" spans="1:16" ht="155" outlineLevel="1">
      <c r="A352" s="1031">
        <v>116</v>
      </c>
      <c r="B352" s="1013">
        <f t="shared" si="22"/>
        <v>116</v>
      </c>
      <c r="C352" s="1125" t="str">
        <f t="shared" si="23"/>
        <v>IVF116</v>
      </c>
      <c r="D352" s="1009" t="s">
        <v>176</v>
      </c>
      <c r="E352" s="1031">
        <v>12</v>
      </c>
      <c r="F352" s="1030" t="s">
        <v>66</v>
      </c>
      <c r="G352" s="1032">
        <v>4762</v>
      </c>
      <c r="H352" s="1033">
        <f>ROUND(E352*G352,0)</f>
        <v>57144</v>
      </c>
      <c r="I352" s="1010">
        <v>0</v>
      </c>
      <c r="J352" s="1031" t="str">
        <f>F352</f>
        <v>No</v>
      </c>
      <c r="K352" s="1033">
        <f>G352</f>
        <v>4762</v>
      </c>
      <c r="L352" s="1033">
        <f>ROUND(I352*K352,0)</f>
        <v>0</v>
      </c>
      <c r="M352" s="1035">
        <f>IF(L352&gt;H352,L352-H352,0)</f>
        <v>0</v>
      </c>
      <c r="N352" s="1033">
        <f>IF(H352&gt;L352,H352-L352,0)</f>
        <v>57144</v>
      </c>
      <c r="O352" s="1012"/>
      <c r="P352" s="1018" t="s">
        <v>412</v>
      </c>
    </row>
    <row r="353" spans="1:16" outlineLevel="1">
      <c r="A353" s="1011"/>
      <c r="B353" s="1013" t="str">
        <f t="shared" si="22"/>
        <v/>
      </c>
      <c r="C353" s="1125"/>
      <c r="D353" s="1009"/>
      <c r="E353" s="1011"/>
      <c r="F353" s="1011"/>
      <c r="G353" s="1035"/>
      <c r="H353" s="1035"/>
      <c r="I353" s="1010"/>
      <c r="J353" s="1011"/>
      <c r="K353" s="1035"/>
      <c r="L353" s="1035"/>
      <c r="M353" s="1035"/>
      <c r="N353" s="1035"/>
      <c r="O353" s="1012"/>
      <c r="P353" s="1018" t="s">
        <v>412</v>
      </c>
    </row>
    <row r="354" spans="1:16" ht="93" outlineLevel="1">
      <c r="A354" s="1031">
        <v>117</v>
      </c>
      <c r="B354" s="1013">
        <f t="shared" si="22"/>
        <v>117</v>
      </c>
      <c r="C354" s="1125" t="str">
        <f t="shared" si="23"/>
        <v>IVF117</v>
      </c>
      <c r="D354" s="1009" t="s">
        <v>2368</v>
      </c>
      <c r="E354" s="1031">
        <v>5</v>
      </c>
      <c r="F354" s="1030" t="s">
        <v>66</v>
      </c>
      <c r="G354" s="1032">
        <v>184</v>
      </c>
      <c r="H354" s="1033">
        <f>ROUND(E354*G354,0)</f>
        <v>920</v>
      </c>
      <c r="I354" s="1010">
        <v>0</v>
      </c>
      <c r="J354" s="1031" t="str">
        <f>F354</f>
        <v>No</v>
      </c>
      <c r="K354" s="1033">
        <f>G354</f>
        <v>184</v>
      </c>
      <c r="L354" s="1033">
        <f>ROUND(I354*K354,0)</f>
        <v>0</v>
      </c>
      <c r="M354" s="1035">
        <f>IF(L354&gt;H354,L354-H354,0)</f>
        <v>0</v>
      </c>
      <c r="N354" s="1033">
        <f>IF(H354&gt;L354,H354-L354,0)</f>
        <v>920</v>
      </c>
      <c r="O354" s="1012"/>
      <c r="P354" s="1018" t="s">
        <v>412</v>
      </c>
    </row>
    <row r="355" spans="1:16" outlineLevel="1">
      <c r="A355" s="1011"/>
      <c r="B355" s="1013" t="str">
        <f t="shared" si="22"/>
        <v/>
      </c>
      <c r="C355" s="1125"/>
      <c r="D355" s="1009"/>
      <c r="E355" s="1011"/>
      <c r="F355" s="1011"/>
      <c r="G355" s="1035"/>
      <c r="H355" s="1035"/>
      <c r="I355" s="1010"/>
      <c r="J355" s="1011"/>
      <c r="K355" s="1035"/>
      <c r="L355" s="1035"/>
      <c r="M355" s="1035"/>
      <c r="N355" s="1035"/>
      <c r="O355" s="1012"/>
      <c r="P355" s="1018" t="s">
        <v>412</v>
      </c>
    </row>
    <row r="356" spans="1:16" ht="232.5" outlineLevel="1">
      <c r="A356" s="1031">
        <v>118</v>
      </c>
      <c r="B356" s="1013">
        <f t="shared" si="22"/>
        <v>118</v>
      </c>
      <c r="C356" s="1125" t="str">
        <f t="shared" si="23"/>
        <v>IVF118</v>
      </c>
      <c r="D356" s="1009" t="s">
        <v>178</v>
      </c>
      <c r="E356" s="1031">
        <v>12</v>
      </c>
      <c r="F356" s="1030" t="s">
        <v>66</v>
      </c>
      <c r="G356" s="1032">
        <v>4090</v>
      </c>
      <c r="H356" s="1033">
        <f>ROUND(E356*G356,0)</f>
        <v>49080</v>
      </c>
      <c r="I356" s="1010">
        <v>0</v>
      </c>
      <c r="J356" s="1031" t="str">
        <f>F356</f>
        <v>No</v>
      </c>
      <c r="K356" s="1033">
        <f>G356</f>
        <v>4090</v>
      </c>
      <c r="L356" s="1033">
        <f>ROUND(I356*K356,0)</f>
        <v>0</v>
      </c>
      <c r="M356" s="1035">
        <f>IF(L356&gt;H356,L356-H356,0)</f>
        <v>0</v>
      </c>
      <c r="N356" s="1033">
        <f>IF(H356&gt;L356,H356-L356,0)</f>
        <v>49080</v>
      </c>
      <c r="O356" s="1012"/>
      <c r="P356" s="1018" t="s">
        <v>412</v>
      </c>
    </row>
    <row r="357" spans="1:16" outlineLevel="1">
      <c r="A357" s="1011"/>
      <c r="B357" s="1013" t="str">
        <f t="shared" si="22"/>
        <v/>
      </c>
      <c r="C357" s="1125"/>
      <c r="D357" s="1009"/>
      <c r="E357" s="1011"/>
      <c r="F357" s="1011"/>
      <c r="G357" s="1035"/>
      <c r="H357" s="1035"/>
      <c r="I357" s="1010"/>
      <c r="J357" s="1011"/>
      <c r="K357" s="1035"/>
      <c r="L357" s="1035"/>
      <c r="M357" s="1035"/>
      <c r="N357" s="1035"/>
      <c r="O357" s="1012"/>
      <c r="P357" s="1018" t="s">
        <v>412</v>
      </c>
    </row>
    <row r="358" spans="1:16" ht="77.5" outlineLevel="1">
      <c r="A358" s="1031">
        <v>119</v>
      </c>
      <c r="B358" s="1013">
        <f t="shared" si="22"/>
        <v>119</v>
      </c>
      <c r="C358" s="1125" t="str">
        <f t="shared" si="23"/>
        <v>IVF119</v>
      </c>
      <c r="D358" s="1009" t="s">
        <v>179</v>
      </c>
      <c r="E358" s="1031">
        <v>12</v>
      </c>
      <c r="F358" s="1030" t="s">
        <v>66</v>
      </c>
      <c r="G358" s="1032">
        <v>827</v>
      </c>
      <c r="H358" s="1033">
        <f>ROUND(E358*G358,0)</f>
        <v>9924</v>
      </c>
      <c r="I358" s="1010">
        <v>12</v>
      </c>
      <c r="J358" s="1031" t="str">
        <f>F358</f>
        <v>No</v>
      </c>
      <c r="K358" s="1033">
        <f>G358</f>
        <v>827</v>
      </c>
      <c r="L358" s="1033">
        <f>ROUND(I358*K358,0)</f>
        <v>9924</v>
      </c>
      <c r="M358" s="1035">
        <f>IF(L358&gt;H358,L358-H358,0)</f>
        <v>0</v>
      </c>
      <c r="N358" s="1033">
        <f>IF(H358&gt;L358,H358-L358,0)</f>
        <v>0</v>
      </c>
      <c r="O358" s="1236" t="s">
        <v>2358</v>
      </c>
      <c r="P358" s="1018" t="s">
        <v>412</v>
      </c>
    </row>
    <row r="359" spans="1:16" outlineLevel="1">
      <c r="A359" s="1011"/>
      <c r="B359" s="1013" t="str">
        <f t="shared" si="22"/>
        <v/>
      </c>
      <c r="C359" s="1125"/>
      <c r="D359" s="1039" t="s">
        <v>294</v>
      </c>
      <c r="E359" s="1011"/>
      <c r="F359" s="1011"/>
      <c r="G359" s="1035"/>
      <c r="H359" s="1035"/>
      <c r="I359" s="1010">
        <v>2</v>
      </c>
      <c r="J359" s="1011" t="s">
        <v>66</v>
      </c>
      <c r="K359" s="1032">
        <v>827</v>
      </c>
      <c r="L359" s="1033">
        <f>ROUND(I359*K359,0)</f>
        <v>1654</v>
      </c>
      <c r="M359" s="1035">
        <f>IF(L359&gt;H359,L359-H359,0)</f>
        <v>1654</v>
      </c>
      <c r="N359" s="1033">
        <f>IF(H359&gt;L359,H359-L359,0)</f>
        <v>0</v>
      </c>
      <c r="O359" s="1237"/>
      <c r="P359" s="1018" t="s">
        <v>412</v>
      </c>
    </row>
    <row r="360" spans="1:16" outlineLevel="1">
      <c r="A360" s="1011"/>
      <c r="B360" s="1013"/>
      <c r="C360" s="1125"/>
      <c r="D360" s="1122" t="s">
        <v>2466</v>
      </c>
      <c r="E360" s="1011"/>
      <c r="F360" s="1011"/>
      <c r="G360" s="1035"/>
      <c r="H360" s="1035"/>
      <c r="I360" s="1010"/>
      <c r="J360" s="1011"/>
      <c r="K360" s="1032"/>
      <c r="L360" s="1033"/>
      <c r="M360" s="1035"/>
      <c r="N360" s="1033"/>
      <c r="O360" s="1215"/>
      <c r="P360" s="1018" t="s">
        <v>412</v>
      </c>
    </row>
    <row r="361" spans="1:16" outlineLevel="1">
      <c r="A361" s="1011"/>
      <c r="B361" s="1013" t="str">
        <f t="shared" si="22"/>
        <v/>
      </c>
      <c r="C361" s="1125"/>
      <c r="D361" s="1039"/>
      <c r="E361" s="1011"/>
      <c r="F361" s="1011"/>
      <c r="G361" s="1035"/>
      <c r="H361" s="1035"/>
      <c r="I361" s="1010"/>
      <c r="J361" s="1011"/>
      <c r="K361" s="1032"/>
      <c r="L361" s="1033"/>
      <c r="M361" s="1035"/>
      <c r="N361" s="1033"/>
      <c r="O361" s="1012"/>
      <c r="P361" s="1018" t="s">
        <v>412</v>
      </c>
    </row>
    <row r="362" spans="1:16" ht="46.5" outlineLevel="1">
      <c r="A362" s="1031">
        <v>120</v>
      </c>
      <c r="B362" s="1013">
        <f t="shared" si="22"/>
        <v>120</v>
      </c>
      <c r="C362" s="1125" t="str">
        <f t="shared" si="23"/>
        <v>IVF120</v>
      </c>
      <c r="D362" s="1009" t="s">
        <v>180</v>
      </c>
      <c r="E362" s="1031">
        <v>5</v>
      </c>
      <c r="F362" s="1030" t="s">
        <v>66</v>
      </c>
      <c r="G362" s="1032">
        <v>2203</v>
      </c>
      <c r="H362" s="1033">
        <f>ROUND(E362*G362,0)</f>
        <v>11015</v>
      </c>
      <c r="I362" s="1010">
        <v>4</v>
      </c>
      <c r="J362" s="1031" t="str">
        <f>F362</f>
        <v>No</v>
      </c>
      <c r="K362" s="1033">
        <f>G362</f>
        <v>2203</v>
      </c>
      <c r="L362" s="1033">
        <f>ROUND(I362*K362,0)</f>
        <v>8812</v>
      </c>
      <c r="M362" s="1035">
        <f>IF(L362&gt;H362,L362-H362,0)</f>
        <v>0</v>
      </c>
      <c r="N362" s="1033">
        <f>IF(H362&gt;L362,H362-L362,0)</f>
        <v>2203</v>
      </c>
      <c r="O362" s="1012" t="s">
        <v>2440</v>
      </c>
      <c r="P362" s="1018" t="s">
        <v>412</v>
      </c>
    </row>
    <row r="363" spans="1:16" outlineLevel="1">
      <c r="A363" s="1011"/>
      <c r="B363" s="1013" t="str">
        <f t="shared" si="22"/>
        <v/>
      </c>
      <c r="C363" s="1125"/>
      <c r="D363" s="1122" t="s">
        <v>2474</v>
      </c>
      <c r="E363" s="1011"/>
      <c r="F363" s="1011"/>
      <c r="G363" s="1035"/>
      <c r="H363" s="1035"/>
      <c r="I363" s="1010"/>
      <c r="J363" s="1011"/>
      <c r="K363" s="1035"/>
      <c r="L363" s="1035"/>
      <c r="M363" s="1035"/>
      <c r="N363" s="1035"/>
      <c r="O363" s="1012"/>
      <c r="P363" s="1018" t="s">
        <v>412</v>
      </c>
    </row>
    <row r="364" spans="1:16" outlineLevel="1">
      <c r="A364" s="1011"/>
      <c r="B364" s="1013"/>
      <c r="C364" s="1125"/>
      <c r="D364" s="1122"/>
      <c r="E364" s="1011"/>
      <c r="F364" s="1011"/>
      <c r="G364" s="1035"/>
      <c r="H364" s="1035"/>
      <c r="I364" s="1010"/>
      <c r="J364" s="1011"/>
      <c r="K364" s="1035"/>
      <c r="L364" s="1035"/>
      <c r="M364" s="1035"/>
      <c r="N364" s="1035"/>
      <c r="O364" s="1012"/>
      <c r="P364" s="1018" t="s">
        <v>412</v>
      </c>
    </row>
    <row r="365" spans="1:16" ht="77.5" outlineLevel="1">
      <c r="A365" s="1031">
        <v>121</v>
      </c>
      <c r="B365" s="1013">
        <f t="shared" si="22"/>
        <v>121</v>
      </c>
      <c r="C365" s="1125" t="str">
        <f t="shared" si="23"/>
        <v>IVF121</v>
      </c>
      <c r="D365" s="1009" t="s">
        <v>181</v>
      </c>
      <c r="E365" s="1031">
        <v>70</v>
      </c>
      <c r="F365" s="1030" t="s">
        <v>60</v>
      </c>
      <c r="G365" s="1032">
        <v>429</v>
      </c>
      <c r="H365" s="1033">
        <f>ROUND(E365*G365,0)</f>
        <v>30030</v>
      </c>
      <c r="I365" s="1010">
        <v>36.200000000000003</v>
      </c>
      <c r="J365" s="1031" t="str">
        <f>F365</f>
        <v>Rmt</v>
      </c>
      <c r="K365" s="1033">
        <f>G365</f>
        <v>429</v>
      </c>
      <c r="L365" s="1033">
        <f>ROUND(I365*K365,0)</f>
        <v>15530</v>
      </c>
      <c r="M365" s="1035">
        <f>IF(L365&gt;H365,L365-H365,0)</f>
        <v>0</v>
      </c>
      <c r="N365" s="1033">
        <f>IF(H365&gt;L365,H365-L365,0)</f>
        <v>14500</v>
      </c>
      <c r="O365" s="1012" t="s">
        <v>2440</v>
      </c>
      <c r="P365" s="1018" t="s">
        <v>412</v>
      </c>
    </row>
    <row r="366" spans="1:16" outlineLevel="1">
      <c r="A366" s="1011"/>
      <c r="B366" s="1013" t="str">
        <f t="shared" si="22"/>
        <v/>
      </c>
      <c r="C366" s="1125"/>
      <c r="D366" s="1122" t="s">
        <v>2474</v>
      </c>
      <c r="E366" s="1011"/>
      <c r="F366" s="1011"/>
      <c r="G366" s="1035"/>
      <c r="H366" s="1035"/>
      <c r="I366" s="1010"/>
      <c r="J366" s="1011"/>
      <c r="K366" s="1035"/>
      <c r="L366" s="1035"/>
      <c r="M366" s="1035"/>
      <c r="N366" s="1035"/>
      <c r="O366" s="1012"/>
      <c r="P366" s="1018" t="s">
        <v>412</v>
      </c>
    </row>
    <row r="367" spans="1:16" outlineLevel="1">
      <c r="A367" s="1011"/>
      <c r="B367" s="1013"/>
      <c r="C367" s="1125"/>
      <c r="D367" s="1122"/>
      <c r="E367" s="1011"/>
      <c r="F367" s="1011"/>
      <c r="G367" s="1035"/>
      <c r="H367" s="1035"/>
      <c r="I367" s="1010"/>
      <c r="J367" s="1011"/>
      <c r="K367" s="1035"/>
      <c r="L367" s="1035"/>
      <c r="M367" s="1035"/>
      <c r="N367" s="1035"/>
      <c r="O367" s="1214"/>
      <c r="P367" s="1018" t="s">
        <v>412</v>
      </c>
    </row>
    <row r="368" spans="1:16" ht="93" outlineLevel="1">
      <c r="A368" s="1031">
        <v>122</v>
      </c>
      <c r="B368" s="1013">
        <f t="shared" si="22"/>
        <v>122</v>
      </c>
      <c r="C368" s="1125" t="str">
        <f t="shared" si="23"/>
        <v>IVF122</v>
      </c>
      <c r="D368" s="1009" t="s">
        <v>2369</v>
      </c>
      <c r="E368" s="1031">
        <v>80</v>
      </c>
      <c r="F368" s="1030" t="s">
        <v>60</v>
      </c>
      <c r="G368" s="1032">
        <v>1310</v>
      </c>
      <c r="H368" s="1033">
        <f>ROUND(E368*G368,0)</f>
        <v>104800</v>
      </c>
      <c r="I368" s="1010">
        <v>80</v>
      </c>
      <c r="J368" s="1031" t="str">
        <f>F368</f>
        <v>Rmt</v>
      </c>
      <c r="K368" s="1033">
        <f>G368</f>
        <v>1310</v>
      </c>
      <c r="L368" s="1033">
        <f>ROUND(I368*K368,0)</f>
        <v>104800</v>
      </c>
      <c r="M368" s="1035">
        <f>IF(L368&gt;H368,L368-H368,0)</f>
        <v>0</v>
      </c>
      <c r="N368" s="1033">
        <f>IF(H368&gt;L368,H368-L368,0)</f>
        <v>0</v>
      </c>
      <c r="O368" s="1236" t="s">
        <v>2358</v>
      </c>
      <c r="P368" s="1018" t="s">
        <v>412</v>
      </c>
    </row>
    <row r="369" spans="1:16" outlineLevel="1">
      <c r="A369" s="1011"/>
      <c r="B369" s="1013" t="str">
        <f t="shared" si="22"/>
        <v/>
      </c>
      <c r="C369" s="1125"/>
      <c r="D369" s="1039" t="s">
        <v>294</v>
      </c>
      <c r="E369" s="1011"/>
      <c r="F369" s="1011"/>
      <c r="G369" s="1035"/>
      <c r="H369" s="1035"/>
      <c r="I369" s="1010">
        <v>5.4</v>
      </c>
      <c r="J369" s="1011" t="s">
        <v>60</v>
      </c>
      <c r="K369" s="1032">
        <v>1310</v>
      </c>
      <c r="L369" s="1033">
        <f>ROUND(I369*K369,0)</f>
        <v>7074</v>
      </c>
      <c r="M369" s="1035">
        <f>IF(L369&gt;H369,L369-H369,0)</f>
        <v>7074</v>
      </c>
      <c r="N369" s="1033">
        <f>IF(H369&gt;L369,H369-L369,0)</f>
        <v>0</v>
      </c>
      <c r="O369" s="1237"/>
      <c r="P369" s="1018" t="s">
        <v>412</v>
      </c>
    </row>
    <row r="370" spans="1:16" outlineLevel="1">
      <c r="A370" s="1011"/>
      <c r="B370" s="1013" t="str">
        <f t="shared" si="22"/>
        <v/>
      </c>
      <c r="C370" s="1125"/>
      <c r="D370" s="1122" t="s">
        <v>2467</v>
      </c>
      <c r="E370" s="1011"/>
      <c r="F370" s="1011"/>
      <c r="G370" s="1035"/>
      <c r="H370" s="1035"/>
      <c r="I370" s="1010"/>
      <c r="J370" s="1011"/>
      <c r="K370" s="1032"/>
      <c r="L370" s="1033"/>
      <c r="M370" s="1035"/>
      <c r="N370" s="1033"/>
      <c r="O370" s="1012"/>
      <c r="P370" s="1018" t="s">
        <v>412</v>
      </c>
    </row>
    <row r="371" spans="1:16" outlineLevel="1">
      <c r="A371" s="1011"/>
      <c r="B371" s="1013"/>
      <c r="C371" s="1125"/>
      <c r="D371" s="1122"/>
      <c r="E371" s="1011"/>
      <c r="F371" s="1011"/>
      <c r="G371" s="1035"/>
      <c r="H371" s="1035"/>
      <c r="I371" s="1010"/>
      <c r="J371" s="1011"/>
      <c r="K371" s="1032"/>
      <c r="L371" s="1033"/>
      <c r="M371" s="1035"/>
      <c r="N371" s="1033"/>
      <c r="O371" s="1012"/>
      <c r="P371" s="1018" t="s">
        <v>412</v>
      </c>
    </row>
    <row r="372" spans="1:16" ht="124" outlineLevel="1">
      <c r="A372" s="1031">
        <v>123</v>
      </c>
      <c r="B372" s="1013">
        <f t="shared" si="22"/>
        <v>123</v>
      </c>
      <c r="C372" s="1125" t="str">
        <f t="shared" si="23"/>
        <v>IVF123</v>
      </c>
      <c r="D372" s="1009" t="s">
        <v>183</v>
      </c>
      <c r="E372" s="1031">
        <v>1</v>
      </c>
      <c r="F372" s="1030" t="s">
        <v>66</v>
      </c>
      <c r="G372" s="1032">
        <v>305000</v>
      </c>
      <c r="H372" s="1033">
        <f>ROUND(E372*G372,0)</f>
        <v>305000</v>
      </c>
      <c r="I372" s="1010">
        <v>1</v>
      </c>
      <c r="J372" s="1031" t="str">
        <f>F372</f>
        <v>No</v>
      </c>
      <c r="K372" s="1033">
        <f>G372</f>
        <v>305000</v>
      </c>
      <c r="L372" s="1033">
        <f>ROUND(I372*K372,0)</f>
        <v>305000</v>
      </c>
      <c r="M372" s="1035">
        <f>IF(L372&gt;H372,L372-H372,0)</f>
        <v>0</v>
      </c>
      <c r="N372" s="1033">
        <f>IF(H372&gt;L372,H372-L372,0)</f>
        <v>0</v>
      </c>
      <c r="O372" s="1012" t="s">
        <v>2353</v>
      </c>
      <c r="P372" s="1018" t="s">
        <v>412</v>
      </c>
    </row>
    <row r="373" spans="1:16" outlineLevel="1">
      <c r="A373" s="1011"/>
      <c r="B373" s="1013" t="str">
        <f t="shared" si="22"/>
        <v/>
      </c>
      <c r="C373" s="1125"/>
      <c r="D373" s="1122" t="s">
        <v>2487</v>
      </c>
      <c r="E373" s="1011"/>
      <c r="F373" s="1011"/>
      <c r="G373" s="1035"/>
      <c r="H373" s="1035"/>
      <c r="I373" s="1010"/>
      <c r="J373" s="1011"/>
      <c r="K373" s="1035"/>
      <c r="L373" s="1035"/>
      <c r="M373" s="1035"/>
      <c r="N373" s="1035"/>
      <c r="O373" s="1012"/>
      <c r="P373" s="1018" t="s">
        <v>412</v>
      </c>
    </row>
    <row r="374" spans="1:16" outlineLevel="1">
      <c r="A374" s="1011"/>
      <c r="B374" s="1013"/>
      <c r="C374" s="1125"/>
      <c r="D374" s="1122"/>
      <c r="E374" s="1011"/>
      <c r="F374" s="1011"/>
      <c r="G374" s="1035"/>
      <c r="H374" s="1035"/>
      <c r="I374" s="1010"/>
      <c r="J374" s="1011"/>
      <c r="K374" s="1035"/>
      <c r="L374" s="1035"/>
      <c r="M374" s="1035"/>
      <c r="N374" s="1035"/>
      <c r="O374" s="1214"/>
      <c r="P374" s="1018" t="s">
        <v>412</v>
      </c>
    </row>
    <row r="375" spans="1:16" ht="31" outlineLevel="1">
      <c r="A375" s="1031">
        <v>124</v>
      </c>
      <c r="B375" s="1013">
        <f t="shared" si="22"/>
        <v>124</v>
      </c>
      <c r="C375" s="1125" t="str">
        <f t="shared" si="23"/>
        <v>IVF124</v>
      </c>
      <c r="D375" s="1009" t="s">
        <v>184</v>
      </c>
      <c r="E375" s="1031">
        <v>20</v>
      </c>
      <c r="F375" s="1030" t="s">
        <v>66</v>
      </c>
      <c r="G375" s="1032">
        <v>20584</v>
      </c>
      <c r="H375" s="1033">
        <f>ROUND(E375*G375,0)</f>
        <v>411680</v>
      </c>
      <c r="I375" s="1010">
        <v>20</v>
      </c>
      <c r="J375" s="1031" t="str">
        <f>F375</f>
        <v>No</v>
      </c>
      <c r="K375" s="1033">
        <f>G375</f>
        <v>20584</v>
      </c>
      <c r="L375" s="1033">
        <f>ROUND(I375*K375,0)</f>
        <v>411680</v>
      </c>
      <c r="M375" s="1035">
        <f>IF(L375&gt;H375,L375-H375,0)</f>
        <v>0</v>
      </c>
      <c r="N375" s="1033">
        <f>IF(H375&gt;L375,H375-L375,0)</f>
        <v>0</v>
      </c>
      <c r="O375" s="1236" t="s">
        <v>2358</v>
      </c>
      <c r="P375" s="1018" t="s">
        <v>412</v>
      </c>
    </row>
    <row r="376" spans="1:16" outlineLevel="1">
      <c r="A376" s="1011"/>
      <c r="B376" s="1013" t="str">
        <f t="shared" si="22"/>
        <v/>
      </c>
      <c r="C376" s="1125"/>
      <c r="D376" s="1039" t="s">
        <v>294</v>
      </c>
      <c r="E376" s="1011"/>
      <c r="F376" s="1011"/>
      <c r="G376" s="1035"/>
      <c r="H376" s="1035"/>
      <c r="I376" s="1010">
        <v>12</v>
      </c>
      <c r="J376" s="1011" t="s">
        <v>66</v>
      </c>
      <c r="K376" s="1032">
        <v>20584</v>
      </c>
      <c r="L376" s="1033">
        <f>ROUND(I376*K376,0)</f>
        <v>247008</v>
      </c>
      <c r="M376" s="1035">
        <f>IF(L376&gt;H376,L376-H376,0)</f>
        <v>247008</v>
      </c>
      <c r="N376" s="1033">
        <f>IF(H376&gt;L376,H376-L376,0)</f>
        <v>0</v>
      </c>
      <c r="O376" s="1237"/>
      <c r="P376" s="1018" t="s">
        <v>412</v>
      </c>
    </row>
    <row r="377" spans="1:16" outlineLevel="1">
      <c r="A377" s="1011"/>
      <c r="B377" s="1013" t="str">
        <f t="shared" si="22"/>
        <v/>
      </c>
      <c r="C377" s="1125"/>
      <c r="D377" s="1122" t="s">
        <v>2487</v>
      </c>
      <c r="E377" s="1011"/>
      <c r="F377" s="1011"/>
      <c r="G377" s="1035"/>
      <c r="H377" s="1035"/>
      <c r="I377" s="1010"/>
      <c r="J377" s="1011"/>
      <c r="K377" s="1032"/>
      <c r="L377" s="1033"/>
      <c r="M377" s="1035"/>
      <c r="N377" s="1033"/>
      <c r="O377" s="1012"/>
      <c r="P377" s="1018" t="s">
        <v>412</v>
      </c>
    </row>
    <row r="378" spans="1:16" outlineLevel="1">
      <c r="A378" s="1011"/>
      <c r="B378" s="1013"/>
      <c r="C378" s="1125"/>
      <c r="D378" s="1122"/>
      <c r="E378" s="1011"/>
      <c r="F378" s="1011"/>
      <c r="G378" s="1035"/>
      <c r="H378" s="1035"/>
      <c r="I378" s="1010"/>
      <c r="J378" s="1011"/>
      <c r="K378" s="1032"/>
      <c r="L378" s="1033"/>
      <c r="M378" s="1035"/>
      <c r="N378" s="1033"/>
      <c r="O378" s="1012"/>
      <c r="P378" s="1018" t="s">
        <v>412</v>
      </c>
    </row>
    <row r="379" spans="1:16" ht="31" outlineLevel="1">
      <c r="A379" s="1031">
        <v>125</v>
      </c>
      <c r="B379" s="1013">
        <f t="shared" si="22"/>
        <v>125</v>
      </c>
      <c r="C379" s="1125" t="str">
        <f t="shared" si="23"/>
        <v>IVF125</v>
      </c>
      <c r="D379" s="1009" t="s">
        <v>185</v>
      </c>
      <c r="E379" s="1031">
        <v>1</v>
      </c>
      <c r="F379" s="1030" t="s">
        <v>66</v>
      </c>
      <c r="G379" s="1032">
        <v>6764</v>
      </c>
      <c r="H379" s="1033">
        <f>ROUND(E379*G379,0)</f>
        <v>6764</v>
      </c>
      <c r="I379" s="1010">
        <f>E379</f>
        <v>1</v>
      </c>
      <c r="J379" s="1031" t="str">
        <f>F379</f>
        <v>No</v>
      </c>
      <c r="K379" s="1033">
        <f>G379</f>
        <v>6764</v>
      </c>
      <c r="L379" s="1033">
        <f>ROUND(I379*K379,0)</f>
        <v>6764</v>
      </c>
      <c r="M379" s="1035">
        <f>IF(L379&gt;H379,L379-H379,0)</f>
        <v>0</v>
      </c>
      <c r="N379" s="1033">
        <f>IF(H379&gt;L379,H379-L379,0)</f>
        <v>0</v>
      </c>
      <c r="O379" s="1012" t="s">
        <v>2353</v>
      </c>
      <c r="P379" s="1018" t="s">
        <v>412</v>
      </c>
    </row>
    <row r="380" spans="1:16" outlineLevel="1">
      <c r="A380" s="1011"/>
      <c r="B380" s="1013" t="str">
        <f t="shared" si="22"/>
        <v/>
      </c>
      <c r="C380" s="1125"/>
      <c r="D380" s="1122" t="s">
        <v>2487</v>
      </c>
      <c r="E380" s="1011"/>
      <c r="F380" s="1011"/>
      <c r="G380" s="1035"/>
      <c r="H380" s="1035"/>
      <c r="I380" s="1010"/>
      <c r="J380" s="1011"/>
      <c r="K380" s="1035"/>
      <c r="L380" s="1035"/>
      <c r="M380" s="1035"/>
      <c r="N380" s="1035"/>
      <c r="O380" s="1012"/>
      <c r="P380" s="1018" t="s">
        <v>412</v>
      </c>
    </row>
    <row r="381" spans="1:16" outlineLevel="1">
      <c r="A381" s="1011"/>
      <c r="B381" s="1013"/>
      <c r="C381" s="1125"/>
      <c r="D381" s="1122"/>
      <c r="E381" s="1011"/>
      <c r="F381" s="1011"/>
      <c r="G381" s="1035"/>
      <c r="H381" s="1035"/>
      <c r="I381" s="1010"/>
      <c r="J381" s="1011"/>
      <c r="K381" s="1035"/>
      <c r="L381" s="1035"/>
      <c r="M381" s="1035"/>
      <c r="N381" s="1035"/>
      <c r="O381" s="1012"/>
      <c r="P381" s="1018" t="s">
        <v>412</v>
      </c>
    </row>
    <row r="382" spans="1:16" ht="139.5" outlineLevel="1">
      <c r="A382" s="1031">
        <v>126</v>
      </c>
      <c r="B382" s="1013">
        <f t="shared" si="22"/>
        <v>126</v>
      </c>
      <c r="C382" s="1125" t="str">
        <f t="shared" si="23"/>
        <v>IVF126</v>
      </c>
      <c r="D382" s="1009" t="s">
        <v>2370</v>
      </c>
      <c r="E382" s="1031">
        <v>2</v>
      </c>
      <c r="F382" s="1030" t="s">
        <v>66</v>
      </c>
      <c r="G382" s="1032">
        <v>8500</v>
      </c>
      <c r="H382" s="1033">
        <f>ROUND(E382*G382,0)</f>
        <v>17000</v>
      </c>
      <c r="I382" s="1010">
        <f>E382</f>
        <v>2</v>
      </c>
      <c r="J382" s="1031" t="str">
        <f>F382</f>
        <v>No</v>
      </c>
      <c r="K382" s="1033">
        <f>G382</f>
        <v>8500</v>
      </c>
      <c r="L382" s="1033">
        <f>ROUND(I382*K382,0)</f>
        <v>17000</v>
      </c>
      <c r="M382" s="1035">
        <f>IF(L382&gt;H382,L382-H382,0)</f>
        <v>0</v>
      </c>
      <c r="N382" s="1033">
        <f>IF(H382&gt;L382,H382-L382,0)</f>
        <v>0</v>
      </c>
      <c r="O382" s="1012" t="s">
        <v>2353</v>
      </c>
      <c r="P382" s="1018" t="s">
        <v>412</v>
      </c>
    </row>
    <row r="383" spans="1:16" outlineLevel="1">
      <c r="A383" s="1031"/>
      <c r="B383" s="1013"/>
      <c r="C383" s="1125"/>
      <c r="D383" s="1122" t="s">
        <v>2474</v>
      </c>
      <c r="E383" s="1031"/>
      <c r="F383" s="1030"/>
      <c r="G383" s="1032"/>
      <c r="H383" s="1033"/>
      <c r="I383" s="1010"/>
      <c r="J383" s="1031"/>
      <c r="K383" s="1033"/>
      <c r="L383" s="1033"/>
      <c r="M383" s="1035"/>
      <c r="N383" s="1033"/>
      <c r="O383" s="1012"/>
      <c r="P383" s="1018" t="s">
        <v>412</v>
      </c>
    </row>
    <row r="384" spans="1:16" outlineLevel="1">
      <c r="A384" s="1011"/>
      <c r="B384" s="1013" t="str">
        <f t="shared" si="22"/>
        <v/>
      </c>
      <c r="C384" s="1125"/>
      <c r="D384" s="1009"/>
      <c r="E384" s="1011"/>
      <c r="F384" s="1011"/>
      <c r="G384" s="1035"/>
      <c r="H384" s="1035"/>
      <c r="I384" s="1010"/>
      <c r="J384" s="1011"/>
      <c r="K384" s="1035"/>
      <c r="L384" s="1035"/>
      <c r="M384" s="1035"/>
      <c r="N384" s="1035"/>
      <c r="O384" s="1012"/>
      <c r="P384" s="1018" t="s">
        <v>412</v>
      </c>
    </row>
    <row r="385" spans="1:18" ht="124" outlineLevel="1">
      <c r="A385" s="1031">
        <v>127</v>
      </c>
      <c r="B385" s="1013">
        <f t="shared" si="22"/>
        <v>127</v>
      </c>
      <c r="C385" s="1125" t="str">
        <f t="shared" si="23"/>
        <v>IVF127</v>
      </c>
      <c r="D385" s="1009" t="s">
        <v>187</v>
      </c>
      <c r="E385" s="1031">
        <v>2</v>
      </c>
      <c r="F385" s="1030" t="s">
        <v>66</v>
      </c>
      <c r="G385" s="1032">
        <v>22283</v>
      </c>
      <c r="H385" s="1033">
        <f>ROUND(E385*G385,0)</f>
        <v>44566</v>
      </c>
      <c r="I385" s="1010">
        <f>E385</f>
        <v>2</v>
      </c>
      <c r="J385" s="1031" t="str">
        <f>F385</f>
        <v>No</v>
      </c>
      <c r="K385" s="1033">
        <f>G385</f>
        <v>22283</v>
      </c>
      <c r="L385" s="1033">
        <f>ROUND(I385*K385,0)</f>
        <v>44566</v>
      </c>
      <c r="M385" s="1035">
        <f>IF(L385&gt;H385,L385-H385,0)</f>
        <v>0</v>
      </c>
      <c r="N385" s="1033">
        <f>IF(H385&gt;L385,H385-L385,0)</f>
        <v>0</v>
      </c>
      <c r="O385" s="1012" t="s">
        <v>2353</v>
      </c>
      <c r="P385" s="1018" t="s">
        <v>412</v>
      </c>
      <c r="R385" s="1016">
        <f>116.3+52.4</f>
        <v>168.7</v>
      </c>
    </row>
    <row r="386" spans="1:18" outlineLevel="1">
      <c r="A386" s="1011"/>
      <c r="B386" s="1013" t="str">
        <f t="shared" si="22"/>
        <v/>
      </c>
      <c r="C386" s="1125"/>
      <c r="D386" s="1122" t="s">
        <v>2474</v>
      </c>
      <c r="E386" s="1011"/>
      <c r="F386" s="1011"/>
      <c r="G386" s="1035"/>
      <c r="H386" s="1035"/>
      <c r="I386" s="1010"/>
      <c r="J386" s="1011"/>
      <c r="K386" s="1035"/>
      <c r="L386" s="1035"/>
      <c r="M386" s="1035"/>
      <c r="N386" s="1035"/>
      <c r="O386" s="1012"/>
      <c r="P386" s="1018" t="s">
        <v>412</v>
      </c>
    </row>
    <row r="387" spans="1:18" outlineLevel="1">
      <c r="A387" s="1011"/>
      <c r="B387" s="1013"/>
      <c r="C387" s="1125"/>
      <c r="D387" s="1122"/>
      <c r="E387" s="1011"/>
      <c r="F387" s="1011"/>
      <c r="G387" s="1035"/>
      <c r="H387" s="1035"/>
      <c r="I387" s="1010"/>
      <c r="J387" s="1011"/>
      <c r="K387" s="1035"/>
      <c r="L387" s="1035"/>
      <c r="M387" s="1035"/>
      <c r="N387" s="1035"/>
      <c r="O387" s="1012"/>
      <c r="P387" s="1018" t="s">
        <v>412</v>
      </c>
    </row>
    <row r="388" spans="1:18" ht="46.5" outlineLevel="1">
      <c r="A388" s="1031">
        <v>128</v>
      </c>
      <c r="B388" s="1013">
        <f t="shared" ref="B388:B474" si="27">IF(ISBLANK(A388),"",A388)</f>
        <v>128</v>
      </c>
      <c r="C388" s="1125" t="str">
        <f t="shared" ref="C388:C474" si="28">IF(ISBLANK(B388), "", IF(B388&lt;10, "IVF00" &amp; B388, IF(AND(B388&gt;=10, B388&lt;=99), "IVF0" &amp; B388, IF(B388&gt;99, "IVF" &amp; B388))))</f>
        <v>IVF128</v>
      </c>
      <c r="D388" s="1009" t="s">
        <v>188</v>
      </c>
      <c r="E388" s="1031">
        <v>200</v>
      </c>
      <c r="F388" s="1030" t="s">
        <v>60</v>
      </c>
      <c r="G388" s="1032">
        <v>329</v>
      </c>
      <c r="H388" s="1033">
        <f>ROUND(E388*G388,0)</f>
        <v>65800</v>
      </c>
      <c r="I388" s="1010">
        <f>184.9+3.95</f>
        <v>188.85</v>
      </c>
      <c r="J388" s="1031" t="str">
        <f>F388</f>
        <v>Rmt</v>
      </c>
      <c r="K388" s="1033">
        <f>G388</f>
        <v>329</v>
      </c>
      <c r="L388" s="1033">
        <f>ROUND(I388*K388,0)</f>
        <v>62132</v>
      </c>
      <c r="M388" s="1035">
        <f>IF(L388&gt;H388,L388-H388,0)</f>
        <v>0</v>
      </c>
      <c r="N388" s="1033">
        <f>IF(H388&gt;L388,H388-L388,0)</f>
        <v>3668</v>
      </c>
      <c r="O388" s="1012" t="s">
        <v>2440</v>
      </c>
      <c r="P388" s="1018" t="s">
        <v>412</v>
      </c>
    </row>
    <row r="389" spans="1:18" outlineLevel="1">
      <c r="A389" s="1011"/>
      <c r="B389" s="1013" t="str">
        <f t="shared" si="27"/>
        <v/>
      </c>
      <c r="C389" s="1125"/>
      <c r="D389" s="1122" t="s">
        <v>2467</v>
      </c>
      <c r="E389" s="1011"/>
      <c r="F389" s="1011"/>
      <c r="G389" s="1035"/>
      <c r="H389" s="1035"/>
      <c r="I389" s="1010"/>
      <c r="J389" s="1011"/>
      <c r="K389" s="1035"/>
      <c r="L389" s="1035"/>
      <c r="M389" s="1035"/>
      <c r="N389" s="1035"/>
      <c r="O389" s="1012"/>
      <c r="P389" s="1018" t="s">
        <v>412</v>
      </c>
    </row>
    <row r="390" spans="1:18" outlineLevel="1">
      <c r="A390" s="1011"/>
      <c r="B390" s="1013"/>
      <c r="C390" s="1125"/>
      <c r="D390" s="1122"/>
      <c r="E390" s="1011"/>
      <c r="F390" s="1011"/>
      <c r="G390" s="1035"/>
      <c r="H390" s="1035"/>
      <c r="I390" s="1010"/>
      <c r="J390" s="1011"/>
      <c r="K390" s="1035"/>
      <c r="L390" s="1035"/>
      <c r="M390" s="1035"/>
      <c r="N390" s="1035"/>
      <c r="O390" s="1214"/>
      <c r="P390" s="1018" t="s">
        <v>412</v>
      </c>
    </row>
    <row r="391" spans="1:18" ht="46.5" outlineLevel="1">
      <c r="A391" s="1031">
        <v>129</v>
      </c>
      <c r="B391" s="1013">
        <f t="shared" si="27"/>
        <v>129</v>
      </c>
      <c r="C391" s="1125" t="str">
        <f t="shared" si="28"/>
        <v>IVF129</v>
      </c>
      <c r="D391" s="1009" t="s">
        <v>189</v>
      </c>
      <c r="E391" s="1031">
        <v>100</v>
      </c>
      <c r="F391" s="1030" t="s">
        <v>60</v>
      </c>
      <c r="G391" s="1032">
        <v>163</v>
      </c>
      <c r="H391" s="1033">
        <f>ROUND(E391*G391,0)</f>
        <v>16300</v>
      </c>
      <c r="I391" s="1010">
        <v>100</v>
      </c>
      <c r="J391" s="1031" t="str">
        <f>F391</f>
        <v>Rmt</v>
      </c>
      <c r="K391" s="1033">
        <f>G391</f>
        <v>163</v>
      </c>
      <c r="L391" s="1033">
        <f>ROUND(I391*K391,0)</f>
        <v>16300</v>
      </c>
      <c r="M391" s="1035">
        <f>IF(L391&gt;H391,L391-H391,0)</f>
        <v>0</v>
      </c>
      <c r="N391" s="1033">
        <f>IF(H391&gt;L391,H391-L391,0)</f>
        <v>0</v>
      </c>
      <c r="O391" s="1236" t="s">
        <v>2358</v>
      </c>
      <c r="P391" s="1018" t="s">
        <v>412</v>
      </c>
    </row>
    <row r="392" spans="1:18" outlineLevel="1">
      <c r="A392" s="1011"/>
      <c r="B392" s="1013" t="str">
        <f t="shared" si="27"/>
        <v/>
      </c>
      <c r="C392" s="1125"/>
      <c r="D392" s="1039" t="s">
        <v>294</v>
      </c>
      <c r="E392" s="1011"/>
      <c r="F392" s="1011"/>
      <c r="G392" s="1035"/>
      <c r="H392" s="1035"/>
      <c r="I392" s="1010">
        <v>68.7</v>
      </c>
      <c r="J392" s="1011" t="s">
        <v>60</v>
      </c>
      <c r="K392" s="1032">
        <v>163</v>
      </c>
      <c r="L392" s="1033">
        <f>ROUND(I392*K392,0)</f>
        <v>11198</v>
      </c>
      <c r="M392" s="1035">
        <f>IF(L392&gt;H392,L392-H392,0)</f>
        <v>11198</v>
      </c>
      <c r="N392" s="1033">
        <f>IF(H392&gt;L392,H392-L392,0)</f>
        <v>0</v>
      </c>
      <c r="O392" s="1237"/>
      <c r="P392" s="1018" t="s">
        <v>412</v>
      </c>
    </row>
    <row r="393" spans="1:18" outlineLevel="1">
      <c r="A393" s="1011"/>
      <c r="B393" s="1013"/>
      <c r="C393" s="1125"/>
      <c r="D393" s="1122" t="s">
        <v>2473</v>
      </c>
      <c r="E393" s="1011"/>
      <c r="F393" s="1011"/>
      <c r="G393" s="1035"/>
      <c r="H393" s="1035"/>
      <c r="I393" s="1010"/>
      <c r="J393" s="1011"/>
      <c r="K393" s="1032"/>
      <c r="L393" s="1033"/>
      <c r="M393" s="1035"/>
      <c r="N393" s="1033"/>
      <c r="O393" s="1215"/>
      <c r="P393" s="1018" t="s">
        <v>412</v>
      </c>
    </row>
    <row r="394" spans="1:18" outlineLevel="1">
      <c r="A394" s="1011"/>
      <c r="B394" s="1013" t="str">
        <f t="shared" si="27"/>
        <v/>
      </c>
      <c r="C394" s="1125"/>
      <c r="D394" s="1039"/>
      <c r="E394" s="1011"/>
      <c r="F394" s="1011"/>
      <c r="G394" s="1035"/>
      <c r="H394" s="1035"/>
      <c r="I394" s="1010"/>
      <c r="J394" s="1011"/>
      <c r="K394" s="1032"/>
      <c r="L394" s="1033"/>
      <c r="M394" s="1035"/>
      <c r="N394" s="1033"/>
      <c r="O394" s="1012"/>
      <c r="P394" s="1018" t="s">
        <v>412</v>
      </c>
    </row>
    <row r="395" spans="1:18" ht="46.5" outlineLevel="1">
      <c r="A395" s="1031">
        <v>130</v>
      </c>
      <c r="B395" s="1013">
        <f t="shared" si="27"/>
        <v>130</v>
      </c>
      <c r="C395" s="1125" t="str">
        <f t="shared" si="28"/>
        <v>IVF130</v>
      </c>
      <c r="D395" s="1009" t="s">
        <v>190</v>
      </c>
      <c r="E395" s="1031">
        <v>200</v>
      </c>
      <c r="F395" s="1030" t="s">
        <v>60</v>
      </c>
      <c r="G395" s="1032">
        <v>902</v>
      </c>
      <c r="H395" s="1033">
        <f>ROUND(E395*G395,0)</f>
        <v>180400</v>
      </c>
      <c r="I395" s="1010">
        <v>65.3</v>
      </c>
      <c r="J395" s="1031" t="str">
        <f>F395</f>
        <v>Rmt</v>
      </c>
      <c r="K395" s="1033">
        <f>G395</f>
        <v>902</v>
      </c>
      <c r="L395" s="1033">
        <f>ROUND(I395*K395,0)</f>
        <v>58901</v>
      </c>
      <c r="M395" s="1035">
        <f>IF(L395&gt;H395,L395-H395,0)</f>
        <v>0</v>
      </c>
      <c r="N395" s="1033">
        <f>IF(H395&gt;L395,H395-L395,0)</f>
        <v>121499</v>
      </c>
      <c r="O395" s="1012" t="s">
        <v>2440</v>
      </c>
      <c r="P395" s="1018" t="s">
        <v>412</v>
      </c>
      <c r="Q395" s="1081"/>
      <c r="R395" s="1082"/>
    </row>
    <row r="396" spans="1:18" outlineLevel="1">
      <c r="A396" s="1011"/>
      <c r="B396" s="1013" t="str">
        <f t="shared" si="27"/>
        <v/>
      </c>
      <c r="C396" s="1125"/>
      <c r="D396" s="1122" t="s">
        <v>2472</v>
      </c>
      <c r="E396" s="1011"/>
      <c r="F396" s="1011"/>
      <c r="G396" s="1035"/>
      <c r="H396" s="1035"/>
      <c r="I396" s="1010"/>
      <c r="J396" s="1011"/>
      <c r="K396" s="1035"/>
      <c r="L396" s="1035"/>
      <c r="M396" s="1035"/>
      <c r="N396" s="1035"/>
      <c r="O396" s="1012"/>
      <c r="P396" s="1018" t="s">
        <v>412</v>
      </c>
    </row>
    <row r="397" spans="1:18" outlineLevel="1">
      <c r="A397" s="1011"/>
      <c r="B397" s="1013"/>
      <c r="C397" s="1125"/>
      <c r="D397" s="1122"/>
      <c r="E397" s="1011"/>
      <c r="F397" s="1011"/>
      <c r="G397" s="1035"/>
      <c r="H397" s="1035"/>
      <c r="I397" s="1010"/>
      <c r="J397" s="1011"/>
      <c r="K397" s="1035"/>
      <c r="L397" s="1035"/>
      <c r="M397" s="1035"/>
      <c r="N397" s="1035"/>
      <c r="O397" s="1214"/>
      <c r="P397" s="1018" t="s">
        <v>412</v>
      </c>
    </row>
    <row r="398" spans="1:18" ht="31" outlineLevel="1">
      <c r="A398" s="1031">
        <v>131</v>
      </c>
      <c r="B398" s="1013">
        <f t="shared" si="27"/>
        <v>131</v>
      </c>
      <c r="C398" s="1125" t="str">
        <f t="shared" si="28"/>
        <v>IVF131</v>
      </c>
      <c r="D398" s="1009" t="s">
        <v>191</v>
      </c>
      <c r="E398" s="1031">
        <v>80</v>
      </c>
      <c r="F398" s="1030" t="s">
        <v>60</v>
      </c>
      <c r="G398" s="1032">
        <v>83</v>
      </c>
      <c r="H398" s="1033">
        <f>ROUND(E398*G398,0)</f>
        <v>6640</v>
      </c>
      <c r="I398" s="1010">
        <v>80</v>
      </c>
      <c r="J398" s="1031" t="str">
        <f>F398</f>
        <v>Rmt</v>
      </c>
      <c r="K398" s="1033">
        <f>G398</f>
        <v>83</v>
      </c>
      <c r="L398" s="1033">
        <f>ROUND(I398*K398,0)</f>
        <v>6640</v>
      </c>
      <c r="M398" s="1035">
        <f>IF(L398&gt;H398,L398-H398,0)</f>
        <v>0</v>
      </c>
      <c r="N398" s="1033">
        <f>IF(H398&gt;L398,H398-L398,0)</f>
        <v>0</v>
      </c>
      <c r="O398" s="1236" t="s">
        <v>2358</v>
      </c>
      <c r="P398" s="1018" t="s">
        <v>412</v>
      </c>
    </row>
    <row r="399" spans="1:18" outlineLevel="1">
      <c r="A399" s="1011"/>
      <c r="B399" s="1013" t="str">
        <f t="shared" si="27"/>
        <v/>
      </c>
      <c r="C399" s="1125"/>
      <c r="D399" s="1039" t="s">
        <v>294</v>
      </c>
      <c r="E399" s="1011"/>
      <c r="F399" s="1011"/>
      <c r="G399" s="1035"/>
      <c r="H399" s="1035"/>
      <c r="I399" s="1010">
        <v>63</v>
      </c>
      <c r="J399" s="1011" t="s">
        <v>60</v>
      </c>
      <c r="K399" s="1032">
        <v>83</v>
      </c>
      <c r="L399" s="1033">
        <f>ROUND(I399*K399,0)</f>
        <v>5229</v>
      </c>
      <c r="M399" s="1035">
        <f>IF(L399&gt;H399,L399-H399,0)</f>
        <v>5229</v>
      </c>
      <c r="N399" s="1033">
        <f>IF(H399&gt;L399,H399-L399,0)</f>
        <v>0</v>
      </c>
      <c r="O399" s="1237"/>
      <c r="P399" s="1018" t="s">
        <v>412</v>
      </c>
    </row>
    <row r="400" spans="1:18" outlineLevel="1">
      <c r="A400" s="1011"/>
      <c r="B400" s="1013"/>
      <c r="C400" s="1125"/>
      <c r="D400" s="1122" t="s">
        <v>2468</v>
      </c>
      <c r="E400" s="1011"/>
      <c r="F400" s="1011"/>
      <c r="G400" s="1035"/>
      <c r="H400" s="1035"/>
      <c r="I400" s="1010"/>
      <c r="J400" s="1011"/>
      <c r="K400" s="1032"/>
      <c r="L400" s="1033"/>
      <c r="M400" s="1035"/>
      <c r="N400" s="1033"/>
      <c r="O400" s="1215"/>
      <c r="P400" s="1018" t="s">
        <v>412</v>
      </c>
    </row>
    <row r="401" spans="1:16" outlineLevel="1">
      <c r="A401" s="1011"/>
      <c r="B401" s="1013" t="str">
        <f t="shared" si="27"/>
        <v/>
      </c>
      <c r="C401" s="1125"/>
      <c r="D401" s="1039"/>
      <c r="E401" s="1011"/>
      <c r="F401" s="1011"/>
      <c r="G401" s="1035"/>
      <c r="H401" s="1035"/>
      <c r="I401" s="1010"/>
      <c r="J401" s="1011"/>
      <c r="K401" s="1032"/>
      <c r="L401" s="1033"/>
      <c r="M401" s="1035"/>
      <c r="N401" s="1033"/>
      <c r="O401" s="1012"/>
      <c r="P401" s="1018" t="s">
        <v>412</v>
      </c>
    </row>
    <row r="402" spans="1:16" ht="170.5" outlineLevel="1">
      <c r="A402" s="1031">
        <v>132</v>
      </c>
      <c r="B402" s="1013">
        <f t="shared" si="27"/>
        <v>132</v>
      </c>
      <c r="C402" s="1125" t="str">
        <f t="shared" si="28"/>
        <v>IVF132</v>
      </c>
      <c r="D402" s="1009" t="s">
        <v>192</v>
      </c>
      <c r="E402" s="1031">
        <v>120</v>
      </c>
      <c r="F402" s="1030" t="s">
        <v>60</v>
      </c>
      <c r="G402" s="1032">
        <v>1207</v>
      </c>
      <c r="H402" s="1033">
        <f>ROUND(E402*G402,0)</f>
        <v>144840</v>
      </c>
      <c r="I402" s="1010">
        <v>83</v>
      </c>
      <c r="J402" s="1031" t="str">
        <f>F402</f>
        <v>Rmt</v>
      </c>
      <c r="K402" s="1033">
        <f>G402</f>
        <v>1207</v>
      </c>
      <c r="L402" s="1033">
        <f>ROUND(I402*K402,0)</f>
        <v>100181</v>
      </c>
      <c r="M402" s="1035">
        <f>IF(L402&gt;H402,L402-H402,0)</f>
        <v>0</v>
      </c>
      <c r="N402" s="1033">
        <f>IF(H402&gt;L402,H402-L402,0)</f>
        <v>44659</v>
      </c>
      <c r="O402" s="1012" t="s">
        <v>2440</v>
      </c>
      <c r="P402" s="1018" t="s">
        <v>412</v>
      </c>
    </row>
    <row r="403" spans="1:16" outlineLevel="1">
      <c r="A403" s="1031"/>
      <c r="B403" s="1013"/>
      <c r="C403" s="1125"/>
      <c r="D403" s="1122" t="s">
        <v>2468</v>
      </c>
      <c r="E403" s="1031"/>
      <c r="F403" s="1030"/>
      <c r="G403" s="1032"/>
      <c r="H403" s="1033"/>
      <c r="I403" s="1010"/>
      <c r="J403" s="1031"/>
      <c r="K403" s="1033"/>
      <c r="L403" s="1033"/>
      <c r="M403" s="1035"/>
      <c r="N403" s="1033"/>
      <c r="O403" s="1012"/>
      <c r="P403" s="1018" t="s">
        <v>412</v>
      </c>
    </row>
    <row r="404" spans="1:16" outlineLevel="1">
      <c r="A404" s="1011"/>
      <c r="B404" s="1013" t="str">
        <f t="shared" si="27"/>
        <v/>
      </c>
      <c r="C404" s="1125"/>
      <c r="D404" s="1009"/>
      <c r="E404" s="1011"/>
      <c r="F404" s="1011"/>
      <c r="G404" s="1035"/>
      <c r="H404" s="1035"/>
      <c r="I404" s="1010"/>
      <c r="J404" s="1011"/>
      <c r="K404" s="1035"/>
      <c r="L404" s="1035"/>
      <c r="M404" s="1035"/>
      <c r="N404" s="1035"/>
      <c r="O404" s="1012"/>
      <c r="P404" s="1018" t="s">
        <v>412</v>
      </c>
    </row>
    <row r="405" spans="1:16" ht="170.5" outlineLevel="1">
      <c r="A405" s="1031">
        <v>133</v>
      </c>
      <c r="B405" s="1013">
        <f t="shared" si="27"/>
        <v>133</v>
      </c>
      <c r="C405" s="1125" t="str">
        <f t="shared" si="28"/>
        <v>IVF133</v>
      </c>
      <c r="D405" s="1009" t="s">
        <v>193</v>
      </c>
      <c r="E405" s="1031">
        <v>70</v>
      </c>
      <c r="F405" s="1030" t="s">
        <v>60</v>
      </c>
      <c r="G405" s="1032">
        <v>722</v>
      </c>
      <c r="H405" s="1033">
        <f>ROUND(E405*G405,0)</f>
        <v>50540</v>
      </c>
      <c r="I405" s="1010">
        <v>40</v>
      </c>
      <c r="J405" s="1031" t="str">
        <f>F405</f>
        <v>Rmt</v>
      </c>
      <c r="K405" s="1033">
        <f>G405</f>
        <v>722</v>
      </c>
      <c r="L405" s="1033">
        <f>ROUND(I405*K405,0)</f>
        <v>28880</v>
      </c>
      <c r="M405" s="1035">
        <f>IF(L405&gt;H405,L405-H405,0)</f>
        <v>0</v>
      </c>
      <c r="N405" s="1033">
        <f>IF(H405&gt;L405,H405-L405,0)</f>
        <v>21660</v>
      </c>
      <c r="O405" s="1012" t="s">
        <v>2440</v>
      </c>
      <c r="P405" s="1018" t="s">
        <v>412</v>
      </c>
    </row>
    <row r="406" spans="1:16" outlineLevel="1">
      <c r="A406" s="1031"/>
      <c r="B406" s="1013"/>
      <c r="C406" s="1125"/>
      <c r="D406" s="1122" t="s">
        <v>2469</v>
      </c>
      <c r="E406" s="1031"/>
      <c r="F406" s="1030"/>
      <c r="G406" s="1032"/>
      <c r="H406" s="1033"/>
      <c r="I406" s="1010"/>
      <c r="J406" s="1031"/>
      <c r="K406" s="1033"/>
      <c r="L406" s="1033"/>
      <c r="M406" s="1035"/>
      <c r="N406" s="1033"/>
      <c r="O406" s="1012"/>
      <c r="P406" s="1018" t="s">
        <v>412</v>
      </c>
    </row>
    <row r="407" spans="1:16" outlineLevel="1">
      <c r="A407" s="1011"/>
      <c r="B407" s="1013" t="str">
        <f t="shared" si="27"/>
        <v/>
      </c>
      <c r="C407" s="1125"/>
      <c r="D407" s="1009"/>
      <c r="E407" s="1011"/>
      <c r="F407" s="1011"/>
      <c r="G407" s="1035"/>
      <c r="H407" s="1035"/>
      <c r="I407" s="1010"/>
      <c r="J407" s="1011"/>
      <c r="K407" s="1035"/>
      <c r="L407" s="1035"/>
      <c r="M407" s="1035"/>
      <c r="N407" s="1035"/>
      <c r="O407" s="1012"/>
      <c r="P407" s="1018" t="s">
        <v>412</v>
      </c>
    </row>
    <row r="408" spans="1:16" ht="186" outlineLevel="1">
      <c r="A408" s="1031">
        <v>134</v>
      </c>
      <c r="B408" s="1013">
        <f t="shared" si="27"/>
        <v>134</v>
      </c>
      <c r="C408" s="1125" t="str">
        <f t="shared" si="28"/>
        <v>IVF134</v>
      </c>
      <c r="D408" s="1009" t="s">
        <v>2371</v>
      </c>
      <c r="E408" s="1031">
        <v>100</v>
      </c>
      <c r="F408" s="1030" t="s">
        <v>60</v>
      </c>
      <c r="G408" s="1032">
        <v>1483</v>
      </c>
      <c r="H408" s="1033">
        <f>ROUND(E408*G408,0)</f>
        <v>148300</v>
      </c>
      <c r="I408" s="1010">
        <v>60</v>
      </c>
      <c r="J408" s="1031" t="str">
        <f>F408</f>
        <v>Rmt</v>
      </c>
      <c r="K408" s="1033">
        <f>G408</f>
        <v>1483</v>
      </c>
      <c r="L408" s="1033">
        <f>ROUND(I408*K408,0)</f>
        <v>88980</v>
      </c>
      <c r="M408" s="1035">
        <f>IF(L408&gt;H408,L408-H408,0)</f>
        <v>0</v>
      </c>
      <c r="N408" s="1033">
        <f>IF(H408&gt;L408,H408-L408,0)</f>
        <v>59320</v>
      </c>
      <c r="O408" s="1012" t="s">
        <v>2440</v>
      </c>
      <c r="P408" s="1018" t="s">
        <v>412</v>
      </c>
    </row>
    <row r="409" spans="1:16" outlineLevel="1">
      <c r="A409" s="1011"/>
      <c r="B409" s="1013" t="str">
        <f t="shared" si="27"/>
        <v/>
      </c>
      <c r="C409" s="1125"/>
      <c r="D409" s="1009"/>
      <c r="E409" s="1011"/>
      <c r="F409" s="1011"/>
      <c r="G409" s="1035"/>
      <c r="H409" s="1035"/>
      <c r="I409" s="1010"/>
      <c r="J409" s="1011"/>
      <c r="K409" s="1035"/>
      <c r="L409" s="1035"/>
      <c r="M409" s="1035"/>
      <c r="N409" s="1035"/>
      <c r="O409" s="1012"/>
      <c r="P409" s="1018" t="s">
        <v>412</v>
      </c>
    </row>
    <row r="410" spans="1:16" ht="186" outlineLevel="1">
      <c r="A410" s="1031">
        <v>135</v>
      </c>
      <c r="B410" s="1013">
        <f t="shared" si="27"/>
        <v>135</v>
      </c>
      <c r="C410" s="1125" t="str">
        <f t="shared" si="28"/>
        <v>IVF135</v>
      </c>
      <c r="D410" s="1009" t="s">
        <v>2372</v>
      </c>
      <c r="E410" s="1031">
        <v>120</v>
      </c>
      <c r="F410" s="1030" t="s">
        <v>60</v>
      </c>
      <c r="G410" s="1032">
        <v>484</v>
      </c>
      <c r="H410" s="1033">
        <f>ROUND(E410*G410,0)</f>
        <v>58080</v>
      </c>
      <c r="I410" s="1010">
        <v>53</v>
      </c>
      <c r="J410" s="1031" t="str">
        <f>F410</f>
        <v>Rmt</v>
      </c>
      <c r="K410" s="1033">
        <f>G410</f>
        <v>484</v>
      </c>
      <c r="L410" s="1033">
        <f>ROUND(I410*K410,0)</f>
        <v>25652</v>
      </c>
      <c r="M410" s="1035">
        <f>IF(L410&gt;H410,L410-H410,0)</f>
        <v>0</v>
      </c>
      <c r="N410" s="1033">
        <f>IF(H410&gt;L410,H410-L410,0)</f>
        <v>32428</v>
      </c>
      <c r="O410" s="1012" t="s">
        <v>2440</v>
      </c>
      <c r="P410" s="1018" t="s">
        <v>412</v>
      </c>
    </row>
    <row r="411" spans="1:16" outlineLevel="1">
      <c r="A411" s="1031"/>
      <c r="B411" s="1013"/>
      <c r="C411" s="1125"/>
      <c r="D411" s="1122" t="s">
        <v>2472</v>
      </c>
      <c r="E411" s="1031"/>
      <c r="F411" s="1030"/>
      <c r="G411" s="1032"/>
      <c r="H411" s="1033"/>
      <c r="I411" s="1010"/>
      <c r="J411" s="1031"/>
      <c r="K411" s="1033"/>
      <c r="L411" s="1033"/>
      <c r="M411" s="1035"/>
      <c r="N411" s="1033"/>
      <c r="O411" s="1012"/>
      <c r="P411" s="1018" t="s">
        <v>412</v>
      </c>
    </row>
    <row r="412" spans="1:16" outlineLevel="1">
      <c r="A412" s="1011"/>
      <c r="B412" s="1013" t="str">
        <f t="shared" si="27"/>
        <v/>
      </c>
      <c r="C412" s="1125"/>
      <c r="D412" s="1009"/>
      <c r="E412" s="1011"/>
      <c r="F412" s="1011"/>
      <c r="G412" s="1035"/>
      <c r="H412" s="1035"/>
      <c r="I412" s="1010"/>
      <c r="J412" s="1011"/>
      <c r="K412" s="1035"/>
      <c r="L412" s="1035"/>
      <c r="M412" s="1035"/>
      <c r="N412" s="1035"/>
      <c r="O412" s="1012"/>
      <c r="P412" s="1018" t="s">
        <v>412</v>
      </c>
    </row>
    <row r="413" spans="1:16" ht="155" outlineLevel="1">
      <c r="A413" s="1031">
        <v>136</v>
      </c>
      <c r="B413" s="1013">
        <f t="shared" si="27"/>
        <v>136</v>
      </c>
      <c r="C413" s="1125" t="str">
        <f t="shared" si="28"/>
        <v>IVF136</v>
      </c>
      <c r="D413" s="1009" t="s">
        <v>196</v>
      </c>
      <c r="E413" s="1031">
        <v>80</v>
      </c>
      <c r="F413" s="1030" t="s">
        <v>60</v>
      </c>
      <c r="G413" s="1032">
        <v>356</v>
      </c>
      <c r="H413" s="1033">
        <f>ROUND(E413*G413,0)</f>
        <v>28480</v>
      </c>
      <c r="I413" s="1010">
        <v>80</v>
      </c>
      <c r="J413" s="1031" t="str">
        <f>F413</f>
        <v>Rmt</v>
      </c>
      <c r="K413" s="1033">
        <f>G413</f>
        <v>356</v>
      </c>
      <c r="L413" s="1033">
        <f>ROUND(I413*K413,0)</f>
        <v>28480</v>
      </c>
      <c r="M413" s="1035">
        <f>IF(L413&gt;H413,L413-H413,0)</f>
        <v>0</v>
      </c>
      <c r="N413" s="1033">
        <f>IF(H413&gt;L413,H413-L413,0)</f>
        <v>0</v>
      </c>
      <c r="O413" s="1236" t="s">
        <v>2358</v>
      </c>
      <c r="P413" s="1018" t="s">
        <v>412</v>
      </c>
    </row>
    <row r="414" spans="1:16" outlineLevel="1">
      <c r="A414" s="1011"/>
      <c r="B414" s="1013" t="str">
        <f t="shared" si="27"/>
        <v/>
      </c>
      <c r="C414" s="1125"/>
      <c r="D414" s="1039" t="s">
        <v>294</v>
      </c>
      <c r="E414" s="1011"/>
      <c r="F414" s="1011"/>
      <c r="G414" s="1035"/>
      <c r="H414" s="1035"/>
      <c r="I414" s="1010">
        <v>45</v>
      </c>
      <c r="J414" s="1011" t="s">
        <v>60</v>
      </c>
      <c r="K414" s="1032">
        <v>356</v>
      </c>
      <c r="L414" s="1033">
        <f>ROUND(I414*K414,0)</f>
        <v>16020</v>
      </c>
      <c r="M414" s="1035">
        <f>IF(L414&gt;H414,L414-H414,0)</f>
        <v>16020</v>
      </c>
      <c r="N414" s="1033">
        <f>IF(H414&gt;L414,H414-L414,0)</f>
        <v>0</v>
      </c>
      <c r="O414" s="1237"/>
      <c r="P414" s="1018" t="s">
        <v>412</v>
      </c>
    </row>
    <row r="415" spans="1:16" outlineLevel="1">
      <c r="A415" s="1011"/>
      <c r="B415" s="1013"/>
      <c r="C415" s="1125"/>
      <c r="D415" s="1122" t="s">
        <v>2471</v>
      </c>
      <c r="E415" s="1011"/>
      <c r="F415" s="1011"/>
      <c r="G415" s="1035"/>
      <c r="H415" s="1035"/>
      <c r="I415" s="1010"/>
      <c r="J415" s="1011"/>
      <c r="K415" s="1032"/>
      <c r="L415" s="1033"/>
      <c r="M415" s="1035"/>
      <c r="N415" s="1033"/>
      <c r="O415" s="1215"/>
      <c r="P415" s="1018" t="s">
        <v>412</v>
      </c>
    </row>
    <row r="416" spans="1:16" outlineLevel="1">
      <c r="A416" s="1011"/>
      <c r="B416" s="1013" t="str">
        <f t="shared" si="27"/>
        <v/>
      </c>
      <c r="C416" s="1125"/>
      <c r="D416" s="1039"/>
      <c r="E416" s="1011"/>
      <c r="F416" s="1011"/>
      <c r="G416" s="1035"/>
      <c r="H416" s="1035"/>
      <c r="I416" s="1010"/>
      <c r="J416" s="1011"/>
      <c r="K416" s="1032"/>
      <c r="L416" s="1033"/>
      <c r="M416" s="1035"/>
      <c r="N416" s="1033"/>
      <c r="O416" s="1012"/>
      <c r="P416" s="1018" t="s">
        <v>412</v>
      </c>
    </row>
    <row r="417" spans="1:16" ht="279" outlineLevel="1">
      <c r="A417" s="1031">
        <v>137</v>
      </c>
      <c r="B417" s="1013">
        <f t="shared" si="27"/>
        <v>137</v>
      </c>
      <c r="C417" s="1125" t="str">
        <f t="shared" si="28"/>
        <v>IVF137</v>
      </c>
      <c r="D417" s="1009" t="s">
        <v>2373</v>
      </c>
      <c r="E417" s="1031">
        <v>1</v>
      </c>
      <c r="F417" s="1030" t="s">
        <v>66</v>
      </c>
      <c r="G417" s="1032">
        <v>355000</v>
      </c>
      <c r="H417" s="1033">
        <f>ROUND(E417*G417,0)</f>
        <v>355000</v>
      </c>
      <c r="I417" s="1010">
        <f>E417</f>
        <v>1</v>
      </c>
      <c r="J417" s="1031" t="str">
        <f>F417</f>
        <v>No</v>
      </c>
      <c r="K417" s="1033">
        <f>G417</f>
        <v>355000</v>
      </c>
      <c r="L417" s="1033">
        <f>ROUND(I417*K417,0)</f>
        <v>355000</v>
      </c>
      <c r="M417" s="1035">
        <f>IF(L417&gt;H417,L417-H417,0)</f>
        <v>0</v>
      </c>
      <c r="N417" s="1033">
        <f>IF(H417&gt;L417,H417-L417,0)</f>
        <v>0</v>
      </c>
      <c r="O417" s="1012" t="s">
        <v>2353</v>
      </c>
      <c r="P417" s="1018" t="s">
        <v>412</v>
      </c>
    </row>
    <row r="418" spans="1:16" outlineLevel="1">
      <c r="A418" s="1011"/>
      <c r="B418" s="1013" t="str">
        <f t="shared" si="27"/>
        <v/>
      </c>
      <c r="C418" s="1125"/>
      <c r="D418" s="1122" t="s">
        <v>2470</v>
      </c>
      <c r="E418" s="1011"/>
      <c r="F418" s="1011"/>
      <c r="G418" s="1035"/>
      <c r="H418" s="1035"/>
      <c r="I418" s="1010"/>
      <c r="J418" s="1011"/>
      <c r="K418" s="1035"/>
      <c r="L418" s="1035"/>
      <c r="M418" s="1035"/>
      <c r="N418" s="1035"/>
      <c r="O418" s="1012"/>
      <c r="P418" s="1018" t="s">
        <v>412</v>
      </c>
    </row>
    <row r="419" spans="1:16" outlineLevel="1">
      <c r="A419" s="1011"/>
      <c r="B419" s="1013"/>
      <c r="C419" s="1125"/>
      <c r="D419" s="1122"/>
      <c r="E419" s="1011"/>
      <c r="F419" s="1011"/>
      <c r="G419" s="1035"/>
      <c r="H419" s="1035"/>
      <c r="I419" s="1010"/>
      <c r="J419" s="1011"/>
      <c r="K419" s="1035"/>
      <c r="L419" s="1035"/>
      <c r="M419" s="1035"/>
      <c r="N419" s="1035"/>
      <c r="O419" s="1012"/>
      <c r="P419" s="1018" t="s">
        <v>412</v>
      </c>
    </row>
    <row r="420" spans="1:16" ht="279" outlineLevel="1">
      <c r="A420" s="1031">
        <v>138</v>
      </c>
      <c r="B420" s="1013">
        <f t="shared" si="27"/>
        <v>138</v>
      </c>
      <c r="C420" s="1125" t="str">
        <f t="shared" si="28"/>
        <v>IVF138</v>
      </c>
      <c r="D420" s="1009" t="s">
        <v>198</v>
      </c>
      <c r="E420" s="1031">
        <v>1</v>
      </c>
      <c r="F420" s="1030" t="s">
        <v>66</v>
      </c>
      <c r="G420" s="1032">
        <v>270000</v>
      </c>
      <c r="H420" s="1033">
        <f>ROUND(E420*G420,0)</f>
        <v>270000</v>
      </c>
      <c r="I420" s="1010">
        <f>E420</f>
        <v>1</v>
      </c>
      <c r="J420" s="1031" t="str">
        <f>F420</f>
        <v>No</v>
      </c>
      <c r="K420" s="1033">
        <f>G420</f>
        <v>270000</v>
      </c>
      <c r="L420" s="1033">
        <f>ROUND(I420*K420,0)</f>
        <v>270000</v>
      </c>
      <c r="M420" s="1035">
        <f>IF(L420&gt;H420,L420-H420,0)</f>
        <v>0</v>
      </c>
      <c r="N420" s="1033">
        <f>IF(H420&gt;L420,H420-L420,0)</f>
        <v>0</v>
      </c>
      <c r="O420" s="1012" t="s">
        <v>2353</v>
      </c>
      <c r="P420" s="1018" t="s">
        <v>412</v>
      </c>
    </row>
    <row r="421" spans="1:16" outlineLevel="1">
      <c r="A421" s="1031"/>
      <c r="B421" s="1013"/>
      <c r="C421" s="1125"/>
      <c r="D421" s="1122" t="s">
        <v>2470</v>
      </c>
      <c r="E421" s="1031"/>
      <c r="F421" s="1030"/>
      <c r="G421" s="1032"/>
      <c r="H421" s="1033"/>
      <c r="I421" s="1010"/>
      <c r="J421" s="1031"/>
      <c r="K421" s="1033"/>
      <c r="L421" s="1033"/>
      <c r="M421" s="1035"/>
      <c r="N421" s="1033"/>
      <c r="O421" s="1012"/>
      <c r="P421" s="1018" t="s">
        <v>412</v>
      </c>
    </row>
    <row r="422" spans="1:16" outlineLevel="1">
      <c r="A422" s="1011"/>
      <c r="B422" s="1013" t="str">
        <f t="shared" si="27"/>
        <v/>
      </c>
      <c r="C422" s="1125"/>
      <c r="D422" s="1009"/>
      <c r="E422" s="1011"/>
      <c r="F422" s="1011"/>
      <c r="G422" s="1035"/>
      <c r="H422" s="1035"/>
      <c r="I422" s="1010"/>
      <c r="J422" s="1011"/>
      <c r="K422" s="1035"/>
      <c r="L422" s="1035"/>
      <c r="M422" s="1035"/>
      <c r="N422" s="1035"/>
      <c r="O422" s="1012"/>
      <c r="P422" s="1018" t="s">
        <v>412</v>
      </c>
    </row>
    <row r="423" spans="1:16" ht="62" outlineLevel="1">
      <c r="A423" s="1031">
        <v>139</v>
      </c>
      <c r="B423" s="1013">
        <f t="shared" si="27"/>
        <v>139</v>
      </c>
      <c r="C423" s="1125" t="str">
        <f t="shared" si="28"/>
        <v>IVF139</v>
      </c>
      <c r="D423" s="1009" t="s">
        <v>199</v>
      </c>
      <c r="E423" s="1031">
        <v>3</v>
      </c>
      <c r="F423" s="1030" t="s">
        <v>66</v>
      </c>
      <c r="G423" s="1032">
        <v>1540</v>
      </c>
      <c r="H423" s="1033">
        <f>ROUND(E423*G423,0)</f>
        <v>4620</v>
      </c>
      <c r="I423" s="1010">
        <f>E423</f>
        <v>3</v>
      </c>
      <c r="J423" s="1031" t="str">
        <f>F423</f>
        <v>No</v>
      </c>
      <c r="K423" s="1033">
        <f>G423</f>
        <v>1540</v>
      </c>
      <c r="L423" s="1033">
        <f>ROUND(I423*K423,0)</f>
        <v>4620</v>
      </c>
      <c r="M423" s="1035">
        <f>IF(L423&gt;H423,L423-H423,0)</f>
        <v>0</v>
      </c>
      <c r="N423" s="1033">
        <f>IF(H423&gt;L423,H423-L423,0)</f>
        <v>0</v>
      </c>
      <c r="O423" s="1012" t="s">
        <v>2353</v>
      </c>
      <c r="P423" s="1018" t="s">
        <v>412</v>
      </c>
    </row>
    <row r="424" spans="1:16" outlineLevel="1">
      <c r="A424" s="1011"/>
      <c r="B424" s="1013" t="str">
        <f t="shared" si="27"/>
        <v/>
      </c>
      <c r="C424" s="1125"/>
      <c r="D424" s="1122" t="s">
        <v>2471</v>
      </c>
      <c r="E424" s="1011"/>
      <c r="F424" s="1011"/>
      <c r="G424" s="1035"/>
      <c r="H424" s="1035"/>
      <c r="I424" s="1010"/>
      <c r="J424" s="1011"/>
      <c r="K424" s="1052"/>
      <c r="L424" s="1052"/>
      <c r="M424" s="1052"/>
      <c r="N424" s="1052"/>
      <c r="O424" s="1012"/>
      <c r="P424" s="1018" t="s">
        <v>412</v>
      </c>
    </row>
    <row r="425" spans="1:16" outlineLevel="1">
      <c r="A425" s="1011"/>
      <c r="B425" s="1013"/>
      <c r="C425" s="1125"/>
      <c r="D425" s="1122"/>
      <c r="E425" s="1011"/>
      <c r="F425" s="1011"/>
      <c r="G425" s="1035"/>
      <c r="H425" s="1035"/>
      <c r="I425" s="1010"/>
      <c r="J425" s="1011"/>
      <c r="K425" s="1052"/>
      <c r="L425" s="1052"/>
      <c r="M425" s="1052"/>
      <c r="N425" s="1052"/>
      <c r="O425" s="1012"/>
      <c r="P425" s="1018" t="s">
        <v>412</v>
      </c>
    </row>
    <row r="426" spans="1:16" ht="21" customHeight="1">
      <c r="A426" s="1011"/>
      <c r="B426" s="1013" t="str">
        <f t="shared" si="27"/>
        <v/>
      </c>
      <c r="C426" s="1125"/>
      <c r="D426" s="1009"/>
      <c r="E426" s="1011"/>
      <c r="F426" s="1011"/>
      <c r="G426" s="1035"/>
      <c r="H426" s="1035"/>
      <c r="I426" s="1010"/>
      <c r="J426" s="1011"/>
      <c r="K426" s="1075" t="s">
        <v>405</v>
      </c>
      <c r="L426" s="1076">
        <f>SUM(L286:L424)</f>
        <v>4056397</v>
      </c>
      <c r="M426" s="1076">
        <f>SUM(M286:M424)</f>
        <v>905315</v>
      </c>
      <c r="N426" s="1076">
        <f>SUM(N286:N424)</f>
        <v>580926</v>
      </c>
      <c r="O426" s="1012"/>
    </row>
    <row r="427" spans="1:16" ht="24" customHeight="1">
      <c r="A427" s="1011"/>
      <c r="B427" s="1013" t="str">
        <f t="shared" si="27"/>
        <v/>
      </c>
      <c r="C427" s="1125"/>
      <c r="D427" s="1077" t="s">
        <v>395</v>
      </c>
      <c r="E427" s="1011"/>
      <c r="F427" s="1011"/>
      <c r="G427" s="1035"/>
      <c r="H427" s="1035"/>
      <c r="I427" s="1010"/>
      <c r="J427" s="1011"/>
      <c r="K427" s="1052"/>
      <c r="L427" s="1052"/>
      <c r="M427" s="1052"/>
      <c r="N427" s="1052"/>
      <c r="O427" s="1012"/>
    </row>
    <row r="428" spans="1:16" ht="62" outlineLevel="1">
      <c r="A428" s="1031">
        <v>140</v>
      </c>
      <c r="B428" s="1013">
        <f t="shared" si="27"/>
        <v>140</v>
      </c>
      <c r="C428" s="1125" t="str">
        <f t="shared" si="28"/>
        <v>IVF140</v>
      </c>
      <c r="D428" s="1009" t="s">
        <v>200</v>
      </c>
      <c r="E428" s="1031">
        <v>1</v>
      </c>
      <c r="F428" s="1030" t="s">
        <v>201</v>
      </c>
      <c r="G428" s="1032">
        <v>383000</v>
      </c>
      <c r="H428" s="1033">
        <f>ROUND(E428*G428,0)</f>
        <v>383000</v>
      </c>
      <c r="I428" s="1010">
        <f>E428</f>
        <v>1</v>
      </c>
      <c r="J428" s="1031" t="str">
        <f>F428</f>
        <v>Job</v>
      </c>
      <c r="K428" s="1033">
        <f>G428</f>
        <v>383000</v>
      </c>
      <c r="L428" s="1033">
        <f>ROUND(I428*K428,0)</f>
        <v>383000</v>
      </c>
      <c r="M428" s="1035">
        <f>IF(L428&gt;H428,L428-H428,0)</f>
        <v>0</v>
      </c>
      <c r="N428" s="1033">
        <f>IF(H428&gt;L428,H428-L428,0)</f>
        <v>0</v>
      </c>
      <c r="O428" s="1012" t="s">
        <v>2353</v>
      </c>
      <c r="P428" s="1040" t="s">
        <v>415</v>
      </c>
    </row>
    <row r="429" spans="1:16" outlineLevel="1">
      <c r="A429" s="1011"/>
      <c r="B429" s="1013" t="str">
        <f t="shared" si="27"/>
        <v/>
      </c>
      <c r="C429" s="1125"/>
      <c r="D429" s="1122" t="s">
        <v>2492</v>
      </c>
      <c r="E429" s="1011"/>
      <c r="F429" s="1011"/>
      <c r="G429" s="1035"/>
      <c r="H429" s="1035"/>
      <c r="I429" s="1010"/>
      <c r="J429" s="1011"/>
      <c r="K429" s="1035"/>
      <c r="L429" s="1035"/>
      <c r="M429" s="1035"/>
      <c r="N429" s="1035"/>
      <c r="O429" s="1012"/>
      <c r="P429" s="1040" t="s">
        <v>415</v>
      </c>
    </row>
    <row r="430" spans="1:16" outlineLevel="1">
      <c r="A430" s="1011"/>
      <c r="B430" s="1013"/>
      <c r="C430" s="1125"/>
      <c r="D430" s="1122"/>
      <c r="E430" s="1011"/>
      <c r="F430" s="1011"/>
      <c r="G430" s="1035"/>
      <c r="H430" s="1035"/>
      <c r="I430" s="1010"/>
      <c r="J430" s="1011"/>
      <c r="K430" s="1035"/>
      <c r="L430" s="1035"/>
      <c r="M430" s="1035"/>
      <c r="N430" s="1035"/>
      <c r="O430" s="1012"/>
      <c r="P430" s="1040" t="s">
        <v>415</v>
      </c>
    </row>
    <row r="431" spans="1:16" ht="62" outlineLevel="1">
      <c r="A431" s="1031">
        <v>141</v>
      </c>
      <c r="B431" s="1013">
        <f t="shared" si="27"/>
        <v>141</v>
      </c>
      <c r="C431" s="1125" t="str">
        <f t="shared" si="28"/>
        <v>IVF141</v>
      </c>
      <c r="D431" s="1009" t="s">
        <v>202</v>
      </c>
      <c r="E431" s="1031">
        <v>1</v>
      </c>
      <c r="F431" s="1030" t="s">
        <v>201</v>
      </c>
      <c r="G431" s="1032">
        <v>124000</v>
      </c>
      <c r="H431" s="1033">
        <f>ROUND(E431*G431,0)</f>
        <v>124000</v>
      </c>
      <c r="I431" s="1010">
        <f>E431</f>
        <v>1</v>
      </c>
      <c r="J431" s="1031" t="str">
        <f>F431</f>
        <v>Job</v>
      </c>
      <c r="K431" s="1033">
        <f>G431</f>
        <v>124000</v>
      </c>
      <c r="L431" s="1033">
        <f>ROUND(I431*K431,0)</f>
        <v>124000</v>
      </c>
      <c r="M431" s="1035">
        <f>IF(L431&gt;H431,L431-H431,0)</f>
        <v>0</v>
      </c>
      <c r="N431" s="1033">
        <f>IF(H431&gt;L431,H431-L431,0)</f>
        <v>0</v>
      </c>
      <c r="O431" s="1012" t="s">
        <v>2353</v>
      </c>
      <c r="P431" s="1040" t="s">
        <v>415</v>
      </c>
    </row>
    <row r="432" spans="1:16" outlineLevel="1">
      <c r="A432" s="1011"/>
      <c r="B432" s="1013" t="str">
        <f t="shared" si="27"/>
        <v/>
      </c>
      <c r="C432" s="1125"/>
      <c r="D432" s="1122" t="s">
        <v>2492</v>
      </c>
      <c r="E432" s="1011"/>
      <c r="F432" s="1011"/>
      <c r="G432" s="1035"/>
      <c r="H432" s="1035"/>
      <c r="I432" s="1010"/>
      <c r="J432" s="1011"/>
      <c r="K432" s="1035"/>
      <c r="L432" s="1035"/>
      <c r="M432" s="1035"/>
      <c r="N432" s="1035"/>
      <c r="O432" s="1012"/>
      <c r="P432" s="1040" t="s">
        <v>415</v>
      </c>
    </row>
    <row r="433" spans="1:16" outlineLevel="1">
      <c r="A433" s="1011"/>
      <c r="B433" s="1013"/>
      <c r="C433" s="1125"/>
      <c r="D433" s="1122"/>
      <c r="E433" s="1011"/>
      <c r="F433" s="1011"/>
      <c r="G433" s="1035"/>
      <c r="H433" s="1035"/>
      <c r="I433" s="1010"/>
      <c r="J433" s="1011"/>
      <c r="K433" s="1035"/>
      <c r="L433" s="1035"/>
      <c r="M433" s="1035"/>
      <c r="N433" s="1035"/>
      <c r="O433" s="1012"/>
      <c r="P433" s="1040" t="s">
        <v>415</v>
      </c>
    </row>
    <row r="434" spans="1:16" ht="46.5" outlineLevel="1">
      <c r="A434" s="1031">
        <v>143</v>
      </c>
      <c r="B434" s="1013">
        <f t="shared" si="27"/>
        <v>143</v>
      </c>
      <c r="C434" s="1125" t="str">
        <f t="shared" si="28"/>
        <v>IVF143</v>
      </c>
      <c r="D434" s="1009" t="s">
        <v>204</v>
      </c>
      <c r="E434" s="1031">
        <v>1</v>
      </c>
      <c r="F434" s="1030" t="s">
        <v>201</v>
      </c>
      <c r="G434" s="1032">
        <v>182000</v>
      </c>
      <c r="H434" s="1033">
        <f>ROUND(E434*G434,0)</f>
        <v>182000</v>
      </c>
      <c r="I434" s="1010">
        <f>E434</f>
        <v>1</v>
      </c>
      <c r="J434" s="1031" t="str">
        <f>F434</f>
        <v>Job</v>
      </c>
      <c r="K434" s="1033">
        <f>G434</f>
        <v>182000</v>
      </c>
      <c r="L434" s="1033">
        <f>ROUND(I434*K434,0)</f>
        <v>182000</v>
      </c>
      <c r="M434" s="1035">
        <f>IF(L434&gt;H434,L434-H434,0)</f>
        <v>0</v>
      </c>
      <c r="N434" s="1033">
        <f>IF(H434&gt;L434,H434-L434,0)</f>
        <v>0</v>
      </c>
      <c r="O434" s="1012" t="s">
        <v>2353</v>
      </c>
      <c r="P434" s="1040" t="s">
        <v>415</v>
      </c>
    </row>
    <row r="435" spans="1:16" outlineLevel="1">
      <c r="A435" s="1011"/>
      <c r="B435" s="1013" t="str">
        <f t="shared" si="27"/>
        <v/>
      </c>
      <c r="C435" s="1125"/>
      <c r="D435" s="1122" t="s">
        <v>2492</v>
      </c>
      <c r="E435" s="1011"/>
      <c r="F435" s="1011"/>
      <c r="G435" s="1035"/>
      <c r="H435" s="1035"/>
      <c r="I435" s="1010"/>
      <c r="J435" s="1011"/>
      <c r="K435" s="1035"/>
      <c r="L435" s="1035"/>
      <c r="M435" s="1035"/>
      <c r="N435" s="1035"/>
      <c r="O435" s="1012"/>
      <c r="P435" s="1040" t="s">
        <v>415</v>
      </c>
    </row>
    <row r="436" spans="1:16" outlineLevel="1">
      <c r="A436" s="1011"/>
      <c r="B436" s="1013"/>
      <c r="C436" s="1125"/>
      <c r="D436" s="1122"/>
      <c r="E436" s="1011"/>
      <c r="F436" s="1011"/>
      <c r="G436" s="1035"/>
      <c r="H436" s="1035"/>
      <c r="I436" s="1010"/>
      <c r="J436" s="1011"/>
      <c r="K436" s="1035"/>
      <c r="L436" s="1035"/>
      <c r="M436" s="1035"/>
      <c r="N436" s="1035"/>
      <c r="O436" s="1012"/>
      <c r="P436" s="1040" t="s">
        <v>415</v>
      </c>
    </row>
    <row r="437" spans="1:16" ht="31" outlineLevel="1">
      <c r="A437" s="1031">
        <v>144</v>
      </c>
      <c r="B437" s="1013">
        <f t="shared" si="27"/>
        <v>144</v>
      </c>
      <c r="C437" s="1125" t="str">
        <f t="shared" si="28"/>
        <v>IVF144</v>
      </c>
      <c r="D437" s="1009" t="s">
        <v>205</v>
      </c>
      <c r="E437" s="1031">
        <v>1</v>
      </c>
      <c r="F437" s="1030" t="s">
        <v>201</v>
      </c>
      <c r="G437" s="1032">
        <v>138000</v>
      </c>
      <c r="H437" s="1033">
        <f>ROUND(E437*G437,0)</f>
        <v>138000</v>
      </c>
      <c r="I437" s="1010">
        <f>E437</f>
        <v>1</v>
      </c>
      <c r="J437" s="1031" t="str">
        <f>F437</f>
        <v>Job</v>
      </c>
      <c r="K437" s="1033">
        <f>G437</f>
        <v>138000</v>
      </c>
      <c r="L437" s="1033">
        <f>ROUND(I437*K437,0)</f>
        <v>138000</v>
      </c>
      <c r="M437" s="1035">
        <f>IF(L437&gt;H437,L437-H437,0)</f>
        <v>0</v>
      </c>
      <c r="N437" s="1033">
        <f>IF(H437&gt;L437,H437-L437,0)</f>
        <v>0</v>
      </c>
      <c r="O437" s="1012" t="s">
        <v>2353</v>
      </c>
      <c r="P437" s="1040" t="s">
        <v>415</v>
      </c>
    </row>
    <row r="438" spans="1:16" outlineLevel="1">
      <c r="A438" s="1031"/>
      <c r="B438" s="1013" t="str">
        <f t="shared" si="27"/>
        <v/>
      </c>
      <c r="C438" s="1125"/>
      <c r="D438" s="1122" t="s">
        <v>2492</v>
      </c>
      <c r="E438" s="1031"/>
      <c r="F438" s="1030"/>
      <c r="G438" s="1032"/>
      <c r="H438" s="1033"/>
      <c r="I438" s="1010"/>
      <c r="J438" s="1031"/>
      <c r="K438" s="1051"/>
      <c r="L438" s="1051"/>
      <c r="M438" s="1052"/>
      <c r="N438" s="1051"/>
      <c r="O438" s="1012"/>
      <c r="P438" s="1040" t="s">
        <v>415</v>
      </c>
    </row>
    <row r="439" spans="1:16" outlineLevel="1">
      <c r="A439" s="1031"/>
      <c r="B439" s="1013"/>
      <c r="C439" s="1125"/>
      <c r="D439" s="1122"/>
      <c r="E439" s="1031"/>
      <c r="F439" s="1030"/>
      <c r="G439" s="1032"/>
      <c r="H439" s="1033"/>
      <c r="I439" s="1010"/>
      <c r="J439" s="1031"/>
      <c r="K439" s="1051"/>
      <c r="L439" s="1051"/>
      <c r="M439" s="1052"/>
      <c r="N439" s="1051"/>
      <c r="O439" s="1012"/>
      <c r="P439" s="1040" t="s">
        <v>415</v>
      </c>
    </row>
    <row r="440" spans="1:16" ht="24.65" customHeight="1">
      <c r="A440" s="1031"/>
      <c r="B440" s="1013" t="str">
        <f t="shared" si="27"/>
        <v/>
      </c>
      <c r="C440" s="1125"/>
      <c r="D440" s="1009"/>
      <c r="E440" s="1031"/>
      <c r="F440" s="1030"/>
      <c r="G440" s="1032"/>
      <c r="H440" s="1033"/>
      <c r="I440" s="1010"/>
      <c r="J440" s="1031"/>
      <c r="K440" s="1083" t="s">
        <v>405</v>
      </c>
      <c r="L440" s="1084">
        <f>SUM(L428:L438)</f>
        <v>827000</v>
      </c>
      <c r="M440" s="1084">
        <f>SUM(M428:M438)</f>
        <v>0</v>
      </c>
      <c r="N440" s="1084">
        <f>SUM(N428:N438)</f>
        <v>0</v>
      </c>
      <c r="O440" s="1012"/>
    </row>
    <row r="441" spans="1:16" ht="17.5">
      <c r="A441" s="1011"/>
      <c r="B441" s="1013" t="str">
        <f t="shared" si="27"/>
        <v/>
      </c>
      <c r="C441" s="1125"/>
      <c r="D441" s="1077" t="s">
        <v>396</v>
      </c>
      <c r="E441" s="1011"/>
      <c r="F441" s="1011"/>
      <c r="G441" s="1035"/>
      <c r="H441" s="1035"/>
      <c r="I441" s="1010"/>
      <c r="J441" s="1011"/>
      <c r="K441" s="1052"/>
      <c r="L441" s="1052"/>
      <c r="M441" s="1052"/>
      <c r="N441" s="1052"/>
      <c r="O441" s="1012"/>
    </row>
    <row r="442" spans="1:16" ht="77.5" outlineLevel="1">
      <c r="A442" s="1031">
        <v>142</v>
      </c>
      <c r="B442" s="1013">
        <f t="shared" si="27"/>
        <v>142</v>
      </c>
      <c r="C442" s="1125" t="str">
        <f t="shared" si="28"/>
        <v>IVF142</v>
      </c>
      <c r="D442" s="1009" t="s">
        <v>203</v>
      </c>
      <c r="E442" s="1031">
        <v>1</v>
      </c>
      <c r="F442" s="1030" t="s">
        <v>201</v>
      </c>
      <c r="G442" s="1032">
        <v>510000</v>
      </c>
      <c r="H442" s="1033">
        <f>ROUND(E442*G442,0)</f>
        <v>510000</v>
      </c>
      <c r="I442" s="1010">
        <f>E442</f>
        <v>1</v>
      </c>
      <c r="J442" s="1031" t="str">
        <f>F442</f>
        <v>Job</v>
      </c>
      <c r="K442" s="1033">
        <f>G442</f>
        <v>510000</v>
      </c>
      <c r="L442" s="1033">
        <f>ROUND(I442*K442,0)</f>
        <v>510000</v>
      </c>
      <c r="M442" s="1035">
        <f>IF(L442&gt;H442,L442-H442,0)</f>
        <v>0</v>
      </c>
      <c r="N442" s="1033">
        <f>IF(H442&gt;L442,H442-L442,0)</f>
        <v>0</v>
      </c>
      <c r="O442" s="1012" t="s">
        <v>2353</v>
      </c>
      <c r="P442" s="1040" t="s">
        <v>416</v>
      </c>
    </row>
    <row r="443" spans="1:16" outlineLevel="1">
      <c r="A443" s="1011"/>
      <c r="B443" s="1013" t="str">
        <f t="shared" si="27"/>
        <v/>
      </c>
      <c r="C443" s="1125"/>
      <c r="D443" s="1122" t="s">
        <v>2492</v>
      </c>
      <c r="E443" s="1011"/>
      <c r="F443" s="1011"/>
      <c r="G443" s="1035"/>
      <c r="H443" s="1035"/>
      <c r="I443" s="1010"/>
      <c r="J443" s="1011"/>
      <c r="K443" s="1035"/>
      <c r="L443" s="1035"/>
      <c r="M443" s="1035"/>
      <c r="N443" s="1035"/>
      <c r="O443" s="1012"/>
      <c r="P443" s="1040" t="s">
        <v>416</v>
      </c>
    </row>
    <row r="444" spans="1:16" outlineLevel="1">
      <c r="A444" s="1011"/>
      <c r="B444" s="1013"/>
      <c r="C444" s="1125"/>
      <c r="D444" s="1122"/>
      <c r="E444" s="1011"/>
      <c r="F444" s="1011"/>
      <c r="G444" s="1035"/>
      <c r="H444" s="1035"/>
      <c r="I444" s="1010"/>
      <c r="J444" s="1011"/>
      <c r="K444" s="1035"/>
      <c r="L444" s="1035"/>
      <c r="M444" s="1035"/>
      <c r="N444" s="1035"/>
      <c r="O444" s="1012"/>
      <c r="P444" s="1040" t="s">
        <v>416</v>
      </c>
    </row>
    <row r="445" spans="1:16" ht="31" outlineLevel="1">
      <c r="A445" s="1031">
        <v>145</v>
      </c>
      <c r="B445" s="1013">
        <f t="shared" si="27"/>
        <v>145</v>
      </c>
      <c r="C445" s="1125" t="str">
        <f t="shared" si="28"/>
        <v>IVF145</v>
      </c>
      <c r="D445" s="1009" t="s">
        <v>206</v>
      </c>
      <c r="E445" s="1031">
        <v>5</v>
      </c>
      <c r="F445" s="1030" t="s">
        <v>66</v>
      </c>
      <c r="G445" s="1032">
        <v>11225</v>
      </c>
      <c r="H445" s="1033">
        <f>ROUND(E445*G445,0)</f>
        <v>56125</v>
      </c>
      <c r="I445" s="1010">
        <f>E445</f>
        <v>5</v>
      </c>
      <c r="J445" s="1031" t="str">
        <f>F445</f>
        <v>No</v>
      </c>
      <c r="K445" s="1033">
        <f>G445</f>
        <v>11225</v>
      </c>
      <c r="L445" s="1033">
        <f>ROUND(I445*K445,0)</f>
        <v>56125</v>
      </c>
      <c r="M445" s="1035">
        <f>IF(L445&gt;H445,L445-H445,0)</f>
        <v>0</v>
      </c>
      <c r="N445" s="1033">
        <f>IF(H445&gt;L445,H445-L445,0)</f>
        <v>0</v>
      </c>
      <c r="O445" s="1012" t="s">
        <v>2353</v>
      </c>
      <c r="P445" s="1040" t="s">
        <v>416</v>
      </c>
    </row>
    <row r="446" spans="1:16" outlineLevel="1">
      <c r="A446" s="1011"/>
      <c r="B446" s="1013" t="str">
        <f t="shared" si="27"/>
        <v/>
      </c>
      <c r="C446" s="1125"/>
      <c r="D446" s="1122" t="s">
        <v>2493</v>
      </c>
      <c r="E446" s="1011"/>
      <c r="F446" s="1011"/>
      <c r="G446" s="1035"/>
      <c r="H446" s="1035"/>
      <c r="I446" s="1010"/>
      <c r="J446" s="1011"/>
      <c r="K446" s="1035"/>
      <c r="L446" s="1035"/>
      <c r="M446" s="1035"/>
      <c r="N446" s="1035"/>
      <c r="O446" s="1012"/>
      <c r="P446" s="1040" t="s">
        <v>416</v>
      </c>
    </row>
    <row r="447" spans="1:16" outlineLevel="1">
      <c r="A447" s="1011"/>
      <c r="B447" s="1013"/>
      <c r="C447" s="1125"/>
      <c r="D447" s="1122"/>
      <c r="E447" s="1011"/>
      <c r="F447" s="1011"/>
      <c r="G447" s="1035"/>
      <c r="H447" s="1035"/>
      <c r="I447" s="1010"/>
      <c r="J447" s="1011"/>
      <c r="K447" s="1035"/>
      <c r="L447" s="1035"/>
      <c r="M447" s="1035"/>
      <c r="N447" s="1035"/>
      <c r="O447" s="1012"/>
      <c r="P447" s="1040" t="s">
        <v>416</v>
      </c>
    </row>
    <row r="448" spans="1:16" ht="31" outlineLevel="1">
      <c r="A448" s="1031">
        <v>146</v>
      </c>
      <c r="B448" s="1013">
        <f t="shared" si="27"/>
        <v>146</v>
      </c>
      <c r="C448" s="1125" t="str">
        <f t="shared" si="28"/>
        <v>IVF146</v>
      </c>
      <c r="D448" s="1009" t="s">
        <v>207</v>
      </c>
      <c r="E448" s="1031">
        <v>5</v>
      </c>
      <c r="F448" s="1030" t="s">
        <v>66</v>
      </c>
      <c r="G448" s="1032">
        <v>7686</v>
      </c>
      <c r="H448" s="1033">
        <f>ROUND(E448*G448,0)</f>
        <v>38430</v>
      </c>
      <c r="I448" s="1010">
        <f>E448</f>
        <v>5</v>
      </c>
      <c r="J448" s="1031" t="str">
        <f>F448</f>
        <v>No</v>
      </c>
      <c r="K448" s="1033">
        <f>G448</f>
        <v>7686</v>
      </c>
      <c r="L448" s="1033">
        <f>ROUND(I448*K448,0)</f>
        <v>38430</v>
      </c>
      <c r="M448" s="1035">
        <f>IF(L448&gt;H448,L448-H448,0)</f>
        <v>0</v>
      </c>
      <c r="N448" s="1033">
        <f>IF(H448&gt;L448,H448-L448,0)</f>
        <v>0</v>
      </c>
      <c r="O448" s="1012" t="s">
        <v>2353</v>
      </c>
      <c r="P448" s="1040" t="s">
        <v>416</v>
      </c>
    </row>
    <row r="449" spans="1:16" outlineLevel="1">
      <c r="A449" s="1011"/>
      <c r="B449" s="1013" t="str">
        <f t="shared" si="27"/>
        <v/>
      </c>
      <c r="C449" s="1125"/>
      <c r="D449" s="1122" t="s">
        <v>2493</v>
      </c>
      <c r="E449" s="1011"/>
      <c r="F449" s="1011"/>
      <c r="G449" s="1035"/>
      <c r="H449" s="1035"/>
      <c r="I449" s="1010"/>
      <c r="J449" s="1011"/>
      <c r="K449" s="1035"/>
      <c r="L449" s="1035"/>
      <c r="M449" s="1035"/>
      <c r="N449" s="1035"/>
      <c r="O449" s="1012"/>
      <c r="P449" s="1040" t="s">
        <v>416</v>
      </c>
    </row>
    <row r="450" spans="1:16" outlineLevel="1">
      <c r="A450" s="1011"/>
      <c r="B450" s="1013"/>
      <c r="C450" s="1125"/>
      <c r="D450" s="1122"/>
      <c r="E450" s="1011"/>
      <c r="F450" s="1011"/>
      <c r="G450" s="1035"/>
      <c r="H450" s="1035"/>
      <c r="I450" s="1010"/>
      <c r="J450" s="1011"/>
      <c r="K450" s="1035"/>
      <c r="L450" s="1035"/>
      <c r="M450" s="1035"/>
      <c r="N450" s="1035"/>
      <c r="O450" s="1012"/>
      <c r="P450" s="1040" t="s">
        <v>416</v>
      </c>
    </row>
    <row r="451" spans="1:16" ht="31" outlineLevel="1">
      <c r="A451" s="1031">
        <v>147</v>
      </c>
      <c r="B451" s="1013">
        <f t="shared" si="27"/>
        <v>147</v>
      </c>
      <c r="C451" s="1125" t="str">
        <f t="shared" si="28"/>
        <v>IVF147</v>
      </c>
      <c r="D451" s="1009" t="s">
        <v>208</v>
      </c>
      <c r="E451" s="1031">
        <v>5</v>
      </c>
      <c r="F451" s="1030" t="s">
        <v>66</v>
      </c>
      <c r="G451" s="1032">
        <v>15065</v>
      </c>
      <c r="H451" s="1033">
        <f>ROUND(E451*G451,0)</f>
        <v>75325</v>
      </c>
      <c r="I451" s="1010">
        <f>E451</f>
        <v>5</v>
      </c>
      <c r="J451" s="1031" t="str">
        <f>F451</f>
        <v>No</v>
      </c>
      <c r="K451" s="1033">
        <f>G451</f>
        <v>15065</v>
      </c>
      <c r="L451" s="1033">
        <f>ROUND(I451*K451,0)</f>
        <v>75325</v>
      </c>
      <c r="M451" s="1035">
        <f>IF(L451&gt;H451,L451-H451,0)</f>
        <v>0</v>
      </c>
      <c r="N451" s="1033">
        <f>IF(H451&gt;L451,H451-L451,0)</f>
        <v>0</v>
      </c>
      <c r="O451" s="1012" t="s">
        <v>2353</v>
      </c>
      <c r="P451" s="1040" t="s">
        <v>416</v>
      </c>
    </row>
    <row r="452" spans="1:16" outlineLevel="1">
      <c r="A452" s="1031"/>
      <c r="B452" s="1013"/>
      <c r="C452" s="1125"/>
      <c r="D452" s="1122" t="s">
        <v>2493</v>
      </c>
      <c r="E452" s="1031"/>
      <c r="F452" s="1030"/>
      <c r="G452" s="1032"/>
      <c r="H452" s="1033"/>
      <c r="I452" s="1010"/>
      <c r="J452" s="1031"/>
      <c r="K452" s="1033"/>
      <c r="L452" s="1033"/>
      <c r="M452" s="1035"/>
      <c r="N452" s="1033"/>
      <c r="O452" s="1012"/>
      <c r="P452" s="1040" t="s">
        <v>416</v>
      </c>
    </row>
    <row r="453" spans="1:16" outlineLevel="1">
      <c r="A453" s="1011"/>
      <c r="B453" s="1013" t="str">
        <f t="shared" si="27"/>
        <v/>
      </c>
      <c r="C453" s="1125"/>
      <c r="D453" s="1009"/>
      <c r="E453" s="1011"/>
      <c r="F453" s="1011"/>
      <c r="G453" s="1035"/>
      <c r="H453" s="1035"/>
      <c r="I453" s="1010"/>
      <c r="J453" s="1011"/>
      <c r="K453" s="1035"/>
      <c r="L453" s="1035"/>
      <c r="M453" s="1035"/>
      <c r="N453" s="1035"/>
      <c r="O453" s="1012"/>
      <c r="P453" s="1040" t="s">
        <v>416</v>
      </c>
    </row>
    <row r="454" spans="1:16" ht="31" outlineLevel="1">
      <c r="A454" s="1031">
        <v>148</v>
      </c>
      <c r="B454" s="1013">
        <f t="shared" si="27"/>
        <v>148</v>
      </c>
      <c r="C454" s="1125" t="str">
        <f t="shared" si="28"/>
        <v>IVF148</v>
      </c>
      <c r="D454" s="1009" t="s">
        <v>209</v>
      </c>
      <c r="E454" s="1031">
        <v>1</v>
      </c>
      <c r="F454" s="1030" t="s">
        <v>201</v>
      </c>
      <c r="G454" s="1032">
        <v>56000</v>
      </c>
      <c r="H454" s="1033">
        <f>ROUND(E454*G454,0)</f>
        <v>56000</v>
      </c>
      <c r="I454" s="1034">
        <v>1</v>
      </c>
      <c r="J454" s="1031" t="str">
        <f>F454</f>
        <v>Job</v>
      </c>
      <c r="K454" s="1033">
        <f>G454</f>
        <v>56000</v>
      </c>
      <c r="L454" s="1033">
        <f>ROUND(I454*K454,0)</f>
        <v>56000</v>
      </c>
      <c r="M454" s="1035">
        <f>IF(L454&gt;H454,L454-H454,0)</f>
        <v>0</v>
      </c>
      <c r="N454" s="1033">
        <f>IF(H454&gt;L454,H454-L454,0)</f>
        <v>0</v>
      </c>
      <c r="O454" s="1012" t="s">
        <v>2353</v>
      </c>
      <c r="P454" s="1040" t="s">
        <v>416</v>
      </c>
    </row>
    <row r="455" spans="1:16" outlineLevel="1">
      <c r="A455" s="1011"/>
      <c r="B455" s="1013" t="str">
        <f t="shared" si="27"/>
        <v/>
      </c>
      <c r="C455" s="1125"/>
      <c r="D455" s="1122" t="s">
        <v>2493</v>
      </c>
      <c r="E455" s="1011"/>
      <c r="F455" s="1011"/>
      <c r="G455" s="1035"/>
      <c r="H455" s="1035"/>
      <c r="I455" s="1010"/>
      <c r="J455" s="1011"/>
      <c r="K455" s="1052"/>
      <c r="L455" s="1052"/>
      <c r="M455" s="1052"/>
      <c r="N455" s="1052"/>
      <c r="O455" s="1012"/>
      <c r="P455" s="1040" t="s">
        <v>416</v>
      </c>
    </row>
    <row r="456" spans="1:16" outlineLevel="1">
      <c r="A456" s="1011"/>
      <c r="B456" s="1013"/>
      <c r="C456" s="1125"/>
      <c r="D456" s="1122"/>
      <c r="E456" s="1011"/>
      <c r="F456" s="1011"/>
      <c r="G456" s="1035"/>
      <c r="H456" s="1035"/>
      <c r="I456" s="1010"/>
      <c r="J456" s="1011"/>
      <c r="K456" s="1052"/>
      <c r="L456" s="1052"/>
      <c r="M456" s="1052"/>
      <c r="N456" s="1052"/>
      <c r="O456" s="1012"/>
      <c r="P456" s="1040" t="s">
        <v>416</v>
      </c>
    </row>
    <row r="457" spans="1:16" ht="21.65" customHeight="1">
      <c r="A457" s="1011"/>
      <c r="B457" s="1013" t="str">
        <f t="shared" si="27"/>
        <v/>
      </c>
      <c r="C457" s="1125"/>
      <c r="D457" s="1009"/>
      <c r="E457" s="1011"/>
      <c r="F457" s="1011"/>
      <c r="G457" s="1035"/>
      <c r="H457" s="1035"/>
      <c r="I457" s="1010"/>
      <c r="J457" s="1011"/>
      <c r="K457" s="1075" t="s">
        <v>405</v>
      </c>
      <c r="L457" s="1076">
        <f>SUM(L442:L455)</f>
        <v>735880</v>
      </c>
      <c r="M457" s="1076">
        <f t="shared" ref="M457:N457" si="29">SUM(M442:M455)</f>
        <v>0</v>
      </c>
      <c r="N457" s="1076">
        <f t="shared" si="29"/>
        <v>0</v>
      </c>
      <c r="O457" s="1012"/>
    </row>
    <row r="458" spans="1:16" ht="22.15" customHeight="1">
      <c r="A458" s="1011"/>
      <c r="B458" s="1013" t="str">
        <f t="shared" si="27"/>
        <v/>
      </c>
      <c r="C458" s="1125"/>
      <c r="D458" s="1077" t="s">
        <v>397</v>
      </c>
      <c r="E458" s="1011"/>
      <c r="F458" s="1011"/>
      <c r="G458" s="1035"/>
      <c r="H458" s="1035"/>
      <c r="I458" s="1010"/>
      <c r="J458" s="1011"/>
      <c r="K458" s="1052"/>
      <c r="L458" s="1052"/>
      <c r="M458" s="1052"/>
      <c r="N458" s="1052"/>
      <c r="O458" s="1012"/>
    </row>
    <row r="459" spans="1:16" ht="155" outlineLevel="1">
      <c r="A459" s="1031">
        <v>149</v>
      </c>
      <c r="B459" s="1013">
        <f t="shared" si="27"/>
        <v>149</v>
      </c>
      <c r="C459" s="1125" t="str">
        <f t="shared" si="28"/>
        <v>IVF149</v>
      </c>
      <c r="D459" s="1009" t="s">
        <v>210</v>
      </c>
      <c r="E459" s="1031">
        <v>1</v>
      </c>
      <c r="F459" s="1030" t="s">
        <v>66</v>
      </c>
      <c r="G459" s="1032">
        <v>48000</v>
      </c>
      <c r="H459" s="1033">
        <f>ROUND(E459*G459,0)</f>
        <v>48000</v>
      </c>
      <c r="I459" s="1034">
        <v>1</v>
      </c>
      <c r="J459" s="1031" t="str">
        <f>F459</f>
        <v>No</v>
      </c>
      <c r="K459" s="1033">
        <f>G459</f>
        <v>48000</v>
      </c>
      <c r="L459" s="1033">
        <f>ROUND(I459*K459,0)</f>
        <v>48000</v>
      </c>
      <c r="M459" s="1035">
        <f>IF(L459&gt;H459,L459-H459,0)</f>
        <v>0</v>
      </c>
      <c r="N459" s="1033">
        <f>IF(H459&gt;L459,H459-L459,0)</f>
        <v>0</v>
      </c>
      <c r="O459" s="1236" t="s">
        <v>2358</v>
      </c>
      <c r="P459" s="1040" t="s">
        <v>417</v>
      </c>
    </row>
    <row r="460" spans="1:16" outlineLevel="1">
      <c r="A460" s="1011"/>
      <c r="B460" s="1013" t="str">
        <f t="shared" si="27"/>
        <v/>
      </c>
      <c r="C460" s="1125"/>
      <c r="D460" s="1039" t="s">
        <v>294</v>
      </c>
      <c r="E460" s="1011"/>
      <c r="F460" s="1011"/>
      <c r="G460" s="1035"/>
      <c r="H460" s="1035"/>
      <c r="I460" s="1010">
        <v>1</v>
      </c>
      <c r="J460" s="1011" t="s">
        <v>66</v>
      </c>
      <c r="K460" s="1032">
        <v>48000</v>
      </c>
      <c r="L460" s="1033">
        <f>ROUND(I460*K460,0)</f>
        <v>48000</v>
      </c>
      <c r="M460" s="1035">
        <f>IF(L460&gt;H460,L460-H460,0)</f>
        <v>48000</v>
      </c>
      <c r="N460" s="1033">
        <f>IF(H460&gt;L460,H460-L460,0)</f>
        <v>0</v>
      </c>
      <c r="O460" s="1237"/>
      <c r="P460" s="1040" t="s">
        <v>417</v>
      </c>
    </row>
    <row r="461" spans="1:16" outlineLevel="1">
      <c r="A461" s="1011"/>
      <c r="B461" s="1013" t="str">
        <f t="shared" si="27"/>
        <v/>
      </c>
      <c r="C461" s="1125"/>
      <c r="D461" s="1122" t="s">
        <v>2487</v>
      </c>
      <c r="E461" s="1011"/>
      <c r="F461" s="1011"/>
      <c r="G461" s="1035"/>
      <c r="H461" s="1035"/>
      <c r="I461" s="1010"/>
      <c r="J461" s="1011"/>
      <c r="K461" s="1032"/>
      <c r="L461" s="1033"/>
      <c r="M461" s="1035"/>
      <c r="N461" s="1033"/>
      <c r="O461" s="1012"/>
      <c r="P461" s="1040" t="s">
        <v>417</v>
      </c>
    </row>
    <row r="462" spans="1:16" outlineLevel="1">
      <c r="A462" s="1011"/>
      <c r="B462" s="1013"/>
      <c r="C462" s="1125"/>
      <c r="D462" s="1122"/>
      <c r="E462" s="1011"/>
      <c r="F462" s="1011"/>
      <c r="G462" s="1035"/>
      <c r="H462" s="1035"/>
      <c r="I462" s="1010"/>
      <c r="J462" s="1011"/>
      <c r="K462" s="1032"/>
      <c r="L462" s="1033"/>
      <c r="M462" s="1035"/>
      <c r="N462" s="1033"/>
      <c r="O462" s="1012"/>
      <c r="P462" s="1040" t="s">
        <v>417</v>
      </c>
    </row>
    <row r="463" spans="1:16" ht="170.5" outlineLevel="1">
      <c r="A463" s="1031">
        <v>150</v>
      </c>
      <c r="B463" s="1013">
        <f t="shared" si="27"/>
        <v>150</v>
      </c>
      <c r="C463" s="1125" t="str">
        <f t="shared" si="28"/>
        <v>IVF150</v>
      </c>
      <c r="D463" s="1009" t="s">
        <v>2374</v>
      </c>
      <c r="E463" s="1031">
        <v>1</v>
      </c>
      <c r="F463" s="1030" t="s">
        <v>66</v>
      </c>
      <c r="G463" s="1032">
        <v>40000</v>
      </c>
      <c r="H463" s="1033">
        <f>ROUND(E463*G463,0)</f>
        <v>40000</v>
      </c>
      <c r="I463" s="1034">
        <v>0</v>
      </c>
      <c r="J463" s="1031" t="str">
        <f>F463</f>
        <v>No</v>
      </c>
      <c r="K463" s="1033">
        <f>G463</f>
        <v>40000</v>
      </c>
      <c r="L463" s="1033">
        <f>ROUND(I463*K463,0)</f>
        <v>0</v>
      </c>
      <c r="M463" s="1035">
        <f>IF(L463&gt;H463,L463-H463,0)</f>
        <v>0</v>
      </c>
      <c r="N463" s="1033">
        <f>IF(H463&gt;L463,H463-L463,0)</f>
        <v>40000</v>
      </c>
      <c r="O463" s="1012" t="s">
        <v>2353</v>
      </c>
      <c r="P463" s="1040" t="s">
        <v>417</v>
      </c>
    </row>
    <row r="464" spans="1:16" outlineLevel="1">
      <c r="A464" s="1011"/>
      <c r="B464" s="1013" t="str">
        <f t="shared" si="27"/>
        <v/>
      </c>
      <c r="C464" s="1125"/>
      <c r="D464" s="1009"/>
      <c r="E464" s="1011"/>
      <c r="F464" s="1011"/>
      <c r="G464" s="1035"/>
      <c r="H464" s="1035"/>
      <c r="I464" s="1010"/>
      <c r="J464" s="1011"/>
      <c r="K464" s="1035"/>
      <c r="L464" s="1035"/>
      <c r="M464" s="1035"/>
      <c r="N464" s="1035"/>
      <c r="O464" s="1012"/>
      <c r="P464" s="1040" t="s">
        <v>417</v>
      </c>
    </row>
    <row r="465" spans="1:16" ht="325.5" outlineLevel="1">
      <c r="A465" s="1031">
        <v>151</v>
      </c>
      <c r="B465" s="1013">
        <f t="shared" si="27"/>
        <v>151</v>
      </c>
      <c r="C465" s="1125" t="str">
        <f t="shared" si="28"/>
        <v>IVF151</v>
      </c>
      <c r="D465" s="1009" t="s">
        <v>2375</v>
      </c>
      <c r="E465" s="1031">
        <v>1</v>
      </c>
      <c r="F465" s="1030" t="s">
        <v>66</v>
      </c>
      <c r="G465" s="1032">
        <v>590000</v>
      </c>
      <c r="H465" s="1033">
        <f>ROUND(E465*G465,0)</f>
        <v>590000</v>
      </c>
      <c r="I465" s="1034">
        <v>1</v>
      </c>
      <c r="J465" s="1031" t="str">
        <f>F465</f>
        <v>No</v>
      </c>
      <c r="K465" s="1033">
        <f>G465</f>
        <v>590000</v>
      </c>
      <c r="L465" s="1033">
        <f>ROUND(I465*K465,0)</f>
        <v>590000</v>
      </c>
      <c r="M465" s="1035">
        <f>IF(L465&gt;H465,L465-H465,0)</f>
        <v>0</v>
      </c>
      <c r="N465" s="1033">
        <f>IF(H465&gt;L465,H465-L465,0)</f>
        <v>0</v>
      </c>
      <c r="O465" s="1012" t="s">
        <v>2353</v>
      </c>
      <c r="P465" s="1040" t="s">
        <v>417</v>
      </c>
    </row>
    <row r="466" spans="1:16" outlineLevel="1">
      <c r="A466" s="1011"/>
      <c r="B466" s="1013" t="str">
        <f t="shared" si="27"/>
        <v/>
      </c>
      <c r="C466" s="1125"/>
      <c r="D466" s="1122" t="s">
        <v>2491</v>
      </c>
      <c r="E466" s="1011"/>
      <c r="F466" s="1011"/>
      <c r="G466" s="1035"/>
      <c r="H466" s="1035"/>
      <c r="I466" s="1010"/>
      <c r="J466" s="1011"/>
      <c r="K466" s="1035"/>
      <c r="L466" s="1035"/>
      <c r="M466" s="1035"/>
      <c r="N466" s="1035"/>
      <c r="O466" s="1012"/>
      <c r="P466" s="1040" t="s">
        <v>417</v>
      </c>
    </row>
    <row r="467" spans="1:16" outlineLevel="1">
      <c r="A467" s="1011"/>
      <c r="B467" s="1013"/>
      <c r="C467" s="1125"/>
      <c r="D467" s="1122"/>
      <c r="E467" s="1011"/>
      <c r="F467" s="1011"/>
      <c r="G467" s="1035"/>
      <c r="H467" s="1035"/>
      <c r="I467" s="1010"/>
      <c r="J467" s="1011"/>
      <c r="K467" s="1035"/>
      <c r="L467" s="1035"/>
      <c r="M467" s="1035"/>
      <c r="N467" s="1035"/>
      <c r="O467" s="1012"/>
      <c r="P467" s="1040" t="s">
        <v>417</v>
      </c>
    </row>
    <row r="468" spans="1:16" ht="139.5" outlineLevel="1">
      <c r="A468" s="1031">
        <v>152</v>
      </c>
      <c r="B468" s="1013">
        <f t="shared" si="27"/>
        <v>152</v>
      </c>
      <c r="C468" s="1125" t="str">
        <f t="shared" si="28"/>
        <v>IVF152</v>
      </c>
      <c r="D468" s="1009" t="s">
        <v>213</v>
      </c>
      <c r="E468" s="1031">
        <v>6</v>
      </c>
      <c r="F468" s="1030" t="s">
        <v>66</v>
      </c>
      <c r="G468" s="1032">
        <v>42000</v>
      </c>
      <c r="H468" s="1033">
        <f>ROUND(E468*G468,0)</f>
        <v>252000</v>
      </c>
      <c r="I468" s="1034">
        <v>6</v>
      </c>
      <c r="J468" s="1031" t="str">
        <f>F468</f>
        <v>No</v>
      </c>
      <c r="K468" s="1033">
        <f>G468</f>
        <v>42000</v>
      </c>
      <c r="L468" s="1033">
        <f>ROUND(I468*K468,0)</f>
        <v>252000</v>
      </c>
      <c r="M468" s="1035">
        <f>IF(L468&gt;H468,L468-H468,0)</f>
        <v>0</v>
      </c>
      <c r="N468" s="1033">
        <f>IF(H468&gt;L468,H468-L468,0)</f>
        <v>0</v>
      </c>
      <c r="O468" s="1012" t="s">
        <v>2353</v>
      </c>
      <c r="P468" s="1040" t="s">
        <v>417</v>
      </c>
    </row>
    <row r="469" spans="1:16" outlineLevel="1">
      <c r="A469" s="1011"/>
      <c r="B469" s="1013" t="str">
        <f t="shared" si="27"/>
        <v/>
      </c>
      <c r="C469" s="1125"/>
      <c r="D469" s="1122" t="s">
        <v>2492</v>
      </c>
      <c r="E469" s="1011"/>
      <c r="F469" s="1011"/>
      <c r="G469" s="1035"/>
      <c r="H469" s="1035"/>
      <c r="I469" s="1010"/>
      <c r="J469" s="1011"/>
      <c r="K469" s="1035"/>
      <c r="L469" s="1035"/>
      <c r="M469" s="1035"/>
      <c r="N469" s="1035"/>
      <c r="O469" s="1012"/>
      <c r="P469" s="1040" t="s">
        <v>417</v>
      </c>
    </row>
    <row r="470" spans="1:16" outlineLevel="1">
      <c r="A470" s="1011"/>
      <c r="B470" s="1013"/>
      <c r="C470" s="1125"/>
      <c r="D470" s="1122"/>
      <c r="E470" s="1011"/>
      <c r="F470" s="1011"/>
      <c r="G470" s="1035"/>
      <c r="H470" s="1035"/>
      <c r="I470" s="1010"/>
      <c r="J470" s="1011"/>
      <c r="K470" s="1035"/>
      <c r="L470" s="1035"/>
      <c r="M470" s="1035"/>
      <c r="N470" s="1035"/>
      <c r="O470" s="1214"/>
      <c r="P470" s="1040" t="s">
        <v>417</v>
      </c>
    </row>
    <row r="471" spans="1:16" ht="201.5" outlineLevel="1">
      <c r="A471" s="1031">
        <v>153</v>
      </c>
      <c r="B471" s="1013">
        <f t="shared" si="27"/>
        <v>153</v>
      </c>
      <c r="C471" s="1125" t="str">
        <f t="shared" si="28"/>
        <v>IVF153</v>
      </c>
      <c r="D471" s="1009" t="s">
        <v>2398</v>
      </c>
      <c r="E471" s="1031">
        <v>1</v>
      </c>
      <c r="F471" s="1030" t="s">
        <v>66</v>
      </c>
      <c r="G471" s="1032">
        <v>182000</v>
      </c>
      <c r="H471" s="1033">
        <f>ROUND(E471*G471,0)</f>
        <v>182000</v>
      </c>
      <c r="I471" s="1034">
        <v>1</v>
      </c>
      <c r="J471" s="1031" t="str">
        <f>F471</f>
        <v>No</v>
      </c>
      <c r="K471" s="1033">
        <f>G471</f>
        <v>182000</v>
      </c>
      <c r="L471" s="1033">
        <f>ROUND(I471*K471,0)</f>
        <v>182000</v>
      </c>
      <c r="M471" s="1035">
        <f>IF(L471&gt;H471,L471-H471,0)</f>
        <v>0</v>
      </c>
      <c r="N471" s="1033">
        <f>IF(H471&gt;L471,H471-L471,0)</f>
        <v>0</v>
      </c>
      <c r="O471" s="1236" t="s">
        <v>2358</v>
      </c>
      <c r="P471" s="1040" t="s">
        <v>417</v>
      </c>
    </row>
    <row r="472" spans="1:16" outlineLevel="1">
      <c r="A472" s="1011"/>
      <c r="B472" s="1013" t="str">
        <f t="shared" si="27"/>
        <v/>
      </c>
      <c r="C472" s="1125"/>
      <c r="D472" s="1039" t="s">
        <v>294</v>
      </c>
      <c r="E472" s="1011"/>
      <c r="F472" s="1011"/>
      <c r="G472" s="1035"/>
      <c r="H472" s="1035"/>
      <c r="I472" s="1010">
        <v>1</v>
      </c>
      <c r="J472" s="1011" t="s">
        <v>66</v>
      </c>
      <c r="K472" s="1032">
        <v>182000</v>
      </c>
      <c r="L472" s="1033">
        <f>ROUND(I472*K472,0)</f>
        <v>182000</v>
      </c>
      <c r="M472" s="1035">
        <f>IF(L472&gt;H472,L472-H472,0)</f>
        <v>182000</v>
      </c>
      <c r="N472" s="1033">
        <f>IF(H472&gt;L472,H472-L472,0)</f>
        <v>0</v>
      </c>
      <c r="O472" s="1237"/>
      <c r="P472" s="1040" t="s">
        <v>417</v>
      </c>
    </row>
    <row r="473" spans="1:16" outlineLevel="1">
      <c r="A473" s="1011"/>
      <c r="B473" s="1013" t="str">
        <f t="shared" si="27"/>
        <v/>
      </c>
      <c r="C473" s="1125"/>
      <c r="D473" s="1039"/>
      <c r="E473" s="1011"/>
      <c r="F473" s="1011"/>
      <c r="G473" s="1035"/>
      <c r="H473" s="1035"/>
      <c r="I473" s="1010"/>
      <c r="J473" s="1011"/>
      <c r="K473" s="1032"/>
      <c r="L473" s="1033"/>
      <c r="M473" s="1035"/>
      <c r="N473" s="1033"/>
      <c r="O473" s="1012"/>
      <c r="P473" s="1040" t="s">
        <v>417</v>
      </c>
    </row>
    <row r="474" spans="1:16" ht="186" outlineLevel="1">
      <c r="A474" s="1031">
        <v>154</v>
      </c>
      <c r="B474" s="1013">
        <f t="shared" si="27"/>
        <v>154</v>
      </c>
      <c r="C474" s="1125" t="str">
        <f t="shared" si="28"/>
        <v>IVF154</v>
      </c>
      <c r="D474" s="1009" t="s">
        <v>214</v>
      </c>
      <c r="E474" s="1031">
        <v>1</v>
      </c>
      <c r="F474" s="1030" t="s">
        <v>66</v>
      </c>
      <c r="G474" s="1032">
        <v>205000</v>
      </c>
      <c r="H474" s="1033">
        <f>ROUND(E474*G474,0)</f>
        <v>205000</v>
      </c>
      <c r="I474" s="1034">
        <v>1</v>
      </c>
      <c r="J474" s="1031" t="str">
        <f>F474</f>
        <v>No</v>
      </c>
      <c r="K474" s="1033">
        <f>G474</f>
        <v>205000</v>
      </c>
      <c r="L474" s="1033">
        <f>ROUND(I474*K474,0)</f>
        <v>205000</v>
      </c>
      <c r="M474" s="1035">
        <f>IF(L474&gt;H474,L474-H474,0)</f>
        <v>0</v>
      </c>
      <c r="N474" s="1033">
        <f>IF(H474&gt;L474,H474-L474,0)</f>
        <v>0</v>
      </c>
      <c r="O474" s="1012" t="s">
        <v>2353</v>
      </c>
      <c r="P474" s="1040" t="s">
        <v>417</v>
      </c>
    </row>
    <row r="475" spans="1:16" outlineLevel="1">
      <c r="A475" s="1011"/>
      <c r="B475" s="1013" t="str">
        <f t="shared" ref="B475:B563" si="30">IF(ISBLANK(A475),"",A475)</f>
        <v/>
      </c>
      <c r="C475" s="1125"/>
      <c r="D475" s="1122" t="s">
        <v>2492</v>
      </c>
      <c r="E475" s="1011"/>
      <c r="F475" s="1011"/>
      <c r="G475" s="1035"/>
      <c r="H475" s="1035"/>
      <c r="I475" s="1010"/>
      <c r="J475" s="1011"/>
      <c r="K475" s="1035"/>
      <c r="L475" s="1035"/>
      <c r="M475" s="1035"/>
      <c r="N475" s="1035"/>
      <c r="O475" s="1012"/>
      <c r="P475" s="1040" t="s">
        <v>417</v>
      </c>
    </row>
    <row r="476" spans="1:16" outlineLevel="1">
      <c r="A476" s="1011"/>
      <c r="B476" s="1013"/>
      <c r="C476" s="1125"/>
      <c r="D476" s="1122"/>
      <c r="E476" s="1011"/>
      <c r="F476" s="1011"/>
      <c r="G476" s="1035"/>
      <c r="H476" s="1035"/>
      <c r="I476" s="1010"/>
      <c r="J476" s="1011"/>
      <c r="K476" s="1035"/>
      <c r="L476" s="1035"/>
      <c r="M476" s="1035"/>
      <c r="N476" s="1035"/>
      <c r="O476" s="1012"/>
      <c r="P476" s="1040" t="s">
        <v>417</v>
      </c>
    </row>
    <row r="477" spans="1:16" ht="170.5" outlineLevel="1">
      <c r="A477" s="1031">
        <v>155</v>
      </c>
      <c r="B477" s="1013">
        <f t="shared" si="30"/>
        <v>155</v>
      </c>
      <c r="C477" s="1125" t="str">
        <f t="shared" ref="C477:C560" si="31">IF(ISBLANK(B477), "", IF(B477&lt;10, "IVF00" &amp; B477, IF(AND(B477&gt;=10, B477&lt;=99), "IVF0" &amp; B477, IF(B477&gt;99, "IVF" &amp; B477))))</f>
        <v>IVF155</v>
      </c>
      <c r="D477" s="1009" t="s">
        <v>2399</v>
      </c>
      <c r="E477" s="1031">
        <v>20</v>
      </c>
      <c r="F477" s="1030" t="s">
        <v>60</v>
      </c>
      <c r="G477" s="1032">
        <v>1020</v>
      </c>
      <c r="H477" s="1033">
        <f>ROUND(E477*G477,0)</f>
        <v>20400</v>
      </c>
      <c r="I477" s="1034">
        <v>10</v>
      </c>
      <c r="J477" s="1031" t="str">
        <f>F477</f>
        <v>Rmt</v>
      </c>
      <c r="K477" s="1033">
        <f>G477</f>
        <v>1020</v>
      </c>
      <c r="L477" s="1033">
        <f>ROUND(I477*K477,0)</f>
        <v>10200</v>
      </c>
      <c r="M477" s="1035">
        <f>IF(L477&gt;H477,L477-H477,0)</f>
        <v>0</v>
      </c>
      <c r="N477" s="1033">
        <f>IF(H477&gt;L477,H477-L477,0)</f>
        <v>10200</v>
      </c>
      <c r="O477" s="1012" t="s">
        <v>2440</v>
      </c>
      <c r="P477" s="1040" t="s">
        <v>417</v>
      </c>
    </row>
    <row r="478" spans="1:16" outlineLevel="1">
      <c r="A478" s="1011"/>
      <c r="B478" s="1013" t="str">
        <f t="shared" si="30"/>
        <v/>
      </c>
      <c r="C478" s="1125"/>
      <c r="D478" s="1122" t="s">
        <v>2503</v>
      </c>
      <c r="E478" s="1011"/>
      <c r="F478" s="1011"/>
      <c r="G478" s="1035"/>
      <c r="H478" s="1035"/>
      <c r="I478" s="1010"/>
      <c r="J478" s="1011"/>
      <c r="K478" s="1035"/>
      <c r="L478" s="1035"/>
      <c r="M478" s="1035"/>
      <c r="N478" s="1035"/>
      <c r="O478" s="1012"/>
      <c r="P478" s="1040" t="s">
        <v>417</v>
      </c>
    </row>
    <row r="479" spans="1:16" outlineLevel="1">
      <c r="A479" s="1011"/>
      <c r="B479" s="1013"/>
      <c r="C479" s="1125"/>
      <c r="D479" s="1122"/>
      <c r="E479" s="1011"/>
      <c r="F479" s="1011"/>
      <c r="G479" s="1035"/>
      <c r="H479" s="1035"/>
      <c r="I479" s="1010"/>
      <c r="J479" s="1011"/>
      <c r="K479" s="1035"/>
      <c r="L479" s="1035"/>
      <c r="M479" s="1035"/>
      <c r="N479" s="1035"/>
      <c r="O479" s="1012"/>
      <c r="P479" s="1040" t="s">
        <v>417</v>
      </c>
    </row>
    <row r="480" spans="1:16" ht="170.5" outlineLevel="1">
      <c r="A480" s="1031">
        <v>156</v>
      </c>
      <c r="B480" s="1013">
        <f t="shared" si="30"/>
        <v>156</v>
      </c>
      <c r="C480" s="1125" t="str">
        <f t="shared" si="31"/>
        <v>IVF156</v>
      </c>
      <c r="D480" s="1009" t="s">
        <v>2400</v>
      </c>
      <c r="E480" s="1031">
        <v>20</v>
      </c>
      <c r="F480" s="1030" t="s">
        <v>60</v>
      </c>
      <c r="G480" s="1032">
        <v>1190</v>
      </c>
      <c r="H480" s="1033">
        <f>ROUND(E480*G480,0)</f>
        <v>23800</v>
      </c>
      <c r="I480" s="1034">
        <v>12</v>
      </c>
      <c r="J480" s="1031" t="str">
        <f>F480</f>
        <v>Rmt</v>
      </c>
      <c r="K480" s="1033">
        <f>G480</f>
        <v>1190</v>
      </c>
      <c r="L480" s="1033">
        <f>ROUND(I480*K480,0)</f>
        <v>14280</v>
      </c>
      <c r="M480" s="1035">
        <f>IF(L480&gt;H480,L480-H480,0)</f>
        <v>0</v>
      </c>
      <c r="N480" s="1033">
        <f>IF(H480&gt;L480,H480-L480,0)</f>
        <v>9520</v>
      </c>
      <c r="O480" s="1012" t="s">
        <v>2440</v>
      </c>
      <c r="P480" s="1040" t="s">
        <v>417</v>
      </c>
    </row>
    <row r="481" spans="1:16" outlineLevel="1">
      <c r="A481" s="1011"/>
      <c r="B481" s="1013" t="str">
        <f t="shared" si="30"/>
        <v/>
      </c>
      <c r="C481" s="1125"/>
      <c r="D481" s="1122" t="s">
        <v>2503</v>
      </c>
      <c r="E481" s="1011"/>
      <c r="F481" s="1011"/>
      <c r="G481" s="1035"/>
      <c r="H481" s="1035"/>
      <c r="I481" s="1010"/>
      <c r="J481" s="1011"/>
      <c r="K481" s="1035"/>
      <c r="L481" s="1035"/>
      <c r="M481" s="1035"/>
      <c r="N481" s="1035"/>
      <c r="O481" s="1012"/>
      <c r="P481" s="1040" t="s">
        <v>417</v>
      </c>
    </row>
    <row r="482" spans="1:16" outlineLevel="1">
      <c r="A482" s="1011"/>
      <c r="B482" s="1013"/>
      <c r="C482" s="1125"/>
      <c r="D482" s="1122"/>
      <c r="E482" s="1011"/>
      <c r="F482" s="1011"/>
      <c r="G482" s="1035"/>
      <c r="H482" s="1035"/>
      <c r="I482" s="1010"/>
      <c r="J482" s="1011"/>
      <c r="K482" s="1035"/>
      <c r="L482" s="1035"/>
      <c r="M482" s="1035"/>
      <c r="N482" s="1035"/>
      <c r="O482" s="1012"/>
      <c r="P482" s="1040" t="s">
        <v>417</v>
      </c>
    </row>
    <row r="483" spans="1:16" ht="62" outlineLevel="1">
      <c r="A483" s="1031">
        <v>157</v>
      </c>
      <c r="B483" s="1013">
        <f t="shared" si="30"/>
        <v>157</v>
      </c>
      <c r="C483" s="1125" t="str">
        <f t="shared" si="31"/>
        <v>IVF157</v>
      </c>
      <c r="D483" s="1009" t="s">
        <v>2401</v>
      </c>
      <c r="E483" s="1031">
        <v>50</v>
      </c>
      <c r="F483" s="1030" t="s">
        <v>60</v>
      </c>
      <c r="G483" s="1032">
        <v>670</v>
      </c>
      <c r="H483" s="1033">
        <f>ROUND(E483*G483,0)</f>
        <v>33500</v>
      </c>
      <c r="I483" s="1034">
        <v>0</v>
      </c>
      <c r="J483" s="1031" t="str">
        <f>F483</f>
        <v>Rmt</v>
      </c>
      <c r="K483" s="1033">
        <f>G483</f>
        <v>670</v>
      </c>
      <c r="L483" s="1033">
        <f>ROUND(I483*K483,0)</f>
        <v>0</v>
      </c>
      <c r="M483" s="1035">
        <f>IF(L483&gt;H483,L483-H483,0)</f>
        <v>0</v>
      </c>
      <c r="N483" s="1033">
        <f>IF(H483&gt;L483,H483-L483,0)</f>
        <v>33500</v>
      </c>
      <c r="O483" s="1012"/>
      <c r="P483" s="1040" t="s">
        <v>417</v>
      </c>
    </row>
    <row r="484" spans="1:16" outlineLevel="1">
      <c r="A484" s="1011"/>
      <c r="B484" s="1013" t="str">
        <f t="shared" si="30"/>
        <v/>
      </c>
      <c r="C484" s="1125"/>
      <c r="D484" s="1009"/>
      <c r="E484" s="1011"/>
      <c r="F484" s="1011"/>
      <c r="G484" s="1035"/>
      <c r="H484" s="1035"/>
      <c r="I484" s="1010"/>
      <c r="J484" s="1011"/>
      <c r="K484" s="1035"/>
      <c r="L484" s="1035"/>
      <c r="M484" s="1035"/>
      <c r="N484" s="1035"/>
      <c r="O484" s="1012"/>
      <c r="P484" s="1040" t="s">
        <v>417</v>
      </c>
    </row>
    <row r="485" spans="1:16" ht="62" outlineLevel="1">
      <c r="A485" s="1031">
        <v>158</v>
      </c>
      <c r="B485" s="1013">
        <f t="shared" si="30"/>
        <v>158</v>
      </c>
      <c r="C485" s="1125" t="str">
        <f t="shared" si="31"/>
        <v>IVF158</v>
      </c>
      <c r="D485" s="1009" t="s">
        <v>2402</v>
      </c>
      <c r="E485" s="1031">
        <v>50</v>
      </c>
      <c r="F485" s="1030" t="s">
        <v>60</v>
      </c>
      <c r="G485" s="1032">
        <v>515</v>
      </c>
      <c r="H485" s="1033">
        <f>ROUND(E485*G485,0)</f>
        <v>25750</v>
      </c>
      <c r="I485" s="1034">
        <v>12</v>
      </c>
      <c r="J485" s="1031" t="str">
        <f>F485</f>
        <v>Rmt</v>
      </c>
      <c r="K485" s="1033">
        <f>G485</f>
        <v>515</v>
      </c>
      <c r="L485" s="1033">
        <f>ROUND(I485*K485,0)</f>
        <v>6180</v>
      </c>
      <c r="M485" s="1035">
        <f>IF(L485&gt;H485,L485-H485,0)</f>
        <v>0</v>
      </c>
      <c r="N485" s="1033">
        <f>IF(H485&gt;L485,H485-L485,0)</f>
        <v>19570</v>
      </c>
      <c r="O485" s="1012" t="s">
        <v>2440</v>
      </c>
      <c r="P485" s="1040" t="s">
        <v>417</v>
      </c>
    </row>
    <row r="486" spans="1:16" outlineLevel="1">
      <c r="A486" s="1011"/>
      <c r="B486" s="1013" t="str">
        <f t="shared" si="30"/>
        <v/>
      </c>
      <c r="C486" s="1125"/>
      <c r="D486" s="1122" t="s">
        <v>2503</v>
      </c>
      <c r="E486" s="1011"/>
      <c r="F486" s="1011"/>
      <c r="G486" s="1035"/>
      <c r="H486" s="1035"/>
      <c r="I486" s="1010"/>
      <c r="J486" s="1011"/>
      <c r="K486" s="1035"/>
      <c r="L486" s="1035"/>
      <c r="M486" s="1035"/>
      <c r="N486" s="1035"/>
      <c r="O486" s="1012"/>
      <c r="P486" s="1040" t="s">
        <v>417</v>
      </c>
    </row>
    <row r="487" spans="1:16" outlineLevel="1">
      <c r="A487" s="1011"/>
      <c r="B487" s="1013"/>
      <c r="C487" s="1125"/>
      <c r="D487" s="1122"/>
      <c r="E487" s="1011"/>
      <c r="F487" s="1011"/>
      <c r="G487" s="1035"/>
      <c r="H487" s="1035"/>
      <c r="I487" s="1010"/>
      <c r="J487" s="1011"/>
      <c r="K487" s="1035"/>
      <c r="L487" s="1035"/>
      <c r="M487" s="1035"/>
      <c r="N487" s="1035"/>
      <c r="O487" s="1012"/>
      <c r="P487" s="1040" t="s">
        <v>417</v>
      </c>
    </row>
    <row r="488" spans="1:16" ht="139.5" outlineLevel="1">
      <c r="A488" s="1031">
        <v>159</v>
      </c>
      <c r="B488" s="1013">
        <f t="shared" si="30"/>
        <v>159</v>
      </c>
      <c r="C488" s="1125" t="str">
        <f t="shared" si="31"/>
        <v>IVF159</v>
      </c>
      <c r="D488" s="1009" t="s">
        <v>2403</v>
      </c>
      <c r="E488" s="1031">
        <v>30</v>
      </c>
      <c r="F488" s="1030" t="s">
        <v>62</v>
      </c>
      <c r="G488" s="1032">
        <v>2600</v>
      </c>
      <c r="H488" s="1033">
        <f>ROUND(E488*G488,0)</f>
        <v>78000</v>
      </c>
      <c r="I488" s="1034">
        <v>0</v>
      </c>
      <c r="J488" s="1031" t="str">
        <f>F488</f>
        <v>Sqm</v>
      </c>
      <c r="K488" s="1033">
        <f>G488</f>
        <v>2600</v>
      </c>
      <c r="L488" s="1033">
        <f>ROUND(I488*K488,0)</f>
        <v>0</v>
      </c>
      <c r="M488" s="1035">
        <f>IF(L488&gt;H488,L488-H488,0)</f>
        <v>0</v>
      </c>
      <c r="N488" s="1033">
        <f>IF(H488&gt;L488,H488-L488,0)</f>
        <v>78000</v>
      </c>
      <c r="O488" s="1012"/>
      <c r="P488" s="1040" t="s">
        <v>417</v>
      </c>
    </row>
    <row r="489" spans="1:16" outlineLevel="1">
      <c r="A489" s="1011"/>
      <c r="B489" s="1013" t="str">
        <f t="shared" si="30"/>
        <v/>
      </c>
      <c r="C489" s="1125"/>
      <c r="D489" s="1009"/>
      <c r="E489" s="1011"/>
      <c r="F489" s="1011"/>
      <c r="G489" s="1035"/>
      <c r="H489" s="1035"/>
      <c r="I489" s="1010"/>
      <c r="J489" s="1011"/>
      <c r="K489" s="1035"/>
      <c r="L489" s="1035"/>
      <c r="M489" s="1035"/>
      <c r="N489" s="1035"/>
      <c r="O489" s="1012"/>
      <c r="P489" s="1040" t="s">
        <v>417</v>
      </c>
    </row>
    <row r="490" spans="1:16" ht="139.5" outlineLevel="1">
      <c r="A490" s="1031">
        <v>160</v>
      </c>
      <c r="B490" s="1013">
        <f t="shared" si="30"/>
        <v>160</v>
      </c>
      <c r="C490" s="1125" t="str">
        <f t="shared" si="31"/>
        <v>IVF160</v>
      </c>
      <c r="D490" s="1009" t="s">
        <v>2404</v>
      </c>
      <c r="E490" s="1031">
        <v>250</v>
      </c>
      <c r="F490" s="1030" t="s">
        <v>62</v>
      </c>
      <c r="G490" s="1032">
        <v>2325</v>
      </c>
      <c r="H490" s="1033">
        <f>ROUND(E490*G490,0)</f>
        <v>581250</v>
      </c>
      <c r="I490" s="1034">
        <v>230.19</v>
      </c>
      <c r="J490" s="1031" t="str">
        <f>F490</f>
        <v>Sqm</v>
      </c>
      <c r="K490" s="1033">
        <f>G490</f>
        <v>2325</v>
      </c>
      <c r="L490" s="1033">
        <f>ROUND(I490*K490,0)</f>
        <v>535192</v>
      </c>
      <c r="M490" s="1035">
        <f>IF(L490&gt;H490,L490-H490,0)</f>
        <v>0</v>
      </c>
      <c r="N490" s="1033">
        <f>IF(H490&gt;L490,H490-L490,0)</f>
        <v>46058</v>
      </c>
      <c r="O490" s="1012" t="s">
        <v>2440</v>
      </c>
      <c r="P490" s="1040" t="s">
        <v>417</v>
      </c>
    </row>
    <row r="491" spans="1:16" outlineLevel="1">
      <c r="A491" s="1011"/>
      <c r="B491" s="1013" t="str">
        <f t="shared" si="30"/>
        <v/>
      </c>
      <c r="C491" s="1125"/>
      <c r="D491" s="1122" t="s">
        <v>2502</v>
      </c>
      <c r="E491" s="1011"/>
      <c r="F491" s="1011"/>
      <c r="G491" s="1035"/>
      <c r="H491" s="1035"/>
      <c r="I491" s="1010"/>
      <c r="J491" s="1011"/>
      <c r="K491" s="1035"/>
      <c r="L491" s="1035"/>
      <c r="M491" s="1035"/>
      <c r="N491" s="1035"/>
      <c r="O491" s="1012"/>
      <c r="P491" s="1040" t="s">
        <v>417</v>
      </c>
    </row>
    <row r="492" spans="1:16" outlineLevel="1">
      <c r="A492" s="1011"/>
      <c r="B492" s="1013"/>
      <c r="C492" s="1125"/>
      <c r="D492" s="1122"/>
      <c r="E492" s="1011"/>
      <c r="F492" s="1011"/>
      <c r="G492" s="1035"/>
      <c r="H492" s="1035"/>
      <c r="I492" s="1010"/>
      <c r="J492" s="1011"/>
      <c r="K492" s="1035"/>
      <c r="L492" s="1035"/>
      <c r="M492" s="1035"/>
      <c r="N492" s="1035"/>
      <c r="O492" s="1012"/>
      <c r="P492" s="1040" t="s">
        <v>417</v>
      </c>
    </row>
    <row r="493" spans="1:16" ht="46.5" outlineLevel="1">
      <c r="A493" s="1031">
        <v>161</v>
      </c>
      <c r="B493" s="1013">
        <f t="shared" si="30"/>
        <v>161</v>
      </c>
      <c r="C493" s="1125" t="str">
        <f t="shared" si="31"/>
        <v>IVF161</v>
      </c>
      <c r="D493" s="1009" t="s">
        <v>215</v>
      </c>
      <c r="E493" s="1031">
        <v>2</v>
      </c>
      <c r="F493" s="1030" t="s">
        <v>62</v>
      </c>
      <c r="G493" s="1032">
        <v>15800</v>
      </c>
      <c r="H493" s="1033">
        <f>ROUND(E493*G493,0)</f>
        <v>31600</v>
      </c>
      <c r="I493" s="1034">
        <v>1.24</v>
      </c>
      <c r="J493" s="1031" t="str">
        <f>F493</f>
        <v>Sqm</v>
      </c>
      <c r="K493" s="1033">
        <f>G493</f>
        <v>15800</v>
      </c>
      <c r="L493" s="1033">
        <f>ROUND(I493*K493,0)</f>
        <v>19592</v>
      </c>
      <c r="M493" s="1035">
        <f>IF(L493&gt;H493,L493-H493,0)</f>
        <v>0</v>
      </c>
      <c r="N493" s="1033">
        <f>IF(H493&gt;L493,H493-L493,0)</f>
        <v>12008</v>
      </c>
      <c r="O493" s="1012" t="s">
        <v>2440</v>
      </c>
      <c r="P493" s="1040" t="s">
        <v>417</v>
      </c>
    </row>
    <row r="494" spans="1:16" outlineLevel="1">
      <c r="A494" s="1011"/>
      <c r="B494" s="1013" t="str">
        <f t="shared" si="30"/>
        <v/>
      </c>
      <c r="C494" s="1125"/>
      <c r="D494" s="1122" t="s">
        <v>2504</v>
      </c>
      <c r="E494" s="1011"/>
      <c r="F494" s="1011"/>
      <c r="G494" s="1035"/>
      <c r="H494" s="1035"/>
      <c r="I494" s="1010"/>
      <c r="J494" s="1011"/>
      <c r="K494" s="1035"/>
      <c r="L494" s="1035"/>
      <c r="M494" s="1035"/>
      <c r="N494" s="1035"/>
      <c r="O494" s="1012"/>
      <c r="P494" s="1040" t="s">
        <v>417</v>
      </c>
    </row>
    <row r="495" spans="1:16" outlineLevel="1">
      <c r="A495" s="1011"/>
      <c r="B495" s="1013"/>
      <c r="C495" s="1125"/>
      <c r="D495" s="1122"/>
      <c r="E495" s="1011"/>
      <c r="F495" s="1011"/>
      <c r="G495" s="1035"/>
      <c r="H495" s="1035"/>
      <c r="I495" s="1010"/>
      <c r="J495" s="1011"/>
      <c r="K495" s="1035"/>
      <c r="L495" s="1035"/>
      <c r="M495" s="1035"/>
      <c r="N495" s="1035"/>
      <c r="O495" s="1012"/>
      <c r="P495" s="1040" t="s">
        <v>417</v>
      </c>
    </row>
    <row r="496" spans="1:16" ht="46.5" outlineLevel="1">
      <c r="A496" s="1031">
        <v>162</v>
      </c>
      <c r="B496" s="1013">
        <f t="shared" si="30"/>
        <v>162</v>
      </c>
      <c r="C496" s="1125" t="str">
        <f t="shared" si="31"/>
        <v>IVF162</v>
      </c>
      <c r="D496" s="1009" t="s">
        <v>216</v>
      </c>
      <c r="E496" s="1031">
        <v>2</v>
      </c>
      <c r="F496" s="1030" t="s">
        <v>62</v>
      </c>
      <c r="G496" s="1032">
        <v>25900</v>
      </c>
      <c r="H496" s="1033">
        <f>ROUND(E496*G496,0)</f>
        <v>51800</v>
      </c>
      <c r="I496" s="1034">
        <v>0.84</v>
      </c>
      <c r="J496" s="1031" t="str">
        <f>F496</f>
        <v>Sqm</v>
      </c>
      <c r="K496" s="1033">
        <f>G496</f>
        <v>25900</v>
      </c>
      <c r="L496" s="1033">
        <f>ROUND(I496*K496,0)</f>
        <v>21756</v>
      </c>
      <c r="M496" s="1035">
        <f>IF(L496&gt;H496,L496-H496,0)</f>
        <v>0</v>
      </c>
      <c r="N496" s="1033">
        <f>IF(H496&gt;L496,H496-L496,0)</f>
        <v>30044</v>
      </c>
      <c r="O496" s="1012" t="s">
        <v>2440</v>
      </c>
      <c r="P496" s="1040" t="s">
        <v>417</v>
      </c>
    </row>
    <row r="497" spans="1:16" outlineLevel="1">
      <c r="A497" s="1011"/>
      <c r="B497" s="1013" t="str">
        <f t="shared" si="30"/>
        <v/>
      </c>
      <c r="C497" s="1125"/>
      <c r="D497" s="1122" t="s">
        <v>2504</v>
      </c>
      <c r="E497" s="1011"/>
      <c r="F497" s="1011"/>
      <c r="G497" s="1035"/>
      <c r="H497" s="1035"/>
      <c r="I497" s="1010"/>
      <c r="J497" s="1011"/>
      <c r="K497" s="1035"/>
      <c r="L497" s="1035"/>
      <c r="M497" s="1035"/>
      <c r="N497" s="1035"/>
      <c r="O497" s="1012"/>
      <c r="P497" s="1040" t="s">
        <v>417</v>
      </c>
    </row>
    <row r="498" spans="1:16" outlineLevel="1">
      <c r="A498" s="1011"/>
      <c r="B498" s="1013"/>
      <c r="C498" s="1125"/>
      <c r="D498" s="1122"/>
      <c r="E498" s="1011"/>
      <c r="F498" s="1011"/>
      <c r="G498" s="1035"/>
      <c r="H498" s="1035"/>
      <c r="I498" s="1010"/>
      <c r="J498" s="1011"/>
      <c r="K498" s="1035"/>
      <c r="L498" s="1035"/>
      <c r="M498" s="1035"/>
      <c r="N498" s="1035"/>
      <c r="O498" s="1214"/>
      <c r="P498" s="1040" t="s">
        <v>417</v>
      </c>
    </row>
    <row r="499" spans="1:16" ht="31" outlineLevel="1">
      <c r="A499" s="1031">
        <v>163</v>
      </c>
      <c r="B499" s="1013">
        <f t="shared" si="30"/>
        <v>163</v>
      </c>
      <c r="C499" s="1125" t="str">
        <f t="shared" si="31"/>
        <v>IVF163</v>
      </c>
      <c r="D499" s="1009" t="s">
        <v>217</v>
      </c>
      <c r="E499" s="1031">
        <v>2</v>
      </c>
      <c r="F499" s="1030" t="s">
        <v>62</v>
      </c>
      <c r="G499" s="1032">
        <v>26300</v>
      </c>
      <c r="H499" s="1033">
        <f>ROUND(E499*G499,0)</f>
        <v>52600</v>
      </c>
      <c r="I499" s="1085">
        <v>2</v>
      </c>
      <c r="J499" s="1031" t="str">
        <f>F499</f>
        <v>Sqm</v>
      </c>
      <c r="K499" s="1033">
        <f>G499</f>
        <v>26300</v>
      </c>
      <c r="L499" s="1033">
        <f>ROUND(I499*K499,0)</f>
        <v>52600</v>
      </c>
      <c r="M499" s="1035">
        <f>IF(L499&gt;H499,L499-H499,0)</f>
        <v>0</v>
      </c>
      <c r="N499" s="1033">
        <f>IF(H499&gt;L499,H499-L499,0)</f>
        <v>0</v>
      </c>
      <c r="O499" s="1236" t="s">
        <v>2358</v>
      </c>
      <c r="P499" s="1040" t="s">
        <v>417</v>
      </c>
    </row>
    <row r="500" spans="1:16" outlineLevel="1">
      <c r="A500" s="1011"/>
      <c r="B500" s="1013" t="str">
        <f t="shared" si="30"/>
        <v/>
      </c>
      <c r="C500" s="1125"/>
      <c r="D500" s="1039" t="s">
        <v>294</v>
      </c>
      <c r="E500" s="1011"/>
      <c r="F500" s="1011"/>
      <c r="G500" s="1035"/>
      <c r="H500" s="1035"/>
      <c r="I500" s="1010">
        <v>1.29</v>
      </c>
      <c r="J500" s="1011" t="s">
        <v>62</v>
      </c>
      <c r="K500" s="1032">
        <v>26300</v>
      </c>
      <c r="L500" s="1033">
        <f>ROUND(I500*K500,0)</f>
        <v>33927</v>
      </c>
      <c r="M500" s="1035">
        <f>IF(L500&gt;H500,L500-H500,0)</f>
        <v>33927</v>
      </c>
      <c r="N500" s="1033">
        <f>IF(H500&gt;L500,H500-L500,0)</f>
        <v>0</v>
      </c>
      <c r="O500" s="1237"/>
      <c r="P500" s="1040" t="s">
        <v>417</v>
      </c>
    </row>
    <row r="501" spans="1:16" outlineLevel="1">
      <c r="A501" s="1011"/>
      <c r="B501" s="1013" t="str">
        <f t="shared" si="30"/>
        <v/>
      </c>
      <c r="C501" s="1125"/>
      <c r="D501" s="1122" t="s">
        <v>2505</v>
      </c>
      <c r="E501" s="1011"/>
      <c r="F501" s="1011"/>
      <c r="G501" s="1035"/>
      <c r="H501" s="1035"/>
      <c r="I501" s="1010"/>
      <c r="J501" s="1011"/>
      <c r="K501" s="1032"/>
      <c r="L501" s="1033"/>
      <c r="M501" s="1035"/>
      <c r="N501" s="1033"/>
      <c r="O501" s="1012"/>
      <c r="P501" s="1040" t="s">
        <v>417</v>
      </c>
    </row>
    <row r="502" spans="1:16" outlineLevel="1">
      <c r="A502" s="1011"/>
      <c r="B502" s="1013"/>
      <c r="C502" s="1125"/>
      <c r="D502" s="1122"/>
      <c r="E502" s="1011"/>
      <c r="F502" s="1011"/>
      <c r="G502" s="1035"/>
      <c r="H502" s="1035"/>
      <c r="I502" s="1010"/>
      <c r="J502" s="1011"/>
      <c r="K502" s="1032"/>
      <c r="L502" s="1033"/>
      <c r="M502" s="1035"/>
      <c r="N502" s="1033"/>
      <c r="O502" s="1214"/>
      <c r="P502" s="1040" t="s">
        <v>417</v>
      </c>
    </row>
    <row r="503" spans="1:16" ht="31" outlineLevel="1">
      <c r="A503" s="1031">
        <v>164</v>
      </c>
      <c r="B503" s="1013">
        <f t="shared" si="30"/>
        <v>164</v>
      </c>
      <c r="C503" s="1125" t="str">
        <f t="shared" si="31"/>
        <v>IVF164</v>
      </c>
      <c r="D503" s="1009" t="s">
        <v>218</v>
      </c>
      <c r="E503" s="1031">
        <v>1</v>
      </c>
      <c r="F503" s="1030" t="s">
        <v>62</v>
      </c>
      <c r="G503" s="1032">
        <v>8125</v>
      </c>
      <c r="H503" s="1033">
        <f>ROUND(E503*G503,0)</f>
        <v>8125</v>
      </c>
      <c r="I503" s="1085">
        <v>1</v>
      </c>
      <c r="J503" s="1031" t="str">
        <f>F503</f>
        <v>Sqm</v>
      </c>
      <c r="K503" s="1033">
        <f>G503</f>
        <v>8125</v>
      </c>
      <c r="L503" s="1033">
        <f>ROUND(I503*K503,0)</f>
        <v>8125</v>
      </c>
      <c r="M503" s="1035">
        <f>IF(L503&gt;H503,L503-H503,0)</f>
        <v>0</v>
      </c>
      <c r="N503" s="1033">
        <f>IF(H503&gt;L503,H503-L503,0)</f>
        <v>0</v>
      </c>
      <c r="O503" s="1236" t="s">
        <v>2358</v>
      </c>
      <c r="P503" s="1040" t="s">
        <v>417</v>
      </c>
    </row>
    <row r="504" spans="1:16" outlineLevel="1">
      <c r="A504" s="1011"/>
      <c r="B504" s="1013" t="str">
        <f t="shared" si="30"/>
        <v/>
      </c>
      <c r="C504" s="1125"/>
      <c r="D504" s="1039" t="s">
        <v>294</v>
      </c>
      <c r="E504" s="1011"/>
      <c r="F504" s="1011"/>
      <c r="G504" s="1035"/>
      <c r="H504" s="1035"/>
      <c r="I504" s="1010">
        <v>0.25</v>
      </c>
      <c r="J504" s="1011" t="s">
        <v>62</v>
      </c>
      <c r="K504" s="1032">
        <v>8125</v>
      </c>
      <c r="L504" s="1033">
        <f>ROUND(I504*K504,0)</f>
        <v>2031</v>
      </c>
      <c r="M504" s="1035">
        <f>IF(L504&gt;H504,L504-H504,0)</f>
        <v>2031</v>
      </c>
      <c r="N504" s="1033">
        <f>IF(H504&gt;L504,H504-L504,0)</f>
        <v>0</v>
      </c>
      <c r="O504" s="1237"/>
      <c r="P504" s="1040" t="s">
        <v>417</v>
      </c>
    </row>
    <row r="505" spans="1:16" outlineLevel="1">
      <c r="A505" s="1011"/>
      <c r="B505" s="1013" t="str">
        <f t="shared" si="30"/>
        <v/>
      </c>
      <c r="C505" s="1125"/>
      <c r="D505" s="1122" t="s">
        <v>2504</v>
      </c>
      <c r="E505" s="1011"/>
      <c r="F505" s="1011"/>
      <c r="G505" s="1035"/>
      <c r="H505" s="1035"/>
      <c r="I505" s="1010"/>
      <c r="J505" s="1011"/>
      <c r="K505" s="1032"/>
      <c r="L505" s="1033"/>
      <c r="M505" s="1035"/>
      <c r="N505" s="1033"/>
      <c r="O505" s="1012"/>
      <c r="P505" s="1040" t="s">
        <v>417</v>
      </c>
    </row>
    <row r="506" spans="1:16" outlineLevel="1">
      <c r="A506" s="1011"/>
      <c r="B506" s="1013"/>
      <c r="C506" s="1125"/>
      <c r="D506" s="1122"/>
      <c r="E506" s="1011"/>
      <c r="F506" s="1011"/>
      <c r="G506" s="1035"/>
      <c r="H506" s="1035"/>
      <c r="I506" s="1010"/>
      <c r="J506" s="1011"/>
      <c r="K506" s="1032"/>
      <c r="L506" s="1033"/>
      <c r="M506" s="1035"/>
      <c r="N506" s="1033"/>
      <c r="O506" s="1012"/>
      <c r="P506" s="1040" t="s">
        <v>417</v>
      </c>
    </row>
    <row r="507" spans="1:16" ht="46.5" outlineLevel="1">
      <c r="A507" s="1031">
        <v>165</v>
      </c>
      <c r="B507" s="1013">
        <f t="shared" si="30"/>
        <v>165</v>
      </c>
      <c r="C507" s="1125" t="str">
        <f t="shared" si="31"/>
        <v>IVF165</v>
      </c>
      <c r="D507" s="1009" t="s">
        <v>219</v>
      </c>
      <c r="E507" s="1031">
        <v>1</v>
      </c>
      <c r="F507" s="1030" t="s">
        <v>62</v>
      </c>
      <c r="G507" s="1032">
        <v>7550</v>
      </c>
      <c r="H507" s="1033">
        <f>ROUND(E507*G507,0)</f>
        <v>7550</v>
      </c>
      <c r="I507" s="1034">
        <v>0.72</v>
      </c>
      <c r="J507" s="1031" t="str">
        <f>F507</f>
        <v>Sqm</v>
      </c>
      <c r="K507" s="1033">
        <f>G507</f>
        <v>7550</v>
      </c>
      <c r="L507" s="1033">
        <f>ROUND(I507*K507,0)</f>
        <v>5436</v>
      </c>
      <c r="M507" s="1035">
        <f>IF(L507&gt;H507,L507-H507,0)</f>
        <v>0</v>
      </c>
      <c r="N507" s="1033">
        <f>IF(H507&gt;L507,H507-L507,0)</f>
        <v>2114</v>
      </c>
      <c r="O507" s="1012" t="s">
        <v>2440</v>
      </c>
      <c r="P507" s="1040" t="s">
        <v>417</v>
      </c>
    </row>
    <row r="508" spans="1:16" outlineLevel="1">
      <c r="A508" s="1011"/>
      <c r="B508" s="1013"/>
      <c r="C508" s="1125"/>
      <c r="D508" s="1122" t="s">
        <v>2504</v>
      </c>
      <c r="E508" s="1011"/>
      <c r="F508" s="1011"/>
      <c r="G508" s="1035"/>
      <c r="H508" s="1035"/>
      <c r="I508" s="1010"/>
      <c r="J508" s="1011"/>
      <c r="K508" s="1035"/>
      <c r="L508" s="1035"/>
      <c r="M508" s="1035"/>
      <c r="N508" s="1035"/>
      <c r="O508" s="1012"/>
      <c r="P508" s="1040" t="s">
        <v>417</v>
      </c>
    </row>
    <row r="509" spans="1:16" outlineLevel="1">
      <c r="A509" s="1011"/>
      <c r="B509" s="1013"/>
      <c r="C509" s="1125"/>
      <c r="D509" s="1122"/>
      <c r="E509" s="1011"/>
      <c r="F509" s="1011"/>
      <c r="G509" s="1035"/>
      <c r="H509" s="1035"/>
      <c r="I509" s="1010"/>
      <c r="J509" s="1011"/>
      <c r="K509" s="1035"/>
      <c r="L509" s="1035"/>
      <c r="M509" s="1035"/>
      <c r="N509" s="1035"/>
      <c r="O509" s="1214"/>
      <c r="P509" s="1040" t="s">
        <v>417</v>
      </c>
    </row>
    <row r="510" spans="1:16" ht="46.5" outlineLevel="1">
      <c r="A510" s="1031">
        <v>166</v>
      </c>
      <c r="B510" s="1013">
        <f t="shared" si="30"/>
        <v>166</v>
      </c>
      <c r="C510" s="1125" t="str">
        <f t="shared" si="31"/>
        <v>IVF166</v>
      </c>
      <c r="D510" s="1009" t="s">
        <v>286</v>
      </c>
      <c r="E510" s="1031">
        <v>2</v>
      </c>
      <c r="F510" s="1030" t="s">
        <v>66</v>
      </c>
      <c r="G510" s="1032">
        <v>10500</v>
      </c>
      <c r="H510" s="1033">
        <f>ROUND(E510*G510,0)</f>
        <v>21000</v>
      </c>
      <c r="I510" s="1034">
        <v>2</v>
      </c>
      <c r="J510" s="1031" t="str">
        <f>F510</f>
        <v>No</v>
      </c>
      <c r="K510" s="1033">
        <f>G510</f>
        <v>10500</v>
      </c>
      <c r="L510" s="1033">
        <f>ROUND(I510*K510,0)</f>
        <v>21000</v>
      </c>
      <c r="M510" s="1035">
        <f>IF(L510&gt;H510,L510-H510,0)</f>
        <v>0</v>
      </c>
      <c r="N510" s="1033">
        <f>IF(H510&gt;L510,H510-L510,0)</f>
        <v>0</v>
      </c>
      <c r="O510" s="1236" t="s">
        <v>2358</v>
      </c>
      <c r="P510" s="1040" t="s">
        <v>417</v>
      </c>
    </row>
    <row r="511" spans="1:16" outlineLevel="1">
      <c r="A511" s="1011"/>
      <c r="B511" s="1013" t="str">
        <f t="shared" si="30"/>
        <v/>
      </c>
      <c r="C511" s="1125"/>
      <c r="D511" s="1039" t="s">
        <v>294</v>
      </c>
      <c r="E511" s="1011"/>
      <c r="F511" s="1011"/>
      <c r="G511" s="1035"/>
      <c r="H511" s="1035"/>
      <c r="I511" s="1010">
        <v>1</v>
      </c>
      <c r="J511" s="1011" t="s">
        <v>66</v>
      </c>
      <c r="K511" s="1032">
        <v>10500</v>
      </c>
      <c r="L511" s="1033">
        <f>ROUND(I511*K511,0)</f>
        <v>10500</v>
      </c>
      <c r="M511" s="1035">
        <f>IF(L511&gt;H511,L511-H511,0)</f>
        <v>10500</v>
      </c>
      <c r="N511" s="1033">
        <f>IF(H511&gt;L511,H511-L511,0)</f>
        <v>0</v>
      </c>
      <c r="O511" s="1237"/>
      <c r="P511" s="1040" t="s">
        <v>417</v>
      </c>
    </row>
    <row r="512" spans="1:16" outlineLevel="1">
      <c r="A512" s="1011"/>
      <c r="B512" s="1013" t="str">
        <f t="shared" si="30"/>
        <v/>
      </c>
      <c r="C512" s="1125"/>
      <c r="D512" s="1122" t="s">
        <v>2491</v>
      </c>
      <c r="E512" s="1011"/>
      <c r="F512" s="1011"/>
      <c r="G512" s="1035"/>
      <c r="H512" s="1035"/>
      <c r="I512" s="1010"/>
      <c r="J512" s="1011"/>
      <c r="K512" s="1032"/>
      <c r="L512" s="1033"/>
      <c r="M512" s="1035"/>
      <c r="N512" s="1033"/>
      <c r="O512" s="1012"/>
      <c r="P512" s="1040" t="s">
        <v>417</v>
      </c>
    </row>
    <row r="513" spans="1:16" outlineLevel="1">
      <c r="A513" s="1011"/>
      <c r="B513" s="1013"/>
      <c r="C513" s="1125"/>
      <c r="D513" s="1122"/>
      <c r="E513" s="1011"/>
      <c r="F513" s="1011"/>
      <c r="G513" s="1035"/>
      <c r="H513" s="1035"/>
      <c r="I513" s="1010"/>
      <c r="J513" s="1011"/>
      <c r="K513" s="1032"/>
      <c r="L513" s="1033"/>
      <c r="M513" s="1035"/>
      <c r="N513" s="1033"/>
      <c r="O513" s="1012"/>
      <c r="P513" s="1040" t="s">
        <v>417</v>
      </c>
    </row>
    <row r="514" spans="1:16" ht="46.5" outlineLevel="1">
      <c r="A514" s="1031">
        <v>167</v>
      </c>
      <c r="B514" s="1013">
        <f t="shared" si="30"/>
        <v>167</v>
      </c>
      <c r="C514" s="1125" t="str">
        <f t="shared" si="31"/>
        <v>IVF167</v>
      </c>
      <c r="D514" s="1009" t="s">
        <v>220</v>
      </c>
      <c r="E514" s="1031">
        <v>2</v>
      </c>
      <c r="F514" s="1030" t="s">
        <v>66</v>
      </c>
      <c r="G514" s="1032">
        <v>12900</v>
      </c>
      <c r="H514" s="1033">
        <f>ROUND(E514*G514,0)</f>
        <v>25800</v>
      </c>
      <c r="I514" s="1034">
        <v>2</v>
      </c>
      <c r="J514" s="1031" t="str">
        <f>F514</f>
        <v>No</v>
      </c>
      <c r="K514" s="1033">
        <f>G514</f>
        <v>12900</v>
      </c>
      <c r="L514" s="1033">
        <f>ROUND(I514*K514,0)</f>
        <v>25800</v>
      </c>
      <c r="M514" s="1035">
        <f>IF(L514&gt;H514,L514-H514,0)</f>
        <v>0</v>
      </c>
      <c r="N514" s="1033">
        <f>IF(H514&gt;L514,H514-L514,0)</f>
        <v>0</v>
      </c>
      <c r="O514" s="1012" t="s">
        <v>2353</v>
      </c>
      <c r="P514" s="1040" t="s">
        <v>417</v>
      </c>
    </row>
    <row r="515" spans="1:16" outlineLevel="1">
      <c r="A515" s="1011"/>
      <c r="B515" s="1013" t="str">
        <f t="shared" si="30"/>
        <v/>
      </c>
      <c r="C515" s="1125"/>
      <c r="D515" s="1122" t="s">
        <v>2491</v>
      </c>
      <c r="E515" s="1011"/>
      <c r="F515" s="1011"/>
      <c r="G515" s="1035"/>
      <c r="H515" s="1035"/>
      <c r="I515" s="1010"/>
      <c r="J515" s="1011"/>
      <c r="K515" s="1035"/>
      <c r="L515" s="1035"/>
      <c r="M515" s="1035"/>
      <c r="N515" s="1035"/>
      <c r="O515" s="1012"/>
      <c r="P515" s="1040" t="s">
        <v>417</v>
      </c>
    </row>
    <row r="516" spans="1:16" outlineLevel="1">
      <c r="A516" s="1011"/>
      <c r="B516" s="1013"/>
      <c r="C516" s="1125"/>
      <c r="D516" s="1122"/>
      <c r="E516" s="1011"/>
      <c r="F516" s="1011"/>
      <c r="G516" s="1035"/>
      <c r="H516" s="1035"/>
      <c r="I516" s="1010"/>
      <c r="J516" s="1011"/>
      <c r="K516" s="1035"/>
      <c r="L516" s="1035"/>
      <c r="M516" s="1035"/>
      <c r="N516" s="1035"/>
      <c r="O516" s="1012"/>
      <c r="P516" s="1040" t="s">
        <v>417</v>
      </c>
    </row>
    <row r="517" spans="1:16" ht="46.5" outlineLevel="1">
      <c r="A517" s="1031">
        <v>168</v>
      </c>
      <c r="B517" s="1013">
        <f t="shared" si="30"/>
        <v>168</v>
      </c>
      <c r="C517" s="1125" t="str">
        <f t="shared" si="31"/>
        <v>IVF168</v>
      </c>
      <c r="D517" s="1009" t="s">
        <v>221</v>
      </c>
      <c r="E517" s="1031">
        <v>1</v>
      </c>
      <c r="F517" s="1030" t="s">
        <v>62</v>
      </c>
      <c r="G517" s="1032">
        <v>10300</v>
      </c>
      <c r="H517" s="1033">
        <f>ROUND(E517*G517,0)</f>
        <v>10300</v>
      </c>
      <c r="I517" s="1034">
        <v>0.12</v>
      </c>
      <c r="J517" s="1031" t="str">
        <f>F517</f>
        <v>Sqm</v>
      </c>
      <c r="K517" s="1033">
        <f>G517</f>
        <v>10300</v>
      </c>
      <c r="L517" s="1033">
        <f>ROUND(I517*K517,0)</f>
        <v>1236</v>
      </c>
      <c r="M517" s="1035">
        <f>IF(L517&gt;H517,L517-H517,0)</f>
        <v>0</v>
      </c>
      <c r="N517" s="1033">
        <f>IF(H517&gt;L517,H517-L517,0)</f>
        <v>9064</v>
      </c>
      <c r="O517" s="1012" t="s">
        <v>2440</v>
      </c>
      <c r="P517" s="1040" t="s">
        <v>417</v>
      </c>
    </row>
    <row r="518" spans="1:16" outlineLevel="1">
      <c r="A518" s="1011"/>
      <c r="B518" s="1013" t="str">
        <f t="shared" si="30"/>
        <v/>
      </c>
      <c r="C518" s="1125"/>
      <c r="D518" s="1122" t="s">
        <v>2506</v>
      </c>
      <c r="E518" s="1011"/>
      <c r="F518" s="1011"/>
      <c r="G518" s="1035"/>
      <c r="H518" s="1035"/>
      <c r="I518" s="1010"/>
      <c r="J518" s="1011"/>
      <c r="K518" s="1035"/>
      <c r="L518" s="1035"/>
      <c r="M518" s="1035"/>
      <c r="N518" s="1035"/>
      <c r="O518" s="1012"/>
      <c r="P518" s="1040" t="s">
        <v>417</v>
      </c>
    </row>
    <row r="519" spans="1:16" outlineLevel="1">
      <c r="A519" s="1011"/>
      <c r="B519" s="1013"/>
      <c r="C519" s="1125"/>
      <c r="D519" s="1122"/>
      <c r="E519" s="1011"/>
      <c r="F519" s="1011"/>
      <c r="G519" s="1035"/>
      <c r="H519" s="1035"/>
      <c r="I519" s="1010"/>
      <c r="J519" s="1011"/>
      <c r="K519" s="1035"/>
      <c r="L519" s="1035"/>
      <c r="M519" s="1035"/>
      <c r="N519" s="1035"/>
      <c r="O519" s="1012"/>
      <c r="P519" s="1040" t="s">
        <v>417</v>
      </c>
    </row>
    <row r="520" spans="1:16" ht="62" outlineLevel="1">
      <c r="A520" s="1031">
        <v>169</v>
      </c>
      <c r="B520" s="1013">
        <f t="shared" si="30"/>
        <v>169</v>
      </c>
      <c r="C520" s="1125" t="str">
        <f t="shared" si="31"/>
        <v>IVF169</v>
      </c>
      <c r="D520" s="1009" t="s">
        <v>2405</v>
      </c>
      <c r="E520" s="1031">
        <v>130</v>
      </c>
      <c r="F520" s="1030" t="s">
        <v>62</v>
      </c>
      <c r="G520" s="1032">
        <v>1225</v>
      </c>
      <c r="H520" s="1033">
        <f>ROUND(E520*G520,0)</f>
        <v>159250</v>
      </c>
      <c r="I520" s="1034">
        <v>119.84</v>
      </c>
      <c r="J520" s="1031" t="str">
        <f>F520</f>
        <v>Sqm</v>
      </c>
      <c r="K520" s="1033">
        <f>G520</f>
        <v>1225</v>
      </c>
      <c r="L520" s="1033">
        <f>ROUND(I520*K520,0)</f>
        <v>146804</v>
      </c>
      <c r="M520" s="1035">
        <f>IF(L520&gt;H520,L520-H520,0)</f>
        <v>0</v>
      </c>
      <c r="N520" s="1033">
        <f>IF(H520&gt;L520,H520-L520,0)</f>
        <v>12446</v>
      </c>
      <c r="O520" s="1012" t="s">
        <v>2440</v>
      </c>
      <c r="P520" s="1040" t="s">
        <v>417</v>
      </c>
    </row>
    <row r="521" spans="1:16" outlineLevel="1">
      <c r="A521" s="1011"/>
      <c r="B521" s="1013" t="str">
        <f t="shared" si="30"/>
        <v/>
      </c>
      <c r="C521" s="1125"/>
      <c r="D521" s="1122" t="s">
        <v>2506</v>
      </c>
      <c r="E521" s="1011"/>
      <c r="F521" s="1011"/>
      <c r="G521" s="1035"/>
      <c r="H521" s="1035"/>
      <c r="I521" s="1010"/>
      <c r="J521" s="1011"/>
      <c r="K521" s="1035"/>
      <c r="L521" s="1035"/>
      <c r="M521" s="1035"/>
      <c r="N521" s="1035"/>
      <c r="O521" s="1012"/>
      <c r="P521" s="1040" t="s">
        <v>417</v>
      </c>
    </row>
    <row r="522" spans="1:16" outlineLevel="1">
      <c r="A522" s="1011"/>
      <c r="B522" s="1013"/>
      <c r="C522" s="1125"/>
      <c r="D522" s="1122"/>
      <c r="E522" s="1011"/>
      <c r="F522" s="1011"/>
      <c r="G522" s="1035"/>
      <c r="H522" s="1035"/>
      <c r="I522" s="1010"/>
      <c r="J522" s="1011"/>
      <c r="K522" s="1035"/>
      <c r="L522" s="1035"/>
      <c r="M522" s="1035"/>
      <c r="N522" s="1035"/>
      <c r="O522" s="1012"/>
      <c r="P522" s="1040" t="s">
        <v>417</v>
      </c>
    </row>
    <row r="523" spans="1:16" ht="62" outlineLevel="1">
      <c r="A523" s="1031">
        <v>170</v>
      </c>
      <c r="B523" s="1013">
        <f t="shared" si="30"/>
        <v>170</v>
      </c>
      <c r="C523" s="1125" t="str">
        <f t="shared" si="31"/>
        <v>IVF170</v>
      </c>
      <c r="D523" s="1009" t="s">
        <v>2406</v>
      </c>
      <c r="E523" s="1031">
        <v>130</v>
      </c>
      <c r="F523" s="1030" t="s">
        <v>62</v>
      </c>
      <c r="G523" s="1032">
        <v>1075</v>
      </c>
      <c r="H523" s="1033">
        <f>ROUND(E523*G523,0)</f>
        <v>139750</v>
      </c>
      <c r="I523" s="1034">
        <v>84.41</v>
      </c>
      <c r="J523" s="1031" t="str">
        <f>F523</f>
        <v>Sqm</v>
      </c>
      <c r="K523" s="1033">
        <f>G523</f>
        <v>1075</v>
      </c>
      <c r="L523" s="1033">
        <f>ROUND(I523*K523,0)</f>
        <v>90741</v>
      </c>
      <c r="M523" s="1035">
        <f>IF(L523&gt;H523,L523-H523,0)</f>
        <v>0</v>
      </c>
      <c r="N523" s="1033">
        <f>IF(H523&gt;L523,H523-L523,0)</f>
        <v>49009</v>
      </c>
      <c r="O523" s="1012" t="s">
        <v>2440</v>
      </c>
      <c r="P523" s="1040" t="s">
        <v>417</v>
      </c>
    </row>
    <row r="524" spans="1:16" outlineLevel="1">
      <c r="A524" s="1011"/>
      <c r="B524" s="1013" t="str">
        <f t="shared" si="30"/>
        <v/>
      </c>
      <c r="C524" s="1125"/>
      <c r="D524" s="1122" t="s">
        <v>2507</v>
      </c>
      <c r="E524" s="1011"/>
      <c r="F524" s="1011"/>
      <c r="G524" s="1035"/>
      <c r="H524" s="1035"/>
      <c r="I524" s="1010"/>
      <c r="J524" s="1011"/>
      <c r="K524" s="1035"/>
      <c r="L524" s="1035"/>
      <c r="M524" s="1035"/>
      <c r="N524" s="1035"/>
      <c r="O524" s="1012"/>
      <c r="P524" s="1040" t="s">
        <v>417</v>
      </c>
    </row>
    <row r="525" spans="1:16" outlineLevel="1">
      <c r="A525" s="1011"/>
      <c r="B525" s="1013"/>
      <c r="C525" s="1125"/>
      <c r="D525" s="1122"/>
      <c r="E525" s="1011"/>
      <c r="F525" s="1011"/>
      <c r="G525" s="1035"/>
      <c r="H525" s="1035"/>
      <c r="I525" s="1010"/>
      <c r="J525" s="1011"/>
      <c r="K525" s="1035"/>
      <c r="L525" s="1035"/>
      <c r="M525" s="1035"/>
      <c r="N525" s="1035"/>
      <c r="O525" s="1214"/>
      <c r="P525" s="1040" t="s">
        <v>417</v>
      </c>
    </row>
    <row r="526" spans="1:16" ht="62" outlineLevel="1">
      <c r="A526" s="1031">
        <v>171</v>
      </c>
      <c r="B526" s="1013">
        <f t="shared" si="30"/>
        <v>171</v>
      </c>
      <c r="C526" s="1125" t="str">
        <f t="shared" si="31"/>
        <v>IVF171</v>
      </c>
      <c r="D526" s="1009" t="s">
        <v>2407</v>
      </c>
      <c r="E526" s="1031">
        <v>40</v>
      </c>
      <c r="F526" s="1030" t="s">
        <v>62</v>
      </c>
      <c r="G526" s="1032">
        <v>785</v>
      </c>
      <c r="H526" s="1033">
        <f>ROUND(E526*G526,0)</f>
        <v>31400</v>
      </c>
      <c r="I526" s="1034">
        <v>40</v>
      </c>
      <c r="J526" s="1031" t="str">
        <f>F526</f>
        <v>Sqm</v>
      </c>
      <c r="K526" s="1033">
        <f>G526</f>
        <v>785</v>
      </c>
      <c r="L526" s="1033">
        <f>ROUND(I526*K526,0)</f>
        <v>31400</v>
      </c>
      <c r="M526" s="1035">
        <f>IF(L526&gt;H526,L526-H526,0)</f>
        <v>0</v>
      </c>
      <c r="N526" s="1033">
        <f>IF(H526&gt;L526,H526-L526,0)</f>
        <v>0</v>
      </c>
      <c r="O526" s="1236" t="s">
        <v>2358</v>
      </c>
      <c r="P526" s="1040" t="s">
        <v>417</v>
      </c>
    </row>
    <row r="527" spans="1:16" outlineLevel="1">
      <c r="A527" s="1011"/>
      <c r="B527" s="1013" t="str">
        <f t="shared" si="30"/>
        <v/>
      </c>
      <c r="C527" s="1125"/>
      <c r="D527" s="1039" t="s">
        <v>294</v>
      </c>
      <c r="E527" s="1011"/>
      <c r="F527" s="1011"/>
      <c r="G527" s="1035"/>
      <c r="H527" s="1035"/>
      <c r="I527" s="1010">
        <v>35.04</v>
      </c>
      <c r="J527" s="1011" t="s">
        <v>62</v>
      </c>
      <c r="K527" s="1032">
        <v>785</v>
      </c>
      <c r="L527" s="1033">
        <f>ROUND(I527*K527,0)</f>
        <v>27506</v>
      </c>
      <c r="M527" s="1035">
        <f>IF(L527&gt;H527,L527-H527,0)</f>
        <v>27506</v>
      </c>
      <c r="N527" s="1033">
        <f>IF(H527&gt;L527,H527-L527,0)</f>
        <v>0</v>
      </c>
      <c r="O527" s="1237"/>
      <c r="P527" s="1040" t="s">
        <v>417</v>
      </c>
    </row>
    <row r="528" spans="1:16" outlineLevel="1">
      <c r="A528" s="1011"/>
      <c r="B528" s="1013" t="str">
        <f t="shared" si="30"/>
        <v/>
      </c>
      <c r="C528" s="1125"/>
      <c r="D528" s="1122" t="s">
        <v>2507</v>
      </c>
      <c r="E528" s="1011"/>
      <c r="F528" s="1011"/>
      <c r="G528" s="1035"/>
      <c r="H528" s="1035"/>
      <c r="I528" s="1010"/>
      <c r="J528" s="1011"/>
      <c r="K528" s="1032"/>
      <c r="L528" s="1033"/>
      <c r="M528" s="1035"/>
      <c r="N528" s="1033"/>
      <c r="O528" s="1012"/>
      <c r="P528" s="1040" t="s">
        <v>417</v>
      </c>
    </row>
    <row r="529" spans="1:16" outlineLevel="1">
      <c r="A529" s="1011"/>
      <c r="B529" s="1013"/>
      <c r="C529" s="1125"/>
      <c r="D529" s="1122"/>
      <c r="E529" s="1011"/>
      <c r="F529" s="1011"/>
      <c r="G529" s="1035"/>
      <c r="H529" s="1035"/>
      <c r="I529" s="1010"/>
      <c r="J529" s="1011"/>
      <c r="K529" s="1032"/>
      <c r="L529" s="1033"/>
      <c r="M529" s="1035"/>
      <c r="N529" s="1033"/>
      <c r="O529" s="1012"/>
      <c r="P529" s="1040" t="s">
        <v>417</v>
      </c>
    </row>
    <row r="530" spans="1:16" ht="62" outlineLevel="1">
      <c r="A530" s="1031">
        <v>172</v>
      </c>
      <c r="B530" s="1013">
        <f t="shared" si="30"/>
        <v>172</v>
      </c>
      <c r="C530" s="1125" t="str">
        <f t="shared" si="31"/>
        <v>IVF172</v>
      </c>
      <c r="D530" s="1009" t="s">
        <v>2408</v>
      </c>
      <c r="E530" s="1031">
        <v>40</v>
      </c>
      <c r="F530" s="1030" t="s">
        <v>62</v>
      </c>
      <c r="G530" s="1032">
        <v>660</v>
      </c>
      <c r="H530" s="1033">
        <f>ROUND(E530*G530,0)</f>
        <v>26400</v>
      </c>
      <c r="I530" s="1034">
        <v>19.239999999999998</v>
      </c>
      <c r="J530" s="1031" t="str">
        <f>F530</f>
        <v>Sqm</v>
      </c>
      <c r="K530" s="1033">
        <f>G530</f>
        <v>660</v>
      </c>
      <c r="L530" s="1033">
        <f>ROUND(I530*K530,0)</f>
        <v>12698</v>
      </c>
      <c r="M530" s="1035">
        <f>IF(L530&gt;H530,L530-H530,0)</f>
        <v>0</v>
      </c>
      <c r="N530" s="1033">
        <f>IF(H530&gt;L530,H530-L530,0)</f>
        <v>13702</v>
      </c>
      <c r="O530" s="1012" t="s">
        <v>2440</v>
      </c>
      <c r="P530" s="1040" t="s">
        <v>417</v>
      </c>
    </row>
    <row r="531" spans="1:16" outlineLevel="1">
      <c r="A531" s="1011"/>
      <c r="B531" s="1013" t="str">
        <f t="shared" si="30"/>
        <v/>
      </c>
      <c r="C531" s="1125"/>
      <c r="D531" s="1122" t="s">
        <v>2508</v>
      </c>
      <c r="E531" s="1011"/>
      <c r="F531" s="1011"/>
      <c r="G531" s="1035"/>
      <c r="H531" s="1035"/>
      <c r="I531" s="1010"/>
      <c r="J531" s="1011"/>
      <c r="K531" s="1035"/>
      <c r="L531" s="1035"/>
      <c r="M531" s="1035"/>
      <c r="N531" s="1035"/>
      <c r="O531" s="1012"/>
      <c r="P531" s="1040" t="s">
        <v>417</v>
      </c>
    </row>
    <row r="532" spans="1:16" outlineLevel="1">
      <c r="A532" s="1011"/>
      <c r="B532" s="1013"/>
      <c r="C532" s="1125"/>
      <c r="D532" s="1122"/>
      <c r="E532" s="1011"/>
      <c r="F532" s="1011"/>
      <c r="G532" s="1035"/>
      <c r="H532" s="1035"/>
      <c r="I532" s="1010"/>
      <c r="J532" s="1011"/>
      <c r="K532" s="1035"/>
      <c r="L532" s="1035"/>
      <c r="M532" s="1035"/>
      <c r="N532" s="1035"/>
      <c r="O532" s="1012"/>
      <c r="P532" s="1040" t="s">
        <v>417</v>
      </c>
    </row>
    <row r="533" spans="1:16" ht="303.5" customHeight="1" outlineLevel="1">
      <c r="A533" s="1031">
        <v>173</v>
      </c>
      <c r="B533" s="1013">
        <f t="shared" si="30"/>
        <v>173</v>
      </c>
      <c r="C533" s="1125" t="str">
        <f t="shared" si="31"/>
        <v>IVF173</v>
      </c>
      <c r="D533" s="1009" t="s">
        <v>2346</v>
      </c>
      <c r="E533" s="1031">
        <v>1</v>
      </c>
      <c r="F533" s="1030" t="s">
        <v>222</v>
      </c>
      <c r="G533" s="1032">
        <v>325000</v>
      </c>
      <c r="H533" s="1033">
        <f>ROUND(E533*G533,0)</f>
        <v>325000</v>
      </c>
      <c r="I533" s="1034">
        <v>1</v>
      </c>
      <c r="J533" s="1031" t="str">
        <f>F533</f>
        <v>Set</v>
      </c>
      <c r="K533" s="1033">
        <f>G533</f>
        <v>325000</v>
      </c>
      <c r="L533" s="1033">
        <f>ROUND(I533*K533,0)</f>
        <v>325000</v>
      </c>
      <c r="M533" s="1035">
        <f>IF(L533&gt;H533,L533-H533,0)</f>
        <v>0</v>
      </c>
      <c r="N533" s="1033">
        <f>IF(H533&gt;L533,H533-L533,0)</f>
        <v>0</v>
      </c>
      <c r="O533" s="1012" t="s">
        <v>2353</v>
      </c>
      <c r="P533" s="1040" t="s">
        <v>417</v>
      </c>
    </row>
    <row r="534" spans="1:16" outlineLevel="1">
      <c r="A534" s="1011"/>
      <c r="B534" s="1013" t="str">
        <f t="shared" si="30"/>
        <v/>
      </c>
      <c r="C534" s="1125"/>
      <c r="D534" s="1122" t="s">
        <v>2487</v>
      </c>
      <c r="E534" s="1011"/>
      <c r="F534" s="1011"/>
      <c r="G534" s="1035"/>
      <c r="H534" s="1035"/>
      <c r="I534" s="1010"/>
      <c r="J534" s="1011"/>
      <c r="K534" s="1035"/>
      <c r="L534" s="1035"/>
      <c r="M534" s="1035"/>
      <c r="N534" s="1035"/>
      <c r="O534" s="1012"/>
      <c r="P534" s="1040" t="s">
        <v>417</v>
      </c>
    </row>
    <row r="535" spans="1:16" outlineLevel="1">
      <c r="A535" s="1011"/>
      <c r="B535" s="1013"/>
      <c r="C535" s="1125"/>
      <c r="D535" s="1122"/>
      <c r="E535" s="1011"/>
      <c r="F535" s="1011"/>
      <c r="G535" s="1035"/>
      <c r="H535" s="1035"/>
      <c r="I535" s="1010"/>
      <c r="J535" s="1011"/>
      <c r="K535" s="1035"/>
      <c r="L535" s="1035"/>
      <c r="M535" s="1035"/>
      <c r="N535" s="1035"/>
      <c r="O535" s="1012"/>
      <c r="P535" s="1040" t="s">
        <v>417</v>
      </c>
    </row>
    <row r="536" spans="1:16" ht="155" outlineLevel="1">
      <c r="A536" s="1031">
        <v>174</v>
      </c>
      <c r="B536" s="1013">
        <f t="shared" si="30"/>
        <v>174</v>
      </c>
      <c r="C536" s="1125" t="str">
        <f t="shared" si="31"/>
        <v>IVF174</v>
      </c>
      <c r="D536" s="1009" t="s">
        <v>223</v>
      </c>
      <c r="E536" s="1031">
        <v>2</v>
      </c>
      <c r="F536" s="1030" t="s">
        <v>66</v>
      </c>
      <c r="G536" s="1032">
        <v>30700</v>
      </c>
      <c r="H536" s="1033">
        <f>ROUND(E536*G536,0)</f>
        <v>61400</v>
      </c>
      <c r="I536" s="1034">
        <v>1</v>
      </c>
      <c r="J536" s="1031" t="str">
        <f>F536</f>
        <v>No</v>
      </c>
      <c r="K536" s="1033">
        <f>G536</f>
        <v>30700</v>
      </c>
      <c r="L536" s="1033">
        <f>ROUND(I536*K536,0)</f>
        <v>30700</v>
      </c>
      <c r="M536" s="1035">
        <f>IF(L536&gt;H536,L536-H536,0)</f>
        <v>0</v>
      </c>
      <c r="N536" s="1033">
        <f>IF(H536&gt;L536,H536-L536,0)</f>
        <v>30700</v>
      </c>
      <c r="O536" s="1012" t="s">
        <v>2440</v>
      </c>
      <c r="P536" s="1040" t="s">
        <v>417</v>
      </c>
    </row>
    <row r="537" spans="1:16" outlineLevel="1">
      <c r="A537" s="1031"/>
      <c r="B537" s="1013"/>
      <c r="C537" s="1125"/>
      <c r="D537" s="1122" t="s">
        <v>2487</v>
      </c>
      <c r="E537" s="1031"/>
      <c r="F537" s="1030"/>
      <c r="G537" s="1032"/>
      <c r="H537" s="1033"/>
      <c r="I537" s="1034"/>
      <c r="J537" s="1031"/>
      <c r="K537" s="1033"/>
      <c r="L537" s="1033"/>
      <c r="M537" s="1035"/>
      <c r="N537" s="1033"/>
      <c r="O537" s="1012"/>
      <c r="P537" s="1040" t="s">
        <v>417</v>
      </c>
    </row>
    <row r="538" spans="1:16" outlineLevel="1">
      <c r="A538" s="1011"/>
      <c r="B538" s="1013" t="str">
        <f t="shared" si="30"/>
        <v/>
      </c>
      <c r="C538" s="1125"/>
      <c r="D538" s="1009"/>
      <c r="E538" s="1011"/>
      <c r="F538" s="1011"/>
      <c r="G538" s="1035"/>
      <c r="H538" s="1035"/>
      <c r="I538" s="1010"/>
      <c r="J538" s="1011"/>
      <c r="K538" s="1035"/>
      <c r="L538" s="1035"/>
      <c r="M538" s="1035"/>
      <c r="N538" s="1035"/>
      <c r="O538" s="1012"/>
      <c r="P538" s="1040" t="s">
        <v>417</v>
      </c>
    </row>
    <row r="539" spans="1:16" ht="155" outlineLevel="1">
      <c r="A539" s="1031">
        <v>175</v>
      </c>
      <c r="B539" s="1013">
        <f t="shared" si="30"/>
        <v>175</v>
      </c>
      <c r="C539" s="1125" t="str">
        <f t="shared" si="31"/>
        <v>IVF175</v>
      </c>
      <c r="D539" s="1009" t="s">
        <v>224</v>
      </c>
      <c r="E539" s="1031">
        <v>4</v>
      </c>
      <c r="F539" s="1030" t="s">
        <v>66</v>
      </c>
      <c r="G539" s="1032">
        <v>30700</v>
      </c>
      <c r="H539" s="1033">
        <f>ROUND(E539*G539,0)</f>
        <v>122800</v>
      </c>
      <c r="I539" s="1034">
        <v>4</v>
      </c>
      <c r="J539" s="1031" t="str">
        <f>F539</f>
        <v>No</v>
      </c>
      <c r="K539" s="1033">
        <f>G539</f>
        <v>30700</v>
      </c>
      <c r="L539" s="1033">
        <f>ROUND(I539*K539,0)</f>
        <v>122800</v>
      </c>
      <c r="M539" s="1035">
        <f>IF(L539&gt;H539,L539-H539,0)</f>
        <v>0</v>
      </c>
      <c r="N539" s="1033">
        <f>IF(H539&gt;L539,H539-L539,0)</f>
        <v>0</v>
      </c>
      <c r="O539" s="1012" t="s">
        <v>2353</v>
      </c>
      <c r="P539" s="1040" t="s">
        <v>417</v>
      </c>
    </row>
    <row r="540" spans="1:16" outlineLevel="1">
      <c r="A540" s="1031"/>
      <c r="B540" s="1013"/>
      <c r="C540" s="1125"/>
      <c r="D540" s="1122" t="s">
        <v>2488</v>
      </c>
      <c r="E540" s="1031"/>
      <c r="F540" s="1030"/>
      <c r="G540" s="1032"/>
      <c r="H540" s="1033"/>
      <c r="I540" s="1034"/>
      <c r="J540" s="1031"/>
      <c r="K540" s="1033"/>
      <c r="L540" s="1033"/>
      <c r="M540" s="1035"/>
      <c r="N540" s="1033"/>
      <c r="O540" s="1012"/>
      <c r="P540" s="1040" t="s">
        <v>417</v>
      </c>
    </row>
    <row r="541" spans="1:16" outlineLevel="1">
      <c r="A541" s="1011"/>
      <c r="B541" s="1013" t="str">
        <f t="shared" si="30"/>
        <v/>
      </c>
      <c r="C541" s="1125"/>
      <c r="D541" s="1009"/>
      <c r="E541" s="1011"/>
      <c r="F541" s="1011"/>
      <c r="G541" s="1035"/>
      <c r="H541" s="1035"/>
      <c r="I541" s="1010"/>
      <c r="J541" s="1011"/>
      <c r="K541" s="1035"/>
      <c r="L541" s="1035"/>
      <c r="M541" s="1035"/>
      <c r="N541" s="1035"/>
      <c r="O541" s="1012"/>
      <c r="P541" s="1040" t="s">
        <v>417</v>
      </c>
    </row>
    <row r="542" spans="1:16" ht="155" outlineLevel="1">
      <c r="A542" s="1031">
        <v>176</v>
      </c>
      <c r="B542" s="1013">
        <f t="shared" si="30"/>
        <v>176</v>
      </c>
      <c r="C542" s="1125" t="str">
        <f t="shared" si="31"/>
        <v>IVF176</v>
      </c>
      <c r="D542" s="1009" t="s">
        <v>2409</v>
      </c>
      <c r="E542" s="1031">
        <v>4</v>
      </c>
      <c r="F542" s="1030" t="s">
        <v>66</v>
      </c>
      <c r="G542" s="1032">
        <v>35000</v>
      </c>
      <c r="H542" s="1033">
        <f>ROUND(E542*G542,0)</f>
        <v>140000</v>
      </c>
      <c r="I542" s="1034">
        <v>4</v>
      </c>
      <c r="J542" s="1031" t="str">
        <f>F542</f>
        <v>No</v>
      </c>
      <c r="K542" s="1033">
        <f>G542</f>
        <v>35000</v>
      </c>
      <c r="L542" s="1033">
        <f>ROUND(I542*K542,0)</f>
        <v>140000</v>
      </c>
      <c r="M542" s="1035">
        <f>IF(L542&gt;H542,L542-H542,0)</f>
        <v>0</v>
      </c>
      <c r="N542" s="1033">
        <f>IF(H542&gt;L542,H542-L542,0)</f>
        <v>0</v>
      </c>
      <c r="O542" s="1236" t="s">
        <v>2358</v>
      </c>
      <c r="P542" s="1040" t="s">
        <v>417</v>
      </c>
    </row>
    <row r="543" spans="1:16" outlineLevel="1">
      <c r="A543" s="1011"/>
      <c r="B543" s="1013" t="str">
        <f t="shared" si="30"/>
        <v/>
      </c>
      <c r="C543" s="1125"/>
      <c r="D543" s="1039" t="s">
        <v>294</v>
      </c>
      <c r="E543" s="1011"/>
      <c r="F543" s="1011"/>
      <c r="G543" s="1035"/>
      <c r="H543" s="1035"/>
      <c r="I543" s="1010">
        <v>1</v>
      </c>
      <c r="J543" s="1011" t="s">
        <v>66</v>
      </c>
      <c r="K543" s="1032">
        <v>35000</v>
      </c>
      <c r="L543" s="1033">
        <f>ROUND(I543*K543,0)</f>
        <v>35000</v>
      </c>
      <c r="M543" s="1035">
        <f>IF(L543&gt;H543,L543-H543,0)</f>
        <v>35000</v>
      </c>
      <c r="N543" s="1033">
        <f>IF(H543&gt;L543,H543-L543,0)</f>
        <v>0</v>
      </c>
      <c r="O543" s="1237"/>
      <c r="P543" s="1040" t="s">
        <v>417</v>
      </c>
    </row>
    <row r="544" spans="1:16" outlineLevel="1">
      <c r="A544" s="1011"/>
      <c r="B544" s="1013"/>
      <c r="C544" s="1125"/>
      <c r="D544" s="1122" t="s">
        <v>2488</v>
      </c>
      <c r="E544" s="1011"/>
      <c r="F544" s="1011"/>
      <c r="G544" s="1035"/>
      <c r="H544" s="1035"/>
      <c r="I544" s="1010"/>
      <c r="J544" s="1011"/>
      <c r="K544" s="1032"/>
      <c r="L544" s="1033"/>
      <c r="M544" s="1035"/>
      <c r="N544" s="1033"/>
      <c r="O544" s="1215"/>
      <c r="P544" s="1040" t="s">
        <v>417</v>
      </c>
    </row>
    <row r="545" spans="1:16" outlineLevel="1">
      <c r="A545" s="1011"/>
      <c r="B545" s="1013" t="str">
        <f t="shared" si="30"/>
        <v/>
      </c>
      <c r="C545" s="1125"/>
      <c r="D545" s="1039"/>
      <c r="E545" s="1011"/>
      <c r="F545" s="1011"/>
      <c r="G545" s="1035"/>
      <c r="H545" s="1035"/>
      <c r="I545" s="1010"/>
      <c r="J545" s="1011"/>
      <c r="K545" s="1032"/>
      <c r="L545" s="1033"/>
      <c r="M545" s="1035"/>
      <c r="N545" s="1033"/>
      <c r="O545" s="1012"/>
      <c r="P545" s="1040" t="s">
        <v>417</v>
      </c>
    </row>
    <row r="546" spans="1:16" ht="155" outlineLevel="1">
      <c r="A546" s="1031">
        <v>177</v>
      </c>
      <c r="B546" s="1013">
        <f t="shared" si="30"/>
        <v>177</v>
      </c>
      <c r="C546" s="1125" t="str">
        <f t="shared" si="31"/>
        <v>IVF177</v>
      </c>
      <c r="D546" s="1009" t="s">
        <v>2410</v>
      </c>
      <c r="E546" s="1031">
        <v>1</v>
      </c>
      <c r="F546" s="1030" t="s">
        <v>66</v>
      </c>
      <c r="G546" s="1032">
        <v>50000</v>
      </c>
      <c r="H546" s="1033">
        <f>ROUND(E546*G546,0)</f>
        <v>50000</v>
      </c>
      <c r="I546" s="1034">
        <v>1</v>
      </c>
      <c r="J546" s="1031" t="str">
        <f>F546</f>
        <v>No</v>
      </c>
      <c r="K546" s="1033">
        <f>G546</f>
        <v>50000</v>
      </c>
      <c r="L546" s="1033">
        <f>ROUND(I546*K546,0)</f>
        <v>50000</v>
      </c>
      <c r="M546" s="1035">
        <f>IF(L546&gt;H546,L546-H546,0)</f>
        <v>0</v>
      </c>
      <c r="N546" s="1033">
        <f>IF(H546&gt;L546,H546-L546,0)</f>
        <v>0</v>
      </c>
      <c r="O546" s="1012" t="s">
        <v>2440</v>
      </c>
      <c r="P546" s="1040" t="s">
        <v>417</v>
      </c>
    </row>
    <row r="547" spans="1:16" outlineLevel="1">
      <c r="A547" s="1031"/>
      <c r="B547" s="1013"/>
      <c r="C547" s="1125"/>
      <c r="D547" s="1122" t="s">
        <v>2488</v>
      </c>
      <c r="E547" s="1031"/>
      <c r="F547" s="1030"/>
      <c r="G547" s="1032"/>
      <c r="H547" s="1033"/>
      <c r="I547" s="1034"/>
      <c r="J547" s="1031"/>
      <c r="K547" s="1033"/>
      <c r="L547" s="1033"/>
      <c r="M547" s="1035"/>
      <c r="N547" s="1033"/>
      <c r="O547" s="1012"/>
      <c r="P547" s="1040" t="s">
        <v>417</v>
      </c>
    </row>
    <row r="548" spans="1:16" outlineLevel="1">
      <c r="A548" s="1011"/>
      <c r="B548" s="1013" t="str">
        <f t="shared" si="30"/>
        <v/>
      </c>
      <c r="C548" s="1125"/>
      <c r="D548" s="1009"/>
      <c r="E548" s="1011"/>
      <c r="F548" s="1011"/>
      <c r="G548" s="1035"/>
      <c r="H548" s="1035"/>
      <c r="I548" s="1010"/>
      <c r="J548" s="1011"/>
      <c r="K548" s="1035"/>
      <c r="L548" s="1035"/>
      <c r="M548" s="1035"/>
      <c r="N548" s="1035"/>
      <c r="O548" s="1012"/>
      <c r="P548" s="1040" t="s">
        <v>417</v>
      </c>
    </row>
    <row r="549" spans="1:16" ht="248" outlineLevel="1">
      <c r="A549" s="1031">
        <v>178</v>
      </c>
      <c r="B549" s="1013">
        <f t="shared" si="30"/>
        <v>178</v>
      </c>
      <c r="C549" s="1125" t="str">
        <f t="shared" si="31"/>
        <v>IVF178</v>
      </c>
      <c r="D549" s="1009" t="s">
        <v>225</v>
      </c>
      <c r="E549" s="1031">
        <v>1</v>
      </c>
      <c r="F549" s="1030" t="s">
        <v>114</v>
      </c>
      <c r="G549" s="1032">
        <v>400000</v>
      </c>
      <c r="H549" s="1033">
        <f>ROUND(E549*G549,0)</f>
        <v>400000</v>
      </c>
      <c r="I549" s="1034">
        <v>1</v>
      </c>
      <c r="J549" s="1031" t="str">
        <f>F549</f>
        <v>Lot</v>
      </c>
      <c r="K549" s="1033">
        <f>G549</f>
        <v>400000</v>
      </c>
      <c r="L549" s="1033">
        <f>ROUND(I549*K549,0)</f>
        <v>400000</v>
      </c>
      <c r="M549" s="1035">
        <f>IF(L549&gt;H549,L549-H549,0)</f>
        <v>0</v>
      </c>
      <c r="N549" s="1033">
        <f>IF(H549&gt;L549,H549-L549,0)</f>
        <v>0</v>
      </c>
      <c r="O549" s="1012" t="s">
        <v>2440</v>
      </c>
      <c r="P549" s="1040" t="s">
        <v>417</v>
      </c>
    </row>
    <row r="550" spans="1:16" outlineLevel="1">
      <c r="A550" s="1031"/>
      <c r="B550" s="1013"/>
      <c r="C550" s="1125"/>
      <c r="D550" s="1122" t="s">
        <v>2493</v>
      </c>
      <c r="E550" s="1031"/>
      <c r="F550" s="1030"/>
      <c r="G550" s="1032"/>
      <c r="H550" s="1033"/>
      <c r="I550" s="1034"/>
      <c r="J550" s="1031"/>
      <c r="K550" s="1033"/>
      <c r="L550" s="1033"/>
      <c r="M550" s="1035"/>
      <c r="N550" s="1033"/>
      <c r="O550" s="1012"/>
      <c r="P550" s="1040" t="s">
        <v>417</v>
      </c>
    </row>
    <row r="551" spans="1:16" s="1122" customFormat="1" outlineLevel="1">
      <c r="P551" s="1040" t="s">
        <v>417</v>
      </c>
    </row>
    <row r="552" spans="1:16" outlineLevel="1">
      <c r="A552" s="1011"/>
      <c r="B552" s="1013" t="str">
        <f t="shared" si="30"/>
        <v/>
      </c>
      <c r="C552" s="1125"/>
      <c r="D552" s="1009"/>
      <c r="E552" s="1011"/>
      <c r="F552" s="1011"/>
      <c r="G552" s="1035"/>
      <c r="H552" s="1035"/>
      <c r="I552" s="1010"/>
      <c r="J552" s="1011"/>
      <c r="K552" s="1035"/>
      <c r="L552" s="1035"/>
      <c r="M552" s="1035"/>
      <c r="N552" s="1035"/>
      <c r="O552" s="1012"/>
      <c r="P552" s="1040" t="s">
        <v>417</v>
      </c>
    </row>
    <row r="553" spans="1:16" ht="62" outlineLevel="1">
      <c r="A553" s="1031">
        <v>179</v>
      </c>
      <c r="B553" s="1013">
        <f t="shared" si="30"/>
        <v>179</v>
      </c>
      <c r="C553" s="1125" t="str">
        <f t="shared" si="31"/>
        <v>IVF179</v>
      </c>
      <c r="D553" s="1009" t="s">
        <v>226</v>
      </c>
      <c r="E553" s="1031">
        <v>10</v>
      </c>
      <c r="F553" s="1030" t="s">
        <v>222</v>
      </c>
      <c r="G553" s="1032">
        <v>6191</v>
      </c>
      <c r="H553" s="1033">
        <f>ROUND(E553*G553,0)</f>
        <v>61910</v>
      </c>
      <c r="I553" s="1034">
        <v>10</v>
      </c>
      <c r="J553" s="1031" t="str">
        <f>F553</f>
        <v>Set</v>
      </c>
      <c r="K553" s="1033">
        <f>G553</f>
        <v>6191</v>
      </c>
      <c r="L553" s="1033">
        <f t="shared" ref="L553:L561" si="32">ROUND(I553*K553,0)</f>
        <v>61910</v>
      </c>
      <c r="M553" s="1035">
        <f t="shared" ref="M553:M561" si="33">IF(L553&gt;H553,L553-H553,0)</f>
        <v>0</v>
      </c>
      <c r="N553" s="1033">
        <f t="shared" ref="N553:N561" si="34">IF(H553&gt;L553,H553-L553,0)</f>
        <v>0</v>
      </c>
      <c r="O553" s="1236" t="s">
        <v>2358</v>
      </c>
      <c r="P553" s="1040" t="s">
        <v>417</v>
      </c>
    </row>
    <row r="554" spans="1:16" outlineLevel="1">
      <c r="A554" s="1011"/>
      <c r="B554" s="1013" t="str">
        <f t="shared" si="30"/>
        <v/>
      </c>
      <c r="C554" s="1125"/>
      <c r="D554" s="1039" t="s">
        <v>294</v>
      </c>
      <c r="E554" s="1011"/>
      <c r="F554" s="1011"/>
      <c r="G554" s="1035"/>
      <c r="H554" s="1035"/>
      <c r="I554" s="1010">
        <v>1</v>
      </c>
      <c r="J554" s="1011" t="s">
        <v>222</v>
      </c>
      <c r="K554" s="1032">
        <v>6191</v>
      </c>
      <c r="L554" s="1033">
        <f t="shared" si="32"/>
        <v>6191</v>
      </c>
      <c r="M554" s="1035">
        <f t="shared" si="33"/>
        <v>6191</v>
      </c>
      <c r="N554" s="1033">
        <f t="shared" si="34"/>
        <v>0</v>
      </c>
      <c r="O554" s="1237"/>
      <c r="P554" s="1040" t="s">
        <v>417</v>
      </c>
    </row>
    <row r="555" spans="1:16" outlineLevel="1">
      <c r="A555" s="1011"/>
      <c r="B555" s="1013"/>
      <c r="C555" s="1125"/>
      <c r="D555" s="1122" t="s">
        <v>2493</v>
      </c>
      <c r="E555" s="1011"/>
      <c r="F555" s="1011"/>
      <c r="G555" s="1035"/>
      <c r="H555" s="1035"/>
      <c r="I555" s="1010"/>
      <c r="J555" s="1011"/>
      <c r="K555" s="1032"/>
      <c r="L555" s="1033"/>
      <c r="M555" s="1035"/>
      <c r="N555" s="1033"/>
      <c r="O555" s="1215"/>
      <c r="P555" s="1040" t="s">
        <v>417</v>
      </c>
    </row>
    <row r="556" spans="1:16" outlineLevel="1">
      <c r="A556" s="1011"/>
      <c r="B556" s="1013" t="str">
        <f t="shared" si="30"/>
        <v/>
      </c>
      <c r="C556" s="1125"/>
      <c r="D556" s="1039"/>
      <c r="E556" s="1011"/>
      <c r="F556" s="1011"/>
      <c r="G556" s="1035"/>
      <c r="H556" s="1035"/>
      <c r="I556" s="1010"/>
      <c r="J556" s="1011"/>
      <c r="K556" s="1032"/>
      <c r="L556" s="1033"/>
      <c r="M556" s="1035"/>
      <c r="N556" s="1033"/>
      <c r="O556" s="1012"/>
      <c r="P556" s="1040" t="s">
        <v>417</v>
      </c>
    </row>
    <row r="557" spans="1:16" ht="46.5" outlineLevel="1">
      <c r="A557" s="1031">
        <v>180</v>
      </c>
      <c r="B557" s="1013">
        <f t="shared" si="30"/>
        <v>180</v>
      </c>
      <c r="C557" s="1125" t="str">
        <f t="shared" si="31"/>
        <v>IVF180</v>
      </c>
      <c r="D557" s="1009" t="s">
        <v>227</v>
      </c>
      <c r="E557" s="1031">
        <v>150</v>
      </c>
      <c r="F557" s="1030" t="s">
        <v>60</v>
      </c>
      <c r="G557" s="1032">
        <v>320</v>
      </c>
      <c r="H557" s="1033">
        <f>ROUND(E557*G557,0)</f>
        <v>48000</v>
      </c>
      <c r="I557" s="1034">
        <v>150</v>
      </c>
      <c r="J557" s="1031" t="str">
        <f>F557</f>
        <v>Rmt</v>
      </c>
      <c r="K557" s="1033">
        <f>G557</f>
        <v>320</v>
      </c>
      <c r="L557" s="1033">
        <f t="shared" si="32"/>
        <v>48000</v>
      </c>
      <c r="M557" s="1035">
        <f t="shared" si="33"/>
        <v>0</v>
      </c>
      <c r="N557" s="1033">
        <f t="shared" si="34"/>
        <v>0</v>
      </c>
      <c r="O557" s="1236" t="s">
        <v>2358</v>
      </c>
      <c r="P557" s="1040" t="s">
        <v>417</v>
      </c>
    </row>
    <row r="558" spans="1:16" outlineLevel="1">
      <c r="A558" s="1011"/>
      <c r="B558" s="1013" t="str">
        <f t="shared" si="30"/>
        <v/>
      </c>
      <c r="C558" s="1125"/>
      <c r="D558" s="1039" t="s">
        <v>294</v>
      </c>
      <c r="E558" s="1011"/>
      <c r="F558" s="1011"/>
      <c r="G558" s="1035"/>
      <c r="H558" s="1035"/>
      <c r="I558" s="1010">
        <v>15</v>
      </c>
      <c r="J558" s="1011" t="s">
        <v>60</v>
      </c>
      <c r="K558" s="1032">
        <v>320</v>
      </c>
      <c r="L558" s="1033">
        <f t="shared" si="32"/>
        <v>4800</v>
      </c>
      <c r="M558" s="1035">
        <f t="shared" si="33"/>
        <v>4800</v>
      </c>
      <c r="N558" s="1033">
        <f t="shared" si="34"/>
        <v>0</v>
      </c>
      <c r="O558" s="1237"/>
      <c r="P558" s="1040" t="s">
        <v>417</v>
      </c>
    </row>
    <row r="559" spans="1:16" outlineLevel="1">
      <c r="A559" s="1011"/>
      <c r="B559" s="1013" t="str">
        <f t="shared" si="30"/>
        <v/>
      </c>
      <c r="C559" s="1125"/>
      <c r="D559" s="1039"/>
      <c r="E559" s="1011"/>
      <c r="F559" s="1011"/>
      <c r="G559" s="1035"/>
      <c r="H559" s="1035"/>
      <c r="I559" s="1010"/>
      <c r="J559" s="1011"/>
      <c r="K559" s="1032"/>
      <c r="L559" s="1033"/>
      <c r="M559" s="1035"/>
      <c r="N559" s="1033"/>
      <c r="O559" s="1012"/>
      <c r="P559" s="1040" t="s">
        <v>417</v>
      </c>
    </row>
    <row r="560" spans="1:16" ht="46.5" outlineLevel="1">
      <c r="A560" s="1031">
        <v>181</v>
      </c>
      <c r="B560" s="1013">
        <f t="shared" si="30"/>
        <v>181</v>
      </c>
      <c r="C560" s="1125" t="str">
        <f t="shared" si="31"/>
        <v>IVF181</v>
      </c>
      <c r="D560" s="1009" t="s">
        <v>228</v>
      </c>
      <c r="E560" s="1031">
        <v>100</v>
      </c>
      <c r="F560" s="1030" t="s">
        <v>60</v>
      </c>
      <c r="G560" s="1032">
        <v>255</v>
      </c>
      <c r="H560" s="1033">
        <f>ROUND(E560*G560,0)</f>
        <v>25500</v>
      </c>
      <c r="I560" s="1034">
        <v>100</v>
      </c>
      <c r="J560" s="1031" t="str">
        <f>F560</f>
        <v>Rmt</v>
      </c>
      <c r="K560" s="1033">
        <f>G560</f>
        <v>255</v>
      </c>
      <c r="L560" s="1033">
        <f t="shared" si="32"/>
        <v>25500</v>
      </c>
      <c r="M560" s="1035">
        <f t="shared" si="33"/>
        <v>0</v>
      </c>
      <c r="N560" s="1033">
        <f t="shared" si="34"/>
        <v>0</v>
      </c>
      <c r="O560" s="1236" t="s">
        <v>2358</v>
      </c>
      <c r="P560" s="1040" t="s">
        <v>417</v>
      </c>
    </row>
    <row r="561" spans="1:16" outlineLevel="1">
      <c r="A561" s="1011"/>
      <c r="B561" s="1013" t="str">
        <f t="shared" si="30"/>
        <v/>
      </c>
      <c r="C561" s="1125"/>
      <c r="D561" s="1039" t="s">
        <v>294</v>
      </c>
      <c r="E561" s="1011"/>
      <c r="F561" s="1011"/>
      <c r="G561" s="1035"/>
      <c r="H561" s="1035"/>
      <c r="I561" s="1010">
        <v>20</v>
      </c>
      <c r="J561" s="1011" t="s">
        <v>60</v>
      </c>
      <c r="K561" s="1032">
        <v>255</v>
      </c>
      <c r="L561" s="1033">
        <f t="shared" si="32"/>
        <v>5100</v>
      </c>
      <c r="M561" s="1035">
        <f t="shared" si="33"/>
        <v>5100</v>
      </c>
      <c r="N561" s="1033">
        <f t="shared" si="34"/>
        <v>0</v>
      </c>
      <c r="O561" s="1237"/>
      <c r="P561" s="1040" t="s">
        <v>417</v>
      </c>
    </row>
    <row r="562" spans="1:16" ht="21.65" customHeight="1">
      <c r="A562" s="1011"/>
      <c r="B562" s="1013" t="str">
        <f t="shared" si="30"/>
        <v/>
      </c>
      <c r="C562" s="1125"/>
      <c r="D562" s="1009"/>
      <c r="E562" s="1011"/>
      <c r="F562" s="1011"/>
      <c r="G562" s="1035"/>
      <c r="H562" s="1035"/>
      <c r="I562" s="1010"/>
      <c r="J562" s="1011"/>
      <c r="K562" s="1075" t="s">
        <v>405</v>
      </c>
      <c r="L562" s="1076">
        <f>SUM(L459:L561)</f>
        <v>3839005</v>
      </c>
      <c r="M562" s="1076">
        <f t="shared" ref="M562:N562" si="35">SUM(M459:M561)</f>
        <v>355055</v>
      </c>
      <c r="N562" s="1076">
        <f t="shared" si="35"/>
        <v>395935</v>
      </c>
      <c r="O562" s="1012"/>
    </row>
    <row r="563" spans="1:16" ht="17.5">
      <c r="A563" s="1031"/>
      <c r="B563" s="1013" t="str">
        <f t="shared" si="30"/>
        <v/>
      </c>
      <c r="C563" s="1125"/>
      <c r="D563" s="1077" t="s">
        <v>400</v>
      </c>
      <c r="E563" s="1031"/>
      <c r="F563" s="1030"/>
      <c r="G563" s="1032"/>
      <c r="H563" s="1033"/>
      <c r="I563" s="1034"/>
      <c r="J563" s="1031"/>
      <c r="K563" s="1051"/>
      <c r="L563" s="1051"/>
      <c r="M563" s="1052"/>
      <c r="N563" s="1051"/>
      <c r="O563" s="1012"/>
    </row>
    <row r="564" spans="1:16" ht="31" outlineLevel="1">
      <c r="A564" s="1031">
        <v>182</v>
      </c>
      <c r="B564" s="1013">
        <f t="shared" ref="B564:B625" si="36">IF(ISBLANK(A564),"",A564)</f>
        <v>182</v>
      </c>
      <c r="C564" s="1125" t="str">
        <f t="shared" ref="C564:C620" si="37">IF(ISBLANK(B564), "", IF(B564&lt;10, "IVF00" &amp; B564, IF(AND(B564&gt;=10, B564&lt;=99), "IVF0" &amp; B564, IF(B564&gt;99, "IVF" &amp; B564))))</f>
        <v>IVF182</v>
      </c>
      <c r="D564" s="1009" t="s">
        <v>229</v>
      </c>
      <c r="E564" s="1031">
        <v>1</v>
      </c>
      <c r="F564" s="1030" t="s">
        <v>222</v>
      </c>
      <c r="G564" s="1032">
        <v>20750</v>
      </c>
      <c r="H564" s="1033">
        <f>ROUND(E564*G564,0)</f>
        <v>20750</v>
      </c>
      <c r="I564" s="1034">
        <f>E564</f>
        <v>1</v>
      </c>
      <c r="J564" s="1031" t="str">
        <f>F564</f>
        <v>Set</v>
      </c>
      <c r="K564" s="1033">
        <f>G564</f>
        <v>20750</v>
      </c>
      <c r="L564" s="1033">
        <f>ROUND(I564*K564,0)</f>
        <v>20750</v>
      </c>
      <c r="M564" s="1035">
        <f>IF(L564&gt;H564,L564-H564,0)</f>
        <v>0</v>
      </c>
      <c r="N564" s="1033">
        <f>IF(H564&gt;L564,H564-L564,0)</f>
        <v>0</v>
      </c>
      <c r="O564" s="1012" t="s">
        <v>2353</v>
      </c>
      <c r="P564" s="1040" t="s">
        <v>418</v>
      </c>
    </row>
    <row r="565" spans="1:16" outlineLevel="1">
      <c r="A565" s="1011"/>
      <c r="B565" s="1013" t="str">
        <f t="shared" si="36"/>
        <v/>
      </c>
      <c r="C565" s="1125"/>
      <c r="D565" s="1122" t="s">
        <v>2518</v>
      </c>
      <c r="E565" s="1011"/>
      <c r="F565" s="1011"/>
      <c r="G565" s="1035"/>
      <c r="H565" s="1035"/>
      <c r="I565" s="1010"/>
      <c r="J565" s="1011"/>
      <c r="K565" s="1035"/>
      <c r="L565" s="1035"/>
      <c r="M565" s="1035"/>
      <c r="N565" s="1035"/>
      <c r="O565" s="1012"/>
      <c r="P565" s="1040" t="s">
        <v>418</v>
      </c>
    </row>
    <row r="566" spans="1:16" outlineLevel="1">
      <c r="A566" s="1011"/>
      <c r="B566" s="1013"/>
      <c r="C566" s="1125"/>
      <c r="D566" s="1122"/>
      <c r="E566" s="1011"/>
      <c r="F566" s="1011"/>
      <c r="G566" s="1035"/>
      <c r="H566" s="1035"/>
      <c r="I566" s="1010"/>
      <c r="J566" s="1011"/>
      <c r="K566" s="1035"/>
      <c r="L566" s="1035"/>
      <c r="M566" s="1035"/>
      <c r="N566" s="1035"/>
      <c r="O566" s="1012"/>
      <c r="P566" s="1040" t="s">
        <v>418</v>
      </c>
    </row>
    <row r="567" spans="1:16" ht="46.5" outlineLevel="1">
      <c r="A567" s="1031">
        <v>183</v>
      </c>
      <c r="B567" s="1013">
        <f t="shared" si="36"/>
        <v>183</v>
      </c>
      <c r="C567" s="1125" t="str">
        <f t="shared" si="37"/>
        <v>IVF183</v>
      </c>
      <c r="D567" s="1009" t="s">
        <v>230</v>
      </c>
      <c r="E567" s="1031">
        <v>4</v>
      </c>
      <c r="F567" s="1030" t="s">
        <v>231</v>
      </c>
      <c r="G567" s="1032">
        <v>2506</v>
      </c>
      <c r="H567" s="1033">
        <f>ROUND(E567*G567,0)</f>
        <v>10024</v>
      </c>
      <c r="I567" s="1034">
        <v>4</v>
      </c>
      <c r="J567" s="1031" t="str">
        <f>F567</f>
        <v>each</v>
      </c>
      <c r="K567" s="1033">
        <f>G567</f>
        <v>2506</v>
      </c>
      <c r="L567" s="1033">
        <f>ROUND(I567*K567,0)</f>
        <v>10024</v>
      </c>
      <c r="M567" s="1035">
        <f>IF(L567&gt;H567,L567-H567,0)</f>
        <v>0</v>
      </c>
      <c r="N567" s="1033">
        <f>IF(H567&gt;L567,H567-L567,0)</f>
        <v>0</v>
      </c>
      <c r="O567" s="1012" t="s">
        <v>2358</v>
      </c>
      <c r="P567" s="1040" t="s">
        <v>418</v>
      </c>
    </row>
    <row r="568" spans="1:16" ht="14.5" customHeight="1" outlineLevel="1">
      <c r="A568" s="1011"/>
      <c r="B568" s="1013" t="str">
        <f t="shared" si="36"/>
        <v/>
      </c>
      <c r="C568" s="1125"/>
      <c r="D568" s="1039" t="s">
        <v>294</v>
      </c>
      <c r="E568" s="1011"/>
      <c r="F568" s="1011"/>
      <c r="G568" s="1035"/>
      <c r="H568" s="1035"/>
      <c r="I568" s="1010">
        <v>2</v>
      </c>
      <c r="J568" s="1031" t="s">
        <v>231</v>
      </c>
      <c r="K568" s="1033">
        <f>G567</f>
        <v>2506</v>
      </c>
      <c r="L568" s="1033">
        <f>I568*K568</f>
        <v>5012</v>
      </c>
      <c r="M568" s="1035">
        <f>IF(L568&gt;H568,L568-H568,0)</f>
        <v>5012</v>
      </c>
      <c r="N568" s="1033">
        <f>IF(H568&gt;L568,H568-L568,0)</f>
        <v>0</v>
      </c>
      <c r="O568" s="1012"/>
      <c r="P568" s="1040" t="s">
        <v>418</v>
      </c>
    </row>
    <row r="569" spans="1:16" outlineLevel="1">
      <c r="A569" s="1011"/>
      <c r="B569" s="1013" t="str">
        <f t="shared" si="36"/>
        <v/>
      </c>
      <c r="C569" s="1125"/>
      <c r="D569" s="1122" t="s">
        <v>2518</v>
      </c>
      <c r="E569" s="1011"/>
      <c r="F569" s="1011"/>
      <c r="G569" s="1035"/>
      <c r="H569" s="1035"/>
      <c r="I569" s="1010"/>
      <c r="J569" s="1031"/>
      <c r="K569" s="1033"/>
      <c r="L569" s="1033"/>
      <c r="M569" s="1035"/>
      <c r="N569" s="1033"/>
      <c r="O569" s="1012"/>
      <c r="P569" s="1040" t="s">
        <v>418</v>
      </c>
    </row>
    <row r="570" spans="1:16" outlineLevel="1">
      <c r="A570" s="1011"/>
      <c r="B570" s="1013"/>
      <c r="C570" s="1125"/>
      <c r="D570" s="1122"/>
      <c r="E570" s="1011"/>
      <c r="F570" s="1011"/>
      <c r="G570" s="1035"/>
      <c r="H570" s="1035"/>
      <c r="I570" s="1010"/>
      <c r="J570" s="1031"/>
      <c r="K570" s="1033"/>
      <c r="L570" s="1033"/>
      <c r="M570" s="1035"/>
      <c r="N570" s="1033"/>
      <c r="O570" s="1012"/>
      <c r="P570" s="1040" t="s">
        <v>418</v>
      </c>
    </row>
    <row r="571" spans="1:16" ht="62" outlineLevel="1">
      <c r="A571" s="1031">
        <v>184</v>
      </c>
      <c r="B571" s="1013">
        <f t="shared" si="36"/>
        <v>184</v>
      </c>
      <c r="C571" s="1125" t="str">
        <f t="shared" si="37"/>
        <v>IVF184</v>
      </c>
      <c r="D571" s="1009" t="s">
        <v>2376</v>
      </c>
      <c r="E571" s="1031">
        <v>4</v>
      </c>
      <c r="F571" s="1030" t="s">
        <v>231</v>
      </c>
      <c r="G571" s="1032">
        <v>1805</v>
      </c>
      <c r="H571" s="1033">
        <f>ROUND(E571*G571,0)</f>
        <v>7220</v>
      </c>
      <c r="I571" s="1034">
        <f>E571</f>
        <v>4</v>
      </c>
      <c r="J571" s="1031" t="str">
        <f>F571</f>
        <v>each</v>
      </c>
      <c r="K571" s="1033">
        <f>G571</f>
        <v>1805</v>
      </c>
      <c r="L571" s="1033">
        <f>ROUND(I571*K571,0)</f>
        <v>7220</v>
      </c>
      <c r="M571" s="1035">
        <f>IF(L571&gt;H571,L571-H571,0)</f>
        <v>0</v>
      </c>
      <c r="N571" s="1033">
        <f>IF(H571&gt;L571,H571-L571,0)</f>
        <v>0</v>
      </c>
      <c r="O571" s="1012" t="s">
        <v>2358</v>
      </c>
      <c r="P571" s="1040" t="s">
        <v>418</v>
      </c>
    </row>
    <row r="572" spans="1:16" ht="17.5" customHeight="1" outlineLevel="1">
      <c r="A572" s="1011"/>
      <c r="B572" s="1013" t="str">
        <f t="shared" si="36"/>
        <v/>
      </c>
      <c r="C572" s="1125"/>
      <c r="D572" s="1039" t="s">
        <v>294</v>
      </c>
      <c r="E572" s="1011"/>
      <c r="F572" s="1011"/>
      <c r="G572" s="1035"/>
      <c r="H572" s="1035"/>
      <c r="I572" s="1010">
        <v>2</v>
      </c>
      <c r="J572" s="1011" t="s">
        <v>231</v>
      </c>
      <c r="K572" s="1035">
        <f>G571</f>
        <v>1805</v>
      </c>
      <c r="L572" s="1035">
        <f>I572*K572</f>
        <v>3610</v>
      </c>
      <c r="M572" s="1035">
        <f>IF(L572&gt;H572,L572-H572,0)</f>
        <v>3610</v>
      </c>
      <c r="N572" s="1033">
        <f>IF(H572&gt;L572,H572-L572,0)</f>
        <v>0</v>
      </c>
      <c r="O572" s="1012"/>
      <c r="P572" s="1040" t="s">
        <v>418</v>
      </c>
    </row>
    <row r="573" spans="1:16" outlineLevel="1">
      <c r="A573" s="1011"/>
      <c r="B573" s="1013" t="str">
        <f t="shared" si="36"/>
        <v/>
      </c>
      <c r="C573" s="1125"/>
      <c r="D573" s="1122" t="s">
        <v>2518</v>
      </c>
      <c r="E573" s="1011"/>
      <c r="F573" s="1011"/>
      <c r="G573" s="1035"/>
      <c r="H573" s="1035"/>
      <c r="I573" s="1010"/>
      <c r="J573" s="1011"/>
      <c r="K573" s="1035"/>
      <c r="L573" s="1035"/>
      <c r="M573" s="1035"/>
      <c r="N573" s="1033"/>
      <c r="O573" s="1012"/>
      <c r="P573" s="1040" t="s">
        <v>418</v>
      </c>
    </row>
    <row r="574" spans="1:16" outlineLevel="1">
      <c r="A574" s="1011"/>
      <c r="B574" s="1013"/>
      <c r="C574" s="1125"/>
      <c r="D574" s="1122"/>
      <c r="E574" s="1011"/>
      <c r="F574" s="1011"/>
      <c r="G574" s="1035"/>
      <c r="H574" s="1035"/>
      <c r="I574" s="1010"/>
      <c r="J574" s="1011"/>
      <c r="K574" s="1035"/>
      <c r="L574" s="1035"/>
      <c r="M574" s="1035"/>
      <c r="N574" s="1033"/>
      <c r="O574" s="1012"/>
      <c r="P574" s="1040" t="s">
        <v>418</v>
      </c>
    </row>
    <row r="575" spans="1:16" ht="62" outlineLevel="1">
      <c r="A575" s="1031">
        <v>185</v>
      </c>
      <c r="B575" s="1013">
        <f t="shared" si="36"/>
        <v>185</v>
      </c>
      <c r="C575" s="1125" t="str">
        <f t="shared" si="37"/>
        <v>IVF185</v>
      </c>
      <c r="D575" s="1009" t="s">
        <v>2360</v>
      </c>
      <c r="E575" s="1031">
        <v>1</v>
      </c>
      <c r="F575" s="1030" t="s">
        <v>222</v>
      </c>
      <c r="G575" s="1032">
        <v>13250</v>
      </c>
      <c r="H575" s="1033">
        <f>ROUND(E575*G575,0)</f>
        <v>13250</v>
      </c>
      <c r="I575" s="1034">
        <f>E575</f>
        <v>1</v>
      </c>
      <c r="J575" s="1031" t="str">
        <f>F575</f>
        <v>Set</v>
      </c>
      <c r="K575" s="1033">
        <f>G575</f>
        <v>13250</v>
      </c>
      <c r="L575" s="1033">
        <f>ROUND(I575*K575,0)</f>
        <v>13250</v>
      </c>
      <c r="M575" s="1035">
        <f>IF(L575&gt;H575,L575-H575,0)</f>
        <v>0</v>
      </c>
      <c r="N575" s="1033">
        <f>IF(H575&gt;L575,H575-L575,0)</f>
        <v>0</v>
      </c>
      <c r="O575" s="1012" t="s">
        <v>2353</v>
      </c>
      <c r="P575" s="1040" t="s">
        <v>418</v>
      </c>
    </row>
    <row r="576" spans="1:16" outlineLevel="1">
      <c r="A576" s="1011"/>
      <c r="B576" s="1013" t="str">
        <f t="shared" si="36"/>
        <v/>
      </c>
      <c r="C576" s="1125"/>
      <c r="D576" s="1122" t="s">
        <v>2518</v>
      </c>
      <c r="E576" s="1011"/>
      <c r="F576" s="1011"/>
      <c r="G576" s="1035"/>
      <c r="H576" s="1035"/>
      <c r="I576" s="1010"/>
      <c r="J576" s="1011"/>
      <c r="K576" s="1035"/>
      <c r="L576" s="1035"/>
      <c r="M576" s="1035"/>
      <c r="N576" s="1035"/>
      <c r="O576" s="1012"/>
      <c r="P576" s="1040" t="s">
        <v>418</v>
      </c>
    </row>
    <row r="577" spans="1:16" outlineLevel="1">
      <c r="A577" s="1011"/>
      <c r="B577" s="1013"/>
      <c r="C577" s="1125"/>
      <c r="D577" s="1122"/>
      <c r="E577" s="1011"/>
      <c r="F577" s="1011"/>
      <c r="G577" s="1035"/>
      <c r="H577" s="1035"/>
      <c r="I577" s="1010"/>
      <c r="J577" s="1011"/>
      <c r="K577" s="1035"/>
      <c r="L577" s="1035"/>
      <c r="M577" s="1035"/>
      <c r="N577" s="1035"/>
      <c r="O577" s="1012"/>
      <c r="P577" s="1040" t="s">
        <v>418</v>
      </c>
    </row>
    <row r="578" spans="1:16" ht="46.5" outlineLevel="1">
      <c r="A578" s="1031">
        <v>186</v>
      </c>
      <c r="B578" s="1013">
        <f t="shared" si="36"/>
        <v>186</v>
      </c>
      <c r="C578" s="1125" t="str">
        <f t="shared" si="37"/>
        <v>IVF186</v>
      </c>
      <c r="D578" s="1009" t="s">
        <v>234</v>
      </c>
      <c r="E578" s="1031">
        <v>4</v>
      </c>
      <c r="F578" s="1030" t="s">
        <v>231</v>
      </c>
      <c r="G578" s="1032">
        <v>2506</v>
      </c>
      <c r="H578" s="1033">
        <f>ROUND(E578*G578,0)</f>
        <v>10024</v>
      </c>
      <c r="I578" s="1034">
        <f>E578</f>
        <v>4</v>
      </c>
      <c r="J578" s="1031" t="str">
        <f>F578</f>
        <v>each</v>
      </c>
      <c r="K578" s="1033">
        <f>G578</f>
        <v>2506</v>
      </c>
      <c r="L578" s="1033">
        <f>ROUND(I578*K578,0)</f>
        <v>10024</v>
      </c>
      <c r="M578" s="1035">
        <f>IF(L578&gt;H578,L578-H578,0)</f>
        <v>0</v>
      </c>
      <c r="N578" s="1033">
        <f>IF(H578&gt;L578,H578-L578,0)</f>
        <v>0</v>
      </c>
      <c r="O578" s="1012" t="s">
        <v>2353</v>
      </c>
      <c r="P578" s="1040" t="s">
        <v>418</v>
      </c>
    </row>
    <row r="579" spans="1:16" outlineLevel="1">
      <c r="A579" s="1011"/>
      <c r="B579" s="1013" t="str">
        <f t="shared" si="36"/>
        <v/>
      </c>
      <c r="C579" s="1125"/>
      <c r="D579" s="1122" t="s">
        <v>2518</v>
      </c>
      <c r="E579" s="1011"/>
      <c r="F579" s="1011"/>
      <c r="G579" s="1035"/>
      <c r="H579" s="1035"/>
      <c r="I579" s="1010"/>
      <c r="J579" s="1011"/>
      <c r="K579" s="1035"/>
      <c r="L579" s="1035"/>
      <c r="M579" s="1035"/>
      <c r="N579" s="1035"/>
      <c r="O579" s="1012"/>
      <c r="P579" s="1040" t="s">
        <v>418</v>
      </c>
    </row>
    <row r="580" spans="1:16" outlineLevel="1">
      <c r="A580" s="1011"/>
      <c r="B580" s="1013"/>
      <c r="C580" s="1125"/>
      <c r="D580" s="1122"/>
      <c r="E580" s="1011"/>
      <c r="F580" s="1011"/>
      <c r="G580" s="1035"/>
      <c r="H580" s="1035"/>
      <c r="I580" s="1010"/>
      <c r="J580" s="1011"/>
      <c r="K580" s="1035"/>
      <c r="L580" s="1035"/>
      <c r="M580" s="1035"/>
      <c r="N580" s="1035"/>
      <c r="O580" s="1012"/>
      <c r="P580" s="1040" t="s">
        <v>418</v>
      </c>
    </row>
    <row r="581" spans="1:16" ht="46.5" outlineLevel="1">
      <c r="A581" s="1031">
        <v>187</v>
      </c>
      <c r="B581" s="1013">
        <f t="shared" si="36"/>
        <v>187</v>
      </c>
      <c r="C581" s="1125" t="str">
        <f t="shared" si="37"/>
        <v>IVF187</v>
      </c>
      <c r="D581" s="1009" t="s">
        <v>2377</v>
      </c>
      <c r="E581" s="1031">
        <v>1</v>
      </c>
      <c r="F581" s="1030" t="s">
        <v>222</v>
      </c>
      <c r="G581" s="1032">
        <v>20750</v>
      </c>
      <c r="H581" s="1033">
        <f>ROUND(E581*G581,0)</f>
        <v>20750</v>
      </c>
      <c r="I581" s="1034">
        <f>E581</f>
        <v>1</v>
      </c>
      <c r="J581" s="1031" t="str">
        <f>F581</f>
        <v>Set</v>
      </c>
      <c r="K581" s="1033">
        <f>G581</f>
        <v>20750</v>
      </c>
      <c r="L581" s="1033">
        <f>ROUND(I581*K581,0)</f>
        <v>20750</v>
      </c>
      <c r="M581" s="1035">
        <f>IF(L581&gt;H581,L581-H581,0)</f>
        <v>0</v>
      </c>
      <c r="N581" s="1033">
        <f>IF(H581&gt;L581,H581-L581,0)</f>
        <v>0</v>
      </c>
      <c r="O581" s="1012" t="s">
        <v>2353</v>
      </c>
      <c r="P581" s="1040" t="s">
        <v>418</v>
      </c>
    </row>
    <row r="582" spans="1:16" outlineLevel="1">
      <c r="A582" s="1011"/>
      <c r="B582" s="1013" t="str">
        <f t="shared" si="36"/>
        <v/>
      </c>
      <c r="C582" s="1125"/>
      <c r="D582" s="1122" t="s">
        <v>2519</v>
      </c>
      <c r="E582" s="1011"/>
      <c r="F582" s="1011"/>
      <c r="G582" s="1035"/>
      <c r="H582" s="1035"/>
      <c r="I582" s="1010"/>
      <c r="J582" s="1011"/>
      <c r="K582" s="1035"/>
      <c r="L582" s="1035"/>
      <c r="M582" s="1035"/>
      <c r="N582" s="1035"/>
      <c r="O582" s="1012"/>
      <c r="P582" s="1040" t="s">
        <v>418</v>
      </c>
    </row>
    <row r="583" spans="1:16" outlineLevel="1">
      <c r="A583" s="1011"/>
      <c r="B583" s="1013"/>
      <c r="C583" s="1125"/>
      <c r="D583" s="1122"/>
      <c r="E583" s="1011"/>
      <c r="F583" s="1011"/>
      <c r="G583" s="1035"/>
      <c r="H583" s="1035"/>
      <c r="I583" s="1010"/>
      <c r="J583" s="1011"/>
      <c r="K583" s="1035"/>
      <c r="L583" s="1035"/>
      <c r="M583" s="1035"/>
      <c r="N583" s="1035"/>
      <c r="O583" s="1214"/>
      <c r="P583" s="1040" t="s">
        <v>418</v>
      </c>
    </row>
    <row r="584" spans="1:16" ht="46.5" outlineLevel="1">
      <c r="A584" s="1031">
        <v>188</v>
      </c>
      <c r="B584" s="1013">
        <f t="shared" si="36"/>
        <v>188</v>
      </c>
      <c r="C584" s="1125" t="str">
        <f t="shared" si="37"/>
        <v>IVF188</v>
      </c>
      <c r="D584" s="1009" t="s">
        <v>236</v>
      </c>
      <c r="E584" s="1031">
        <v>4</v>
      </c>
      <c r="F584" s="1030" t="s">
        <v>231</v>
      </c>
      <c r="G584" s="1032">
        <v>2506</v>
      </c>
      <c r="H584" s="1033">
        <f>ROUND(E584*G584,0)</f>
        <v>10024</v>
      </c>
      <c r="I584" s="1034">
        <f>E584</f>
        <v>4</v>
      </c>
      <c r="J584" s="1031" t="str">
        <f>F584</f>
        <v>each</v>
      </c>
      <c r="K584" s="1033">
        <f>G584</f>
        <v>2506</v>
      </c>
      <c r="L584" s="1033">
        <f>ROUND(I584*K584,0)</f>
        <v>10024</v>
      </c>
      <c r="M584" s="1035">
        <f t="shared" ref="M584:M604" si="38">IF(L584&gt;H584,L584-H584,0)</f>
        <v>0</v>
      </c>
      <c r="N584" s="1033">
        <f t="shared" ref="N584:N604" si="39">IF(H584&gt;L584,H584-L584,0)</f>
        <v>0</v>
      </c>
      <c r="O584" s="1236" t="s">
        <v>2358</v>
      </c>
      <c r="P584" s="1040" t="s">
        <v>418</v>
      </c>
    </row>
    <row r="585" spans="1:16" ht="14.5" customHeight="1" outlineLevel="1">
      <c r="A585" s="1011"/>
      <c r="B585" s="1013"/>
      <c r="C585" s="1125" t="str">
        <f t="shared" si="37"/>
        <v/>
      </c>
      <c r="D585" s="1039" t="s">
        <v>294</v>
      </c>
      <c r="E585" s="1011"/>
      <c r="F585" s="1011"/>
      <c r="G585" s="1035"/>
      <c r="H585" s="1035"/>
      <c r="I585" s="1010">
        <v>2</v>
      </c>
      <c r="J585" s="1011" t="s">
        <v>231</v>
      </c>
      <c r="K585" s="1035">
        <f>K584</f>
        <v>2506</v>
      </c>
      <c r="L585" s="1035">
        <f>I585*K585</f>
        <v>5012</v>
      </c>
      <c r="M585" s="1035">
        <f t="shared" si="38"/>
        <v>5012</v>
      </c>
      <c r="N585" s="1033">
        <f t="shared" si="39"/>
        <v>0</v>
      </c>
      <c r="O585" s="1237"/>
      <c r="P585" s="1040" t="s">
        <v>418</v>
      </c>
    </row>
    <row r="586" spans="1:16" outlineLevel="1">
      <c r="A586" s="1011"/>
      <c r="B586" s="1013" t="str">
        <f t="shared" si="36"/>
        <v/>
      </c>
      <c r="C586" s="1125"/>
      <c r="D586" s="1122" t="s">
        <v>2519</v>
      </c>
      <c r="E586" s="1011"/>
      <c r="F586" s="1011"/>
      <c r="G586" s="1035"/>
      <c r="H586" s="1035"/>
      <c r="I586" s="1010"/>
      <c r="J586" s="1011"/>
      <c r="K586" s="1035"/>
      <c r="L586" s="1035"/>
      <c r="M586" s="1035"/>
      <c r="N586" s="1033"/>
      <c r="O586" s="1012"/>
      <c r="P586" s="1040" t="s">
        <v>418</v>
      </c>
    </row>
    <row r="587" spans="1:16" outlineLevel="1">
      <c r="A587" s="1011"/>
      <c r="B587" s="1013"/>
      <c r="C587" s="1125"/>
      <c r="D587" s="1122"/>
      <c r="E587" s="1011"/>
      <c r="F587" s="1011"/>
      <c r="G587" s="1035"/>
      <c r="H587" s="1035"/>
      <c r="I587" s="1010"/>
      <c r="J587" s="1011"/>
      <c r="K587" s="1035"/>
      <c r="L587" s="1035"/>
      <c r="M587" s="1035"/>
      <c r="N587" s="1033"/>
      <c r="O587" s="1214"/>
      <c r="P587" s="1040" t="s">
        <v>418</v>
      </c>
    </row>
    <row r="588" spans="1:16" ht="46.5" customHeight="1" outlineLevel="1">
      <c r="A588" s="1031">
        <v>189</v>
      </c>
      <c r="B588" s="1013">
        <f t="shared" si="36"/>
        <v>189</v>
      </c>
      <c r="C588" s="1125" t="str">
        <f t="shared" si="37"/>
        <v>IVF189</v>
      </c>
      <c r="D588" s="1009" t="s">
        <v>237</v>
      </c>
      <c r="E588" s="1031">
        <v>24</v>
      </c>
      <c r="F588" s="1030" t="s">
        <v>60</v>
      </c>
      <c r="G588" s="1032">
        <v>642</v>
      </c>
      <c r="H588" s="1033">
        <f>ROUND(E588*G588,0)</f>
        <v>15408</v>
      </c>
      <c r="I588" s="1034">
        <f>E588</f>
        <v>24</v>
      </c>
      <c r="J588" s="1031" t="str">
        <f>F588</f>
        <v>Rmt</v>
      </c>
      <c r="K588" s="1033">
        <f>G588</f>
        <v>642</v>
      </c>
      <c r="L588" s="1033">
        <f>ROUND(I588*K588,0)</f>
        <v>15408</v>
      </c>
      <c r="M588" s="1035">
        <f t="shared" si="38"/>
        <v>0</v>
      </c>
      <c r="N588" s="1033">
        <f t="shared" si="39"/>
        <v>0</v>
      </c>
      <c r="O588" s="1236" t="s">
        <v>2358</v>
      </c>
      <c r="P588" s="1040" t="s">
        <v>418</v>
      </c>
    </row>
    <row r="589" spans="1:16" outlineLevel="1">
      <c r="A589" s="1011"/>
      <c r="B589" s="1013" t="str">
        <f t="shared" si="36"/>
        <v/>
      </c>
      <c r="C589" s="1125"/>
      <c r="D589" s="1039" t="s">
        <v>294</v>
      </c>
      <c r="E589" s="1011"/>
      <c r="F589" s="1011"/>
      <c r="G589" s="1035"/>
      <c r="H589" s="1035"/>
      <c r="I589" s="1010">
        <v>14.3</v>
      </c>
      <c r="J589" s="1011" t="s">
        <v>60</v>
      </c>
      <c r="K589" s="1035">
        <f>K588</f>
        <v>642</v>
      </c>
      <c r="L589" s="1035">
        <f>I589*K589</f>
        <v>9180.6</v>
      </c>
      <c r="M589" s="1035">
        <f t="shared" si="38"/>
        <v>9180.6</v>
      </c>
      <c r="N589" s="1033">
        <f t="shared" si="39"/>
        <v>0</v>
      </c>
      <c r="O589" s="1237"/>
      <c r="P589" s="1040" t="s">
        <v>418</v>
      </c>
    </row>
    <row r="590" spans="1:16" outlineLevel="1">
      <c r="A590" s="1011"/>
      <c r="B590" s="1013" t="str">
        <f t="shared" si="36"/>
        <v/>
      </c>
      <c r="C590" s="1125"/>
      <c r="D590" s="1122" t="s">
        <v>2519</v>
      </c>
      <c r="E590" s="1011"/>
      <c r="F590" s="1011"/>
      <c r="G590" s="1035"/>
      <c r="H590" s="1035"/>
      <c r="I590" s="1010"/>
      <c r="J590" s="1011"/>
      <c r="K590" s="1035"/>
      <c r="L590" s="1035"/>
      <c r="M590" s="1035"/>
      <c r="N590" s="1033"/>
      <c r="O590" s="1012"/>
      <c r="P590" s="1040" t="s">
        <v>418</v>
      </c>
    </row>
    <row r="591" spans="1:16" outlineLevel="1">
      <c r="A591" s="1011"/>
      <c r="B591" s="1013"/>
      <c r="C591" s="1125"/>
      <c r="D591" s="1122"/>
      <c r="E591" s="1011"/>
      <c r="F591" s="1011"/>
      <c r="G591" s="1035"/>
      <c r="H591" s="1035"/>
      <c r="I591" s="1010"/>
      <c r="J591" s="1011"/>
      <c r="K591" s="1035"/>
      <c r="L591" s="1035"/>
      <c r="M591" s="1035"/>
      <c r="N591" s="1033"/>
      <c r="O591" s="1214"/>
      <c r="P591" s="1040" t="s">
        <v>418</v>
      </c>
    </row>
    <row r="592" spans="1:16" ht="46.5" customHeight="1" outlineLevel="1">
      <c r="A592" s="1031">
        <v>190</v>
      </c>
      <c r="B592" s="1013">
        <f t="shared" si="36"/>
        <v>190</v>
      </c>
      <c r="C592" s="1125" t="str">
        <f t="shared" si="37"/>
        <v>IVF190</v>
      </c>
      <c r="D592" s="1009" t="s">
        <v>238</v>
      </c>
      <c r="E592" s="1031">
        <v>114</v>
      </c>
      <c r="F592" s="1030" t="s">
        <v>60</v>
      </c>
      <c r="G592" s="1032">
        <v>824</v>
      </c>
      <c r="H592" s="1033">
        <f>ROUND(E592*G592,0)</f>
        <v>93936</v>
      </c>
      <c r="I592" s="1034">
        <f>E592</f>
        <v>114</v>
      </c>
      <c r="J592" s="1031" t="str">
        <f>F592</f>
        <v>Rmt</v>
      </c>
      <c r="K592" s="1033">
        <f>G592</f>
        <v>824</v>
      </c>
      <c r="L592" s="1033">
        <f t="shared" ref="L592:L604" si="40">ROUND(I592*K592,0)</f>
        <v>93936</v>
      </c>
      <c r="M592" s="1035">
        <f t="shared" si="38"/>
        <v>0</v>
      </c>
      <c r="N592" s="1033">
        <f t="shared" si="39"/>
        <v>0</v>
      </c>
      <c r="O592" s="1236" t="s">
        <v>2358</v>
      </c>
      <c r="P592" s="1040" t="s">
        <v>418</v>
      </c>
    </row>
    <row r="593" spans="1:16" outlineLevel="1">
      <c r="A593" s="1011"/>
      <c r="B593" s="1013" t="str">
        <f t="shared" si="36"/>
        <v/>
      </c>
      <c r="C593" s="1125"/>
      <c r="D593" s="1039" t="s">
        <v>294</v>
      </c>
      <c r="E593" s="1011"/>
      <c r="F593" s="1011"/>
      <c r="G593" s="1035"/>
      <c r="H593" s="1035"/>
      <c r="I593" s="1010">
        <v>43.7</v>
      </c>
      <c r="J593" s="1011" t="s">
        <v>60</v>
      </c>
      <c r="K593" s="1033">
        <f>K592</f>
        <v>824</v>
      </c>
      <c r="L593" s="1033">
        <f t="shared" si="40"/>
        <v>36009</v>
      </c>
      <c r="M593" s="1035">
        <f t="shared" si="38"/>
        <v>36009</v>
      </c>
      <c r="N593" s="1033">
        <f t="shared" si="39"/>
        <v>0</v>
      </c>
      <c r="O593" s="1237"/>
      <c r="P593" s="1040" t="s">
        <v>418</v>
      </c>
    </row>
    <row r="594" spans="1:16" outlineLevel="1">
      <c r="A594" s="1011"/>
      <c r="B594" s="1013" t="str">
        <f t="shared" si="36"/>
        <v/>
      </c>
      <c r="C594" s="1125"/>
      <c r="D594" s="1122" t="s">
        <v>2519</v>
      </c>
      <c r="E594" s="1011"/>
      <c r="F594" s="1011"/>
      <c r="G594" s="1035"/>
      <c r="H594" s="1035"/>
      <c r="I594" s="1010"/>
      <c r="J594" s="1011"/>
      <c r="K594" s="1033"/>
      <c r="L594" s="1033"/>
      <c r="M594" s="1035"/>
      <c r="N594" s="1033"/>
      <c r="O594" s="1012"/>
      <c r="P594" s="1040" t="s">
        <v>418</v>
      </c>
    </row>
    <row r="595" spans="1:16" outlineLevel="1">
      <c r="A595" s="1011"/>
      <c r="B595" s="1013"/>
      <c r="C595" s="1125"/>
      <c r="D595" s="1122"/>
      <c r="E595" s="1011"/>
      <c r="F595" s="1011"/>
      <c r="G595" s="1035"/>
      <c r="H595" s="1035"/>
      <c r="I595" s="1010"/>
      <c r="J595" s="1011"/>
      <c r="K595" s="1033"/>
      <c r="L595" s="1033"/>
      <c r="M595" s="1035"/>
      <c r="N595" s="1033"/>
      <c r="O595" s="1214"/>
      <c r="P595" s="1040" t="s">
        <v>418</v>
      </c>
    </row>
    <row r="596" spans="1:16" ht="46.5" customHeight="1" outlineLevel="1">
      <c r="A596" s="1031">
        <v>191</v>
      </c>
      <c r="B596" s="1013">
        <f t="shared" si="36"/>
        <v>191</v>
      </c>
      <c r="C596" s="1125" t="str">
        <f t="shared" si="37"/>
        <v>IVF191</v>
      </c>
      <c r="D596" s="1009" t="s">
        <v>239</v>
      </c>
      <c r="E596" s="1031">
        <v>36</v>
      </c>
      <c r="F596" s="1030" t="s">
        <v>60</v>
      </c>
      <c r="G596" s="1032">
        <v>1191</v>
      </c>
      <c r="H596" s="1033">
        <f>ROUND(E596*G596,0)</f>
        <v>42876</v>
      </c>
      <c r="I596" s="1034">
        <f>E596</f>
        <v>36</v>
      </c>
      <c r="J596" s="1031" t="str">
        <f>F596</f>
        <v>Rmt</v>
      </c>
      <c r="K596" s="1033">
        <f>G596</f>
        <v>1191</v>
      </c>
      <c r="L596" s="1033">
        <f t="shared" si="40"/>
        <v>42876</v>
      </c>
      <c r="M596" s="1035">
        <f t="shared" si="38"/>
        <v>0</v>
      </c>
      <c r="N596" s="1033">
        <f t="shared" si="39"/>
        <v>0</v>
      </c>
      <c r="O596" s="1236" t="s">
        <v>2358</v>
      </c>
      <c r="P596" s="1040" t="s">
        <v>418</v>
      </c>
    </row>
    <row r="597" spans="1:16" outlineLevel="1">
      <c r="A597" s="1011"/>
      <c r="B597" s="1013" t="str">
        <f t="shared" si="36"/>
        <v/>
      </c>
      <c r="C597" s="1125"/>
      <c r="D597" s="1039" t="s">
        <v>294</v>
      </c>
      <c r="E597" s="1011"/>
      <c r="F597" s="1011"/>
      <c r="G597" s="1035"/>
      <c r="H597" s="1035"/>
      <c r="I597" s="1010">
        <v>43.5</v>
      </c>
      <c r="J597" s="1011" t="s">
        <v>60</v>
      </c>
      <c r="K597" s="1035">
        <f>K596</f>
        <v>1191</v>
      </c>
      <c r="L597" s="1033">
        <f t="shared" si="40"/>
        <v>51809</v>
      </c>
      <c r="M597" s="1035">
        <f t="shared" si="38"/>
        <v>51809</v>
      </c>
      <c r="N597" s="1033">
        <f t="shared" si="39"/>
        <v>0</v>
      </c>
      <c r="O597" s="1237"/>
      <c r="P597" s="1040" t="s">
        <v>418</v>
      </c>
    </row>
    <row r="598" spans="1:16" outlineLevel="1">
      <c r="A598" s="1011"/>
      <c r="B598" s="1013" t="str">
        <f t="shared" si="36"/>
        <v/>
      </c>
      <c r="C598" s="1125"/>
      <c r="D598" s="1122" t="s">
        <v>2519</v>
      </c>
      <c r="E598" s="1011"/>
      <c r="F598" s="1011"/>
      <c r="G598" s="1035"/>
      <c r="H598" s="1035"/>
      <c r="I598" s="1010"/>
      <c r="J598" s="1011"/>
      <c r="K598" s="1035"/>
      <c r="L598" s="1033"/>
      <c r="M598" s="1035"/>
      <c r="N598" s="1033"/>
      <c r="O598" s="1012"/>
      <c r="P598" s="1040" t="s">
        <v>418</v>
      </c>
    </row>
    <row r="599" spans="1:16" outlineLevel="1">
      <c r="A599" s="1011"/>
      <c r="B599" s="1013"/>
      <c r="C599" s="1125"/>
      <c r="D599" s="1122"/>
      <c r="E599" s="1011"/>
      <c r="F599" s="1011"/>
      <c r="G599" s="1035"/>
      <c r="H599" s="1035"/>
      <c r="I599" s="1010"/>
      <c r="J599" s="1011"/>
      <c r="K599" s="1035"/>
      <c r="L599" s="1033"/>
      <c r="M599" s="1035"/>
      <c r="N599" s="1033"/>
      <c r="O599" s="1214"/>
      <c r="P599" s="1040" t="s">
        <v>418</v>
      </c>
    </row>
    <row r="600" spans="1:16" ht="31" outlineLevel="1">
      <c r="A600" s="1031">
        <v>192</v>
      </c>
      <c r="B600" s="1013">
        <f t="shared" si="36"/>
        <v>192</v>
      </c>
      <c r="C600" s="1125" t="str">
        <f t="shared" si="37"/>
        <v>IVF192</v>
      </c>
      <c r="D600" s="1009" t="s">
        <v>240</v>
      </c>
      <c r="E600" s="1031">
        <v>18</v>
      </c>
      <c r="F600" s="1030" t="s">
        <v>60</v>
      </c>
      <c r="G600" s="1032">
        <v>1473</v>
      </c>
      <c r="H600" s="1033">
        <f>ROUND(E600*G600,0)</f>
        <v>26514</v>
      </c>
      <c r="I600" s="1034">
        <f>E600</f>
        <v>18</v>
      </c>
      <c r="J600" s="1031" t="str">
        <f>F600</f>
        <v>Rmt</v>
      </c>
      <c r="K600" s="1033">
        <f>G600</f>
        <v>1473</v>
      </c>
      <c r="L600" s="1033">
        <f t="shared" si="40"/>
        <v>26514</v>
      </c>
      <c r="M600" s="1035">
        <f t="shared" si="38"/>
        <v>0</v>
      </c>
      <c r="N600" s="1033">
        <f t="shared" si="39"/>
        <v>0</v>
      </c>
      <c r="O600" s="1236" t="s">
        <v>2358</v>
      </c>
      <c r="P600" s="1040" t="s">
        <v>418</v>
      </c>
    </row>
    <row r="601" spans="1:16" outlineLevel="1">
      <c r="A601" s="1011"/>
      <c r="B601" s="1013" t="str">
        <f t="shared" si="36"/>
        <v/>
      </c>
      <c r="C601" s="1125"/>
      <c r="D601" s="1039" t="s">
        <v>294</v>
      </c>
      <c r="E601" s="1011"/>
      <c r="F601" s="1011"/>
      <c r="G601" s="1035"/>
      <c r="H601" s="1035"/>
      <c r="I601" s="1010">
        <v>9</v>
      </c>
      <c r="J601" s="1011" t="s">
        <v>60</v>
      </c>
      <c r="K601" s="1035">
        <f>K600</f>
        <v>1473</v>
      </c>
      <c r="L601" s="1033">
        <f t="shared" si="40"/>
        <v>13257</v>
      </c>
      <c r="M601" s="1035">
        <f t="shared" si="38"/>
        <v>13257</v>
      </c>
      <c r="N601" s="1033">
        <f t="shared" si="39"/>
        <v>0</v>
      </c>
      <c r="O601" s="1237"/>
      <c r="P601" s="1040" t="s">
        <v>418</v>
      </c>
    </row>
    <row r="602" spans="1:16" outlineLevel="1">
      <c r="A602" s="1011"/>
      <c r="B602" s="1013" t="str">
        <f t="shared" si="36"/>
        <v/>
      </c>
      <c r="C602" s="1125"/>
      <c r="D602" s="1122" t="s">
        <v>2519</v>
      </c>
      <c r="E602" s="1011"/>
      <c r="F602" s="1011"/>
      <c r="G602" s="1035"/>
      <c r="H602" s="1035"/>
      <c r="I602" s="1010"/>
      <c r="J602" s="1011"/>
      <c r="K602" s="1035"/>
      <c r="L602" s="1033"/>
      <c r="M602" s="1035"/>
      <c r="N602" s="1033"/>
      <c r="O602" s="1012"/>
      <c r="P602" s="1040" t="s">
        <v>418</v>
      </c>
    </row>
    <row r="603" spans="1:16" outlineLevel="1">
      <c r="A603" s="1011"/>
      <c r="B603" s="1013"/>
      <c r="C603" s="1125"/>
      <c r="D603" s="1122"/>
      <c r="E603" s="1011"/>
      <c r="F603" s="1011"/>
      <c r="G603" s="1035"/>
      <c r="H603" s="1035"/>
      <c r="I603" s="1010"/>
      <c r="J603" s="1011"/>
      <c r="K603" s="1035"/>
      <c r="L603" s="1033"/>
      <c r="M603" s="1035"/>
      <c r="N603" s="1033"/>
      <c r="O603" s="1012"/>
      <c r="P603" s="1040" t="s">
        <v>418</v>
      </c>
    </row>
    <row r="604" spans="1:16" ht="46.5" outlineLevel="1">
      <c r="A604" s="1031">
        <v>193</v>
      </c>
      <c r="B604" s="1013">
        <f t="shared" si="36"/>
        <v>193</v>
      </c>
      <c r="C604" s="1125" t="str">
        <f t="shared" si="37"/>
        <v>IVF193</v>
      </c>
      <c r="D604" s="1009" t="s">
        <v>241</v>
      </c>
      <c r="E604" s="1031">
        <v>1</v>
      </c>
      <c r="F604" s="1030" t="s">
        <v>231</v>
      </c>
      <c r="G604" s="1032">
        <v>275000</v>
      </c>
      <c r="H604" s="1033">
        <f>ROUND(E604*G604,0)</f>
        <v>275000</v>
      </c>
      <c r="I604" s="1034">
        <f>E604</f>
        <v>1</v>
      </c>
      <c r="J604" s="1031" t="str">
        <f>F604</f>
        <v>each</v>
      </c>
      <c r="K604" s="1033">
        <f>G604</f>
        <v>275000</v>
      </c>
      <c r="L604" s="1033">
        <f t="shared" si="40"/>
        <v>275000</v>
      </c>
      <c r="M604" s="1035">
        <f t="shared" si="38"/>
        <v>0</v>
      </c>
      <c r="N604" s="1033">
        <f t="shared" si="39"/>
        <v>0</v>
      </c>
      <c r="O604" s="1012" t="s">
        <v>2353</v>
      </c>
      <c r="P604" s="1040" t="s">
        <v>418</v>
      </c>
    </row>
    <row r="605" spans="1:16" outlineLevel="1">
      <c r="A605" s="1011"/>
      <c r="B605" s="1013" t="str">
        <f t="shared" si="36"/>
        <v/>
      </c>
      <c r="C605" s="1125"/>
      <c r="D605" s="1122" t="s">
        <v>2519</v>
      </c>
      <c r="E605" s="1011"/>
      <c r="F605" s="1011"/>
      <c r="G605" s="1035"/>
      <c r="H605" s="1035"/>
      <c r="I605" s="1010"/>
      <c r="J605" s="1011"/>
      <c r="K605" s="1035"/>
      <c r="L605" s="1035"/>
      <c r="M605" s="1035"/>
      <c r="N605" s="1035"/>
      <c r="O605" s="1012"/>
      <c r="P605" s="1040" t="s">
        <v>418</v>
      </c>
    </row>
    <row r="606" spans="1:16" outlineLevel="1">
      <c r="A606" s="1011"/>
      <c r="B606" s="1013"/>
      <c r="C606" s="1125"/>
      <c r="D606" s="1122"/>
      <c r="E606" s="1011"/>
      <c r="F606" s="1011"/>
      <c r="G606" s="1035"/>
      <c r="H606" s="1035"/>
      <c r="I606" s="1010"/>
      <c r="J606" s="1011"/>
      <c r="K606" s="1035"/>
      <c r="L606" s="1035"/>
      <c r="M606" s="1035"/>
      <c r="N606" s="1035"/>
      <c r="O606" s="1012"/>
      <c r="P606" s="1040" t="s">
        <v>418</v>
      </c>
    </row>
    <row r="607" spans="1:16" ht="62" outlineLevel="1">
      <c r="A607" s="1031">
        <v>194</v>
      </c>
      <c r="B607" s="1013">
        <f t="shared" si="36"/>
        <v>194</v>
      </c>
      <c r="C607" s="1125" t="str">
        <f t="shared" si="37"/>
        <v>IVF194</v>
      </c>
      <c r="D607" s="1009" t="s">
        <v>242</v>
      </c>
      <c r="E607" s="1031">
        <v>1</v>
      </c>
      <c r="F607" s="1030" t="s">
        <v>231</v>
      </c>
      <c r="G607" s="1032">
        <v>375000</v>
      </c>
      <c r="H607" s="1033">
        <f>ROUND(E607*G607,0)</f>
        <v>375000</v>
      </c>
      <c r="I607" s="1034">
        <f>E607</f>
        <v>1</v>
      </c>
      <c r="J607" s="1031" t="str">
        <f>F607</f>
        <v>each</v>
      </c>
      <c r="K607" s="1033">
        <f>G607</f>
        <v>375000</v>
      </c>
      <c r="L607" s="1033">
        <f>ROUND(I607*K607,0)</f>
        <v>375000</v>
      </c>
      <c r="M607" s="1035">
        <f>IF(L607&gt;H607,L607-H607,0)</f>
        <v>0</v>
      </c>
      <c r="N607" s="1033">
        <f>IF(H607&gt;L607,H607-L607,0)</f>
        <v>0</v>
      </c>
      <c r="O607" s="1012" t="s">
        <v>2353</v>
      </c>
      <c r="P607" s="1040" t="s">
        <v>418</v>
      </c>
    </row>
    <row r="608" spans="1:16" outlineLevel="1">
      <c r="A608" s="1011"/>
      <c r="B608" s="1013" t="str">
        <f t="shared" si="36"/>
        <v/>
      </c>
      <c r="C608" s="1125"/>
      <c r="D608" s="1122" t="s">
        <v>2519</v>
      </c>
      <c r="E608" s="1011"/>
      <c r="F608" s="1011"/>
      <c r="G608" s="1035"/>
      <c r="H608" s="1035"/>
      <c r="I608" s="1010"/>
      <c r="J608" s="1011"/>
      <c r="K608" s="1035"/>
      <c r="L608" s="1035"/>
      <c r="M608" s="1035"/>
      <c r="N608" s="1035"/>
      <c r="O608" s="1012"/>
      <c r="P608" s="1040" t="s">
        <v>418</v>
      </c>
    </row>
    <row r="609" spans="1:16" outlineLevel="1">
      <c r="A609" s="1011"/>
      <c r="B609" s="1013"/>
      <c r="C609" s="1125"/>
      <c r="D609" s="1122"/>
      <c r="E609" s="1011"/>
      <c r="F609" s="1011"/>
      <c r="G609" s="1035"/>
      <c r="H609" s="1035"/>
      <c r="I609" s="1010"/>
      <c r="J609" s="1011"/>
      <c r="K609" s="1035"/>
      <c r="L609" s="1035"/>
      <c r="M609" s="1035"/>
      <c r="N609" s="1035"/>
      <c r="O609" s="1214"/>
      <c r="P609" s="1040" t="s">
        <v>418</v>
      </c>
    </row>
    <row r="610" spans="1:16" ht="46.5" outlineLevel="1">
      <c r="A610" s="1031">
        <v>195</v>
      </c>
      <c r="B610" s="1013">
        <f t="shared" si="36"/>
        <v>195</v>
      </c>
      <c r="C610" s="1125" t="str">
        <f t="shared" si="37"/>
        <v>IVF195</v>
      </c>
      <c r="D610" s="1009" t="s">
        <v>243</v>
      </c>
      <c r="E610" s="1031">
        <v>3</v>
      </c>
      <c r="F610" s="1030" t="s">
        <v>231</v>
      </c>
      <c r="G610" s="1032">
        <v>1938</v>
      </c>
      <c r="H610" s="1033">
        <f>ROUND(E610*G610,0)</f>
        <v>5814</v>
      </c>
      <c r="I610" s="1034">
        <f>E610</f>
        <v>3</v>
      </c>
      <c r="J610" s="1031" t="str">
        <f>F610</f>
        <v>each</v>
      </c>
      <c r="K610" s="1033">
        <f>G610</f>
        <v>1938</v>
      </c>
      <c r="L610" s="1033">
        <f>ROUND(I610*K610,0)</f>
        <v>5814</v>
      </c>
      <c r="M610" s="1035">
        <f>IF(L610&gt;H610,L610-H610,0)</f>
        <v>0</v>
      </c>
      <c r="N610" s="1033">
        <f>IF(H610&gt;L610,H610-L610,0)</f>
        <v>0</v>
      </c>
      <c r="O610" s="1236" t="s">
        <v>2358</v>
      </c>
      <c r="P610" s="1040" t="s">
        <v>418</v>
      </c>
    </row>
    <row r="611" spans="1:16" ht="15.5" customHeight="1" outlineLevel="1">
      <c r="A611" s="1011"/>
      <c r="B611" s="1013" t="str">
        <f t="shared" si="36"/>
        <v/>
      </c>
      <c r="C611" s="1125"/>
      <c r="D611" s="1039" t="s">
        <v>294</v>
      </c>
      <c r="E611" s="1011"/>
      <c r="F611" s="1011"/>
      <c r="G611" s="1035"/>
      <c r="H611" s="1035"/>
      <c r="I611" s="1010">
        <v>5</v>
      </c>
      <c r="J611" s="1031" t="str">
        <f>J610</f>
        <v>each</v>
      </c>
      <c r="K611" s="1035">
        <f>K610</f>
        <v>1938</v>
      </c>
      <c r="L611" s="1033">
        <f>ROUND(I611*K611,0)</f>
        <v>9690</v>
      </c>
      <c r="M611" s="1035">
        <f>IF(L611&gt;H611,L611-H611,0)</f>
        <v>9690</v>
      </c>
      <c r="N611" s="1033">
        <f>IF(H611&gt;L611,H611-L611,0)</f>
        <v>0</v>
      </c>
      <c r="O611" s="1237"/>
      <c r="P611" s="1040" t="s">
        <v>418</v>
      </c>
    </row>
    <row r="612" spans="1:16" outlineLevel="1">
      <c r="A612" s="1011"/>
      <c r="B612" s="1013" t="str">
        <f t="shared" si="36"/>
        <v/>
      </c>
      <c r="C612" s="1125"/>
      <c r="D612" s="1122" t="s">
        <v>2520</v>
      </c>
      <c r="E612" s="1011"/>
      <c r="F612" s="1011"/>
      <c r="G612" s="1035"/>
      <c r="H612" s="1035"/>
      <c r="I612" s="1010"/>
      <c r="J612" s="1031"/>
      <c r="K612" s="1035"/>
      <c r="L612" s="1033"/>
      <c r="M612" s="1035"/>
      <c r="N612" s="1033"/>
      <c r="O612" s="1012"/>
      <c r="P612" s="1040" t="s">
        <v>418</v>
      </c>
    </row>
    <row r="613" spans="1:16" outlineLevel="1">
      <c r="A613" s="1011"/>
      <c r="B613" s="1013"/>
      <c r="C613" s="1125"/>
      <c r="D613" s="1122"/>
      <c r="E613" s="1011"/>
      <c r="F613" s="1011"/>
      <c r="G613" s="1035"/>
      <c r="H613" s="1035"/>
      <c r="I613" s="1010"/>
      <c r="J613" s="1031"/>
      <c r="K613" s="1035"/>
      <c r="L613" s="1033"/>
      <c r="M613" s="1035"/>
      <c r="N613" s="1033"/>
      <c r="O613" s="1012"/>
      <c r="P613" s="1040" t="s">
        <v>418</v>
      </c>
    </row>
    <row r="614" spans="1:16" ht="46.5" outlineLevel="1">
      <c r="A614" s="1031">
        <v>196</v>
      </c>
      <c r="B614" s="1013">
        <f t="shared" si="36"/>
        <v>196</v>
      </c>
      <c r="C614" s="1125" t="str">
        <f t="shared" si="37"/>
        <v>IVF196</v>
      </c>
      <c r="D614" s="1009" t="s">
        <v>244</v>
      </c>
      <c r="E614" s="1031">
        <v>3</v>
      </c>
      <c r="F614" s="1030" t="s">
        <v>231</v>
      </c>
      <c r="G614" s="1032">
        <v>2740</v>
      </c>
      <c r="H614" s="1033">
        <f>ROUND(E614*G614,0)</f>
        <v>8220</v>
      </c>
      <c r="I614" s="1034">
        <f>E614</f>
        <v>3</v>
      </c>
      <c r="J614" s="1031" t="str">
        <f>F614</f>
        <v>each</v>
      </c>
      <c r="K614" s="1033">
        <f>G614</f>
        <v>2740</v>
      </c>
      <c r="L614" s="1033">
        <f>ROUND(I614*K614,0)</f>
        <v>8220</v>
      </c>
      <c r="M614" s="1035">
        <f>IF(L614&gt;H614,L614-H614,0)</f>
        <v>0</v>
      </c>
      <c r="N614" s="1033">
        <f>IF(H614&gt;L614,H614-L614,0)</f>
        <v>0</v>
      </c>
      <c r="O614" s="1012" t="s">
        <v>2353</v>
      </c>
      <c r="P614" s="1040" t="s">
        <v>418</v>
      </c>
    </row>
    <row r="615" spans="1:16" outlineLevel="1">
      <c r="A615" s="1011"/>
      <c r="B615" s="1013" t="str">
        <f t="shared" si="36"/>
        <v/>
      </c>
      <c r="C615" s="1125"/>
      <c r="D615" s="1122" t="s">
        <v>2520</v>
      </c>
      <c r="E615" s="1011"/>
      <c r="F615" s="1011"/>
      <c r="G615" s="1035"/>
      <c r="H615" s="1035"/>
      <c r="I615" s="1010"/>
      <c r="J615" s="1011"/>
      <c r="K615" s="1035"/>
      <c r="L615" s="1035"/>
      <c r="M615" s="1035"/>
      <c r="N615" s="1035"/>
      <c r="O615" s="1012"/>
      <c r="P615" s="1040" t="s">
        <v>418</v>
      </c>
    </row>
    <row r="616" spans="1:16" outlineLevel="1">
      <c r="A616" s="1011"/>
      <c r="B616" s="1013"/>
      <c r="C616" s="1125"/>
      <c r="D616" s="1122"/>
      <c r="E616" s="1011"/>
      <c r="F616" s="1011"/>
      <c r="G616" s="1035"/>
      <c r="H616" s="1035"/>
      <c r="I616" s="1010"/>
      <c r="J616" s="1011"/>
      <c r="K616" s="1035"/>
      <c r="L616" s="1035"/>
      <c r="M616" s="1035"/>
      <c r="N616" s="1035"/>
      <c r="O616" s="1012"/>
      <c r="P616" s="1040" t="s">
        <v>418</v>
      </c>
    </row>
    <row r="617" spans="1:16" ht="46.5" outlineLevel="1">
      <c r="A617" s="1031">
        <v>197</v>
      </c>
      <c r="B617" s="1013">
        <f t="shared" si="36"/>
        <v>197</v>
      </c>
      <c r="C617" s="1125" t="str">
        <f t="shared" si="37"/>
        <v>IVF197</v>
      </c>
      <c r="D617" s="1009" t="s">
        <v>245</v>
      </c>
      <c r="E617" s="1031">
        <v>4</v>
      </c>
      <c r="F617" s="1030" t="s">
        <v>231</v>
      </c>
      <c r="G617" s="1032">
        <v>4378</v>
      </c>
      <c r="H617" s="1033">
        <f>ROUND(E617*G617,0)</f>
        <v>17512</v>
      </c>
      <c r="I617" s="1034">
        <f>E617</f>
        <v>4</v>
      </c>
      <c r="J617" s="1031" t="str">
        <f>F617</f>
        <v>each</v>
      </c>
      <c r="K617" s="1033">
        <f>G617</f>
        <v>4378</v>
      </c>
      <c r="L617" s="1033">
        <f>ROUND(I617*K617,0)</f>
        <v>17512</v>
      </c>
      <c r="M617" s="1035">
        <f>IF(L617&gt;H617,L617-H617,0)</f>
        <v>0</v>
      </c>
      <c r="N617" s="1033">
        <f>IF(H617&gt;L617,H617-L617,0)</f>
        <v>0</v>
      </c>
      <c r="O617" s="1012" t="s">
        <v>2353</v>
      </c>
      <c r="P617" s="1040" t="s">
        <v>418</v>
      </c>
    </row>
    <row r="618" spans="1:16" outlineLevel="1">
      <c r="A618" s="1011"/>
      <c r="B618" s="1013" t="str">
        <f t="shared" si="36"/>
        <v/>
      </c>
      <c r="C618" s="1125"/>
      <c r="D618" s="1122" t="s">
        <v>2520</v>
      </c>
      <c r="E618" s="1011"/>
      <c r="F618" s="1011"/>
      <c r="G618" s="1035"/>
      <c r="H618" s="1035"/>
      <c r="I618" s="1010"/>
      <c r="J618" s="1011"/>
      <c r="K618" s="1035"/>
      <c r="L618" s="1035"/>
      <c r="M618" s="1035"/>
      <c r="N618" s="1035"/>
      <c r="O618" s="1012"/>
      <c r="P618" s="1040" t="s">
        <v>418</v>
      </c>
    </row>
    <row r="619" spans="1:16" outlineLevel="1">
      <c r="A619" s="1011"/>
      <c r="B619" s="1013"/>
      <c r="C619" s="1125"/>
      <c r="D619" s="1122"/>
      <c r="E619" s="1011"/>
      <c r="F619" s="1011"/>
      <c r="G619" s="1035"/>
      <c r="H619" s="1035"/>
      <c r="I619" s="1010"/>
      <c r="J619" s="1011"/>
      <c r="K619" s="1035"/>
      <c r="L619" s="1035"/>
      <c r="M619" s="1035"/>
      <c r="N619" s="1035"/>
      <c r="O619" s="1012"/>
      <c r="P619" s="1040" t="s">
        <v>418</v>
      </c>
    </row>
    <row r="620" spans="1:16" ht="31" outlineLevel="1">
      <c r="A620" s="1031">
        <v>198</v>
      </c>
      <c r="B620" s="1013">
        <f t="shared" si="36"/>
        <v>198</v>
      </c>
      <c r="C620" s="1125" t="str">
        <f t="shared" si="37"/>
        <v>IVF198</v>
      </c>
      <c r="D620" s="1009" t="s">
        <v>246</v>
      </c>
      <c r="E620" s="1031">
        <v>2</v>
      </c>
      <c r="F620" s="1030" t="s">
        <v>231</v>
      </c>
      <c r="G620" s="1032">
        <v>36750</v>
      </c>
      <c r="H620" s="1033">
        <f>ROUND(E620*G620,0)</f>
        <v>73500</v>
      </c>
      <c r="I620" s="1034">
        <f>E620</f>
        <v>2</v>
      </c>
      <c r="J620" s="1031" t="str">
        <f>F620</f>
        <v>each</v>
      </c>
      <c r="K620" s="1033">
        <f>G620</f>
        <v>36750</v>
      </c>
      <c r="L620" s="1033">
        <f>ROUND(I620*K620,0)</f>
        <v>73500</v>
      </c>
      <c r="M620" s="1035">
        <f>IF(L620&gt;H620,L620-H620,0)</f>
        <v>0</v>
      </c>
      <c r="N620" s="1033">
        <f>IF(H620&gt;L620,H620-L620,0)</f>
        <v>0</v>
      </c>
      <c r="O620" s="1012" t="s">
        <v>2353</v>
      </c>
      <c r="P620" s="1040" t="s">
        <v>418</v>
      </c>
    </row>
    <row r="621" spans="1:16" outlineLevel="1">
      <c r="A621" s="1013"/>
      <c r="B621" s="1013" t="str">
        <f t="shared" si="36"/>
        <v/>
      </c>
      <c r="C621" s="1014"/>
      <c r="D621" s="1122" t="s">
        <v>2520</v>
      </c>
      <c r="E621" s="1013"/>
      <c r="F621" s="1013"/>
      <c r="G621" s="1086"/>
      <c r="H621" s="1087"/>
      <c r="I621" s="1088"/>
      <c r="J621" s="1013"/>
      <c r="K621" s="1087"/>
      <c r="L621" s="1087"/>
      <c r="M621" s="1086"/>
      <c r="N621" s="1086"/>
      <c r="O621" s="1012"/>
      <c r="P621" s="1040" t="s">
        <v>418</v>
      </c>
    </row>
    <row r="622" spans="1:16" outlineLevel="1">
      <c r="A622" s="1013"/>
      <c r="B622" s="1013"/>
      <c r="C622" s="1014"/>
      <c r="D622" s="1122"/>
      <c r="E622" s="1013"/>
      <c r="F622" s="1013"/>
      <c r="G622" s="1086"/>
      <c r="H622" s="1087"/>
      <c r="I622" s="1088"/>
      <c r="J622" s="1013"/>
      <c r="K622" s="1087"/>
      <c r="L622" s="1087"/>
      <c r="M622" s="1086"/>
      <c r="N622" s="1086"/>
      <c r="O622" s="1012"/>
      <c r="P622" s="1040" t="s">
        <v>418</v>
      </c>
    </row>
    <row r="623" spans="1:16" ht="21" customHeight="1">
      <c r="A623" s="1013"/>
      <c r="B623" s="1013" t="str">
        <f t="shared" si="36"/>
        <v/>
      </c>
      <c r="C623" s="1014"/>
      <c r="D623" s="1009"/>
      <c r="E623" s="1013"/>
      <c r="F623" s="1013"/>
      <c r="G623" s="1086"/>
      <c r="H623" s="1087"/>
      <c r="I623" s="1088"/>
      <c r="J623" s="1013"/>
      <c r="K623" s="1089" t="s">
        <v>405</v>
      </c>
      <c r="L623" s="1090">
        <f>ROUND(SUM(L564:L621),0)</f>
        <v>1159402</v>
      </c>
      <c r="M623" s="1090">
        <f t="shared" ref="M623:N623" si="41">SUM(M564:M621)</f>
        <v>133579.6</v>
      </c>
      <c r="N623" s="1090">
        <f t="shared" si="41"/>
        <v>0</v>
      </c>
      <c r="O623" s="1012"/>
    </row>
    <row r="624" spans="1:16" ht="24.65" customHeight="1">
      <c r="A624" s="1013"/>
      <c r="B624" s="1013" t="str">
        <f t="shared" si="36"/>
        <v/>
      </c>
      <c r="C624" s="1014"/>
      <c r="D624" s="1009"/>
      <c r="E624" s="1013"/>
      <c r="F624" s="1091"/>
      <c r="G624" s="1092" t="s">
        <v>408</v>
      </c>
      <c r="H624" s="1093">
        <f>SUM(H7:H623)</f>
        <v>43854853</v>
      </c>
      <c r="I624" s="1094"/>
      <c r="J624" s="1095"/>
      <c r="K624" s="1096"/>
      <c r="L624" s="1093">
        <f>ROUND((L623+L562+L457+L440+L426+L284+L243+L144),0)</f>
        <v>42221026</v>
      </c>
      <c r="M624" s="1093">
        <f>M623+M562+M457+M440+M426+M284+M243+M144</f>
        <v>1853946.6</v>
      </c>
      <c r="N624" s="1093">
        <f>N623+N562+N457+N440+N426+N284+N243+N144</f>
        <v>3487774</v>
      </c>
      <c r="O624" s="1097"/>
    </row>
    <row r="625" spans="1:30" ht="22.15" customHeight="1">
      <c r="A625" s="1031"/>
      <c r="B625" s="1013" t="str">
        <f t="shared" si="36"/>
        <v/>
      </c>
      <c r="C625" s="1014"/>
      <c r="D625" s="1077" t="s">
        <v>407</v>
      </c>
      <c r="E625" s="1031"/>
      <c r="F625" s="1030"/>
      <c r="G625" s="1098"/>
      <c r="H625" s="1099"/>
      <c r="I625" s="1034"/>
      <c r="J625" s="1031"/>
      <c r="K625" s="1100"/>
      <c r="L625" s="1100"/>
      <c r="M625" s="1101"/>
      <c r="N625" s="1100"/>
      <c r="O625" s="1012"/>
      <c r="P625" s="1018"/>
      <c r="Q625" s="1013"/>
      <c r="R625" s="1014"/>
      <c r="S625" s="1014"/>
      <c r="T625" s="1014"/>
      <c r="U625" s="1041"/>
      <c r="V625" s="1037"/>
      <c r="W625" s="1038"/>
      <c r="X625" s="1014"/>
      <c r="Y625" s="1014"/>
      <c r="Z625" s="1014"/>
      <c r="AA625" s="1014"/>
      <c r="AB625" s="1014"/>
      <c r="AC625" s="1014"/>
      <c r="AD625" s="1014"/>
    </row>
    <row r="626" spans="1:30" ht="124" outlineLevel="1">
      <c r="A626" s="1031">
        <v>1</v>
      </c>
      <c r="B626" s="1013"/>
      <c r="C626" s="1014"/>
      <c r="D626" s="1009" t="s">
        <v>2329</v>
      </c>
      <c r="E626" s="1031">
        <v>0</v>
      </c>
      <c r="F626" s="1030" t="s">
        <v>14</v>
      </c>
      <c r="G626" s="1098" t="s">
        <v>433</v>
      </c>
      <c r="H626" s="1099"/>
      <c r="I626" s="1034">
        <v>5</v>
      </c>
      <c r="J626" s="1031" t="s">
        <v>14</v>
      </c>
      <c r="K626" s="1102">
        <v>39000</v>
      </c>
      <c r="L626" s="1102">
        <f>ROUND(I626*K626,0)</f>
        <v>195000</v>
      </c>
      <c r="M626" s="1103">
        <f>IF(L626&gt;H626,L626-H626,0)</f>
        <v>195000</v>
      </c>
      <c r="N626" s="1102">
        <f>IF(H626&gt;L626,H626-L626,0)</f>
        <v>0</v>
      </c>
      <c r="O626" s="1104" t="s">
        <v>2524</v>
      </c>
      <c r="P626" s="1018" t="s">
        <v>430</v>
      </c>
      <c r="Q626" s="1013"/>
      <c r="R626" s="1014"/>
      <c r="S626" s="1014"/>
      <c r="T626" s="1014"/>
      <c r="U626" s="1041"/>
      <c r="V626" s="1037"/>
      <c r="W626" s="1038"/>
      <c r="X626" s="1014"/>
      <c r="Y626" s="1014"/>
      <c r="Z626" s="1014"/>
      <c r="AA626" s="1014"/>
      <c r="AB626" s="1014"/>
      <c r="AC626" s="1014"/>
      <c r="AD626" s="1014"/>
    </row>
    <row r="627" spans="1:30" ht="46.5" outlineLevel="1">
      <c r="A627" s="1031">
        <v>2</v>
      </c>
      <c r="B627" s="1013"/>
      <c r="C627" s="1014"/>
      <c r="D627" s="1009" t="s">
        <v>2333</v>
      </c>
      <c r="E627" s="1031">
        <v>0</v>
      </c>
      <c r="F627" s="1030" t="s">
        <v>14</v>
      </c>
      <c r="G627" s="1098"/>
      <c r="H627" s="1099"/>
      <c r="I627" s="1034">
        <v>5</v>
      </c>
      <c r="J627" s="1031" t="s">
        <v>14</v>
      </c>
      <c r="K627" s="1102">
        <v>9000</v>
      </c>
      <c r="L627" s="1102">
        <f t="shared" ref="L627:L644" si="42">ROUND(I627*K627,0)</f>
        <v>45000</v>
      </c>
      <c r="M627" s="1103">
        <f t="shared" ref="M627:M644" si="43">IF(L627&gt;H627,L627-H627,0)</f>
        <v>45000</v>
      </c>
      <c r="N627" s="1102">
        <f t="shared" ref="N627:N644" si="44">IF(H627&gt;L627,H627-L627,0)</f>
        <v>0</v>
      </c>
      <c r="O627" s="1104" t="s">
        <v>2524</v>
      </c>
      <c r="P627" s="1018" t="s">
        <v>430</v>
      </c>
      <c r="Q627" s="1013"/>
      <c r="R627" s="1014"/>
      <c r="S627" s="1014"/>
      <c r="T627" s="1014"/>
      <c r="U627" s="1041"/>
      <c r="V627" s="1037"/>
      <c r="W627" s="1038"/>
      <c r="X627" s="1014"/>
      <c r="Y627" s="1014"/>
      <c r="Z627" s="1014"/>
      <c r="AA627" s="1014"/>
      <c r="AB627" s="1014"/>
      <c r="AC627" s="1014"/>
      <c r="AD627" s="1014"/>
    </row>
    <row r="628" spans="1:30" ht="62" outlineLevel="1">
      <c r="A628" s="1031">
        <v>3</v>
      </c>
      <c r="B628" s="1013"/>
      <c r="C628" s="1014"/>
      <c r="D628" s="1009" t="s">
        <v>2330</v>
      </c>
      <c r="E628" s="1031">
        <v>0</v>
      </c>
      <c r="F628" s="1030" t="s">
        <v>14</v>
      </c>
      <c r="G628" s="1098"/>
      <c r="H628" s="1099"/>
      <c r="I628" s="1034">
        <v>1</v>
      </c>
      <c r="J628" s="1031" t="s">
        <v>14</v>
      </c>
      <c r="K628" s="1102">
        <v>8400</v>
      </c>
      <c r="L628" s="1102">
        <f t="shared" si="42"/>
        <v>8400</v>
      </c>
      <c r="M628" s="1103">
        <f t="shared" ref="M628:M630" si="45">IF(L628&gt;H628,L628-H628,0)</f>
        <v>8400</v>
      </c>
      <c r="N628" s="1102">
        <f t="shared" ref="N628:N630" si="46">IF(H628&gt;L628,H628-L628,0)</f>
        <v>0</v>
      </c>
      <c r="O628" s="1104" t="s">
        <v>2524</v>
      </c>
      <c r="P628" s="1018" t="s">
        <v>430</v>
      </c>
      <c r="Q628" s="1013"/>
      <c r="R628" s="1014"/>
      <c r="S628" s="1014"/>
      <c r="T628" s="1014"/>
      <c r="U628" s="1041"/>
      <c r="V628" s="1037"/>
      <c r="W628" s="1038"/>
      <c r="X628" s="1014"/>
      <c r="Y628" s="1014"/>
      <c r="Z628" s="1014"/>
      <c r="AA628" s="1014"/>
      <c r="AB628" s="1014"/>
      <c r="AC628" s="1014"/>
      <c r="AD628" s="1014"/>
    </row>
    <row r="629" spans="1:30" ht="46.5" outlineLevel="1">
      <c r="A629" s="1031">
        <v>4</v>
      </c>
      <c r="B629" s="1013"/>
      <c r="C629" s="1014"/>
      <c r="D629" s="1009" t="s">
        <v>2331</v>
      </c>
      <c r="E629" s="1031">
        <v>0</v>
      </c>
      <c r="F629" s="1030" t="s">
        <v>14</v>
      </c>
      <c r="G629" s="1098"/>
      <c r="H629" s="1099"/>
      <c r="I629" s="1034">
        <v>1</v>
      </c>
      <c r="J629" s="1031" t="s">
        <v>14</v>
      </c>
      <c r="K629" s="1102">
        <v>9300</v>
      </c>
      <c r="L629" s="1102">
        <f t="shared" si="42"/>
        <v>9300</v>
      </c>
      <c r="M629" s="1103">
        <f t="shared" si="45"/>
        <v>9300</v>
      </c>
      <c r="N629" s="1102">
        <f t="shared" si="46"/>
        <v>0</v>
      </c>
      <c r="O629" s="1104" t="s">
        <v>2524</v>
      </c>
      <c r="P629" s="1018" t="s">
        <v>430</v>
      </c>
      <c r="Q629" s="1013"/>
      <c r="R629" s="1014"/>
      <c r="S629" s="1014"/>
      <c r="T629" s="1014"/>
      <c r="U629" s="1041"/>
      <c r="V629" s="1037"/>
      <c r="W629" s="1038"/>
      <c r="X629" s="1014"/>
      <c r="Y629" s="1014"/>
      <c r="Z629" s="1014"/>
      <c r="AA629" s="1014"/>
      <c r="AB629" s="1014"/>
      <c r="AC629" s="1014"/>
      <c r="AD629" s="1014"/>
    </row>
    <row r="630" spans="1:30" ht="46.5" outlineLevel="1">
      <c r="A630" s="1031">
        <v>5</v>
      </c>
      <c r="B630" s="1013"/>
      <c r="C630" s="1014"/>
      <c r="D630" s="1009" t="s">
        <v>2332</v>
      </c>
      <c r="E630" s="1031">
        <v>0</v>
      </c>
      <c r="F630" s="1030" t="s">
        <v>14</v>
      </c>
      <c r="G630" s="1098"/>
      <c r="H630" s="1099"/>
      <c r="I630" s="1034">
        <v>1</v>
      </c>
      <c r="J630" s="1031" t="s">
        <v>14</v>
      </c>
      <c r="K630" s="1102">
        <v>4200</v>
      </c>
      <c r="L630" s="1102">
        <f t="shared" si="42"/>
        <v>4200</v>
      </c>
      <c r="M630" s="1103">
        <f t="shared" si="45"/>
        <v>4200</v>
      </c>
      <c r="N630" s="1102">
        <f t="shared" si="46"/>
        <v>0</v>
      </c>
      <c r="O630" s="1104" t="s">
        <v>2524</v>
      </c>
      <c r="P630" s="1018" t="s">
        <v>430</v>
      </c>
      <c r="Q630" s="1013"/>
      <c r="R630" s="1014"/>
      <c r="S630" s="1014"/>
      <c r="T630" s="1014"/>
      <c r="U630" s="1041"/>
      <c r="V630" s="1037"/>
      <c r="W630" s="1038"/>
      <c r="X630" s="1014"/>
      <c r="Y630" s="1014"/>
      <c r="Z630" s="1014"/>
      <c r="AA630" s="1014"/>
      <c r="AB630" s="1014"/>
      <c r="AC630" s="1014"/>
      <c r="AD630" s="1014"/>
    </row>
    <row r="631" spans="1:30" ht="46.5" outlineLevel="1">
      <c r="A631" s="1031">
        <v>6</v>
      </c>
      <c r="B631" s="1013"/>
      <c r="C631" s="1014"/>
      <c r="D631" s="1009" t="s">
        <v>316</v>
      </c>
      <c r="E631" s="1031">
        <v>0</v>
      </c>
      <c r="F631" s="1030" t="s">
        <v>14</v>
      </c>
      <c r="G631" s="1098"/>
      <c r="H631" s="1099"/>
      <c r="I631" s="1034">
        <v>1</v>
      </c>
      <c r="J631" s="1031" t="s">
        <v>14</v>
      </c>
      <c r="K631" s="1102">
        <v>32000</v>
      </c>
      <c r="L631" s="1102">
        <f t="shared" si="42"/>
        <v>32000</v>
      </c>
      <c r="M631" s="1103">
        <f t="shared" si="43"/>
        <v>32000</v>
      </c>
      <c r="N631" s="1102">
        <f t="shared" si="44"/>
        <v>0</v>
      </c>
      <c r="O631" s="1104" t="s">
        <v>2524</v>
      </c>
      <c r="P631" s="1018" t="s">
        <v>430</v>
      </c>
      <c r="Q631" s="1013"/>
      <c r="R631" s="1014"/>
      <c r="S631" s="1014"/>
      <c r="T631" s="1014"/>
      <c r="U631" s="1041"/>
      <c r="V631" s="1037"/>
      <c r="W631" s="1038"/>
      <c r="X631" s="1014"/>
      <c r="Y631" s="1014"/>
      <c r="Z631" s="1014"/>
      <c r="AA631" s="1014"/>
      <c r="AB631" s="1014"/>
      <c r="AC631" s="1014"/>
      <c r="AD631" s="1014"/>
    </row>
    <row r="632" spans="1:30" ht="164" customHeight="1" outlineLevel="1">
      <c r="A632" s="1031">
        <v>7</v>
      </c>
      <c r="B632" s="1013"/>
      <c r="C632" s="1014"/>
      <c r="D632" s="1009" t="s">
        <v>2337</v>
      </c>
      <c r="E632" s="1031">
        <v>0</v>
      </c>
      <c r="F632" s="1030" t="s">
        <v>433</v>
      </c>
      <c r="G632" s="1098"/>
      <c r="H632" s="1099"/>
      <c r="I632" s="1034">
        <v>1</v>
      </c>
      <c r="J632" s="1031" t="s">
        <v>14</v>
      </c>
      <c r="K632" s="1102">
        <v>97000</v>
      </c>
      <c r="L632" s="1102">
        <f t="shared" si="42"/>
        <v>97000</v>
      </c>
      <c r="M632" s="1103">
        <f t="shared" si="43"/>
        <v>97000</v>
      </c>
      <c r="N632" s="1102">
        <f t="shared" si="44"/>
        <v>0</v>
      </c>
      <c r="O632" s="1104" t="s">
        <v>2525</v>
      </c>
      <c r="P632" s="1018" t="s">
        <v>430</v>
      </c>
      <c r="Q632" s="1013"/>
      <c r="R632" s="1014"/>
      <c r="S632" s="1014"/>
      <c r="T632" s="1014"/>
      <c r="U632" s="1041"/>
      <c r="V632" s="1037"/>
      <c r="W632" s="1038"/>
      <c r="X632" s="1014"/>
      <c r="Y632" s="1014"/>
      <c r="Z632" s="1014"/>
      <c r="AA632" s="1014"/>
      <c r="AB632" s="1014"/>
      <c r="AC632" s="1014"/>
      <c r="AD632" s="1014"/>
    </row>
    <row r="633" spans="1:30" ht="155" outlineLevel="1">
      <c r="A633" s="1031">
        <v>8</v>
      </c>
      <c r="B633" s="1013"/>
      <c r="C633" s="1014"/>
      <c r="D633" s="1009" t="s">
        <v>2338</v>
      </c>
      <c r="E633" s="1031">
        <v>0</v>
      </c>
      <c r="F633" s="1030" t="s">
        <v>14</v>
      </c>
      <c r="G633" s="1098"/>
      <c r="H633" s="1099"/>
      <c r="I633" s="1034">
        <v>1</v>
      </c>
      <c r="J633" s="1031" t="s">
        <v>14</v>
      </c>
      <c r="K633" s="1102">
        <v>29000</v>
      </c>
      <c r="L633" s="1102">
        <f t="shared" si="42"/>
        <v>29000</v>
      </c>
      <c r="M633" s="1103">
        <f t="shared" si="43"/>
        <v>29000</v>
      </c>
      <c r="N633" s="1102">
        <f t="shared" si="44"/>
        <v>0</v>
      </c>
      <c r="O633" s="1104" t="s">
        <v>2524</v>
      </c>
      <c r="P633" s="1018" t="s">
        <v>430</v>
      </c>
      <c r="Q633" s="1013"/>
      <c r="R633" s="1014"/>
      <c r="S633" s="1014"/>
      <c r="T633" s="1014"/>
      <c r="U633" s="1041"/>
      <c r="V633" s="1037"/>
      <c r="W633" s="1038"/>
      <c r="X633" s="1014"/>
      <c r="Y633" s="1014"/>
      <c r="Z633" s="1014"/>
      <c r="AA633" s="1014"/>
      <c r="AB633" s="1014"/>
      <c r="AC633" s="1014"/>
      <c r="AD633" s="1014"/>
    </row>
    <row r="634" spans="1:30" ht="108.5" outlineLevel="1">
      <c r="A634" s="1031">
        <v>9</v>
      </c>
      <c r="B634" s="1013"/>
      <c r="C634" s="1014"/>
      <c r="D634" s="1009" t="s">
        <v>2339</v>
      </c>
      <c r="E634" s="1031">
        <v>0</v>
      </c>
      <c r="F634" s="1030" t="s">
        <v>14</v>
      </c>
      <c r="G634" s="1098"/>
      <c r="H634" s="1099"/>
      <c r="I634" s="1034">
        <v>1</v>
      </c>
      <c r="J634" s="1031" t="s">
        <v>14</v>
      </c>
      <c r="K634" s="1102">
        <v>16200</v>
      </c>
      <c r="L634" s="1102">
        <f t="shared" si="42"/>
        <v>16200</v>
      </c>
      <c r="M634" s="1103">
        <f t="shared" si="43"/>
        <v>16200</v>
      </c>
      <c r="N634" s="1102">
        <f t="shared" si="44"/>
        <v>0</v>
      </c>
      <c r="O634" s="1104" t="s">
        <v>2524</v>
      </c>
      <c r="P634" s="1018" t="s">
        <v>430</v>
      </c>
      <c r="Q634" s="1013"/>
      <c r="R634" s="1014"/>
      <c r="S634" s="1014"/>
      <c r="T634" s="1014"/>
      <c r="U634" s="1041"/>
      <c r="V634" s="1037"/>
      <c r="W634" s="1038"/>
      <c r="X634" s="1014"/>
      <c r="Y634" s="1014"/>
      <c r="Z634" s="1014"/>
      <c r="AA634" s="1014"/>
      <c r="AB634" s="1014"/>
      <c r="AC634" s="1014"/>
      <c r="AD634" s="1014"/>
    </row>
    <row r="635" spans="1:30" ht="124" outlineLevel="1">
      <c r="A635" s="1031">
        <v>10</v>
      </c>
      <c r="B635" s="1013"/>
      <c r="C635" s="1014"/>
      <c r="D635" s="1009" t="s">
        <v>2336</v>
      </c>
      <c r="E635" s="1031">
        <v>0</v>
      </c>
      <c r="F635" s="1030" t="s">
        <v>14</v>
      </c>
      <c r="G635" s="1098"/>
      <c r="H635" s="1099"/>
      <c r="I635" s="1034">
        <v>1</v>
      </c>
      <c r="J635" s="1031" t="s">
        <v>14</v>
      </c>
      <c r="K635" s="1102">
        <v>46000</v>
      </c>
      <c r="L635" s="1102">
        <f t="shared" si="42"/>
        <v>46000</v>
      </c>
      <c r="M635" s="1103">
        <f t="shared" si="43"/>
        <v>46000</v>
      </c>
      <c r="N635" s="1102">
        <f t="shared" si="44"/>
        <v>0</v>
      </c>
      <c r="O635" s="1104" t="s">
        <v>2524</v>
      </c>
      <c r="P635" s="1018" t="s">
        <v>430</v>
      </c>
      <c r="Q635" s="1013"/>
      <c r="R635" s="1014"/>
      <c r="S635" s="1014"/>
      <c r="T635" s="1014"/>
      <c r="U635" s="1041"/>
      <c r="V635" s="1037"/>
      <c r="W635" s="1038"/>
      <c r="X635" s="1014"/>
      <c r="Y635" s="1014"/>
      <c r="Z635" s="1014"/>
      <c r="AA635" s="1014"/>
      <c r="AB635" s="1014"/>
      <c r="AC635" s="1014"/>
      <c r="AD635" s="1014"/>
    </row>
    <row r="636" spans="1:30" ht="124" outlineLevel="1">
      <c r="A636" s="1031">
        <v>11</v>
      </c>
      <c r="B636" s="1013"/>
      <c r="C636" s="1014"/>
      <c r="D636" s="1009" t="s">
        <v>2344</v>
      </c>
      <c r="E636" s="1031">
        <v>0</v>
      </c>
      <c r="F636" s="1030" t="s">
        <v>14</v>
      </c>
      <c r="G636" s="1098"/>
      <c r="H636" s="1099"/>
      <c r="I636" s="1034">
        <v>2</v>
      </c>
      <c r="J636" s="1031" t="s">
        <v>14</v>
      </c>
      <c r="K636" s="1102">
        <v>2100</v>
      </c>
      <c r="L636" s="1102">
        <f t="shared" si="42"/>
        <v>4200</v>
      </c>
      <c r="M636" s="1103">
        <f t="shared" si="43"/>
        <v>4200</v>
      </c>
      <c r="N636" s="1102">
        <f t="shared" si="44"/>
        <v>0</v>
      </c>
      <c r="O636" s="1104" t="s">
        <v>2524</v>
      </c>
      <c r="P636" s="1018" t="s">
        <v>430</v>
      </c>
      <c r="Q636" s="1013"/>
      <c r="R636" s="1014"/>
      <c r="S636" s="1014"/>
      <c r="T636" s="1014"/>
      <c r="U636" s="1041"/>
      <c r="V636" s="1037"/>
      <c r="W636" s="1038"/>
      <c r="X636" s="1014"/>
      <c r="Y636" s="1014"/>
      <c r="Z636" s="1014"/>
      <c r="AA636" s="1014"/>
      <c r="AB636" s="1014"/>
      <c r="AC636" s="1014"/>
      <c r="AD636" s="1014"/>
    </row>
    <row r="637" spans="1:30" ht="62" outlineLevel="1">
      <c r="A637" s="1031">
        <v>12</v>
      </c>
      <c r="B637" s="1013"/>
      <c r="C637" s="1014"/>
      <c r="D637" s="1009" t="s">
        <v>2345</v>
      </c>
      <c r="E637" s="1031">
        <v>0</v>
      </c>
      <c r="F637" s="1030" t="s">
        <v>14</v>
      </c>
      <c r="G637" s="1098"/>
      <c r="H637" s="1099"/>
      <c r="I637" s="1034">
        <v>2</v>
      </c>
      <c r="J637" s="1031" t="s">
        <v>14</v>
      </c>
      <c r="K637" s="1102">
        <v>14500</v>
      </c>
      <c r="L637" s="1102">
        <f t="shared" si="42"/>
        <v>29000</v>
      </c>
      <c r="M637" s="1103">
        <f t="shared" si="43"/>
        <v>29000</v>
      </c>
      <c r="N637" s="1102">
        <f t="shared" si="44"/>
        <v>0</v>
      </c>
      <c r="O637" s="1104" t="s">
        <v>2524</v>
      </c>
      <c r="P637" s="1018" t="s">
        <v>430</v>
      </c>
      <c r="Q637" s="1013"/>
      <c r="R637" s="1014"/>
      <c r="S637" s="1014"/>
      <c r="T637" s="1014"/>
      <c r="U637" s="1041"/>
      <c r="V637" s="1037"/>
      <c r="W637" s="1038"/>
      <c r="X637" s="1014"/>
      <c r="Y637" s="1014"/>
      <c r="Z637" s="1014"/>
      <c r="AA637" s="1014"/>
      <c r="AB637" s="1014"/>
      <c r="AC637" s="1014"/>
      <c r="AD637" s="1014"/>
    </row>
    <row r="638" spans="1:30" ht="186" outlineLevel="1">
      <c r="A638" s="1031">
        <v>13</v>
      </c>
      <c r="B638" s="1013"/>
      <c r="C638" s="1014"/>
      <c r="D638" s="1009" t="s">
        <v>2378</v>
      </c>
      <c r="E638" s="1031">
        <v>0</v>
      </c>
      <c r="F638" s="1030" t="s">
        <v>14</v>
      </c>
      <c r="G638" s="1098"/>
      <c r="H638" s="1099"/>
      <c r="I638" s="1034">
        <v>2</v>
      </c>
      <c r="J638" s="1031" t="s">
        <v>14</v>
      </c>
      <c r="K638" s="1102">
        <v>24000</v>
      </c>
      <c r="L638" s="1102">
        <f t="shared" si="42"/>
        <v>48000</v>
      </c>
      <c r="M638" s="1103">
        <f t="shared" si="43"/>
        <v>48000</v>
      </c>
      <c r="N638" s="1102">
        <f t="shared" si="44"/>
        <v>0</v>
      </c>
      <c r="O638" s="1104" t="s">
        <v>2526</v>
      </c>
      <c r="P638" s="1018" t="s">
        <v>430</v>
      </c>
      <c r="Q638" s="1013"/>
      <c r="R638" s="1014"/>
      <c r="S638" s="1014"/>
      <c r="T638" s="1014"/>
      <c r="U638" s="1041"/>
      <c r="V638" s="1037"/>
      <c r="W638" s="1038"/>
      <c r="X638" s="1014"/>
      <c r="Y638" s="1014"/>
      <c r="Z638" s="1014"/>
      <c r="AA638" s="1014"/>
      <c r="AB638" s="1014"/>
      <c r="AC638" s="1014"/>
      <c r="AD638" s="1014"/>
    </row>
    <row r="639" spans="1:30" ht="62" outlineLevel="1">
      <c r="A639" s="1031">
        <v>14</v>
      </c>
      <c r="B639" s="1013"/>
      <c r="C639" s="1014"/>
      <c r="D639" s="1009" t="s">
        <v>2340</v>
      </c>
      <c r="E639" s="1031">
        <v>0</v>
      </c>
      <c r="F639" s="1030" t="s">
        <v>14</v>
      </c>
      <c r="G639" s="1098"/>
      <c r="H639" s="1099"/>
      <c r="I639" s="1034">
        <v>2</v>
      </c>
      <c r="J639" s="1031" t="s">
        <v>14</v>
      </c>
      <c r="K639" s="1102">
        <v>16300</v>
      </c>
      <c r="L639" s="1102">
        <f t="shared" si="42"/>
        <v>32600</v>
      </c>
      <c r="M639" s="1103">
        <f t="shared" si="43"/>
        <v>32600</v>
      </c>
      <c r="N639" s="1102">
        <f t="shared" si="44"/>
        <v>0</v>
      </c>
      <c r="O639" s="1104" t="s">
        <v>2524</v>
      </c>
      <c r="P639" s="1018" t="s">
        <v>430</v>
      </c>
      <c r="Q639" s="1013"/>
      <c r="R639" s="1014"/>
      <c r="S639" s="1014"/>
      <c r="T639" s="1014"/>
      <c r="U639" s="1041"/>
      <c r="V639" s="1037"/>
      <c r="W639" s="1038"/>
      <c r="X639" s="1014"/>
      <c r="Y639" s="1014"/>
      <c r="Z639" s="1014"/>
      <c r="AA639" s="1014"/>
      <c r="AB639" s="1014"/>
      <c r="AC639" s="1014"/>
      <c r="AD639" s="1014"/>
    </row>
    <row r="640" spans="1:30" ht="62" outlineLevel="1">
      <c r="A640" s="1031">
        <v>15</v>
      </c>
      <c r="B640" s="1013"/>
      <c r="C640" s="1014"/>
      <c r="D640" s="1009" t="s">
        <v>2341</v>
      </c>
      <c r="E640" s="1031">
        <v>0</v>
      </c>
      <c r="F640" s="1030" t="s">
        <v>14</v>
      </c>
      <c r="G640" s="1098"/>
      <c r="H640" s="1099"/>
      <c r="I640" s="1034">
        <v>1</v>
      </c>
      <c r="J640" s="1031" t="s">
        <v>14</v>
      </c>
      <c r="K640" s="1102">
        <v>14500</v>
      </c>
      <c r="L640" s="1102">
        <f t="shared" si="42"/>
        <v>14500</v>
      </c>
      <c r="M640" s="1103">
        <f t="shared" si="43"/>
        <v>14500</v>
      </c>
      <c r="N640" s="1102">
        <f t="shared" si="44"/>
        <v>0</v>
      </c>
      <c r="O640" s="1104" t="s">
        <v>2524</v>
      </c>
      <c r="P640" s="1018" t="s">
        <v>430</v>
      </c>
      <c r="Q640" s="1013"/>
      <c r="R640" s="1014"/>
      <c r="S640" s="1014"/>
      <c r="T640" s="1014"/>
      <c r="U640" s="1041"/>
      <c r="V640" s="1037"/>
      <c r="W640" s="1038"/>
      <c r="X640" s="1014"/>
      <c r="Y640" s="1014"/>
      <c r="Z640" s="1014"/>
      <c r="AA640" s="1014"/>
      <c r="AB640" s="1014"/>
      <c r="AC640" s="1014"/>
      <c r="AD640" s="1014"/>
    </row>
    <row r="641" spans="1:30" ht="62" outlineLevel="1">
      <c r="A641" s="1031">
        <v>16</v>
      </c>
      <c r="B641" s="1013"/>
      <c r="C641" s="1014"/>
      <c r="D641" s="1009" t="s">
        <v>2342</v>
      </c>
      <c r="E641" s="1031">
        <v>0</v>
      </c>
      <c r="F641" s="1030" t="s">
        <v>14</v>
      </c>
      <c r="G641" s="1098"/>
      <c r="H641" s="1099"/>
      <c r="I641" s="1034">
        <v>1</v>
      </c>
      <c r="J641" s="1031" t="s">
        <v>14</v>
      </c>
      <c r="K641" s="1102">
        <v>15100</v>
      </c>
      <c r="L641" s="1102">
        <f t="shared" si="42"/>
        <v>15100</v>
      </c>
      <c r="M641" s="1103">
        <f t="shared" si="43"/>
        <v>15100</v>
      </c>
      <c r="N641" s="1102">
        <f t="shared" si="44"/>
        <v>0</v>
      </c>
      <c r="O641" s="1104" t="s">
        <v>2524</v>
      </c>
      <c r="P641" s="1018" t="s">
        <v>430</v>
      </c>
      <c r="Q641" s="1013"/>
      <c r="R641" s="1014"/>
      <c r="S641" s="1014"/>
      <c r="T641" s="1014"/>
      <c r="U641" s="1041"/>
      <c r="V641" s="1037"/>
      <c r="W641" s="1038"/>
      <c r="X641" s="1014"/>
      <c r="Y641" s="1014"/>
      <c r="Z641" s="1014"/>
      <c r="AA641" s="1014"/>
      <c r="AB641" s="1014"/>
      <c r="AC641" s="1014"/>
      <c r="AD641" s="1014"/>
    </row>
    <row r="642" spans="1:30" ht="62" outlineLevel="1">
      <c r="A642" s="1031">
        <v>17</v>
      </c>
      <c r="B642" s="1013"/>
      <c r="C642" s="1014"/>
      <c r="D642" s="1009" t="s">
        <v>2343</v>
      </c>
      <c r="E642" s="1031">
        <v>0</v>
      </c>
      <c r="F642" s="1030" t="s">
        <v>14</v>
      </c>
      <c r="G642" s="1086"/>
      <c r="H642" s="1086"/>
      <c r="I642" s="1088">
        <v>1</v>
      </c>
      <c r="J642" s="1031" t="s">
        <v>14</v>
      </c>
      <c r="K642" s="1102">
        <v>15800</v>
      </c>
      <c r="L642" s="1102">
        <f t="shared" si="42"/>
        <v>15800</v>
      </c>
      <c r="M642" s="1103">
        <f t="shared" si="43"/>
        <v>15800</v>
      </c>
      <c r="N642" s="1102">
        <f t="shared" si="44"/>
        <v>0</v>
      </c>
      <c r="O642" s="1104" t="s">
        <v>2524</v>
      </c>
      <c r="P642" s="1018" t="s">
        <v>430</v>
      </c>
      <c r="Q642" s="1013"/>
      <c r="R642" s="1014"/>
      <c r="S642" s="1014"/>
      <c r="T642" s="1014"/>
      <c r="U642" s="1041"/>
      <c r="V642" s="1037"/>
      <c r="W642" s="1038"/>
      <c r="X642" s="1014"/>
      <c r="Y642" s="1014"/>
      <c r="Z642" s="1014"/>
      <c r="AA642" s="1014"/>
      <c r="AB642" s="1014"/>
      <c r="AC642" s="1014"/>
      <c r="AD642" s="1014"/>
    </row>
    <row r="643" spans="1:30" ht="93" outlineLevel="1">
      <c r="A643" s="1031">
        <v>18</v>
      </c>
      <c r="B643" s="1013"/>
      <c r="C643" s="1014"/>
      <c r="D643" s="1009" t="s">
        <v>2397</v>
      </c>
      <c r="E643" s="1031"/>
      <c r="F643" s="1030"/>
      <c r="G643" s="1086"/>
      <c r="H643" s="1086"/>
      <c r="I643" s="1088">
        <v>1</v>
      </c>
      <c r="J643" s="1031" t="s">
        <v>14</v>
      </c>
      <c r="K643" s="1102">
        <v>80000</v>
      </c>
      <c r="L643" s="1102">
        <f t="shared" si="42"/>
        <v>80000</v>
      </c>
      <c r="M643" s="1103">
        <f t="shared" si="43"/>
        <v>80000</v>
      </c>
      <c r="N643" s="1102">
        <f t="shared" si="44"/>
        <v>0</v>
      </c>
      <c r="O643" s="1104" t="s">
        <v>2524</v>
      </c>
      <c r="P643" s="1018" t="s">
        <v>430</v>
      </c>
      <c r="T643" s="1016"/>
      <c r="U643" s="1073"/>
      <c r="V643" s="1073"/>
      <c r="W643" s="1073"/>
    </row>
    <row r="644" spans="1:30" ht="249" customHeight="1" outlineLevel="1">
      <c r="A644" s="1031">
        <v>19</v>
      </c>
      <c r="B644" s="1013"/>
      <c r="C644" s="1014"/>
      <c r="D644" s="1009" t="s">
        <v>2523</v>
      </c>
      <c r="E644" s="1031"/>
      <c r="F644" s="1030"/>
      <c r="G644" s="1086"/>
      <c r="H644" s="1086"/>
      <c r="I644" s="1088">
        <v>1</v>
      </c>
      <c r="J644" s="1031" t="s">
        <v>14</v>
      </c>
      <c r="K644" s="1102">
        <v>210000</v>
      </c>
      <c r="L644" s="1102">
        <f t="shared" si="42"/>
        <v>210000</v>
      </c>
      <c r="M644" s="1103">
        <f t="shared" si="43"/>
        <v>210000</v>
      </c>
      <c r="N644" s="1102">
        <f t="shared" si="44"/>
        <v>0</v>
      </c>
      <c r="O644" s="1104" t="s">
        <v>2524</v>
      </c>
      <c r="P644" s="1018" t="s">
        <v>430</v>
      </c>
      <c r="T644" s="1016"/>
      <c r="U644" s="1073"/>
      <c r="V644" s="1073"/>
      <c r="W644" s="1073"/>
    </row>
    <row r="645" spans="1:30" ht="22.9" customHeight="1">
      <c r="A645" s="1031"/>
      <c r="B645" s="1013"/>
      <c r="C645" s="1014"/>
      <c r="D645" s="1009"/>
      <c r="E645" s="1031"/>
      <c r="F645" s="1030"/>
      <c r="G645" s="1086"/>
      <c r="H645" s="1086"/>
      <c r="I645" s="1088"/>
      <c r="J645" s="1031"/>
      <c r="K645" s="1105" t="s">
        <v>406</v>
      </c>
      <c r="L645" s="1106">
        <f>SUM(L626:L644)</f>
        <v>931300</v>
      </c>
      <c r="M645" s="1106">
        <f>SUM(M626:M644)</f>
        <v>931300</v>
      </c>
      <c r="N645" s="1106">
        <f>SUM(N626:N644)</f>
        <v>0</v>
      </c>
      <c r="O645" s="1104"/>
      <c r="T645" s="1016"/>
      <c r="U645" s="1073"/>
      <c r="V645" s="1073"/>
      <c r="W645" s="1073"/>
    </row>
    <row r="646" spans="1:30" ht="27" customHeight="1">
      <c r="A646" s="1031"/>
      <c r="B646" s="1013"/>
      <c r="C646" s="1014"/>
      <c r="D646" s="1077" t="s">
        <v>393</v>
      </c>
      <c r="E646" s="1031"/>
      <c r="F646" s="1030"/>
      <c r="G646" s="1107"/>
      <c r="H646" s="1099"/>
      <c r="I646" s="1010"/>
      <c r="J646" s="1031"/>
      <c r="K646" s="1108"/>
      <c r="L646" s="1108"/>
      <c r="M646" s="1109"/>
      <c r="N646" s="1108"/>
      <c r="O646" s="1104"/>
      <c r="P646" s="1018"/>
      <c r="Q646" s="1013"/>
      <c r="R646" s="1014" t="s">
        <v>434</v>
      </c>
      <c r="S646" s="1014" t="s">
        <v>435</v>
      </c>
      <c r="T646" s="1014"/>
      <c r="U646" s="1073"/>
      <c r="V646" s="1073"/>
      <c r="W646" s="1073"/>
      <c r="X646" s="1014"/>
      <c r="Y646" s="1014"/>
      <c r="Z646" s="1014"/>
      <c r="AA646" s="1014"/>
      <c r="AB646" s="1014"/>
      <c r="AC646" s="1014"/>
      <c r="AD646" s="1014"/>
    </row>
    <row r="647" spans="1:30" ht="84" customHeight="1" outlineLevel="1">
      <c r="A647" s="1031">
        <v>19</v>
      </c>
      <c r="B647" s="1013"/>
      <c r="C647" s="1014"/>
      <c r="D647" s="1110" t="s">
        <v>386</v>
      </c>
      <c r="E647" s="1031"/>
      <c r="F647" s="1030"/>
      <c r="G647" s="1107"/>
      <c r="H647" s="1099"/>
      <c r="I647" s="1010">
        <v>536.11</v>
      </c>
      <c r="J647" s="1031" t="s">
        <v>62</v>
      </c>
      <c r="K647" s="1102">
        <v>239</v>
      </c>
      <c r="L647" s="1102">
        <f>ROUND(I647*K647,0)</f>
        <v>128130</v>
      </c>
      <c r="M647" s="1103">
        <f>IF(L647&gt;H647,L647-H647,0)</f>
        <v>128130</v>
      </c>
      <c r="N647" s="1102">
        <f>IF(H647&gt;L647,H647-L647,0)</f>
        <v>0</v>
      </c>
      <c r="O647" s="1104" t="s">
        <v>2539</v>
      </c>
      <c r="P647" s="1018" t="s">
        <v>420</v>
      </c>
      <c r="Q647" s="1013"/>
      <c r="R647" s="1014">
        <f>K647/0.9</f>
        <v>265.55555555555554</v>
      </c>
      <c r="S647" s="1014">
        <f>R647/0.86</f>
        <v>308.78552971576227</v>
      </c>
      <c r="T647" s="1014"/>
      <c r="U647" s="1073"/>
      <c r="V647" s="1073"/>
      <c r="W647" s="1073"/>
      <c r="X647" s="1014"/>
      <c r="Y647" s="1014"/>
      <c r="Z647" s="1014"/>
      <c r="AA647" s="1014"/>
      <c r="AB647" s="1014"/>
      <c r="AC647" s="1014"/>
      <c r="AD647" s="1014"/>
    </row>
    <row r="648" spans="1:30" s="1175" customFormat="1" ht="108.5" outlineLevel="1">
      <c r="A648" s="1162">
        <v>20</v>
      </c>
      <c r="B648" s="1013"/>
      <c r="C648" s="1173"/>
      <c r="D648" s="1163" t="s">
        <v>317</v>
      </c>
      <c r="E648" s="1164"/>
      <c r="F648" s="1164"/>
      <c r="G648" s="1165"/>
      <c r="H648" s="1165"/>
      <c r="I648" s="1166">
        <v>3.89</v>
      </c>
      <c r="J648" s="1167" t="s">
        <v>57</v>
      </c>
      <c r="K648" s="1168">
        <f>'[159]C-data'!$I$52</f>
        <v>4036</v>
      </c>
      <c r="L648" s="1169">
        <f t="shared" ref="L648:L690" si="47">ROUND(I648*K648,0)</f>
        <v>15700</v>
      </c>
      <c r="M648" s="1168">
        <f t="shared" ref="M648:M691" si="48">IF(L648&gt;H648,L648-H648,0)</f>
        <v>15700</v>
      </c>
      <c r="N648" s="1169">
        <f t="shared" ref="N648:N691" si="49">IF(H648&gt;L648,H648-L648,0)</f>
        <v>0</v>
      </c>
      <c r="O648" s="1170" t="s">
        <v>2359</v>
      </c>
      <c r="P648" s="1018" t="s">
        <v>420</v>
      </c>
      <c r="Q648" s="1172"/>
      <c r="R648" s="1173"/>
      <c r="S648" s="1173"/>
      <c r="T648" s="1173"/>
      <c r="U648" s="1174"/>
      <c r="V648" s="1174"/>
      <c r="W648" s="1174"/>
      <c r="X648" s="1173"/>
      <c r="Y648" s="1173"/>
      <c r="Z648" s="1173"/>
      <c r="AA648" s="1173"/>
      <c r="AB648" s="1173"/>
      <c r="AC648" s="1173"/>
      <c r="AD648" s="1173"/>
    </row>
    <row r="649" spans="1:30" s="1175" customFormat="1" outlineLevel="1">
      <c r="A649" s="1162"/>
      <c r="B649" s="1013"/>
      <c r="C649" s="1173"/>
      <c r="D649" s="1216" t="s">
        <v>2449</v>
      </c>
      <c r="E649" s="1164"/>
      <c r="F649" s="1164"/>
      <c r="G649" s="1165"/>
      <c r="H649" s="1165"/>
      <c r="I649" s="1166"/>
      <c r="J649" s="1167"/>
      <c r="K649" s="1212"/>
      <c r="L649" s="1169"/>
      <c r="M649" s="1168"/>
      <c r="N649" s="1169"/>
      <c r="O649" s="1170"/>
      <c r="P649" s="1018" t="s">
        <v>420</v>
      </c>
      <c r="Q649" s="1172"/>
      <c r="R649" s="1173"/>
      <c r="S649" s="1173"/>
      <c r="T649" s="1173"/>
      <c r="U649" s="1174"/>
      <c r="V649" s="1174"/>
      <c r="W649" s="1174"/>
      <c r="X649" s="1173"/>
      <c r="Y649" s="1173"/>
      <c r="Z649" s="1173"/>
      <c r="AA649" s="1173"/>
      <c r="AB649" s="1173"/>
      <c r="AC649" s="1173"/>
      <c r="AD649" s="1173"/>
    </row>
    <row r="650" spans="1:30" s="1175" customFormat="1" outlineLevel="1">
      <c r="A650" s="1162"/>
      <c r="B650" s="1013"/>
      <c r="C650" s="1173"/>
      <c r="D650" s="1216"/>
      <c r="E650" s="1164"/>
      <c r="F650" s="1164"/>
      <c r="G650" s="1165"/>
      <c r="H650" s="1165"/>
      <c r="I650" s="1166"/>
      <c r="J650" s="1167"/>
      <c r="K650" s="1212"/>
      <c r="L650" s="1169"/>
      <c r="M650" s="1168"/>
      <c r="N650" s="1169"/>
      <c r="O650" s="1170"/>
      <c r="P650" s="1018" t="s">
        <v>420</v>
      </c>
      <c r="Q650" s="1172"/>
      <c r="R650" s="1173"/>
      <c r="S650" s="1173"/>
      <c r="T650" s="1173"/>
      <c r="U650" s="1174"/>
      <c r="V650" s="1174"/>
      <c r="W650" s="1174"/>
      <c r="X650" s="1173"/>
      <c r="Y650" s="1173"/>
      <c r="Z650" s="1173"/>
      <c r="AA650" s="1173"/>
      <c r="AB650" s="1173"/>
      <c r="AC650" s="1173"/>
      <c r="AD650" s="1173"/>
    </row>
    <row r="651" spans="1:30" s="1175" customFormat="1" ht="108.5" outlineLevel="1">
      <c r="A651" s="1176">
        <v>21</v>
      </c>
      <c r="B651" s="1013"/>
      <c r="C651" s="1173"/>
      <c r="D651" s="1163" t="s">
        <v>318</v>
      </c>
      <c r="E651" s="1162"/>
      <c r="F651" s="1162"/>
      <c r="G651" s="1177"/>
      <c r="H651" s="1177"/>
      <c r="I651" s="1178">
        <v>37.130000000000003</v>
      </c>
      <c r="J651" s="1167" t="s">
        <v>62</v>
      </c>
      <c r="K651" s="1168">
        <v>13</v>
      </c>
      <c r="L651" s="1169">
        <f t="shared" si="47"/>
        <v>483</v>
      </c>
      <c r="M651" s="1168">
        <f t="shared" si="48"/>
        <v>483</v>
      </c>
      <c r="N651" s="1169">
        <f t="shared" si="49"/>
        <v>0</v>
      </c>
      <c r="O651" s="1170" t="s">
        <v>2359</v>
      </c>
      <c r="P651" s="1018" t="s">
        <v>420</v>
      </c>
      <c r="Q651" s="1172"/>
      <c r="R651" s="1173"/>
      <c r="S651" s="1173"/>
      <c r="T651" s="1179"/>
      <c r="U651" s="1174"/>
      <c r="V651" s="1174"/>
      <c r="W651" s="1174"/>
      <c r="X651" s="1173"/>
      <c r="Y651" s="1173"/>
      <c r="Z651" s="1173"/>
      <c r="AA651" s="1173"/>
      <c r="AB651" s="1173"/>
      <c r="AC651" s="1173"/>
      <c r="AD651" s="1173"/>
    </row>
    <row r="652" spans="1:30" s="1175" customFormat="1" outlineLevel="1">
      <c r="A652" s="1176"/>
      <c r="B652" s="1013"/>
      <c r="C652" s="1173"/>
      <c r="D652" s="1216" t="s">
        <v>2449</v>
      </c>
      <c r="E652" s="1162"/>
      <c r="F652" s="1162"/>
      <c r="G652" s="1177"/>
      <c r="H652" s="1177"/>
      <c r="I652" s="1178"/>
      <c r="J652" s="1167"/>
      <c r="K652" s="1168"/>
      <c r="L652" s="1169"/>
      <c r="M652" s="1168"/>
      <c r="N652" s="1169"/>
      <c r="O652" s="1170"/>
      <c r="P652" s="1018" t="s">
        <v>420</v>
      </c>
      <c r="Q652" s="1172"/>
      <c r="R652" s="1173"/>
      <c r="S652" s="1173"/>
      <c r="T652" s="1179"/>
      <c r="U652" s="1174"/>
      <c r="V652" s="1174"/>
      <c r="W652" s="1174"/>
      <c r="X652" s="1173"/>
      <c r="Y652" s="1173"/>
      <c r="Z652" s="1173"/>
      <c r="AA652" s="1173"/>
      <c r="AB652" s="1173"/>
      <c r="AC652" s="1173"/>
      <c r="AD652" s="1173"/>
    </row>
    <row r="653" spans="1:30" s="1175" customFormat="1" outlineLevel="1">
      <c r="A653" s="1176"/>
      <c r="B653" s="1013"/>
      <c r="C653" s="1173"/>
      <c r="D653" s="1163"/>
      <c r="E653" s="1162"/>
      <c r="F653" s="1162"/>
      <c r="G653" s="1177"/>
      <c r="H653" s="1177"/>
      <c r="I653" s="1178"/>
      <c r="J653" s="1167"/>
      <c r="K653" s="1168"/>
      <c r="L653" s="1169"/>
      <c r="M653" s="1168"/>
      <c r="N653" s="1169"/>
      <c r="O653" s="1170"/>
      <c r="P653" s="1018" t="s">
        <v>420</v>
      </c>
      <c r="Q653" s="1172"/>
      <c r="R653" s="1173"/>
      <c r="S653" s="1173"/>
      <c r="T653" s="1179"/>
      <c r="U653" s="1174"/>
      <c r="V653" s="1174"/>
      <c r="W653" s="1174"/>
      <c r="X653" s="1173"/>
      <c r="Y653" s="1173"/>
      <c r="Z653" s="1173"/>
      <c r="AA653" s="1173"/>
      <c r="AB653" s="1173"/>
      <c r="AC653" s="1173"/>
      <c r="AD653" s="1173"/>
    </row>
    <row r="654" spans="1:30" s="1175" customFormat="1" ht="108.5" outlineLevel="1">
      <c r="A654" s="1162">
        <v>22</v>
      </c>
      <c r="B654" s="1013"/>
      <c r="C654" s="1173"/>
      <c r="D654" s="1163" t="s">
        <v>319</v>
      </c>
      <c r="E654" s="1180"/>
      <c r="F654" s="1180"/>
      <c r="G654" s="1181"/>
      <c r="H654" s="1181"/>
      <c r="I654" s="1182">
        <v>0.7</v>
      </c>
      <c r="J654" s="1167" t="s">
        <v>57</v>
      </c>
      <c r="K654" s="1168">
        <f>'[159]C-data'!$I$65</f>
        <v>4424</v>
      </c>
      <c r="L654" s="1169">
        <f t="shared" si="47"/>
        <v>3097</v>
      </c>
      <c r="M654" s="1168">
        <f t="shared" si="48"/>
        <v>3097</v>
      </c>
      <c r="N654" s="1169">
        <f t="shared" si="49"/>
        <v>0</v>
      </c>
      <c r="O654" s="1170" t="s">
        <v>2359</v>
      </c>
      <c r="P654" s="1018" t="s">
        <v>420</v>
      </c>
      <c r="Q654" s="1172"/>
      <c r="R654" s="1173"/>
      <c r="S654" s="1173"/>
      <c r="T654" s="1173"/>
      <c r="U654" s="1174"/>
      <c r="V654" s="1174"/>
      <c r="W654" s="1174"/>
      <c r="X654" s="1173"/>
      <c r="Y654" s="1173"/>
      <c r="Z654" s="1173"/>
      <c r="AA654" s="1173"/>
      <c r="AB654" s="1173"/>
      <c r="AC654" s="1173"/>
      <c r="AD654" s="1173"/>
    </row>
    <row r="655" spans="1:30" s="1175" customFormat="1" outlineLevel="1">
      <c r="A655" s="1162"/>
      <c r="B655" s="1013"/>
      <c r="C655" s="1173"/>
      <c r="D655" s="1216" t="s">
        <v>2450</v>
      </c>
      <c r="E655" s="1180"/>
      <c r="F655" s="1180"/>
      <c r="G655" s="1181"/>
      <c r="H655" s="1181"/>
      <c r="I655" s="1182"/>
      <c r="J655" s="1167"/>
      <c r="K655" s="1168"/>
      <c r="L655" s="1169"/>
      <c r="M655" s="1168"/>
      <c r="N655" s="1169"/>
      <c r="O655" s="1170"/>
      <c r="P655" s="1018" t="s">
        <v>420</v>
      </c>
      <c r="Q655" s="1172"/>
      <c r="R655" s="1173"/>
      <c r="S655" s="1173"/>
      <c r="T655" s="1173"/>
      <c r="U655" s="1174"/>
      <c r="V655" s="1174"/>
      <c r="W655" s="1174"/>
      <c r="X655" s="1173"/>
      <c r="Y655" s="1173"/>
      <c r="Z655" s="1173"/>
      <c r="AA655" s="1173"/>
      <c r="AB655" s="1173"/>
      <c r="AC655" s="1173"/>
      <c r="AD655" s="1173"/>
    </row>
    <row r="656" spans="1:30" s="1175" customFormat="1" outlineLevel="1">
      <c r="A656" s="1162"/>
      <c r="B656" s="1013"/>
      <c r="C656" s="1173"/>
      <c r="D656" s="1163"/>
      <c r="E656" s="1180"/>
      <c r="F656" s="1180"/>
      <c r="G656" s="1181"/>
      <c r="H656" s="1181"/>
      <c r="I656" s="1182"/>
      <c r="J656" s="1167"/>
      <c r="K656" s="1168"/>
      <c r="L656" s="1169"/>
      <c r="M656" s="1168"/>
      <c r="N656" s="1169"/>
      <c r="O656" s="1170"/>
      <c r="P656" s="1018" t="s">
        <v>420</v>
      </c>
      <c r="Q656" s="1172"/>
      <c r="R656" s="1173"/>
      <c r="S656" s="1173"/>
      <c r="T656" s="1173"/>
      <c r="U656" s="1174"/>
      <c r="V656" s="1174"/>
      <c r="W656" s="1174"/>
      <c r="X656" s="1173"/>
      <c r="Y656" s="1173"/>
      <c r="Z656" s="1173"/>
      <c r="AA656" s="1173"/>
      <c r="AB656" s="1173"/>
      <c r="AC656" s="1173"/>
      <c r="AD656" s="1173"/>
    </row>
    <row r="657" spans="1:30" s="1175" customFormat="1" ht="186" outlineLevel="1">
      <c r="A657" s="1176">
        <v>23</v>
      </c>
      <c r="B657" s="1013"/>
      <c r="C657" s="1173"/>
      <c r="D657" s="1183" t="s">
        <v>295</v>
      </c>
      <c r="E657" s="1162"/>
      <c r="F657" s="1162"/>
      <c r="G657" s="1177"/>
      <c r="H657" s="1177"/>
      <c r="I657" s="1178">
        <v>107.18</v>
      </c>
      <c r="J657" s="1167" t="s">
        <v>60</v>
      </c>
      <c r="K657" s="1168">
        <v>162</v>
      </c>
      <c r="L657" s="1169">
        <f t="shared" si="47"/>
        <v>17363</v>
      </c>
      <c r="M657" s="1168">
        <f t="shared" si="48"/>
        <v>17363</v>
      </c>
      <c r="N657" s="1169">
        <f t="shared" si="49"/>
        <v>0</v>
      </c>
      <c r="O657" s="1170"/>
      <c r="P657" s="1018" t="s">
        <v>420</v>
      </c>
      <c r="Q657" s="1172"/>
      <c r="R657" s="1173"/>
      <c r="S657" s="1173"/>
      <c r="T657" s="1173"/>
      <c r="U657" s="1174"/>
      <c r="V657" s="1174"/>
      <c r="W657" s="1174"/>
      <c r="X657" s="1173"/>
      <c r="Y657" s="1173"/>
      <c r="Z657" s="1173"/>
      <c r="AA657" s="1173"/>
      <c r="AB657" s="1173"/>
      <c r="AC657" s="1173"/>
      <c r="AD657" s="1173"/>
    </row>
    <row r="658" spans="1:30" s="1175" customFormat="1" outlineLevel="1">
      <c r="A658" s="1176"/>
      <c r="B658" s="1013"/>
      <c r="C658" s="1173"/>
      <c r="D658" s="1217" t="s">
        <v>2456</v>
      </c>
      <c r="E658" s="1162"/>
      <c r="F658" s="1162"/>
      <c r="G658" s="1177"/>
      <c r="H658" s="1177"/>
      <c r="I658" s="1178"/>
      <c r="J658" s="1167"/>
      <c r="K658" s="1168"/>
      <c r="L658" s="1169"/>
      <c r="M658" s="1168"/>
      <c r="N658" s="1169"/>
      <c r="O658" s="1170"/>
      <c r="P658" s="1018" t="s">
        <v>420</v>
      </c>
      <c r="Q658" s="1172"/>
      <c r="R658" s="1173"/>
      <c r="S658" s="1173"/>
      <c r="T658" s="1173"/>
      <c r="U658" s="1174"/>
      <c r="V658" s="1174"/>
      <c r="W658" s="1174"/>
      <c r="X658" s="1173"/>
      <c r="Y658" s="1173"/>
      <c r="Z658" s="1173"/>
      <c r="AA658" s="1173"/>
      <c r="AB658" s="1173"/>
      <c r="AC658" s="1173"/>
      <c r="AD658" s="1173"/>
    </row>
    <row r="659" spans="1:30" s="1122" customFormat="1" outlineLevel="1">
      <c r="P659" s="1018" t="s">
        <v>420</v>
      </c>
    </row>
    <row r="660" spans="1:30" s="1175" customFormat="1" ht="356.5" outlineLevel="1">
      <c r="A660" s="1162">
        <v>24</v>
      </c>
      <c r="B660" s="1013"/>
      <c r="C660" s="1173"/>
      <c r="D660" s="1184" t="s">
        <v>15</v>
      </c>
      <c r="E660" s="1162"/>
      <c r="F660" s="1162"/>
      <c r="G660" s="1177"/>
      <c r="H660" s="1177"/>
      <c r="I660" s="1178">
        <v>23.463000000000001</v>
      </c>
      <c r="J660" s="1167" t="s">
        <v>62</v>
      </c>
      <c r="K660" s="1168">
        <v>9241</v>
      </c>
      <c r="L660" s="1169">
        <f t="shared" si="47"/>
        <v>216822</v>
      </c>
      <c r="M660" s="1168">
        <f t="shared" si="48"/>
        <v>216822</v>
      </c>
      <c r="N660" s="1169">
        <f t="shared" si="49"/>
        <v>0</v>
      </c>
      <c r="O660" s="1170" t="s">
        <v>2527</v>
      </c>
      <c r="P660" s="1018" t="s">
        <v>420</v>
      </c>
      <c r="Q660" s="1172"/>
      <c r="R660" s="1173"/>
      <c r="S660" s="1173"/>
      <c r="T660" s="1173"/>
      <c r="U660" s="1174"/>
      <c r="V660" s="1174"/>
      <c r="W660" s="1174"/>
      <c r="X660" s="1173"/>
      <c r="Y660" s="1173"/>
      <c r="Z660" s="1173"/>
      <c r="AA660" s="1173"/>
      <c r="AB660" s="1173"/>
      <c r="AC660" s="1173"/>
      <c r="AD660" s="1173"/>
    </row>
    <row r="661" spans="1:30" s="1175" customFormat="1" ht="201.5" outlineLevel="1">
      <c r="A661" s="1176">
        <v>25</v>
      </c>
      <c r="B661" s="1013"/>
      <c r="C661" s="1173"/>
      <c r="D661" s="1185" t="s">
        <v>63</v>
      </c>
      <c r="E661" s="1162"/>
      <c r="F661" s="1162"/>
      <c r="G661" s="1177"/>
      <c r="H661" s="1177"/>
      <c r="I661" s="1178">
        <v>16.96</v>
      </c>
      <c r="J661" s="1167" t="s">
        <v>62</v>
      </c>
      <c r="K661" s="1168">
        <v>5839</v>
      </c>
      <c r="L661" s="1169">
        <f t="shared" si="47"/>
        <v>99029</v>
      </c>
      <c r="M661" s="1168">
        <f t="shared" si="48"/>
        <v>99029</v>
      </c>
      <c r="N661" s="1169">
        <f t="shared" si="49"/>
        <v>0</v>
      </c>
      <c r="O661" s="1170" t="s">
        <v>2529</v>
      </c>
      <c r="P661" s="1018" t="s">
        <v>420</v>
      </c>
      <c r="Q661" s="1172"/>
      <c r="R661" s="1173"/>
      <c r="S661" s="1173"/>
      <c r="T661" s="1173"/>
      <c r="U661" s="1174"/>
      <c r="V661" s="1174"/>
      <c r="W661" s="1174"/>
      <c r="X661" s="1173"/>
      <c r="Y661" s="1173"/>
      <c r="Z661" s="1173"/>
      <c r="AA661" s="1173"/>
      <c r="AB661" s="1173"/>
      <c r="AC661" s="1173"/>
      <c r="AD661" s="1173"/>
    </row>
    <row r="662" spans="1:30" s="1175" customFormat="1" outlineLevel="1">
      <c r="A662" s="1176"/>
      <c r="B662" s="1013"/>
      <c r="C662" s="1173"/>
      <c r="D662" s="1216" t="s">
        <v>2454</v>
      </c>
      <c r="E662" s="1162"/>
      <c r="F662" s="1162"/>
      <c r="G662" s="1177"/>
      <c r="H662" s="1177"/>
      <c r="I662" s="1178"/>
      <c r="J662" s="1167"/>
      <c r="K662" s="1168"/>
      <c r="L662" s="1169"/>
      <c r="M662" s="1168"/>
      <c r="N662" s="1169"/>
      <c r="O662" s="1170"/>
      <c r="P662" s="1018" t="s">
        <v>420</v>
      </c>
      <c r="Q662" s="1172"/>
      <c r="R662" s="1173"/>
      <c r="S662" s="1173"/>
      <c r="T662" s="1173"/>
      <c r="U662" s="1174"/>
      <c r="V662" s="1174"/>
      <c r="W662" s="1174"/>
      <c r="X662" s="1173"/>
      <c r="Y662" s="1173"/>
      <c r="Z662" s="1173"/>
      <c r="AA662" s="1173"/>
      <c r="AB662" s="1173"/>
      <c r="AC662" s="1173"/>
      <c r="AD662" s="1173"/>
    </row>
    <row r="663" spans="1:30" s="1175" customFormat="1" outlineLevel="1">
      <c r="A663" s="1176"/>
      <c r="B663" s="1013"/>
      <c r="C663" s="1173"/>
      <c r="D663" s="1185"/>
      <c r="E663" s="1162"/>
      <c r="F663" s="1162"/>
      <c r="G663" s="1177"/>
      <c r="H663" s="1177"/>
      <c r="I663" s="1178"/>
      <c r="J663" s="1167"/>
      <c r="K663" s="1168"/>
      <c r="L663" s="1169"/>
      <c r="M663" s="1168"/>
      <c r="N663" s="1169"/>
      <c r="O663" s="1170"/>
      <c r="P663" s="1018" t="s">
        <v>420</v>
      </c>
      <c r="Q663" s="1172"/>
      <c r="R663" s="1173"/>
      <c r="S663" s="1173"/>
      <c r="T663" s="1173"/>
      <c r="U663" s="1174"/>
      <c r="V663" s="1174"/>
      <c r="W663" s="1174"/>
      <c r="X663" s="1173"/>
      <c r="Y663" s="1173"/>
      <c r="Z663" s="1173"/>
      <c r="AA663" s="1173"/>
      <c r="AB663" s="1173"/>
      <c r="AC663" s="1173"/>
      <c r="AD663" s="1173"/>
    </row>
    <row r="664" spans="1:30" ht="158" outlineLevel="1">
      <c r="A664" s="1011">
        <v>26</v>
      </c>
      <c r="B664" s="1013"/>
      <c r="C664" s="1014"/>
      <c r="D664" s="1009" t="s">
        <v>2411</v>
      </c>
      <c r="E664" s="1011"/>
      <c r="F664" s="1011"/>
      <c r="G664" s="1112"/>
      <c r="H664" s="1112"/>
      <c r="I664" s="1010">
        <v>1</v>
      </c>
      <c r="J664" s="1111" t="s">
        <v>14</v>
      </c>
      <c r="K664" s="1103">
        <v>75000</v>
      </c>
      <c r="L664" s="1102">
        <f t="shared" si="47"/>
        <v>75000</v>
      </c>
      <c r="M664" s="1103">
        <f t="shared" si="48"/>
        <v>75000</v>
      </c>
      <c r="N664" s="1102">
        <f t="shared" si="49"/>
        <v>0</v>
      </c>
      <c r="O664" s="1104" t="s">
        <v>2528</v>
      </c>
      <c r="P664" s="1018" t="s">
        <v>420</v>
      </c>
      <c r="Q664" s="1013"/>
      <c r="R664" s="1014"/>
      <c r="S664" s="1014"/>
      <c r="T664" s="1014"/>
      <c r="U664" s="1073"/>
      <c r="V664" s="1073"/>
      <c r="W664" s="1073"/>
      <c r="X664" s="1014"/>
      <c r="Y664" s="1014"/>
      <c r="Z664" s="1014"/>
      <c r="AA664" s="1014"/>
      <c r="AB664" s="1014"/>
      <c r="AC664" s="1014"/>
      <c r="AD664" s="1014"/>
    </row>
    <row r="665" spans="1:30" s="1175" customFormat="1" ht="93" outlineLevel="1">
      <c r="A665" s="1162">
        <v>27</v>
      </c>
      <c r="B665" s="1172"/>
      <c r="C665" s="1173"/>
      <c r="D665" s="1184" t="s">
        <v>2521</v>
      </c>
      <c r="E665" s="1162"/>
      <c r="F665" s="1162"/>
      <c r="G665" s="1177"/>
      <c r="H665" s="1177"/>
      <c r="I665" s="1178">
        <v>0.43</v>
      </c>
      <c r="J665" s="1167" t="s">
        <v>57</v>
      </c>
      <c r="K665" s="1168">
        <v>15969</v>
      </c>
      <c r="L665" s="1169">
        <f t="shared" ref="L665" si="50">ROUND(I665*K665,0)</f>
        <v>6867</v>
      </c>
      <c r="M665" s="1168">
        <f t="shared" ref="M665" si="51">IF(L665&gt;H665,L665-H665,0)</f>
        <v>6867</v>
      </c>
      <c r="N665" s="1169">
        <f t="shared" ref="N665" si="52">IF(H665&gt;L665,H665-L665,0)</f>
        <v>0</v>
      </c>
      <c r="O665" s="1170" t="s">
        <v>2530</v>
      </c>
      <c r="P665" s="1018" t="s">
        <v>420</v>
      </c>
      <c r="Q665" s="1172"/>
      <c r="R665" s="1173"/>
      <c r="S665" s="1173"/>
      <c r="T665" s="1173"/>
      <c r="U665" s="1174"/>
      <c r="V665" s="1174"/>
      <c r="W665" s="1174"/>
      <c r="X665" s="1173"/>
      <c r="Y665" s="1173"/>
      <c r="Z665" s="1173"/>
      <c r="AA665" s="1173"/>
      <c r="AB665" s="1173"/>
      <c r="AC665" s="1173"/>
      <c r="AD665" s="1173"/>
    </row>
    <row r="666" spans="1:30" outlineLevel="1">
      <c r="A666" s="1011"/>
      <c r="B666" s="1013"/>
      <c r="C666" s="1014"/>
      <c r="D666" s="1122" t="s">
        <v>2522</v>
      </c>
      <c r="E666" s="1011"/>
      <c r="F666" s="1011"/>
      <c r="G666" s="1112"/>
      <c r="H666" s="1112"/>
      <c r="I666" s="1010"/>
      <c r="J666" s="1111"/>
      <c r="K666" s="1103"/>
      <c r="L666" s="1102"/>
      <c r="M666" s="1103"/>
      <c r="N666" s="1102"/>
      <c r="O666" s="1104"/>
      <c r="P666" s="1018" t="s">
        <v>420</v>
      </c>
      <c r="Q666" s="1013"/>
      <c r="R666" s="1014"/>
      <c r="S666" s="1014"/>
      <c r="T666" s="1014"/>
      <c r="U666" s="1073"/>
      <c r="V666" s="1073"/>
      <c r="W666" s="1073"/>
      <c r="X666" s="1014"/>
      <c r="Y666" s="1014"/>
      <c r="Z666" s="1014"/>
      <c r="AA666" s="1014"/>
      <c r="AB666" s="1014"/>
      <c r="AC666" s="1014"/>
      <c r="AD666" s="1014"/>
    </row>
    <row r="667" spans="1:30" outlineLevel="1">
      <c r="A667" s="1011"/>
      <c r="B667" s="1013"/>
      <c r="C667" s="1014"/>
      <c r="D667" s="1009"/>
      <c r="E667" s="1011"/>
      <c r="F667" s="1011"/>
      <c r="G667" s="1112"/>
      <c r="H667" s="1112"/>
      <c r="I667" s="1010"/>
      <c r="J667" s="1111"/>
      <c r="K667" s="1103"/>
      <c r="L667" s="1102"/>
      <c r="M667" s="1103"/>
      <c r="N667" s="1102"/>
      <c r="O667" s="1104"/>
      <c r="P667" s="1018" t="s">
        <v>420</v>
      </c>
      <c r="Q667" s="1013"/>
      <c r="R667" s="1014"/>
      <c r="S667" s="1014"/>
      <c r="T667" s="1014"/>
      <c r="U667" s="1073"/>
      <c r="V667" s="1073"/>
      <c r="W667" s="1073"/>
      <c r="X667" s="1014"/>
      <c r="Y667" s="1014"/>
      <c r="Z667" s="1014"/>
      <c r="AA667" s="1014"/>
      <c r="AB667" s="1014"/>
      <c r="AC667" s="1014"/>
      <c r="AD667" s="1014"/>
    </row>
    <row r="668" spans="1:30" ht="46.5" outlineLevel="1">
      <c r="A668" s="1031">
        <v>28</v>
      </c>
      <c r="B668" s="1013"/>
      <c r="C668" s="1014"/>
      <c r="D668" s="1074" t="s">
        <v>2379</v>
      </c>
      <c r="E668" s="1011"/>
      <c r="F668" s="1011"/>
      <c r="G668" s="1112"/>
      <c r="H668" s="1112"/>
      <c r="I668" s="1010">
        <v>5</v>
      </c>
      <c r="J668" s="1111" t="s">
        <v>14</v>
      </c>
      <c r="K668" s="1103">
        <v>510</v>
      </c>
      <c r="L668" s="1102">
        <f t="shared" si="47"/>
        <v>2550</v>
      </c>
      <c r="M668" s="1103">
        <f t="shared" si="48"/>
        <v>2550</v>
      </c>
      <c r="N668" s="1102">
        <f t="shared" si="49"/>
        <v>0</v>
      </c>
      <c r="O668" s="1104" t="s">
        <v>2531</v>
      </c>
      <c r="P668" s="1018" t="s">
        <v>420</v>
      </c>
      <c r="Q668" s="1013"/>
      <c r="R668" s="1014"/>
      <c r="S668" s="1014"/>
      <c r="T668" s="1014"/>
      <c r="U668" s="1073"/>
      <c r="V668" s="1073"/>
      <c r="W668" s="1073"/>
      <c r="X668" s="1014"/>
      <c r="Y668" s="1014"/>
      <c r="Z668" s="1014"/>
      <c r="AA668" s="1014"/>
      <c r="AB668" s="1014"/>
      <c r="AC668" s="1014"/>
      <c r="AD668" s="1014"/>
    </row>
    <row r="669" spans="1:30" s="1175" customFormat="1" ht="46.5" outlineLevel="1">
      <c r="A669" s="1162">
        <v>28</v>
      </c>
      <c r="B669" s="1013"/>
      <c r="C669" s="1173"/>
      <c r="D669" s="1185" t="s">
        <v>2380</v>
      </c>
      <c r="E669" s="1162"/>
      <c r="F669" s="1162" t="s">
        <v>433</v>
      </c>
      <c r="G669" s="1177"/>
      <c r="H669" s="1177"/>
      <c r="I669" s="1178">
        <v>5</v>
      </c>
      <c r="J669" s="1167" t="s">
        <v>14</v>
      </c>
      <c r="K669" s="1168">
        <v>1775</v>
      </c>
      <c r="L669" s="1169">
        <f t="shared" si="47"/>
        <v>8875</v>
      </c>
      <c r="M669" s="1168">
        <f t="shared" si="48"/>
        <v>8875</v>
      </c>
      <c r="N669" s="1169">
        <f t="shared" si="49"/>
        <v>0</v>
      </c>
      <c r="O669" s="1104" t="s">
        <v>2531</v>
      </c>
      <c r="P669" s="1018" t="s">
        <v>420</v>
      </c>
      <c r="Q669" s="1172"/>
      <c r="R669" s="1173"/>
      <c r="S669" s="1173"/>
      <c r="T669" s="1173"/>
      <c r="U669" s="1174"/>
      <c r="V669" s="1174"/>
      <c r="W669" s="1174"/>
      <c r="X669" s="1173"/>
      <c r="Y669" s="1173"/>
      <c r="Z669" s="1173"/>
      <c r="AA669" s="1173"/>
      <c r="AB669" s="1173"/>
      <c r="AC669" s="1173"/>
      <c r="AD669" s="1173"/>
    </row>
    <row r="670" spans="1:30" s="1175" customFormat="1" ht="46.5" outlineLevel="1">
      <c r="A670" s="1176">
        <v>29</v>
      </c>
      <c r="B670" s="1013"/>
      <c r="C670" s="1173"/>
      <c r="D670" s="1185" t="s">
        <v>2443</v>
      </c>
      <c r="E670" s="1162"/>
      <c r="F670" s="1162"/>
      <c r="G670" s="1177"/>
      <c r="H670" s="1177"/>
      <c r="I670" s="1178">
        <v>5.01</v>
      </c>
      <c r="J670" s="1167" t="s">
        <v>62</v>
      </c>
      <c r="K670" s="1168">
        <v>2187</v>
      </c>
      <c r="L670" s="1169">
        <f t="shared" si="47"/>
        <v>10957</v>
      </c>
      <c r="M670" s="1168">
        <f t="shared" si="48"/>
        <v>10957</v>
      </c>
      <c r="N670" s="1169">
        <f t="shared" si="49"/>
        <v>0</v>
      </c>
      <c r="O670" s="1104" t="s">
        <v>2531</v>
      </c>
      <c r="P670" s="1018" t="s">
        <v>420</v>
      </c>
      <c r="Q670" s="1172"/>
      <c r="R670" s="1173"/>
      <c r="S670" s="1173"/>
      <c r="T670" s="1173"/>
      <c r="U670" s="1174"/>
      <c r="V670" s="1174"/>
      <c r="W670" s="1174"/>
      <c r="X670" s="1173"/>
      <c r="Y670" s="1173"/>
      <c r="Z670" s="1173"/>
      <c r="AA670" s="1173"/>
      <c r="AB670" s="1173"/>
      <c r="AC670" s="1173"/>
      <c r="AD670" s="1173"/>
    </row>
    <row r="671" spans="1:30" ht="46.5" outlineLevel="1">
      <c r="A671" s="1011">
        <v>30</v>
      </c>
      <c r="B671" s="1013"/>
      <c r="C671" s="1014"/>
      <c r="D671" s="1074" t="s">
        <v>2347</v>
      </c>
      <c r="E671" s="1011"/>
      <c r="F671" s="1011"/>
      <c r="G671" s="1112"/>
      <c r="H671" s="1112"/>
      <c r="I671" s="1010">
        <v>31</v>
      </c>
      <c r="J671" s="1111" t="s">
        <v>14</v>
      </c>
      <c r="K671" s="1103">
        <v>600</v>
      </c>
      <c r="L671" s="1102">
        <f t="shared" si="47"/>
        <v>18600</v>
      </c>
      <c r="M671" s="1103">
        <f t="shared" si="48"/>
        <v>18600</v>
      </c>
      <c r="N671" s="1102">
        <f t="shared" si="49"/>
        <v>0</v>
      </c>
      <c r="O671" s="1104" t="s">
        <v>2531</v>
      </c>
      <c r="P671" s="1018" t="s">
        <v>420</v>
      </c>
      <c r="Q671" s="1013"/>
      <c r="R671" s="1014"/>
      <c r="S671" s="1014"/>
      <c r="T671" s="1014"/>
      <c r="U671" s="1073"/>
      <c r="V671" s="1073"/>
      <c r="W671" s="1073"/>
      <c r="X671" s="1014"/>
      <c r="Y671" s="1014"/>
      <c r="Z671" s="1014"/>
      <c r="AA671" s="1014"/>
      <c r="AB671" s="1014"/>
      <c r="AC671" s="1014"/>
      <c r="AD671" s="1014"/>
    </row>
    <row r="672" spans="1:30" ht="62" outlineLevel="1">
      <c r="A672" s="1031">
        <v>31</v>
      </c>
      <c r="B672" s="1013"/>
      <c r="C672" s="1014"/>
      <c r="D672" s="1074" t="s">
        <v>2348</v>
      </c>
      <c r="E672" s="1011"/>
      <c r="F672" s="1011"/>
      <c r="G672" s="1112"/>
      <c r="H672" s="1112"/>
      <c r="I672" s="1010">
        <v>14</v>
      </c>
      <c r="J672" s="1111" t="s">
        <v>14</v>
      </c>
      <c r="K672" s="1103">
        <v>9000</v>
      </c>
      <c r="L672" s="1102">
        <f t="shared" si="47"/>
        <v>126000</v>
      </c>
      <c r="M672" s="1103">
        <f t="shared" si="48"/>
        <v>126000</v>
      </c>
      <c r="N672" s="1102">
        <f t="shared" si="49"/>
        <v>0</v>
      </c>
      <c r="O672" s="1104" t="s">
        <v>2532</v>
      </c>
      <c r="P672" s="1018" t="s">
        <v>420</v>
      </c>
      <c r="Q672" s="1013"/>
      <c r="R672" s="1014"/>
      <c r="S672" s="1014"/>
      <c r="T672" s="1014"/>
      <c r="U672" s="1073"/>
      <c r="V672" s="1073"/>
      <c r="W672" s="1073"/>
      <c r="X672" s="1014"/>
      <c r="Y672" s="1014"/>
      <c r="Z672" s="1014"/>
      <c r="AA672" s="1014"/>
      <c r="AB672" s="1014"/>
      <c r="AC672" s="1014"/>
      <c r="AD672" s="1014"/>
    </row>
    <row r="673" spans="1:30" ht="201.5" outlineLevel="1">
      <c r="A673" s="1011">
        <v>32</v>
      </c>
      <c r="B673" s="1013"/>
      <c r="C673" s="1014"/>
      <c r="D673" s="1114" t="s">
        <v>2328</v>
      </c>
      <c r="E673" s="1011"/>
      <c r="F673" s="1011"/>
      <c r="G673" s="1112"/>
      <c r="H673" s="1112"/>
      <c r="I673" s="1010">
        <v>89.11</v>
      </c>
      <c r="J673" s="1111" t="s">
        <v>62</v>
      </c>
      <c r="K673" s="1103">
        <v>1625</v>
      </c>
      <c r="L673" s="1102">
        <f t="shared" si="47"/>
        <v>144804</v>
      </c>
      <c r="M673" s="1103">
        <f t="shared" si="48"/>
        <v>144804</v>
      </c>
      <c r="N673" s="1102">
        <f t="shared" si="49"/>
        <v>0</v>
      </c>
      <c r="O673" s="1104" t="s">
        <v>2533</v>
      </c>
      <c r="P673" s="1018" t="s">
        <v>420</v>
      </c>
      <c r="Q673" s="1013"/>
      <c r="R673" s="1014"/>
      <c r="S673" s="1014"/>
      <c r="T673" s="1014"/>
      <c r="U673" s="1073"/>
      <c r="V673" s="1073"/>
      <c r="W673" s="1073"/>
      <c r="X673" s="1014"/>
      <c r="Y673" s="1014"/>
      <c r="Z673" s="1014"/>
      <c r="AA673" s="1014"/>
      <c r="AB673" s="1014"/>
      <c r="AC673" s="1014"/>
      <c r="AD673" s="1014"/>
    </row>
    <row r="674" spans="1:30" s="1175" customFormat="1" ht="302.5" customHeight="1" outlineLevel="1">
      <c r="A674" s="1162">
        <v>34</v>
      </c>
      <c r="B674" s="1013"/>
      <c r="C674" s="1173"/>
      <c r="D674" s="1184" t="s">
        <v>2396</v>
      </c>
      <c r="E674" s="1162"/>
      <c r="F674" s="1162"/>
      <c r="G674" s="1177"/>
      <c r="H674" s="1177"/>
      <c r="I674" s="1178">
        <f>1.68*4</f>
        <v>6.72</v>
      </c>
      <c r="J674" s="1167" t="s">
        <v>62</v>
      </c>
      <c r="K674" s="1168">
        <v>6734</v>
      </c>
      <c r="L674" s="1169">
        <f t="shared" si="47"/>
        <v>45252</v>
      </c>
      <c r="M674" s="1168">
        <f t="shared" si="48"/>
        <v>45252</v>
      </c>
      <c r="N674" s="1169">
        <f t="shared" si="49"/>
        <v>0</v>
      </c>
      <c r="O674" s="1104" t="s">
        <v>2534</v>
      </c>
      <c r="P674" s="1018" t="s">
        <v>420</v>
      </c>
      <c r="Q674" s="1172"/>
      <c r="R674" s="1173"/>
      <c r="S674" s="1173"/>
      <c r="T674" s="1173"/>
      <c r="U674" s="1174"/>
      <c r="V674" s="1174"/>
      <c r="W674" s="1174"/>
      <c r="X674" s="1173"/>
      <c r="Y674" s="1173"/>
      <c r="Z674" s="1173"/>
      <c r="AA674" s="1173"/>
      <c r="AB674" s="1173"/>
      <c r="AC674" s="1173"/>
      <c r="AD674" s="1173"/>
    </row>
    <row r="675" spans="1:30" ht="77.5" outlineLevel="1">
      <c r="A675" s="1031">
        <v>35</v>
      </c>
      <c r="B675" s="1013"/>
      <c r="C675" s="1014"/>
      <c r="D675" s="1115" t="s">
        <v>2412</v>
      </c>
      <c r="E675" s="1011"/>
      <c r="F675" s="1013"/>
      <c r="G675" s="1112"/>
      <c r="H675" s="1112"/>
      <c r="I675" s="1010">
        <v>18.579999999999998</v>
      </c>
      <c r="J675" s="1111" t="s">
        <v>62</v>
      </c>
      <c r="K675" s="1103">
        <v>15500</v>
      </c>
      <c r="L675" s="1102">
        <f t="shared" si="47"/>
        <v>287990</v>
      </c>
      <c r="M675" s="1103">
        <f t="shared" si="48"/>
        <v>287990</v>
      </c>
      <c r="N675" s="1102">
        <f t="shared" si="49"/>
        <v>0</v>
      </c>
      <c r="O675" s="1104" t="s">
        <v>2531</v>
      </c>
      <c r="P675" s="1018" t="s">
        <v>420</v>
      </c>
      <c r="Q675" s="1013"/>
      <c r="R675" s="1014"/>
      <c r="S675" s="1014"/>
      <c r="T675" s="1014"/>
      <c r="U675" s="1073"/>
      <c r="V675" s="1073"/>
      <c r="W675" s="1073"/>
      <c r="X675" s="1014"/>
      <c r="Y675" s="1014"/>
      <c r="Z675" s="1014"/>
      <c r="AA675" s="1014"/>
      <c r="AB675" s="1014"/>
      <c r="AC675" s="1014"/>
      <c r="AD675" s="1014"/>
    </row>
    <row r="676" spans="1:30" ht="263.5" outlineLevel="1">
      <c r="A676" s="1011">
        <v>36</v>
      </c>
      <c r="B676" s="1013"/>
      <c r="C676" s="1014"/>
      <c r="D676" s="1115" t="s">
        <v>2413</v>
      </c>
      <c r="E676" s="1011"/>
      <c r="F676" s="1013"/>
      <c r="G676" s="1112"/>
      <c r="H676" s="1112"/>
      <c r="I676" s="1010">
        <v>7.58</v>
      </c>
      <c r="J676" s="1111" t="s">
        <v>62</v>
      </c>
      <c r="K676" s="1103">
        <v>17450</v>
      </c>
      <c r="L676" s="1102">
        <f t="shared" si="47"/>
        <v>132271</v>
      </c>
      <c r="M676" s="1103">
        <f t="shared" si="48"/>
        <v>132271</v>
      </c>
      <c r="N676" s="1102">
        <f t="shared" si="49"/>
        <v>0</v>
      </c>
      <c r="O676" s="1104" t="s">
        <v>2531</v>
      </c>
      <c r="P676" s="1018" t="s">
        <v>420</v>
      </c>
      <c r="Q676" s="1013"/>
      <c r="R676" s="1014"/>
      <c r="S676" s="1014"/>
      <c r="T676" s="1014"/>
      <c r="U676" s="1073"/>
      <c r="V676" s="1073"/>
      <c r="W676" s="1073"/>
      <c r="X676" s="1014"/>
      <c r="Y676" s="1014"/>
      <c r="Z676" s="1014"/>
      <c r="AA676" s="1014"/>
      <c r="AB676" s="1014"/>
      <c r="AC676" s="1014"/>
      <c r="AD676" s="1014"/>
    </row>
    <row r="677" spans="1:30" ht="62" outlineLevel="1">
      <c r="A677" s="1031">
        <v>37</v>
      </c>
      <c r="B677" s="1013"/>
      <c r="C677" s="1014"/>
      <c r="D677" s="1115" t="s">
        <v>2414</v>
      </c>
      <c r="E677" s="1011"/>
      <c r="F677" s="1013"/>
      <c r="G677" s="1112"/>
      <c r="H677" s="1112"/>
      <c r="I677" s="1010">
        <v>2.58</v>
      </c>
      <c r="J677" s="1111" t="s">
        <v>62</v>
      </c>
      <c r="K677" s="1103">
        <v>11335</v>
      </c>
      <c r="L677" s="1102">
        <f t="shared" si="47"/>
        <v>29244</v>
      </c>
      <c r="M677" s="1103">
        <f t="shared" si="48"/>
        <v>29244</v>
      </c>
      <c r="N677" s="1102">
        <f t="shared" si="49"/>
        <v>0</v>
      </c>
      <c r="O677" s="1104" t="s">
        <v>2531</v>
      </c>
      <c r="P677" s="1018" t="s">
        <v>420</v>
      </c>
      <c r="Q677" s="1013"/>
      <c r="R677" s="1014"/>
      <c r="S677" s="1014"/>
      <c r="T677" s="1014"/>
      <c r="U677" s="1073"/>
      <c r="V677" s="1073"/>
      <c r="W677" s="1073"/>
      <c r="X677" s="1014"/>
      <c r="Y677" s="1014"/>
      <c r="Z677" s="1014"/>
      <c r="AA677" s="1014"/>
      <c r="AB677" s="1014"/>
      <c r="AC677" s="1014"/>
      <c r="AD677" s="1014"/>
    </row>
    <row r="678" spans="1:30" ht="62" outlineLevel="1">
      <c r="A678" s="1011">
        <v>38</v>
      </c>
      <c r="B678" s="1013"/>
      <c r="C678" s="1014"/>
      <c r="D678" s="1115" t="s">
        <v>2415</v>
      </c>
      <c r="E678" s="1011"/>
      <c r="F678" s="1013"/>
      <c r="G678" s="1112"/>
      <c r="H678" s="1112"/>
      <c r="I678" s="1010">
        <v>7.5</v>
      </c>
      <c r="J678" s="1111" t="s">
        <v>62</v>
      </c>
      <c r="K678" s="1103">
        <v>10500</v>
      </c>
      <c r="L678" s="1102">
        <f t="shared" si="47"/>
        <v>78750</v>
      </c>
      <c r="M678" s="1103">
        <f t="shared" si="48"/>
        <v>78750</v>
      </c>
      <c r="N678" s="1102">
        <f t="shared" si="49"/>
        <v>0</v>
      </c>
      <c r="O678" s="1104" t="s">
        <v>2531</v>
      </c>
      <c r="P678" s="1018" t="s">
        <v>420</v>
      </c>
      <c r="Q678" s="1013"/>
      <c r="R678" s="1014"/>
      <c r="S678" s="1014"/>
      <c r="T678" s="1014"/>
      <c r="U678" s="1073"/>
      <c r="V678" s="1073"/>
      <c r="W678" s="1073"/>
      <c r="X678" s="1014"/>
      <c r="Y678" s="1014"/>
      <c r="Z678" s="1014"/>
      <c r="AA678" s="1014"/>
      <c r="AB678" s="1014"/>
      <c r="AC678" s="1014"/>
      <c r="AD678" s="1014"/>
    </row>
    <row r="679" spans="1:30" ht="77.5" outlineLevel="1">
      <c r="A679" s="1031">
        <v>39</v>
      </c>
      <c r="B679" s="1013"/>
      <c r="C679" s="1014"/>
      <c r="D679" s="1115" t="s">
        <v>2416</v>
      </c>
      <c r="E679" s="1011"/>
      <c r="F679" s="1013"/>
      <c r="G679" s="1112"/>
      <c r="H679" s="1112"/>
      <c r="I679" s="1010">
        <v>1</v>
      </c>
      <c r="J679" s="1111" t="s">
        <v>14</v>
      </c>
      <c r="K679" s="1103">
        <v>13800</v>
      </c>
      <c r="L679" s="1102">
        <f t="shared" si="47"/>
        <v>13800</v>
      </c>
      <c r="M679" s="1103">
        <f t="shared" si="48"/>
        <v>13800</v>
      </c>
      <c r="N679" s="1102">
        <f t="shared" si="49"/>
        <v>0</v>
      </c>
      <c r="O679" s="1104" t="s">
        <v>2531</v>
      </c>
      <c r="P679" s="1018" t="s">
        <v>420</v>
      </c>
      <c r="Q679" s="1013"/>
      <c r="R679" s="1014"/>
      <c r="S679" s="1014"/>
      <c r="T679" s="1014"/>
      <c r="U679" s="1073"/>
      <c r="V679" s="1073"/>
      <c r="W679" s="1073"/>
      <c r="X679" s="1014"/>
      <c r="Y679" s="1014"/>
      <c r="Z679" s="1014"/>
      <c r="AA679" s="1014"/>
      <c r="AB679" s="1014"/>
      <c r="AC679" s="1014"/>
      <c r="AD679" s="1014"/>
    </row>
    <row r="680" spans="1:30" ht="46.5" outlineLevel="1">
      <c r="A680" s="1011">
        <v>40</v>
      </c>
      <c r="B680" s="1013"/>
      <c r="C680" s="1014"/>
      <c r="D680" s="1115" t="s">
        <v>2417</v>
      </c>
      <c r="E680" s="1011"/>
      <c r="F680" s="1013"/>
      <c r="G680" s="1112"/>
      <c r="H680" s="1112"/>
      <c r="I680" s="1010">
        <v>4.45</v>
      </c>
      <c r="J680" s="1111" t="s">
        <v>62</v>
      </c>
      <c r="K680" s="1103">
        <v>6473</v>
      </c>
      <c r="L680" s="1102">
        <f t="shared" si="47"/>
        <v>28805</v>
      </c>
      <c r="M680" s="1103">
        <f t="shared" si="48"/>
        <v>28805</v>
      </c>
      <c r="N680" s="1102">
        <f t="shared" si="49"/>
        <v>0</v>
      </c>
      <c r="O680" s="1104" t="s">
        <v>2531</v>
      </c>
      <c r="P680" s="1018" t="s">
        <v>420</v>
      </c>
      <c r="Q680" s="1013"/>
      <c r="R680" s="1014"/>
      <c r="S680" s="1014"/>
      <c r="T680" s="1014"/>
      <c r="U680" s="1073"/>
      <c r="V680" s="1073"/>
      <c r="W680" s="1073"/>
      <c r="X680" s="1014"/>
      <c r="Y680" s="1014"/>
      <c r="Z680" s="1014"/>
      <c r="AA680" s="1014"/>
      <c r="AB680" s="1014"/>
      <c r="AC680" s="1014"/>
      <c r="AD680" s="1014"/>
    </row>
    <row r="681" spans="1:30" ht="46.5" outlineLevel="1">
      <c r="A681" s="1031">
        <v>41</v>
      </c>
      <c r="B681" s="1013"/>
      <c r="C681" s="1014"/>
      <c r="D681" s="1115" t="s">
        <v>2418</v>
      </c>
      <c r="E681" s="1011"/>
      <c r="F681" s="1013"/>
      <c r="G681" s="1112"/>
      <c r="H681" s="1112"/>
      <c r="I681" s="1010">
        <v>38</v>
      </c>
      <c r="J681" s="1111" t="s">
        <v>60</v>
      </c>
      <c r="K681" s="1103">
        <v>230</v>
      </c>
      <c r="L681" s="1102">
        <f t="shared" si="47"/>
        <v>8740</v>
      </c>
      <c r="M681" s="1103">
        <f t="shared" si="48"/>
        <v>8740</v>
      </c>
      <c r="N681" s="1102">
        <f t="shared" si="49"/>
        <v>0</v>
      </c>
      <c r="O681" s="1104" t="s">
        <v>2531</v>
      </c>
      <c r="P681" s="1018" t="s">
        <v>420</v>
      </c>
      <c r="Q681" s="1013"/>
      <c r="R681" s="1014"/>
      <c r="S681" s="1014"/>
      <c r="T681" s="1014"/>
      <c r="U681" s="1073"/>
      <c r="V681" s="1073"/>
      <c r="W681" s="1073"/>
      <c r="X681" s="1014"/>
      <c r="Y681" s="1014"/>
      <c r="Z681" s="1014"/>
      <c r="AA681" s="1014"/>
      <c r="AB681" s="1014"/>
      <c r="AC681" s="1014"/>
      <c r="AD681" s="1014"/>
    </row>
    <row r="682" spans="1:30" ht="46.5" outlineLevel="1">
      <c r="A682" s="1011">
        <v>42</v>
      </c>
      <c r="B682" s="1013"/>
      <c r="C682" s="1014"/>
      <c r="D682" s="1115" t="s">
        <v>2419</v>
      </c>
      <c r="E682" s="1011"/>
      <c r="F682" s="1013"/>
      <c r="G682" s="1112"/>
      <c r="H682" s="1112"/>
      <c r="I682" s="1010">
        <v>7</v>
      </c>
      <c r="J682" s="1111" t="s">
        <v>14</v>
      </c>
      <c r="K682" s="1103">
        <v>1500</v>
      </c>
      <c r="L682" s="1102">
        <f t="shared" si="47"/>
        <v>10500</v>
      </c>
      <c r="M682" s="1103">
        <f t="shared" si="48"/>
        <v>10500</v>
      </c>
      <c r="N682" s="1102">
        <f t="shared" si="49"/>
        <v>0</v>
      </c>
      <c r="O682" s="1104" t="s">
        <v>2531</v>
      </c>
      <c r="P682" s="1018" t="s">
        <v>420</v>
      </c>
      <c r="Q682" s="1013"/>
      <c r="R682" s="1014"/>
      <c r="S682" s="1014"/>
      <c r="T682" s="1014"/>
      <c r="U682" s="1073"/>
      <c r="V682" s="1073"/>
      <c r="W682" s="1073"/>
      <c r="X682" s="1014"/>
      <c r="Y682" s="1014"/>
      <c r="Z682" s="1014"/>
      <c r="AA682" s="1014"/>
      <c r="AB682" s="1014"/>
      <c r="AC682" s="1014"/>
      <c r="AD682" s="1014"/>
    </row>
    <row r="683" spans="1:30" ht="62" outlineLevel="1">
      <c r="A683" s="1031">
        <v>43</v>
      </c>
      <c r="B683" s="1013"/>
      <c r="C683" s="1014"/>
      <c r="D683" s="1115" t="s">
        <v>2420</v>
      </c>
      <c r="E683" s="1011"/>
      <c r="F683" s="1013"/>
      <c r="G683" s="1112"/>
      <c r="H683" s="1112"/>
      <c r="I683" s="1010">
        <v>11.58</v>
      </c>
      <c r="J683" s="1111" t="s">
        <v>60</v>
      </c>
      <c r="K683" s="1103">
        <v>2166</v>
      </c>
      <c r="L683" s="1102">
        <f t="shared" si="47"/>
        <v>25082</v>
      </c>
      <c r="M683" s="1103">
        <f t="shared" si="48"/>
        <v>25082</v>
      </c>
      <c r="N683" s="1102">
        <f t="shared" si="49"/>
        <v>0</v>
      </c>
      <c r="O683" s="1104" t="s">
        <v>2531</v>
      </c>
      <c r="P683" s="1018" t="s">
        <v>420</v>
      </c>
      <c r="Q683" s="1013"/>
      <c r="R683" s="1014"/>
      <c r="S683" s="1014"/>
      <c r="T683" s="1014"/>
      <c r="U683" s="1073"/>
      <c r="V683" s="1073"/>
      <c r="W683" s="1073"/>
      <c r="X683" s="1014"/>
      <c r="Y683" s="1014"/>
      <c r="Z683" s="1014"/>
      <c r="AA683" s="1014"/>
      <c r="AB683" s="1014"/>
      <c r="AC683" s="1014"/>
      <c r="AD683" s="1014"/>
    </row>
    <row r="684" spans="1:30" ht="46.5" outlineLevel="1">
      <c r="A684" s="1011">
        <v>44</v>
      </c>
      <c r="B684" s="1013"/>
      <c r="C684" s="1014"/>
      <c r="D684" s="1115" t="s">
        <v>363</v>
      </c>
      <c r="E684" s="1011"/>
      <c r="F684" s="1013"/>
      <c r="G684" s="1112"/>
      <c r="H684" s="1112"/>
      <c r="I684" s="1010">
        <v>1.32</v>
      </c>
      <c r="J684" s="1111" t="s">
        <v>62</v>
      </c>
      <c r="K684" s="1103">
        <v>11012</v>
      </c>
      <c r="L684" s="1102">
        <f t="shared" si="47"/>
        <v>14536</v>
      </c>
      <c r="M684" s="1103">
        <f t="shared" si="48"/>
        <v>14536</v>
      </c>
      <c r="N684" s="1102">
        <f t="shared" si="49"/>
        <v>0</v>
      </c>
      <c r="O684" s="1104" t="s">
        <v>2531</v>
      </c>
      <c r="P684" s="1018" t="s">
        <v>420</v>
      </c>
      <c r="Q684" s="1013"/>
      <c r="R684" s="1014"/>
      <c r="S684" s="1014"/>
      <c r="T684" s="1014"/>
      <c r="U684" s="1073"/>
      <c r="V684" s="1073"/>
      <c r="W684" s="1073"/>
      <c r="X684" s="1014"/>
      <c r="Y684" s="1014"/>
      <c r="Z684" s="1014"/>
      <c r="AA684" s="1014"/>
      <c r="AB684" s="1014"/>
      <c r="AC684" s="1014"/>
      <c r="AD684" s="1014"/>
    </row>
    <row r="685" spans="1:30" ht="77.5" outlineLevel="1">
      <c r="A685" s="1031">
        <v>45</v>
      </c>
      <c r="B685" s="1013"/>
      <c r="C685" s="1014"/>
      <c r="D685" s="1115" t="s">
        <v>364</v>
      </c>
      <c r="E685" s="1011"/>
      <c r="F685" s="1013"/>
      <c r="G685" s="1112"/>
      <c r="H685" s="1112"/>
      <c r="I685" s="1010">
        <v>1</v>
      </c>
      <c r="J685" s="1111" t="s">
        <v>14</v>
      </c>
      <c r="K685" s="1103">
        <v>50400</v>
      </c>
      <c r="L685" s="1102">
        <f t="shared" si="47"/>
        <v>50400</v>
      </c>
      <c r="M685" s="1103">
        <f t="shared" si="48"/>
        <v>50400</v>
      </c>
      <c r="N685" s="1102">
        <f t="shared" si="49"/>
        <v>0</v>
      </c>
      <c r="O685" s="1104" t="s">
        <v>2531</v>
      </c>
      <c r="P685" s="1018" t="s">
        <v>420</v>
      </c>
      <c r="Q685" s="1013"/>
      <c r="R685" s="1014"/>
      <c r="S685" s="1014"/>
      <c r="T685" s="1014"/>
      <c r="U685" s="1073"/>
      <c r="V685" s="1073"/>
      <c r="W685" s="1073"/>
      <c r="X685" s="1014"/>
      <c r="Y685" s="1014"/>
      <c r="Z685" s="1014"/>
      <c r="AA685" s="1014"/>
      <c r="AB685" s="1014"/>
      <c r="AC685" s="1014"/>
      <c r="AD685" s="1014"/>
    </row>
    <row r="686" spans="1:30" ht="62" outlineLevel="1">
      <c r="A686" s="1011">
        <v>46</v>
      </c>
      <c r="B686" s="1013"/>
      <c r="C686" s="1014"/>
      <c r="D686" s="1115" t="s">
        <v>365</v>
      </c>
      <c r="E686" s="1011"/>
      <c r="F686" s="1013"/>
      <c r="G686" s="1112"/>
      <c r="H686" s="1112"/>
      <c r="I686" s="1010">
        <v>10.97</v>
      </c>
      <c r="J686" s="1111" t="s">
        <v>60</v>
      </c>
      <c r="K686" s="1103">
        <v>2170</v>
      </c>
      <c r="L686" s="1102">
        <f t="shared" si="47"/>
        <v>23805</v>
      </c>
      <c r="M686" s="1103">
        <f t="shared" si="48"/>
        <v>23805</v>
      </c>
      <c r="N686" s="1102">
        <f t="shared" si="49"/>
        <v>0</v>
      </c>
      <c r="O686" s="1104" t="s">
        <v>2531</v>
      </c>
      <c r="P686" s="1018" t="s">
        <v>420</v>
      </c>
      <c r="Q686" s="1013"/>
      <c r="R686" s="1014"/>
      <c r="S686" s="1014"/>
      <c r="T686" s="1014"/>
      <c r="U686" s="1073"/>
      <c r="V686" s="1073"/>
      <c r="W686" s="1073"/>
      <c r="X686" s="1014"/>
      <c r="Y686" s="1014"/>
      <c r="Z686" s="1014"/>
      <c r="AA686" s="1014"/>
      <c r="AB686" s="1014"/>
      <c r="AC686" s="1014"/>
      <c r="AD686" s="1014"/>
    </row>
    <row r="687" spans="1:30" ht="19.899999999999999" customHeight="1" outlineLevel="1">
      <c r="A687" s="1031">
        <v>47</v>
      </c>
      <c r="B687" s="1013"/>
      <c r="C687" s="1014"/>
      <c r="D687" s="1116" t="s">
        <v>2349</v>
      </c>
      <c r="E687" s="1011"/>
      <c r="F687" s="1013"/>
      <c r="G687" s="1112"/>
      <c r="H687" s="1112"/>
      <c r="I687" s="1010">
        <v>2</v>
      </c>
      <c r="J687" s="1111" t="s">
        <v>14</v>
      </c>
      <c r="K687" s="1103">
        <v>5175</v>
      </c>
      <c r="L687" s="1102">
        <f t="shared" si="47"/>
        <v>10350</v>
      </c>
      <c r="M687" s="1103">
        <f t="shared" si="48"/>
        <v>10350</v>
      </c>
      <c r="N687" s="1102">
        <f t="shared" si="49"/>
        <v>0</v>
      </c>
      <c r="O687" s="1104" t="s">
        <v>2531</v>
      </c>
      <c r="P687" s="1018" t="s">
        <v>420</v>
      </c>
      <c r="Q687" s="1013"/>
      <c r="R687" s="1014"/>
      <c r="S687" s="1014"/>
      <c r="T687" s="1014"/>
      <c r="U687" s="1073"/>
      <c r="V687" s="1073"/>
      <c r="W687" s="1073"/>
      <c r="X687" s="1014"/>
      <c r="Y687" s="1014"/>
      <c r="Z687" s="1014"/>
      <c r="AA687" s="1014"/>
      <c r="AB687" s="1014"/>
      <c r="AC687" s="1014"/>
      <c r="AD687" s="1014"/>
    </row>
    <row r="688" spans="1:30" ht="40" customHeight="1" outlineLevel="1">
      <c r="A688" s="1011">
        <v>48</v>
      </c>
      <c r="B688" s="1013"/>
      <c r="C688" s="1014"/>
      <c r="D688" s="1115" t="s">
        <v>2350</v>
      </c>
      <c r="E688" s="1011"/>
      <c r="F688" s="1013"/>
      <c r="G688" s="1112"/>
      <c r="H688" s="1112"/>
      <c r="I688" s="1010">
        <v>1</v>
      </c>
      <c r="J688" s="1111" t="s">
        <v>222</v>
      </c>
      <c r="K688" s="1103">
        <v>11475</v>
      </c>
      <c r="L688" s="1102">
        <f t="shared" si="47"/>
        <v>11475</v>
      </c>
      <c r="M688" s="1103">
        <f t="shared" si="48"/>
        <v>11475</v>
      </c>
      <c r="N688" s="1102">
        <f t="shared" si="49"/>
        <v>0</v>
      </c>
      <c r="O688" s="1104" t="s">
        <v>2531</v>
      </c>
      <c r="P688" s="1018" t="s">
        <v>420</v>
      </c>
      <c r="Q688" s="1013"/>
      <c r="R688" s="1014"/>
      <c r="S688" s="1014"/>
      <c r="T688" s="1014"/>
      <c r="U688" s="1073"/>
      <c r="V688" s="1073"/>
      <c r="W688" s="1073"/>
      <c r="X688" s="1014"/>
      <c r="Y688" s="1014"/>
      <c r="Z688" s="1014"/>
      <c r="AA688" s="1014"/>
      <c r="AB688" s="1014"/>
      <c r="AC688" s="1014"/>
      <c r="AD688" s="1014"/>
    </row>
    <row r="689" spans="1:30" ht="46.5" outlineLevel="1">
      <c r="A689" s="1031">
        <v>49</v>
      </c>
      <c r="B689" s="1013"/>
      <c r="C689" s="1014"/>
      <c r="D689" s="1115" t="s">
        <v>2351</v>
      </c>
      <c r="E689" s="1011"/>
      <c r="F689" s="1013"/>
      <c r="G689" s="1112"/>
      <c r="H689" s="1112"/>
      <c r="I689" s="1010">
        <v>1</v>
      </c>
      <c r="J689" s="1111" t="s">
        <v>222</v>
      </c>
      <c r="K689" s="1103">
        <v>44250</v>
      </c>
      <c r="L689" s="1102">
        <f t="shared" si="47"/>
        <v>44250</v>
      </c>
      <c r="M689" s="1103">
        <f t="shared" si="48"/>
        <v>44250</v>
      </c>
      <c r="N689" s="1102">
        <f t="shared" si="49"/>
        <v>0</v>
      </c>
      <c r="O689" s="1104" t="s">
        <v>2531</v>
      </c>
      <c r="P689" s="1018" t="s">
        <v>420</v>
      </c>
      <c r="Q689" s="1013"/>
      <c r="R689" s="1014"/>
      <c r="S689" s="1014">
        <f>6240000/1.18</f>
        <v>5288135.5932203392</v>
      </c>
      <c r="T689" s="1014"/>
      <c r="U689" s="1073"/>
      <c r="V689" s="1073"/>
      <c r="W689" s="1073"/>
      <c r="X689" s="1014"/>
      <c r="Y689" s="1014"/>
      <c r="Z689" s="1014"/>
      <c r="AA689" s="1014"/>
      <c r="AB689" s="1014"/>
      <c r="AC689" s="1014"/>
      <c r="AD689" s="1014"/>
    </row>
    <row r="690" spans="1:30" ht="77.5" outlineLevel="1">
      <c r="A690" s="1011">
        <v>50</v>
      </c>
      <c r="B690" s="1013"/>
      <c r="C690" s="1014"/>
      <c r="D690" s="1115" t="s">
        <v>2352</v>
      </c>
      <c r="E690" s="1011"/>
      <c r="F690" s="1011"/>
      <c r="G690" s="1112"/>
      <c r="H690" s="1112"/>
      <c r="I690" s="1010">
        <v>8</v>
      </c>
      <c r="J690" s="1111" t="s">
        <v>14</v>
      </c>
      <c r="K690" s="1103">
        <v>2819</v>
      </c>
      <c r="L690" s="1102">
        <f t="shared" si="47"/>
        <v>22552</v>
      </c>
      <c r="M690" s="1103">
        <f t="shared" si="48"/>
        <v>22552</v>
      </c>
      <c r="N690" s="1102">
        <f t="shared" si="49"/>
        <v>0</v>
      </c>
      <c r="O690" s="1104" t="s">
        <v>2531</v>
      </c>
      <c r="P690" s="1018" t="s">
        <v>420</v>
      </c>
      <c r="Q690" s="1013"/>
      <c r="R690" s="1014"/>
      <c r="S690" s="1014"/>
      <c r="T690" s="1014"/>
      <c r="U690" s="1073"/>
      <c r="V690" s="1073"/>
      <c r="W690" s="1073"/>
      <c r="X690" s="1014"/>
      <c r="Y690" s="1014"/>
      <c r="Z690" s="1014"/>
      <c r="AA690" s="1014"/>
      <c r="AB690" s="1014"/>
      <c r="AC690" s="1014"/>
      <c r="AD690" s="1014"/>
    </row>
    <row r="691" spans="1:30" s="1175" customFormat="1" ht="155" outlineLevel="1">
      <c r="A691" s="1176">
        <v>51</v>
      </c>
      <c r="B691" s="1013"/>
      <c r="C691" s="1173"/>
      <c r="D691" s="1185" t="s">
        <v>2207</v>
      </c>
      <c r="E691" s="1162"/>
      <c r="F691" s="1162"/>
      <c r="G691" s="1177"/>
      <c r="H691" s="1177"/>
      <c r="I691" s="1186">
        <f>(3.24*2)+(1.77*1.55)+(1.8*0.9)</f>
        <v>10.843500000000002</v>
      </c>
      <c r="J691" s="1167" t="s">
        <v>62</v>
      </c>
      <c r="K691" s="1168">
        <v>1569</v>
      </c>
      <c r="L691" s="1169">
        <f>ROUND(I691*K691,0)</f>
        <v>17013</v>
      </c>
      <c r="M691" s="1168">
        <f t="shared" si="48"/>
        <v>17013</v>
      </c>
      <c r="N691" s="1169">
        <f t="shared" si="49"/>
        <v>0</v>
      </c>
      <c r="O691" s="1170" t="s">
        <v>2535</v>
      </c>
      <c r="P691" s="1018" t="s">
        <v>420</v>
      </c>
      <c r="Q691" s="1172"/>
      <c r="R691" s="1173"/>
      <c r="S691" s="1173"/>
      <c r="T691" s="1173"/>
      <c r="U691" s="1174"/>
      <c r="V691" s="1174"/>
      <c r="W691" s="1174"/>
      <c r="X691" s="1173"/>
      <c r="Y691" s="1173"/>
      <c r="Z691" s="1173"/>
      <c r="AA691" s="1173"/>
      <c r="AB691" s="1173"/>
      <c r="AC691" s="1173"/>
      <c r="AD691" s="1173"/>
    </row>
    <row r="692" spans="1:30" ht="124" outlineLevel="1">
      <c r="A692" s="1031">
        <v>52</v>
      </c>
      <c r="B692" s="1013"/>
      <c r="C692" s="1014"/>
      <c r="D692" s="1074" t="s">
        <v>2447</v>
      </c>
      <c r="E692" s="1011"/>
      <c r="F692" s="1011"/>
      <c r="G692" s="1112"/>
      <c r="H692" s="1112"/>
      <c r="I692" s="1211">
        <v>1</v>
      </c>
      <c r="J692" s="1111" t="s">
        <v>2446</v>
      </c>
      <c r="K692" s="1212">
        <v>300000</v>
      </c>
      <c r="L692" s="1213">
        <f>ROUND(I692*K692,0)</f>
        <v>300000</v>
      </c>
      <c r="M692" s="1212">
        <f t="shared" ref="M692" si="53">IF(L692&gt;H692,L692-H692,0)</f>
        <v>300000</v>
      </c>
      <c r="N692" s="1213">
        <f t="shared" ref="N692" si="54">IF(H692&gt;L692,H692-L692,0)</f>
        <v>0</v>
      </c>
      <c r="O692" s="1104" t="s">
        <v>2538</v>
      </c>
      <c r="P692" s="1018" t="s">
        <v>420</v>
      </c>
      <c r="T692" s="1016"/>
      <c r="U692" s="1073"/>
      <c r="V692" s="1073"/>
      <c r="W692" s="1073"/>
    </row>
    <row r="693" spans="1:30" ht="19.899999999999999" customHeight="1">
      <c r="A693" s="1031"/>
      <c r="B693" s="1013"/>
      <c r="C693" s="1014"/>
      <c r="D693" s="1009"/>
      <c r="E693" s="1031"/>
      <c r="F693" s="1030"/>
      <c r="G693" s="1086"/>
      <c r="H693" s="1086"/>
      <c r="I693" s="1088"/>
      <c r="J693" s="1031"/>
      <c r="K693" s="1105" t="s">
        <v>406</v>
      </c>
      <c r="L693" s="1106">
        <f>SUM(L647:L692)</f>
        <v>2029092</v>
      </c>
      <c r="M693" s="1106">
        <f>SUM(M647:M692)</f>
        <v>2029092</v>
      </c>
      <c r="N693" s="1106">
        <f>SUM(N647:N691)</f>
        <v>0</v>
      </c>
      <c r="O693" s="1104"/>
      <c r="T693" s="1016"/>
      <c r="U693" s="1073"/>
      <c r="V693" s="1073"/>
      <c r="W693" s="1073"/>
    </row>
    <row r="694" spans="1:30" ht="26.5" customHeight="1">
      <c r="A694" s="1031"/>
      <c r="B694" s="1013"/>
      <c r="C694" s="1014"/>
      <c r="D694" s="1077" t="s">
        <v>394</v>
      </c>
      <c r="E694" s="1031"/>
      <c r="F694" s="1030"/>
      <c r="G694" s="1107"/>
      <c r="H694" s="1099"/>
      <c r="I694" s="1010"/>
      <c r="J694" s="1031"/>
      <c r="K694" s="1108"/>
      <c r="L694" s="1108"/>
      <c r="M694" s="1109"/>
      <c r="N694" s="1108"/>
      <c r="O694" s="1104"/>
      <c r="P694" s="1018"/>
      <c r="Q694" s="1013"/>
      <c r="R694" s="1014"/>
      <c r="S694" s="1014"/>
      <c r="T694" s="1014"/>
      <c r="U694" s="1041"/>
      <c r="V694" s="1037"/>
      <c r="W694" s="1038"/>
      <c r="X694" s="1042"/>
      <c r="Y694" s="1014"/>
      <c r="Z694" s="1014"/>
      <c r="AA694" s="1014"/>
      <c r="AB694" s="1014"/>
      <c r="AC694" s="1014"/>
      <c r="AD694" s="1014"/>
    </row>
    <row r="695" spans="1:30" s="1175" customFormat="1" ht="77.5" outlineLevel="1">
      <c r="A695" s="1176">
        <v>53</v>
      </c>
      <c r="B695" s="1013"/>
      <c r="C695" s="1173"/>
      <c r="D695" s="1183" t="s">
        <v>2421</v>
      </c>
      <c r="E695" s="1187">
        <v>0</v>
      </c>
      <c r="F695" s="1187"/>
      <c r="G695" s="1188"/>
      <c r="H695" s="1188"/>
      <c r="I695" s="1178">
        <v>5</v>
      </c>
      <c r="J695" s="1176" t="s">
        <v>14</v>
      </c>
      <c r="K695" s="1169">
        <v>133</v>
      </c>
      <c r="L695" s="1169">
        <f t="shared" ref="L695:L696" si="55">ROUND(I695*K695,0)</f>
        <v>665</v>
      </c>
      <c r="M695" s="1168">
        <f t="shared" ref="M695:M696" si="56">IF(L695&gt;H695,L695-H695,0)</f>
        <v>665</v>
      </c>
      <c r="N695" s="1169">
        <f t="shared" ref="N695:N696" si="57">IF(H695&gt;L695,H695-L695,0)</f>
        <v>0</v>
      </c>
      <c r="O695" s="1170" t="s">
        <v>2535</v>
      </c>
      <c r="P695" s="1171" t="s">
        <v>421</v>
      </c>
      <c r="Q695" s="1172"/>
      <c r="R695" s="1173"/>
      <c r="S695" s="1173"/>
      <c r="T695" s="1173"/>
      <c r="U695" s="1174"/>
      <c r="V695" s="1174"/>
      <c r="W695" s="1174"/>
      <c r="X695" s="1189"/>
      <c r="Y695" s="1173"/>
      <c r="Z695" s="1173"/>
      <c r="AA695" s="1173"/>
      <c r="AB695" s="1173"/>
      <c r="AC695" s="1173"/>
      <c r="AD695" s="1173"/>
    </row>
    <row r="696" spans="1:30" s="1175" customFormat="1" ht="137.5" customHeight="1" outlineLevel="1">
      <c r="A696" s="1176">
        <v>54</v>
      </c>
      <c r="B696" s="1013"/>
      <c r="C696" s="1173"/>
      <c r="D696" s="1183" t="s">
        <v>2422</v>
      </c>
      <c r="E696" s="1162"/>
      <c r="F696" s="1162"/>
      <c r="G696" s="1177"/>
      <c r="H696" s="1177"/>
      <c r="I696" s="1178">
        <v>35.1</v>
      </c>
      <c r="J696" s="1167" t="s">
        <v>60</v>
      </c>
      <c r="K696" s="1168">
        <v>599</v>
      </c>
      <c r="L696" s="1169">
        <f t="shared" si="55"/>
        <v>21025</v>
      </c>
      <c r="M696" s="1168">
        <f t="shared" si="56"/>
        <v>21025</v>
      </c>
      <c r="N696" s="1169">
        <f t="shared" si="57"/>
        <v>0</v>
      </c>
      <c r="O696" s="1170" t="s">
        <v>2535</v>
      </c>
      <c r="P696" s="1171" t="s">
        <v>421</v>
      </c>
      <c r="Q696" s="1172"/>
      <c r="R696" s="1173"/>
      <c r="S696" s="1173"/>
      <c r="T696" s="1173"/>
      <c r="U696" s="1174"/>
      <c r="V696" s="1174"/>
      <c r="W696" s="1174"/>
      <c r="X696" s="1189"/>
      <c r="Y696" s="1173"/>
      <c r="Z696" s="1173"/>
      <c r="AA696" s="1173"/>
      <c r="AB696" s="1173"/>
      <c r="AC696" s="1173"/>
      <c r="AD696" s="1173"/>
    </row>
    <row r="697" spans="1:30" ht="21" customHeight="1">
      <c r="A697" s="1031"/>
      <c r="B697" s="1013"/>
      <c r="C697" s="1014"/>
      <c r="D697" s="1009"/>
      <c r="E697" s="1031"/>
      <c r="F697" s="1030"/>
      <c r="G697" s="1086"/>
      <c r="H697" s="1086"/>
      <c r="I697" s="1088"/>
      <c r="J697" s="1031"/>
      <c r="K697" s="1105" t="s">
        <v>406</v>
      </c>
      <c r="L697" s="1106">
        <f>SUM(L695:L696)</f>
        <v>21690</v>
      </c>
      <c r="M697" s="1106">
        <f>SUM(M695:M696)</f>
        <v>21690</v>
      </c>
      <c r="N697" s="1106">
        <f>SUM(N695:N696)</f>
        <v>0</v>
      </c>
      <c r="O697" s="1104"/>
      <c r="T697" s="1016"/>
      <c r="U697" s="1073"/>
      <c r="V697" s="1073"/>
      <c r="W697" s="1073"/>
    </row>
    <row r="698" spans="1:30" ht="26.5" customHeight="1">
      <c r="A698" s="1031"/>
      <c r="B698" s="1013"/>
      <c r="C698" s="1014"/>
      <c r="D698" s="1077" t="s">
        <v>398</v>
      </c>
      <c r="E698" s="1031"/>
      <c r="F698" s="1030"/>
      <c r="G698" s="1107"/>
      <c r="H698" s="1099"/>
      <c r="I698" s="1034"/>
      <c r="J698" s="1031"/>
      <c r="K698" s="1108"/>
      <c r="L698" s="1108"/>
      <c r="M698" s="1109"/>
      <c r="N698" s="1108"/>
      <c r="O698" s="1104"/>
    </row>
    <row r="699" spans="1:30" s="1198" customFormat="1" ht="118.5" customHeight="1">
      <c r="A699" s="1190">
        <v>55</v>
      </c>
      <c r="B699" s="1013"/>
      <c r="C699" s="1192"/>
      <c r="D699" s="1184" t="s">
        <v>542</v>
      </c>
      <c r="E699" s="1191"/>
      <c r="F699" s="1192"/>
      <c r="G699" s="1191"/>
      <c r="H699" s="1191"/>
      <c r="I699" s="1193">
        <v>12</v>
      </c>
      <c r="J699" s="1194" t="s">
        <v>14</v>
      </c>
      <c r="K699" s="1195">
        <v>17241</v>
      </c>
      <c r="L699" s="1196">
        <f t="shared" ref="L699:L722" si="58">SUM(I699*K699)</f>
        <v>206892</v>
      </c>
      <c r="M699" s="1168">
        <f t="shared" ref="M699" si="59">IF(L699&gt;H699,L699-H699,0)</f>
        <v>206892</v>
      </c>
      <c r="N699" s="1169">
        <f t="shared" ref="N699" si="60">IF(H699&gt;L699,H699-L699,0)</f>
        <v>0</v>
      </c>
      <c r="O699" s="1197"/>
      <c r="P699" s="1198" t="s">
        <v>419</v>
      </c>
    </row>
    <row r="700" spans="1:30" s="1198" customFormat="1">
      <c r="A700" s="1190"/>
      <c r="B700" s="1013"/>
      <c r="C700" s="1192"/>
      <c r="D700" s="1218" t="s">
        <v>2483</v>
      </c>
      <c r="E700" s="1191"/>
      <c r="F700" s="1192"/>
      <c r="G700" s="1191"/>
      <c r="H700" s="1191"/>
      <c r="I700" s="1193"/>
      <c r="J700" s="1194"/>
      <c r="K700" s="1195"/>
      <c r="L700" s="1196"/>
      <c r="M700" s="1168"/>
      <c r="N700" s="1169"/>
      <c r="O700" s="1197"/>
      <c r="P700" s="1198" t="s">
        <v>419</v>
      </c>
    </row>
    <row r="701" spans="1:30" s="1198" customFormat="1">
      <c r="A701" s="1190"/>
      <c r="B701" s="1013"/>
      <c r="C701" s="1192"/>
      <c r="D701" s="1184"/>
      <c r="E701" s="1191"/>
      <c r="F701" s="1192"/>
      <c r="G701" s="1191"/>
      <c r="H701" s="1191"/>
      <c r="I701" s="1193"/>
      <c r="J701" s="1194"/>
      <c r="K701" s="1195"/>
      <c r="L701" s="1196"/>
      <c r="M701" s="1168"/>
      <c r="N701" s="1169"/>
      <c r="O701" s="1197"/>
      <c r="P701" s="1198" t="s">
        <v>419</v>
      </c>
    </row>
    <row r="702" spans="1:30" s="1198" customFormat="1" ht="46.5">
      <c r="A702" s="1190">
        <v>56</v>
      </c>
      <c r="B702" s="1013"/>
      <c r="C702" s="1192"/>
      <c r="D702" s="1184" t="s">
        <v>297</v>
      </c>
      <c r="E702" s="1191"/>
      <c r="F702" s="1192"/>
      <c r="G702" s="1191"/>
      <c r="H702" s="1191"/>
      <c r="I702" s="1193">
        <v>14</v>
      </c>
      <c r="J702" s="1194" t="s">
        <v>14</v>
      </c>
      <c r="K702" s="1195">
        <v>4317</v>
      </c>
      <c r="L702" s="1196">
        <f t="shared" si="58"/>
        <v>60438</v>
      </c>
      <c r="M702" s="1168">
        <f t="shared" ref="M702:M722" si="61">IF(L702&gt;H702,L702-H702,0)</f>
        <v>60438</v>
      </c>
      <c r="N702" s="1169">
        <f t="shared" ref="N702:N722" si="62">IF(H702&gt;L702,H702-L702,0)</f>
        <v>0</v>
      </c>
      <c r="O702" s="1197"/>
      <c r="P702" s="1198" t="s">
        <v>419</v>
      </c>
    </row>
    <row r="703" spans="1:30" s="1198" customFormat="1">
      <c r="A703" s="1190"/>
      <c r="B703" s="1013"/>
      <c r="C703" s="1192"/>
      <c r="D703" s="1218" t="s">
        <v>2483</v>
      </c>
      <c r="E703" s="1191"/>
      <c r="F703" s="1192"/>
      <c r="G703" s="1191"/>
      <c r="H703" s="1191"/>
      <c r="I703" s="1193"/>
      <c r="J703" s="1194"/>
      <c r="K703" s="1195"/>
      <c r="L703" s="1196"/>
      <c r="M703" s="1168"/>
      <c r="N703" s="1169"/>
      <c r="O703" s="1197"/>
      <c r="P703" s="1198" t="s">
        <v>419</v>
      </c>
    </row>
    <row r="704" spans="1:30" s="1198" customFormat="1">
      <c r="A704" s="1190"/>
      <c r="B704" s="1013"/>
      <c r="C704" s="1192"/>
      <c r="D704" s="1184"/>
      <c r="E704" s="1191"/>
      <c r="F704" s="1192"/>
      <c r="G704" s="1191"/>
      <c r="H704" s="1191"/>
      <c r="I704" s="1193"/>
      <c r="J704" s="1194"/>
      <c r="K704" s="1195"/>
      <c r="L704" s="1196"/>
      <c r="M704" s="1168"/>
      <c r="N704" s="1169"/>
      <c r="O704" s="1197"/>
      <c r="P704" s="1198" t="s">
        <v>419</v>
      </c>
    </row>
    <row r="705" spans="1:16" s="1198" customFormat="1" ht="77.5">
      <c r="A705" s="1190">
        <v>57</v>
      </c>
      <c r="B705" s="1013"/>
      <c r="C705" s="1192"/>
      <c r="D705" s="1184" t="s">
        <v>543</v>
      </c>
      <c r="E705" s="1191"/>
      <c r="F705" s="1192"/>
      <c r="G705" s="1191"/>
      <c r="H705" s="1191"/>
      <c r="I705" s="1193">
        <v>14</v>
      </c>
      <c r="J705" s="1194" t="s">
        <v>14</v>
      </c>
      <c r="K705" s="1195">
        <v>185</v>
      </c>
      <c r="L705" s="1196">
        <f t="shared" si="58"/>
        <v>2590</v>
      </c>
      <c r="M705" s="1168">
        <f t="shared" si="61"/>
        <v>2590</v>
      </c>
      <c r="N705" s="1169">
        <f t="shared" si="62"/>
        <v>0</v>
      </c>
      <c r="O705" s="1197"/>
      <c r="P705" s="1198" t="s">
        <v>419</v>
      </c>
    </row>
    <row r="706" spans="1:16" s="1198" customFormat="1">
      <c r="A706" s="1190"/>
      <c r="B706" s="1013"/>
      <c r="C706" s="1192"/>
      <c r="D706" s="1218" t="s">
        <v>2484</v>
      </c>
      <c r="E706" s="1191"/>
      <c r="F706" s="1192"/>
      <c r="G706" s="1191"/>
      <c r="H706" s="1191"/>
      <c r="I706" s="1193"/>
      <c r="J706" s="1194"/>
      <c r="K706" s="1195"/>
      <c r="L706" s="1196"/>
      <c r="M706" s="1168"/>
      <c r="N706" s="1169"/>
      <c r="O706" s="1197"/>
      <c r="P706" s="1198" t="s">
        <v>419</v>
      </c>
    </row>
    <row r="707" spans="1:16" s="1198" customFormat="1">
      <c r="A707" s="1190"/>
      <c r="B707" s="1013"/>
      <c r="C707" s="1192"/>
      <c r="D707" s="1184"/>
      <c r="E707" s="1191"/>
      <c r="F707" s="1192"/>
      <c r="G707" s="1191"/>
      <c r="H707" s="1191"/>
      <c r="I707" s="1193"/>
      <c r="J707" s="1194"/>
      <c r="K707" s="1195"/>
      <c r="L707" s="1196"/>
      <c r="M707" s="1168"/>
      <c r="N707" s="1169"/>
      <c r="O707" s="1197"/>
      <c r="P707" s="1198" t="s">
        <v>419</v>
      </c>
    </row>
    <row r="708" spans="1:16" s="1198" customFormat="1" ht="31">
      <c r="A708" s="1190">
        <v>58</v>
      </c>
      <c r="B708" s="1013"/>
      <c r="C708" s="1192"/>
      <c r="D708" s="1184" t="s">
        <v>650</v>
      </c>
      <c r="E708" s="1191"/>
      <c r="F708" s="1192"/>
      <c r="G708" s="1191"/>
      <c r="H708" s="1191"/>
      <c r="I708" s="1193">
        <v>14</v>
      </c>
      <c r="J708" s="1194" t="s">
        <v>14</v>
      </c>
      <c r="K708" s="1195">
        <v>122</v>
      </c>
      <c r="L708" s="1196">
        <f t="shared" si="58"/>
        <v>1708</v>
      </c>
      <c r="M708" s="1168">
        <f t="shared" si="61"/>
        <v>1708</v>
      </c>
      <c r="N708" s="1169">
        <f t="shared" si="62"/>
        <v>0</v>
      </c>
      <c r="O708" s="1197"/>
      <c r="P708" s="1198" t="s">
        <v>419</v>
      </c>
    </row>
    <row r="709" spans="1:16" s="1198" customFormat="1">
      <c r="A709" s="1190"/>
      <c r="B709" s="1013"/>
      <c r="C709" s="1192"/>
      <c r="D709" s="1218" t="s">
        <v>2484</v>
      </c>
      <c r="E709" s="1191"/>
      <c r="F709" s="1192"/>
      <c r="G709" s="1191"/>
      <c r="H709" s="1191"/>
      <c r="I709" s="1193"/>
      <c r="J709" s="1194"/>
      <c r="K709" s="1195"/>
      <c r="L709" s="1196"/>
      <c r="M709" s="1168"/>
      <c r="N709" s="1169"/>
      <c r="O709" s="1197"/>
      <c r="P709" s="1198" t="s">
        <v>419</v>
      </c>
    </row>
    <row r="710" spans="1:16" s="1198" customFormat="1">
      <c r="A710" s="1190"/>
      <c r="B710" s="1013"/>
      <c r="C710" s="1192"/>
      <c r="D710" s="1184"/>
      <c r="E710" s="1191"/>
      <c r="F710" s="1192"/>
      <c r="G710" s="1191"/>
      <c r="H710" s="1191"/>
      <c r="I710" s="1193"/>
      <c r="J710" s="1194"/>
      <c r="K710" s="1195"/>
      <c r="L710" s="1196"/>
      <c r="M710" s="1168"/>
      <c r="N710" s="1169"/>
      <c r="O710" s="1197"/>
      <c r="P710" s="1198" t="s">
        <v>419</v>
      </c>
    </row>
    <row r="711" spans="1:16" s="1198" customFormat="1" ht="62">
      <c r="A711" s="1190">
        <v>59</v>
      </c>
      <c r="B711" s="1013"/>
      <c r="C711" s="1192"/>
      <c r="D711" s="1184" t="s">
        <v>300</v>
      </c>
      <c r="E711" s="1199"/>
      <c r="F711" s="1192"/>
      <c r="G711" s="1199"/>
      <c r="H711" s="1199"/>
      <c r="I711" s="1193">
        <v>30</v>
      </c>
      <c r="J711" s="1194" t="s">
        <v>14</v>
      </c>
      <c r="K711" s="1195">
        <v>1178</v>
      </c>
      <c r="L711" s="1196">
        <f t="shared" si="58"/>
        <v>35340</v>
      </c>
      <c r="M711" s="1168">
        <f t="shared" si="61"/>
        <v>35340</v>
      </c>
      <c r="N711" s="1169">
        <f t="shared" si="62"/>
        <v>0</v>
      </c>
      <c r="O711" s="1197"/>
      <c r="P711" s="1198" t="s">
        <v>419</v>
      </c>
    </row>
    <row r="712" spans="1:16" s="1198" customFormat="1">
      <c r="A712" s="1190"/>
      <c r="B712" s="1013"/>
      <c r="C712" s="1192"/>
      <c r="D712" s="1218" t="s">
        <v>2485</v>
      </c>
      <c r="E712" s="1199"/>
      <c r="F712" s="1192"/>
      <c r="G712" s="1199"/>
      <c r="H712" s="1199"/>
      <c r="I712" s="1193"/>
      <c r="J712" s="1194"/>
      <c r="K712" s="1195"/>
      <c r="L712" s="1196"/>
      <c r="M712" s="1168"/>
      <c r="N712" s="1169"/>
      <c r="O712" s="1197"/>
      <c r="P712" s="1198" t="s">
        <v>419</v>
      </c>
    </row>
    <row r="713" spans="1:16" s="1198" customFormat="1">
      <c r="A713" s="1190"/>
      <c r="B713" s="1013"/>
      <c r="C713" s="1192"/>
      <c r="D713" s="1184"/>
      <c r="E713" s="1199"/>
      <c r="F713" s="1192"/>
      <c r="G713" s="1199"/>
      <c r="H713" s="1199"/>
      <c r="I713" s="1193"/>
      <c r="J713" s="1194"/>
      <c r="K713" s="1195"/>
      <c r="L713" s="1196"/>
      <c r="M713" s="1168"/>
      <c r="N713" s="1169"/>
      <c r="O713" s="1197"/>
      <c r="P713" s="1198" t="s">
        <v>419</v>
      </c>
    </row>
    <row r="714" spans="1:16" s="1198" customFormat="1" ht="62">
      <c r="A714" s="1190">
        <v>60</v>
      </c>
      <c r="B714" s="1013"/>
      <c r="C714" s="1192"/>
      <c r="D714" s="1184" t="s">
        <v>545</v>
      </c>
      <c r="E714" s="1199"/>
      <c r="F714" s="1192"/>
      <c r="G714" s="1199"/>
      <c r="H714" s="1199"/>
      <c r="I714" s="1193">
        <v>1</v>
      </c>
      <c r="J714" s="1194" t="s">
        <v>14</v>
      </c>
      <c r="K714" s="1195">
        <v>4353</v>
      </c>
      <c r="L714" s="1196">
        <f t="shared" si="58"/>
        <v>4353</v>
      </c>
      <c r="M714" s="1168">
        <f t="shared" si="61"/>
        <v>4353</v>
      </c>
      <c r="N714" s="1169">
        <f t="shared" si="62"/>
        <v>0</v>
      </c>
      <c r="O714" s="1197"/>
      <c r="P714" s="1198" t="s">
        <v>419</v>
      </c>
    </row>
    <row r="715" spans="1:16" s="1198" customFormat="1" ht="46.5">
      <c r="A715" s="1190">
        <v>61</v>
      </c>
      <c r="B715" s="1013"/>
      <c r="C715" s="1192"/>
      <c r="D715" s="1184" t="s">
        <v>546</v>
      </c>
      <c r="E715" s="1199"/>
      <c r="F715" s="1192"/>
      <c r="G715" s="1199"/>
      <c r="H715" s="1199"/>
      <c r="I715" s="1193">
        <v>1</v>
      </c>
      <c r="J715" s="1194" t="s">
        <v>14</v>
      </c>
      <c r="K715" s="1195">
        <v>788</v>
      </c>
      <c r="L715" s="1196">
        <f t="shared" si="58"/>
        <v>788</v>
      </c>
      <c r="M715" s="1168">
        <f t="shared" si="61"/>
        <v>788</v>
      </c>
      <c r="N715" s="1169">
        <f t="shared" si="62"/>
        <v>0</v>
      </c>
      <c r="O715" s="1197"/>
      <c r="P715" s="1198" t="s">
        <v>419</v>
      </c>
    </row>
    <row r="716" spans="1:16" s="1198" customFormat="1">
      <c r="A716" s="1190"/>
      <c r="B716" s="1013"/>
      <c r="C716" s="1192"/>
      <c r="D716" s="1218" t="s">
        <v>2486</v>
      </c>
      <c r="E716" s="1199"/>
      <c r="F716" s="1192"/>
      <c r="G716" s="1199"/>
      <c r="H716" s="1199"/>
      <c r="I716" s="1193"/>
      <c r="J716" s="1194"/>
      <c r="K716" s="1195"/>
      <c r="L716" s="1196"/>
      <c r="M716" s="1168"/>
      <c r="N716" s="1169"/>
      <c r="O716" s="1197"/>
      <c r="P716" s="1198" t="s">
        <v>419</v>
      </c>
    </row>
    <row r="717" spans="1:16" s="1198" customFormat="1">
      <c r="A717" s="1190"/>
      <c r="B717" s="1013"/>
      <c r="C717" s="1192"/>
      <c r="D717" s="1184"/>
      <c r="E717" s="1199"/>
      <c r="F717" s="1192"/>
      <c r="G717" s="1199"/>
      <c r="H717" s="1199"/>
      <c r="I717" s="1193"/>
      <c r="J717" s="1194"/>
      <c r="K717" s="1195"/>
      <c r="L717" s="1196"/>
      <c r="M717" s="1168"/>
      <c r="N717" s="1169"/>
      <c r="O717" s="1197"/>
      <c r="P717" s="1198" t="s">
        <v>419</v>
      </c>
    </row>
    <row r="718" spans="1:16" s="1198" customFormat="1" ht="46.5">
      <c r="A718" s="1190">
        <v>62</v>
      </c>
      <c r="B718" s="1013"/>
      <c r="C718" s="1192"/>
      <c r="D718" s="1184" t="s">
        <v>301</v>
      </c>
      <c r="E718" s="1199"/>
      <c r="F718" s="1192"/>
      <c r="G718" s="1199"/>
      <c r="H718" s="1199"/>
      <c r="I718" s="1193">
        <v>14</v>
      </c>
      <c r="J718" s="1194" t="s">
        <v>14</v>
      </c>
      <c r="K718" s="1195">
        <v>162</v>
      </c>
      <c r="L718" s="1196">
        <f t="shared" si="58"/>
        <v>2268</v>
      </c>
      <c r="M718" s="1168">
        <f t="shared" si="61"/>
        <v>2268</v>
      </c>
      <c r="N718" s="1169">
        <f t="shared" si="62"/>
        <v>0</v>
      </c>
      <c r="O718" s="1197"/>
      <c r="P718" s="1198" t="s">
        <v>419</v>
      </c>
    </row>
    <row r="719" spans="1:16" s="1198" customFormat="1">
      <c r="A719" s="1190"/>
      <c r="B719" s="1013"/>
      <c r="C719" s="1192"/>
      <c r="D719" s="1218" t="s">
        <v>2485</v>
      </c>
      <c r="E719" s="1199"/>
      <c r="F719" s="1192"/>
      <c r="G719" s="1199"/>
      <c r="H719" s="1199"/>
      <c r="I719" s="1193"/>
      <c r="J719" s="1194"/>
      <c r="K719" s="1195"/>
      <c r="L719" s="1196"/>
      <c r="M719" s="1168"/>
      <c r="N719" s="1169"/>
      <c r="O719" s="1197"/>
      <c r="P719" s="1198" t="s">
        <v>419</v>
      </c>
    </row>
    <row r="720" spans="1:16" s="1198" customFormat="1">
      <c r="A720" s="1190"/>
      <c r="B720" s="1013"/>
      <c r="C720" s="1192"/>
      <c r="D720" s="1184"/>
      <c r="E720" s="1199"/>
      <c r="F720" s="1192"/>
      <c r="G720" s="1199"/>
      <c r="H720" s="1199"/>
      <c r="I720" s="1193"/>
      <c r="J720" s="1194"/>
      <c r="K720" s="1195"/>
      <c r="L720" s="1196"/>
      <c r="M720" s="1168"/>
      <c r="N720" s="1169"/>
      <c r="O720" s="1197"/>
      <c r="P720" s="1198" t="s">
        <v>419</v>
      </c>
    </row>
    <row r="721" spans="1:23" s="1198" customFormat="1" ht="93">
      <c r="A721" s="1190">
        <v>63</v>
      </c>
      <c r="B721" s="1013"/>
      <c r="C721" s="1192"/>
      <c r="D721" s="1184" t="s">
        <v>547</v>
      </c>
      <c r="E721" s="1199"/>
      <c r="F721" s="1192"/>
      <c r="G721" s="1199"/>
      <c r="H721" s="1199"/>
      <c r="I721" s="1193">
        <v>1</v>
      </c>
      <c r="J721" s="1194" t="s">
        <v>66</v>
      </c>
      <c r="K721" s="1195">
        <v>9444</v>
      </c>
      <c r="L721" s="1196">
        <f t="shared" si="58"/>
        <v>9444</v>
      </c>
      <c r="M721" s="1168">
        <f t="shared" si="61"/>
        <v>9444</v>
      </c>
      <c r="N721" s="1169">
        <f t="shared" si="62"/>
        <v>0</v>
      </c>
      <c r="O721" s="1197"/>
      <c r="P721" s="1198" t="s">
        <v>419</v>
      </c>
    </row>
    <row r="722" spans="1:23" s="1198" customFormat="1" ht="32.25" customHeight="1">
      <c r="A722" s="1190">
        <v>64</v>
      </c>
      <c r="B722" s="1013"/>
      <c r="C722" s="1192"/>
      <c r="D722" s="1184" t="s">
        <v>548</v>
      </c>
      <c r="E722" s="1199"/>
      <c r="F722" s="1192"/>
      <c r="G722" s="1199"/>
      <c r="H722" s="1199"/>
      <c r="I722" s="1193">
        <v>8</v>
      </c>
      <c r="J722" s="1194" t="s">
        <v>14</v>
      </c>
      <c r="K722" s="1195">
        <v>5085</v>
      </c>
      <c r="L722" s="1196">
        <f t="shared" si="58"/>
        <v>40680</v>
      </c>
      <c r="M722" s="1168">
        <f t="shared" si="61"/>
        <v>40680</v>
      </c>
      <c r="N722" s="1169">
        <f t="shared" si="62"/>
        <v>0</v>
      </c>
      <c r="O722" s="1197"/>
      <c r="P722" s="1198" t="s">
        <v>419</v>
      </c>
    </row>
    <row r="723" spans="1:23" s="1175" customFormat="1" ht="46.5" outlineLevel="1">
      <c r="A723" s="1190">
        <v>65</v>
      </c>
      <c r="B723" s="1013"/>
      <c r="C723" s="1173"/>
      <c r="D723" s="1184" t="s">
        <v>283</v>
      </c>
      <c r="E723" s="1176"/>
      <c r="F723" s="1200"/>
      <c r="G723" s="1201"/>
      <c r="H723" s="1202"/>
      <c r="I723" s="1203">
        <v>20</v>
      </c>
      <c r="J723" s="1176" t="s">
        <v>60</v>
      </c>
      <c r="K723" s="1169">
        <v>289</v>
      </c>
      <c r="L723" s="1169">
        <f t="shared" ref="L723:L726" si="63">ROUND(I723*K723,0)</f>
        <v>5780</v>
      </c>
      <c r="M723" s="1168">
        <f t="shared" ref="M723:M732" si="64">IF(L723&gt;H723,L723-H723,0)</f>
        <v>5780</v>
      </c>
      <c r="N723" s="1169">
        <f t="shared" ref="N723:N732" si="65">IF(H723&gt;L723,H723-L723,0)</f>
        <v>0</v>
      </c>
      <c r="O723" s="1170"/>
      <c r="P723" s="1198" t="s">
        <v>419</v>
      </c>
      <c r="Q723" s="1204"/>
      <c r="T723" s="1205"/>
    </row>
    <row r="724" spans="1:23" s="1175" customFormat="1" ht="46.5" outlineLevel="1">
      <c r="A724" s="1190">
        <v>66</v>
      </c>
      <c r="B724" s="1013"/>
      <c r="C724" s="1173"/>
      <c r="D724" s="1184" t="s">
        <v>284</v>
      </c>
      <c r="E724" s="1176"/>
      <c r="F724" s="1200"/>
      <c r="G724" s="1201"/>
      <c r="H724" s="1202"/>
      <c r="I724" s="1203">
        <v>190</v>
      </c>
      <c r="J724" s="1176" t="s">
        <v>60</v>
      </c>
      <c r="K724" s="1169">
        <v>173</v>
      </c>
      <c r="L724" s="1169">
        <f t="shared" si="63"/>
        <v>32870</v>
      </c>
      <c r="M724" s="1168">
        <f t="shared" si="64"/>
        <v>32870</v>
      </c>
      <c r="N724" s="1169">
        <f t="shared" si="65"/>
        <v>0</v>
      </c>
      <c r="O724" s="1170"/>
      <c r="P724" s="1198" t="s">
        <v>419</v>
      </c>
      <c r="Q724" s="1204"/>
      <c r="T724" s="1205"/>
    </row>
    <row r="725" spans="1:23" s="1175" customFormat="1" ht="31" outlineLevel="1">
      <c r="A725" s="1190">
        <v>67</v>
      </c>
      <c r="B725" s="1013"/>
      <c r="C725" s="1173"/>
      <c r="D725" s="1206" t="s">
        <v>314</v>
      </c>
      <c r="E725" s="1207"/>
      <c r="F725" s="1207"/>
      <c r="G725" s="1208"/>
      <c r="H725" s="1208"/>
      <c r="I725" s="1209">
        <v>74.099999999999994</v>
      </c>
      <c r="J725" s="1167" t="s">
        <v>60</v>
      </c>
      <c r="K725" s="1168">
        <v>130</v>
      </c>
      <c r="L725" s="1169">
        <f t="shared" si="63"/>
        <v>9633</v>
      </c>
      <c r="M725" s="1168">
        <f>IF(L725&gt;H725,L725-H725,0)</f>
        <v>9633</v>
      </c>
      <c r="N725" s="1169">
        <f>IF(H725&gt;L725,H725-L725,0)</f>
        <v>0</v>
      </c>
      <c r="O725" s="1170"/>
      <c r="P725" s="1198" t="s">
        <v>419</v>
      </c>
      <c r="Q725" s="1204"/>
      <c r="T725" s="1205"/>
    </row>
    <row r="726" spans="1:23" s="1175" customFormat="1" ht="62" outlineLevel="1">
      <c r="A726" s="1190">
        <v>68</v>
      </c>
      <c r="B726" s="1013"/>
      <c r="C726" s="1173"/>
      <c r="D726" s="1206" t="s">
        <v>2442</v>
      </c>
      <c r="E726" s="1207"/>
      <c r="F726" s="1207"/>
      <c r="G726" s="1208"/>
      <c r="H726" s="1208"/>
      <c r="I726" s="1209">
        <v>1</v>
      </c>
      <c r="J726" s="1167" t="s">
        <v>14</v>
      </c>
      <c r="K726" s="1168">
        <v>4203</v>
      </c>
      <c r="L726" s="1169">
        <f t="shared" si="63"/>
        <v>4203</v>
      </c>
      <c r="M726" s="1168">
        <f>IF(L726&gt;H726,L726-H726,0)</f>
        <v>4203</v>
      </c>
      <c r="N726" s="1169">
        <f>IF(H726&gt;L726,H726-L726,0)</f>
        <v>0</v>
      </c>
      <c r="O726" s="1170"/>
      <c r="P726" s="1198" t="s">
        <v>419</v>
      </c>
      <c r="Q726" s="1204"/>
      <c r="T726" s="1205"/>
    </row>
    <row r="727" spans="1:23" s="1175" customFormat="1" outlineLevel="1">
      <c r="A727" s="1190"/>
      <c r="B727" s="1013"/>
      <c r="C727" s="1173"/>
      <c r="D727" s="1218" t="s">
        <v>2486</v>
      </c>
      <c r="E727" s="1207"/>
      <c r="F727" s="1207"/>
      <c r="G727" s="1208"/>
      <c r="H727" s="1208"/>
      <c r="I727" s="1209"/>
      <c r="J727" s="1167"/>
      <c r="K727" s="1168"/>
      <c r="L727" s="1169"/>
      <c r="M727" s="1168"/>
      <c r="N727" s="1169"/>
      <c r="O727" s="1170"/>
      <c r="P727" s="1198" t="s">
        <v>419</v>
      </c>
      <c r="Q727" s="1204"/>
      <c r="T727" s="1205"/>
    </row>
    <row r="728" spans="1:23" s="1175" customFormat="1" outlineLevel="1">
      <c r="A728" s="1190"/>
      <c r="B728" s="1013"/>
      <c r="C728" s="1173"/>
      <c r="D728" s="1206"/>
      <c r="E728" s="1207"/>
      <c r="F728" s="1207"/>
      <c r="G728" s="1208"/>
      <c r="H728" s="1208"/>
      <c r="I728" s="1209"/>
      <c r="J728" s="1167"/>
      <c r="K728" s="1168"/>
      <c r="L728" s="1169"/>
      <c r="M728" s="1168"/>
      <c r="N728" s="1169"/>
      <c r="O728" s="1170"/>
      <c r="P728" s="1198" t="s">
        <v>419</v>
      </c>
      <c r="Q728" s="1204"/>
      <c r="T728" s="1205"/>
    </row>
    <row r="729" spans="1:23" ht="93" outlineLevel="1">
      <c r="A729" s="1119">
        <v>69</v>
      </c>
      <c r="B729" s="1013"/>
      <c r="C729" s="1014"/>
      <c r="D729" s="1122" t="s">
        <v>2423</v>
      </c>
      <c r="E729" s="1011"/>
      <c r="F729" s="1013"/>
      <c r="G729" s="1112"/>
      <c r="H729" s="1112"/>
      <c r="I729" s="1010">
        <v>13</v>
      </c>
      <c r="J729" s="1111" t="s">
        <v>14</v>
      </c>
      <c r="K729" s="1103">
        <v>1200</v>
      </c>
      <c r="L729" s="1103">
        <f t="shared" ref="L729:L732" si="66">I729*K729</f>
        <v>15600</v>
      </c>
      <c r="M729" s="1103">
        <f t="shared" si="64"/>
        <v>15600</v>
      </c>
      <c r="N729" s="1102">
        <f t="shared" si="65"/>
        <v>0</v>
      </c>
      <c r="O729" s="1104"/>
      <c r="P729" s="1198" t="s">
        <v>419</v>
      </c>
    </row>
    <row r="730" spans="1:23" ht="19.899999999999999" customHeight="1" outlineLevel="1">
      <c r="A730" s="1119">
        <v>70</v>
      </c>
      <c r="B730" s="1013"/>
      <c r="C730" s="1014"/>
      <c r="D730" s="1009" t="s">
        <v>371</v>
      </c>
      <c r="E730" s="1011"/>
      <c r="F730" s="1013"/>
      <c r="G730" s="1112"/>
      <c r="H730" s="1112"/>
      <c r="I730" s="1010">
        <v>10.66</v>
      </c>
      <c r="J730" s="1111" t="s">
        <v>60</v>
      </c>
      <c r="K730" s="1103">
        <v>1182</v>
      </c>
      <c r="L730" s="1103">
        <f t="shared" si="66"/>
        <v>12600.12</v>
      </c>
      <c r="M730" s="1103">
        <f t="shared" si="64"/>
        <v>12600.12</v>
      </c>
      <c r="N730" s="1102">
        <f t="shared" si="65"/>
        <v>0</v>
      </c>
      <c r="O730" s="1104"/>
      <c r="P730" s="1198" t="s">
        <v>419</v>
      </c>
    </row>
    <row r="731" spans="1:23" ht="19.899999999999999" customHeight="1" outlineLevel="1">
      <c r="A731" s="1119">
        <v>71</v>
      </c>
      <c r="B731" s="1013"/>
      <c r="C731" s="1014"/>
      <c r="D731" s="1009" t="s">
        <v>372</v>
      </c>
      <c r="E731" s="1011"/>
      <c r="F731" s="1013"/>
      <c r="G731" s="1112"/>
      <c r="H731" s="1112"/>
      <c r="I731" s="1010">
        <v>1</v>
      </c>
      <c r="J731" s="1111" t="s">
        <v>201</v>
      </c>
      <c r="K731" s="1103">
        <v>9600</v>
      </c>
      <c r="L731" s="1103">
        <f t="shared" si="66"/>
        <v>9600</v>
      </c>
      <c r="M731" s="1103">
        <f t="shared" si="64"/>
        <v>9600</v>
      </c>
      <c r="N731" s="1102">
        <f t="shared" si="65"/>
        <v>0</v>
      </c>
      <c r="O731" s="1104"/>
      <c r="P731" s="1198" t="s">
        <v>419</v>
      </c>
    </row>
    <row r="732" spans="1:23" ht="19.899999999999999" customHeight="1" outlineLevel="1">
      <c r="A732" s="1119">
        <v>72</v>
      </c>
      <c r="B732" s="1013"/>
      <c r="C732" s="1014"/>
      <c r="D732" s="1009" t="s">
        <v>373</v>
      </c>
      <c r="E732" s="1011"/>
      <c r="F732" s="1013"/>
      <c r="G732" s="1112"/>
      <c r="H732" s="1112"/>
      <c r="I732" s="1010">
        <v>2.89</v>
      </c>
      <c r="J732" s="1111" t="s">
        <v>60</v>
      </c>
      <c r="K732" s="1103">
        <v>1182</v>
      </c>
      <c r="L732" s="1103">
        <f t="shared" si="66"/>
        <v>3415.98</v>
      </c>
      <c r="M732" s="1103">
        <f t="shared" si="64"/>
        <v>3415.98</v>
      </c>
      <c r="N732" s="1102">
        <f t="shared" si="65"/>
        <v>0</v>
      </c>
      <c r="O732" s="1104"/>
      <c r="P732" s="1198" t="s">
        <v>419</v>
      </c>
    </row>
    <row r="733" spans="1:23" ht="18" customHeight="1">
      <c r="A733" s="1031"/>
      <c r="B733" s="1013"/>
      <c r="C733" s="1014"/>
      <c r="D733" s="1009"/>
      <c r="E733" s="1031"/>
      <c r="F733" s="1030"/>
      <c r="G733" s="1086"/>
      <c r="H733" s="1086"/>
      <c r="I733" s="1088"/>
      <c r="J733" s="1031"/>
      <c r="K733" s="1105" t="s">
        <v>406</v>
      </c>
      <c r="L733" s="1106">
        <f>SUM(L699:L732)</f>
        <v>458203.1</v>
      </c>
      <c r="M733" s="1106">
        <f>SUM(M699:M732)</f>
        <v>458203.1</v>
      </c>
      <c r="N733" s="1106">
        <f>SUM(N723:N732)</f>
        <v>0</v>
      </c>
      <c r="O733" s="1104"/>
      <c r="T733" s="1016"/>
      <c r="U733" s="1073"/>
      <c r="V733" s="1073"/>
      <c r="W733" s="1073"/>
    </row>
    <row r="734" spans="1:23" ht="17.5">
      <c r="A734" s="1031"/>
      <c r="B734" s="1013"/>
      <c r="C734" s="1014"/>
      <c r="D734" s="1077" t="s">
        <v>399</v>
      </c>
      <c r="E734" s="1031"/>
      <c r="F734" s="1030"/>
      <c r="G734" s="1086"/>
      <c r="H734" s="1086"/>
      <c r="I734" s="1088"/>
      <c r="J734" s="1031"/>
      <c r="K734" s="1108"/>
      <c r="L734" s="1108"/>
      <c r="M734" s="1109"/>
      <c r="N734" s="1108"/>
      <c r="O734" s="1104"/>
      <c r="T734" s="1016"/>
      <c r="U734" s="1073"/>
      <c r="V734" s="1073"/>
      <c r="W734" s="1073"/>
    </row>
    <row r="735" spans="1:23" s="1175" customFormat="1" ht="204" customHeight="1" outlineLevel="1">
      <c r="A735" s="1162">
        <v>73</v>
      </c>
      <c r="B735" s="1013"/>
      <c r="C735" s="1173"/>
      <c r="D735" s="1184" t="s">
        <v>2335</v>
      </c>
      <c r="E735" s="1162"/>
      <c r="F735" s="1162" t="s">
        <v>14</v>
      </c>
      <c r="G735" s="1177"/>
      <c r="H735" s="1177"/>
      <c r="I735" s="1178">
        <v>1</v>
      </c>
      <c r="J735" s="1167" t="s">
        <v>14</v>
      </c>
      <c r="K735" s="1168">
        <v>291366</v>
      </c>
      <c r="L735" s="1168">
        <f>I735*K735</f>
        <v>291366</v>
      </c>
      <c r="M735" s="1168">
        <f t="shared" ref="M735" si="67">IF(L735&gt;H735,L735-H735,0)</f>
        <v>291366</v>
      </c>
      <c r="N735" s="1169">
        <f t="shared" ref="N735" si="68">IF(H735&gt;L735,H735-L735,0)</f>
        <v>0</v>
      </c>
      <c r="O735" s="1170" t="s">
        <v>2531</v>
      </c>
      <c r="P735" s="1204" t="s">
        <v>422</v>
      </c>
      <c r="Q735" s="1204"/>
      <c r="T735" s="1205"/>
    </row>
    <row r="736" spans="1:23" ht="18" customHeight="1" outlineLevel="1">
      <c r="A736" s="1031"/>
      <c r="B736" s="1013"/>
      <c r="C736" s="1014"/>
      <c r="D736" s="1009"/>
      <c r="E736" s="1031"/>
      <c r="F736" s="1030"/>
      <c r="G736" s="1086"/>
      <c r="H736" s="1086"/>
      <c r="I736" s="1088"/>
      <c r="J736" s="1031"/>
      <c r="K736" s="1105" t="s">
        <v>406</v>
      </c>
      <c r="L736" s="1106">
        <f>SUM(L735)</f>
        <v>291366</v>
      </c>
      <c r="M736" s="1106">
        <f t="shared" ref="M736:N736" si="69">SUM(M735)</f>
        <v>291366</v>
      </c>
      <c r="N736" s="1106">
        <f t="shared" si="69"/>
        <v>0</v>
      </c>
      <c r="O736" s="1104"/>
      <c r="T736" s="1016"/>
      <c r="U736" s="1073"/>
      <c r="V736" s="1073"/>
      <c r="W736" s="1073"/>
    </row>
    <row r="737" spans="1:23" ht="17.5">
      <c r="A737" s="1031"/>
      <c r="B737" s="1013"/>
      <c r="C737" s="1014"/>
      <c r="D737" s="1077" t="s">
        <v>2436</v>
      </c>
      <c r="E737" s="1031"/>
      <c r="F737" s="1030"/>
      <c r="G737" s="1086"/>
      <c r="H737" s="1086"/>
      <c r="I737" s="1088"/>
      <c r="J737" s="1031"/>
      <c r="K737" s="1108"/>
      <c r="L737" s="1108"/>
      <c r="M737" s="1109"/>
      <c r="N737" s="1108"/>
      <c r="O737" s="1104"/>
      <c r="T737" s="1016"/>
      <c r="U737" s="1073"/>
      <c r="V737" s="1073"/>
      <c r="W737" s="1073"/>
    </row>
    <row r="738" spans="1:23" ht="62" outlineLevel="1">
      <c r="A738" s="1031">
        <v>74</v>
      </c>
      <c r="B738" s="1013"/>
      <c r="C738" s="1014"/>
      <c r="D738" s="1009" t="s">
        <v>2334</v>
      </c>
      <c r="E738" s="1031"/>
      <c r="F738" s="1030"/>
      <c r="G738" s="1107"/>
      <c r="H738" s="1099"/>
      <c r="I738" s="1034">
        <v>66</v>
      </c>
      <c r="J738" s="1031" t="s">
        <v>60</v>
      </c>
      <c r="K738" s="1102">
        <v>200</v>
      </c>
      <c r="L738" s="1103">
        <f t="shared" ref="L738:L742" si="70">I738*K738</f>
        <v>13200</v>
      </c>
      <c r="M738" s="1103">
        <f t="shared" ref="M738:M742" si="71">IF(L738&gt;H738,L738-H738,0)</f>
        <v>13200</v>
      </c>
      <c r="N738" s="1102">
        <f t="shared" ref="N738:N742" si="72">IF(H738&gt;L738,H738-L738,0)</f>
        <v>0</v>
      </c>
      <c r="O738" s="1104" t="s">
        <v>2536</v>
      </c>
      <c r="P738" s="1040" t="s">
        <v>423</v>
      </c>
    </row>
    <row r="739" spans="1:23" ht="94.5" customHeight="1" outlineLevel="1">
      <c r="A739" s="1031">
        <v>75</v>
      </c>
      <c r="B739" s="1013"/>
      <c r="C739" s="1014"/>
      <c r="D739" s="1009" t="s">
        <v>654</v>
      </c>
      <c r="E739" s="1011"/>
      <c r="F739" s="1011"/>
      <c r="G739" s="1112"/>
      <c r="H739" s="1112"/>
      <c r="I739" s="1010">
        <v>1</v>
      </c>
      <c r="J739" s="1111" t="s">
        <v>14</v>
      </c>
      <c r="K739" s="1103">
        <v>72225</v>
      </c>
      <c r="L739" s="1103">
        <f t="shared" si="70"/>
        <v>72225</v>
      </c>
      <c r="M739" s="1103">
        <f t="shared" si="71"/>
        <v>72225</v>
      </c>
      <c r="N739" s="1102">
        <f t="shared" si="72"/>
        <v>0</v>
      </c>
      <c r="O739" s="1104" t="s">
        <v>2536</v>
      </c>
      <c r="P739" s="1040" t="s">
        <v>423</v>
      </c>
      <c r="S739" s="1123" t="s">
        <v>653</v>
      </c>
    </row>
    <row r="740" spans="1:23" ht="62" outlineLevel="1">
      <c r="A740" s="1031">
        <v>76</v>
      </c>
      <c r="B740" s="1013"/>
      <c r="C740" s="1014"/>
      <c r="D740" s="1113" t="s">
        <v>310</v>
      </c>
      <c r="E740" s="1117"/>
      <c r="F740" s="1117"/>
      <c r="G740" s="1118"/>
      <c r="H740" s="1118"/>
      <c r="I740" s="1010">
        <v>92.2</v>
      </c>
      <c r="J740" s="1111" t="s">
        <v>312</v>
      </c>
      <c r="K740" s="1103">
        <v>190</v>
      </c>
      <c r="L740" s="1103">
        <f t="shared" si="70"/>
        <v>17518</v>
      </c>
      <c r="M740" s="1103">
        <f t="shared" si="71"/>
        <v>17518</v>
      </c>
      <c r="N740" s="1102">
        <f t="shared" si="72"/>
        <v>0</v>
      </c>
      <c r="O740" s="1104" t="s">
        <v>2536</v>
      </c>
      <c r="P740" s="1040" t="s">
        <v>423</v>
      </c>
    </row>
    <row r="741" spans="1:23" ht="62" outlineLevel="1">
      <c r="A741" s="1031">
        <v>77</v>
      </c>
      <c r="B741" s="1013"/>
      <c r="C741" s="1014"/>
      <c r="D741" s="1113" t="s">
        <v>311</v>
      </c>
      <c r="E741" s="1011"/>
      <c r="F741" s="1011"/>
      <c r="G741" s="1112"/>
      <c r="H741" s="1112"/>
      <c r="I741" s="1010">
        <v>25.5</v>
      </c>
      <c r="J741" s="1111" t="s">
        <v>312</v>
      </c>
      <c r="K741" s="1103">
        <v>190</v>
      </c>
      <c r="L741" s="1103">
        <f t="shared" si="70"/>
        <v>4845</v>
      </c>
      <c r="M741" s="1103">
        <f t="shared" si="71"/>
        <v>4845</v>
      </c>
      <c r="N741" s="1102">
        <f t="shared" si="72"/>
        <v>0</v>
      </c>
      <c r="O741" s="1104" t="s">
        <v>2536</v>
      </c>
      <c r="P741" s="1040" t="s">
        <v>423</v>
      </c>
    </row>
    <row r="742" spans="1:23" ht="62" outlineLevel="1">
      <c r="A742" s="1031">
        <v>78</v>
      </c>
      <c r="B742" s="1013"/>
      <c r="C742" s="1014"/>
      <c r="D742" s="1124" t="s">
        <v>313</v>
      </c>
      <c r="E742" s="1120"/>
      <c r="F742" s="1120"/>
      <c r="G742" s="1121"/>
      <c r="H742" s="1121"/>
      <c r="I742" s="1088">
        <v>2</v>
      </c>
      <c r="J742" s="1111" t="s">
        <v>14</v>
      </c>
      <c r="K742" s="1103">
        <v>6500</v>
      </c>
      <c r="L742" s="1103">
        <f t="shared" si="70"/>
        <v>13000</v>
      </c>
      <c r="M742" s="1103">
        <f t="shared" si="71"/>
        <v>13000</v>
      </c>
      <c r="N742" s="1102">
        <f t="shared" si="72"/>
        <v>0</v>
      </c>
      <c r="O742" s="1104" t="s">
        <v>2536</v>
      </c>
      <c r="P742" s="1040" t="s">
        <v>423</v>
      </c>
    </row>
    <row r="743" spans="1:23" ht="21" customHeight="1">
      <c r="A743" s="1014"/>
      <c r="B743" s="1013"/>
      <c r="C743" s="1014"/>
      <c r="D743" s="1009"/>
      <c r="E743" s="1013"/>
      <c r="F743" s="1013"/>
      <c r="G743" s="1086"/>
      <c r="H743" s="1086"/>
      <c r="I743" s="1088"/>
      <c r="J743" s="1125"/>
      <c r="K743" s="1126" t="s">
        <v>406</v>
      </c>
      <c r="L743" s="1127">
        <f>SUM(L738:L742)</f>
        <v>120788</v>
      </c>
      <c r="M743" s="1127">
        <f>SUM(M738:M742)</f>
        <v>120788</v>
      </c>
      <c r="N743" s="1127">
        <f>SUM(N738:N742)</f>
        <v>0</v>
      </c>
      <c r="O743" s="1104"/>
    </row>
    <row r="744" spans="1:23" ht="28.9" customHeight="1">
      <c r="A744" s="1013"/>
      <c r="B744" s="1013"/>
      <c r="C744" s="1014"/>
      <c r="D744" s="1077" t="s">
        <v>401</v>
      </c>
      <c r="E744" s="1013"/>
      <c r="F744" s="1013"/>
      <c r="G744" s="1086"/>
      <c r="H744" s="1086"/>
      <c r="I744" s="1088"/>
      <c r="J744" s="1125"/>
      <c r="K744" s="1128"/>
      <c r="L744" s="1128"/>
      <c r="M744" s="1128"/>
      <c r="N744" s="1128"/>
      <c r="O744" s="1104"/>
    </row>
    <row r="745" spans="1:23" ht="77.5" outlineLevel="1">
      <c r="A745" s="1013">
        <v>79</v>
      </c>
      <c r="B745" s="1013"/>
      <c r="C745" s="1014"/>
      <c r="D745" s="1009" t="s">
        <v>2424</v>
      </c>
      <c r="E745" s="1013">
        <v>0</v>
      </c>
      <c r="F745" s="1129" t="s">
        <v>222</v>
      </c>
      <c r="G745" s="1086"/>
      <c r="H745" s="1086"/>
      <c r="I745" s="1088">
        <v>1</v>
      </c>
      <c r="J745" s="1125" t="str">
        <f>F745</f>
        <v>Set</v>
      </c>
      <c r="K745" s="1036">
        <v>175180</v>
      </c>
      <c r="L745" s="1103">
        <f t="shared" ref="L745:L755" si="73">I745*K745</f>
        <v>175180</v>
      </c>
      <c r="M745" s="1103">
        <f t="shared" ref="M745" si="74">IF(L745&gt;H745,L745-H745,0)</f>
        <v>175180</v>
      </c>
      <c r="N745" s="1102">
        <f t="shared" ref="N745" si="75">IF(H745&gt;L745,H745-L745,0)</f>
        <v>0</v>
      </c>
      <c r="O745" s="1104" t="s">
        <v>2537</v>
      </c>
      <c r="P745" s="1040" t="s">
        <v>424</v>
      </c>
    </row>
    <row r="746" spans="1:23" ht="77.5" outlineLevel="1">
      <c r="A746" s="1013">
        <v>80</v>
      </c>
      <c r="B746" s="1013"/>
      <c r="C746" s="1014"/>
      <c r="D746" s="1009" t="s">
        <v>2425</v>
      </c>
      <c r="E746" s="1013">
        <v>0</v>
      </c>
      <c r="F746" s="1129" t="s">
        <v>222</v>
      </c>
      <c r="G746" s="1086"/>
      <c r="H746" s="1086"/>
      <c r="I746" s="1088">
        <v>1</v>
      </c>
      <c r="J746" s="1125" t="str">
        <f t="shared" ref="J746:J751" si="76">F746</f>
        <v>Set</v>
      </c>
      <c r="K746" s="1036">
        <v>9620</v>
      </c>
      <c r="L746" s="1103">
        <f t="shared" si="73"/>
        <v>9620</v>
      </c>
      <c r="M746" s="1103">
        <f t="shared" ref="M746:M755" si="77">IF(L746&gt;H746,L746-H746,0)</f>
        <v>9620</v>
      </c>
      <c r="N746" s="1102">
        <f t="shared" ref="N746:N755" si="78">IF(H746&gt;L746,H746-L746,0)</f>
        <v>0</v>
      </c>
      <c r="O746" s="1104" t="s">
        <v>2537</v>
      </c>
      <c r="P746" s="1040" t="s">
        <v>424</v>
      </c>
    </row>
    <row r="747" spans="1:23" ht="77.5" outlineLevel="1">
      <c r="A747" s="1013">
        <v>81</v>
      </c>
      <c r="B747" s="1013"/>
      <c r="C747" s="1014"/>
      <c r="D747" s="1009" t="s">
        <v>2426</v>
      </c>
      <c r="E747" s="1013">
        <v>0</v>
      </c>
      <c r="F747" s="1129" t="s">
        <v>222</v>
      </c>
      <c r="G747" s="1086"/>
      <c r="H747" s="1086"/>
      <c r="I747" s="1088">
        <v>1</v>
      </c>
      <c r="J747" s="1125" t="str">
        <f t="shared" si="76"/>
        <v>Set</v>
      </c>
      <c r="K747" s="1036">
        <v>175180</v>
      </c>
      <c r="L747" s="1103">
        <f t="shared" si="73"/>
        <v>175180</v>
      </c>
      <c r="M747" s="1103">
        <f t="shared" si="77"/>
        <v>175180</v>
      </c>
      <c r="N747" s="1102">
        <f t="shared" si="78"/>
        <v>0</v>
      </c>
      <c r="O747" s="1104" t="s">
        <v>2537</v>
      </c>
      <c r="P747" s="1040" t="s">
        <v>424</v>
      </c>
    </row>
    <row r="748" spans="1:23" ht="77.5" outlineLevel="1">
      <c r="A748" s="1013">
        <v>82</v>
      </c>
      <c r="B748" s="1013"/>
      <c r="C748" s="1014"/>
      <c r="D748" s="1009" t="s">
        <v>2427</v>
      </c>
      <c r="E748" s="1013">
        <v>0</v>
      </c>
      <c r="F748" s="1129" t="s">
        <v>222</v>
      </c>
      <c r="G748" s="1086"/>
      <c r="H748" s="1086"/>
      <c r="I748" s="1088">
        <v>1</v>
      </c>
      <c r="J748" s="1125" t="str">
        <f t="shared" si="76"/>
        <v>Set</v>
      </c>
      <c r="K748" s="1036">
        <v>175180</v>
      </c>
      <c r="L748" s="1103">
        <f t="shared" si="73"/>
        <v>175180</v>
      </c>
      <c r="M748" s="1103">
        <f t="shared" si="77"/>
        <v>175180</v>
      </c>
      <c r="N748" s="1102">
        <f t="shared" si="78"/>
        <v>0</v>
      </c>
      <c r="O748" s="1104" t="s">
        <v>2537</v>
      </c>
      <c r="P748" s="1040" t="s">
        <v>424</v>
      </c>
    </row>
    <row r="749" spans="1:23" ht="65" customHeight="1" outlineLevel="1">
      <c r="A749" s="1013">
        <v>83</v>
      </c>
      <c r="B749" s="1013"/>
      <c r="C749" s="1014"/>
      <c r="D749" s="1009" t="s">
        <v>2428</v>
      </c>
      <c r="E749" s="1013">
        <v>0</v>
      </c>
      <c r="F749" s="1129" t="s">
        <v>222</v>
      </c>
      <c r="G749" s="1086"/>
      <c r="H749" s="1086"/>
      <c r="I749" s="1088">
        <v>1</v>
      </c>
      <c r="J749" s="1125" t="str">
        <f t="shared" si="76"/>
        <v>Set</v>
      </c>
      <c r="K749" s="1036">
        <v>17950</v>
      </c>
      <c r="L749" s="1103">
        <f t="shared" si="73"/>
        <v>17950</v>
      </c>
      <c r="M749" s="1103">
        <f t="shared" si="77"/>
        <v>17950</v>
      </c>
      <c r="N749" s="1102">
        <f t="shared" si="78"/>
        <v>0</v>
      </c>
      <c r="O749" s="1104" t="s">
        <v>2537</v>
      </c>
      <c r="P749" s="1040" t="s">
        <v>424</v>
      </c>
    </row>
    <row r="750" spans="1:23" ht="77.5" outlineLevel="1">
      <c r="A750" s="1013">
        <v>84</v>
      </c>
      <c r="B750" s="1013"/>
      <c r="C750" s="1014"/>
      <c r="D750" s="1009" t="s">
        <v>2429</v>
      </c>
      <c r="E750" s="1013">
        <v>0</v>
      </c>
      <c r="F750" s="1129" t="s">
        <v>14</v>
      </c>
      <c r="G750" s="1086"/>
      <c r="H750" s="1086"/>
      <c r="I750" s="1088">
        <v>6</v>
      </c>
      <c r="J750" s="1125" t="str">
        <f t="shared" si="76"/>
        <v>Nos</v>
      </c>
      <c r="K750" s="1036">
        <v>12470</v>
      </c>
      <c r="L750" s="1103">
        <f t="shared" si="73"/>
        <v>74820</v>
      </c>
      <c r="M750" s="1103">
        <f t="shared" si="77"/>
        <v>74820</v>
      </c>
      <c r="N750" s="1102">
        <f t="shared" si="78"/>
        <v>0</v>
      </c>
      <c r="O750" s="1104" t="s">
        <v>2537</v>
      </c>
      <c r="P750" s="1040" t="s">
        <v>424</v>
      </c>
    </row>
    <row r="751" spans="1:23" ht="77.5" outlineLevel="1">
      <c r="A751" s="1013">
        <v>85</v>
      </c>
      <c r="B751" s="1013"/>
      <c r="C751" s="1014"/>
      <c r="D751" s="1009" t="s">
        <v>2430</v>
      </c>
      <c r="E751" s="1013">
        <v>0</v>
      </c>
      <c r="F751" s="1129" t="s">
        <v>375</v>
      </c>
      <c r="G751" s="1086"/>
      <c r="H751" s="1086"/>
      <c r="I751" s="1088">
        <v>3</v>
      </c>
      <c r="J751" s="1125" t="str">
        <f t="shared" si="76"/>
        <v>Nos.</v>
      </c>
      <c r="K751" s="1036">
        <v>930</v>
      </c>
      <c r="L751" s="1103">
        <f t="shared" si="73"/>
        <v>2790</v>
      </c>
      <c r="M751" s="1103">
        <f t="shared" si="77"/>
        <v>2790</v>
      </c>
      <c r="N751" s="1102">
        <f t="shared" si="78"/>
        <v>0</v>
      </c>
      <c r="O751" s="1104" t="s">
        <v>2537</v>
      </c>
      <c r="P751" s="1040" t="s">
        <v>424</v>
      </c>
    </row>
    <row r="752" spans="1:23" ht="209.5" customHeight="1" outlineLevel="1">
      <c r="A752" s="1013">
        <v>86</v>
      </c>
      <c r="B752" s="1013"/>
      <c r="C752" s="1014"/>
      <c r="D752" s="1009" t="s">
        <v>2431</v>
      </c>
      <c r="E752" s="1013">
        <v>0</v>
      </c>
      <c r="F752" s="1129" t="s">
        <v>375</v>
      </c>
      <c r="G752" s="1098"/>
      <c r="H752" s="1099"/>
      <c r="I752" s="1034">
        <v>2</v>
      </c>
      <c r="J752" s="1031" t="s">
        <v>14</v>
      </c>
      <c r="K752" s="1036">
        <v>20850</v>
      </c>
      <c r="L752" s="1103">
        <f t="shared" si="73"/>
        <v>41700</v>
      </c>
      <c r="M752" s="1103">
        <f t="shared" si="77"/>
        <v>41700</v>
      </c>
      <c r="N752" s="1102">
        <f t="shared" si="78"/>
        <v>0</v>
      </c>
      <c r="O752" s="1104" t="s">
        <v>2537</v>
      </c>
      <c r="P752" s="1040" t="s">
        <v>424</v>
      </c>
    </row>
    <row r="753" spans="1:16" ht="208.5" customHeight="1" outlineLevel="1">
      <c r="A753" s="1013">
        <v>87</v>
      </c>
      <c r="B753" s="1013"/>
      <c r="C753" s="1014"/>
      <c r="D753" s="1009" t="s">
        <v>2432</v>
      </c>
      <c r="E753" s="1013">
        <v>0</v>
      </c>
      <c r="F753" s="1129" t="s">
        <v>375</v>
      </c>
      <c r="G753" s="1098"/>
      <c r="H753" s="1099"/>
      <c r="I753" s="1034">
        <v>2</v>
      </c>
      <c r="J753" s="1031" t="s">
        <v>14</v>
      </c>
      <c r="K753" s="1036">
        <v>17850</v>
      </c>
      <c r="L753" s="1103">
        <f t="shared" si="73"/>
        <v>35700</v>
      </c>
      <c r="M753" s="1103">
        <f t="shared" si="77"/>
        <v>35700</v>
      </c>
      <c r="N753" s="1102">
        <f t="shared" si="78"/>
        <v>0</v>
      </c>
      <c r="O753" s="1104" t="s">
        <v>2537</v>
      </c>
      <c r="P753" s="1040" t="s">
        <v>424</v>
      </c>
    </row>
    <row r="754" spans="1:16" ht="204.5" customHeight="1" outlineLevel="1">
      <c r="A754" s="1013">
        <v>88</v>
      </c>
      <c r="B754" s="1013"/>
      <c r="C754" s="1014"/>
      <c r="D754" s="1009" t="s">
        <v>2433</v>
      </c>
      <c r="E754" s="1013">
        <v>0</v>
      </c>
      <c r="F754" s="1129" t="s">
        <v>375</v>
      </c>
      <c r="G754" s="1098"/>
      <c r="H754" s="1099"/>
      <c r="I754" s="1034">
        <v>2</v>
      </c>
      <c r="J754" s="1031" t="s">
        <v>14</v>
      </c>
      <c r="K754" s="1036">
        <v>29250</v>
      </c>
      <c r="L754" s="1103">
        <f t="shared" si="73"/>
        <v>58500</v>
      </c>
      <c r="M754" s="1103">
        <f t="shared" si="77"/>
        <v>58500</v>
      </c>
      <c r="N754" s="1102">
        <f t="shared" si="78"/>
        <v>0</v>
      </c>
      <c r="O754" s="1104" t="s">
        <v>2537</v>
      </c>
      <c r="P754" s="1040" t="s">
        <v>424</v>
      </c>
    </row>
    <row r="755" spans="1:16" ht="206" customHeight="1" outlineLevel="1">
      <c r="A755" s="1013">
        <v>89</v>
      </c>
      <c r="B755" s="1013"/>
      <c r="C755" s="1014"/>
      <c r="D755" s="1009" t="s">
        <v>2434</v>
      </c>
      <c r="E755" s="1013">
        <v>0</v>
      </c>
      <c r="F755" s="1129" t="s">
        <v>375</v>
      </c>
      <c r="G755" s="1098"/>
      <c r="H755" s="1099"/>
      <c r="I755" s="1034">
        <v>2</v>
      </c>
      <c r="J755" s="1031" t="s">
        <v>14</v>
      </c>
      <c r="K755" s="1036">
        <v>33000</v>
      </c>
      <c r="L755" s="1103">
        <f t="shared" si="73"/>
        <v>66000</v>
      </c>
      <c r="M755" s="1103">
        <f t="shared" si="77"/>
        <v>66000</v>
      </c>
      <c r="N755" s="1102">
        <f t="shared" si="78"/>
        <v>0</v>
      </c>
      <c r="O755" s="1104" t="s">
        <v>2537</v>
      </c>
      <c r="P755" s="1040" t="s">
        <v>424</v>
      </c>
    </row>
    <row r="756" spans="1:16" outlineLevel="1">
      <c r="A756" s="1013"/>
      <c r="B756" s="1014"/>
      <c r="C756" s="1014"/>
      <c r="D756" s="1009"/>
      <c r="E756" s="1031"/>
      <c r="F756" s="1030"/>
      <c r="G756" s="1098"/>
      <c r="H756" s="1099"/>
      <c r="I756" s="1031"/>
      <c r="J756" s="1031"/>
      <c r="K756" s="1036"/>
      <c r="L756" s="1036"/>
      <c r="M756" s="1103"/>
      <c r="N756" s="1102"/>
      <c r="O756" s="1104"/>
      <c r="P756" s="1040" t="s">
        <v>424</v>
      </c>
    </row>
    <row r="757" spans="1:16" ht="22.15" customHeight="1">
      <c r="A757" s="1130"/>
      <c r="B757" s="1014"/>
      <c r="C757" s="1014"/>
      <c r="D757" s="1130"/>
      <c r="E757" s="1131"/>
      <c r="F757" s="1131"/>
      <c r="G757" s="1132"/>
      <c r="H757" s="1132"/>
      <c r="I757" s="1133"/>
      <c r="J757" s="1133"/>
      <c r="K757" s="1126" t="s">
        <v>406</v>
      </c>
      <c r="L757" s="1127">
        <f>SUM(L745:L756)</f>
        <v>832620</v>
      </c>
      <c r="M757" s="1127">
        <f t="shared" ref="M757:N757" si="79">SUM(M745:M756)</f>
        <v>832620</v>
      </c>
      <c r="N757" s="1127">
        <f t="shared" si="79"/>
        <v>0</v>
      </c>
      <c r="O757" s="1126"/>
    </row>
    <row r="758" spans="1:16" ht="19.899999999999999" customHeight="1">
      <c r="A758" s="1134"/>
      <c r="B758" s="1014"/>
      <c r="C758" s="1014"/>
      <c r="D758" s="1134"/>
      <c r="E758" s="1091"/>
      <c r="F758" s="1095"/>
      <c r="G758" s="1092" t="s">
        <v>409</v>
      </c>
      <c r="H758" s="1135">
        <f>SUM(H626:H757)</f>
        <v>0</v>
      </c>
      <c r="I758" s="1136"/>
      <c r="J758" s="1136"/>
      <c r="K758" s="1137"/>
      <c r="L758" s="1138">
        <f>L757+L743+L736+L733+L697+L693+L645</f>
        <v>4685059.0999999996</v>
      </c>
      <c r="M758" s="1138">
        <f>M757+M743+M736+M733+M697+M693+M645</f>
        <v>4685059.0999999996</v>
      </c>
      <c r="N758" s="1138">
        <f>N757+N743+N736+N733+N697+N693+N645</f>
        <v>0</v>
      </c>
      <c r="O758" s="1137"/>
    </row>
    <row r="759" spans="1:16" ht="19.899999999999999" customHeight="1">
      <c r="A759" s="1139"/>
      <c r="B759" s="1014"/>
      <c r="C759" s="1014"/>
      <c r="D759" s="1139" t="s">
        <v>410</v>
      </c>
      <c r="E759" s="1140"/>
      <c r="F759" s="1140"/>
      <c r="G759" s="1141"/>
      <c r="H759" s="1142">
        <f>H758+H624</f>
        <v>43854853</v>
      </c>
      <c r="I759" s="1143"/>
      <c r="J759" s="1143"/>
      <c r="K759" s="1144"/>
      <c r="L759" s="1145">
        <f>L758+L624</f>
        <v>46906085.100000001</v>
      </c>
      <c r="M759" s="1145">
        <f>M758+M624</f>
        <v>6539005.6999999993</v>
      </c>
      <c r="N759" s="1145">
        <f>N758+N624</f>
        <v>3487774</v>
      </c>
      <c r="O759" s="1144"/>
    </row>
    <row r="760" spans="1:16" ht="19.899999999999999" customHeight="1">
      <c r="A760" s="1146"/>
      <c r="B760" s="1014"/>
      <c r="C760" s="1014"/>
      <c r="D760" s="1146"/>
      <c r="E760" s="1147"/>
      <c r="F760" s="1147"/>
      <c r="G760" s="1148"/>
      <c r="H760" s="1148"/>
      <c r="I760" s="1149"/>
      <c r="J760" s="1149"/>
      <c r="K760" s="1150" t="s">
        <v>411</v>
      </c>
      <c r="L760" s="1151">
        <f>L759-H759</f>
        <v>3051232.1000000015</v>
      </c>
      <c r="M760" s="1150"/>
      <c r="N760" s="1150"/>
      <c r="O760" s="1152"/>
    </row>
    <row r="761" spans="1:16" ht="19.899999999999999" customHeight="1">
      <c r="A761" s="1014"/>
      <c r="B761" s="1014"/>
      <c r="C761" s="1014"/>
      <c r="D761" s="1009"/>
      <c r="E761" s="1013"/>
      <c r="F761" s="1013"/>
      <c r="G761" s="1086"/>
      <c r="H761" s="1086"/>
      <c r="I761" s="1125"/>
      <c r="J761" s="1125"/>
      <c r="K761" s="1125"/>
      <c r="L761" s="1125"/>
      <c r="M761" s="1125"/>
      <c r="N761" s="1125"/>
      <c r="O761" s="1104"/>
    </row>
    <row r="762" spans="1:16" ht="19.899999999999999" customHeight="1">
      <c r="A762" s="1014"/>
      <c r="B762" s="1014"/>
      <c r="C762" s="1014"/>
      <c r="D762" s="1009"/>
      <c r="E762" s="1013"/>
      <c r="F762" s="1013"/>
      <c r="G762" s="1086"/>
      <c r="H762" s="1086"/>
      <c r="I762" s="1125"/>
      <c r="J762" s="1125"/>
      <c r="K762" s="1125"/>
      <c r="L762" s="1125"/>
      <c r="M762" s="1125"/>
      <c r="N762" s="1125"/>
      <c r="O762" s="1104"/>
    </row>
    <row r="763" spans="1:16">
      <c r="A763" s="1014"/>
      <c r="B763" s="1014"/>
      <c r="C763" s="1014"/>
      <c r="D763" s="1009"/>
      <c r="E763" s="1013"/>
      <c r="F763" s="1013"/>
      <c r="G763" s="1086"/>
      <c r="H763" s="1086"/>
      <c r="I763" s="1125"/>
      <c r="J763" s="1125"/>
      <c r="K763" s="1125"/>
      <c r="L763" s="1125"/>
      <c r="M763" s="1125"/>
      <c r="N763" s="1125"/>
      <c r="O763" s="1104"/>
    </row>
    <row r="764" spans="1:16">
      <c r="A764" s="1014"/>
      <c r="B764" s="1014"/>
      <c r="C764" s="1014"/>
      <c r="D764" s="1009"/>
      <c r="E764" s="1013"/>
      <c r="F764" s="1013"/>
      <c r="G764" s="1086"/>
      <c r="H764" s="1086"/>
      <c r="I764" s="1125"/>
      <c r="J764" s="1125"/>
      <c r="K764" s="1125"/>
      <c r="L764" s="1125"/>
      <c r="M764" s="1125"/>
      <c r="N764" s="1125"/>
      <c r="O764" s="1104"/>
    </row>
    <row r="765" spans="1:16">
      <c r="E765" s="1040"/>
      <c r="F765" s="1040"/>
      <c r="G765" s="1154"/>
      <c r="H765" s="1154"/>
      <c r="I765" s="1155"/>
      <c r="J765" s="1155"/>
      <c r="K765" s="1155"/>
      <c r="L765" s="1155"/>
      <c r="M765" s="1155"/>
      <c r="N765" s="1155"/>
      <c r="O765" s="1156"/>
    </row>
    <row r="766" spans="1:16">
      <c r="E766" s="1040"/>
      <c r="F766" s="1040"/>
      <c r="G766" s="1154"/>
      <c r="H766" s="1154"/>
      <c r="I766" s="1155"/>
      <c r="J766" s="1155"/>
      <c r="K766" s="1155"/>
      <c r="L766" s="1155"/>
      <c r="M766" s="1155"/>
      <c r="N766" s="1155"/>
      <c r="O766" s="1156"/>
    </row>
    <row r="767" spans="1:16">
      <c r="I767" s="1155"/>
      <c r="J767" s="1155"/>
      <c r="K767" s="1155"/>
      <c r="L767" s="1155"/>
      <c r="M767" s="1155"/>
      <c r="N767" s="1155"/>
      <c r="O767" s="1156"/>
    </row>
    <row r="768" spans="1:16">
      <c r="I768" s="1155"/>
      <c r="J768" s="1155"/>
      <c r="K768" s="1155"/>
      <c r="L768" s="1155"/>
      <c r="M768" s="1155"/>
      <c r="N768" s="1155"/>
      <c r="O768" s="1156"/>
    </row>
    <row r="769" spans="9:15">
      <c r="I769" s="1155"/>
      <c r="J769" s="1155"/>
      <c r="K769" s="1155"/>
      <c r="L769" s="1155"/>
      <c r="M769" s="1155"/>
      <c r="N769" s="1155"/>
      <c r="O769" s="1156"/>
    </row>
    <row r="770" spans="9:15">
      <c r="I770" s="1155"/>
      <c r="J770" s="1155"/>
      <c r="K770" s="1155"/>
      <c r="L770" s="1155"/>
      <c r="M770" s="1155"/>
      <c r="N770" s="1155"/>
      <c r="O770" s="1156"/>
    </row>
    <row r="771" spans="9:15">
      <c r="I771" s="1155"/>
      <c r="J771" s="1155"/>
      <c r="K771" s="1155"/>
      <c r="L771" s="1155"/>
      <c r="M771" s="1155"/>
      <c r="N771" s="1155"/>
      <c r="O771" s="1156"/>
    </row>
    <row r="772" spans="9:15">
      <c r="I772" s="1155"/>
      <c r="J772" s="1155"/>
      <c r="K772" s="1155"/>
      <c r="L772" s="1155"/>
      <c r="M772" s="1155"/>
      <c r="N772" s="1155"/>
      <c r="O772" s="1156"/>
    </row>
    <row r="773" spans="9:15">
      <c r="I773" s="1155"/>
      <c r="J773" s="1155"/>
      <c r="K773" s="1155"/>
      <c r="L773" s="1155"/>
      <c r="M773" s="1155"/>
      <c r="N773" s="1155"/>
      <c r="O773" s="1156"/>
    </row>
    <row r="774" spans="9:15">
      <c r="I774" s="1155"/>
      <c r="J774" s="1155"/>
      <c r="K774" s="1155"/>
      <c r="L774" s="1155"/>
      <c r="M774" s="1155"/>
      <c r="N774" s="1155"/>
      <c r="O774" s="1156"/>
    </row>
    <row r="775" spans="9:15">
      <c r="I775" s="1155"/>
      <c r="J775" s="1155"/>
      <c r="K775" s="1155"/>
      <c r="L775" s="1155"/>
      <c r="M775" s="1155"/>
      <c r="N775" s="1155"/>
      <c r="O775" s="1156"/>
    </row>
    <row r="776" spans="9:15">
      <c r="I776" s="1155"/>
      <c r="J776" s="1155"/>
      <c r="K776" s="1155"/>
      <c r="L776" s="1155"/>
      <c r="M776" s="1155"/>
      <c r="N776" s="1155"/>
      <c r="O776" s="1156"/>
    </row>
    <row r="777" spans="9:15">
      <c r="I777" s="1155"/>
      <c r="J777" s="1155"/>
      <c r="K777" s="1155"/>
      <c r="L777" s="1155"/>
      <c r="M777" s="1155"/>
      <c r="N777" s="1155"/>
      <c r="O777" s="1156"/>
    </row>
    <row r="778" spans="9:15">
      <c r="I778" s="1155"/>
      <c r="J778" s="1155"/>
      <c r="K778" s="1155"/>
      <c r="L778" s="1155"/>
      <c r="M778" s="1155"/>
      <c r="N778" s="1155"/>
      <c r="O778" s="1156"/>
    </row>
    <row r="779" spans="9:15">
      <c r="I779" s="1155"/>
      <c r="J779" s="1155"/>
      <c r="K779" s="1155"/>
      <c r="L779" s="1155"/>
      <c r="M779" s="1155"/>
      <c r="N779" s="1155"/>
      <c r="O779" s="1156"/>
    </row>
    <row r="780" spans="9:15">
      <c r="I780" s="1155"/>
      <c r="J780" s="1155"/>
      <c r="K780" s="1155"/>
      <c r="L780" s="1155"/>
      <c r="M780" s="1155"/>
      <c r="N780" s="1155"/>
      <c r="O780" s="1156"/>
    </row>
    <row r="781" spans="9:15">
      <c r="I781" s="1155"/>
      <c r="J781" s="1155"/>
      <c r="K781" s="1155"/>
      <c r="L781" s="1155"/>
      <c r="M781" s="1155"/>
      <c r="N781" s="1155"/>
      <c r="O781" s="1156"/>
    </row>
    <row r="782" spans="9:15">
      <c r="I782" s="1155"/>
      <c r="J782" s="1155"/>
      <c r="K782" s="1155"/>
      <c r="L782" s="1155"/>
      <c r="M782" s="1155"/>
      <c r="N782" s="1155"/>
      <c r="O782" s="1156"/>
    </row>
    <row r="783" spans="9:15">
      <c r="I783" s="1155"/>
      <c r="J783" s="1155"/>
      <c r="K783" s="1155"/>
      <c r="L783" s="1155"/>
      <c r="M783" s="1155"/>
      <c r="N783" s="1155"/>
      <c r="O783" s="1156"/>
    </row>
    <row r="784" spans="9:15">
      <c r="I784" s="1155"/>
      <c r="J784" s="1155"/>
      <c r="K784" s="1155"/>
      <c r="L784" s="1155"/>
      <c r="M784" s="1155"/>
      <c r="N784" s="1155"/>
      <c r="O784" s="1156"/>
    </row>
    <row r="785" spans="7:15">
      <c r="I785" s="1155"/>
      <c r="J785" s="1155"/>
      <c r="K785" s="1155"/>
      <c r="L785" s="1155"/>
      <c r="M785" s="1155"/>
      <c r="N785" s="1155"/>
      <c r="O785" s="1156"/>
    </row>
    <row r="786" spans="7:15">
      <c r="I786" s="1155"/>
      <c r="J786" s="1155"/>
      <c r="K786" s="1155"/>
      <c r="L786" s="1155"/>
      <c r="M786" s="1155"/>
      <c r="N786" s="1155"/>
      <c r="O786" s="1156"/>
    </row>
    <row r="787" spans="7:15">
      <c r="I787" s="1155"/>
      <c r="J787" s="1155"/>
      <c r="K787" s="1155"/>
      <c r="L787" s="1155"/>
      <c r="M787" s="1155"/>
      <c r="N787" s="1155"/>
      <c r="O787" s="1156"/>
    </row>
    <row r="788" spans="7:15">
      <c r="I788" s="1155"/>
      <c r="J788" s="1155"/>
      <c r="K788" s="1155"/>
      <c r="L788" s="1155"/>
      <c r="M788" s="1155"/>
      <c r="N788" s="1155"/>
      <c r="O788" s="1156"/>
    </row>
    <row r="789" spans="7:15">
      <c r="I789" s="1155"/>
      <c r="J789" s="1155"/>
      <c r="K789" s="1155"/>
      <c r="L789" s="1155"/>
      <c r="M789" s="1155"/>
      <c r="N789" s="1155"/>
      <c r="O789" s="1156"/>
    </row>
    <row r="790" spans="7:15">
      <c r="I790" s="1155"/>
      <c r="J790" s="1155"/>
      <c r="K790" s="1155"/>
      <c r="L790" s="1155"/>
      <c r="M790" s="1155"/>
      <c r="N790" s="1155"/>
      <c r="O790" s="1156"/>
    </row>
    <row r="791" spans="7:15">
      <c r="I791" s="1155"/>
      <c r="J791" s="1155"/>
      <c r="K791" s="1155"/>
      <c r="L791" s="1155"/>
      <c r="M791" s="1155"/>
      <c r="N791" s="1155"/>
      <c r="O791" s="1156"/>
    </row>
    <row r="792" spans="7:15">
      <c r="I792" s="1155"/>
      <c r="J792" s="1155"/>
      <c r="K792" s="1155"/>
      <c r="L792" s="1155"/>
      <c r="M792" s="1155"/>
      <c r="N792" s="1155"/>
      <c r="O792" s="1156"/>
    </row>
    <row r="793" spans="7:15">
      <c r="I793" s="1155"/>
      <c r="J793" s="1155"/>
      <c r="K793" s="1155"/>
      <c r="L793" s="1155"/>
      <c r="M793" s="1155"/>
      <c r="N793" s="1155"/>
      <c r="O793" s="1156"/>
    </row>
    <row r="794" spans="7:15">
      <c r="I794" s="1155"/>
      <c r="J794" s="1155"/>
      <c r="K794" s="1155"/>
      <c r="L794" s="1155"/>
      <c r="M794" s="1155"/>
      <c r="N794" s="1155"/>
      <c r="O794" s="1156"/>
    </row>
    <row r="795" spans="7:15">
      <c r="I795" s="1155"/>
      <c r="J795" s="1155"/>
      <c r="K795" s="1155"/>
      <c r="L795" s="1155"/>
      <c r="M795" s="1155"/>
      <c r="N795" s="1155"/>
      <c r="O795" s="1156"/>
    </row>
    <row r="796" spans="7:15">
      <c r="I796" s="1155"/>
      <c r="J796" s="1155"/>
      <c r="K796" s="1155"/>
      <c r="L796" s="1155"/>
      <c r="M796" s="1155"/>
      <c r="N796" s="1155"/>
      <c r="O796" s="1156"/>
    </row>
    <row r="797" spans="7:15">
      <c r="I797" s="1155"/>
      <c r="J797" s="1155"/>
      <c r="K797" s="1155"/>
      <c r="L797" s="1155"/>
      <c r="M797" s="1155"/>
      <c r="N797" s="1155"/>
      <c r="O797" s="1156"/>
    </row>
    <row r="798" spans="7:15">
      <c r="I798" s="1155"/>
      <c r="J798" s="1155"/>
      <c r="K798" s="1155"/>
      <c r="L798" s="1155"/>
      <c r="M798" s="1155"/>
      <c r="N798" s="1155"/>
      <c r="O798" s="1156"/>
    </row>
    <row r="800" spans="7:15">
      <c r="G800" s="1123"/>
    </row>
    <row r="805" spans="7:7">
      <c r="G805" s="1159"/>
    </row>
    <row r="806" spans="7:7">
      <c r="G806" s="1159"/>
    </row>
    <row r="807" spans="7:7">
      <c r="G807" s="1159"/>
    </row>
    <row r="808" spans="7:7">
      <c r="G808" s="1159"/>
    </row>
    <row r="809" spans="7:7">
      <c r="G809" s="1159"/>
    </row>
    <row r="810" spans="7:7">
      <c r="G810" s="1159"/>
    </row>
    <row r="811" spans="7:7">
      <c r="G811" s="1159"/>
    </row>
    <row r="813" spans="7:7">
      <c r="G813" s="1159"/>
    </row>
    <row r="814" spans="7:7">
      <c r="G814" s="1159"/>
    </row>
    <row r="815" spans="7:7">
      <c r="G815" s="1159"/>
    </row>
    <row r="816" spans="7:7">
      <c r="G816" s="1159"/>
    </row>
    <row r="817" spans="7:7">
      <c r="G817" s="1159"/>
    </row>
    <row r="818" spans="7:7">
      <c r="G818" s="1159"/>
    </row>
    <row r="819" spans="7:7">
      <c r="G819" s="1160"/>
    </row>
    <row r="820" spans="7:7">
      <c r="G820" s="1160"/>
    </row>
    <row r="821" spans="7:7">
      <c r="G821" s="1160"/>
    </row>
  </sheetData>
  <autoFilter ref="P7:P756" xr:uid="{00000000-0001-0000-0300-000000000000}"/>
  <mergeCells count="46">
    <mergeCell ref="O3:O4"/>
    <mergeCell ref="A2:O2"/>
    <mergeCell ref="A3:A4"/>
    <mergeCell ref="B3:B4"/>
    <mergeCell ref="C3:C4"/>
    <mergeCell ref="D3:D4"/>
    <mergeCell ref="E3:H3"/>
    <mergeCell ref="I3:L3"/>
    <mergeCell ref="M3:M4"/>
    <mergeCell ref="N3:N4"/>
    <mergeCell ref="O191:O192"/>
    <mergeCell ref="O201:O202"/>
    <mergeCell ref="O224:O225"/>
    <mergeCell ref="O286:O287"/>
    <mergeCell ref="O290:O291"/>
    <mergeCell ref="O294:O295"/>
    <mergeCell ref="O298:O299"/>
    <mergeCell ref="O312:O313"/>
    <mergeCell ref="O316:O317"/>
    <mergeCell ref="O320:O321"/>
    <mergeCell ref="O324:O325"/>
    <mergeCell ref="O331:O332"/>
    <mergeCell ref="O348:O349"/>
    <mergeCell ref="O358:O359"/>
    <mergeCell ref="O368:O369"/>
    <mergeCell ref="O375:O376"/>
    <mergeCell ref="O391:O392"/>
    <mergeCell ref="O398:O399"/>
    <mergeCell ref="O413:O414"/>
    <mergeCell ref="O459:O460"/>
    <mergeCell ref="O158:O159"/>
    <mergeCell ref="O600:O601"/>
    <mergeCell ref="O610:O611"/>
    <mergeCell ref="O542:O543"/>
    <mergeCell ref="O553:O554"/>
    <mergeCell ref="O557:O558"/>
    <mergeCell ref="O560:O561"/>
    <mergeCell ref="O596:O597"/>
    <mergeCell ref="O592:O593"/>
    <mergeCell ref="O588:O589"/>
    <mergeCell ref="O584:O585"/>
    <mergeCell ref="O471:O472"/>
    <mergeCell ref="O499:O500"/>
    <mergeCell ref="O503:O504"/>
    <mergeCell ref="O510:O511"/>
    <mergeCell ref="O526:O527"/>
  </mergeCells>
  <conditionalFormatting sqref="K738:K742">
    <cfRule type="cellIs" dxfId="21" priority="15" operator="equal">
      <formula>0</formula>
    </cfRule>
  </conditionalFormatting>
  <conditionalFormatting sqref="K636:L637">
    <cfRule type="cellIs" dxfId="20" priority="5" operator="equal">
      <formula>0</formula>
    </cfRule>
  </conditionalFormatting>
  <conditionalFormatting sqref="O290 O294 O298 O316 O320 O324 O331 O348 O375 O391 O398 O413 O471 O499 O503 O510 O526 O542 O553 O557 O560 O584 O600 O610 P2:XFD2 D192:N192 D202:N202 D290:N291 D294:N295 D313:N313 D319:O319 D323:O323 D351:O358 D369:N369 D375:N376 D460:N460 D471:N472 D499:N500 D503:N504 D510:N511 D526:N527 D556:O556 D559:O559 D557:N558 D560:N561 D597:N597 D593:N593 D589:N589 D584:N585 D600:N601 D610:N611 D159:N159 D287:N287 A2 A1:XFD1 A3:XFD6 E150:O150 D151:O158 D288:O289 D292:O293 D296:O297 D298:N300 D301:O312 D314:O315 D316:N318 D320:N322 D324:N326 D331:N333 D347:O347 A346:O346 D348:N350 D359:N360 D391:N393 D398:N400 D413:N415 D401:O412 D394:O397 D361:O368 D334:O345 D327:O330 D377:O390 D370:O374 A347:C550 D542:N544 A7:C345 D501:O502 D461:O470 D552:O552 A552:C658 A551:O551 D545:O550 D553:N555 D193:O201 D473:O498 D505:O509 D512:O525 D528:O541 D225:N227 D203:O224 D160:O191 D562:XFD564 D586:O588 D590:O592 D594:O596 D598:O599 D602:O609 D7:XFD7 D144:XFD146 V9:XFD28 R23:U23 Q27 Q24 Q29:XFD143 D9:P143 D147:O149 D228:O242 P147:XFD242 D243:XFD286 D416:O425 P287:XFD425 D426:XFD459 P460:XFD561 D612:O622 D565:O583 P565:XFD622 D648:O658 P648:XFD692 D8:Q8 T8:XFD8 T9:U11 Q13:U21 Q9:Q11 R8:S11 D623:XFD647 A659:O692 A693:XFD1048576">
    <cfRule type="expression" dxfId="19" priority="1">
      <formula>ROW()=CELL("ROW")</formula>
    </cfRule>
  </conditionalFormatting>
  <pageMargins left="0.39370078740157483" right="0.31496062992125984" top="0.55118110236220474" bottom="0.35433070866141736" header="0.31496062992125984" footer="0.31496062992125984"/>
  <pageSetup paperSize="8" scale="90" orientation="landscape" horizontalDpi="300" verticalDpi="300" r:id="rId1"/>
  <headerFooter>
    <oddFooter>&amp;RPage No &amp;P</oddFooter>
  </headerFooter>
  <rowBreaks count="2" manualBreakCount="2">
    <brk id="409" max="14" man="1"/>
    <brk id="421" max="14"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L49"/>
  <sheetViews>
    <sheetView zoomScaleNormal="100" workbookViewId="0">
      <selection activeCell="B2" sqref="B2:I36"/>
    </sheetView>
  </sheetViews>
  <sheetFormatPr defaultColWidth="9.296875" defaultRowHeight="14"/>
  <cols>
    <col min="1" max="1" width="9.296875" style="192"/>
    <col min="2" max="2" width="5.5" style="192" bestFit="1" customWidth="1"/>
    <col min="3" max="3" width="41.69921875" style="192" customWidth="1"/>
    <col min="4" max="4" width="7.69921875" style="192" customWidth="1"/>
    <col min="5" max="8" width="16.296875" style="192" customWidth="1"/>
    <col min="9" max="9" width="18.69921875" style="192" customWidth="1"/>
    <col min="10" max="16384" width="9.296875" style="192"/>
  </cols>
  <sheetData>
    <row r="2" spans="2:10" ht="45.75" customHeight="1">
      <c r="B2" s="1249" t="s">
        <v>457</v>
      </c>
      <c r="C2" s="1250"/>
      <c r="D2" s="1250"/>
      <c r="E2" s="1250"/>
      <c r="F2" s="1250"/>
      <c r="G2" s="1250"/>
      <c r="H2" s="1250"/>
      <c r="I2" s="1251"/>
    </row>
    <row r="3" spans="2:10" ht="17" customHeight="1">
      <c r="B3" s="1248" t="s">
        <v>456</v>
      </c>
      <c r="C3" s="1248"/>
      <c r="D3" s="1248"/>
      <c r="E3" s="1248"/>
      <c r="F3" s="1248"/>
      <c r="G3" s="1248"/>
      <c r="H3" s="1248"/>
      <c r="I3" s="1248"/>
    </row>
    <row r="4" spans="2:10" ht="28">
      <c r="B4" s="193" t="s">
        <v>387</v>
      </c>
      <c r="C4" s="194" t="s">
        <v>436</v>
      </c>
      <c r="D4" s="194"/>
      <c r="E4" s="194" t="s">
        <v>437</v>
      </c>
      <c r="F4" s="194" t="s">
        <v>438</v>
      </c>
      <c r="G4" s="194" t="s">
        <v>439</v>
      </c>
      <c r="H4" s="194" t="s">
        <v>440</v>
      </c>
      <c r="I4" s="194" t="s">
        <v>441</v>
      </c>
      <c r="J4" s="195"/>
    </row>
    <row r="5" spans="2:10">
      <c r="B5" s="196">
        <v>1</v>
      </c>
      <c r="C5" s="197" t="s">
        <v>350</v>
      </c>
      <c r="D5" s="197"/>
      <c r="E5" s="198">
        <f ca="1">'Revised Estimate'!R7</f>
        <v>26018225</v>
      </c>
      <c r="F5" s="198">
        <f ca="1">'Revised Estimate'!S7</f>
        <v>25908225</v>
      </c>
      <c r="G5" s="198">
        <f ca="1">IF(F5&gt;E5,F5-E5,0)</f>
        <v>0</v>
      </c>
      <c r="H5" s="198">
        <f ca="1">IF(F5&lt;E5,E5-F5,0)</f>
        <v>110000</v>
      </c>
      <c r="I5" s="197"/>
      <c r="J5" s="195"/>
    </row>
    <row r="6" spans="2:10">
      <c r="B6" s="196">
        <v>2</v>
      </c>
      <c r="C6" s="197" t="s">
        <v>442</v>
      </c>
      <c r="D6" s="197"/>
      <c r="E6" s="198">
        <f ca="1">'Revised Estimate'!R8</f>
        <v>7431553</v>
      </c>
      <c r="F6" s="198">
        <f ca="1">'Revised Estimate'!S8</f>
        <v>5592765</v>
      </c>
      <c r="G6" s="198">
        <f t="shared" ref="G6:G12" ca="1" si="0">IF(F6&gt;E6,F6-E6,0)</f>
        <v>0</v>
      </c>
      <c r="H6" s="198">
        <f t="shared" ref="H6:H12" ca="1" si="1">IF(F6&lt;E6,E6-F6,0)</f>
        <v>1838788</v>
      </c>
      <c r="I6" s="197"/>
      <c r="J6" s="195"/>
    </row>
    <row r="7" spans="2:10">
      <c r="B7" s="196">
        <v>3</v>
      </c>
      <c r="C7" s="197" t="s">
        <v>443</v>
      </c>
      <c r="D7" s="197"/>
      <c r="E7" s="198">
        <f ca="1">'Revised Estimate'!R9</f>
        <v>204480</v>
      </c>
      <c r="F7" s="198">
        <f ca="1">'Revised Estimate'!S9</f>
        <v>102352</v>
      </c>
      <c r="G7" s="198">
        <f t="shared" ca="1" si="0"/>
        <v>0</v>
      </c>
      <c r="H7" s="198">
        <f t="shared" ca="1" si="1"/>
        <v>102128</v>
      </c>
      <c r="I7" s="197"/>
      <c r="J7" s="195"/>
    </row>
    <row r="8" spans="2:10">
      <c r="B8" s="196">
        <v>4</v>
      </c>
      <c r="C8" s="197" t="s">
        <v>444</v>
      </c>
      <c r="D8" s="197"/>
      <c r="E8" s="198">
        <f ca="1">'Revised Estimate'!R10</f>
        <v>3732008</v>
      </c>
      <c r="F8" s="198">
        <f ca="1">'Revised Estimate'!S10</f>
        <v>4056397</v>
      </c>
      <c r="G8" s="198">
        <f t="shared" ca="1" si="0"/>
        <v>324389</v>
      </c>
      <c r="H8" s="198">
        <f t="shared" ca="1" si="1"/>
        <v>0</v>
      </c>
      <c r="I8" s="197"/>
      <c r="J8" s="195"/>
    </row>
    <row r="9" spans="2:10">
      <c r="B9" s="196">
        <v>5</v>
      </c>
      <c r="C9" s="197" t="s">
        <v>445</v>
      </c>
      <c r="D9" s="197"/>
      <c r="E9" s="198">
        <f ca="1">'Revised Estimate'!R11</f>
        <v>827000</v>
      </c>
      <c r="F9" s="198">
        <f ca="1">'Revised Estimate'!S11</f>
        <v>827000</v>
      </c>
      <c r="G9" s="198">
        <f t="shared" ca="1" si="0"/>
        <v>0</v>
      </c>
      <c r="H9" s="198">
        <f t="shared" ca="1" si="1"/>
        <v>0</v>
      </c>
      <c r="I9" s="197"/>
      <c r="J9" s="195"/>
    </row>
    <row r="10" spans="2:10">
      <c r="B10" s="196">
        <v>6</v>
      </c>
      <c r="C10" s="197" t="s">
        <v>446</v>
      </c>
      <c r="D10" s="197"/>
      <c r="E10" s="198">
        <f ca="1">'Revised Estimate'!R12</f>
        <v>735880</v>
      </c>
      <c r="F10" s="198">
        <f ca="1">'Revised Estimate'!S12</f>
        <v>735880</v>
      </c>
      <c r="G10" s="198">
        <f t="shared" ca="1" si="0"/>
        <v>0</v>
      </c>
      <c r="H10" s="198">
        <f t="shared" ca="1" si="1"/>
        <v>0</v>
      </c>
      <c r="I10" s="197"/>
      <c r="J10" s="195"/>
    </row>
    <row r="11" spans="2:10">
      <c r="B11" s="196">
        <v>7</v>
      </c>
      <c r="C11" s="197" t="s">
        <v>447</v>
      </c>
      <c r="D11" s="197"/>
      <c r="E11" s="198">
        <f ca="1">'Revised Estimate'!R13</f>
        <v>3879885</v>
      </c>
      <c r="F11" s="198">
        <f ca="1">'Revised Estimate'!S13</f>
        <v>3839005</v>
      </c>
      <c r="G11" s="198">
        <f t="shared" ca="1" si="0"/>
        <v>0</v>
      </c>
      <c r="H11" s="198">
        <f t="shared" ca="1" si="1"/>
        <v>40880</v>
      </c>
      <c r="I11" s="197"/>
      <c r="J11" s="195"/>
    </row>
    <row r="12" spans="2:10">
      <c r="B12" s="196">
        <v>8</v>
      </c>
      <c r="C12" s="197" t="s">
        <v>448</v>
      </c>
      <c r="D12" s="197"/>
      <c r="E12" s="198">
        <f ca="1">'Revised Estimate'!R14</f>
        <v>1025822</v>
      </c>
      <c r="F12" s="198">
        <f ca="1">'Revised Estimate'!S14</f>
        <v>1159401.6000000001</v>
      </c>
      <c r="G12" s="198">
        <f t="shared" ca="1" si="0"/>
        <v>133579.60000000009</v>
      </c>
      <c r="H12" s="198">
        <f t="shared" ca="1" si="1"/>
        <v>0</v>
      </c>
      <c r="I12" s="197"/>
      <c r="J12" s="195"/>
    </row>
    <row r="13" spans="2:10">
      <c r="B13" s="196"/>
      <c r="C13" s="205" t="s">
        <v>468</v>
      </c>
      <c r="D13" s="205"/>
      <c r="E13" s="199">
        <f ca="1">SUM(E5:E12)</f>
        <v>43854853</v>
      </c>
      <c r="F13" s="199">
        <f t="shared" ref="F13:H13" ca="1" si="2">SUM(F5:F12)</f>
        <v>42221025.600000001</v>
      </c>
      <c r="G13" s="199">
        <f t="shared" ca="1" si="2"/>
        <v>457968.60000000009</v>
      </c>
      <c r="H13" s="199">
        <f t="shared" ca="1" si="2"/>
        <v>2091796</v>
      </c>
      <c r="I13" s="197"/>
      <c r="J13" s="195"/>
    </row>
    <row r="14" spans="2:10">
      <c r="B14" s="196">
        <v>9</v>
      </c>
      <c r="C14" s="197" t="s">
        <v>449</v>
      </c>
      <c r="D14" s="197"/>
      <c r="E14" s="198">
        <f ca="1">'Revised Estimate'!R15</f>
        <v>0</v>
      </c>
      <c r="F14" s="198">
        <f ca="1">'Revised Estimate'!S15</f>
        <v>931300</v>
      </c>
      <c r="G14" s="198">
        <f ca="1">IF(F14&gt;E14,F14-E14,0)</f>
        <v>931300</v>
      </c>
      <c r="H14" s="198">
        <f ca="1">IF(F14&lt;E14,E14-F14,0)</f>
        <v>0</v>
      </c>
      <c r="I14" s="197"/>
      <c r="J14" s="195"/>
    </row>
    <row r="15" spans="2:10">
      <c r="B15" s="196">
        <v>10</v>
      </c>
      <c r="C15" s="197" t="s">
        <v>450</v>
      </c>
      <c r="D15" s="197"/>
      <c r="E15" s="198">
        <f ca="1">'Revised Estimate'!R16</f>
        <v>0</v>
      </c>
      <c r="F15" s="198">
        <f ca="1">'Revised Estimate'!S16</f>
        <v>2029092</v>
      </c>
      <c r="G15" s="198">
        <f t="shared" ref="G15:G20" ca="1" si="3">IF(F15&gt;E15,F15-E15,0)</f>
        <v>2029092</v>
      </c>
      <c r="H15" s="198">
        <f t="shared" ref="H15:H20" ca="1" si="4">IF(F15&lt;E15,E15-F15,0)</f>
        <v>0</v>
      </c>
      <c r="I15" s="197"/>
      <c r="J15" s="195"/>
    </row>
    <row r="16" spans="2:10">
      <c r="B16" s="196">
        <v>11</v>
      </c>
      <c r="C16" s="197" t="s">
        <v>451</v>
      </c>
      <c r="D16" s="197"/>
      <c r="E16" s="198">
        <f ca="1">'Revised Estimate'!R17</f>
        <v>0</v>
      </c>
      <c r="F16" s="198">
        <f ca="1">'Revised Estimate'!S17</f>
        <v>21690</v>
      </c>
      <c r="G16" s="198">
        <f t="shared" ca="1" si="3"/>
        <v>21690</v>
      </c>
      <c r="H16" s="198">
        <f t="shared" ca="1" si="4"/>
        <v>0</v>
      </c>
      <c r="I16" s="197"/>
      <c r="J16" s="195"/>
    </row>
    <row r="17" spans="2:10">
      <c r="B17" s="196">
        <v>12</v>
      </c>
      <c r="C17" s="197" t="s">
        <v>452</v>
      </c>
      <c r="D17" s="197"/>
      <c r="E17" s="198">
        <f ca="1">'Revised Estimate'!R18</f>
        <v>0</v>
      </c>
      <c r="F17" s="198">
        <f ca="1">'Revised Estimate'!S18</f>
        <v>458203.1</v>
      </c>
      <c r="G17" s="198">
        <f t="shared" ca="1" si="3"/>
        <v>458203.1</v>
      </c>
      <c r="H17" s="198">
        <f t="shared" ca="1" si="4"/>
        <v>0</v>
      </c>
      <c r="I17" s="197"/>
      <c r="J17" s="195"/>
    </row>
    <row r="18" spans="2:10">
      <c r="B18" s="196">
        <v>13</v>
      </c>
      <c r="C18" s="197" t="s">
        <v>453</v>
      </c>
      <c r="D18" s="197"/>
      <c r="E18" s="198">
        <f ca="1">'Revised Estimate'!R19</f>
        <v>0</v>
      </c>
      <c r="F18" s="198">
        <f ca="1">'Revised Estimate'!S19</f>
        <v>291366</v>
      </c>
      <c r="G18" s="198">
        <f t="shared" ca="1" si="3"/>
        <v>291366</v>
      </c>
      <c r="H18" s="198">
        <f t="shared" ca="1" si="4"/>
        <v>0</v>
      </c>
      <c r="I18" s="197"/>
      <c r="J18" s="195"/>
    </row>
    <row r="19" spans="2:10">
      <c r="B19" s="196">
        <v>14</v>
      </c>
      <c r="C19" s="197" t="s">
        <v>454</v>
      </c>
      <c r="D19" s="197"/>
      <c r="E19" s="198">
        <f ca="1">'Revised Estimate'!R20</f>
        <v>0</v>
      </c>
      <c r="F19" s="198">
        <f ca="1">'Revised Estimate'!S20</f>
        <v>120788</v>
      </c>
      <c r="G19" s="198">
        <f t="shared" ca="1" si="3"/>
        <v>120788</v>
      </c>
      <c r="H19" s="198">
        <f t="shared" ca="1" si="4"/>
        <v>0</v>
      </c>
      <c r="I19" s="197"/>
      <c r="J19" s="195"/>
    </row>
    <row r="20" spans="2:10">
      <c r="B20" s="196">
        <v>15</v>
      </c>
      <c r="C20" s="197" t="s">
        <v>455</v>
      </c>
      <c r="D20" s="197"/>
      <c r="E20" s="198">
        <f ca="1">'Revised Estimate'!R21</f>
        <v>0</v>
      </c>
      <c r="F20" s="198">
        <f ca="1">'Revised Estimate'!S21</f>
        <v>832620</v>
      </c>
      <c r="G20" s="198">
        <f t="shared" ca="1" si="3"/>
        <v>832620</v>
      </c>
      <c r="H20" s="198">
        <f t="shared" ca="1" si="4"/>
        <v>0</v>
      </c>
      <c r="I20" s="197"/>
      <c r="J20" s="195"/>
    </row>
    <row r="21" spans="2:10">
      <c r="B21" s="196"/>
      <c r="C21" s="205" t="s">
        <v>469</v>
      </c>
      <c r="D21" s="205"/>
      <c r="E21" s="198">
        <f>'Revised Estimate'!R22</f>
        <v>0</v>
      </c>
      <c r="F21" s="199">
        <f ca="1">SUM(F14:F20)</f>
        <v>4685059.0999999996</v>
      </c>
      <c r="G21" s="199">
        <f t="shared" ref="G21:H21" ca="1" si="5">SUM(G14:G20)</f>
        <v>4685059.0999999996</v>
      </c>
      <c r="H21" s="199">
        <f t="shared" ca="1" si="5"/>
        <v>0</v>
      </c>
      <c r="I21" s="197"/>
      <c r="J21" s="195"/>
    </row>
    <row r="22" spans="2:10">
      <c r="B22" s="196"/>
      <c r="C22" s="206" t="s">
        <v>470</v>
      </c>
      <c r="D22" s="206"/>
      <c r="E22" s="199">
        <f ca="1">SUM(E21,E13)</f>
        <v>43854853</v>
      </c>
      <c r="F22" s="199">
        <f ca="1">SUM(F21,F13)</f>
        <v>46906084.700000003</v>
      </c>
      <c r="G22" s="199">
        <f t="shared" ref="G22:H22" ca="1" si="6">SUM(G21,G13)</f>
        <v>5143027.6999999993</v>
      </c>
      <c r="H22" s="199">
        <f t="shared" ca="1" si="6"/>
        <v>2091796</v>
      </c>
      <c r="I22" s="197"/>
      <c r="J22" s="195"/>
    </row>
    <row r="23" spans="2:10">
      <c r="B23" s="196"/>
      <c r="C23" s="206" t="s">
        <v>2391</v>
      </c>
      <c r="D23" s="206"/>
      <c r="E23" s="198">
        <f ca="1">E22*18%</f>
        <v>7893873.54</v>
      </c>
      <c r="F23" s="198">
        <f t="shared" ref="F23" ca="1" si="7">F22*18%</f>
        <v>8443095.2459999993</v>
      </c>
      <c r="G23" s="198">
        <f t="shared" ref="G23:G24" ca="1" si="8">ROUND(IF(F23&gt;E23,F23-E23,0),0)</f>
        <v>549222</v>
      </c>
      <c r="H23" s="198">
        <f t="shared" ref="H23:H24" ca="1" si="9">ROUND(IF(F23&lt;E23,E23-F23,0),0)</f>
        <v>0</v>
      </c>
      <c r="I23" s="197"/>
      <c r="J23" s="195"/>
    </row>
    <row r="24" spans="2:10">
      <c r="B24" s="196"/>
      <c r="C24" s="206"/>
      <c r="D24" s="206"/>
      <c r="E24" s="199">
        <f ca="1">SUM(E22:E23)</f>
        <v>51748726.539999999</v>
      </c>
      <c r="F24" s="199">
        <f t="shared" ref="F24" ca="1" si="10">SUM(F22:F23)</f>
        <v>55349179.946000002</v>
      </c>
      <c r="G24" s="198">
        <f t="shared" ca="1" si="8"/>
        <v>3600453</v>
      </c>
      <c r="H24" s="198">
        <f t="shared" ca="1" si="9"/>
        <v>0</v>
      </c>
      <c r="I24" s="197"/>
      <c r="J24" s="195"/>
    </row>
    <row r="25" spans="2:10" ht="28">
      <c r="B25" s="196">
        <v>16</v>
      </c>
      <c r="C25" s="202" t="s">
        <v>458</v>
      </c>
      <c r="D25" s="1004">
        <v>0.01</v>
      </c>
      <c r="E25" s="198"/>
      <c r="F25" s="198">
        <f ca="1">F22*D25</f>
        <v>469060.84700000007</v>
      </c>
      <c r="G25" s="198"/>
      <c r="H25" s="198"/>
      <c r="I25" s="197"/>
      <c r="J25" s="195"/>
    </row>
    <row r="26" spans="2:10" ht="28">
      <c r="B26" s="196">
        <v>17</v>
      </c>
      <c r="C26" s="202" t="s">
        <v>459</v>
      </c>
      <c r="D26" s="1005">
        <v>1E-3</v>
      </c>
      <c r="E26" s="198"/>
      <c r="F26" s="198">
        <f ca="1">F22*D26</f>
        <v>46906.084700000007</v>
      </c>
      <c r="G26" s="198"/>
      <c r="H26" s="198"/>
      <c r="I26" s="197"/>
      <c r="J26" s="195"/>
    </row>
    <row r="27" spans="2:10" ht="28">
      <c r="B27" s="196">
        <v>18</v>
      </c>
      <c r="C27" s="202" t="s">
        <v>460</v>
      </c>
      <c r="D27" s="1006"/>
      <c r="E27" s="198"/>
      <c r="F27" s="198">
        <v>308</v>
      </c>
      <c r="G27" s="198"/>
      <c r="H27" s="198"/>
      <c r="I27" s="197"/>
      <c r="J27" s="195"/>
    </row>
    <row r="28" spans="2:10" ht="28">
      <c r="B28" s="196">
        <v>19</v>
      </c>
      <c r="C28" s="202" t="s">
        <v>461</v>
      </c>
      <c r="D28" s="1004">
        <v>0.3</v>
      </c>
      <c r="E28" s="198"/>
      <c r="F28" s="198">
        <f>F27*D28</f>
        <v>92.399999999999991</v>
      </c>
      <c r="G28" s="198"/>
      <c r="H28" s="198"/>
      <c r="I28" s="197"/>
      <c r="J28" s="195"/>
    </row>
    <row r="29" spans="2:10" ht="28">
      <c r="B29" s="196">
        <v>20</v>
      </c>
      <c r="C29" s="202" t="s">
        <v>462</v>
      </c>
      <c r="D29" s="1004">
        <v>0.02</v>
      </c>
      <c r="E29" s="198"/>
      <c r="F29" s="198">
        <f>F27*D29</f>
        <v>6.16</v>
      </c>
      <c r="G29" s="198"/>
      <c r="H29" s="198"/>
      <c r="I29" s="197"/>
      <c r="J29" s="195"/>
    </row>
    <row r="30" spans="2:10">
      <c r="B30" s="196">
        <v>21</v>
      </c>
      <c r="C30" s="202" t="s">
        <v>463</v>
      </c>
      <c r="D30" s="1005">
        <v>1E-4</v>
      </c>
      <c r="E30" s="198"/>
      <c r="F30" s="198">
        <f ca="1">F22*D30</f>
        <v>4690.6084700000001</v>
      </c>
      <c r="G30" s="198"/>
      <c r="H30" s="198"/>
      <c r="I30" s="197"/>
      <c r="J30" s="195"/>
    </row>
    <row r="31" spans="2:10">
      <c r="B31" s="196">
        <v>22</v>
      </c>
      <c r="C31" s="203" t="s">
        <v>464</v>
      </c>
      <c r="D31" s="1006"/>
      <c r="E31" s="198"/>
      <c r="F31" s="198">
        <f ca="1">SUM(F25:F30)</f>
        <v>521064.10017000005</v>
      </c>
      <c r="G31" s="198"/>
      <c r="H31" s="198"/>
      <c r="I31" s="197"/>
      <c r="J31" s="195"/>
    </row>
    <row r="32" spans="2:10" ht="28">
      <c r="B32" s="196">
        <v>23</v>
      </c>
      <c r="C32" s="202" t="s">
        <v>465</v>
      </c>
      <c r="D32" s="1004">
        <v>0.18</v>
      </c>
      <c r="E32" s="198"/>
      <c r="F32" s="198">
        <f ca="1">F31*D32</f>
        <v>93791.538030600001</v>
      </c>
      <c r="G32" s="198"/>
      <c r="H32" s="198"/>
      <c r="I32" s="197"/>
      <c r="J32" s="195"/>
    </row>
    <row r="33" spans="2:10" ht="28">
      <c r="B33" s="196">
        <v>24</v>
      </c>
      <c r="C33" s="202" t="s">
        <v>466</v>
      </c>
      <c r="D33" s="1004">
        <v>0.04</v>
      </c>
      <c r="E33" s="198">
        <f ca="1">D33*E24</f>
        <v>2069949.0615999999</v>
      </c>
      <c r="F33" s="198">
        <f ca="1">D33*F24</f>
        <v>2213967.19784</v>
      </c>
      <c r="G33" s="198"/>
      <c r="H33" s="198"/>
      <c r="I33" s="197"/>
      <c r="J33" s="195"/>
    </row>
    <row r="34" spans="2:10" ht="28">
      <c r="B34" s="196">
        <v>25</v>
      </c>
      <c r="C34" s="202" t="s">
        <v>467</v>
      </c>
      <c r="D34" s="202"/>
      <c r="E34" s="198"/>
      <c r="F34" s="198"/>
      <c r="G34" s="198"/>
      <c r="H34" s="198"/>
      <c r="I34" s="197"/>
      <c r="J34" s="195"/>
    </row>
    <row r="35" spans="2:10">
      <c r="B35" s="196"/>
      <c r="C35" s="203" t="s">
        <v>2441</v>
      </c>
      <c r="D35" s="204"/>
      <c r="E35" s="207"/>
      <c r="F35" s="207">
        <f ca="1">SUM(F31:F34)</f>
        <v>2828822.8360406002</v>
      </c>
      <c r="G35" s="207"/>
      <c r="H35" s="207"/>
      <c r="I35" s="204"/>
    </row>
    <row r="36" spans="2:10">
      <c r="B36" s="196"/>
      <c r="C36" s="204"/>
      <c r="D36" s="204"/>
      <c r="E36" s="1003">
        <f ca="1">SUM(E24:E35)</f>
        <v>53818675.601599999</v>
      </c>
      <c r="F36" s="1003">
        <f ca="1">F35+F22+F23</f>
        <v>58178002.782040603</v>
      </c>
      <c r="G36" s="1003">
        <f ca="1">F36-E36</f>
        <v>4359327.1804406047</v>
      </c>
      <c r="H36" s="1003"/>
      <c r="I36" s="204"/>
    </row>
    <row r="37" spans="2:10">
      <c r="B37" s="200"/>
      <c r="E37" s="201"/>
      <c r="F37" s="201"/>
      <c r="G37" s="201"/>
      <c r="H37" s="201"/>
    </row>
    <row r="38" spans="2:10">
      <c r="B38" s="200"/>
      <c r="E38" s="201"/>
      <c r="F38" s="201"/>
      <c r="G38" s="201"/>
      <c r="H38" s="201"/>
    </row>
    <row r="39" spans="2:10">
      <c r="B39" s="200"/>
    </row>
    <row r="40" spans="2:10">
      <c r="B40" s="200"/>
    </row>
    <row r="41" spans="2:10">
      <c r="B41" s="200"/>
    </row>
    <row r="42" spans="2:10">
      <c r="B42" s="200"/>
    </row>
    <row r="49" spans="12:12" ht="42">
      <c r="L49" s="192" t="s">
        <v>2383</v>
      </c>
    </row>
  </sheetData>
  <mergeCells count="2">
    <mergeCell ref="B3:I3"/>
    <mergeCell ref="B2:I2"/>
  </mergeCells>
  <printOptions horizontalCentered="1"/>
  <pageMargins left="0.70866141732283472" right="0.31496062992125984" top="0.74803149606299213" bottom="1.1417322834645669" header="0.31496062992125984" footer="0.31496062992125984"/>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H91"/>
  <sheetViews>
    <sheetView topLeftCell="A81" zoomScaleNormal="100" workbookViewId="0">
      <selection activeCell="F90" sqref="F90"/>
    </sheetView>
  </sheetViews>
  <sheetFormatPr defaultRowHeight="13"/>
  <cols>
    <col min="3" max="3" width="51.296875" customWidth="1"/>
    <col min="6" max="6" width="11.296875" bestFit="1" customWidth="1"/>
    <col min="7" max="7" width="12.296875" bestFit="1" customWidth="1"/>
    <col min="8" max="8" width="8.19921875" customWidth="1"/>
  </cols>
  <sheetData>
    <row r="2" spans="2:8">
      <c r="B2" s="1232" t="s">
        <v>517</v>
      </c>
      <c r="C2" s="1232"/>
      <c r="D2" s="1232"/>
      <c r="E2" s="1232"/>
      <c r="F2" s="1232"/>
      <c r="G2" s="1232"/>
      <c r="H2" s="1232"/>
    </row>
    <row r="3" spans="2:8">
      <c r="B3" s="211">
        <v>1</v>
      </c>
      <c r="C3" s="212" t="s">
        <v>329</v>
      </c>
      <c r="D3" s="213">
        <v>5</v>
      </c>
      <c r="E3" s="211" t="s">
        <v>14</v>
      </c>
      <c r="F3" s="288">
        <v>39000</v>
      </c>
      <c r="G3" s="238">
        <f t="shared" ref="G3:G30" si="0">D3*F3</f>
        <v>195000</v>
      </c>
      <c r="H3" s="239"/>
    </row>
    <row r="4" spans="2:8">
      <c r="B4" s="211">
        <v>2</v>
      </c>
      <c r="C4" s="212" t="s">
        <v>330</v>
      </c>
      <c r="D4" s="213">
        <v>5</v>
      </c>
      <c r="E4" s="211" t="s">
        <v>14</v>
      </c>
      <c r="F4" s="288">
        <v>9000</v>
      </c>
      <c r="G4" s="238">
        <f t="shared" si="0"/>
        <v>45000</v>
      </c>
      <c r="H4" s="239"/>
    </row>
    <row r="5" spans="2:8">
      <c r="B5" s="211">
        <v>3</v>
      </c>
      <c r="C5" s="212" t="s">
        <v>316</v>
      </c>
      <c r="D5" s="213">
        <v>1</v>
      </c>
      <c r="E5" s="211" t="s">
        <v>14</v>
      </c>
      <c r="F5" s="288">
        <v>32000</v>
      </c>
      <c r="G5" s="238">
        <f t="shared" si="0"/>
        <v>32000</v>
      </c>
      <c r="H5" s="239"/>
    </row>
    <row r="6" spans="2:8">
      <c r="B6" s="211">
        <v>4</v>
      </c>
      <c r="C6" s="212" t="s">
        <v>331</v>
      </c>
      <c r="D6" s="213">
        <v>1</v>
      </c>
      <c r="E6" s="211" t="s">
        <v>14</v>
      </c>
      <c r="F6" s="288">
        <v>97000</v>
      </c>
      <c r="G6" s="238">
        <f t="shared" si="0"/>
        <v>97000</v>
      </c>
      <c r="H6" s="239"/>
    </row>
    <row r="7" spans="2:8">
      <c r="B7" s="211">
        <v>5</v>
      </c>
      <c r="C7" s="212" t="s">
        <v>332</v>
      </c>
      <c r="D7" s="213">
        <v>1</v>
      </c>
      <c r="E7" s="211" t="s">
        <v>14</v>
      </c>
      <c r="F7" s="288">
        <v>29000</v>
      </c>
      <c r="G7" s="238">
        <f t="shared" si="0"/>
        <v>29000</v>
      </c>
      <c r="H7" s="239"/>
    </row>
    <row r="8" spans="2:8">
      <c r="B8" s="211">
        <v>6</v>
      </c>
      <c r="C8" s="212" t="s">
        <v>32</v>
      </c>
      <c r="D8" s="213">
        <v>1</v>
      </c>
      <c r="E8" s="211" t="s">
        <v>14</v>
      </c>
      <c r="F8" s="288">
        <v>16200</v>
      </c>
      <c r="G8" s="238">
        <f t="shared" si="0"/>
        <v>16200</v>
      </c>
      <c r="H8" s="239"/>
    </row>
    <row r="9" spans="2:8">
      <c r="B9" s="211">
        <v>7</v>
      </c>
      <c r="C9" s="212" t="s">
        <v>392</v>
      </c>
      <c r="D9" s="213">
        <v>1</v>
      </c>
      <c r="E9" s="211" t="s">
        <v>14</v>
      </c>
      <c r="F9" s="288"/>
      <c r="G9" s="238">
        <f t="shared" si="0"/>
        <v>0</v>
      </c>
      <c r="H9" s="239"/>
    </row>
    <row r="10" spans="2:8">
      <c r="B10" s="211">
        <v>8</v>
      </c>
      <c r="C10" s="212" t="s">
        <v>334</v>
      </c>
      <c r="D10" s="213">
        <v>1</v>
      </c>
      <c r="E10" s="211" t="s">
        <v>14</v>
      </c>
      <c r="F10" s="288">
        <v>46000</v>
      </c>
      <c r="G10" s="238">
        <f t="shared" si="0"/>
        <v>46000</v>
      </c>
      <c r="H10" s="239"/>
    </row>
    <row r="11" spans="2:8">
      <c r="B11" s="211">
        <v>9</v>
      </c>
      <c r="C11" s="212" t="s">
        <v>336</v>
      </c>
      <c r="D11" s="213">
        <v>2</v>
      </c>
      <c r="E11" s="211" t="s">
        <v>14</v>
      </c>
      <c r="F11" s="288">
        <v>2100</v>
      </c>
      <c r="G11" s="238">
        <f t="shared" si="0"/>
        <v>4200</v>
      </c>
      <c r="H11" s="239"/>
    </row>
    <row r="12" spans="2:8">
      <c r="B12" s="211">
        <v>10</v>
      </c>
      <c r="C12" s="212" t="s">
        <v>337</v>
      </c>
      <c r="D12" s="213">
        <v>2</v>
      </c>
      <c r="E12" s="211" t="s">
        <v>14</v>
      </c>
      <c r="F12" s="288">
        <v>14500</v>
      </c>
      <c r="G12" s="238">
        <f t="shared" si="0"/>
        <v>29000</v>
      </c>
      <c r="H12" s="239"/>
    </row>
    <row r="13" spans="2:8">
      <c r="B13" s="211">
        <v>11</v>
      </c>
      <c r="C13" s="212" t="s">
        <v>338</v>
      </c>
      <c r="D13" s="213">
        <v>2</v>
      </c>
      <c r="E13" s="211" t="s">
        <v>14</v>
      </c>
      <c r="F13" s="288">
        <v>22500</v>
      </c>
      <c r="G13" s="238">
        <f t="shared" si="0"/>
        <v>45000</v>
      </c>
      <c r="H13" s="239"/>
    </row>
    <row r="14" spans="2:8">
      <c r="B14" s="211">
        <v>12</v>
      </c>
      <c r="C14" s="214" t="s">
        <v>342</v>
      </c>
      <c r="D14" s="215">
        <v>5</v>
      </c>
      <c r="E14" s="211" t="s">
        <v>14</v>
      </c>
      <c r="F14" s="288">
        <v>15400</v>
      </c>
      <c r="G14" s="238">
        <f t="shared" si="0"/>
        <v>77000</v>
      </c>
      <c r="H14" s="239"/>
    </row>
    <row r="15" spans="2:8" ht="78">
      <c r="B15" s="211">
        <v>13</v>
      </c>
      <c r="C15" s="267" t="s">
        <v>386</v>
      </c>
      <c r="D15" s="219">
        <v>536.11</v>
      </c>
      <c r="E15" s="266" t="s">
        <v>62</v>
      </c>
      <c r="F15" s="268">
        <v>239</v>
      </c>
      <c r="G15" s="240">
        <f t="shared" si="0"/>
        <v>128130.29000000001</v>
      </c>
      <c r="H15" s="269" t="s">
        <v>279</v>
      </c>
    </row>
    <row r="16" spans="2:8" ht="78">
      <c r="B16" s="211">
        <v>14</v>
      </c>
      <c r="C16" s="217" t="s">
        <v>317</v>
      </c>
      <c r="D16" s="250">
        <v>3.89</v>
      </c>
      <c r="E16" s="218" t="s">
        <v>57</v>
      </c>
      <c r="F16" s="240">
        <v>4440</v>
      </c>
      <c r="G16" s="238">
        <f t="shared" si="0"/>
        <v>17271.600000000002</v>
      </c>
      <c r="H16" s="239"/>
    </row>
    <row r="17" spans="2:8" ht="78">
      <c r="B17" s="211">
        <v>15</v>
      </c>
      <c r="C17" s="217" t="s">
        <v>318</v>
      </c>
      <c r="D17" s="249">
        <v>37.130000000000003</v>
      </c>
      <c r="E17" s="218" t="s">
        <v>62</v>
      </c>
      <c r="F17" s="238">
        <v>12</v>
      </c>
      <c r="G17" s="238">
        <f t="shared" si="0"/>
        <v>445.56000000000006</v>
      </c>
      <c r="H17" s="239"/>
    </row>
    <row r="18" spans="2:8" ht="78">
      <c r="B18" s="211">
        <v>16</v>
      </c>
      <c r="C18" s="217" t="s">
        <v>319</v>
      </c>
      <c r="D18" s="250">
        <v>0.7</v>
      </c>
      <c r="E18" s="218" t="s">
        <v>57</v>
      </c>
      <c r="F18" s="238">
        <v>4866</v>
      </c>
      <c r="G18" s="238">
        <f t="shared" si="0"/>
        <v>3406.2</v>
      </c>
      <c r="H18" s="239"/>
    </row>
    <row r="19" spans="2:8" ht="169">
      <c r="B19" s="211">
        <v>17</v>
      </c>
      <c r="C19" s="220" t="s">
        <v>295</v>
      </c>
      <c r="D19" s="249">
        <v>107.18</v>
      </c>
      <c r="E19" s="218" t="s">
        <v>60</v>
      </c>
      <c r="F19" s="238">
        <v>172</v>
      </c>
      <c r="G19" s="238">
        <f t="shared" si="0"/>
        <v>18434.960000000003</v>
      </c>
      <c r="H19" s="239"/>
    </row>
    <row r="20" spans="2:8" ht="325">
      <c r="B20" s="211">
        <v>18</v>
      </c>
      <c r="C20" s="221" t="s">
        <v>15</v>
      </c>
      <c r="D20" s="216">
        <v>23.463000000000001</v>
      </c>
      <c r="E20" s="218" t="s">
        <v>62</v>
      </c>
      <c r="F20" s="241">
        <v>10165</v>
      </c>
      <c r="G20" s="238">
        <f t="shared" si="0"/>
        <v>238501.39500000002</v>
      </c>
      <c r="H20" s="239" t="s">
        <v>514</v>
      </c>
    </row>
    <row r="21" spans="2:8" ht="182">
      <c r="B21" s="211">
        <v>19</v>
      </c>
      <c r="C21" s="222" t="s">
        <v>63</v>
      </c>
      <c r="D21" s="216">
        <v>10.17</v>
      </c>
      <c r="E21" s="218" t="s">
        <v>62</v>
      </c>
      <c r="F21" s="238">
        <v>7181</v>
      </c>
      <c r="G21" s="238">
        <f t="shared" si="0"/>
        <v>73030.77</v>
      </c>
      <c r="H21" s="239"/>
    </row>
    <row r="22" spans="2:8" ht="78">
      <c r="B22" s="211">
        <v>20</v>
      </c>
      <c r="C22" s="214" t="s">
        <v>22</v>
      </c>
      <c r="D22" s="216">
        <v>1</v>
      </c>
      <c r="E22" s="218" t="s">
        <v>14</v>
      </c>
      <c r="F22" s="238">
        <v>90188</v>
      </c>
      <c r="G22" s="238">
        <f t="shared" si="0"/>
        <v>90188</v>
      </c>
      <c r="H22" s="293" t="s">
        <v>515</v>
      </c>
    </row>
    <row r="23" spans="2:8">
      <c r="B23" s="211">
        <v>21</v>
      </c>
      <c r="C23" s="222" t="s">
        <v>303</v>
      </c>
      <c r="D23" s="216">
        <v>5</v>
      </c>
      <c r="E23" s="218" t="s">
        <v>14</v>
      </c>
      <c r="F23" s="238">
        <v>510</v>
      </c>
      <c r="G23" s="238">
        <f t="shared" si="0"/>
        <v>2550</v>
      </c>
      <c r="H23" s="239"/>
    </row>
    <row r="24" spans="2:8">
      <c r="B24" s="211">
        <v>22</v>
      </c>
      <c r="C24" s="223" t="s">
        <v>304</v>
      </c>
      <c r="D24" s="216">
        <v>5</v>
      </c>
      <c r="E24" s="218" t="s">
        <v>14</v>
      </c>
      <c r="F24" s="242">
        <v>750</v>
      </c>
      <c r="G24" s="238">
        <f t="shared" si="0"/>
        <v>3750</v>
      </c>
      <c r="H24" s="239"/>
    </row>
    <row r="25" spans="2:8">
      <c r="B25" s="211">
        <v>23</v>
      </c>
      <c r="C25" s="222" t="s">
        <v>343</v>
      </c>
      <c r="D25" s="216">
        <v>2</v>
      </c>
      <c r="E25" s="218" t="s">
        <v>14</v>
      </c>
      <c r="F25" s="238">
        <v>6000</v>
      </c>
      <c r="G25" s="238">
        <f t="shared" si="0"/>
        <v>12000</v>
      </c>
      <c r="H25" s="239"/>
    </row>
    <row r="26" spans="2:8">
      <c r="B26" s="211">
        <v>24</v>
      </c>
      <c r="C26" s="223" t="s">
        <v>344</v>
      </c>
      <c r="D26" s="216">
        <v>31</v>
      </c>
      <c r="E26" s="218" t="s">
        <v>14</v>
      </c>
      <c r="F26" s="242">
        <v>600</v>
      </c>
      <c r="G26" s="238">
        <f t="shared" si="0"/>
        <v>18600</v>
      </c>
      <c r="H26" s="239"/>
    </row>
    <row r="27" spans="2:8">
      <c r="B27" s="211">
        <v>25</v>
      </c>
      <c r="C27" s="222" t="s">
        <v>345</v>
      </c>
      <c r="D27" s="216">
        <v>14</v>
      </c>
      <c r="E27" s="218" t="s">
        <v>14</v>
      </c>
      <c r="F27" s="238">
        <v>9000</v>
      </c>
      <c r="G27" s="238">
        <f t="shared" si="0"/>
        <v>126000</v>
      </c>
      <c r="H27" s="239"/>
    </row>
    <row r="28" spans="2:8" ht="78">
      <c r="B28" s="211">
        <v>26</v>
      </c>
      <c r="C28" s="224" t="s">
        <v>519</v>
      </c>
      <c r="D28" s="216">
        <v>7.2</v>
      </c>
      <c r="E28" s="218" t="s">
        <v>62</v>
      </c>
      <c r="F28" s="289">
        <v>2454</v>
      </c>
      <c r="G28" s="238">
        <f t="shared" si="0"/>
        <v>17668.8</v>
      </c>
      <c r="H28" s="239"/>
    </row>
    <row r="29" spans="2:8">
      <c r="B29" s="211">
        <v>27</v>
      </c>
      <c r="C29" s="233" t="s">
        <v>349</v>
      </c>
      <c r="D29" s="216">
        <v>89.11</v>
      </c>
      <c r="E29" s="218" t="s">
        <v>62</v>
      </c>
      <c r="F29" s="238">
        <v>1625</v>
      </c>
      <c r="G29" s="238">
        <f t="shared" si="0"/>
        <v>144803.75</v>
      </c>
      <c r="H29" s="239"/>
    </row>
    <row r="30" spans="2:8">
      <c r="B30" s="211">
        <v>28</v>
      </c>
      <c r="C30" s="273" t="s">
        <v>247</v>
      </c>
      <c r="D30" s="249">
        <v>7.14</v>
      </c>
      <c r="E30" s="234" t="s">
        <v>62</v>
      </c>
      <c r="F30" s="242">
        <v>4627</v>
      </c>
      <c r="G30" s="242">
        <f t="shared" si="0"/>
        <v>33036.78</v>
      </c>
      <c r="H30" s="274"/>
    </row>
    <row r="31" spans="2:8" ht="130">
      <c r="B31" s="210"/>
      <c r="C31" s="214" t="s">
        <v>540</v>
      </c>
      <c r="D31" s="209"/>
      <c r="E31" s="209" t="s">
        <v>60</v>
      </c>
      <c r="F31" s="290">
        <v>749</v>
      </c>
      <c r="G31" s="243"/>
      <c r="H31" s="244"/>
    </row>
    <row r="32" spans="2:8" ht="208">
      <c r="B32" s="210"/>
      <c r="C32" s="214" t="s">
        <v>541</v>
      </c>
      <c r="D32" s="216">
        <v>7.14</v>
      </c>
      <c r="E32" s="218" t="s">
        <v>62</v>
      </c>
      <c r="F32" s="291">
        <v>1937</v>
      </c>
      <c r="G32" s="238">
        <f t="shared" ref="G32:G63" si="1">D32*F32</f>
        <v>13830.179999999998</v>
      </c>
      <c r="H32" s="239"/>
    </row>
    <row r="33" spans="2:8" ht="65">
      <c r="B33" s="211">
        <v>29</v>
      </c>
      <c r="C33" s="225" t="s">
        <v>520</v>
      </c>
      <c r="D33" s="216">
        <v>18.579999999999998</v>
      </c>
      <c r="E33" s="218" t="s">
        <v>62</v>
      </c>
      <c r="F33" s="238">
        <v>15500</v>
      </c>
      <c r="G33" s="238">
        <f t="shared" si="1"/>
        <v>287990</v>
      </c>
      <c r="H33" s="239"/>
    </row>
    <row r="34" spans="2:8" ht="234">
      <c r="B34" s="211">
        <v>30</v>
      </c>
      <c r="C34" s="225" t="s">
        <v>521</v>
      </c>
      <c r="D34" s="216">
        <v>7.58</v>
      </c>
      <c r="E34" s="218" t="s">
        <v>62</v>
      </c>
      <c r="F34" s="238">
        <v>17450</v>
      </c>
      <c r="G34" s="238">
        <f t="shared" si="1"/>
        <v>132271</v>
      </c>
      <c r="H34" s="239"/>
    </row>
    <row r="35" spans="2:8" ht="52">
      <c r="B35" s="211">
        <v>31</v>
      </c>
      <c r="C35" s="225" t="s">
        <v>522</v>
      </c>
      <c r="D35" s="216">
        <v>2.58</v>
      </c>
      <c r="E35" s="218" t="s">
        <v>62</v>
      </c>
      <c r="F35" s="238">
        <v>11335</v>
      </c>
      <c r="G35" s="238">
        <f t="shared" si="1"/>
        <v>29244.3</v>
      </c>
      <c r="H35" s="239"/>
    </row>
    <row r="36" spans="2:8" ht="52">
      <c r="B36" s="211">
        <v>32</v>
      </c>
      <c r="C36" s="225" t="s">
        <v>523</v>
      </c>
      <c r="D36" s="216">
        <v>7.5</v>
      </c>
      <c r="E36" s="218" t="s">
        <v>62</v>
      </c>
      <c r="F36" s="238">
        <v>10500</v>
      </c>
      <c r="G36" s="238">
        <f t="shared" si="1"/>
        <v>78750</v>
      </c>
      <c r="H36" s="239"/>
    </row>
    <row r="37" spans="2:8" ht="65">
      <c r="B37" s="211">
        <v>33</v>
      </c>
      <c r="C37" s="225" t="s">
        <v>524</v>
      </c>
      <c r="D37" s="216">
        <v>1</v>
      </c>
      <c r="E37" s="218" t="s">
        <v>14</v>
      </c>
      <c r="F37" s="238">
        <v>13800</v>
      </c>
      <c r="G37" s="238">
        <f t="shared" si="1"/>
        <v>13800</v>
      </c>
      <c r="H37" s="239"/>
    </row>
    <row r="38" spans="2:8" ht="39">
      <c r="B38" s="211">
        <v>34</v>
      </c>
      <c r="C38" s="225" t="s">
        <v>525</v>
      </c>
      <c r="D38" s="216">
        <v>4.45</v>
      </c>
      <c r="E38" s="218" t="s">
        <v>62</v>
      </c>
      <c r="F38" s="238">
        <v>6473</v>
      </c>
      <c r="G38" s="238">
        <f t="shared" si="1"/>
        <v>28804.850000000002</v>
      </c>
      <c r="H38" s="239"/>
    </row>
    <row r="39" spans="2:8" ht="26">
      <c r="B39" s="211">
        <v>35</v>
      </c>
      <c r="C39" s="225" t="s">
        <v>526</v>
      </c>
      <c r="D39" s="216">
        <v>38</v>
      </c>
      <c r="E39" s="218" t="s">
        <v>60</v>
      </c>
      <c r="F39" s="238">
        <v>230</v>
      </c>
      <c r="G39" s="238">
        <f t="shared" si="1"/>
        <v>8740</v>
      </c>
      <c r="H39" s="239"/>
    </row>
    <row r="40" spans="2:8" ht="26">
      <c r="B40" s="211">
        <v>36</v>
      </c>
      <c r="C40" s="225" t="s">
        <v>527</v>
      </c>
      <c r="D40" s="216">
        <v>7</v>
      </c>
      <c r="E40" s="218" t="s">
        <v>14</v>
      </c>
      <c r="F40" s="238">
        <v>1500</v>
      </c>
      <c r="G40" s="238">
        <f t="shared" si="1"/>
        <v>10500</v>
      </c>
      <c r="H40" s="239"/>
    </row>
    <row r="41" spans="2:8" ht="52">
      <c r="B41" s="211">
        <v>37</v>
      </c>
      <c r="C41" s="225" t="s">
        <v>528</v>
      </c>
      <c r="D41" s="216">
        <v>11.58</v>
      </c>
      <c r="E41" s="218" t="s">
        <v>60</v>
      </c>
      <c r="F41" s="238">
        <v>2166</v>
      </c>
      <c r="G41" s="238">
        <f t="shared" si="1"/>
        <v>25082.28</v>
      </c>
      <c r="H41" s="239"/>
    </row>
    <row r="42" spans="2:8" ht="39">
      <c r="B42" s="211">
        <v>38</v>
      </c>
      <c r="C42" s="225" t="s">
        <v>363</v>
      </c>
      <c r="D42" s="216">
        <v>1.32</v>
      </c>
      <c r="E42" s="218" t="s">
        <v>62</v>
      </c>
      <c r="F42" s="238">
        <v>11012</v>
      </c>
      <c r="G42" s="238">
        <f t="shared" si="1"/>
        <v>14535.84</v>
      </c>
      <c r="H42" s="239"/>
    </row>
    <row r="43" spans="2:8" ht="65">
      <c r="B43" s="211">
        <v>39</v>
      </c>
      <c r="C43" s="225" t="s">
        <v>364</v>
      </c>
      <c r="D43" s="216">
        <v>1</v>
      </c>
      <c r="E43" s="218" t="s">
        <v>14</v>
      </c>
      <c r="F43" s="238">
        <v>50400</v>
      </c>
      <c r="G43" s="238">
        <f t="shared" si="1"/>
        <v>50400</v>
      </c>
      <c r="H43" s="239"/>
    </row>
    <row r="44" spans="2:8" ht="52">
      <c r="B44" s="211">
        <v>40</v>
      </c>
      <c r="C44" s="225" t="s">
        <v>365</v>
      </c>
      <c r="D44" s="216">
        <v>10.97</v>
      </c>
      <c r="E44" s="218" t="s">
        <v>60</v>
      </c>
      <c r="F44" s="238">
        <v>2170</v>
      </c>
      <c r="G44" s="238">
        <f t="shared" si="1"/>
        <v>23804.9</v>
      </c>
      <c r="H44" s="239"/>
    </row>
    <row r="45" spans="2:8">
      <c r="B45" s="211">
        <v>41</v>
      </c>
      <c r="C45" s="225" t="s">
        <v>366</v>
      </c>
      <c r="D45" s="216">
        <v>2</v>
      </c>
      <c r="E45" s="218" t="s">
        <v>14</v>
      </c>
      <c r="F45" s="238">
        <v>5175</v>
      </c>
      <c r="G45" s="238">
        <f t="shared" si="1"/>
        <v>10350</v>
      </c>
      <c r="H45" s="239"/>
    </row>
    <row r="46" spans="2:8">
      <c r="B46" s="211">
        <v>42</v>
      </c>
      <c r="C46" s="225" t="s">
        <v>367</v>
      </c>
      <c r="D46" s="216">
        <v>1</v>
      </c>
      <c r="E46" s="218" t="s">
        <v>222</v>
      </c>
      <c r="F46" s="238">
        <v>11475</v>
      </c>
      <c r="G46" s="238">
        <f t="shared" si="1"/>
        <v>11475</v>
      </c>
      <c r="H46" s="239"/>
    </row>
    <row r="47" spans="2:8">
      <c r="B47" s="211">
        <v>43</v>
      </c>
      <c r="C47" s="225" t="s">
        <v>368</v>
      </c>
      <c r="D47" s="216">
        <v>5.01</v>
      </c>
      <c r="E47" s="218" t="s">
        <v>62</v>
      </c>
      <c r="F47" s="238">
        <v>2395</v>
      </c>
      <c r="G47" s="238">
        <f t="shared" si="1"/>
        <v>11998.949999999999</v>
      </c>
      <c r="H47" s="239"/>
    </row>
    <row r="48" spans="2:8">
      <c r="B48" s="211">
        <v>44</v>
      </c>
      <c r="C48" s="225" t="s">
        <v>369</v>
      </c>
      <c r="D48" s="216">
        <v>1</v>
      </c>
      <c r="E48" s="218" t="s">
        <v>222</v>
      </c>
      <c r="F48" s="238">
        <v>44250</v>
      </c>
      <c r="G48" s="238">
        <f t="shared" si="1"/>
        <v>44250</v>
      </c>
      <c r="H48" s="239"/>
    </row>
    <row r="49" spans="2:8">
      <c r="B49" s="211">
        <v>45</v>
      </c>
      <c r="C49" s="225" t="s">
        <v>388</v>
      </c>
      <c r="D49" s="216">
        <v>8</v>
      </c>
      <c r="E49" s="218" t="s">
        <v>14</v>
      </c>
      <c r="F49" s="238">
        <v>4230</v>
      </c>
      <c r="G49" s="238">
        <f t="shared" si="1"/>
        <v>33840</v>
      </c>
      <c r="H49" s="239"/>
    </row>
    <row r="50" spans="2:8">
      <c r="B50" s="252">
        <v>46</v>
      </c>
      <c r="C50" s="223" t="s">
        <v>389</v>
      </c>
      <c r="D50" s="249">
        <v>167</v>
      </c>
      <c r="E50" s="234" t="s">
        <v>312</v>
      </c>
      <c r="F50" s="291">
        <v>300</v>
      </c>
      <c r="G50" s="242">
        <f t="shared" si="1"/>
        <v>50100</v>
      </c>
      <c r="H50" s="274"/>
    </row>
    <row r="51" spans="2:8">
      <c r="B51" s="211">
        <v>47</v>
      </c>
      <c r="C51" s="222" t="s">
        <v>402</v>
      </c>
      <c r="D51" s="216">
        <v>1</v>
      </c>
      <c r="E51" s="218" t="s">
        <v>14</v>
      </c>
      <c r="F51" s="238">
        <v>4200</v>
      </c>
      <c r="G51" s="238">
        <f t="shared" si="1"/>
        <v>4200</v>
      </c>
      <c r="H51" s="239"/>
    </row>
    <row r="52" spans="2:8">
      <c r="B52" s="211">
        <v>48</v>
      </c>
      <c r="C52" s="222" t="s">
        <v>403</v>
      </c>
      <c r="D52" s="216">
        <v>1</v>
      </c>
      <c r="E52" s="218" t="s">
        <v>14</v>
      </c>
      <c r="F52" s="238">
        <v>9300</v>
      </c>
      <c r="G52" s="238">
        <f t="shared" si="1"/>
        <v>9300</v>
      </c>
      <c r="H52" s="239"/>
    </row>
    <row r="53" spans="2:8">
      <c r="B53" s="211">
        <v>49</v>
      </c>
      <c r="C53" s="214" t="s">
        <v>404</v>
      </c>
      <c r="D53" s="215">
        <v>1</v>
      </c>
      <c r="E53" s="211" t="s">
        <v>14</v>
      </c>
      <c r="F53" s="237">
        <v>8400</v>
      </c>
      <c r="G53" s="238">
        <f t="shared" si="1"/>
        <v>8400</v>
      </c>
      <c r="H53" s="239"/>
    </row>
    <row r="54" spans="2:8" ht="65">
      <c r="B54" s="211">
        <v>50</v>
      </c>
      <c r="C54" s="220" t="s">
        <v>529</v>
      </c>
      <c r="D54" s="216">
        <v>5</v>
      </c>
      <c r="E54" s="211" t="s">
        <v>14</v>
      </c>
      <c r="F54" s="237">
        <v>200</v>
      </c>
      <c r="G54" s="238">
        <f t="shared" si="1"/>
        <v>1000</v>
      </c>
      <c r="H54" s="239"/>
    </row>
    <row r="55" spans="2:8">
      <c r="B55" s="211">
        <v>51</v>
      </c>
      <c r="C55" s="220" t="s">
        <v>282</v>
      </c>
      <c r="D55" s="216">
        <v>3</v>
      </c>
      <c r="E55" s="211" t="s">
        <v>14</v>
      </c>
      <c r="F55" s="237"/>
      <c r="G55" s="238">
        <f t="shared" si="1"/>
        <v>0</v>
      </c>
      <c r="H55" s="239"/>
    </row>
    <row r="56" spans="2:8" ht="130">
      <c r="B56" s="211">
        <v>52</v>
      </c>
      <c r="C56" s="220" t="s">
        <v>530</v>
      </c>
      <c r="D56" s="216">
        <v>35.1</v>
      </c>
      <c r="E56" s="218" t="s">
        <v>60</v>
      </c>
      <c r="F56" s="238">
        <v>1705</v>
      </c>
      <c r="G56" s="238">
        <f t="shared" si="1"/>
        <v>59845.5</v>
      </c>
      <c r="H56" s="239"/>
    </row>
    <row r="57" spans="2:8" ht="52">
      <c r="B57" s="211">
        <v>53</v>
      </c>
      <c r="C57" s="212" t="s">
        <v>283</v>
      </c>
      <c r="D57" s="213">
        <v>20</v>
      </c>
      <c r="E57" s="211" t="s">
        <v>60</v>
      </c>
      <c r="F57" s="237">
        <v>225</v>
      </c>
      <c r="G57" s="238">
        <f t="shared" si="1"/>
        <v>4500</v>
      </c>
      <c r="H57" s="239"/>
    </row>
    <row r="58" spans="2:8" ht="52">
      <c r="B58" s="211">
        <v>54</v>
      </c>
      <c r="C58" s="212" t="s">
        <v>284</v>
      </c>
      <c r="D58" s="226">
        <v>190</v>
      </c>
      <c r="E58" s="211" t="s">
        <v>60</v>
      </c>
      <c r="F58" s="237">
        <v>240</v>
      </c>
      <c r="G58" s="238">
        <f t="shared" si="1"/>
        <v>45600</v>
      </c>
      <c r="H58" s="239" t="s">
        <v>518</v>
      </c>
    </row>
    <row r="59" spans="2:8" ht="117">
      <c r="B59" s="211">
        <v>55</v>
      </c>
      <c r="C59" s="227" t="s">
        <v>296</v>
      </c>
      <c r="D59" s="216">
        <v>12</v>
      </c>
      <c r="E59" s="218" t="s">
        <v>14</v>
      </c>
      <c r="F59" s="238">
        <v>27000</v>
      </c>
      <c r="G59" s="238">
        <f t="shared" si="1"/>
        <v>324000</v>
      </c>
      <c r="H59" s="239"/>
    </row>
    <row r="60" spans="2:8" ht="39">
      <c r="B60" s="211">
        <v>56</v>
      </c>
      <c r="C60" s="228" t="s">
        <v>297</v>
      </c>
      <c r="D60" s="216">
        <v>14</v>
      </c>
      <c r="E60" s="218" t="s">
        <v>14</v>
      </c>
      <c r="F60" s="238">
        <v>6015</v>
      </c>
      <c r="G60" s="238">
        <f t="shared" si="1"/>
        <v>84210</v>
      </c>
      <c r="H60" s="239"/>
    </row>
    <row r="61" spans="2:8">
      <c r="B61" s="211">
        <v>57</v>
      </c>
      <c r="C61" s="228" t="s">
        <v>298</v>
      </c>
      <c r="D61" s="216">
        <v>14</v>
      </c>
      <c r="E61" s="218" t="s">
        <v>14</v>
      </c>
      <c r="F61" s="238">
        <v>285</v>
      </c>
      <c r="G61" s="238">
        <f t="shared" si="1"/>
        <v>3990</v>
      </c>
      <c r="H61" s="239"/>
    </row>
    <row r="62" spans="2:8">
      <c r="B62" s="211">
        <v>58</v>
      </c>
      <c r="C62" s="228" t="s">
        <v>299</v>
      </c>
      <c r="D62" s="216">
        <v>14</v>
      </c>
      <c r="E62" s="218" t="s">
        <v>14</v>
      </c>
      <c r="F62" s="238">
        <v>375</v>
      </c>
      <c r="G62" s="238">
        <f t="shared" si="1"/>
        <v>5250</v>
      </c>
      <c r="H62" s="239"/>
    </row>
    <row r="63" spans="2:8" ht="52">
      <c r="B63" s="211">
        <v>59</v>
      </c>
      <c r="C63" s="229" t="s">
        <v>300</v>
      </c>
      <c r="D63" s="216">
        <v>30</v>
      </c>
      <c r="E63" s="218" t="s">
        <v>14</v>
      </c>
      <c r="F63" s="238">
        <v>1644</v>
      </c>
      <c r="G63" s="238">
        <f t="shared" si="1"/>
        <v>49320</v>
      </c>
      <c r="H63" s="239"/>
    </row>
    <row r="64" spans="2:8" ht="39">
      <c r="B64" s="211">
        <v>60</v>
      </c>
      <c r="C64" s="230" t="s">
        <v>301</v>
      </c>
      <c r="D64" s="216">
        <v>14</v>
      </c>
      <c r="E64" s="218" t="s">
        <v>14</v>
      </c>
      <c r="F64" s="238">
        <v>215</v>
      </c>
      <c r="G64" s="238">
        <f t="shared" ref="G64:G90" si="2">D64*F64</f>
        <v>3010</v>
      </c>
      <c r="H64" s="239"/>
    </row>
    <row r="65" spans="2:8">
      <c r="B65" s="211">
        <v>61</v>
      </c>
      <c r="C65" s="229" t="s">
        <v>302</v>
      </c>
      <c r="D65" s="216">
        <v>1</v>
      </c>
      <c r="E65" s="218" t="s">
        <v>14</v>
      </c>
      <c r="F65" s="238">
        <v>11250</v>
      </c>
      <c r="G65" s="238">
        <f t="shared" si="2"/>
        <v>11250</v>
      </c>
      <c r="H65" s="239"/>
    </row>
    <row r="66" spans="2:8" ht="78">
      <c r="B66" s="211">
        <v>62</v>
      </c>
      <c r="C66" s="229" t="s">
        <v>431</v>
      </c>
      <c r="D66" s="216">
        <v>1</v>
      </c>
      <c r="E66" s="218" t="s">
        <v>14</v>
      </c>
      <c r="F66" s="238">
        <v>16500</v>
      </c>
      <c r="G66" s="238">
        <f t="shared" si="2"/>
        <v>16500</v>
      </c>
      <c r="H66" s="239"/>
    </row>
    <row r="67" spans="2:8" ht="26">
      <c r="B67" s="211">
        <v>63</v>
      </c>
      <c r="C67" s="233" t="s">
        <v>314</v>
      </c>
      <c r="D67" s="209">
        <v>74.099999999999994</v>
      </c>
      <c r="E67" s="218" t="s">
        <v>60</v>
      </c>
      <c r="F67" s="238"/>
      <c r="G67" s="238">
        <f t="shared" si="2"/>
        <v>0</v>
      </c>
      <c r="H67" s="239"/>
    </row>
    <row r="68" spans="2:8" ht="78">
      <c r="B68" s="211">
        <v>64</v>
      </c>
      <c r="C68" s="231" t="s">
        <v>531</v>
      </c>
      <c r="D68" s="216">
        <v>13</v>
      </c>
      <c r="E68" s="218" t="s">
        <v>14</v>
      </c>
      <c r="F68" s="238">
        <v>1800</v>
      </c>
      <c r="G68" s="238">
        <f t="shared" si="2"/>
        <v>23400</v>
      </c>
      <c r="H68" s="239"/>
    </row>
    <row r="69" spans="2:8">
      <c r="B69" s="211">
        <v>65</v>
      </c>
      <c r="C69" s="214" t="s">
        <v>371</v>
      </c>
      <c r="D69" s="216">
        <v>10.66</v>
      </c>
      <c r="E69" s="218" t="s">
        <v>60</v>
      </c>
      <c r="F69" s="238">
        <v>1775</v>
      </c>
      <c r="G69" s="238">
        <f t="shared" si="2"/>
        <v>18921.5</v>
      </c>
      <c r="H69" s="239"/>
    </row>
    <row r="70" spans="2:8" ht="26">
      <c r="B70" s="211">
        <v>66</v>
      </c>
      <c r="C70" s="214" t="s">
        <v>372</v>
      </c>
      <c r="D70" s="216">
        <v>1</v>
      </c>
      <c r="E70" s="218" t="s">
        <v>201</v>
      </c>
      <c r="F70" s="238">
        <v>14400</v>
      </c>
      <c r="G70" s="238">
        <f t="shared" si="2"/>
        <v>14400</v>
      </c>
      <c r="H70" s="239"/>
    </row>
    <row r="71" spans="2:8">
      <c r="B71" s="211">
        <v>67</v>
      </c>
      <c r="C71" s="214" t="s">
        <v>373</v>
      </c>
      <c r="D71" s="216">
        <v>2.89</v>
      </c>
      <c r="E71" s="218" t="s">
        <v>60</v>
      </c>
      <c r="F71" s="238">
        <v>1775</v>
      </c>
      <c r="G71" s="238">
        <f t="shared" si="2"/>
        <v>5129.75</v>
      </c>
      <c r="H71" s="239"/>
    </row>
    <row r="72" spans="2:8">
      <c r="B72" s="211">
        <v>68</v>
      </c>
      <c r="C72" s="214" t="s">
        <v>16</v>
      </c>
      <c r="D72" s="216">
        <v>1</v>
      </c>
      <c r="E72" s="218" t="s">
        <v>14</v>
      </c>
      <c r="F72" s="238">
        <v>243505</v>
      </c>
      <c r="G72" s="238">
        <f t="shared" si="2"/>
        <v>243505</v>
      </c>
      <c r="H72" s="239"/>
    </row>
    <row r="73" spans="2:8">
      <c r="B73" s="211">
        <v>69</v>
      </c>
      <c r="C73" s="212" t="s">
        <v>285</v>
      </c>
      <c r="D73" s="213">
        <v>48</v>
      </c>
      <c r="E73" s="211" t="s">
        <v>60</v>
      </c>
      <c r="F73" s="237">
        <v>300</v>
      </c>
      <c r="G73" s="238">
        <f t="shared" si="2"/>
        <v>14400</v>
      </c>
      <c r="H73" s="239"/>
    </row>
    <row r="74" spans="2:8">
      <c r="B74" s="211">
        <v>70</v>
      </c>
      <c r="C74" s="214" t="s">
        <v>347</v>
      </c>
      <c r="D74" s="216">
        <v>1</v>
      </c>
      <c r="E74" s="218" t="s">
        <v>14</v>
      </c>
      <c r="F74" s="238">
        <v>111340</v>
      </c>
      <c r="G74" s="238">
        <f t="shared" si="2"/>
        <v>111340</v>
      </c>
      <c r="H74" s="239"/>
    </row>
    <row r="75" spans="2:8" ht="39">
      <c r="B75" s="211">
        <v>71</v>
      </c>
      <c r="C75" s="220" t="s">
        <v>310</v>
      </c>
      <c r="D75" s="234">
        <v>92.2</v>
      </c>
      <c r="E75" s="218" t="s">
        <v>312</v>
      </c>
      <c r="F75" s="238">
        <v>285</v>
      </c>
      <c r="G75" s="238">
        <f t="shared" si="2"/>
        <v>26277</v>
      </c>
      <c r="H75" s="1233" t="s">
        <v>539</v>
      </c>
    </row>
    <row r="76" spans="2:8" ht="39">
      <c r="B76" s="211">
        <v>72</v>
      </c>
      <c r="C76" s="220" t="s">
        <v>311</v>
      </c>
      <c r="D76" s="234">
        <v>25.5</v>
      </c>
      <c r="E76" s="218" t="s">
        <v>312</v>
      </c>
      <c r="F76" s="238">
        <v>285</v>
      </c>
      <c r="G76" s="238">
        <f t="shared" si="2"/>
        <v>7267.5</v>
      </c>
      <c r="H76" s="1233"/>
    </row>
    <row r="77" spans="2:8">
      <c r="B77" s="211">
        <v>73</v>
      </c>
      <c r="C77" s="233" t="s">
        <v>313</v>
      </c>
      <c r="D77" s="209">
        <v>2</v>
      </c>
      <c r="E77" s="218" t="s">
        <v>14</v>
      </c>
      <c r="F77" s="238">
        <v>9750</v>
      </c>
      <c r="G77" s="238">
        <f t="shared" si="2"/>
        <v>19500</v>
      </c>
      <c r="H77" s="239"/>
    </row>
    <row r="78" spans="2:8" ht="52">
      <c r="B78" s="211">
        <v>74</v>
      </c>
      <c r="C78" s="229" t="s">
        <v>315</v>
      </c>
      <c r="D78" s="232">
        <v>3.95</v>
      </c>
      <c r="E78" s="218" t="s">
        <v>60</v>
      </c>
      <c r="F78" s="238">
        <v>495</v>
      </c>
      <c r="G78" s="238">
        <f t="shared" si="2"/>
        <v>1955.25</v>
      </c>
      <c r="H78" s="239" t="s">
        <v>516</v>
      </c>
    </row>
    <row r="79" spans="2:8" ht="39">
      <c r="B79" s="211">
        <v>75</v>
      </c>
      <c r="C79" s="214" t="s">
        <v>532</v>
      </c>
      <c r="D79" s="215">
        <v>1</v>
      </c>
      <c r="E79" s="209" t="s">
        <v>222</v>
      </c>
      <c r="F79" s="243">
        <v>175180</v>
      </c>
      <c r="G79" s="238">
        <f t="shared" si="2"/>
        <v>175180</v>
      </c>
      <c r="H79" s="244"/>
    </row>
    <row r="80" spans="2:8" ht="52">
      <c r="B80" s="211">
        <v>76</v>
      </c>
      <c r="C80" s="214" t="s">
        <v>533</v>
      </c>
      <c r="D80" s="215">
        <v>1</v>
      </c>
      <c r="E80" s="209" t="s">
        <v>222</v>
      </c>
      <c r="F80" s="243">
        <v>9620</v>
      </c>
      <c r="G80" s="238">
        <f t="shared" si="2"/>
        <v>9620</v>
      </c>
      <c r="H80" s="244"/>
    </row>
    <row r="81" spans="2:8" ht="39">
      <c r="B81" s="211">
        <v>77</v>
      </c>
      <c r="C81" s="214" t="s">
        <v>534</v>
      </c>
      <c r="D81" s="215">
        <v>1</v>
      </c>
      <c r="E81" s="209" t="s">
        <v>222</v>
      </c>
      <c r="F81" s="243">
        <v>175180</v>
      </c>
      <c r="G81" s="238">
        <f t="shared" si="2"/>
        <v>175180</v>
      </c>
      <c r="H81" s="244"/>
    </row>
    <row r="82" spans="2:8" ht="39">
      <c r="B82" s="211">
        <v>78</v>
      </c>
      <c r="C82" s="214" t="s">
        <v>535</v>
      </c>
      <c r="D82" s="215">
        <v>1</v>
      </c>
      <c r="E82" s="209" t="s">
        <v>222</v>
      </c>
      <c r="F82" s="243">
        <v>175180</v>
      </c>
      <c r="G82" s="238">
        <f t="shared" si="2"/>
        <v>175180</v>
      </c>
      <c r="H82" s="244"/>
    </row>
    <row r="83" spans="2:8" ht="65">
      <c r="B83" s="252">
        <v>79</v>
      </c>
      <c r="C83" s="221" t="s">
        <v>536</v>
      </c>
      <c r="D83" s="253">
        <v>1</v>
      </c>
      <c r="E83" s="254" t="s">
        <v>222</v>
      </c>
      <c r="F83" s="255">
        <v>17950</v>
      </c>
      <c r="G83" s="242">
        <f t="shared" si="2"/>
        <v>17950</v>
      </c>
      <c r="H83" s="256"/>
    </row>
    <row r="84" spans="2:8" ht="39">
      <c r="B84" s="211">
        <v>80</v>
      </c>
      <c r="C84" s="214" t="s">
        <v>537</v>
      </c>
      <c r="D84" s="215">
        <v>6</v>
      </c>
      <c r="E84" s="209" t="s">
        <v>14</v>
      </c>
      <c r="F84" s="243">
        <v>12470</v>
      </c>
      <c r="G84" s="238">
        <f t="shared" si="2"/>
        <v>74820</v>
      </c>
      <c r="H84" s="244"/>
    </row>
    <row r="85" spans="2:8" ht="26">
      <c r="B85" s="211">
        <v>81</v>
      </c>
      <c r="C85" s="214" t="s">
        <v>538</v>
      </c>
      <c r="D85" s="215">
        <v>3</v>
      </c>
      <c r="E85" s="209" t="s">
        <v>375</v>
      </c>
      <c r="F85" s="243">
        <v>930</v>
      </c>
      <c r="G85" s="238">
        <f t="shared" si="2"/>
        <v>2790</v>
      </c>
      <c r="H85" s="244"/>
    </row>
    <row r="86" spans="2:8">
      <c r="B86" s="211">
        <v>82</v>
      </c>
      <c r="C86" s="212" t="s">
        <v>340</v>
      </c>
      <c r="D86" s="213">
        <v>12</v>
      </c>
      <c r="E86" s="211" t="s">
        <v>14</v>
      </c>
      <c r="F86" s="245"/>
      <c r="G86" s="238">
        <f t="shared" si="2"/>
        <v>0</v>
      </c>
      <c r="H86" s="244"/>
    </row>
    <row r="87" spans="2:8">
      <c r="B87" s="211">
        <v>83</v>
      </c>
      <c r="C87" s="212" t="s">
        <v>29</v>
      </c>
      <c r="D87" s="213">
        <v>12</v>
      </c>
      <c r="E87" s="211" t="s">
        <v>14</v>
      </c>
      <c r="F87" s="245"/>
      <c r="G87" s="238">
        <f t="shared" si="2"/>
        <v>0</v>
      </c>
      <c r="H87" s="244"/>
    </row>
    <row r="88" spans="2:8">
      <c r="B88" s="211">
        <v>84</v>
      </c>
      <c r="C88" s="212" t="s">
        <v>26</v>
      </c>
      <c r="D88" s="209">
        <v>4</v>
      </c>
      <c r="E88" s="209" t="s">
        <v>14</v>
      </c>
      <c r="F88" s="292">
        <v>29250</v>
      </c>
      <c r="G88" s="238">
        <f t="shared" si="2"/>
        <v>117000</v>
      </c>
      <c r="H88" s="244"/>
    </row>
    <row r="89" spans="2:8">
      <c r="B89" s="211">
        <v>85</v>
      </c>
      <c r="C89" s="212" t="s">
        <v>339</v>
      </c>
      <c r="D89" s="209">
        <v>4</v>
      </c>
      <c r="E89" s="209" t="s">
        <v>14</v>
      </c>
      <c r="F89" s="292">
        <v>17850</v>
      </c>
      <c r="G89" s="238">
        <f t="shared" si="2"/>
        <v>71400</v>
      </c>
      <c r="H89" s="244"/>
    </row>
    <row r="90" spans="2:8">
      <c r="B90" s="211">
        <v>86</v>
      </c>
      <c r="C90" s="214" t="s">
        <v>341</v>
      </c>
      <c r="D90" s="209">
        <v>2</v>
      </c>
      <c r="E90" s="209" t="s">
        <v>14</v>
      </c>
      <c r="F90" s="292">
        <v>33000</v>
      </c>
      <c r="G90" s="238">
        <f t="shared" si="2"/>
        <v>66000</v>
      </c>
      <c r="H90" s="244"/>
    </row>
    <row r="91" spans="2:8">
      <c r="B91" s="210"/>
      <c r="C91" s="214"/>
      <c r="D91" s="209"/>
      <c r="E91" s="209"/>
      <c r="F91" s="292"/>
      <c r="G91" s="246">
        <f>SUM(G3:G87)</f>
        <v>4170176.9049999998</v>
      </c>
      <c r="H91" s="244"/>
    </row>
  </sheetData>
  <mergeCells count="2">
    <mergeCell ref="B2:H2"/>
    <mergeCell ref="H75:H76"/>
  </mergeCells>
  <conditionalFormatting sqref="C20:F30 B3:E6 C88:E88 C7:E19 F88:F90 C87:F87 H87:H88 G87:G91 C77:H86 C76:G76 B33:B90 F3:F14 C33:H75 G3:H30 B7:B30">
    <cfRule type="expression" dxfId="18" priority="9">
      <formula>ROW()=CELL("row")</formula>
    </cfRule>
  </conditionalFormatting>
  <conditionalFormatting sqref="F20:F30 F33:F53">
    <cfRule type="cellIs" dxfId="17" priority="8" operator="equal">
      <formula>0</formula>
    </cfRule>
  </conditionalFormatting>
  <conditionalFormatting sqref="F15:F19">
    <cfRule type="cellIs" dxfId="16" priority="7" operator="equal">
      <formula>0</formula>
    </cfRule>
  </conditionalFormatting>
  <conditionalFormatting sqref="F15:F19">
    <cfRule type="expression" dxfId="15" priority="6">
      <formula>ROW()=CELL("row")</formula>
    </cfRule>
  </conditionalFormatting>
  <conditionalFormatting sqref="F54:F56">
    <cfRule type="cellIs" dxfId="14" priority="5" operator="equal">
      <formula>0</formula>
    </cfRule>
  </conditionalFormatting>
  <conditionalFormatting sqref="F57:F71">
    <cfRule type="cellIs" dxfId="13" priority="4" operator="equal">
      <formula>0</formula>
    </cfRule>
  </conditionalFormatting>
  <conditionalFormatting sqref="F73:F78">
    <cfRule type="cellIs" dxfId="12" priority="3" operator="equal">
      <formula>0</formula>
    </cfRule>
  </conditionalFormatting>
  <conditionalFormatting sqref="D32:H32">
    <cfRule type="expression" dxfId="11" priority="2">
      <formula>ROW()=CELL("row")</formula>
    </cfRule>
  </conditionalFormatting>
  <conditionalFormatting sqref="F32">
    <cfRule type="cellIs" dxfId="10" priority="1" operator="equal">
      <formula>0</formula>
    </cfRule>
  </conditionalFormatting>
  <pageMargins left="0.7" right="0.7" top="0.75" bottom="0.75" header="0.3" footer="0.3"/>
  <pageSetup paperSize="9" scale="8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P91"/>
  <sheetViews>
    <sheetView zoomScaleNormal="100" workbookViewId="0">
      <selection activeCell="F7" sqref="F7"/>
    </sheetView>
  </sheetViews>
  <sheetFormatPr defaultColWidth="8.796875" defaultRowHeight="13"/>
  <cols>
    <col min="1" max="1" width="8.796875" style="208"/>
    <col min="2" max="2" width="3.296875" style="208" bestFit="1" customWidth="1"/>
    <col min="3" max="3" width="46.796875" style="236" customWidth="1"/>
    <col min="4" max="4" width="7.5" style="235" bestFit="1" customWidth="1"/>
    <col min="5" max="5" width="5.5" style="235" bestFit="1" customWidth="1"/>
    <col min="6" max="6" width="12.296875" style="235" bestFit="1" customWidth="1"/>
    <col min="7" max="7" width="14.296875" style="235" bestFit="1" customWidth="1"/>
    <col min="8" max="8" width="17.19921875" style="208" customWidth="1"/>
    <col min="9" max="10" width="18.69921875" style="265" customWidth="1"/>
    <col min="11" max="14" width="9.796875" style="208" bestFit="1" customWidth="1"/>
    <col min="15" max="15" width="11.296875" style="208" bestFit="1" customWidth="1"/>
    <col min="16" max="16" width="12.296875" style="208" bestFit="1" customWidth="1"/>
    <col min="17" max="16384" width="8.796875" style="208"/>
  </cols>
  <sheetData>
    <row r="1" spans="2:16">
      <c r="B1" s="1232" t="s">
        <v>517</v>
      </c>
      <c r="C1" s="1232"/>
      <c r="D1" s="1232"/>
      <c r="E1" s="1232"/>
      <c r="F1" s="1232"/>
      <c r="G1" s="1232"/>
      <c r="H1" s="1232"/>
      <c r="I1" s="260"/>
      <c r="J1" s="260"/>
    </row>
    <row r="2" spans="2:16">
      <c r="B2" s="211">
        <v>1</v>
      </c>
      <c r="C2" s="212" t="s">
        <v>329</v>
      </c>
      <c r="D2" s="213">
        <v>5</v>
      </c>
      <c r="E2" s="211" t="s">
        <v>14</v>
      </c>
      <c r="F2" s="288">
        <v>39000</v>
      </c>
      <c r="G2" s="238">
        <f t="shared" ref="G2:G29" si="0">D2*F2</f>
        <v>195000</v>
      </c>
      <c r="H2" s="239"/>
      <c r="I2" s="261"/>
      <c r="J2" s="261"/>
      <c r="K2" s="251">
        <f t="shared" ref="K2:K29" si="1">F2*0.1</f>
        <v>3900</v>
      </c>
      <c r="L2" s="251">
        <f t="shared" ref="L2:L29" si="2">F2*0.1365</f>
        <v>5323.5</v>
      </c>
      <c r="M2" s="251">
        <f t="shared" ref="M2:M29" si="3">F2*0.1</f>
        <v>3900</v>
      </c>
      <c r="N2" s="251">
        <f>SUM(K2:M2)</f>
        <v>13123.5</v>
      </c>
      <c r="O2" s="251">
        <f t="shared" ref="O2:O29" si="4">F2+N2</f>
        <v>52123.5</v>
      </c>
      <c r="P2" s="251">
        <f t="shared" ref="P2:P29" si="5">O2*D2</f>
        <v>260617.5</v>
      </c>
    </row>
    <row r="3" spans="2:16">
      <c r="B3" s="211">
        <v>2</v>
      </c>
      <c r="C3" s="212" t="s">
        <v>330</v>
      </c>
      <c r="D3" s="213">
        <v>5</v>
      </c>
      <c r="E3" s="211" t="s">
        <v>14</v>
      </c>
      <c r="F3" s="288">
        <v>9000</v>
      </c>
      <c r="G3" s="238">
        <f t="shared" si="0"/>
        <v>45000</v>
      </c>
      <c r="H3" s="239"/>
      <c r="I3" s="261"/>
      <c r="J3" s="261"/>
      <c r="K3" s="251">
        <f t="shared" si="1"/>
        <v>900</v>
      </c>
      <c r="L3" s="251">
        <f t="shared" si="2"/>
        <v>1228.5</v>
      </c>
      <c r="M3" s="251">
        <f t="shared" si="3"/>
        <v>900</v>
      </c>
      <c r="N3" s="251">
        <f t="shared" ref="N3:N66" si="6">SUM(K3:M3)</f>
        <v>3028.5</v>
      </c>
      <c r="O3" s="251">
        <f t="shared" si="4"/>
        <v>12028.5</v>
      </c>
      <c r="P3" s="251">
        <f t="shared" si="5"/>
        <v>60142.5</v>
      </c>
    </row>
    <row r="4" spans="2:16">
      <c r="B4" s="211">
        <v>3</v>
      </c>
      <c r="C4" s="212" t="s">
        <v>316</v>
      </c>
      <c r="D4" s="213">
        <v>1</v>
      </c>
      <c r="E4" s="211" t="s">
        <v>14</v>
      </c>
      <c r="F4" s="288">
        <v>32000</v>
      </c>
      <c r="G4" s="238">
        <f t="shared" si="0"/>
        <v>32000</v>
      </c>
      <c r="H4" s="239"/>
      <c r="I4" s="261"/>
      <c r="J4" s="261"/>
      <c r="K4" s="251">
        <f t="shared" si="1"/>
        <v>3200</v>
      </c>
      <c r="L4" s="251">
        <f t="shared" si="2"/>
        <v>4368</v>
      </c>
      <c r="M4" s="251">
        <f t="shared" si="3"/>
        <v>3200</v>
      </c>
      <c r="N4" s="251">
        <f t="shared" si="6"/>
        <v>10768</v>
      </c>
      <c r="O4" s="251">
        <f t="shared" si="4"/>
        <v>42768</v>
      </c>
      <c r="P4" s="251">
        <f t="shared" si="5"/>
        <v>42768</v>
      </c>
    </row>
    <row r="5" spans="2:16">
      <c r="B5" s="211">
        <v>4</v>
      </c>
      <c r="C5" s="212" t="s">
        <v>331</v>
      </c>
      <c r="D5" s="213">
        <v>1</v>
      </c>
      <c r="E5" s="211" t="s">
        <v>14</v>
      </c>
      <c r="F5" s="288">
        <v>97000</v>
      </c>
      <c r="G5" s="238">
        <f t="shared" si="0"/>
        <v>97000</v>
      </c>
      <c r="H5" s="239"/>
      <c r="I5" s="261"/>
      <c r="J5" s="261"/>
      <c r="K5" s="251">
        <f t="shared" si="1"/>
        <v>9700</v>
      </c>
      <c r="L5" s="251">
        <f t="shared" si="2"/>
        <v>13240.500000000002</v>
      </c>
      <c r="M5" s="251">
        <f t="shared" si="3"/>
        <v>9700</v>
      </c>
      <c r="N5" s="251">
        <f t="shared" si="6"/>
        <v>32640.5</v>
      </c>
      <c r="O5" s="251">
        <f t="shared" si="4"/>
        <v>129640.5</v>
      </c>
      <c r="P5" s="251">
        <f t="shared" si="5"/>
        <v>129640.5</v>
      </c>
    </row>
    <row r="6" spans="2:16">
      <c r="B6" s="211">
        <v>5</v>
      </c>
      <c r="C6" s="212" t="s">
        <v>332</v>
      </c>
      <c r="D6" s="213">
        <v>1</v>
      </c>
      <c r="E6" s="211" t="s">
        <v>14</v>
      </c>
      <c r="F6" s="288">
        <v>29000</v>
      </c>
      <c r="G6" s="238">
        <f t="shared" si="0"/>
        <v>29000</v>
      </c>
      <c r="H6" s="239"/>
      <c r="I6" s="261"/>
      <c r="J6" s="261"/>
      <c r="K6" s="251">
        <f t="shared" si="1"/>
        <v>2900</v>
      </c>
      <c r="L6" s="251">
        <f t="shared" si="2"/>
        <v>3958.5000000000005</v>
      </c>
      <c r="M6" s="251">
        <f t="shared" si="3"/>
        <v>2900</v>
      </c>
      <c r="N6" s="251">
        <f t="shared" si="6"/>
        <v>9758.5</v>
      </c>
      <c r="O6" s="251">
        <f t="shared" si="4"/>
        <v>38758.5</v>
      </c>
      <c r="P6" s="251">
        <f t="shared" si="5"/>
        <v>38758.5</v>
      </c>
    </row>
    <row r="7" spans="2:16">
      <c r="B7" s="211">
        <v>6</v>
      </c>
      <c r="C7" s="212" t="s">
        <v>32</v>
      </c>
      <c r="D7" s="213">
        <v>1</v>
      </c>
      <c r="E7" s="211" t="s">
        <v>14</v>
      </c>
      <c r="F7" s="288">
        <v>16200</v>
      </c>
      <c r="G7" s="238">
        <f t="shared" si="0"/>
        <v>16200</v>
      </c>
      <c r="H7" s="239"/>
      <c r="I7" s="261"/>
      <c r="J7" s="261"/>
      <c r="K7" s="251">
        <f t="shared" si="1"/>
        <v>1620</v>
      </c>
      <c r="L7" s="251">
        <f t="shared" si="2"/>
        <v>2211.3000000000002</v>
      </c>
      <c r="M7" s="251">
        <f t="shared" si="3"/>
        <v>1620</v>
      </c>
      <c r="N7" s="251">
        <f t="shared" si="6"/>
        <v>5451.3</v>
      </c>
      <c r="O7" s="251">
        <f t="shared" si="4"/>
        <v>21651.3</v>
      </c>
      <c r="P7" s="251">
        <f t="shared" si="5"/>
        <v>21651.3</v>
      </c>
    </row>
    <row r="8" spans="2:16">
      <c r="B8" s="211">
        <v>7</v>
      </c>
      <c r="C8" s="212" t="s">
        <v>392</v>
      </c>
      <c r="D8" s="213">
        <v>1</v>
      </c>
      <c r="E8" s="211" t="s">
        <v>14</v>
      </c>
      <c r="F8" s="288"/>
      <c r="G8" s="238">
        <f t="shared" si="0"/>
        <v>0</v>
      </c>
      <c r="H8" s="239"/>
      <c r="I8" s="261"/>
      <c r="J8" s="261"/>
      <c r="K8" s="251">
        <f t="shared" si="1"/>
        <v>0</v>
      </c>
      <c r="L8" s="251">
        <f t="shared" si="2"/>
        <v>0</v>
      </c>
      <c r="M8" s="251">
        <f t="shared" si="3"/>
        <v>0</v>
      </c>
      <c r="N8" s="251">
        <f t="shared" si="6"/>
        <v>0</v>
      </c>
      <c r="O8" s="251">
        <f t="shared" si="4"/>
        <v>0</v>
      </c>
      <c r="P8" s="251">
        <f t="shared" si="5"/>
        <v>0</v>
      </c>
    </row>
    <row r="9" spans="2:16">
      <c r="B9" s="211">
        <v>8</v>
      </c>
      <c r="C9" s="212" t="s">
        <v>334</v>
      </c>
      <c r="D9" s="213">
        <v>1</v>
      </c>
      <c r="E9" s="211" t="s">
        <v>14</v>
      </c>
      <c r="F9" s="288">
        <v>46000</v>
      </c>
      <c r="G9" s="238">
        <f t="shared" si="0"/>
        <v>46000</v>
      </c>
      <c r="H9" s="239"/>
      <c r="I9" s="261"/>
      <c r="J9" s="261"/>
      <c r="K9" s="251">
        <f t="shared" si="1"/>
        <v>4600</v>
      </c>
      <c r="L9" s="251">
        <f t="shared" si="2"/>
        <v>6279.0000000000009</v>
      </c>
      <c r="M9" s="251">
        <f t="shared" si="3"/>
        <v>4600</v>
      </c>
      <c r="N9" s="251">
        <f t="shared" si="6"/>
        <v>15479</v>
      </c>
      <c r="O9" s="251">
        <f t="shared" si="4"/>
        <v>61479</v>
      </c>
      <c r="P9" s="251">
        <f t="shared" si="5"/>
        <v>61479</v>
      </c>
    </row>
    <row r="10" spans="2:16">
      <c r="B10" s="211">
        <v>9</v>
      </c>
      <c r="C10" s="212" t="s">
        <v>336</v>
      </c>
      <c r="D10" s="213">
        <v>2</v>
      </c>
      <c r="E10" s="211" t="s">
        <v>14</v>
      </c>
      <c r="F10" s="288">
        <v>2100</v>
      </c>
      <c r="G10" s="238">
        <f t="shared" si="0"/>
        <v>4200</v>
      </c>
      <c r="H10" s="239"/>
      <c r="I10" s="261"/>
      <c r="J10" s="261"/>
      <c r="K10" s="251">
        <f t="shared" si="1"/>
        <v>210</v>
      </c>
      <c r="L10" s="251">
        <f t="shared" si="2"/>
        <v>286.65000000000003</v>
      </c>
      <c r="M10" s="251">
        <f t="shared" si="3"/>
        <v>210</v>
      </c>
      <c r="N10" s="251">
        <f t="shared" si="6"/>
        <v>706.65000000000009</v>
      </c>
      <c r="O10" s="251">
        <f t="shared" si="4"/>
        <v>2806.65</v>
      </c>
      <c r="P10" s="251">
        <f t="shared" si="5"/>
        <v>5613.3</v>
      </c>
    </row>
    <row r="11" spans="2:16">
      <c r="B11" s="211">
        <v>10</v>
      </c>
      <c r="C11" s="212" t="s">
        <v>337</v>
      </c>
      <c r="D11" s="213">
        <v>2</v>
      </c>
      <c r="E11" s="211" t="s">
        <v>14</v>
      </c>
      <c r="F11" s="288">
        <v>14500</v>
      </c>
      <c r="G11" s="238">
        <f t="shared" si="0"/>
        <v>29000</v>
      </c>
      <c r="H11" s="239"/>
      <c r="I11" s="261"/>
      <c r="J11" s="261"/>
      <c r="K11" s="251">
        <f t="shared" si="1"/>
        <v>1450</v>
      </c>
      <c r="L11" s="251">
        <f t="shared" si="2"/>
        <v>1979.2500000000002</v>
      </c>
      <c r="M11" s="251">
        <f t="shared" si="3"/>
        <v>1450</v>
      </c>
      <c r="N11" s="251">
        <f t="shared" si="6"/>
        <v>4879.25</v>
      </c>
      <c r="O11" s="251">
        <f t="shared" si="4"/>
        <v>19379.25</v>
      </c>
      <c r="P11" s="251">
        <f t="shared" si="5"/>
        <v>38758.5</v>
      </c>
    </row>
    <row r="12" spans="2:16">
      <c r="B12" s="211">
        <v>11</v>
      </c>
      <c r="C12" s="212" t="s">
        <v>338</v>
      </c>
      <c r="D12" s="213">
        <v>2</v>
      </c>
      <c r="E12" s="211" t="s">
        <v>14</v>
      </c>
      <c r="F12" s="288">
        <v>22500</v>
      </c>
      <c r="G12" s="238">
        <f t="shared" si="0"/>
        <v>45000</v>
      </c>
      <c r="H12" s="239"/>
      <c r="I12" s="261"/>
      <c r="J12" s="261"/>
      <c r="K12" s="251">
        <f t="shared" si="1"/>
        <v>2250</v>
      </c>
      <c r="L12" s="251">
        <f t="shared" si="2"/>
        <v>3071.2500000000005</v>
      </c>
      <c r="M12" s="251">
        <f t="shared" si="3"/>
        <v>2250</v>
      </c>
      <c r="N12" s="251">
        <f t="shared" si="6"/>
        <v>7571.25</v>
      </c>
      <c r="O12" s="251">
        <f t="shared" si="4"/>
        <v>30071.25</v>
      </c>
      <c r="P12" s="251">
        <f t="shared" si="5"/>
        <v>60142.5</v>
      </c>
    </row>
    <row r="13" spans="2:16">
      <c r="B13" s="211">
        <v>12</v>
      </c>
      <c r="C13" s="214" t="s">
        <v>342</v>
      </c>
      <c r="D13" s="215">
        <v>5</v>
      </c>
      <c r="E13" s="211" t="s">
        <v>14</v>
      </c>
      <c r="F13" s="288">
        <v>15400</v>
      </c>
      <c r="G13" s="238">
        <f t="shared" si="0"/>
        <v>77000</v>
      </c>
      <c r="H13" s="239"/>
      <c r="I13" s="261"/>
      <c r="J13" s="261"/>
      <c r="K13" s="251">
        <f t="shared" si="1"/>
        <v>1540</v>
      </c>
      <c r="L13" s="251">
        <f t="shared" si="2"/>
        <v>2102.1000000000004</v>
      </c>
      <c r="M13" s="251">
        <f t="shared" si="3"/>
        <v>1540</v>
      </c>
      <c r="N13" s="251">
        <f t="shared" si="6"/>
        <v>5182.1000000000004</v>
      </c>
      <c r="O13" s="251">
        <f t="shared" si="4"/>
        <v>20582.099999999999</v>
      </c>
      <c r="P13" s="251">
        <f t="shared" si="5"/>
        <v>102910.5</v>
      </c>
    </row>
    <row r="14" spans="2:16" ht="78">
      <c r="B14" s="266">
        <v>13</v>
      </c>
      <c r="C14" s="267" t="s">
        <v>386</v>
      </c>
      <c r="D14" s="219">
        <v>536.11</v>
      </c>
      <c r="E14" s="266" t="s">
        <v>62</v>
      </c>
      <c r="F14" s="268">
        <v>239</v>
      </c>
      <c r="G14" s="240">
        <f t="shared" si="0"/>
        <v>128130.29000000001</v>
      </c>
      <c r="H14" s="269" t="s">
        <v>279</v>
      </c>
      <c r="I14" s="270"/>
      <c r="J14" s="270"/>
      <c r="K14" s="251">
        <f t="shared" si="1"/>
        <v>23.900000000000002</v>
      </c>
      <c r="L14" s="251">
        <f t="shared" si="2"/>
        <v>32.6235</v>
      </c>
      <c r="M14" s="251">
        <f t="shared" si="3"/>
        <v>23.900000000000002</v>
      </c>
      <c r="N14" s="251">
        <f t="shared" si="6"/>
        <v>80.423500000000004</v>
      </c>
      <c r="O14" s="251">
        <f t="shared" si="4"/>
        <v>319.42349999999999</v>
      </c>
      <c r="P14" s="251">
        <f t="shared" si="5"/>
        <v>171246.13258499998</v>
      </c>
    </row>
    <row r="15" spans="2:16" ht="78">
      <c r="B15" s="211">
        <v>14</v>
      </c>
      <c r="C15" s="217" t="s">
        <v>317</v>
      </c>
      <c r="D15" s="250">
        <v>3.89</v>
      </c>
      <c r="E15" s="218" t="s">
        <v>57</v>
      </c>
      <c r="F15" s="240">
        <v>4440</v>
      </c>
      <c r="G15" s="238">
        <f t="shared" si="0"/>
        <v>17271.600000000002</v>
      </c>
      <c r="H15" s="239"/>
      <c r="I15" s="270"/>
      <c r="J15" s="270"/>
      <c r="K15" s="251">
        <f t="shared" si="1"/>
        <v>444</v>
      </c>
      <c r="L15" s="251">
        <f t="shared" si="2"/>
        <v>606.06000000000006</v>
      </c>
      <c r="M15" s="251">
        <f t="shared" si="3"/>
        <v>444</v>
      </c>
      <c r="N15" s="251">
        <f t="shared" si="6"/>
        <v>1494.06</v>
      </c>
      <c r="O15" s="251">
        <f t="shared" si="4"/>
        <v>5934.0599999999995</v>
      </c>
      <c r="P15" s="251">
        <f t="shared" si="5"/>
        <v>23083.493399999999</v>
      </c>
    </row>
    <row r="16" spans="2:16" ht="91">
      <c r="B16" s="211">
        <v>15</v>
      </c>
      <c r="C16" s="217" t="s">
        <v>318</v>
      </c>
      <c r="D16" s="249">
        <v>37.130000000000003</v>
      </c>
      <c r="E16" s="218" t="s">
        <v>62</v>
      </c>
      <c r="F16" s="238">
        <v>12</v>
      </c>
      <c r="G16" s="238">
        <f t="shared" si="0"/>
        <v>445.56000000000006</v>
      </c>
      <c r="H16" s="239"/>
      <c r="I16" s="270"/>
      <c r="J16" s="270"/>
      <c r="K16" s="251">
        <f t="shared" si="1"/>
        <v>1.2000000000000002</v>
      </c>
      <c r="L16" s="251">
        <f t="shared" si="2"/>
        <v>1.6380000000000001</v>
      </c>
      <c r="M16" s="251">
        <f t="shared" si="3"/>
        <v>1.2000000000000002</v>
      </c>
      <c r="N16" s="251">
        <f t="shared" si="6"/>
        <v>4.0380000000000003</v>
      </c>
      <c r="O16" s="251">
        <f t="shared" si="4"/>
        <v>16.038</v>
      </c>
      <c r="P16" s="251">
        <f t="shared" si="5"/>
        <v>595.49094000000002</v>
      </c>
    </row>
    <row r="17" spans="2:16" ht="91">
      <c r="B17" s="211">
        <v>16</v>
      </c>
      <c r="C17" s="217" t="s">
        <v>319</v>
      </c>
      <c r="D17" s="250">
        <v>0.7</v>
      </c>
      <c r="E17" s="218" t="s">
        <v>57</v>
      </c>
      <c r="F17" s="238">
        <v>4866</v>
      </c>
      <c r="G17" s="238">
        <f t="shared" si="0"/>
        <v>3406.2</v>
      </c>
      <c r="H17" s="239"/>
      <c r="I17" s="270"/>
      <c r="J17" s="270"/>
      <c r="K17" s="251">
        <f t="shared" si="1"/>
        <v>486.6</v>
      </c>
      <c r="L17" s="251">
        <f t="shared" si="2"/>
        <v>664.20900000000006</v>
      </c>
      <c r="M17" s="251">
        <f t="shared" si="3"/>
        <v>486.6</v>
      </c>
      <c r="N17" s="251">
        <f t="shared" si="6"/>
        <v>1637.4090000000001</v>
      </c>
      <c r="O17" s="251">
        <f t="shared" si="4"/>
        <v>6503.4089999999997</v>
      </c>
      <c r="P17" s="251">
        <f t="shared" si="5"/>
        <v>4552.3862999999992</v>
      </c>
    </row>
    <row r="18" spans="2:16" ht="195">
      <c r="B18" s="211">
        <v>17</v>
      </c>
      <c r="C18" s="220" t="s">
        <v>295</v>
      </c>
      <c r="D18" s="249">
        <v>107.18</v>
      </c>
      <c r="E18" s="218" t="s">
        <v>60</v>
      </c>
      <c r="F18" s="238">
        <v>172</v>
      </c>
      <c r="G18" s="238">
        <f t="shared" si="0"/>
        <v>18434.960000000003</v>
      </c>
      <c r="H18" s="239"/>
      <c r="I18" s="270"/>
      <c r="J18" s="270"/>
      <c r="K18" s="251">
        <f t="shared" si="1"/>
        <v>17.2</v>
      </c>
      <c r="L18" s="251">
        <f t="shared" si="2"/>
        <v>23.478000000000002</v>
      </c>
      <c r="M18" s="251">
        <f t="shared" si="3"/>
        <v>17.2</v>
      </c>
      <c r="N18" s="251">
        <f t="shared" si="6"/>
        <v>57.878</v>
      </c>
      <c r="O18" s="251">
        <f t="shared" si="4"/>
        <v>229.87799999999999</v>
      </c>
      <c r="P18" s="251">
        <f t="shared" si="5"/>
        <v>24638.32404</v>
      </c>
    </row>
    <row r="19" spans="2:16" ht="351">
      <c r="B19" s="211">
        <v>18</v>
      </c>
      <c r="C19" s="221" t="s">
        <v>15</v>
      </c>
      <c r="D19" s="216">
        <v>23.463000000000001</v>
      </c>
      <c r="E19" s="218" t="s">
        <v>62</v>
      </c>
      <c r="F19" s="241">
        <v>10165</v>
      </c>
      <c r="G19" s="238">
        <f t="shared" si="0"/>
        <v>238501.39500000002</v>
      </c>
      <c r="H19" s="239" t="s">
        <v>514</v>
      </c>
      <c r="I19" s="261"/>
      <c r="J19" s="261"/>
      <c r="K19" s="251">
        <f t="shared" si="1"/>
        <v>1016.5</v>
      </c>
      <c r="L19" s="251">
        <f t="shared" si="2"/>
        <v>1387.5225</v>
      </c>
      <c r="M19" s="251">
        <f t="shared" si="3"/>
        <v>1016.5</v>
      </c>
      <c r="N19" s="251">
        <f t="shared" si="6"/>
        <v>3420.5225</v>
      </c>
      <c r="O19" s="251">
        <f t="shared" si="4"/>
        <v>13585.522499999999</v>
      </c>
      <c r="P19" s="251">
        <f t="shared" si="5"/>
        <v>318757.11441749998</v>
      </c>
    </row>
    <row r="20" spans="2:16" ht="195">
      <c r="B20" s="211">
        <v>19</v>
      </c>
      <c r="C20" s="222" t="s">
        <v>63</v>
      </c>
      <c r="D20" s="216">
        <v>10.17</v>
      </c>
      <c r="E20" s="218" t="s">
        <v>62</v>
      </c>
      <c r="F20" s="238">
        <v>7181</v>
      </c>
      <c r="G20" s="238">
        <f t="shared" si="0"/>
        <v>73030.77</v>
      </c>
      <c r="H20" s="239"/>
      <c r="I20" s="261"/>
      <c r="J20" s="261"/>
      <c r="K20" s="251">
        <f t="shared" si="1"/>
        <v>718.1</v>
      </c>
      <c r="L20" s="251">
        <f t="shared" si="2"/>
        <v>980.20650000000012</v>
      </c>
      <c r="M20" s="251">
        <f t="shared" si="3"/>
        <v>718.1</v>
      </c>
      <c r="N20" s="251">
        <f t="shared" si="6"/>
        <v>2416.4065000000001</v>
      </c>
      <c r="O20" s="251">
        <f t="shared" si="4"/>
        <v>9597.406500000001</v>
      </c>
      <c r="P20" s="251">
        <f t="shared" si="5"/>
        <v>97605.62410500001</v>
      </c>
    </row>
    <row r="21" spans="2:16" ht="26">
      <c r="B21" s="211">
        <v>20</v>
      </c>
      <c r="C21" s="214" t="s">
        <v>22</v>
      </c>
      <c r="D21" s="216">
        <v>1</v>
      </c>
      <c r="E21" s="218" t="s">
        <v>14</v>
      </c>
      <c r="F21" s="238">
        <v>90188</v>
      </c>
      <c r="G21" s="238">
        <f t="shared" si="0"/>
        <v>90188</v>
      </c>
      <c r="H21" s="239" t="s">
        <v>515</v>
      </c>
      <c r="I21" s="261"/>
      <c r="J21" s="261"/>
      <c r="K21" s="251">
        <f t="shared" si="1"/>
        <v>9018.8000000000011</v>
      </c>
      <c r="L21" s="251">
        <f t="shared" si="2"/>
        <v>12310.662</v>
      </c>
      <c r="M21" s="251">
        <f t="shared" si="3"/>
        <v>9018.8000000000011</v>
      </c>
      <c r="N21" s="251">
        <f t="shared" si="6"/>
        <v>30348.262000000002</v>
      </c>
      <c r="O21" s="251">
        <f t="shared" si="4"/>
        <v>120536.262</v>
      </c>
      <c r="P21" s="251">
        <f t="shared" si="5"/>
        <v>120536.262</v>
      </c>
    </row>
    <row r="22" spans="2:16">
      <c r="B22" s="211">
        <v>21</v>
      </c>
      <c r="C22" s="222" t="s">
        <v>303</v>
      </c>
      <c r="D22" s="216">
        <v>5</v>
      </c>
      <c r="E22" s="218" t="s">
        <v>14</v>
      </c>
      <c r="F22" s="238">
        <v>510</v>
      </c>
      <c r="G22" s="238">
        <f t="shared" si="0"/>
        <v>2550</v>
      </c>
      <c r="H22" s="239"/>
      <c r="I22" s="261"/>
      <c r="J22" s="261"/>
      <c r="K22" s="251">
        <f t="shared" si="1"/>
        <v>51</v>
      </c>
      <c r="L22" s="251">
        <f t="shared" si="2"/>
        <v>69.615000000000009</v>
      </c>
      <c r="M22" s="251">
        <f t="shared" si="3"/>
        <v>51</v>
      </c>
      <c r="N22" s="251">
        <f t="shared" si="6"/>
        <v>171.61500000000001</v>
      </c>
      <c r="O22" s="251">
        <f t="shared" si="4"/>
        <v>681.61500000000001</v>
      </c>
      <c r="P22" s="251">
        <f t="shared" si="5"/>
        <v>3408.0749999999998</v>
      </c>
    </row>
    <row r="23" spans="2:16">
      <c r="B23" s="211">
        <v>22</v>
      </c>
      <c r="C23" s="223" t="s">
        <v>304</v>
      </c>
      <c r="D23" s="216">
        <v>5</v>
      </c>
      <c r="E23" s="218" t="s">
        <v>14</v>
      </c>
      <c r="F23" s="242">
        <v>750</v>
      </c>
      <c r="G23" s="238">
        <f t="shared" si="0"/>
        <v>3750</v>
      </c>
      <c r="H23" s="239"/>
      <c r="I23" s="261"/>
      <c r="J23" s="261"/>
      <c r="K23" s="251">
        <f t="shared" si="1"/>
        <v>75</v>
      </c>
      <c r="L23" s="251">
        <f t="shared" si="2"/>
        <v>102.37500000000001</v>
      </c>
      <c r="M23" s="251">
        <f t="shared" si="3"/>
        <v>75</v>
      </c>
      <c r="N23" s="251">
        <f t="shared" si="6"/>
        <v>252.375</v>
      </c>
      <c r="O23" s="251">
        <f t="shared" si="4"/>
        <v>1002.375</v>
      </c>
      <c r="P23" s="251">
        <f t="shared" si="5"/>
        <v>5011.875</v>
      </c>
    </row>
    <row r="24" spans="2:16">
      <c r="B24" s="211">
        <v>23</v>
      </c>
      <c r="C24" s="222" t="s">
        <v>343</v>
      </c>
      <c r="D24" s="216">
        <v>2</v>
      </c>
      <c r="E24" s="218" t="s">
        <v>14</v>
      </c>
      <c r="F24" s="238">
        <v>6000</v>
      </c>
      <c r="G24" s="238">
        <f t="shared" si="0"/>
        <v>12000</v>
      </c>
      <c r="H24" s="239"/>
      <c r="I24" s="261"/>
      <c r="J24" s="261"/>
      <c r="K24" s="251">
        <f t="shared" si="1"/>
        <v>600</v>
      </c>
      <c r="L24" s="251">
        <f t="shared" si="2"/>
        <v>819.00000000000011</v>
      </c>
      <c r="M24" s="251">
        <f t="shared" si="3"/>
        <v>600</v>
      </c>
      <c r="N24" s="251">
        <f t="shared" si="6"/>
        <v>2019</v>
      </c>
      <c r="O24" s="251">
        <f t="shared" si="4"/>
        <v>8019</v>
      </c>
      <c r="P24" s="251">
        <f t="shared" si="5"/>
        <v>16038</v>
      </c>
    </row>
    <row r="25" spans="2:16">
      <c r="B25" s="211">
        <v>24</v>
      </c>
      <c r="C25" s="223" t="s">
        <v>344</v>
      </c>
      <c r="D25" s="216">
        <v>31</v>
      </c>
      <c r="E25" s="218" t="s">
        <v>14</v>
      </c>
      <c r="F25" s="242">
        <v>600</v>
      </c>
      <c r="G25" s="238">
        <f t="shared" si="0"/>
        <v>18600</v>
      </c>
      <c r="H25" s="239"/>
      <c r="I25" s="261"/>
      <c r="J25" s="261"/>
      <c r="K25" s="251">
        <f t="shared" si="1"/>
        <v>60</v>
      </c>
      <c r="L25" s="251">
        <f t="shared" si="2"/>
        <v>81.900000000000006</v>
      </c>
      <c r="M25" s="251">
        <f t="shared" si="3"/>
        <v>60</v>
      </c>
      <c r="N25" s="251">
        <f t="shared" si="6"/>
        <v>201.9</v>
      </c>
      <c r="O25" s="251">
        <f t="shared" si="4"/>
        <v>801.9</v>
      </c>
      <c r="P25" s="251">
        <f t="shared" si="5"/>
        <v>24858.899999999998</v>
      </c>
    </row>
    <row r="26" spans="2:16">
      <c r="B26" s="211">
        <v>25</v>
      </c>
      <c r="C26" s="222" t="s">
        <v>345</v>
      </c>
      <c r="D26" s="216">
        <v>14</v>
      </c>
      <c r="E26" s="218" t="s">
        <v>14</v>
      </c>
      <c r="F26" s="238">
        <v>9000</v>
      </c>
      <c r="G26" s="238">
        <f t="shared" si="0"/>
        <v>126000</v>
      </c>
      <c r="H26" s="239"/>
      <c r="I26" s="261"/>
      <c r="J26" s="261"/>
      <c r="K26" s="251">
        <f t="shared" si="1"/>
        <v>900</v>
      </c>
      <c r="L26" s="251">
        <f t="shared" si="2"/>
        <v>1228.5</v>
      </c>
      <c r="M26" s="251">
        <f t="shared" si="3"/>
        <v>900</v>
      </c>
      <c r="N26" s="251">
        <f t="shared" si="6"/>
        <v>3028.5</v>
      </c>
      <c r="O26" s="251">
        <f t="shared" si="4"/>
        <v>12028.5</v>
      </c>
      <c r="P26" s="251">
        <f t="shared" si="5"/>
        <v>168399</v>
      </c>
    </row>
    <row r="27" spans="2:16" ht="91">
      <c r="B27" s="211">
        <v>26</v>
      </c>
      <c r="C27" s="224" t="s">
        <v>519</v>
      </c>
      <c r="D27" s="216">
        <v>7.2</v>
      </c>
      <c r="E27" s="218" t="s">
        <v>62</v>
      </c>
      <c r="F27" s="289">
        <v>2454</v>
      </c>
      <c r="G27" s="238">
        <f t="shared" si="0"/>
        <v>17668.8</v>
      </c>
      <c r="H27" s="239"/>
      <c r="I27" s="261"/>
      <c r="J27" s="261"/>
      <c r="K27" s="251">
        <f t="shared" si="1"/>
        <v>245.4</v>
      </c>
      <c r="L27" s="251">
        <f t="shared" si="2"/>
        <v>334.971</v>
      </c>
      <c r="M27" s="251">
        <f t="shared" si="3"/>
        <v>245.4</v>
      </c>
      <c r="N27" s="251">
        <f t="shared" si="6"/>
        <v>825.77099999999996</v>
      </c>
      <c r="O27" s="251">
        <f t="shared" si="4"/>
        <v>3279.7709999999997</v>
      </c>
      <c r="P27" s="251">
        <f t="shared" si="5"/>
        <v>23614.351199999997</v>
      </c>
    </row>
    <row r="28" spans="2:16">
      <c r="B28" s="211">
        <v>27</v>
      </c>
      <c r="C28" s="233" t="s">
        <v>349</v>
      </c>
      <c r="D28" s="216">
        <v>89.11</v>
      </c>
      <c r="E28" s="218" t="s">
        <v>62</v>
      </c>
      <c r="F28" s="238">
        <v>1625</v>
      </c>
      <c r="G28" s="238">
        <f t="shared" si="0"/>
        <v>144803.75</v>
      </c>
      <c r="H28" s="239"/>
      <c r="I28" s="261"/>
      <c r="J28" s="261"/>
      <c r="K28" s="251">
        <f t="shared" si="1"/>
        <v>162.5</v>
      </c>
      <c r="L28" s="251">
        <f t="shared" si="2"/>
        <v>221.81250000000003</v>
      </c>
      <c r="M28" s="251">
        <f t="shared" si="3"/>
        <v>162.5</v>
      </c>
      <c r="N28" s="251">
        <f t="shared" si="6"/>
        <v>546.8125</v>
      </c>
      <c r="O28" s="251">
        <f t="shared" si="4"/>
        <v>2171.8125</v>
      </c>
      <c r="P28" s="251">
        <f t="shared" si="5"/>
        <v>193530.21187500001</v>
      </c>
    </row>
    <row r="29" spans="2:16">
      <c r="B29" s="252">
        <v>28</v>
      </c>
      <c r="C29" s="273" t="s">
        <v>247</v>
      </c>
      <c r="D29" s="249">
        <v>7.14</v>
      </c>
      <c r="E29" s="234" t="s">
        <v>62</v>
      </c>
      <c r="F29" s="242">
        <v>4627</v>
      </c>
      <c r="G29" s="242">
        <f t="shared" si="0"/>
        <v>33036.78</v>
      </c>
      <c r="H29" s="274"/>
      <c r="I29" s="261"/>
      <c r="J29" s="261"/>
      <c r="K29" s="251">
        <f t="shared" si="1"/>
        <v>462.70000000000005</v>
      </c>
      <c r="L29" s="251">
        <f t="shared" si="2"/>
        <v>631.58550000000002</v>
      </c>
      <c r="M29" s="251">
        <f t="shared" si="3"/>
        <v>462.70000000000005</v>
      </c>
      <c r="N29" s="251">
        <f t="shared" si="6"/>
        <v>1556.9855</v>
      </c>
      <c r="O29" s="251">
        <f t="shared" si="4"/>
        <v>6183.9854999999998</v>
      </c>
      <c r="P29" s="251">
        <f t="shared" si="5"/>
        <v>44153.656469999994</v>
      </c>
    </row>
    <row r="30" spans="2:16" ht="130" customHeight="1">
      <c r="B30" s="210"/>
      <c r="C30" s="214" t="s">
        <v>655</v>
      </c>
      <c r="D30" s="209"/>
      <c r="E30" s="209" t="s">
        <v>60</v>
      </c>
      <c r="F30" s="290">
        <v>749</v>
      </c>
      <c r="G30" s="243"/>
      <c r="H30" s="244"/>
    </row>
    <row r="31" spans="2:16" ht="221">
      <c r="B31" s="210"/>
      <c r="C31" s="214" t="s">
        <v>656</v>
      </c>
      <c r="D31" s="216">
        <v>7.14</v>
      </c>
      <c r="E31" s="218" t="s">
        <v>62</v>
      </c>
      <c r="F31" s="291">
        <v>1937</v>
      </c>
      <c r="G31" s="238">
        <f t="shared" ref="G31:G62" si="7">D31*F31</f>
        <v>13830.179999999998</v>
      </c>
      <c r="H31" s="239"/>
    </row>
    <row r="32" spans="2:16" ht="65">
      <c r="B32" s="211">
        <v>29</v>
      </c>
      <c r="C32" s="225" t="s">
        <v>520</v>
      </c>
      <c r="D32" s="216">
        <v>18.579999999999998</v>
      </c>
      <c r="E32" s="218" t="s">
        <v>62</v>
      </c>
      <c r="F32" s="238">
        <v>15500</v>
      </c>
      <c r="G32" s="238">
        <f t="shared" si="7"/>
        <v>287990</v>
      </c>
      <c r="H32" s="239"/>
      <c r="I32" s="261"/>
      <c r="J32" s="261"/>
      <c r="K32" s="251">
        <f t="shared" ref="K32:K63" si="8">F32*0.1</f>
        <v>1550</v>
      </c>
      <c r="L32" s="251">
        <f t="shared" ref="L32:L63" si="9">F32*0.1365</f>
        <v>2115.75</v>
      </c>
      <c r="M32" s="251">
        <f t="shared" ref="M32:M63" si="10">F32*0.1</f>
        <v>1550</v>
      </c>
      <c r="N32" s="251">
        <f t="shared" si="6"/>
        <v>5215.75</v>
      </c>
      <c r="O32" s="251">
        <f t="shared" ref="O32:O63" si="11">F32+N32</f>
        <v>20715.75</v>
      </c>
      <c r="P32" s="251">
        <f t="shared" ref="P32:P63" si="12">O32*D32</f>
        <v>384898.63499999995</v>
      </c>
    </row>
    <row r="33" spans="2:16" ht="260">
      <c r="B33" s="211">
        <v>30</v>
      </c>
      <c r="C33" s="225" t="s">
        <v>521</v>
      </c>
      <c r="D33" s="216">
        <v>7.58</v>
      </c>
      <c r="E33" s="218" t="s">
        <v>62</v>
      </c>
      <c r="F33" s="238">
        <v>17450</v>
      </c>
      <c r="G33" s="238">
        <f t="shared" si="7"/>
        <v>132271</v>
      </c>
      <c r="H33" s="239"/>
      <c r="I33" s="261"/>
      <c r="J33" s="261"/>
      <c r="K33" s="251">
        <f t="shared" si="8"/>
        <v>1745</v>
      </c>
      <c r="L33" s="251">
        <f t="shared" si="9"/>
        <v>2381.9250000000002</v>
      </c>
      <c r="M33" s="251">
        <f t="shared" si="10"/>
        <v>1745</v>
      </c>
      <c r="N33" s="251">
        <f t="shared" si="6"/>
        <v>5871.9250000000002</v>
      </c>
      <c r="O33" s="251">
        <f t="shared" si="11"/>
        <v>23321.924999999999</v>
      </c>
      <c r="P33" s="251">
        <f t="shared" si="12"/>
        <v>176780.19149999999</v>
      </c>
    </row>
    <row r="34" spans="2:16" ht="65">
      <c r="B34" s="211">
        <v>31</v>
      </c>
      <c r="C34" s="225" t="s">
        <v>522</v>
      </c>
      <c r="D34" s="216">
        <v>2.58</v>
      </c>
      <c r="E34" s="218" t="s">
        <v>62</v>
      </c>
      <c r="F34" s="238">
        <v>11335</v>
      </c>
      <c r="G34" s="238">
        <f t="shared" si="7"/>
        <v>29244.3</v>
      </c>
      <c r="H34" s="239"/>
      <c r="I34" s="261"/>
      <c r="J34" s="261"/>
      <c r="K34" s="251">
        <f t="shared" si="8"/>
        <v>1133.5</v>
      </c>
      <c r="L34" s="251">
        <f t="shared" si="9"/>
        <v>1547.2275000000002</v>
      </c>
      <c r="M34" s="251">
        <f t="shared" si="10"/>
        <v>1133.5</v>
      </c>
      <c r="N34" s="251">
        <f t="shared" si="6"/>
        <v>3814.2275</v>
      </c>
      <c r="O34" s="251">
        <f t="shared" si="11"/>
        <v>15149.227500000001</v>
      </c>
      <c r="P34" s="251">
        <f t="shared" si="12"/>
        <v>39085.006950000003</v>
      </c>
    </row>
    <row r="35" spans="2:16" ht="65">
      <c r="B35" s="211">
        <v>32</v>
      </c>
      <c r="C35" s="225" t="s">
        <v>523</v>
      </c>
      <c r="D35" s="216">
        <v>7.5</v>
      </c>
      <c r="E35" s="218" t="s">
        <v>62</v>
      </c>
      <c r="F35" s="238">
        <v>10500</v>
      </c>
      <c r="G35" s="238">
        <f t="shared" si="7"/>
        <v>78750</v>
      </c>
      <c r="H35" s="239"/>
      <c r="I35" s="261"/>
      <c r="J35" s="261"/>
      <c r="K35" s="251">
        <f t="shared" si="8"/>
        <v>1050</v>
      </c>
      <c r="L35" s="251">
        <f t="shared" si="9"/>
        <v>1433.25</v>
      </c>
      <c r="M35" s="251">
        <f t="shared" si="10"/>
        <v>1050</v>
      </c>
      <c r="N35" s="251">
        <f t="shared" si="6"/>
        <v>3533.25</v>
      </c>
      <c r="O35" s="251">
        <f t="shared" si="11"/>
        <v>14033.25</v>
      </c>
      <c r="P35" s="251">
        <f t="shared" si="12"/>
        <v>105249.375</v>
      </c>
    </row>
    <row r="36" spans="2:16" ht="78">
      <c r="B36" s="211">
        <v>33</v>
      </c>
      <c r="C36" s="225" t="s">
        <v>524</v>
      </c>
      <c r="D36" s="216">
        <v>1</v>
      </c>
      <c r="E36" s="218" t="s">
        <v>14</v>
      </c>
      <c r="F36" s="238">
        <v>13800</v>
      </c>
      <c r="G36" s="238">
        <f t="shared" si="7"/>
        <v>13800</v>
      </c>
      <c r="H36" s="239"/>
      <c r="I36" s="261"/>
      <c r="J36" s="261"/>
      <c r="K36" s="251">
        <f t="shared" si="8"/>
        <v>1380</v>
      </c>
      <c r="L36" s="251">
        <f t="shared" si="9"/>
        <v>1883.7</v>
      </c>
      <c r="M36" s="251">
        <f t="shared" si="10"/>
        <v>1380</v>
      </c>
      <c r="N36" s="251">
        <f t="shared" si="6"/>
        <v>4643.7</v>
      </c>
      <c r="O36" s="251">
        <f t="shared" si="11"/>
        <v>18443.7</v>
      </c>
      <c r="P36" s="251">
        <f t="shared" si="12"/>
        <v>18443.7</v>
      </c>
    </row>
    <row r="37" spans="2:16" ht="52">
      <c r="B37" s="211">
        <v>34</v>
      </c>
      <c r="C37" s="225" t="s">
        <v>525</v>
      </c>
      <c r="D37" s="216">
        <v>4.45</v>
      </c>
      <c r="E37" s="218" t="s">
        <v>62</v>
      </c>
      <c r="F37" s="238">
        <v>6473</v>
      </c>
      <c r="G37" s="238">
        <f t="shared" si="7"/>
        <v>28804.850000000002</v>
      </c>
      <c r="H37" s="239"/>
      <c r="I37" s="261"/>
      <c r="J37" s="261"/>
      <c r="K37" s="251">
        <f t="shared" si="8"/>
        <v>647.30000000000007</v>
      </c>
      <c r="L37" s="251">
        <f t="shared" si="9"/>
        <v>883.56450000000007</v>
      </c>
      <c r="M37" s="251">
        <f t="shared" si="10"/>
        <v>647.30000000000007</v>
      </c>
      <c r="N37" s="251">
        <f t="shared" si="6"/>
        <v>2178.1645000000003</v>
      </c>
      <c r="O37" s="251">
        <f t="shared" si="11"/>
        <v>8651.1645000000008</v>
      </c>
      <c r="P37" s="251">
        <f t="shared" si="12"/>
        <v>38497.682025000002</v>
      </c>
    </row>
    <row r="38" spans="2:16" ht="26">
      <c r="B38" s="211">
        <v>35</v>
      </c>
      <c r="C38" s="225" t="s">
        <v>526</v>
      </c>
      <c r="D38" s="216">
        <v>38</v>
      </c>
      <c r="E38" s="218" t="s">
        <v>60</v>
      </c>
      <c r="F38" s="238">
        <v>230</v>
      </c>
      <c r="G38" s="238">
        <f t="shared" si="7"/>
        <v>8740</v>
      </c>
      <c r="H38" s="239"/>
      <c r="I38" s="261"/>
      <c r="J38" s="261"/>
      <c r="K38" s="251">
        <f t="shared" si="8"/>
        <v>23</v>
      </c>
      <c r="L38" s="251">
        <f t="shared" si="9"/>
        <v>31.395000000000003</v>
      </c>
      <c r="M38" s="251">
        <f t="shared" si="10"/>
        <v>23</v>
      </c>
      <c r="N38" s="251">
        <f t="shared" si="6"/>
        <v>77.39500000000001</v>
      </c>
      <c r="O38" s="251">
        <f t="shared" si="11"/>
        <v>307.39499999999998</v>
      </c>
      <c r="P38" s="251">
        <f t="shared" si="12"/>
        <v>11681.009999999998</v>
      </c>
    </row>
    <row r="39" spans="2:16" ht="26">
      <c r="B39" s="211">
        <v>36</v>
      </c>
      <c r="C39" s="225" t="s">
        <v>527</v>
      </c>
      <c r="D39" s="216">
        <v>7</v>
      </c>
      <c r="E39" s="218" t="s">
        <v>14</v>
      </c>
      <c r="F39" s="238">
        <v>1500</v>
      </c>
      <c r="G39" s="238">
        <f t="shared" si="7"/>
        <v>10500</v>
      </c>
      <c r="H39" s="239"/>
      <c r="I39" s="261"/>
      <c r="J39" s="261"/>
      <c r="K39" s="251">
        <f t="shared" si="8"/>
        <v>150</v>
      </c>
      <c r="L39" s="251">
        <f t="shared" si="9"/>
        <v>204.75000000000003</v>
      </c>
      <c r="M39" s="251">
        <f t="shared" si="10"/>
        <v>150</v>
      </c>
      <c r="N39" s="251">
        <f t="shared" si="6"/>
        <v>504.75</v>
      </c>
      <c r="O39" s="251">
        <f t="shared" si="11"/>
        <v>2004.75</v>
      </c>
      <c r="P39" s="251">
        <f t="shared" si="12"/>
        <v>14033.25</v>
      </c>
    </row>
    <row r="40" spans="2:16" ht="52">
      <c r="B40" s="211">
        <v>37</v>
      </c>
      <c r="C40" s="225" t="s">
        <v>528</v>
      </c>
      <c r="D40" s="216">
        <v>11.58</v>
      </c>
      <c r="E40" s="218" t="s">
        <v>60</v>
      </c>
      <c r="F40" s="238">
        <v>2166</v>
      </c>
      <c r="G40" s="238">
        <f t="shared" si="7"/>
        <v>25082.28</v>
      </c>
      <c r="H40" s="239"/>
      <c r="I40" s="261"/>
      <c r="J40" s="261"/>
      <c r="K40" s="251">
        <f t="shared" si="8"/>
        <v>216.60000000000002</v>
      </c>
      <c r="L40" s="251">
        <f t="shared" si="9"/>
        <v>295.65900000000005</v>
      </c>
      <c r="M40" s="251">
        <f t="shared" si="10"/>
        <v>216.60000000000002</v>
      </c>
      <c r="N40" s="251">
        <f t="shared" si="6"/>
        <v>728.85900000000004</v>
      </c>
      <c r="O40" s="251">
        <f t="shared" si="11"/>
        <v>2894.8589999999999</v>
      </c>
      <c r="P40" s="251">
        <f t="shared" si="12"/>
        <v>33522.467219999999</v>
      </c>
    </row>
    <row r="41" spans="2:16" ht="39">
      <c r="B41" s="211">
        <v>38</v>
      </c>
      <c r="C41" s="225" t="s">
        <v>363</v>
      </c>
      <c r="D41" s="216">
        <v>1.32</v>
      </c>
      <c r="E41" s="218" t="s">
        <v>62</v>
      </c>
      <c r="F41" s="238">
        <v>11012</v>
      </c>
      <c r="G41" s="238">
        <f t="shared" si="7"/>
        <v>14535.84</v>
      </c>
      <c r="H41" s="239"/>
      <c r="I41" s="261"/>
      <c r="J41" s="261"/>
      <c r="K41" s="251">
        <f t="shared" si="8"/>
        <v>1101.2</v>
      </c>
      <c r="L41" s="251">
        <f t="shared" si="9"/>
        <v>1503.1380000000001</v>
      </c>
      <c r="M41" s="251">
        <f t="shared" si="10"/>
        <v>1101.2</v>
      </c>
      <c r="N41" s="251">
        <f t="shared" si="6"/>
        <v>3705.5380000000005</v>
      </c>
      <c r="O41" s="251">
        <f t="shared" si="11"/>
        <v>14717.538</v>
      </c>
      <c r="P41" s="251">
        <f t="shared" si="12"/>
        <v>19427.150160000001</v>
      </c>
    </row>
    <row r="42" spans="2:16" ht="78">
      <c r="B42" s="211">
        <v>39</v>
      </c>
      <c r="C42" s="225" t="s">
        <v>364</v>
      </c>
      <c r="D42" s="216">
        <v>1</v>
      </c>
      <c r="E42" s="218" t="s">
        <v>14</v>
      </c>
      <c r="F42" s="238">
        <v>50400</v>
      </c>
      <c r="G42" s="238">
        <f t="shared" si="7"/>
        <v>50400</v>
      </c>
      <c r="H42" s="239"/>
      <c r="I42" s="261"/>
      <c r="J42" s="261"/>
      <c r="K42" s="251">
        <f t="shared" si="8"/>
        <v>5040</v>
      </c>
      <c r="L42" s="251">
        <f t="shared" si="9"/>
        <v>6879.6</v>
      </c>
      <c r="M42" s="251">
        <f t="shared" si="10"/>
        <v>5040</v>
      </c>
      <c r="N42" s="251">
        <f t="shared" si="6"/>
        <v>16959.599999999999</v>
      </c>
      <c r="O42" s="251">
        <f t="shared" si="11"/>
        <v>67359.600000000006</v>
      </c>
      <c r="P42" s="251">
        <f t="shared" si="12"/>
        <v>67359.600000000006</v>
      </c>
    </row>
    <row r="43" spans="2:16" ht="65">
      <c r="B43" s="211">
        <v>40</v>
      </c>
      <c r="C43" s="225" t="s">
        <v>365</v>
      </c>
      <c r="D43" s="216">
        <v>10.97</v>
      </c>
      <c r="E43" s="218" t="s">
        <v>60</v>
      </c>
      <c r="F43" s="238">
        <v>2170</v>
      </c>
      <c r="G43" s="238">
        <f t="shared" si="7"/>
        <v>23804.9</v>
      </c>
      <c r="H43" s="239"/>
      <c r="I43" s="261"/>
      <c r="J43" s="261"/>
      <c r="K43" s="251">
        <f t="shared" si="8"/>
        <v>217</v>
      </c>
      <c r="L43" s="251">
        <f t="shared" si="9"/>
        <v>296.20500000000004</v>
      </c>
      <c r="M43" s="251">
        <f t="shared" si="10"/>
        <v>217</v>
      </c>
      <c r="N43" s="251">
        <f t="shared" si="6"/>
        <v>730.20500000000004</v>
      </c>
      <c r="O43" s="251">
        <f t="shared" si="11"/>
        <v>2900.2049999999999</v>
      </c>
      <c r="P43" s="251">
        <f t="shared" si="12"/>
        <v>31815.24885</v>
      </c>
    </row>
    <row r="44" spans="2:16">
      <c r="B44" s="211">
        <v>41</v>
      </c>
      <c r="C44" s="225" t="s">
        <v>366</v>
      </c>
      <c r="D44" s="216">
        <v>2</v>
      </c>
      <c r="E44" s="218" t="s">
        <v>14</v>
      </c>
      <c r="F44" s="238">
        <v>5175</v>
      </c>
      <c r="G44" s="238">
        <f t="shared" si="7"/>
        <v>10350</v>
      </c>
      <c r="H44" s="239"/>
      <c r="I44" s="261"/>
      <c r="J44" s="261"/>
      <c r="K44" s="251">
        <f t="shared" si="8"/>
        <v>517.5</v>
      </c>
      <c r="L44" s="251">
        <f t="shared" si="9"/>
        <v>706.38750000000005</v>
      </c>
      <c r="M44" s="251">
        <f t="shared" si="10"/>
        <v>517.5</v>
      </c>
      <c r="N44" s="251">
        <f t="shared" si="6"/>
        <v>1741.3875</v>
      </c>
      <c r="O44" s="251">
        <f t="shared" si="11"/>
        <v>6916.3874999999998</v>
      </c>
      <c r="P44" s="251">
        <f t="shared" si="12"/>
        <v>13832.775</v>
      </c>
    </row>
    <row r="45" spans="2:16">
      <c r="B45" s="211">
        <v>42</v>
      </c>
      <c r="C45" s="225" t="s">
        <v>367</v>
      </c>
      <c r="D45" s="216">
        <v>1</v>
      </c>
      <c r="E45" s="218" t="s">
        <v>222</v>
      </c>
      <c r="F45" s="238">
        <v>11475</v>
      </c>
      <c r="G45" s="238">
        <f t="shared" si="7"/>
        <v>11475</v>
      </c>
      <c r="H45" s="239"/>
      <c r="I45" s="261"/>
      <c r="J45" s="261"/>
      <c r="K45" s="251">
        <f t="shared" si="8"/>
        <v>1147.5</v>
      </c>
      <c r="L45" s="251">
        <f t="shared" si="9"/>
        <v>1566.3375000000001</v>
      </c>
      <c r="M45" s="251">
        <f t="shared" si="10"/>
        <v>1147.5</v>
      </c>
      <c r="N45" s="251">
        <f t="shared" si="6"/>
        <v>3861.3375000000001</v>
      </c>
      <c r="O45" s="251">
        <f t="shared" si="11"/>
        <v>15336.3375</v>
      </c>
      <c r="P45" s="251">
        <f t="shared" si="12"/>
        <v>15336.3375</v>
      </c>
    </row>
    <row r="46" spans="2:16">
      <c r="B46" s="211">
        <v>43</v>
      </c>
      <c r="C46" s="225" t="s">
        <v>368</v>
      </c>
      <c r="D46" s="216">
        <v>5.01</v>
      </c>
      <c r="E46" s="218" t="s">
        <v>62</v>
      </c>
      <c r="F46" s="238">
        <v>2395</v>
      </c>
      <c r="G46" s="238">
        <f t="shared" si="7"/>
        <v>11998.949999999999</v>
      </c>
      <c r="H46" s="239"/>
      <c r="I46" s="261"/>
      <c r="J46" s="261"/>
      <c r="K46" s="251">
        <f t="shared" si="8"/>
        <v>239.5</v>
      </c>
      <c r="L46" s="251">
        <f t="shared" si="9"/>
        <v>326.91750000000002</v>
      </c>
      <c r="M46" s="251">
        <f t="shared" si="10"/>
        <v>239.5</v>
      </c>
      <c r="N46" s="251">
        <f t="shared" si="6"/>
        <v>805.91750000000002</v>
      </c>
      <c r="O46" s="251">
        <f t="shared" si="11"/>
        <v>3200.9175</v>
      </c>
      <c r="P46" s="251">
        <f t="shared" si="12"/>
        <v>16036.596674999999</v>
      </c>
    </row>
    <row r="47" spans="2:16" ht="26">
      <c r="B47" s="211">
        <v>44</v>
      </c>
      <c r="C47" s="225" t="s">
        <v>369</v>
      </c>
      <c r="D47" s="216">
        <v>1</v>
      </c>
      <c r="E47" s="218" t="s">
        <v>222</v>
      </c>
      <c r="F47" s="238">
        <v>44250</v>
      </c>
      <c r="G47" s="238">
        <f t="shared" si="7"/>
        <v>44250</v>
      </c>
      <c r="H47" s="239"/>
      <c r="I47" s="261"/>
      <c r="J47" s="261"/>
      <c r="K47" s="251">
        <f t="shared" si="8"/>
        <v>4425</v>
      </c>
      <c r="L47" s="251">
        <f t="shared" si="9"/>
        <v>6040.125</v>
      </c>
      <c r="M47" s="251">
        <f t="shared" si="10"/>
        <v>4425</v>
      </c>
      <c r="N47" s="251">
        <f t="shared" si="6"/>
        <v>14890.125</v>
      </c>
      <c r="O47" s="251">
        <f t="shared" si="11"/>
        <v>59140.125</v>
      </c>
      <c r="P47" s="251">
        <f t="shared" si="12"/>
        <v>59140.125</v>
      </c>
    </row>
    <row r="48" spans="2:16">
      <c r="B48" s="211">
        <v>45</v>
      </c>
      <c r="C48" s="225" t="s">
        <v>388</v>
      </c>
      <c r="D48" s="216">
        <v>8</v>
      </c>
      <c r="E48" s="218" t="s">
        <v>14</v>
      </c>
      <c r="F48" s="238">
        <v>4230</v>
      </c>
      <c r="G48" s="238">
        <f t="shared" si="7"/>
        <v>33840</v>
      </c>
      <c r="H48" s="239"/>
      <c r="I48" s="261"/>
      <c r="J48" s="261"/>
      <c r="K48" s="251">
        <f t="shared" si="8"/>
        <v>423</v>
      </c>
      <c r="L48" s="251">
        <f t="shared" si="9"/>
        <v>577.3950000000001</v>
      </c>
      <c r="M48" s="251">
        <f t="shared" si="10"/>
        <v>423</v>
      </c>
      <c r="N48" s="251">
        <f t="shared" si="6"/>
        <v>1423.395</v>
      </c>
      <c r="O48" s="251">
        <f t="shared" si="11"/>
        <v>5653.3950000000004</v>
      </c>
      <c r="P48" s="251">
        <f t="shared" si="12"/>
        <v>45227.16</v>
      </c>
    </row>
    <row r="49" spans="2:16" s="258" customFormat="1">
      <c r="B49" s="252">
        <v>46</v>
      </c>
      <c r="C49" s="223" t="s">
        <v>389</v>
      </c>
      <c r="D49" s="249">
        <v>167</v>
      </c>
      <c r="E49" s="234" t="s">
        <v>312</v>
      </c>
      <c r="F49" s="291">
        <v>300</v>
      </c>
      <c r="G49" s="242">
        <f t="shared" si="7"/>
        <v>50100</v>
      </c>
      <c r="H49" s="274"/>
      <c r="I49" s="276"/>
      <c r="J49" s="276"/>
      <c r="K49" s="257">
        <f t="shared" si="8"/>
        <v>30</v>
      </c>
      <c r="L49" s="257">
        <f t="shared" si="9"/>
        <v>40.950000000000003</v>
      </c>
      <c r="M49" s="257">
        <f t="shared" si="10"/>
        <v>30</v>
      </c>
      <c r="N49" s="257">
        <f t="shared" si="6"/>
        <v>100.95</v>
      </c>
      <c r="O49" s="257">
        <f t="shared" si="11"/>
        <v>400.95</v>
      </c>
      <c r="P49" s="257">
        <f t="shared" si="12"/>
        <v>66958.649999999994</v>
      </c>
    </row>
    <row r="50" spans="2:16">
      <c r="B50" s="211">
        <v>47</v>
      </c>
      <c r="C50" s="222" t="s">
        <v>402</v>
      </c>
      <c r="D50" s="216">
        <v>1</v>
      </c>
      <c r="E50" s="218"/>
      <c r="F50" s="238">
        <v>4200</v>
      </c>
      <c r="G50" s="238">
        <f t="shared" si="7"/>
        <v>4200</v>
      </c>
      <c r="H50" s="239"/>
      <c r="I50" s="261"/>
      <c r="J50" s="261"/>
      <c r="K50" s="251">
        <f t="shared" si="8"/>
        <v>420</v>
      </c>
      <c r="L50" s="251">
        <f t="shared" si="9"/>
        <v>573.30000000000007</v>
      </c>
      <c r="M50" s="251">
        <f t="shared" si="10"/>
        <v>420</v>
      </c>
      <c r="N50" s="251">
        <f t="shared" si="6"/>
        <v>1413.3000000000002</v>
      </c>
      <c r="O50" s="251">
        <f t="shared" si="11"/>
        <v>5613.3</v>
      </c>
      <c r="P50" s="251">
        <f t="shared" si="12"/>
        <v>5613.3</v>
      </c>
    </row>
    <row r="51" spans="2:16">
      <c r="B51" s="211">
        <v>48</v>
      </c>
      <c r="C51" s="222" t="s">
        <v>403</v>
      </c>
      <c r="D51" s="216">
        <v>1</v>
      </c>
      <c r="E51" s="218"/>
      <c r="F51" s="238">
        <v>9300</v>
      </c>
      <c r="G51" s="238">
        <f t="shared" si="7"/>
        <v>9300</v>
      </c>
      <c r="H51" s="239"/>
      <c r="I51" s="261"/>
      <c r="J51" s="261"/>
      <c r="K51" s="251">
        <f t="shared" si="8"/>
        <v>930</v>
      </c>
      <c r="L51" s="251">
        <f t="shared" si="9"/>
        <v>1269.45</v>
      </c>
      <c r="M51" s="251">
        <f t="shared" si="10"/>
        <v>930</v>
      </c>
      <c r="N51" s="251">
        <f t="shared" si="6"/>
        <v>3129.45</v>
      </c>
      <c r="O51" s="251">
        <f t="shared" si="11"/>
        <v>12429.45</v>
      </c>
      <c r="P51" s="251">
        <f t="shared" si="12"/>
        <v>12429.45</v>
      </c>
    </row>
    <row r="52" spans="2:16">
      <c r="B52" s="211">
        <v>49</v>
      </c>
      <c r="C52" s="214" t="s">
        <v>404</v>
      </c>
      <c r="D52" s="215">
        <v>1</v>
      </c>
      <c r="E52" s="211"/>
      <c r="F52" s="237">
        <v>8400</v>
      </c>
      <c r="G52" s="238">
        <f t="shared" si="7"/>
        <v>8400</v>
      </c>
      <c r="H52" s="239"/>
      <c r="I52" s="261"/>
      <c r="J52" s="261"/>
      <c r="K52" s="251">
        <f t="shared" si="8"/>
        <v>840</v>
      </c>
      <c r="L52" s="251">
        <f t="shared" si="9"/>
        <v>1146.6000000000001</v>
      </c>
      <c r="M52" s="251">
        <f t="shared" si="10"/>
        <v>840</v>
      </c>
      <c r="N52" s="251">
        <f t="shared" si="6"/>
        <v>2826.6000000000004</v>
      </c>
      <c r="O52" s="251">
        <f t="shared" si="11"/>
        <v>11226.6</v>
      </c>
      <c r="P52" s="251">
        <f t="shared" si="12"/>
        <v>11226.6</v>
      </c>
    </row>
    <row r="53" spans="2:16" ht="78">
      <c r="B53" s="211">
        <v>50</v>
      </c>
      <c r="C53" s="220" t="s">
        <v>529</v>
      </c>
      <c r="D53" s="216">
        <v>5</v>
      </c>
      <c r="E53" s="211" t="s">
        <v>14</v>
      </c>
      <c r="F53" s="237">
        <v>200</v>
      </c>
      <c r="G53" s="238">
        <f t="shared" si="7"/>
        <v>1000</v>
      </c>
      <c r="H53" s="239"/>
      <c r="I53" s="261"/>
      <c r="J53" s="261"/>
      <c r="K53" s="251">
        <f t="shared" si="8"/>
        <v>20</v>
      </c>
      <c r="L53" s="251">
        <f t="shared" si="9"/>
        <v>27.3</v>
      </c>
      <c r="M53" s="251">
        <f t="shared" si="10"/>
        <v>20</v>
      </c>
      <c r="N53" s="251">
        <f t="shared" si="6"/>
        <v>67.3</v>
      </c>
      <c r="O53" s="251">
        <f t="shared" si="11"/>
        <v>267.3</v>
      </c>
      <c r="P53" s="251">
        <f t="shared" si="12"/>
        <v>1336.5</v>
      </c>
    </row>
    <row r="54" spans="2:16">
      <c r="B54" s="211">
        <v>51</v>
      </c>
      <c r="C54" s="220" t="s">
        <v>282</v>
      </c>
      <c r="D54" s="216">
        <v>3</v>
      </c>
      <c r="E54" s="211" t="s">
        <v>14</v>
      </c>
      <c r="F54" s="237"/>
      <c r="G54" s="238">
        <f t="shared" si="7"/>
        <v>0</v>
      </c>
      <c r="H54" s="239"/>
      <c r="I54" s="261"/>
      <c r="J54" s="261"/>
      <c r="K54" s="251">
        <f t="shared" si="8"/>
        <v>0</v>
      </c>
      <c r="L54" s="251">
        <f t="shared" si="9"/>
        <v>0</v>
      </c>
      <c r="M54" s="251">
        <f t="shared" si="10"/>
        <v>0</v>
      </c>
      <c r="N54" s="251">
        <f t="shared" si="6"/>
        <v>0</v>
      </c>
      <c r="O54" s="251">
        <f t="shared" si="11"/>
        <v>0</v>
      </c>
      <c r="P54" s="251">
        <f t="shared" si="12"/>
        <v>0</v>
      </c>
    </row>
    <row r="55" spans="2:16" ht="156">
      <c r="B55" s="211">
        <v>52</v>
      </c>
      <c r="C55" s="220" t="s">
        <v>530</v>
      </c>
      <c r="D55" s="216">
        <v>35.1</v>
      </c>
      <c r="E55" s="218" t="s">
        <v>60</v>
      </c>
      <c r="F55" s="238">
        <v>1705</v>
      </c>
      <c r="G55" s="238">
        <f t="shared" si="7"/>
        <v>59845.5</v>
      </c>
      <c r="H55" s="239"/>
      <c r="I55" s="261"/>
      <c r="J55" s="261"/>
      <c r="K55" s="251">
        <f t="shared" si="8"/>
        <v>170.5</v>
      </c>
      <c r="L55" s="251">
        <f t="shared" si="9"/>
        <v>232.73250000000002</v>
      </c>
      <c r="M55" s="251">
        <f t="shared" si="10"/>
        <v>170.5</v>
      </c>
      <c r="N55" s="251">
        <f t="shared" si="6"/>
        <v>573.73250000000007</v>
      </c>
      <c r="O55" s="251">
        <f t="shared" si="11"/>
        <v>2278.7325000000001</v>
      </c>
      <c r="P55" s="251">
        <f t="shared" si="12"/>
        <v>79983.510750000001</v>
      </c>
    </row>
    <row r="56" spans="2:16" ht="52">
      <c r="B56" s="211">
        <v>53</v>
      </c>
      <c r="C56" s="212" t="s">
        <v>283</v>
      </c>
      <c r="D56" s="213">
        <v>20</v>
      </c>
      <c r="E56" s="211" t="s">
        <v>60</v>
      </c>
      <c r="F56" s="237">
        <v>225</v>
      </c>
      <c r="G56" s="238">
        <f t="shared" si="7"/>
        <v>4500</v>
      </c>
      <c r="H56" s="239"/>
      <c r="I56" s="261"/>
      <c r="J56" s="261"/>
      <c r="K56" s="251">
        <f t="shared" si="8"/>
        <v>22.5</v>
      </c>
      <c r="L56" s="251">
        <f t="shared" si="9"/>
        <v>30.712500000000002</v>
      </c>
      <c r="M56" s="251">
        <f t="shared" si="10"/>
        <v>22.5</v>
      </c>
      <c r="N56" s="251">
        <f t="shared" si="6"/>
        <v>75.712500000000006</v>
      </c>
      <c r="O56" s="251">
        <f t="shared" si="11"/>
        <v>300.71249999999998</v>
      </c>
      <c r="P56" s="251">
        <f t="shared" si="12"/>
        <v>6014.25</v>
      </c>
    </row>
    <row r="57" spans="2:16" ht="52">
      <c r="B57" s="211">
        <v>54</v>
      </c>
      <c r="C57" s="212" t="s">
        <v>284</v>
      </c>
      <c r="D57" s="226">
        <v>190</v>
      </c>
      <c r="E57" s="211" t="s">
        <v>60</v>
      </c>
      <c r="F57" s="237">
        <v>240</v>
      </c>
      <c r="G57" s="238">
        <f t="shared" si="7"/>
        <v>45600</v>
      </c>
      <c r="H57" s="239" t="s">
        <v>518</v>
      </c>
      <c r="I57" s="261"/>
      <c r="J57" s="261"/>
      <c r="K57" s="251">
        <f t="shared" si="8"/>
        <v>24</v>
      </c>
      <c r="L57" s="251">
        <f t="shared" si="9"/>
        <v>32.760000000000005</v>
      </c>
      <c r="M57" s="251">
        <f t="shared" si="10"/>
        <v>24</v>
      </c>
      <c r="N57" s="251">
        <f t="shared" si="6"/>
        <v>80.760000000000005</v>
      </c>
      <c r="O57" s="251">
        <f t="shared" si="11"/>
        <v>320.76</v>
      </c>
      <c r="P57" s="251">
        <f t="shared" si="12"/>
        <v>60944.4</v>
      </c>
    </row>
    <row r="58" spans="2:16" ht="130">
      <c r="B58" s="211">
        <v>55</v>
      </c>
      <c r="C58" s="227" t="s">
        <v>296</v>
      </c>
      <c r="D58" s="216">
        <v>12</v>
      </c>
      <c r="E58" s="218" t="s">
        <v>14</v>
      </c>
      <c r="F58" s="238">
        <v>27000</v>
      </c>
      <c r="G58" s="238">
        <f t="shared" si="7"/>
        <v>324000</v>
      </c>
      <c r="H58" s="239"/>
      <c r="I58" s="261"/>
      <c r="J58" s="261"/>
      <c r="K58" s="251">
        <f t="shared" si="8"/>
        <v>2700</v>
      </c>
      <c r="L58" s="251">
        <f t="shared" si="9"/>
        <v>3685.5000000000005</v>
      </c>
      <c r="M58" s="251">
        <f t="shared" si="10"/>
        <v>2700</v>
      </c>
      <c r="N58" s="251">
        <f t="shared" si="6"/>
        <v>9085.5</v>
      </c>
      <c r="O58" s="251">
        <f t="shared" si="11"/>
        <v>36085.5</v>
      </c>
      <c r="P58" s="251">
        <f t="shared" si="12"/>
        <v>433026</v>
      </c>
    </row>
    <row r="59" spans="2:16" ht="39">
      <c r="B59" s="211">
        <v>56</v>
      </c>
      <c r="C59" s="228" t="s">
        <v>297</v>
      </c>
      <c r="D59" s="216">
        <v>14</v>
      </c>
      <c r="E59" s="218" t="s">
        <v>14</v>
      </c>
      <c r="F59" s="238">
        <v>6015</v>
      </c>
      <c r="G59" s="238">
        <f t="shared" si="7"/>
        <v>84210</v>
      </c>
      <c r="H59" s="239"/>
      <c r="I59" s="261"/>
      <c r="J59" s="261"/>
      <c r="K59" s="251">
        <f t="shared" si="8"/>
        <v>601.5</v>
      </c>
      <c r="L59" s="251">
        <f t="shared" si="9"/>
        <v>821.04750000000001</v>
      </c>
      <c r="M59" s="251">
        <f t="shared" si="10"/>
        <v>601.5</v>
      </c>
      <c r="N59" s="251">
        <f t="shared" si="6"/>
        <v>2024.0475000000001</v>
      </c>
      <c r="O59" s="251">
        <f t="shared" si="11"/>
        <v>8039.0475000000006</v>
      </c>
      <c r="P59" s="251">
        <f t="shared" si="12"/>
        <v>112546.66500000001</v>
      </c>
    </row>
    <row r="60" spans="2:16">
      <c r="B60" s="211">
        <v>57</v>
      </c>
      <c r="C60" s="228" t="s">
        <v>298</v>
      </c>
      <c r="D60" s="216">
        <v>14</v>
      </c>
      <c r="E60" s="218" t="s">
        <v>14</v>
      </c>
      <c r="F60" s="238">
        <v>285</v>
      </c>
      <c r="G60" s="238">
        <f t="shared" si="7"/>
        <v>3990</v>
      </c>
      <c r="H60" s="239"/>
      <c r="I60" s="261"/>
      <c r="J60" s="261"/>
      <c r="K60" s="251">
        <f t="shared" si="8"/>
        <v>28.5</v>
      </c>
      <c r="L60" s="251">
        <f t="shared" si="9"/>
        <v>38.902500000000003</v>
      </c>
      <c r="M60" s="251">
        <f t="shared" si="10"/>
        <v>28.5</v>
      </c>
      <c r="N60" s="251">
        <f t="shared" si="6"/>
        <v>95.902500000000003</v>
      </c>
      <c r="O60" s="251">
        <f t="shared" si="11"/>
        <v>380.90250000000003</v>
      </c>
      <c r="P60" s="251">
        <f t="shared" si="12"/>
        <v>5332.6350000000002</v>
      </c>
    </row>
    <row r="61" spans="2:16">
      <c r="B61" s="211">
        <v>58</v>
      </c>
      <c r="C61" s="228" t="s">
        <v>299</v>
      </c>
      <c r="D61" s="216">
        <v>14</v>
      </c>
      <c r="E61" s="218" t="s">
        <v>14</v>
      </c>
      <c r="F61" s="238">
        <v>375</v>
      </c>
      <c r="G61" s="238">
        <f t="shared" si="7"/>
        <v>5250</v>
      </c>
      <c r="H61" s="239"/>
      <c r="I61" s="261"/>
      <c r="J61" s="261"/>
      <c r="K61" s="251">
        <f t="shared" si="8"/>
        <v>37.5</v>
      </c>
      <c r="L61" s="251">
        <f t="shared" si="9"/>
        <v>51.187500000000007</v>
      </c>
      <c r="M61" s="251">
        <f t="shared" si="10"/>
        <v>37.5</v>
      </c>
      <c r="N61" s="251">
        <f t="shared" si="6"/>
        <v>126.1875</v>
      </c>
      <c r="O61" s="251">
        <f t="shared" si="11"/>
        <v>501.1875</v>
      </c>
      <c r="P61" s="251">
        <f t="shared" si="12"/>
        <v>7016.625</v>
      </c>
    </row>
    <row r="62" spans="2:16" ht="65">
      <c r="B62" s="211">
        <v>59</v>
      </c>
      <c r="C62" s="229" t="s">
        <v>300</v>
      </c>
      <c r="D62" s="216">
        <v>30</v>
      </c>
      <c r="E62" s="218" t="s">
        <v>14</v>
      </c>
      <c r="F62" s="238">
        <v>1644</v>
      </c>
      <c r="G62" s="238">
        <f t="shared" si="7"/>
        <v>49320</v>
      </c>
      <c r="H62" s="239"/>
      <c r="I62" s="261"/>
      <c r="J62" s="261"/>
      <c r="K62" s="251">
        <f t="shared" si="8"/>
        <v>164.4</v>
      </c>
      <c r="L62" s="251">
        <f t="shared" si="9"/>
        <v>224.40600000000001</v>
      </c>
      <c r="M62" s="251">
        <f t="shared" si="10"/>
        <v>164.4</v>
      </c>
      <c r="N62" s="251">
        <f t="shared" si="6"/>
        <v>553.20600000000002</v>
      </c>
      <c r="O62" s="251">
        <f t="shared" si="11"/>
        <v>2197.2060000000001</v>
      </c>
      <c r="P62" s="251">
        <f t="shared" si="12"/>
        <v>65916.180000000008</v>
      </c>
    </row>
    <row r="63" spans="2:16" ht="39">
      <c r="B63" s="211">
        <v>60</v>
      </c>
      <c r="C63" s="230" t="s">
        <v>301</v>
      </c>
      <c r="D63" s="216">
        <v>14</v>
      </c>
      <c r="E63" s="218" t="s">
        <v>14</v>
      </c>
      <c r="F63" s="238">
        <v>215</v>
      </c>
      <c r="G63" s="238">
        <f t="shared" ref="G63:G89" si="13">D63*F63</f>
        <v>3010</v>
      </c>
      <c r="H63" s="239"/>
      <c r="I63" s="261"/>
      <c r="J63" s="261"/>
      <c r="K63" s="251">
        <f t="shared" si="8"/>
        <v>21.5</v>
      </c>
      <c r="L63" s="251">
        <f t="shared" si="9"/>
        <v>29.347500000000004</v>
      </c>
      <c r="M63" s="251">
        <f t="shared" si="10"/>
        <v>21.5</v>
      </c>
      <c r="N63" s="251">
        <f t="shared" si="6"/>
        <v>72.347499999999997</v>
      </c>
      <c r="O63" s="251">
        <f t="shared" si="11"/>
        <v>287.34749999999997</v>
      </c>
      <c r="P63" s="251">
        <f t="shared" si="12"/>
        <v>4022.8649999999998</v>
      </c>
    </row>
    <row r="64" spans="2:16" ht="26">
      <c r="B64" s="211">
        <v>61</v>
      </c>
      <c r="C64" s="229" t="s">
        <v>302</v>
      </c>
      <c r="D64" s="216">
        <v>1</v>
      </c>
      <c r="E64" s="218" t="s">
        <v>14</v>
      </c>
      <c r="F64" s="238">
        <v>11250</v>
      </c>
      <c r="G64" s="238">
        <f t="shared" si="13"/>
        <v>11250</v>
      </c>
      <c r="H64" s="239"/>
      <c r="I64" s="261"/>
      <c r="J64" s="261"/>
      <c r="K64" s="251">
        <f t="shared" ref="K64:K89" si="14">F64*0.1</f>
        <v>1125</v>
      </c>
      <c r="L64" s="251">
        <f t="shared" ref="L64:L89" si="15">F64*0.1365</f>
        <v>1535.6250000000002</v>
      </c>
      <c r="M64" s="251">
        <f t="shared" ref="M64:M89" si="16">F64*0.1</f>
        <v>1125</v>
      </c>
      <c r="N64" s="251">
        <f t="shared" si="6"/>
        <v>3785.625</v>
      </c>
      <c r="O64" s="251">
        <f t="shared" ref="O64:O89" si="17">F64+N64</f>
        <v>15035.625</v>
      </c>
      <c r="P64" s="251">
        <f t="shared" ref="P64:P89" si="18">O64*D64</f>
        <v>15035.625</v>
      </c>
    </row>
    <row r="65" spans="2:16" ht="91">
      <c r="B65" s="211">
        <v>62</v>
      </c>
      <c r="C65" s="229" t="s">
        <v>431</v>
      </c>
      <c r="D65" s="216">
        <v>1</v>
      </c>
      <c r="E65" s="218" t="s">
        <v>14</v>
      </c>
      <c r="F65" s="238">
        <v>16500</v>
      </c>
      <c r="G65" s="238">
        <f t="shared" si="13"/>
        <v>16500</v>
      </c>
      <c r="H65" s="239"/>
      <c r="I65" s="261"/>
      <c r="J65" s="261"/>
      <c r="K65" s="251">
        <f t="shared" si="14"/>
        <v>1650</v>
      </c>
      <c r="L65" s="251">
        <f t="shared" si="15"/>
        <v>2252.25</v>
      </c>
      <c r="M65" s="251">
        <f t="shared" si="16"/>
        <v>1650</v>
      </c>
      <c r="N65" s="251">
        <f t="shared" si="6"/>
        <v>5552.25</v>
      </c>
      <c r="O65" s="251">
        <f t="shared" si="17"/>
        <v>22052.25</v>
      </c>
      <c r="P65" s="251">
        <f t="shared" si="18"/>
        <v>22052.25</v>
      </c>
    </row>
    <row r="66" spans="2:16" ht="23.15" customHeight="1">
      <c r="B66" s="211">
        <v>63</v>
      </c>
      <c r="C66" s="233" t="s">
        <v>314</v>
      </c>
      <c r="D66" s="209">
        <v>74.099999999999994</v>
      </c>
      <c r="E66" s="218" t="s">
        <v>60</v>
      </c>
      <c r="F66" s="238"/>
      <c r="G66" s="238">
        <f t="shared" si="13"/>
        <v>0</v>
      </c>
      <c r="H66" s="239"/>
      <c r="I66" s="261"/>
      <c r="J66" s="261"/>
      <c r="K66" s="251">
        <f t="shared" si="14"/>
        <v>0</v>
      </c>
      <c r="L66" s="251">
        <f t="shared" si="15"/>
        <v>0</v>
      </c>
      <c r="M66" s="251">
        <f t="shared" si="16"/>
        <v>0</v>
      </c>
      <c r="N66" s="251">
        <f t="shared" si="6"/>
        <v>0</v>
      </c>
      <c r="O66" s="251">
        <f t="shared" si="17"/>
        <v>0</v>
      </c>
      <c r="P66" s="251">
        <f t="shared" si="18"/>
        <v>0</v>
      </c>
    </row>
    <row r="67" spans="2:16" ht="91">
      <c r="B67" s="211">
        <v>64</v>
      </c>
      <c r="C67" s="231" t="s">
        <v>531</v>
      </c>
      <c r="D67" s="216">
        <v>13</v>
      </c>
      <c r="E67" s="218" t="s">
        <v>14</v>
      </c>
      <c r="F67" s="238">
        <v>1800</v>
      </c>
      <c r="G67" s="238">
        <f t="shared" si="13"/>
        <v>23400</v>
      </c>
      <c r="H67" s="239"/>
      <c r="I67" s="261"/>
      <c r="J67" s="261"/>
      <c r="K67" s="251">
        <f t="shared" si="14"/>
        <v>180</v>
      </c>
      <c r="L67" s="251">
        <f t="shared" si="15"/>
        <v>245.70000000000002</v>
      </c>
      <c r="M67" s="251">
        <f t="shared" si="16"/>
        <v>180</v>
      </c>
      <c r="N67" s="251">
        <f t="shared" ref="N67:N89" si="19">SUM(K67:M67)</f>
        <v>605.70000000000005</v>
      </c>
      <c r="O67" s="251">
        <f t="shared" si="17"/>
        <v>2405.6999999999998</v>
      </c>
      <c r="P67" s="251">
        <f t="shared" si="18"/>
        <v>31274.1</v>
      </c>
    </row>
    <row r="68" spans="2:16">
      <c r="B68" s="211">
        <v>65</v>
      </c>
      <c r="C68" s="214" t="s">
        <v>371</v>
      </c>
      <c r="D68" s="216">
        <v>10.66</v>
      </c>
      <c r="E68" s="218" t="s">
        <v>60</v>
      </c>
      <c r="F68" s="238">
        <v>1775</v>
      </c>
      <c r="G68" s="238">
        <f t="shared" si="13"/>
        <v>18921.5</v>
      </c>
      <c r="H68" s="239"/>
      <c r="I68" s="261"/>
      <c r="J68" s="261"/>
      <c r="K68" s="251">
        <f t="shared" si="14"/>
        <v>177.5</v>
      </c>
      <c r="L68" s="251">
        <f t="shared" si="15"/>
        <v>242.28750000000002</v>
      </c>
      <c r="M68" s="251">
        <f t="shared" si="16"/>
        <v>177.5</v>
      </c>
      <c r="N68" s="251">
        <f t="shared" si="19"/>
        <v>597.28750000000002</v>
      </c>
      <c r="O68" s="251">
        <f t="shared" si="17"/>
        <v>2372.2874999999999</v>
      </c>
      <c r="P68" s="251">
        <f t="shared" si="18"/>
        <v>25288.584749999998</v>
      </c>
    </row>
    <row r="69" spans="2:16" ht="26">
      <c r="B69" s="211">
        <v>66</v>
      </c>
      <c r="C69" s="214" t="s">
        <v>372</v>
      </c>
      <c r="D69" s="216">
        <v>1</v>
      </c>
      <c r="E69" s="218" t="s">
        <v>201</v>
      </c>
      <c r="F69" s="238">
        <v>14400</v>
      </c>
      <c r="G69" s="238">
        <f t="shared" si="13"/>
        <v>14400</v>
      </c>
      <c r="H69" s="239"/>
      <c r="I69" s="261"/>
      <c r="J69" s="261"/>
      <c r="K69" s="251">
        <f t="shared" si="14"/>
        <v>1440</v>
      </c>
      <c r="L69" s="251">
        <f t="shared" si="15"/>
        <v>1965.6000000000001</v>
      </c>
      <c r="M69" s="251">
        <f t="shared" si="16"/>
        <v>1440</v>
      </c>
      <c r="N69" s="251">
        <f t="shared" si="19"/>
        <v>4845.6000000000004</v>
      </c>
      <c r="O69" s="251">
        <f t="shared" si="17"/>
        <v>19245.599999999999</v>
      </c>
      <c r="P69" s="251">
        <f t="shared" si="18"/>
        <v>19245.599999999999</v>
      </c>
    </row>
    <row r="70" spans="2:16">
      <c r="B70" s="211">
        <v>67</v>
      </c>
      <c r="C70" s="214" t="s">
        <v>373</v>
      </c>
      <c r="D70" s="216">
        <v>2.89</v>
      </c>
      <c r="E70" s="218" t="s">
        <v>60</v>
      </c>
      <c r="F70" s="238">
        <v>1775</v>
      </c>
      <c r="G70" s="238">
        <f t="shared" si="13"/>
        <v>5129.75</v>
      </c>
      <c r="H70" s="239"/>
      <c r="I70" s="261"/>
      <c r="J70" s="261"/>
      <c r="K70" s="251">
        <f t="shared" si="14"/>
        <v>177.5</v>
      </c>
      <c r="L70" s="251">
        <f t="shared" si="15"/>
        <v>242.28750000000002</v>
      </c>
      <c r="M70" s="251">
        <f t="shared" si="16"/>
        <v>177.5</v>
      </c>
      <c r="N70" s="251">
        <f t="shared" si="19"/>
        <v>597.28750000000002</v>
      </c>
      <c r="O70" s="251">
        <f t="shared" si="17"/>
        <v>2372.2874999999999</v>
      </c>
      <c r="P70" s="251">
        <f t="shared" si="18"/>
        <v>6855.9108749999996</v>
      </c>
    </row>
    <row r="71" spans="2:16">
      <c r="B71" s="211">
        <v>68</v>
      </c>
      <c r="C71" s="214" t="s">
        <v>16</v>
      </c>
      <c r="D71" s="216">
        <v>1</v>
      </c>
      <c r="E71" s="218" t="s">
        <v>14</v>
      </c>
      <c r="F71" s="238">
        <v>243505</v>
      </c>
      <c r="G71" s="238">
        <f t="shared" si="13"/>
        <v>243505</v>
      </c>
      <c r="H71" s="239"/>
      <c r="I71" s="261"/>
      <c r="J71" s="261"/>
      <c r="K71" s="251">
        <f t="shared" si="14"/>
        <v>24350.5</v>
      </c>
      <c r="L71" s="251">
        <f t="shared" si="15"/>
        <v>33238.432500000003</v>
      </c>
      <c r="M71" s="251">
        <f t="shared" si="16"/>
        <v>24350.5</v>
      </c>
      <c r="N71" s="251">
        <f t="shared" si="19"/>
        <v>81939.432499999995</v>
      </c>
      <c r="O71" s="251">
        <f t="shared" si="17"/>
        <v>325444.4325</v>
      </c>
      <c r="P71" s="251">
        <f t="shared" si="18"/>
        <v>325444.4325</v>
      </c>
    </row>
    <row r="72" spans="2:16">
      <c r="B72" s="211">
        <v>69</v>
      </c>
      <c r="C72" s="212" t="s">
        <v>285</v>
      </c>
      <c r="D72" s="213">
        <v>48</v>
      </c>
      <c r="E72" s="211" t="s">
        <v>60</v>
      </c>
      <c r="F72" s="237">
        <v>300</v>
      </c>
      <c r="G72" s="238">
        <f t="shared" si="13"/>
        <v>14400</v>
      </c>
      <c r="H72" s="239"/>
      <c r="I72" s="261"/>
      <c r="J72" s="261"/>
      <c r="K72" s="251">
        <f t="shared" si="14"/>
        <v>30</v>
      </c>
      <c r="L72" s="251">
        <f t="shared" si="15"/>
        <v>40.950000000000003</v>
      </c>
      <c r="M72" s="251">
        <f t="shared" si="16"/>
        <v>30</v>
      </c>
      <c r="N72" s="251">
        <f t="shared" si="19"/>
        <v>100.95</v>
      </c>
      <c r="O72" s="251">
        <f t="shared" si="17"/>
        <v>400.95</v>
      </c>
      <c r="P72" s="251">
        <f t="shared" si="18"/>
        <v>19245.599999999999</v>
      </c>
    </row>
    <row r="73" spans="2:16">
      <c r="B73" s="211">
        <v>70</v>
      </c>
      <c r="C73" s="214" t="s">
        <v>347</v>
      </c>
      <c r="D73" s="216">
        <v>1</v>
      </c>
      <c r="E73" s="218" t="s">
        <v>14</v>
      </c>
      <c r="F73" s="238">
        <v>111340</v>
      </c>
      <c r="G73" s="238">
        <f t="shared" si="13"/>
        <v>111340</v>
      </c>
      <c r="H73" s="239"/>
      <c r="I73" s="261"/>
      <c r="J73" s="261"/>
      <c r="K73" s="251">
        <f t="shared" si="14"/>
        <v>11134</v>
      </c>
      <c r="L73" s="251">
        <f t="shared" si="15"/>
        <v>15197.910000000002</v>
      </c>
      <c r="M73" s="251">
        <f t="shared" si="16"/>
        <v>11134</v>
      </c>
      <c r="N73" s="251">
        <f t="shared" si="19"/>
        <v>37465.910000000003</v>
      </c>
      <c r="O73" s="251">
        <f t="shared" si="17"/>
        <v>148805.91</v>
      </c>
      <c r="P73" s="251">
        <f t="shared" si="18"/>
        <v>148805.91</v>
      </c>
    </row>
    <row r="74" spans="2:16" ht="39">
      <c r="B74" s="211">
        <v>71</v>
      </c>
      <c r="C74" s="220" t="s">
        <v>310</v>
      </c>
      <c r="D74" s="234">
        <v>92.2</v>
      </c>
      <c r="E74" s="218" t="s">
        <v>312</v>
      </c>
      <c r="F74" s="238">
        <v>285</v>
      </c>
      <c r="G74" s="238">
        <f t="shared" si="13"/>
        <v>26277</v>
      </c>
      <c r="H74" s="1233" t="s">
        <v>539</v>
      </c>
      <c r="I74" s="262"/>
      <c r="J74" s="262"/>
      <c r="K74" s="251">
        <f t="shared" si="14"/>
        <v>28.5</v>
      </c>
      <c r="L74" s="251">
        <f t="shared" si="15"/>
        <v>38.902500000000003</v>
      </c>
      <c r="M74" s="251">
        <f t="shared" si="16"/>
        <v>28.5</v>
      </c>
      <c r="N74" s="251">
        <f t="shared" si="19"/>
        <v>95.902500000000003</v>
      </c>
      <c r="O74" s="251">
        <f t="shared" si="17"/>
        <v>380.90250000000003</v>
      </c>
      <c r="P74" s="251">
        <f t="shared" si="18"/>
        <v>35119.210500000001</v>
      </c>
    </row>
    <row r="75" spans="2:16" ht="39">
      <c r="B75" s="211">
        <v>72</v>
      </c>
      <c r="C75" s="220" t="s">
        <v>311</v>
      </c>
      <c r="D75" s="234">
        <v>25.5</v>
      </c>
      <c r="E75" s="218" t="s">
        <v>312</v>
      </c>
      <c r="F75" s="238">
        <v>285</v>
      </c>
      <c r="G75" s="238">
        <f t="shared" si="13"/>
        <v>7267.5</v>
      </c>
      <c r="H75" s="1233"/>
      <c r="I75" s="262"/>
      <c r="J75" s="262"/>
      <c r="K75" s="251">
        <f t="shared" si="14"/>
        <v>28.5</v>
      </c>
      <c r="L75" s="251">
        <f t="shared" si="15"/>
        <v>38.902500000000003</v>
      </c>
      <c r="M75" s="251">
        <f t="shared" si="16"/>
        <v>28.5</v>
      </c>
      <c r="N75" s="251">
        <f t="shared" si="19"/>
        <v>95.902500000000003</v>
      </c>
      <c r="O75" s="251">
        <f t="shared" si="17"/>
        <v>380.90250000000003</v>
      </c>
      <c r="P75" s="251">
        <f t="shared" si="18"/>
        <v>9713.0137500000001</v>
      </c>
    </row>
    <row r="76" spans="2:16" ht="26">
      <c r="B76" s="211">
        <v>73</v>
      </c>
      <c r="C76" s="233" t="s">
        <v>313</v>
      </c>
      <c r="D76" s="209">
        <v>2</v>
      </c>
      <c r="E76" s="218" t="s">
        <v>14</v>
      </c>
      <c r="F76" s="238">
        <v>9750</v>
      </c>
      <c r="G76" s="238">
        <f t="shared" si="13"/>
        <v>19500</v>
      </c>
      <c r="H76" s="239"/>
      <c r="I76" s="261"/>
      <c r="J76" s="261"/>
      <c r="K76" s="251">
        <f t="shared" si="14"/>
        <v>975</v>
      </c>
      <c r="L76" s="251">
        <f t="shared" si="15"/>
        <v>1330.875</v>
      </c>
      <c r="M76" s="251">
        <f t="shared" si="16"/>
        <v>975</v>
      </c>
      <c r="N76" s="251">
        <f t="shared" si="19"/>
        <v>3280.875</v>
      </c>
      <c r="O76" s="251">
        <f t="shared" si="17"/>
        <v>13030.875</v>
      </c>
      <c r="P76" s="251">
        <f t="shared" si="18"/>
        <v>26061.75</v>
      </c>
    </row>
    <row r="77" spans="2:16" ht="26">
      <c r="B77" s="211">
        <v>74</v>
      </c>
      <c r="C77" s="229" t="s">
        <v>315</v>
      </c>
      <c r="D77" s="232">
        <v>3.95</v>
      </c>
      <c r="E77" s="218" t="s">
        <v>60</v>
      </c>
      <c r="F77" s="238">
        <v>495</v>
      </c>
      <c r="G77" s="238">
        <f t="shared" si="13"/>
        <v>1955.25</v>
      </c>
      <c r="H77" s="239" t="s">
        <v>516</v>
      </c>
      <c r="I77" s="261"/>
      <c r="J77" s="261"/>
      <c r="K77" s="251">
        <f t="shared" si="14"/>
        <v>49.5</v>
      </c>
      <c r="L77" s="251">
        <f t="shared" si="15"/>
        <v>67.56750000000001</v>
      </c>
      <c r="M77" s="251">
        <f t="shared" si="16"/>
        <v>49.5</v>
      </c>
      <c r="N77" s="251">
        <f t="shared" si="19"/>
        <v>166.5675</v>
      </c>
      <c r="O77" s="251">
        <f t="shared" si="17"/>
        <v>661.5675</v>
      </c>
      <c r="P77" s="251">
        <f t="shared" si="18"/>
        <v>2613.1916249999999</v>
      </c>
    </row>
    <row r="78" spans="2:16" ht="39">
      <c r="B78" s="211">
        <v>75</v>
      </c>
      <c r="C78" s="214" t="s">
        <v>532</v>
      </c>
      <c r="D78" s="215">
        <v>1</v>
      </c>
      <c r="E78" s="209" t="s">
        <v>222</v>
      </c>
      <c r="F78" s="243">
        <v>175180</v>
      </c>
      <c r="G78" s="238">
        <f t="shared" si="13"/>
        <v>175180</v>
      </c>
      <c r="H78" s="244"/>
      <c r="I78" s="263"/>
      <c r="J78" s="263"/>
      <c r="K78" s="251">
        <f t="shared" si="14"/>
        <v>17518</v>
      </c>
      <c r="L78" s="251">
        <f t="shared" si="15"/>
        <v>23912.070000000003</v>
      </c>
      <c r="M78" s="251">
        <f t="shared" si="16"/>
        <v>17518</v>
      </c>
      <c r="N78" s="251">
        <f t="shared" si="19"/>
        <v>58948.070000000007</v>
      </c>
      <c r="O78" s="251">
        <f t="shared" si="17"/>
        <v>234128.07</v>
      </c>
      <c r="P78" s="251">
        <f t="shared" si="18"/>
        <v>234128.07</v>
      </c>
    </row>
    <row r="79" spans="2:16" ht="52">
      <c r="B79" s="211">
        <v>76</v>
      </c>
      <c r="C79" s="214" t="s">
        <v>533</v>
      </c>
      <c r="D79" s="215">
        <v>1</v>
      </c>
      <c r="E79" s="209" t="s">
        <v>222</v>
      </c>
      <c r="F79" s="243">
        <v>9620</v>
      </c>
      <c r="G79" s="238">
        <f t="shared" si="13"/>
        <v>9620</v>
      </c>
      <c r="H79" s="244"/>
      <c r="I79" s="263"/>
      <c r="J79" s="263"/>
      <c r="K79" s="251">
        <f t="shared" si="14"/>
        <v>962</v>
      </c>
      <c r="L79" s="251">
        <f t="shared" si="15"/>
        <v>1313.13</v>
      </c>
      <c r="M79" s="251">
        <f t="shared" si="16"/>
        <v>962</v>
      </c>
      <c r="N79" s="251">
        <f t="shared" si="19"/>
        <v>3237.13</v>
      </c>
      <c r="O79" s="251">
        <f t="shared" si="17"/>
        <v>12857.130000000001</v>
      </c>
      <c r="P79" s="251">
        <f t="shared" si="18"/>
        <v>12857.130000000001</v>
      </c>
    </row>
    <row r="80" spans="2:16" ht="52">
      <c r="B80" s="211">
        <v>77</v>
      </c>
      <c r="C80" s="214" t="s">
        <v>534</v>
      </c>
      <c r="D80" s="215">
        <v>1</v>
      </c>
      <c r="E80" s="209" t="s">
        <v>222</v>
      </c>
      <c r="F80" s="243">
        <v>175180</v>
      </c>
      <c r="G80" s="238">
        <f t="shared" si="13"/>
        <v>175180</v>
      </c>
      <c r="H80" s="244"/>
      <c r="I80" s="263"/>
      <c r="J80" s="263"/>
      <c r="K80" s="251">
        <f t="shared" si="14"/>
        <v>17518</v>
      </c>
      <c r="L80" s="251">
        <f t="shared" si="15"/>
        <v>23912.070000000003</v>
      </c>
      <c r="M80" s="251">
        <f t="shared" si="16"/>
        <v>17518</v>
      </c>
      <c r="N80" s="251">
        <f t="shared" si="19"/>
        <v>58948.070000000007</v>
      </c>
      <c r="O80" s="251">
        <f t="shared" si="17"/>
        <v>234128.07</v>
      </c>
      <c r="P80" s="251">
        <f t="shared" si="18"/>
        <v>234128.07</v>
      </c>
    </row>
    <row r="81" spans="2:16" ht="52">
      <c r="B81" s="211">
        <v>78</v>
      </c>
      <c r="C81" s="214" t="s">
        <v>535</v>
      </c>
      <c r="D81" s="215">
        <v>1</v>
      </c>
      <c r="E81" s="209" t="s">
        <v>222</v>
      </c>
      <c r="F81" s="243">
        <v>175180</v>
      </c>
      <c r="G81" s="238">
        <f t="shared" si="13"/>
        <v>175180</v>
      </c>
      <c r="H81" s="244"/>
      <c r="I81" s="263"/>
      <c r="J81" s="263"/>
      <c r="K81" s="251">
        <f t="shared" si="14"/>
        <v>17518</v>
      </c>
      <c r="L81" s="251">
        <f t="shared" si="15"/>
        <v>23912.070000000003</v>
      </c>
      <c r="M81" s="251">
        <f t="shared" si="16"/>
        <v>17518</v>
      </c>
      <c r="N81" s="251">
        <f t="shared" si="19"/>
        <v>58948.070000000007</v>
      </c>
      <c r="O81" s="251">
        <f t="shared" si="17"/>
        <v>234128.07</v>
      </c>
      <c r="P81" s="251">
        <f t="shared" si="18"/>
        <v>234128.07</v>
      </c>
    </row>
    <row r="82" spans="2:16" s="258" customFormat="1" ht="65">
      <c r="B82" s="252">
        <v>79</v>
      </c>
      <c r="C82" s="221" t="s">
        <v>536</v>
      </c>
      <c r="D82" s="253">
        <v>1</v>
      </c>
      <c r="E82" s="254" t="s">
        <v>222</v>
      </c>
      <c r="F82" s="255">
        <v>17950</v>
      </c>
      <c r="G82" s="242">
        <f t="shared" si="13"/>
        <v>17950</v>
      </c>
      <c r="H82" s="256"/>
      <c r="I82" s="264"/>
      <c r="J82" s="264"/>
      <c r="K82" s="257">
        <f t="shared" si="14"/>
        <v>1795</v>
      </c>
      <c r="L82" s="257">
        <f t="shared" si="15"/>
        <v>2450.1750000000002</v>
      </c>
      <c r="M82" s="257">
        <f t="shared" si="16"/>
        <v>1795</v>
      </c>
      <c r="N82" s="257">
        <f t="shared" si="19"/>
        <v>6040.1750000000002</v>
      </c>
      <c r="O82" s="257">
        <f t="shared" si="17"/>
        <v>23990.174999999999</v>
      </c>
      <c r="P82" s="257">
        <f t="shared" si="18"/>
        <v>23990.174999999999</v>
      </c>
    </row>
    <row r="83" spans="2:16" ht="39">
      <c r="B83" s="211">
        <v>80</v>
      </c>
      <c r="C83" s="214" t="s">
        <v>537</v>
      </c>
      <c r="D83" s="215">
        <v>6</v>
      </c>
      <c r="E83" s="209" t="s">
        <v>14</v>
      </c>
      <c r="F83" s="243">
        <v>12470</v>
      </c>
      <c r="G83" s="238">
        <f t="shared" si="13"/>
        <v>74820</v>
      </c>
      <c r="H83" s="244"/>
      <c r="I83" s="263"/>
      <c r="J83" s="263"/>
      <c r="K83" s="251">
        <f t="shared" si="14"/>
        <v>1247</v>
      </c>
      <c r="L83" s="251">
        <f t="shared" si="15"/>
        <v>1702.1550000000002</v>
      </c>
      <c r="M83" s="251">
        <f t="shared" si="16"/>
        <v>1247</v>
      </c>
      <c r="N83" s="251">
        <f t="shared" si="19"/>
        <v>4196.1550000000007</v>
      </c>
      <c r="O83" s="251">
        <f t="shared" si="17"/>
        <v>16666.154999999999</v>
      </c>
      <c r="P83" s="251">
        <f t="shared" si="18"/>
        <v>99996.93</v>
      </c>
    </row>
    <row r="84" spans="2:16" ht="26">
      <c r="B84" s="211">
        <v>81</v>
      </c>
      <c r="C84" s="214" t="s">
        <v>538</v>
      </c>
      <c r="D84" s="215">
        <v>3</v>
      </c>
      <c r="E84" s="209" t="s">
        <v>375</v>
      </c>
      <c r="F84" s="243">
        <v>930</v>
      </c>
      <c r="G84" s="238">
        <f t="shared" si="13"/>
        <v>2790</v>
      </c>
      <c r="H84" s="244"/>
      <c r="I84" s="263"/>
      <c r="J84" s="263"/>
      <c r="K84" s="251">
        <f t="shared" si="14"/>
        <v>93</v>
      </c>
      <c r="L84" s="251">
        <f t="shared" si="15"/>
        <v>126.94500000000001</v>
      </c>
      <c r="M84" s="251">
        <f t="shared" si="16"/>
        <v>93</v>
      </c>
      <c r="N84" s="251">
        <f t="shared" si="19"/>
        <v>312.94499999999999</v>
      </c>
      <c r="O84" s="251">
        <f t="shared" si="17"/>
        <v>1242.9449999999999</v>
      </c>
      <c r="P84" s="251">
        <f t="shared" si="18"/>
        <v>3728.835</v>
      </c>
    </row>
    <row r="85" spans="2:16">
      <c r="B85" s="211">
        <v>82</v>
      </c>
      <c r="C85" s="212" t="s">
        <v>340</v>
      </c>
      <c r="D85" s="213">
        <v>12</v>
      </c>
      <c r="E85" s="211" t="s">
        <v>14</v>
      </c>
      <c r="F85" s="245"/>
      <c r="G85" s="238">
        <f t="shared" si="13"/>
        <v>0</v>
      </c>
      <c r="H85" s="244"/>
      <c r="I85" s="263"/>
      <c r="J85" s="263"/>
      <c r="K85" s="251">
        <f t="shared" si="14"/>
        <v>0</v>
      </c>
      <c r="L85" s="251">
        <f t="shared" si="15"/>
        <v>0</v>
      </c>
      <c r="M85" s="251">
        <f t="shared" si="16"/>
        <v>0</v>
      </c>
      <c r="N85" s="251">
        <f t="shared" si="19"/>
        <v>0</v>
      </c>
      <c r="O85" s="251">
        <f t="shared" si="17"/>
        <v>0</v>
      </c>
      <c r="P85" s="251">
        <f t="shared" si="18"/>
        <v>0</v>
      </c>
    </row>
    <row r="86" spans="2:16">
      <c r="B86" s="211">
        <v>83</v>
      </c>
      <c r="C86" s="212" t="s">
        <v>29</v>
      </c>
      <c r="D86" s="213">
        <v>12</v>
      </c>
      <c r="E86" s="211" t="s">
        <v>14</v>
      </c>
      <c r="F86" s="245"/>
      <c r="G86" s="238">
        <f t="shared" si="13"/>
        <v>0</v>
      </c>
      <c r="H86" s="244"/>
      <c r="I86" s="263"/>
      <c r="J86" s="263"/>
      <c r="K86" s="251">
        <f t="shared" si="14"/>
        <v>0</v>
      </c>
      <c r="L86" s="251">
        <f t="shared" si="15"/>
        <v>0</v>
      </c>
      <c r="M86" s="251">
        <f t="shared" si="16"/>
        <v>0</v>
      </c>
      <c r="N86" s="251">
        <f t="shared" si="19"/>
        <v>0</v>
      </c>
      <c r="O86" s="251">
        <f t="shared" si="17"/>
        <v>0</v>
      </c>
      <c r="P86" s="251">
        <f t="shared" si="18"/>
        <v>0</v>
      </c>
    </row>
    <row r="87" spans="2:16">
      <c r="B87" s="211">
        <v>84</v>
      </c>
      <c r="C87" s="212" t="s">
        <v>26</v>
      </c>
      <c r="D87" s="209">
        <v>4</v>
      </c>
      <c r="E87" s="209" t="s">
        <v>14</v>
      </c>
      <c r="F87" s="292">
        <v>29250</v>
      </c>
      <c r="G87" s="238">
        <f t="shared" si="13"/>
        <v>117000</v>
      </c>
      <c r="H87" s="244"/>
      <c r="I87" s="263"/>
      <c r="J87" s="263"/>
      <c r="K87" s="251">
        <f t="shared" si="14"/>
        <v>2925</v>
      </c>
      <c r="L87" s="251">
        <f t="shared" si="15"/>
        <v>3992.6250000000005</v>
      </c>
      <c r="M87" s="251">
        <f t="shared" si="16"/>
        <v>2925</v>
      </c>
      <c r="N87" s="251">
        <f t="shared" si="19"/>
        <v>9842.625</v>
      </c>
      <c r="O87" s="251">
        <f t="shared" si="17"/>
        <v>39092.625</v>
      </c>
      <c r="P87" s="251">
        <f t="shared" si="18"/>
        <v>156370.5</v>
      </c>
    </row>
    <row r="88" spans="2:16">
      <c r="B88" s="211">
        <v>85</v>
      </c>
      <c r="C88" s="212" t="s">
        <v>339</v>
      </c>
      <c r="D88" s="209">
        <v>4</v>
      </c>
      <c r="E88" s="209" t="s">
        <v>14</v>
      </c>
      <c r="F88" s="292">
        <v>17850</v>
      </c>
      <c r="G88" s="238">
        <f t="shared" si="13"/>
        <v>71400</v>
      </c>
      <c r="H88" s="244"/>
      <c r="I88" s="263"/>
      <c r="J88" s="263"/>
      <c r="K88" s="251">
        <f t="shared" si="14"/>
        <v>1785</v>
      </c>
      <c r="L88" s="251">
        <f t="shared" si="15"/>
        <v>2436.5250000000001</v>
      </c>
      <c r="M88" s="251">
        <f t="shared" si="16"/>
        <v>1785</v>
      </c>
      <c r="N88" s="251">
        <f t="shared" si="19"/>
        <v>6006.5249999999996</v>
      </c>
      <c r="O88" s="251">
        <f t="shared" si="17"/>
        <v>23856.525000000001</v>
      </c>
      <c r="P88" s="251">
        <f t="shared" si="18"/>
        <v>95426.1</v>
      </c>
    </row>
    <row r="89" spans="2:16">
      <c r="B89" s="211">
        <v>86</v>
      </c>
      <c r="C89" s="214" t="s">
        <v>341</v>
      </c>
      <c r="D89" s="209">
        <v>2</v>
      </c>
      <c r="E89" s="209" t="s">
        <v>14</v>
      </c>
      <c r="F89" s="292">
        <v>33000</v>
      </c>
      <c r="G89" s="238">
        <f t="shared" si="13"/>
        <v>66000</v>
      </c>
      <c r="H89" s="244"/>
      <c r="I89" s="263"/>
      <c r="J89" s="263"/>
      <c r="K89" s="251">
        <f t="shared" si="14"/>
        <v>3300</v>
      </c>
      <c r="L89" s="251">
        <f t="shared" si="15"/>
        <v>4504.5</v>
      </c>
      <c r="M89" s="251">
        <f t="shared" si="16"/>
        <v>3300</v>
      </c>
      <c r="N89" s="251">
        <f t="shared" si="19"/>
        <v>11104.5</v>
      </c>
      <c r="O89" s="251">
        <f t="shared" si="17"/>
        <v>44104.5</v>
      </c>
      <c r="P89" s="251">
        <f t="shared" si="18"/>
        <v>88209</v>
      </c>
    </row>
    <row r="90" spans="2:16">
      <c r="B90" s="210"/>
      <c r="C90" s="214"/>
      <c r="D90" s="209"/>
      <c r="E90" s="209"/>
      <c r="F90" s="292"/>
      <c r="G90" s="246">
        <f>SUM(G2:G86)</f>
        <v>4170176.9049999998</v>
      </c>
      <c r="H90" s="244"/>
      <c r="I90" s="263"/>
      <c r="J90" s="263"/>
      <c r="P90" s="251">
        <f>SUM(P2:P89)</f>
        <v>5894962.9979625</v>
      </c>
    </row>
    <row r="91" spans="2:16">
      <c r="F91" s="247"/>
      <c r="G91" s="247"/>
      <c r="H91" s="248"/>
    </row>
  </sheetData>
  <mergeCells count="2">
    <mergeCell ref="B1:H1"/>
    <mergeCell ref="H74:H75"/>
  </mergeCells>
  <conditionalFormatting sqref="C19:F29 B2:E5 C87:E87 C6:E18 B6:B29 F87:F89 C86:F86 H86:H87 G86:G90 C76:H85 C75:G75 I76:J87 B32:B89 F2:F13 C32:J74 G2:J29">
    <cfRule type="expression" dxfId="9" priority="12">
      <formula>ROW()=CELL("row")</formula>
    </cfRule>
  </conditionalFormatting>
  <conditionalFormatting sqref="F19:F29 F32:F52">
    <cfRule type="cellIs" dxfId="8" priority="11" operator="equal">
      <formula>0</formula>
    </cfRule>
  </conditionalFormatting>
  <conditionalFormatting sqref="F14:F18">
    <cfRule type="cellIs" dxfId="7" priority="10" operator="equal">
      <formula>0</formula>
    </cfRule>
  </conditionalFormatting>
  <conditionalFormatting sqref="F14:F18">
    <cfRule type="expression" dxfId="6" priority="9">
      <formula>ROW()=CELL("row")</formula>
    </cfRule>
  </conditionalFormatting>
  <conditionalFormatting sqref="F53:F55">
    <cfRule type="cellIs" dxfId="5" priority="8" operator="equal">
      <formula>0</formula>
    </cfRule>
  </conditionalFormatting>
  <conditionalFormatting sqref="F56:F70">
    <cfRule type="cellIs" dxfId="4" priority="7" operator="equal">
      <formula>0</formula>
    </cfRule>
  </conditionalFormatting>
  <conditionalFormatting sqref="F72:F77">
    <cfRule type="cellIs" dxfId="3" priority="6" operator="equal">
      <formula>0</formula>
    </cfRule>
  </conditionalFormatting>
  <conditionalFormatting sqref="D31:H31">
    <cfRule type="expression" dxfId="2" priority="3">
      <formula>ROW()=CELL("row")</formula>
    </cfRule>
  </conditionalFormatting>
  <conditionalFormatting sqref="F31">
    <cfRule type="cellIs" dxfId="1" priority="2" operator="equal">
      <formula>0</formula>
    </cfRule>
  </conditionalFormatting>
  <conditionalFormatting sqref="A1:XFD1048576">
    <cfRule type="expression" dxfId="0" priority="1">
      <formula>ROW()=CELL("row")</formula>
    </cfRule>
  </conditionalFormatting>
  <pageMargins left="0.70866141732283472" right="0.70866141732283472" top="0.15748031496062992" bottom="0.15748031496062992" header="0.31496062992125984" footer="0.31496062992125984"/>
  <pageSetup paperSize="9" scale="9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95"/>
  <sheetViews>
    <sheetView zoomScaleNormal="100" workbookViewId="0">
      <selection activeCell="E192" sqref="E192"/>
    </sheetView>
  </sheetViews>
  <sheetFormatPr defaultColWidth="9.296875" defaultRowHeight="14.5"/>
  <cols>
    <col min="1" max="1" width="8.796875" style="294" customWidth="1"/>
    <col min="2" max="2" width="11.5" style="294" customWidth="1"/>
    <col min="3" max="3" width="8.296875" style="294" customWidth="1"/>
    <col min="4" max="4" width="29" style="294" customWidth="1"/>
    <col min="5" max="5" width="10.69921875" style="294" customWidth="1"/>
    <col min="6" max="6" width="6.796875" style="294" customWidth="1"/>
    <col min="7" max="7" width="8.296875" style="294" customWidth="1"/>
    <col min="8" max="8" width="7" style="294" customWidth="1"/>
    <col min="9" max="9" width="11" style="294" bestFit="1" customWidth="1"/>
    <col min="10" max="10" width="13.5" style="294" customWidth="1"/>
    <col min="11" max="16384" width="9.296875" style="294"/>
  </cols>
  <sheetData>
    <row r="1" spans="1:10" ht="17.5">
      <c r="A1" s="1256" t="s">
        <v>549</v>
      </c>
      <c r="B1" s="1256"/>
      <c r="C1" s="1256"/>
      <c r="D1" s="1256"/>
      <c r="E1" s="1256"/>
      <c r="F1" s="1256"/>
      <c r="G1" s="1256"/>
      <c r="H1" s="1256"/>
      <c r="I1" s="1256"/>
      <c r="J1" s="1256"/>
    </row>
    <row r="3" spans="1:10" ht="28">
      <c r="A3" s="295" t="s">
        <v>387</v>
      </c>
      <c r="B3" s="295" t="s">
        <v>550</v>
      </c>
      <c r="C3" s="295" t="s">
        <v>472</v>
      </c>
      <c r="D3" s="295" t="s">
        <v>436</v>
      </c>
      <c r="E3" s="296" t="s">
        <v>551</v>
      </c>
      <c r="F3" s="295"/>
      <c r="G3" s="295" t="s">
        <v>552</v>
      </c>
      <c r="H3" s="295"/>
      <c r="I3" s="297" t="s">
        <v>376</v>
      </c>
      <c r="J3" s="295" t="s">
        <v>476</v>
      </c>
    </row>
    <row r="4" spans="1:10" ht="94.5" customHeight="1">
      <c r="A4" s="295"/>
      <c r="B4" s="295"/>
      <c r="C4" s="295"/>
      <c r="D4" s="1253" t="s">
        <v>542</v>
      </c>
      <c r="E4" s="1253"/>
      <c r="F4" s="1253"/>
      <c r="G4" s="1253"/>
      <c r="H4" s="1253"/>
      <c r="I4" s="1253"/>
      <c r="J4" s="1253"/>
    </row>
    <row r="5" spans="1:10">
      <c r="A5" s="295"/>
      <c r="B5" s="298"/>
      <c r="C5" s="298"/>
      <c r="D5" s="299" t="s">
        <v>553</v>
      </c>
      <c r="E5" s="300"/>
      <c r="F5" s="301"/>
      <c r="G5" s="302"/>
      <c r="H5" s="301"/>
      <c r="I5" s="303"/>
      <c r="J5" s="304"/>
    </row>
    <row r="6" spans="1:10">
      <c r="A6" s="295"/>
      <c r="B6" s="298">
        <v>1</v>
      </c>
      <c r="C6" s="298"/>
      <c r="D6" s="301" t="s">
        <v>554</v>
      </c>
      <c r="E6" s="305">
        <v>0.05</v>
      </c>
      <c r="F6" s="306" t="s">
        <v>555</v>
      </c>
      <c r="G6" s="302">
        <v>1</v>
      </c>
      <c r="H6" s="306" t="s">
        <v>555</v>
      </c>
      <c r="I6" s="303">
        <v>695</v>
      </c>
      <c r="J6" s="304">
        <f>SUM(E6*I6/G6)</f>
        <v>34.75</v>
      </c>
    </row>
    <row r="7" spans="1:10">
      <c r="A7" s="295"/>
      <c r="B7" s="298">
        <v>3</v>
      </c>
      <c r="C7" s="298"/>
      <c r="D7" s="301" t="s">
        <v>556</v>
      </c>
      <c r="E7" s="305">
        <v>0.125</v>
      </c>
      <c r="F7" s="301" t="s">
        <v>555</v>
      </c>
      <c r="G7" s="302">
        <v>1</v>
      </c>
      <c r="H7" s="301" t="s">
        <v>555</v>
      </c>
      <c r="I7" s="303">
        <v>580</v>
      </c>
      <c r="J7" s="304">
        <f>SUM(E7*I7/G7)</f>
        <v>72.5</v>
      </c>
    </row>
    <row r="8" spans="1:10">
      <c r="A8" s="295"/>
      <c r="B8" s="298"/>
      <c r="C8" s="298"/>
      <c r="D8" s="299" t="s">
        <v>557</v>
      </c>
      <c r="E8" s="300"/>
      <c r="F8" s="306"/>
      <c r="G8" s="302"/>
      <c r="H8" s="306"/>
      <c r="I8" s="303"/>
      <c r="J8" s="304">
        <f>SUM(J6:J7)</f>
        <v>107.25</v>
      </c>
    </row>
    <row r="9" spans="1:10">
      <c r="A9" s="295"/>
      <c r="B9" s="298"/>
      <c r="C9" s="298"/>
      <c r="D9" s="299" t="s">
        <v>558</v>
      </c>
      <c r="E9" s="300"/>
      <c r="F9" s="306"/>
      <c r="G9" s="302"/>
      <c r="H9" s="306"/>
      <c r="I9" s="303"/>
      <c r="J9" s="304"/>
    </row>
    <row r="10" spans="1:10" ht="42">
      <c r="A10" s="295"/>
      <c r="B10" s="298" t="s">
        <v>559</v>
      </c>
      <c r="C10" s="298"/>
      <c r="D10" s="299" t="s">
        <v>560</v>
      </c>
      <c r="E10" s="300">
        <v>2</v>
      </c>
      <c r="F10" s="301" t="s">
        <v>561</v>
      </c>
      <c r="G10" s="302">
        <v>100</v>
      </c>
      <c r="H10" s="301" t="s">
        <v>562</v>
      </c>
      <c r="I10" s="303">
        <v>1260</v>
      </c>
      <c r="J10" s="304">
        <f>SUM(E10*I10/G10)</f>
        <v>25.2</v>
      </c>
    </row>
    <row r="11" spans="1:10" ht="28">
      <c r="A11" s="295"/>
      <c r="B11" s="296"/>
      <c r="C11" s="296"/>
      <c r="D11" s="307" t="s">
        <v>563</v>
      </c>
      <c r="E11" s="308"/>
      <c r="F11" s="309"/>
      <c r="G11" s="310"/>
      <c r="H11" s="309"/>
      <c r="I11" s="311"/>
      <c r="J11" s="312">
        <v>50</v>
      </c>
    </row>
    <row r="12" spans="1:10" ht="56">
      <c r="A12" s="295"/>
      <c r="B12" s="298" t="s">
        <v>564</v>
      </c>
      <c r="C12" s="302" t="s">
        <v>565</v>
      </c>
      <c r="D12" s="299" t="s">
        <v>566</v>
      </c>
      <c r="E12" s="313">
        <v>1</v>
      </c>
      <c r="F12" s="301" t="s">
        <v>14</v>
      </c>
      <c r="G12" s="302">
        <v>1</v>
      </c>
      <c r="H12" s="301" t="s">
        <v>14</v>
      </c>
      <c r="I12" s="303">
        <v>15000</v>
      </c>
      <c r="J12" s="304">
        <f>SUM(E12*I12/G12)</f>
        <v>15000</v>
      </c>
    </row>
    <row r="13" spans="1:10">
      <c r="A13" s="295"/>
      <c r="B13" s="298"/>
      <c r="C13" s="298"/>
      <c r="D13" s="299" t="s">
        <v>567</v>
      </c>
      <c r="E13" s="300"/>
      <c r="F13" s="299"/>
      <c r="G13" s="302"/>
      <c r="H13" s="301"/>
      <c r="I13" s="303"/>
      <c r="J13" s="304">
        <f>SUM(J10:J12)</f>
        <v>15075.2</v>
      </c>
    </row>
    <row r="14" spans="1:10" ht="28">
      <c r="A14" s="295"/>
      <c r="B14" s="298"/>
      <c r="C14" s="298"/>
      <c r="D14" s="314" t="s">
        <v>568</v>
      </c>
      <c r="E14" s="315"/>
      <c r="F14" s="315"/>
      <c r="G14" s="298"/>
      <c r="H14" s="315"/>
      <c r="I14" s="316"/>
      <c r="J14" s="317">
        <f>ROUNDDOWN(J8+J13,0)</f>
        <v>15182</v>
      </c>
    </row>
    <row r="15" spans="1:10">
      <c r="A15" s="295"/>
      <c r="B15" s="318"/>
      <c r="C15" s="318"/>
      <c r="D15" s="319" t="s">
        <v>569</v>
      </c>
      <c r="E15" s="320">
        <v>0.13614999999999999</v>
      </c>
      <c r="F15" s="321"/>
      <c r="G15" s="322"/>
      <c r="H15" s="321"/>
      <c r="I15" s="316"/>
      <c r="J15" s="323">
        <f>J14*$E15</f>
        <v>2067.0292999999997</v>
      </c>
    </row>
    <row r="16" spans="1:10">
      <c r="A16" s="295"/>
      <c r="B16" s="318"/>
      <c r="C16" s="318"/>
      <c r="D16" s="324"/>
      <c r="E16" s="300"/>
      <c r="F16" s="321"/>
      <c r="G16" s="322"/>
      <c r="H16" s="321"/>
      <c r="I16" s="316"/>
      <c r="J16" s="323">
        <f>SUM(J14:J15)</f>
        <v>17249.029299999998</v>
      </c>
    </row>
    <row r="17" spans="1:10">
      <c r="A17" s="295"/>
      <c r="B17" s="318"/>
      <c r="C17" s="318"/>
      <c r="D17" s="325" t="s">
        <v>570</v>
      </c>
      <c r="E17" s="300"/>
      <c r="F17" s="321"/>
      <c r="G17" s="322"/>
      <c r="H17" s="321"/>
      <c r="I17" s="316"/>
      <c r="J17" s="326">
        <f>ROUND(J16,0)</f>
        <v>17249</v>
      </c>
    </row>
    <row r="18" spans="1:10">
      <c r="A18" s="295"/>
      <c r="B18" s="318"/>
      <c r="C18" s="318"/>
      <c r="D18" s="325"/>
      <c r="E18" s="300"/>
      <c r="F18" s="321"/>
      <c r="G18" s="322"/>
      <c r="H18" s="321"/>
      <c r="I18" s="316"/>
      <c r="J18" s="326"/>
    </row>
    <row r="19" spans="1:10" ht="30.75" customHeight="1">
      <c r="A19" s="295"/>
      <c r="B19" s="318"/>
      <c r="C19" s="318"/>
      <c r="D19" s="1253" t="s">
        <v>297</v>
      </c>
      <c r="E19" s="1253"/>
      <c r="F19" s="1253"/>
      <c r="G19" s="1253"/>
      <c r="H19" s="1253"/>
      <c r="I19" s="1253"/>
      <c r="J19" s="1253"/>
    </row>
    <row r="20" spans="1:10" ht="87" customHeight="1">
      <c r="A20" s="295"/>
      <c r="B20" s="318" t="s">
        <v>571</v>
      </c>
      <c r="C20" s="318"/>
      <c r="D20" s="301" t="s">
        <v>297</v>
      </c>
      <c r="E20" s="327" t="s">
        <v>572</v>
      </c>
      <c r="F20" s="328">
        <v>1</v>
      </c>
      <c r="G20" s="302">
        <v>1</v>
      </c>
      <c r="H20" s="301" t="s">
        <v>14</v>
      </c>
      <c r="I20" s="303">
        <v>3800</v>
      </c>
      <c r="J20" s="329">
        <f>I20*F20</f>
        <v>3800</v>
      </c>
    </row>
    <row r="21" spans="1:10">
      <c r="A21" s="295"/>
      <c r="B21" s="318"/>
      <c r="C21" s="318"/>
      <c r="D21" s="319" t="s">
        <v>569</v>
      </c>
      <c r="E21" s="320">
        <v>0.13614999999999999</v>
      </c>
      <c r="F21" s="321"/>
      <c r="G21" s="322"/>
      <c r="H21" s="321"/>
      <c r="I21" s="330"/>
      <c r="J21" s="323">
        <f>J20*E21</f>
        <v>517.37</v>
      </c>
    </row>
    <row r="22" spans="1:10">
      <c r="A22" s="295"/>
      <c r="B22" s="318"/>
      <c r="C22" s="318"/>
      <c r="D22" s="324"/>
      <c r="E22" s="300"/>
      <c r="F22" s="321"/>
      <c r="G22" s="322"/>
      <c r="H22" s="321"/>
      <c r="I22" s="330"/>
      <c r="J22" s="323">
        <f>SUM(J20:J21)</f>
        <v>4317.37</v>
      </c>
    </row>
    <row r="23" spans="1:10">
      <c r="A23" s="295"/>
      <c r="B23" s="318"/>
      <c r="C23" s="318"/>
      <c r="D23" s="331" t="s">
        <v>570</v>
      </c>
      <c r="E23" s="300"/>
      <c r="F23" s="321"/>
      <c r="G23" s="322"/>
      <c r="H23" s="321"/>
      <c r="I23" s="330"/>
      <c r="J23" s="326">
        <f>ROUND(J22,0)</f>
        <v>4317</v>
      </c>
    </row>
    <row r="24" spans="1:10">
      <c r="A24" s="295"/>
      <c r="B24" s="318"/>
      <c r="C24" s="318"/>
      <c r="D24" s="325"/>
      <c r="E24" s="300"/>
      <c r="F24" s="321"/>
      <c r="G24" s="322"/>
      <c r="H24" s="321"/>
      <c r="I24" s="316"/>
      <c r="J24" s="326"/>
    </row>
    <row r="25" spans="1:10" ht="62.25" customHeight="1">
      <c r="A25" s="295"/>
      <c r="B25" s="332"/>
      <c r="C25" s="332"/>
      <c r="D25" s="1253" t="s">
        <v>543</v>
      </c>
      <c r="E25" s="1253"/>
      <c r="F25" s="1253"/>
      <c r="G25" s="1253"/>
      <c r="H25" s="1253"/>
      <c r="I25" s="1253"/>
      <c r="J25" s="1253"/>
    </row>
    <row r="26" spans="1:10">
      <c r="A26" s="295"/>
      <c r="B26" s="298"/>
      <c r="C26" s="298"/>
      <c r="D26" s="333" t="s">
        <v>553</v>
      </c>
      <c r="E26" s="300"/>
      <c r="F26" s="301"/>
      <c r="G26" s="302"/>
      <c r="H26" s="301"/>
      <c r="I26" s="303"/>
      <c r="J26" s="304"/>
    </row>
    <row r="27" spans="1:10">
      <c r="A27" s="295"/>
      <c r="B27" s="298">
        <v>1</v>
      </c>
      <c r="C27" s="298"/>
      <c r="D27" s="301" t="s">
        <v>554</v>
      </c>
      <c r="E27" s="305">
        <v>0.125</v>
      </c>
      <c r="F27" s="306" t="s">
        <v>555</v>
      </c>
      <c r="G27" s="302">
        <v>1</v>
      </c>
      <c r="H27" s="306" t="s">
        <v>555</v>
      </c>
      <c r="I27" s="303">
        <v>695</v>
      </c>
      <c r="J27" s="304">
        <f>SUM(E27*I27/G27)</f>
        <v>86.875</v>
      </c>
    </row>
    <row r="28" spans="1:10">
      <c r="A28" s="295"/>
      <c r="B28" s="298">
        <v>2</v>
      </c>
      <c r="C28" s="298"/>
      <c r="D28" s="301" t="s">
        <v>556</v>
      </c>
      <c r="E28" s="305">
        <v>0.125</v>
      </c>
      <c r="F28" s="306" t="s">
        <v>555</v>
      </c>
      <c r="G28" s="302">
        <v>1</v>
      </c>
      <c r="H28" s="306" t="s">
        <v>555</v>
      </c>
      <c r="I28" s="303">
        <v>580</v>
      </c>
      <c r="J28" s="303">
        <f>SUM(E28*I28/G28)</f>
        <v>72.5</v>
      </c>
    </row>
    <row r="29" spans="1:10">
      <c r="A29" s="295"/>
      <c r="B29" s="298"/>
      <c r="C29" s="298"/>
      <c r="D29" s="299" t="s">
        <v>557</v>
      </c>
      <c r="E29" s="300"/>
      <c r="F29" s="306"/>
      <c r="G29" s="302"/>
      <c r="H29" s="306"/>
      <c r="I29" s="303"/>
      <c r="J29" s="323">
        <f>SUM(J27:J28)</f>
        <v>159.375</v>
      </c>
    </row>
    <row r="30" spans="1:10">
      <c r="A30" s="295"/>
      <c r="B30" s="298"/>
      <c r="C30" s="298"/>
      <c r="D30" s="299" t="s">
        <v>573</v>
      </c>
      <c r="E30" s="300"/>
      <c r="F30" s="306"/>
      <c r="G30" s="302"/>
      <c r="H30" s="306"/>
      <c r="I30" s="303"/>
      <c r="J30" s="304"/>
    </row>
    <row r="31" spans="1:10" ht="42">
      <c r="A31" s="295"/>
      <c r="B31" s="298" t="s">
        <v>574</v>
      </c>
      <c r="C31" s="302"/>
      <c r="D31" s="299" t="s">
        <v>560</v>
      </c>
      <c r="E31" s="300">
        <v>1</v>
      </c>
      <c r="F31" s="301" t="s">
        <v>562</v>
      </c>
      <c r="G31" s="302">
        <v>100</v>
      </c>
      <c r="H31" s="301" t="s">
        <v>562</v>
      </c>
      <c r="I31" s="303">
        <v>1260</v>
      </c>
      <c r="J31" s="304">
        <f>SUM(E31*I31/G31)</f>
        <v>12.6</v>
      </c>
    </row>
    <row r="32" spans="1:10">
      <c r="A32" s="295"/>
      <c r="B32" s="298"/>
      <c r="C32" s="298"/>
      <c r="D32" s="299" t="s">
        <v>575</v>
      </c>
      <c r="E32" s="300"/>
      <c r="F32" s="306"/>
      <c r="G32" s="302"/>
      <c r="H32" s="306"/>
      <c r="I32" s="303"/>
      <c r="J32" s="304">
        <f>SUM(J31:J31)</f>
        <v>12.6</v>
      </c>
    </row>
    <row r="33" spans="1:10" ht="28">
      <c r="A33" s="295"/>
      <c r="B33" s="298"/>
      <c r="C33" s="298"/>
      <c r="D33" s="314" t="s">
        <v>568</v>
      </c>
      <c r="E33" s="315"/>
      <c r="F33" s="315"/>
      <c r="G33" s="298"/>
      <c r="H33" s="315"/>
      <c r="I33" s="330"/>
      <c r="J33" s="329">
        <f>ROUNDDOWN(J29+J32,0)</f>
        <v>171</v>
      </c>
    </row>
    <row r="34" spans="1:10">
      <c r="A34" s="295"/>
      <c r="B34" s="318"/>
      <c r="C34" s="318"/>
      <c r="D34" s="319" t="s">
        <v>569</v>
      </c>
      <c r="E34" s="320">
        <v>0.13614999999999999</v>
      </c>
      <c r="F34" s="321"/>
      <c r="G34" s="322"/>
      <c r="H34" s="321"/>
      <c r="I34" s="330"/>
      <c r="J34" s="323">
        <f>J33*E34</f>
        <v>23.281649999999999</v>
      </c>
    </row>
    <row r="35" spans="1:10">
      <c r="A35" s="295"/>
      <c r="B35" s="318"/>
      <c r="C35" s="318"/>
      <c r="D35" s="324"/>
      <c r="E35" s="300"/>
      <c r="F35" s="321"/>
      <c r="G35" s="322"/>
      <c r="H35" s="321"/>
      <c r="I35" s="330"/>
      <c r="J35" s="323">
        <f>SUM(J33:J34)</f>
        <v>194.28165000000001</v>
      </c>
    </row>
    <row r="36" spans="1:10">
      <c r="A36" s="295"/>
      <c r="B36" s="318"/>
      <c r="C36" s="318"/>
      <c r="D36" s="331" t="s">
        <v>570</v>
      </c>
      <c r="E36" s="300"/>
      <c r="F36" s="321"/>
      <c r="G36" s="322"/>
      <c r="H36" s="321"/>
      <c r="I36" s="330"/>
      <c r="J36" s="326">
        <f>ROUND(J35,0)</f>
        <v>194</v>
      </c>
    </row>
    <row r="37" spans="1:10">
      <c r="A37" s="295"/>
      <c r="B37" s="318"/>
      <c r="C37" s="318"/>
      <c r="D37" s="325"/>
      <c r="E37" s="300"/>
      <c r="F37" s="321"/>
      <c r="G37" s="322"/>
      <c r="H37" s="321"/>
      <c r="I37" s="316"/>
      <c r="J37" s="326"/>
    </row>
    <row r="38" spans="1:10">
      <c r="A38" s="295"/>
      <c r="B38" s="318"/>
      <c r="C38" s="318"/>
      <c r="D38" s="325"/>
      <c r="E38" s="300"/>
      <c r="F38" s="321"/>
      <c r="G38" s="322"/>
      <c r="H38" s="321"/>
      <c r="I38" s="316"/>
      <c r="J38" s="326"/>
    </row>
    <row r="39" spans="1:10" ht="31.5" customHeight="1">
      <c r="A39" s="295"/>
      <c r="B39" s="318"/>
      <c r="C39" s="318"/>
      <c r="D39" s="1253" t="s">
        <v>544</v>
      </c>
      <c r="E39" s="1253"/>
      <c r="F39" s="1253"/>
      <c r="G39" s="1253"/>
      <c r="H39" s="1253"/>
      <c r="I39" s="1253"/>
      <c r="J39" s="1253"/>
    </row>
    <row r="40" spans="1:10" ht="84">
      <c r="A40" s="295"/>
      <c r="B40" s="318" t="s">
        <v>576</v>
      </c>
      <c r="C40" s="318"/>
      <c r="D40" s="301" t="s">
        <v>577</v>
      </c>
      <c r="E40" s="327" t="s">
        <v>572</v>
      </c>
      <c r="F40" s="332">
        <v>1</v>
      </c>
      <c r="G40" s="302">
        <v>1</v>
      </c>
      <c r="H40" s="301" t="s">
        <v>14</v>
      </c>
      <c r="I40" s="303">
        <v>112</v>
      </c>
      <c r="J40" s="334">
        <f>I40*F40</f>
        <v>112</v>
      </c>
    </row>
    <row r="41" spans="1:10">
      <c r="A41" s="295"/>
      <c r="B41" s="318"/>
      <c r="C41" s="318"/>
      <c r="D41" s="319" t="s">
        <v>569</v>
      </c>
      <c r="E41" s="320">
        <v>0.13614999999999999</v>
      </c>
      <c r="F41" s="321"/>
      <c r="G41" s="322"/>
      <c r="H41" s="321"/>
      <c r="I41" s="330"/>
      <c r="J41" s="323">
        <f>J40*E41</f>
        <v>15.248799999999999</v>
      </c>
    </row>
    <row r="42" spans="1:10">
      <c r="A42" s="295"/>
      <c r="B42" s="318"/>
      <c r="C42" s="318"/>
      <c r="D42" s="324"/>
      <c r="E42" s="300"/>
      <c r="F42" s="321"/>
      <c r="G42" s="322"/>
      <c r="H42" s="321"/>
      <c r="I42" s="330"/>
      <c r="J42" s="323">
        <f>SUM(J40:J41)</f>
        <v>127.2488</v>
      </c>
    </row>
    <row r="43" spans="1:10">
      <c r="A43" s="295"/>
      <c r="B43" s="318"/>
      <c r="C43" s="318"/>
      <c r="D43" s="331" t="s">
        <v>570</v>
      </c>
      <c r="E43" s="300"/>
      <c r="F43" s="321"/>
      <c r="G43" s="322"/>
      <c r="H43" s="321"/>
      <c r="I43" s="330"/>
      <c r="J43" s="326">
        <f>ROUND(J42,0)</f>
        <v>127</v>
      </c>
    </row>
    <row r="44" spans="1:10" ht="15.75" customHeight="1">
      <c r="A44" s="295"/>
      <c r="B44" s="318"/>
      <c r="C44" s="318"/>
      <c r="D44" s="301"/>
      <c r="E44" s="301"/>
      <c r="F44" s="301"/>
      <c r="G44" s="301"/>
      <c r="H44" s="301"/>
      <c r="I44" s="301"/>
      <c r="J44" s="301"/>
    </row>
    <row r="45" spans="1:10" ht="15.75" customHeight="1">
      <c r="A45" s="295"/>
      <c r="B45" s="318"/>
      <c r="C45" s="318"/>
      <c r="D45" s="301"/>
      <c r="E45" s="301"/>
      <c r="F45" s="301"/>
      <c r="G45" s="301"/>
      <c r="H45" s="301"/>
      <c r="I45" s="301"/>
      <c r="J45" s="301"/>
    </row>
    <row r="46" spans="1:10" ht="81" customHeight="1">
      <c r="A46" s="295"/>
      <c r="B46" s="318"/>
      <c r="C46" s="318"/>
      <c r="D46" s="1253" t="s">
        <v>578</v>
      </c>
      <c r="E46" s="1253"/>
      <c r="F46" s="1253"/>
      <c r="G46" s="1253"/>
      <c r="H46" s="1253"/>
      <c r="I46" s="1253"/>
      <c r="J46" s="1253"/>
    </row>
    <row r="47" spans="1:10" ht="15.75" customHeight="1">
      <c r="A47" s="295"/>
      <c r="B47" s="318"/>
      <c r="C47" s="318"/>
      <c r="D47" s="314" t="s">
        <v>579</v>
      </c>
      <c r="E47" s="300"/>
      <c r="F47" s="301"/>
      <c r="G47" s="302"/>
      <c r="H47" s="301"/>
      <c r="I47" s="334"/>
      <c r="J47" s="304"/>
    </row>
    <row r="48" spans="1:10" ht="15.75" customHeight="1">
      <c r="A48" s="295"/>
      <c r="B48" s="298">
        <v>1</v>
      </c>
      <c r="C48" s="318"/>
      <c r="D48" s="301" t="s">
        <v>554</v>
      </c>
      <c r="E48" s="300">
        <v>0.1</v>
      </c>
      <c r="F48" s="306" t="s">
        <v>555</v>
      </c>
      <c r="G48" s="302">
        <v>1</v>
      </c>
      <c r="H48" s="306" t="s">
        <v>555</v>
      </c>
      <c r="I48" s="303">
        <v>695</v>
      </c>
      <c r="J48" s="304">
        <f>SUM(E48*I48/G48)</f>
        <v>69.5</v>
      </c>
    </row>
    <row r="49" spans="1:10" ht="15.75" customHeight="1">
      <c r="A49" s="295"/>
      <c r="B49" s="298">
        <v>2</v>
      </c>
      <c r="C49" s="318"/>
      <c r="D49" s="301" t="s">
        <v>556</v>
      </c>
      <c r="E49" s="300">
        <v>0.1</v>
      </c>
      <c r="F49" s="306" t="s">
        <v>555</v>
      </c>
      <c r="G49" s="302">
        <v>1</v>
      </c>
      <c r="H49" s="306" t="s">
        <v>555</v>
      </c>
      <c r="I49" s="303">
        <v>580</v>
      </c>
      <c r="J49" s="303">
        <f>SUM(E49*I49/G49)</f>
        <v>58</v>
      </c>
    </row>
    <row r="50" spans="1:10" ht="15.75" customHeight="1">
      <c r="A50" s="295"/>
      <c r="B50" s="318"/>
      <c r="C50" s="318"/>
      <c r="D50" s="335" t="s">
        <v>557</v>
      </c>
      <c r="E50" s="300"/>
      <c r="F50" s="306"/>
      <c r="G50" s="302"/>
      <c r="H50" s="306"/>
      <c r="I50" s="334"/>
      <c r="J50" s="323">
        <f>SUM(J48:J49)</f>
        <v>127.5</v>
      </c>
    </row>
    <row r="51" spans="1:10" ht="15.75" customHeight="1">
      <c r="A51" s="295"/>
      <c r="B51" s="318"/>
      <c r="C51" s="318"/>
      <c r="D51" s="314" t="s">
        <v>558</v>
      </c>
      <c r="E51" s="300"/>
      <c r="F51" s="306"/>
      <c r="G51" s="302"/>
      <c r="H51" s="306"/>
      <c r="I51" s="334"/>
      <c r="J51" s="304"/>
    </row>
    <row r="52" spans="1:10" ht="15.75" customHeight="1">
      <c r="A52" s="295"/>
      <c r="B52" s="298" t="s">
        <v>580</v>
      </c>
      <c r="C52" s="298" t="s">
        <v>581</v>
      </c>
      <c r="D52" s="299" t="s">
        <v>582</v>
      </c>
      <c r="E52" s="313">
        <v>1</v>
      </c>
      <c r="F52" s="301" t="s">
        <v>66</v>
      </c>
      <c r="G52" s="302">
        <v>1</v>
      </c>
      <c r="H52" s="301" t="s">
        <v>66</v>
      </c>
      <c r="I52" s="336">
        <v>164</v>
      </c>
      <c r="J52" s="304">
        <f>SUM(E52*I52/G52)</f>
        <v>164</v>
      </c>
    </row>
    <row r="53" spans="1:10" ht="15.75" customHeight="1">
      <c r="A53" s="295"/>
      <c r="B53" s="298" t="s">
        <v>583</v>
      </c>
      <c r="C53" s="298" t="s">
        <v>581</v>
      </c>
      <c r="D53" s="299" t="s">
        <v>584</v>
      </c>
      <c r="E53" s="313">
        <v>1</v>
      </c>
      <c r="F53" s="301" t="s">
        <v>14</v>
      </c>
      <c r="G53" s="302">
        <v>1</v>
      </c>
      <c r="H53" s="301" t="s">
        <v>66</v>
      </c>
      <c r="I53" s="336">
        <v>164</v>
      </c>
      <c r="J53" s="304">
        <f>SUM(E53*I53/G53)</f>
        <v>164</v>
      </c>
    </row>
    <row r="54" spans="1:10" ht="15.75" customHeight="1">
      <c r="A54" s="295"/>
      <c r="B54" s="298" t="s">
        <v>585</v>
      </c>
      <c r="C54" s="298" t="s">
        <v>565</v>
      </c>
      <c r="D54" s="299" t="s">
        <v>586</v>
      </c>
      <c r="E54" s="313">
        <v>2</v>
      </c>
      <c r="F54" s="301" t="s">
        <v>14</v>
      </c>
      <c r="G54" s="302">
        <v>1</v>
      </c>
      <c r="H54" s="301" t="s">
        <v>66</v>
      </c>
      <c r="I54" s="336">
        <v>116</v>
      </c>
      <c r="J54" s="304">
        <f>SUM(E54*I54/G54)</f>
        <v>232</v>
      </c>
    </row>
    <row r="55" spans="1:10" ht="15.75" customHeight="1">
      <c r="A55" s="295"/>
      <c r="B55" s="298" t="s">
        <v>585</v>
      </c>
      <c r="C55" s="302" t="s">
        <v>581</v>
      </c>
      <c r="D55" s="309" t="s">
        <v>587</v>
      </c>
      <c r="E55" s="313">
        <v>2</v>
      </c>
      <c r="F55" s="301" t="s">
        <v>14</v>
      </c>
      <c r="G55" s="302">
        <v>1</v>
      </c>
      <c r="H55" s="301" t="s">
        <v>66</v>
      </c>
      <c r="I55" s="336">
        <v>178</v>
      </c>
      <c r="J55" s="304">
        <f>SUM(E55*I55/G55)</f>
        <v>356</v>
      </c>
    </row>
    <row r="56" spans="1:10" ht="15.75" customHeight="1">
      <c r="A56" s="295"/>
      <c r="B56" s="318"/>
      <c r="C56" s="318"/>
      <c r="D56" s="299" t="s">
        <v>588</v>
      </c>
      <c r="E56" s="300"/>
      <c r="F56" s="301"/>
      <c r="G56" s="302"/>
      <c r="H56" s="301"/>
      <c r="I56" s="334"/>
      <c r="J56" s="323">
        <f>SUM(J52:J55)</f>
        <v>916</v>
      </c>
    </row>
    <row r="57" spans="1:10" ht="15.75" customHeight="1">
      <c r="A57" s="295"/>
      <c r="B57" s="318"/>
      <c r="C57" s="318"/>
      <c r="D57" s="314" t="s">
        <v>568</v>
      </c>
      <c r="E57" s="337"/>
      <c r="F57" s="301"/>
      <c r="G57" s="338"/>
      <c r="H57" s="339"/>
      <c r="I57" s="334"/>
      <c r="J57" s="329">
        <f>ROUNDDOWN(J50+J56,0)</f>
        <v>1043</v>
      </c>
    </row>
    <row r="58" spans="1:10" ht="15.75" customHeight="1">
      <c r="A58" s="295"/>
      <c r="B58" s="318"/>
      <c r="C58" s="318"/>
      <c r="D58" s="319" t="s">
        <v>569</v>
      </c>
      <c r="E58" s="320">
        <v>0.13614999999999999</v>
      </c>
      <c r="F58" s="321"/>
      <c r="G58" s="322"/>
      <c r="H58" s="321"/>
      <c r="I58" s="329"/>
      <c r="J58" s="323">
        <f>J57*E58</f>
        <v>142.00444999999999</v>
      </c>
    </row>
    <row r="59" spans="1:10" ht="15.75" customHeight="1">
      <c r="A59" s="295"/>
      <c r="B59" s="318"/>
      <c r="C59" s="318"/>
      <c r="D59" s="340"/>
      <c r="E59" s="300"/>
      <c r="F59" s="321"/>
      <c r="G59" s="322"/>
      <c r="H59" s="321"/>
      <c r="I59" s="329"/>
      <c r="J59" s="323">
        <f>SUM(J57:J58)</f>
        <v>1185.0044499999999</v>
      </c>
    </row>
    <row r="60" spans="1:10" ht="15.75" customHeight="1">
      <c r="A60" s="295"/>
      <c r="B60" s="318"/>
      <c r="C60" s="318"/>
      <c r="D60" s="341" t="s">
        <v>570</v>
      </c>
      <c r="E60" s="300"/>
      <c r="F60" s="321"/>
      <c r="G60" s="322"/>
      <c r="H60" s="321"/>
      <c r="I60" s="342"/>
      <c r="J60" s="326">
        <f>ROUND(J59,0)</f>
        <v>1185</v>
      </c>
    </row>
    <row r="61" spans="1:10" ht="15.75" customHeight="1">
      <c r="A61" s="295"/>
      <c r="B61" s="318"/>
      <c r="C61" s="318"/>
      <c r="D61" s="301"/>
      <c r="E61" s="301"/>
      <c r="F61" s="301"/>
      <c r="G61" s="301"/>
      <c r="H61" s="301"/>
      <c r="I61" s="301"/>
      <c r="J61" s="301"/>
    </row>
    <row r="62" spans="1:10" ht="54.75" customHeight="1">
      <c r="A62" s="295"/>
      <c r="B62" s="343"/>
      <c r="C62" s="343"/>
      <c r="D62" s="1253" t="s">
        <v>545</v>
      </c>
      <c r="E62" s="1253"/>
      <c r="F62" s="1253"/>
      <c r="G62" s="1253"/>
      <c r="H62" s="1253"/>
      <c r="I62" s="1253"/>
      <c r="J62" s="1253"/>
    </row>
    <row r="63" spans="1:10" ht="54" customHeight="1">
      <c r="A63" s="295"/>
      <c r="B63" s="318" t="s">
        <v>589</v>
      </c>
      <c r="C63" s="322" t="s">
        <v>590</v>
      </c>
      <c r="D63" s="315" t="s">
        <v>591</v>
      </c>
      <c r="E63" s="327" t="s">
        <v>572</v>
      </c>
      <c r="F63" s="328">
        <v>1</v>
      </c>
      <c r="G63" s="302">
        <v>1</v>
      </c>
      <c r="H63" s="301" t="s">
        <v>14</v>
      </c>
      <c r="I63" s="303">
        <v>4019</v>
      </c>
      <c r="J63" s="329">
        <f>I63*F63</f>
        <v>4019</v>
      </c>
    </row>
    <row r="64" spans="1:10" ht="15.75" customHeight="1">
      <c r="A64" s="295"/>
      <c r="B64" s="318"/>
      <c r="C64" s="318"/>
      <c r="D64" s="344" t="s">
        <v>592</v>
      </c>
      <c r="E64" s="334">
        <v>0.02</v>
      </c>
      <c r="F64" s="328"/>
      <c r="G64" s="302"/>
      <c r="H64" s="301"/>
      <c r="I64" s="330"/>
      <c r="J64" s="329">
        <f>J63*E64</f>
        <v>80.38</v>
      </c>
    </row>
    <row r="65" spans="1:10">
      <c r="A65" s="295"/>
      <c r="B65" s="318"/>
      <c r="C65" s="318"/>
      <c r="D65" s="344"/>
      <c r="E65" s="327"/>
      <c r="F65" s="328"/>
      <c r="G65" s="302"/>
      <c r="H65" s="301"/>
      <c r="I65" s="303"/>
      <c r="J65" s="329">
        <f>SUM(J63:J64)</f>
        <v>4099.38</v>
      </c>
    </row>
    <row r="66" spans="1:10">
      <c r="A66" s="295"/>
      <c r="B66" s="318"/>
      <c r="C66" s="318"/>
      <c r="D66" s="319" t="s">
        <v>569</v>
      </c>
      <c r="E66" s="320">
        <v>0.13614999999999999</v>
      </c>
      <c r="F66" s="321"/>
      <c r="G66" s="322"/>
      <c r="H66" s="321"/>
      <c r="I66" s="330"/>
      <c r="J66" s="323">
        <f>J65*E66</f>
        <v>558.13058699999999</v>
      </c>
    </row>
    <row r="67" spans="1:10">
      <c r="A67" s="295"/>
      <c r="B67" s="318"/>
      <c r="C67" s="318"/>
      <c r="D67" s="324"/>
      <c r="E67" s="300"/>
      <c r="F67" s="321"/>
      <c r="G67" s="322"/>
      <c r="H67" s="321"/>
      <c r="I67" s="330"/>
      <c r="J67" s="323">
        <f>SUM(J65:J66)</f>
        <v>4657.5105869999998</v>
      </c>
    </row>
    <row r="68" spans="1:10">
      <c r="A68" s="295"/>
      <c r="B68" s="318"/>
      <c r="C68" s="318"/>
      <c r="D68" s="331" t="s">
        <v>570</v>
      </c>
      <c r="E68" s="300"/>
      <c r="F68" s="321"/>
      <c r="G68" s="322"/>
      <c r="H68" s="321"/>
      <c r="I68" s="330"/>
      <c r="J68" s="326">
        <f>ROUND(J67,0)</f>
        <v>4658</v>
      </c>
    </row>
    <row r="69" spans="1:10">
      <c r="A69" s="295"/>
      <c r="B69" s="318"/>
      <c r="C69" s="318"/>
      <c r="D69" s="331"/>
      <c r="E69" s="300"/>
      <c r="F69" s="321"/>
      <c r="G69" s="322"/>
      <c r="H69" s="321"/>
      <c r="I69" s="330"/>
      <c r="J69" s="326"/>
    </row>
    <row r="70" spans="1:10" ht="57" customHeight="1">
      <c r="A70" s="295"/>
      <c r="B70" s="332"/>
      <c r="C70" s="332"/>
      <c r="D70" s="1253" t="s">
        <v>593</v>
      </c>
      <c r="E70" s="1253"/>
      <c r="F70" s="1253"/>
      <c r="G70" s="1253"/>
      <c r="H70" s="1253"/>
      <c r="I70" s="1253"/>
      <c r="J70" s="1253"/>
    </row>
    <row r="71" spans="1:10">
      <c r="A71" s="295"/>
      <c r="B71" s="298"/>
      <c r="C71" s="298"/>
      <c r="D71" s="333" t="s">
        <v>553</v>
      </c>
      <c r="E71" s="300"/>
      <c r="F71" s="301"/>
      <c r="G71" s="302"/>
      <c r="H71" s="301"/>
      <c r="I71" s="303"/>
      <c r="J71" s="304"/>
    </row>
    <row r="72" spans="1:10">
      <c r="A72" s="295"/>
      <c r="B72" s="298">
        <v>1</v>
      </c>
      <c r="C72" s="298"/>
      <c r="D72" s="301" t="s">
        <v>554</v>
      </c>
      <c r="E72" s="305">
        <v>0.25</v>
      </c>
      <c r="F72" s="306" t="s">
        <v>555</v>
      </c>
      <c r="G72" s="302">
        <v>1</v>
      </c>
      <c r="H72" s="306" t="s">
        <v>555</v>
      </c>
      <c r="I72" s="303">
        <v>695</v>
      </c>
      <c r="J72" s="304">
        <f>SUM(E72*I72/G72)</f>
        <v>173.75</v>
      </c>
    </row>
    <row r="73" spans="1:10" ht="28">
      <c r="A73" s="295"/>
      <c r="B73" s="298">
        <v>2</v>
      </c>
      <c r="C73" s="298"/>
      <c r="D73" s="301" t="s">
        <v>594</v>
      </c>
      <c r="E73" s="305">
        <v>0.25</v>
      </c>
      <c r="F73" s="306" t="s">
        <v>555</v>
      </c>
      <c r="G73" s="302">
        <v>1</v>
      </c>
      <c r="H73" s="306" t="s">
        <v>555</v>
      </c>
      <c r="I73" s="303">
        <v>580</v>
      </c>
      <c r="J73" s="304">
        <f>SUM(E73*I73/G73)</f>
        <v>145</v>
      </c>
    </row>
    <row r="74" spans="1:10">
      <c r="A74" s="295"/>
      <c r="B74" s="298">
        <v>4</v>
      </c>
      <c r="C74" s="298"/>
      <c r="D74" s="309" t="s">
        <v>595</v>
      </c>
      <c r="E74" s="305">
        <v>0.25</v>
      </c>
      <c r="F74" s="306" t="s">
        <v>555</v>
      </c>
      <c r="G74" s="302">
        <v>1</v>
      </c>
      <c r="H74" s="306" t="s">
        <v>555</v>
      </c>
      <c r="I74" s="303">
        <v>610</v>
      </c>
      <c r="J74" s="304">
        <f>SUM(E74*I74/G74)</f>
        <v>152.5</v>
      </c>
    </row>
    <row r="75" spans="1:10">
      <c r="A75" s="295"/>
      <c r="B75" s="298"/>
      <c r="C75" s="298"/>
      <c r="D75" s="299" t="s">
        <v>557</v>
      </c>
      <c r="E75" s="300"/>
      <c r="F75" s="306"/>
      <c r="G75" s="302"/>
      <c r="H75" s="306"/>
      <c r="I75" s="303"/>
      <c r="J75" s="304">
        <f>SUM(J72:J74)</f>
        <v>471.25</v>
      </c>
    </row>
    <row r="76" spans="1:10" ht="42">
      <c r="A76" s="295"/>
      <c r="B76" s="334" t="s">
        <v>574</v>
      </c>
      <c r="C76" s="302"/>
      <c r="D76" s="299" t="s">
        <v>596</v>
      </c>
      <c r="E76" s="300">
        <v>1</v>
      </c>
      <c r="F76" s="301" t="s">
        <v>562</v>
      </c>
      <c r="G76" s="302">
        <v>100</v>
      </c>
      <c r="H76" s="301" t="s">
        <v>562</v>
      </c>
      <c r="I76" s="303">
        <v>1260</v>
      </c>
      <c r="J76" s="304">
        <f>SUM(E76*I76/G76)</f>
        <v>12.6</v>
      </c>
    </row>
    <row r="77" spans="1:10">
      <c r="A77" s="295"/>
      <c r="B77" s="298" t="s">
        <v>597</v>
      </c>
      <c r="C77" s="298"/>
      <c r="D77" s="301" t="s">
        <v>598</v>
      </c>
      <c r="E77" s="313">
        <v>25</v>
      </c>
      <c r="F77" s="301" t="s">
        <v>312</v>
      </c>
      <c r="G77" s="302">
        <v>1</v>
      </c>
      <c r="H77" s="301" t="s">
        <v>312</v>
      </c>
      <c r="I77" s="335">
        <v>9</v>
      </c>
      <c r="J77" s="304">
        <f>SUM(E77*I77/G77)</f>
        <v>225</v>
      </c>
    </row>
    <row r="78" spans="1:10" ht="28">
      <c r="A78" s="295"/>
      <c r="B78" s="298"/>
      <c r="C78" s="298"/>
      <c r="D78" s="299" t="s">
        <v>599</v>
      </c>
      <c r="E78" s="313">
        <v>1</v>
      </c>
      <c r="F78" s="301" t="s">
        <v>201</v>
      </c>
      <c r="G78" s="302">
        <v>1</v>
      </c>
      <c r="H78" s="301" t="s">
        <v>201</v>
      </c>
      <c r="I78" s="303">
        <v>10</v>
      </c>
      <c r="J78" s="304">
        <f>SUM(E78*I78/G78)</f>
        <v>10</v>
      </c>
    </row>
    <row r="79" spans="1:10">
      <c r="A79" s="295"/>
      <c r="B79" s="298"/>
      <c r="C79" s="298"/>
      <c r="D79" s="299" t="s">
        <v>575</v>
      </c>
      <c r="E79" s="300"/>
      <c r="F79" s="306"/>
      <c r="G79" s="302"/>
      <c r="H79" s="306"/>
      <c r="I79" s="303"/>
      <c r="J79" s="304">
        <f>SUM(J76:J78)</f>
        <v>247.6</v>
      </c>
    </row>
    <row r="80" spans="1:10" ht="28">
      <c r="A80" s="295"/>
      <c r="B80" s="298"/>
      <c r="C80" s="298"/>
      <c r="D80" s="314" t="s">
        <v>568</v>
      </c>
      <c r="E80" s="315"/>
      <c r="F80" s="315"/>
      <c r="G80" s="298"/>
      <c r="H80" s="315"/>
      <c r="I80" s="330"/>
      <c r="J80" s="329">
        <f>ROUNDDOWN(J75+J79,0)</f>
        <v>718</v>
      </c>
    </row>
    <row r="81" spans="1:10">
      <c r="A81" s="295"/>
      <c r="B81" s="318"/>
      <c r="C81" s="318"/>
      <c r="D81" s="319" t="s">
        <v>569</v>
      </c>
      <c r="E81" s="320">
        <v>0.13614999999999999</v>
      </c>
      <c r="F81" s="321"/>
      <c r="G81" s="322"/>
      <c r="H81" s="321"/>
      <c r="I81" s="330"/>
      <c r="J81" s="323">
        <f>J80*E81</f>
        <v>97.75569999999999</v>
      </c>
    </row>
    <row r="82" spans="1:10">
      <c r="A82" s="295"/>
      <c r="B82" s="318"/>
      <c r="C82" s="318"/>
      <c r="D82" s="324"/>
      <c r="E82" s="300"/>
      <c r="F82" s="321"/>
      <c r="G82" s="322"/>
      <c r="H82" s="321"/>
      <c r="I82" s="330"/>
      <c r="J82" s="323">
        <f>SUM(J80:J81)</f>
        <v>815.75569999999993</v>
      </c>
    </row>
    <row r="83" spans="1:10">
      <c r="A83" s="295"/>
      <c r="B83" s="318"/>
      <c r="C83" s="318"/>
      <c r="D83" s="331" t="s">
        <v>570</v>
      </c>
      <c r="E83" s="300"/>
      <c r="F83" s="321"/>
      <c r="G83" s="322"/>
      <c r="H83" s="321"/>
      <c r="I83" s="330"/>
      <c r="J83" s="326">
        <f>ROUND(J82,0)</f>
        <v>816</v>
      </c>
    </row>
    <row r="84" spans="1:10">
      <c r="A84" s="295"/>
      <c r="B84" s="318"/>
      <c r="C84" s="318"/>
      <c r="D84" s="331"/>
      <c r="E84" s="300"/>
      <c r="F84" s="321"/>
      <c r="G84" s="322"/>
      <c r="H84" s="321"/>
      <c r="I84" s="330"/>
      <c r="J84" s="326"/>
    </row>
    <row r="85" spans="1:10" ht="70.5" customHeight="1">
      <c r="A85" s="295"/>
      <c r="B85" s="332"/>
      <c r="C85" s="332"/>
      <c r="D85" s="1253" t="s">
        <v>600</v>
      </c>
      <c r="E85" s="1253"/>
      <c r="F85" s="1253"/>
      <c r="G85" s="1253"/>
      <c r="H85" s="1253"/>
      <c r="I85" s="1253"/>
      <c r="J85" s="1253"/>
    </row>
    <row r="86" spans="1:10">
      <c r="A86" s="295"/>
      <c r="B86" s="318"/>
      <c r="C86" s="318"/>
      <c r="D86" s="314" t="s">
        <v>601</v>
      </c>
      <c r="E86" s="300"/>
      <c r="F86" s="339"/>
      <c r="G86" s="322"/>
      <c r="H86" s="339"/>
      <c r="I86" s="316"/>
      <c r="J86" s="323"/>
    </row>
    <row r="87" spans="1:10">
      <c r="A87" s="295"/>
      <c r="B87" s="298">
        <v>1</v>
      </c>
      <c r="C87" s="298"/>
      <c r="D87" s="301" t="s">
        <v>554</v>
      </c>
      <c r="E87" s="300">
        <v>0.5</v>
      </c>
      <c r="F87" s="306" t="s">
        <v>555</v>
      </c>
      <c r="G87" s="302">
        <v>1</v>
      </c>
      <c r="H87" s="306" t="s">
        <v>555</v>
      </c>
      <c r="I87" s="303">
        <v>695</v>
      </c>
      <c r="J87" s="304">
        <f>SUM(E87*I87/G87)</f>
        <v>347.5</v>
      </c>
    </row>
    <row r="88" spans="1:10" ht="28">
      <c r="A88" s="295"/>
      <c r="B88" s="298">
        <v>2</v>
      </c>
      <c r="C88" s="298"/>
      <c r="D88" s="301" t="s">
        <v>594</v>
      </c>
      <c r="E88" s="300">
        <v>0.5</v>
      </c>
      <c r="F88" s="306" t="s">
        <v>555</v>
      </c>
      <c r="G88" s="302">
        <v>1</v>
      </c>
      <c r="H88" s="306" t="s">
        <v>555</v>
      </c>
      <c r="I88" s="303">
        <v>580</v>
      </c>
      <c r="J88" s="304">
        <f>SUM(E88*I88/G88)</f>
        <v>290</v>
      </c>
    </row>
    <row r="89" spans="1:10">
      <c r="A89" s="295"/>
      <c r="B89" s="298">
        <v>3</v>
      </c>
      <c r="C89" s="298"/>
      <c r="D89" s="309" t="s">
        <v>595</v>
      </c>
      <c r="E89" s="300">
        <v>0.5</v>
      </c>
      <c r="F89" s="306" t="s">
        <v>555</v>
      </c>
      <c r="G89" s="302">
        <v>1</v>
      </c>
      <c r="H89" s="306" t="s">
        <v>555</v>
      </c>
      <c r="I89" s="303">
        <v>580</v>
      </c>
      <c r="J89" s="304">
        <f>SUM(E89*I89/G89)</f>
        <v>290</v>
      </c>
    </row>
    <row r="90" spans="1:10">
      <c r="A90" s="295"/>
      <c r="B90" s="318"/>
      <c r="C90" s="318"/>
      <c r="D90" s="345"/>
      <c r="E90" s="300"/>
      <c r="F90" s="321"/>
      <c r="G90" s="322"/>
      <c r="H90" s="321"/>
      <c r="I90" s="316"/>
      <c r="J90" s="316">
        <f>SUM(J87:J89)</f>
        <v>927.5</v>
      </c>
    </row>
    <row r="91" spans="1:10">
      <c r="A91" s="295"/>
      <c r="B91" s="298"/>
      <c r="C91" s="298"/>
      <c r="D91" s="314" t="s">
        <v>602</v>
      </c>
      <c r="E91" s="300"/>
      <c r="F91" s="301"/>
      <c r="G91" s="302"/>
      <c r="H91" s="301"/>
      <c r="I91" s="303"/>
      <c r="J91" s="304"/>
    </row>
    <row r="92" spans="1:10" ht="24" customHeight="1">
      <c r="A92" s="295"/>
      <c r="B92" s="332" t="s">
        <v>603</v>
      </c>
      <c r="C92" s="302" t="s">
        <v>604</v>
      </c>
      <c r="D92" s="299" t="s">
        <v>605</v>
      </c>
      <c r="E92" s="313">
        <v>1</v>
      </c>
      <c r="F92" s="301" t="s">
        <v>14</v>
      </c>
      <c r="G92" s="302">
        <v>1</v>
      </c>
      <c r="H92" s="301" t="s">
        <v>66</v>
      </c>
      <c r="I92" s="303">
        <v>2417</v>
      </c>
      <c r="J92" s="304">
        <f>SUM(E92*I92/G92)</f>
        <v>2417</v>
      </c>
    </row>
    <row r="93" spans="1:10" ht="34.5" customHeight="1">
      <c r="A93" s="346">
        <f>SUM(MAX($A$1:$A3),1)</f>
        <v>1</v>
      </c>
      <c r="B93" s="298" t="s">
        <v>606</v>
      </c>
      <c r="C93" s="310" t="s">
        <v>607</v>
      </c>
      <c r="D93" s="299" t="s">
        <v>608</v>
      </c>
      <c r="E93" s="313">
        <v>1</v>
      </c>
      <c r="F93" s="301" t="s">
        <v>66</v>
      </c>
      <c r="G93" s="302">
        <v>1</v>
      </c>
      <c r="H93" s="301" t="s">
        <v>66</v>
      </c>
      <c r="I93" s="303">
        <v>2784</v>
      </c>
      <c r="J93" s="304">
        <f>SUM(E93*I93/G93)</f>
        <v>2784</v>
      </c>
    </row>
    <row r="94" spans="1:10" ht="31.5" customHeight="1">
      <c r="A94" s="328"/>
      <c r="B94" s="296" t="s">
        <v>606</v>
      </c>
      <c r="C94" s="310" t="s">
        <v>565</v>
      </c>
      <c r="D94" s="307" t="s">
        <v>609</v>
      </c>
      <c r="E94" s="313">
        <v>8</v>
      </c>
      <c r="F94" s="301" t="s">
        <v>14</v>
      </c>
      <c r="G94" s="302">
        <v>1</v>
      </c>
      <c r="H94" s="301" t="s">
        <v>66</v>
      </c>
      <c r="I94" s="303">
        <v>309</v>
      </c>
      <c r="J94" s="304">
        <f>SUM(E94*I94/G94)</f>
        <v>2472</v>
      </c>
    </row>
    <row r="95" spans="1:10" ht="28">
      <c r="A95" s="328"/>
      <c r="B95" s="298" t="s">
        <v>610</v>
      </c>
      <c r="C95" s="302"/>
      <c r="D95" s="309" t="s">
        <v>611</v>
      </c>
      <c r="E95" s="300">
        <v>12.5</v>
      </c>
      <c r="F95" s="301" t="s">
        <v>312</v>
      </c>
      <c r="G95" s="302">
        <v>1</v>
      </c>
      <c r="H95" s="301" t="s">
        <v>312</v>
      </c>
      <c r="I95" s="303">
        <v>9</v>
      </c>
      <c r="J95" s="304">
        <f>SUM(E95*I95/G95)</f>
        <v>112.5</v>
      </c>
    </row>
    <row r="96" spans="1:10">
      <c r="A96" s="328"/>
      <c r="B96" s="295"/>
      <c r="C96" s="295"/>
      <c r="D96" s="347"/>
      <c r="E96" s="348"/>
      <c r="F96" s="349"/>
      <c r="G96" s="350"/>
      <c r="H96" s="349"/>
      <c r="I96" s="297"/>
      <c r="J96" s="351">
        <f>SUM(J92:J95)</f>
        <v>7785.5</v>
      </c>
    </row>
    <row r="97" spans="1:10" ht="42">
      <c r="A97" s="328"/>
      <c r="B97" s="298"/>
      <c r="C97" s="298"/>
      <c r="D97" s="314" t="s">
        <v>612</v>
      </c>
      <c r="E97" s="352" t="s">
        <v>613</v>
      </c>
      <c r="F97" s="314"/>
      <c r="G97" s="322"/>
      <c r="H97" s="339"/>
      <c r="I97" s="330"/>
      <c r="J97" s="329">
        <f>J96+J90</f>
        <v>8713</v>
      </c>
    </row>
    <row r="98" spans="1:10">
      <c r="A98" s="328"/>
      <c r="B98" s="318"/>
      <c r="C98" s="318"/>
      <c r="D98" s="319" t="s">
        <v>569</v>
      </c>
      <c r="E98" s="320">
        <v>0.13614999999999999</v>
      </c>
      <c r="F98" s="321"/>
      <c r="G98" s="322"/>
      <c r="H98" s="321"/>
      <c r="I98" s="330"/>
      <c r="J98" s="323">
        <f>J97*E98</f>
        <v>1186.27495</v>
      </c>
    </row>
    <row r="99" spans="1:10">
      <c r="A99" s="328"/>
      <c r="B99" s="318"/>
      <c r="C99" s="318"/>
      <c r="D99" s="324"/>
      <c r="E99" s="300"/>
      <c r="F99" s="321"/>
      <c r="G99" s="322"/>
      <c r="H99" s="321"/>
      <c r="I99" s="330"/>
      <c r="J99" s="323">
        <f>SUM(J97:J98)</f>
        <v>9899.2749499999991</v>
      </c>
    </row>
    <row r="100" spans="1:10">
      <c r="A100" s="328"/>
      <c r="B100" s="318"/>
      <c r="C100" s="318"/>
      <c r="D100" s="319" t="s">
        <v>570</v>
      </c>
      <c r="E100" s="300"/>
      <c r="F100" s="321"/>
      <c r="G100" s="322"/>
      <c r="H100" s="321"/>
      <c r="I100" s="330"/>
      <c r="J100" s="326">
        <f>ROUND(J99,0)</f>
        <v>9899</v>
      </c>
    </row>
    <row r="101" spans="1:10">
      <c r="A101" s="328"/>
      <c r="B101" s="298"/>
      <c r="C101" s="298"/>
      <c r="D101" s="299"/>
      <c r="E101" s="300"/>
      <c r="F101" s="301"/>
      <c r="G101" s="302"/>
      <c r="H101" s="301"/>
      <c r="I101" s="330"/>
      <c r="J101" s="334"/>
    </row>
    <row r="102" spans="1:10" ht="36.75" customHeight="1">
      <c r="A102" s="328"/>
      <c r="B102" s="332"/>
      <c r="C102" s="332"/>
      <c r="D102" s="1253" t="s">
        <v>301</v>
      </c>
      <c r="E102" s="1253"/>
      <c r="F102" s="1253"/>
      <c r="G102" s="1253"/>
      <c r="H102" s="1253"/>
      <c r="I102" s="1253"/>
      <c r="J102" s="1253"/>
    </row>
    <row r="103" spans="1:10">
      <c r="A103" s="328"/>
      <c r="B103" s="298"/>
      <c r="C103" s="298"/>
      <c r="D103" s="333" t="s">
        <v>553</v>
      </c>
      <c r="E103" s="300"/>
      <c r="F103" s="301"/>
      <c r="G103" s="302"/>
      <c r="H103" s="301"/>
      <c r="I103" s="303"/>
      <c r="J103" s="304"/>
    </row>
    <row r="104" spans="1:10">
      <c r="A104" s="328"/>
      <c r="B104" s="298">
        <v>3</v>
      </c>
      <c r="C104" s="298"/>
      <c r="D104" s="301" t="s">
        <v>556</v>
      </c>
      <c r="E104" s="305">
        <v>0.1</v>
      </c>
      <c r="F104" s="306" t="s">
        <v>555</v>
      </c>
      <c r="G104" s="302">
        <v>1</v>
      </c>
      <c r="H104" s="306" t="s">
        <v>555</v>
      </c>
      <c r="I104" s="303">
        <v>580</v>
      </c>
      <c r="J104" s="303">
        <f>SUM(E104*I104/G104)</f>
        <v>58</v>
      </c>
    </row>
    <row r="105" spans="1:10">
      <c r="A105" s="353"/>
      <c r="B105" s="298"/>
      <c r="C105" s="298"/>
      <c r="D105" s="299" t="s">
        <v>557</v>
      </c>
      <c r="E105" s="300"/>
      <c r="F105" s="306"/>
      <c r="G105" s="302"/>
      <c r="H105" s="306"/>
      <c r="I105" s="303"/>
      <c r="J105" s="323">
        <f>SUM(J104:J104)</f>
        <v>58</v>
      </c>
    </row>
    <row r="106" spans="1:10">
      <c r="A106" s="353"/>
      <c r="B106" s="298"/>
      <c r="C106" s="298"/>
      <c r="D106" s="299" t="s">
        <v>573</v>
      </c>
      <c r="E106" s="300"/>
      <c r="F106" s="306"/>
      <c r="G106" s="302"/>
      <c r="H106" s="306"/>
      <c r="I106" s="303"/>
      <c r="J106" s="304"/>
    </row>
    <row r="107" spans="1:10" ht="42">
      <c r="A107" s="353"/>
      <c r="B107" s="298" t="s">
        <v>614</v>
      </c>
      <c r="C107" s="302"/>
      <c r="D107" s="299" t="s">
        <v>615</v>
      </c>
      <c r="E107" s="300">
        <v>1</v>
      </c>
      <c r="F107" s="301" t="s">
        <v>562</v>
      </c>
      <c r="G107" s="302">
        <v>1</v>
      </c>
      <c r="H107" s="301" t="s">
        <v>562</v>
      </c>
      <c r="I107" s="303">
        <v>116</v>
      </c>
      <c r="J107" s="304">
        <f>SUM(E107*I107/G107)</f>
        <v>116</v>
      </c>
    </row>
    <row r="108" spans="1:10" ht="28">
      <c r="A108" s="353"/>
      <c r="B108" s="298"/>
      <c r="C108" s="298"/>
      <c r="D108" s="314" t="s">
        <v>568</v>
      </c>
      <c r="E108" s="315"/>
      <c r="F108" s="315"/>
      <c r="G108" s="298"/>
      <c r="H108" s="315"/>
      <c r="I108" s="316"/>
      <c r="J108" s="317">
        <f>SUM(J105:J107)</f>
        <v>174</v>
      </c>
    </row>
    <row r="109" spans="1:10" ht="56">
      <c r="A109" s="353"/>
      <c r="B109" s="298"/>
      <c r="C109" s="298"/>
      <c r="D109" s="299" t="s">
        <v>616</v>
      </c>
      <c r="E109" s="300">
        <v>0.23</v>
      </c>
      <c r="F109" s="301" t="s">
        <v>562</v>
      </c>
      <c r="G109" s="302">
        <v>1</v>
      </c>
      <c r="H109" s="301" t="s">
        <v>562</v>
      </c>
      <c r="I109" s="303">
        <f>I107</f>
        <v>116</v>
      </c>
      <c r="J109" s="304">
        <f>SUM(E109*I109/G109)</f>
        <v>26.68</v>
      </c>
    </row>
    <row r="110" spans="1:10">
      <c r="A110" s="353"/>
      <c r="B110" s="298"/>
      <c r="C110" s="298"/>
      <c r="D110" s="299"/>
      <c r="E110" s="300"/>
      <c r="F110" s="301"/>
      <c r="G110" s="302"/>
      <c r="H110" s="301"/>
      <c r="I110" s="330"/>
      <c r="J110" s="334">
        <f>J108-J109</f>
        <v>147.32</v>
      </c>
    </row>
    <row r="111" spans="1:10">
      <c r="A111" s="353"/>
      <c r="B111" s="318"/>
      <c r="C111" s="318"/>
      <c r="D111" s="319" t="s">
        <v>569</v>
      </c>
      <c r="E111" s="320">
        <v>0.13614999999999999</v>
      </c>
      <c r="F111" s="321"/>
      <c r="G111" s="322"/>
      <c r="H111" s="321"/>
      <c r="I111" s="330"/>
      <c r="J111" s="329">
        <f>J108*E111</f>
        <v>23.690099999999997</v>
      </c>
    </row>
    <row r="112" spans="1:10">
      <c r="A112" s="353"/>
      <c r="B112" s="318"/>
      <c r="C112" s="318"/>
      <c r="D112" s="319"/>
      <c r="E112" s="320"/>
      <c r="F112" s="321"/>
      <c r="G112" s="322"/>
      <c r="H112" s="321"/>
      <c r="I112" s="330"/>
      <c r="J112" s="329">
        <f>SUM(J110:J111)</f>
        <v>171.01009999999999</v>
      </c>
    </row>
    <row r="113" spans="1:10">
      <c r="A113" s="353"/>
      <c r="B113" s="318"/>
      <c r="C113" s="318"/>
      <c r="D113" s="331" t="s">
        <v>570</v>
      </c>
      <c r="E113" s="300"/>
      <c r="F113" s="321"/>
      <c r="G113" s="322"/>
      <c r="H113" s="321"/>
      <c r="I113" s="330"/>
      <c r="J113" s="326">
        <f>ROUND(J112,0)</f>
        <v>171</v>
      </c>
    </row>
    <row r="114" spans="1:10">
      <c r="A114" s="353"/>
      <c r="B114" s="318"/>
      <c r="C114" s="318"/>
      <c r="D114" s="331"/>
      <c r="E114" s="300"/>
      <c r="F114" s="321"/>
      <c r="G114" s="322"/>
      <c r="H114" s="321"/>
      <c r="I114" s="330"/>
      <c r="J114" s="326"/>
    </row>
    <row r="115" spans="1:10" ht="33" customHeight="1">
      <c r="A115" s="353"/>
      <c r="B115" s="353"/>
      <c r="C115" s="353"/>
      <c r="D115" s="1257" t="s">
        <v>548</v>
      </c>
      <c r="E115" s="1257"/>
      <c r="F115" s="1257"/>
      <c r="G115" s="1257"/>
      <c r="H115" s="1257"/>
      <c r="I115" s="1257"/>
      <c r="J115" s="1257"/>
    </row>
    <row r="116" spans="1:10" ht="70.5">
      <c r="A116" s="353"/>
      <c r="B116" s="354" t="s">
        <v>617</v>
      </c>
      <c r="C116" s="353"/>
      <c r="D116" s="354" t="s">
        <v>548</v>
      </c>
      <c r="E116" s="327" t="s">
        <v>572</v>
      </c>
      <c r="F116" s="328">
        <v>1</v>
      </c>
      <c r="G116" s="302">
        <v>1</v>
      </c>
      <c r="H116" s="301" t="s">
        <v>14</v>
      </c>
      <c r="I116" s="303">
        <v>4500</v>
      </c>
      <c r="J116" s="329">
        <f>I116*F116</f>
        <v>4500</v>
      </c>
    </row>
    <row r="117" spans="1:10">
      <c r="A117" s="353"/>
      <c r="B117" s="353"/>
      <c r="C117" s="353"/>
      <c r="D117" s="353"/>
      <c r="E117" s="353"/>
      <c r="F117" s="353"/>
      <c r="G117" s="353"/>
      <c r="H117" s="353"/>
      <c r="I117" s="353"/>
      <c r="J117" s="355">
        <f>SUM(J116)</f>
        <v>4500</v>
      </c>
    </row>
    <row r="118" spans="1:10">
      <c r="A118" s="353"/>
      <c r="B118" s="353"/>
      <c r="C118" s="353"/>
      <c r="D118" s="353"/>
      <c r="E118" s="353"/>
      <c r="F118" s="353"/>
      <c r="G118" s="353"/>
      <c r="H118" s="353"/>
      <c r="I118" s="353"/>
      <c r="J118" s="353"/>
    </row>
    <row r="119" spans="1:10">
      <c r="A119" s="353"/>
      <c r="B119" s="353"/>
      <c r="C119" s="353"/>
      <c r="D119" s="353"/>
      <c r="E119" s="353"/>
      <c r="F119" s="353"/>
      <c r="G119" s="353"/>
      <c r="H119" s="353"/>
      <c r="I119" s="353"/>
      <c r="J119" s="353"/>
    </row>
    <row r="122" spans="1:10" ht="38.25" customHeight="1">
      <c r="B122" s="356"/>
      <c r="C122" s="356"/>
      <c r="D122" s="1252" t="s">
        <v>618</v>
      </c>
      <c r="E122" s="1252"/>
      <c r="F122" s="1252"/>
      <c r="G122" s="1252"/>
      <c r="H122" s="1252"/>
      <c r="I122" s="1252"/>
      <c r="J122" s="1252"/>
    </row>
    <row r="123" spans="1:10">
      <c r="B123" s="357"/>
      <c r="C123" s="357"/>
      <c r="D123" s="358" t="s">
        <v>619</v>
      </c>
      <c r="E123" s="359"/>
      <c r="F123" s="360"/>
      <c r="G123" s="361"/>
      <c r="H123" s="360"/>
      <c r="I123" s="362"/>
      <c r="J123" s="363"/>
    </row>
    <row r="124" spans="1:10">
      <c r="B124" s="357">
        <v>1</v>
      </c>
      <c r="C124" s="357"/>
      <c r="D124" s="360" t="s">
        <v>554</v>
      </c>
      <c r="E124" s="359">
        <v>0.7</v>
      </c>
      <c r="F124" s="364" t="s">
        <v>555</v>
      </c>
      <c r="G124" s="361">
        <v>1</v>
      </c>
      <c r="H124" s="364" t="s">
        <v>555</v>
      </c>
      <c r="I124" s="362">
        <v>695</v>
      </c>
      <c r="J124" s="363">
        <f>SUM(E124*I124/G124)</f>
        <v>486.49999999999994</v>
      </c>
    </row>
    <row r="125" spans="1:10">
      <c r="B125" s="357">
        <v>2</v>
      </c>
      <c r="C125" s="357"/>
      <c r="D125" s="360" t="s">
        <v>594</v>
      </c>
      <c r="E125" s="359">
        <v>1</v>
      </c>
      <c r="F125" s="364" t="s">
        <v>555</v>
      </c>
      <c r="G125" s="361">
        <v>1</v>
      </c>
      <c r="H125" s="364" t="s">
        <v>555</v>
      </c>
      <c r="I125" s="362">
        <v>580</v>
      </c>
      <c r="J125" s="363">
        <f>SUM(E125*I125/G125)</f>
        <v>580</v>
      </c>
    </row>
    <row r="126" spans="1:10">
      <c r="B126" s="357">
        <v>3</v>
      </c>
      <c r="C126" s="357"/>
      <c r="D126" s="360" t="s">
        <v>556</v>
      </c>
      <c r="E126" s="359">
        <v>1</v>
      </c>
      <c r="F126" s="364" t="s">
        <v>555</v>
      </c>
      <c r="G126" s="361">
        <v>1</v>
      </c>
      <c r="H126" s="364" t="s">
        <v>555</v>
      </c>
      <c r="I126" s="362">
        <v>580</v>
      </c>
      <c r="J126" s="362">
        <f>SUM(E126*I126/G126)</f>
        <v>580</v>
      </c>
    </row>
    <row r="127" spans="1:10">
      <c r="B127" s="357"/>
      <c r="C127" s="357"/>
      <c r="D127" s="365" t="s">
        <v>620</v>
      </c>
      <c r="E127" s="359"/>
      <c r="F127" s="364"/>
      <c r="G127" s="361"/>
      <c r="H127" s="364"/>
      <c r="I127" s="362"/>
      <c r="J127" s="363">
        <f>SUM(J124:J126)</f>
        <v>1646.5</v>
      </c>
    </row>
    <row r="128" spans="1:10">
      <c r="B128" s="357"/>
      <c r="C128" s="357"/>
      <c r="D128" s="365" t="s">
        <v>621</v>
      </c>
      <c r="E128" s="359"/>
      <c r="F128" s="364"/>
      <c r="G128" s="361"/>
      <c r="H128" s="364"/>
      <c r="I128" s="362"/>
      <c r="J128" s="366">
        <f>SUM(J127/100)</f>
        <v>16.465</v>
      </c>
    </row>
    <row r="129" spans="2:10">
      <c r="B129" s="357"/>
      <c r="C129" s="357"/>
      <c r="D129" s="365" t="s">
        <v>622</v>
      </c>
      <c r="E129" s="359"/>
      <c r="F129" s="364"/>
      <c r="G129" s="361"/>
      <c r="H129" s="364"/>
      <c r="I129" s="362"/>
      <c r="J129" s="363"/>
    </row>
    <row r="130" spans="2:10" ht="137.5">
      <c r="B130" s="357" t="s">
        <v>623</v>
      </c>
      <c r="C130" s="361" t="s">
        <v>624</v>
      </c>
      <c r="D130" s="365" t="s">
        <v>625</v>
      </c>
      <c r="E130" s="359">
        <v>1</v>
      </c>
      <c r="F130" s="360" t="s">
        <v>562</v>
      </c>
      <c r="G130" s="361">
        <v>1</v>
      </c>
      <c r="H130" s="360" t="s">
        <v>562</v>
      </c>
      <c r="I130" s="362">
        <v>166</v>
      </c>
      <c r="J130" s="363">
        <f>SUM(E130*I130/G130)</f>
        <v>166</v>
      </c>
    </row>
    <row r="131" spans="2:10">
      <c r="B131" s="357"/>
      <c r="C131" s="357"/>
      <c r="D131" s="365" t="s">
        <v>626</v>
      </c>
      <c r="E131" s="359"/>
      <c r="F131" s="360"/>
      <c r="G131" s="361"/>
      <c r="H131" s="360"/>
      <c r="I131" s="362"/>
      <c r="J131" s="363">
        <f>SUM(J130:J130)</f>
        <v>166</v>
      </c>
    </row>
    <row r="132" spans="2:10" ht="26">
      <c r="B132" s="357"/>
      <c r="C132" s="357"/>
      <c r="D132" s="367" t="s">
        <v>568</v>
      </c>
      <c r="E132" s="365"/>
      <c r="F132" s="368"/>
      <c r="G132" s="357"/>
      <c r="H132" s="369"/>
      <c r="I132" s="370"/>
      <c r="J132" s="363">
        <f>ROUNDDOWN(J128+J131,1)</f>
        <v>182.4</v>
      </c>
    </row>
    <row r="133" spans="2:10">
      <c r="B133" s="371"/>
      <c r="C133" s="371"/>
      <c r="D133" s="372" t="s">
        <v>569</v>
      </c>
      <c r="E133" s="373">
        <v>0.13614999999999999</v>
      </c>
      <c r="F133" s="374"/>
      <c r="G133" s="375"/>
      <c r="H133" s="374"/>
      <c r="I133" s="370"/>
      <c r="J133" s="366">
        <f>J132*$E133</f>
        <v>24.833759999999998</v>
      </c>
    </row>
    <row r="134" spans="2:10">
      <c r="B134" s="371"/>
      <c r="C134" s="371"/>
      <c r="D134" s="376"/>
      <c r="E134" s="359"/>
      <c r="F134" s="374"/>
      <c r="G134" s="375"/>
      <c r="H134" s="374"/>
      <c r="I134" s="370"/>
      <c r="J134" s="366">
        <f>SUM(J132:J133)</f>
        <v>207.23376000000002</v>
      </c>
    </row>
    <row r="135" spans="2:10">
      <c r="B135" s="371"/>
      <c r="C135" s="371"/>
      <c r="D135" s="372" t="s">
        <v>627</v>
      </c>
      <c r="E135" s="359"/>
      <c r="F135" s="374"/>
      <c r="G135" s="375"/>
      <c r="H135" s="374"/>
      <c r="I135" s="377"/>
      <c r="J135" s="378">
        <f>ROUND(J134,0)</f>
        <v>207</v>
      </c>
    </row>
    <row r="137" spans="2:10" ht="52.5" customHeight="1">
      <c r="B137" s="356"/>
      <c r="C137" s="356"/>
      <c r="D137" s="1252" t="s">
        <v>628</v>
      </c>
      <c r="E137" s="1252"/>
      <c r="F137" s="1252"/>
      <c r="G137" s="1252"/>
      <c r="H137" s="1252"/>
      <c r="I137" s="1252"/>
      <c r="J137" s="1252"/>
    </row>
    <row r="138" spans="2:10">
      <c r="B138" s="357"/>
      <c r="C138" s="357"/>
      <c r="D138" s="358" t="s">
        <v>619</v>
      </c>
      <c r="E138" s="359"/>
      <c r="F138" s="360"/>
      <c r="G138" s="361"/>
      <c r="H138" s="360"/>
      <c r="I138" s="362"/>
      <c r="J138" s="363"/>
    </row>
    <row r="139" spans="2:10">
      <c r="B139" s="357">
        <v>1</v>
      </c>
      <c r="C139" s="357"/>
      <c r="D139" s="360" t="s">
        <v>554</v>
      </c>
      <c r="E139" s="359">
        <v>0.7</v>
      </c>
      <c r="F139" s="364" t="s">
        <v>555</v>
      </c>
      <c r="G139" s="361">
        <v>1</v>
      </c>
      <c r="H139" s="364" t="s">
        <v>555</v>
      </c>
      <c r="I139" s="362">
        <v>695</v>
      </c>
      <c r="J139" s="363">
        <f>SUM(E139*I139/G139)</f>
        <v>486.49999999999994</v>
      </c>
    </row>
    <row r="140" spans="2:10">
      <c r="B140" s="357">
        <v>2</v>
      </c>
      <c r="C140" s="357"/>
      <c r="D140" s="360" t="s">
        <v>594</v>
      </c>
      <c r="E140" s="359">
        <v>1</v>
      </c>
      <c r="F140" s="364" t="s">
        <v>555</v>
      </c>
      <c r="G140" s="361">
        <v>1</v>
      </c>
      <c r="H140" s="364" t="s">
        <v>555</v>
      </c>
      <c r="I140" s="362">
        <v>580</v>
      </c>
      <c r="J140" s="363">
        <f>SUM(E140*I140/G140)</f>
        <v>580</v>
      </c>
    </row>
    <row r="141" spans="2:10">
      <c r="B141" s="357">
        <v>3</v>
      </c>
      <c r="C141" s="357"/>
      <c r="D141" s="360" t="s">
        <v>556</v>
      </c>
      <c r="E141" s="359">
        <v>1</v>
      </c>
      <c r="F141" s="364" t="s">
        <v>555</v>
      </c>
      <c r="G141" s="361">
        <v>1</v>
      </c>
      <c r="H141" s="364" t="s">
        <v>555</v>
      </c>
      <c r="I141" s="362">
        <v>580</v>
      </c>
      <c r="J141" s="362">
        <f>SUM(E141*I141/G141)</f>
        <v>580</v>
      </c>
    </row>
    <row r="142" spans="2:10">
      <c r="B142" s="357"/>
      <c r="C142" s="357"/>
      <c r="D142" s="365" t="s">
        <v>620</v>
      </c>
      <c r="E142" s="359"/>
      <c r="F142" s="364"/>
      <c r="G142" s="361"/>
      <c r="H142" s="364"/>
      <c r="I142" s="362"/>
      <c r="J142" s="363">
        <f>SUM(J139:J141)</f>
        <v>1646.5</v>
      </c>
    </row>
    <row r="143" spans="2:10">
      <c r="B143" s="357"/>
      <c r="C143" s="357"/>
      <c r="D143" s="365" t="s">
        <v>621</v>
      </c>
      <c r="E143" s="359"/>
      <c r="F143" s="364"/>
      <c r="G143" s="361"/>
      <c r="H143" s="364"/>
      <c r="I143" s="362"/>
      <c r="J143" s="366">
        <f>SUM(J142/100)</f>
        <v>16.465</v>
      </c>
    </row>
    <row r="144" spans="2:10">
      <c r="B144" s="357"/>
      <c r="C144" s="357"/>
      <c r="D144" s="365" t="s">
        <v>622</v>
      </c>
      <c r="E144" s="359"/>
      <c r="F144" s="364"/>
      <c r="G144" s="361"/>
      <c r="H144" s="364"/>
      <c r="I144" s="362"/>
      <c r="J144" s="363"/>
    </row>
    <row r="145" spans="2:10" ht="137.5">
      <c r="B145" s="357" t="s">
        <v>623</v>
      </c>
      <c r="C145" s="361" t="s">
        <v>629</v>
      </c>
      <c r="D145" s="365" t="s">
        <v>630</v>
      </c>
      <c r="E145" s="359">
        <v>1</v>
      </c>
      <c r="F145" s="360" t="s">
        <v>562</v>
      </c>
      <c r="G145" s="361">
        <v>1</v>
      </c>
      <c r="H145" s="360" t="s">
        <v>562</v>
      </c>
      <c r="I145" s="362">
        <v>59</v>
      </c>
      <c r="J145" s="363">
        <f>SUM(E145*I145/G145)</f>
        <v>59</v>
      </c>
    </row>
    <row r="146" spans="2:10">
      <c r="B146" s="357"/>
      <c r="C146" s="357"/>
      <c r="D146" s="365" t="s">
        <v>626</v>
      </c>
      <c r="E146" s="359"/>
      <c r="F146" s="360"/>
      <c r="G146" s="361"/>
      <c r="H146" s="360"/>
      <c r="I146" s="362"/>
      <c r="J146" s="363">
        <f>SUM(J145:J145)</f>
        <v>59</v>
      </c>
    </row>
    <row r="147" spans="2:10" ht="26">
      <c r="B147" s="357"/>
      <c r="C147" s="357"/>
      <c r="D147" s="367" t="s">
        <v>568</v>
      </c>
      <c r="E147" s="365"/>
      <c r="F147" s="368"/>
      <c r="G147" s="357"/>
      <c r="H147" s="369"/>
      <c r="I147" s="370"/>
      <c r="J147" s="363">
        <f>ROUNDDOWN(J143+J146,1)</f>
        <v>75.400000000000006</v>
      </c>
    </row>
    <row r="148" spans="2:10">
      <c r="B148" s="371"/>
      <c r="C148" s="371"/>
      <c r="D148" s="372" t="s">
        <v>569</v>
      </c>
      <c r="E148" s="373">
        <v>0.13614999999999999</v>
      </c>
      <c r="F148" s="374"/>
      <c r="G148" s="375"/>
      <c r="H148" s="374"/>
      <c r="I148" s="370"/>
      <c r="J148" s="366">
        <f>J147*$E148</f>
        <v>10.26571</v>
      </c>
    </row>
    <row r="149" spans="2:10">
      <c r="B149" s="371"/>
      <c r="C149" s="371"/>
      <c r="D149" s="376"/>
      <c r="E149" s="359"/>
      <c r="F149" s="374"/>
      <c r="G149" s="375"/>
      <c r="H149" s="374"/>
      <c r="I149" s="370"/>
      <c r="J149" s="366">
        <f>SUM(J147:J148)</f>
        <v>85.665710000000004</v>
      </c>
    </row>
    <row r="150" spans="2:10">
      <c r="B150" s="371"/>
      <c r="C150" s="371"/>
      <c r="D150" s="372" t="s">
        <v>627</v>
      </c>
      <c r="E150" s="359"/>
      <c r="F150" s="374"/>
      <c r="G150" s="375"/>
      <c r="H150" s="374"/>
      <c r="I150" s="377"/>
      <c r="J150" s="378">
        <f>ROUND(J149,0)</f>
        <v>86</v>
      </c>
    </row>
    <row r="152" spans="2:10" ht="68.25" customHeight="1">
      <c r="B152" s="357"/>
      <c r="C152" s="357"/>
      <c r="D152" s="1252" t="s">
        <v>631</v>
      </c>
      <c r="E152" s="1252"/>
      <c r="F152" s="1252"/>
      <c r="G152" s="1252"/>
      <c r="H152" s="1252"/>
      <c r="I152" s="1252"/>
      <c r="J152" s="1252"/>
    </row>
    <row r="153" spans="2:10">
      <c r="B153" s="357"/>
      <c r="C153" s="357"/>
      <c r="D153" s="367" t="s">
        <v>579</v>
      </c>
      <c r="E153" s="1254"/>
      <c r="F153" s="1254"/>
      <c r="G153" s="1255"/>
      <c r="H153" s="1255"/>
      <c r="I153" s="362"/>
      <c r="J153" s="362"/>
    </row>
    <row r="154" spans="2:10">
      <c r="B154" s="357">
        <v>1</v>
      </c>
      <c r="C154" s="357"/>
      <c r="D154" s="360" t="s">
        <v>554</v>
      </c>
      <c r="E154" s="359">
        <v>2</v>
      </c>
      <c r="F154" s="364" t="s">
        <v>555</v>
      </c>
      <c r="G154" s="361">
        <v>1</v>
      </c>
      <c r="H154" s="364" t="s">
        <v>555</v>
      </c>
      <c r="I154" s="362">
        <v>695</v>
      </c>
      <c r="J154" s="362">
        <f>SUM(E154*I154/G154)</f>
        <v>1390</v>
      </c>
    </row>
    <row r="155" spans="2:10">
      <c r="B155" s="357">
        <v>2</v>
      </c>
      <c r="C155" s="357"/>
      <c r="D155" s="360" t="s">
        <v>594</v>
      </c>
      <c r="E155" s="359">
        <v>2</v>
      </c>
      <c r="F155" s="364" t="s">
        <v>555</v>
      </c>
      <c r="G155" s="361">
        <v>1</v>
      </c>
      <c r="H155" s="364" t="s">
        <v>555</v>
      </c>
      <c r="I155" s="362">
        <v>580</v>
      </c>
      <c r="J155" s="362">
        <f>SUM(E155*I155/G155)</f>
        <v>1160</v>
      </c>
    </row>
    <row r="156" spans="2:10">
      <c r="B156" s="357">
        <v>3</v>
      </c>
      <c r="C156" s="357"/>
      <c r="D156" s="360" t="s">
        <v>556</v>
      </c>
      <c r="E156" s="359">
        <v>2</v>
      </c>
      <c r="F156" s="364" t="s">
        <v>555</v>
      </c>
      <c r="G156" s="361">
        <v>1</v>
      </c>
      <c r="H156" s="364" t="s">
        <v>555</v>
      </c>
      <c r="I156" s="362">
        <v>580</v>
      </c>
      <c r="J156" s="362">
        <f>SUM(E156*I156/G156)</f>
        <v>1160</v>
      </c>
    </row>
    <row r="157" spans="2:10">
      <c r="B157" s="357">
        <v>4</v>
      </c>
      <c r="C157" s="357"/>
      <c r="D157" s="379" t="s">
        <v>595</v>
      </c>
      <c r="E157" s="359"/>
      <c r="F157" s="364" t="s">
        <v>555</v>
      </c>
      <c r="G157" s="361">
        <v>1</v>
      </c>
      <c r="H157" s="364" t="s">
        <v>555</v>
      </c>
      <c r="I157" s="362">
        <v>610</v>
      </c>
      <c r="J157" s="362">
        <f>SUM(E157*I157/G157)</f>
        <v>0</v>
      </c>
    </row>
    <row r="158" spans="2:10">
      <c r="B158" s="371"/>
      <c r="C158" s="371"/>
      <c r="D158" s="380" t="s">
        <v>632</v>
      </c>
      <c r="E158" s="359"/>
      <c r="F158" s="360"/>
      <c r="G158" s="375"/>
      <c r="H158" s="360"/>
      <c r="I158" s="362"/>
      <c r="J158" s="370">
        <f>SUM(J154:J157)</f>
        <v>3710</v>
      </c>
    </row>
    <row r="159" spans="2:10">
      <c r="B159" s="357"/>
      <c r="C159" s="357"/>
      <c r="D159" s="380" t="s">
        <v>633</v>
      </c>
      <c r="E159" s="369"/>
      <c r="F159" s="360"/>
      <c r="G159" s="375"/>
      <c r="H159" s="360"/>
      <c r="I159" s="362"/>
      <c r="J159" s="370">
        <f>SUM(J158/100)</f>
        <v>37.1</v>
      </c>
    </row>
    <row r="160" spans="2:10">
      <c r="B160" s="357"/>
      <c r="C160" s="357"/>
      <c r="D160" s="367" t="s">
        <v>558</v>
      </c>
      <c r="E160" s="359"/>
      <c r="F160" s="360"/>
      <c r="G160" s="375"/>
      <c r="H160" s="360"/>
      <c r="I160" s="362"/>
      <c r="J160" s="370"/>
    </row>
    <row r="161" spans="2:10">
      <c r="B161" s="357" t="s">
        <v>597</v>
      </c>
      <c r="C161" s="357"/>
      <c r="D161" s="360" t="s">
        <v>611</v>
      </c>
      <c r="E161" s="359">
        <v>25</v>
      </c>
      <c r="F161" s="364" t="s">
        <v>634</v>
      </c>
      <c r="G161" s="361">
        <v>1</v>
      </c>
      <c r="H161" s="364" t="s">
        <v>312</v>
      </c>
      <c r="I161" s="362">
        <v>9</v>
      </c>
      <c r="J161" s="362">
        <f t="shared" ref="J161:J167" si="0">SUM(E161*I161/G161)</f>
        <v>225</v>
      </c>
    </row>
    <row r="162" spans="2:10">
      <c r="B162" s="357" t="s">
        <v>635</v>
      </c>
      <c r="C162" s="357"/>
      <c r="D162" s="365" t="s">
        <v>636</v>
      </c>
      <c r="E162" s="359">
        <v>200</v>
      </c>
      <c r="F162" s="364" t="s">
        <v>14</v>
      </c>
      <c r="G162" s="361">
        <v>100</v>
      </c>
      <c r="H162" s="364" t="s">
        <v>14</v>
      </c>
      <c r="I162" s="362">
        <v>45</v>
      </c>
      <c r="J162" s="362">
        <f t="shared" si="0"/>
        <v>90</v>
      </c>
    </row>
    <row r="163" spans="2:10">
      <c r="B163" s="357" t="s">
        <v>637</v>
      </c>
      <c r="C163" s="357" t="s">
        <v>581</v>
      </c>
      <c r="D163" s="365" t="s">
        <v>638</v>
      </c>
      <c r="E163" s="359">
        <v>200</v>
      </c>
      <c r="F163" s="364" t="s">
        <v>14</v>
      </c>
      <c r="G163" s="361">
        <v>100</v>
      </c>
      <c r="H163" s="364" t="s">
        <v>14</v>
      </c>
      <c r="I163" s="362">
        <v>128</v>
      </c>
      <c r="J163" s="362">
        <f t="shared" si="0"/>
        <v>256</v>
      </c>
    </row>
    <row r="164" spans="2:10" ht="25">
      <c r="B164" s="357" t="s">
        <v>639</v>
      </c>
      <c r="C164" s="357" t="s">
        <v>590</v>
      </c>
      <c r="D164" s="365" t="s">
        <v>640</v>
      </c>
      <c r="E164" s="359">
        <v>200</v>
      </c>
      <c r="F164" s="364" t="s">
        <v>14</v>
      </c>
      <c r="G164" s="361">
        <v>100</v>
      </c>
      <c r="H164" s="364" t="s">
        <v>14</v>
      </c>
      <c r="I164" s="362">
        <v>279</v>
      </c>
      <c r="J164" s="362">
        <f t="shared" si="0"/>
        <v>558</v>
      </c>
    </row>
    <row r="165" spans="2:10" ht="25">
      <c r="B165" s="381" t="s">
        <v>641</v>
      </c>
      <c r="C165" s="357" t="s">
        <v>590</v>
      </c>
      <c r="D165" s="365" t="s">
        <v>642</v>
      </c>
      <c r="E165" s="359">
        <v>12</v>
      </c>
      <c r="F165" s="364" t="s">
        <v>14</v>
      </c>
      <c r="G165" s="361">
        <v>1</v>
      </c>
      <c r="H165" s="364" t="s">
        <v>14</v>
      </c>
      <c r="I165" s="362">
        <v>26</v>
      </c>
      <c r="J165" s="362">
        <f t="shared" si="0"/>
        <v>312</v>
      </c>
    </row>
    <row r="166" spans="2:10" ht="25">
      <c r="B166" s="357" t="s">
        <v>643</v>
      </c>
      <c r="C166" s="357" t="s">
        <v>590</v>
      </c>
      <c r="D166" s="365" t="s">
        <v>644</v>
      </c>
      <c r="E166" s="359">
        <v>12</v>
      </c>
      <c r="F166" s="364" t="s">
        <v>14</v>
      </c>
      <c r="G166" s="361">
        <v>1</v>
      </c>
      <c r="H166" s="364" t="s">
        <v>14</v>
      </c>
      <c r="I166" s="362">
        <v>10</v>
      </c>
      <c r="J166" s="362">
        <f t="shared" si="0"/>
        <v>120</v>
      </c>
    </row>
    <row r="167" spans="2:10" ht="37.5">
      <c r="B167" s="357" t="s">
        <v>645</v>
      </c>
      <c r="C167" s="361" t="s">
        <v>590</v>
      </c>
      <c r="D167" s="365" t="s">
        <v>646</v>
      </c>
      <c r="E167" s="359">
        <v>100</v>
      </c>
      <c r="F167" s="364" t="s">
        <v>561</v>
      </c>
      <c r="G167" s="361">
        <v>1</v>
      </c>
      <c r="H167" s="364" t="s">
        <v>561</v>
      </c>
      <c r="I167" s="362">
        <v>31</v>
      </c>
      <c r="J167" s="362">
        <f t="shared" si="0"/>
        <v>3100</v>
      </c>
    </row>
    <row r="168" spans="2:10">
      <c r="B168" s="371"/>
      <c r="C168" s="371"/>
      <c r="D168" s="380" t="s">
        <v>647</v>
      </c>
      <c r="E168" s="359"/>
      <c r="F168" s="364"/>
      <c r="G168" s="361"/>
      <c r="H168" s="364"/>
      <c r="I168" s="362"/>
      <c r="J168" s="370">
        <f>SUM(J161:J167)</f>
        <v>4661</v>
      </c>
    </row>
    <row r="169" spans="2:10">
      <c r="B169" s="357"/>
      <c r="C169" s="357"/>
      <c r="D169" s="380" t="s">
        <v>648</v>
      </c>
      <c r="E169" s="369"/>
      <c r="F169" s="364"/>
      <c r="G169" s="361"/>
      <c r="H169" s="364"/>
      <c r="I169" s="362"/>
      <c r="J169" s="370">
        <f>SUM(J168/100)</f>
        <v>46.61</v>
      </c>
    </row>
    <row r="170" spans="2:10" ht="26">
      <c r="B170" s="371"/>
      <c r="C170" s="371"/>
      <c r="D170" s="367" t="s">
        <v>568</v>
      </c>
      <c r="E170" s="380"/>
      <c r="F170" s="382"/>
      <c r="G170" s="371"/>
      <c r="H170" s="382"/>
      <c r="I170" s="362"/>
      <c r="J170" s="366">
        <f>ROUNDDOWN(J159+J169,1)</f>
        <v>83.7</v>
      </c>
    </row>
    <row r="171" spans="2:10">
      <c r="B171" s="371"/>
      <c r="C171" s="371"/>
      <c r="D171" s="372" t="s">
        <v>569</v>
      </c>
      <c r="E171" s="373">
        <v>0.13614999999999999</v>
      </c>
      <c r="F171" s="374"/>
      <c r="G171" s="375"/>
      <c r="H171" s="374"/>
      <c r="I171" s="370"/>
      <c r="J171" s="366">
        <f>J170*E171</f>
        <v>11.395754999999999</v>
      </c>
    </row>
    <row r="172" spans="2:10">
      <c r="B172" s="371"/>
      <c r="C172" s="371"/>
      <c r="D172" s="376"/>
      <c r="E172" s="359"/>
      <c r="F172" s="374"/>
      <c r="G172" s="375"/>
      <c r="H172" s="374"/>
      <c r="I172" s="370"/>
      <c r="J172" s="366">
        <f>SUM(J170:J171)</f>
        <v>95.095754999999997</v>
      </c>
    </row>
    <row r="173" spans="2:10">
      <c r="B173" s="371"/>
      <c r="C173" s="371"/>
      <c r="D173" s="372" t="s">
        <v>627</v>
      </c>
      <c r="E173" s="359"/>
      <c r="F173" s="374"/>
      <c r="G173" s="375"/>
      <c r="H173" s="374"/>
      <c r="I173" s="377"/>
      <c r="J173" s="366">
        <f>ROUND(J172,0)</f>
        <v>95</v>
      </c>
    </row>
    <row r="175" spans="2:10" ht="40.5" customHeight="1">
      <c r="B175" s="356"/>
      <c r="C175" s="356"/>
      <c r="D175" s="1252" t="s">
        <v>651</v>
      </c>
      <c r="E175" s="1252"/>
      <c r="F175" s="1252"/>
      <c r="G175" s="1252"/>
      <c r="H175" s="1252"/>
      <c r="I175" s="1252"/>
      <c r="J175" s="1252"/>
    </row>
    <row r="176" spans="2:10">
      <c r="B176" s="357"/>
      <c r="C176" s="357"/>
      <c r="D176" s="358" t="s">
        <v>619</v>
      </c>
      <c r="E176" s="359"/>
      <c r="F176" s="360"/>
      <c r="G176" s="361"/>
      <c r="H176" s="360"/>
      <c r="I176" s="362"/>
      <c r="J176" s="363"/>
    </row>
    <row r="177" spans="2:10">
      <c r="B177" s="357">
        <v>1</v>
      </c>
      <c r="C177" s="357"/>
      <c r="D177" s="360" t="s">
        <v>554</v>
      </c>
      <c r="E177" s="359">
        <v>0.7</v>
      </c>
      <c r="F177" s="364" t="s">
        <v>555</v>
      </c>
      <c r="G177" s="361">
        <v>1</v>
      </c>
      <c r="H177" s="364" t="s">
        <v>555</v>
      </c>
      <c r="I177" s="362">
        <v>695</v>
      </c>
      <c r="J177" s="363">
        <f>SUM(E177*I177/G177)</f>
        <v>486.49999999999994</v>
      </c>
    </row>
    <row r="178" spans="2:10">
      <c r="B178" s="357">
        <v>2</v>
      </c>
      <c r="C178" s="357"/>
      <c r="D178" s="360" t="s">
        <v>594</v>
      </c>
      <c r="E178" s="359">
        <v>1</v>
      </c>
      <c r="F178" s="364" t="s">
        <v>555</v>
      </c>
      <c r="G178" s="361">
        <v>1</v>
      </c>
      <c r="H178" s="364" t="s">
        <v>555</v>
      </c>
      <c r="I178" s="362">
        <v>580</v>
      </c>
      <c r="J178" s="363">
        <f>SUM(E178*I178/G178)</f>
        <v>580</v>
      </c>
    </row>
    <row r="179" spans="2:10">
      <c r="B179" s="357">
        <v>3</v>
      </c>
      <c r="C179" s="357"/>
      <c r="D179" s="360" t="s">
        <v>556</v>
      </c>
      <c r="E179" s="359">
        <v>1</v>
      </c>
      <c r="F179" s="364" t="s">
        <v>555</v>
      </c>
      <c r="G179" s="361">
        <v>1</v>
      </c>
      <c r="H179" s="364" t="s">
        <v>555</v>
      </c>
      <c r="I179" s="362">
        <v>580</v>
      </c>
      <c r="J179" s="362">
        <f>SUM(E179*I179/G179)</f>
        <v>580</v>
      </c>
    </row>
    <row r="180" spans="2:10">
      <c r="B180" s="357"/>
      <c r="C180" s="357"/>
      <c r="D180" s="365" t="s">
        <v>620</v>
      </c>
      <c r="E180" s="359"/>
      <c r="F180" s="364"/>
      <c r="G180" s="361"/>
      <c r="H180" s="364"/>
      <c r="I180" s="362"/>
      <c r="J180" s="363">
        <f>SUM(J177:J179)</f>
        <v>1646.5</v>
      </c>
    </row>
    <row r="181" spans="2:10">
      <c r="B181" s="357"/>
      <c r="C181" s="357"/>
      <c r="D181" s="365" t="s">
        <v>621</v>
      </c>
      <c r="E181" s="359"/>
      <c r="F181" s="364"/>
      <c r="G181" s="361"/>
      <c r="H181" s="364"/>
      <c r="I181" s="362"/>
      <c r="J181" s="366">
        <f>SUM(J180/100)</f>
        <v>16.465</v>
      </c>
    </row>
    <row r="182" spans="2:10">
      <c r="B182" s="357"/>
      <c r="C182" s="357"/>
      <c r="D182" s="365" t="s">
        <v>622</v>
      </c>
      <c r="E182" s="359"/>
      <c r="F182" s="364"/>
      <c r="G182" s="361"/>
      <c r="H182" s="364"/>
      <c r="I182" s="362"/>
      <c r="J182" s="363"/>
    </row>
    <row r="183" spans="2:10" ht="137.5">
      <c r="B183" s="357" t="s">
        <v>623</v>
      </c>
      <c r="C183" s="361" t="s">
        <v>629</v>
      </c>
      <c r="D183" s="365" t="s">
        <v>630</v>
      </c>
      <c r="E183" s="359">
        <v>1</v>
      </c>
      <c r="F183" s="360" t="s">
        <v>562</v>
      </c>
      <c r="G183" s="361">
        <v>1</v>
      </c>
      <c r="H183" s="360" t="s">
        <v>562</v>
      </c>
      <c r="I183" s="362">
        <v>104</v>
      </c>
      <c r="J183" s="363">
        <f>SUM(E183*I183/G183)</f>
        <v>104</v>
      </c>
    </row>
    <row r="184" spans="2:10">
      <c r="B184" s="357"/>
      <c r="C184" s="357"/>
      <c r="D184" s="365" t="s">
        <v>626</v>
      </c>
      <c r="E184" s="359"/>
      <c r="F184" s="360"/>
      <c r="G184" s="361"/>
      <c r="H184" s="360"/>
      <c r="I184" s="362"/>
      <c r="J184" s="363">
        <f>SUM(J183:J183)</f>
        <v>104</v>
      </c>
    </row>
    <row r="185" spans="2:10" ht="26">
      <c r="B185" s="357"/>
      <c r="C185" s="357"/>
      <c r="D185" s="367" t="s">
        <v>568</v>
      </c>
      <c r="E185" s="365"/>
      <c r="F185" s="368"/>
      <c r="G185" s="357"/>
      <c r="H185" s="369"/>
      <c r="I185" s="370"/>
      <c r="J185" s="363">
        <f>ROUNDDOWN(J181+J184,1)</f>
        <v>120.4</v>
      </c>
    </row>
    <row r="186" spans="2:10">
      <c r="B186" s="371"/>
      <c r="C186" s="371"/>
      <c r="D186" s="372" t="s">
        <v>569</v>
      </c>
      <c r="E186" s="373">
        <v>0.13614999999999999</v>
      </c>
      <c r="F186" s="374"/>
      <c r="G186" s="375"/>
      <c r="H186" s="374"/>
      <c r="I186" s="370"/>
      <c r="J186" s="366">
        <f>J185*$E186</f>
        <v>16.39246</v>
      </c>
    </row>
    <row r="187" spans="2:10">
      <c r="B187" s="371"/>
      <c r="C187" s="371"/>
      <c r="D187" s="376"/>
      <c r="E187" s="359"/>
      <c r="F187" s="374"/>
      <c r="G187" s="375"/>
      <c r="H187" s="374"/>
      <c r="I187" s="370"/>
      <c r="J187" s="366">
        <f>SUM(J185:J186)</f>
        <v>136.79246000000001</v>
      </c>
    </row>
    <row r="188" spans="2:10">
      <c r="B188" s="371"/>
      <c r="C188" s="371"/>
      <c r="D188" s="372" t="s">
        <v>627</v>
      </c>
      <c r="E188" s="359"/>
      <c r="F188" s="374"/>
      <c r="G188" s="375"/>
      <c r="H188" s="374"/>
      <c r="I188" s="377"/>
      <c r="J188" s="378">
        <f>ROUND(J187,0)</f>
        <v>137</v>
      </c>
    </row>
    <row r="190" spans="2:10" ht="38" customHeight="1">
      <c r="B190" s="318"/>
      <c r="C190" s="318"/>
      <c r="D190" s="1253" t="s">
        <v>297</v>
      </c>
      <c r="E190" s="1253"/>
      <c r="F190" s="1253"/>
      <c r="G190" s="1253"/>
      <c r="H190" s="1253"/>
      <c r="I190" s="1253"/>
      <c r="J190" s="1253"/>
    </row>
    <row r="191" spans="2:10" ht="84">
      <c r="B191" s="318" t="s">
        <v>571</v>
      </c>
      <c r="C191" s="318"/>
      <c r="D191" s="301" t="s">
        <v>297</v>
      </c>
      <c r="E191" s="327" t="s">
        <v>60</v>
      </c>
      <c r="F191" s="328">
        <v>1</v>
      </c>
      <c r="G191" s="302">
        <v>1</v>
      </c>
      <c r="H191" s="301" t="s">
        <v>14</v>
      </c>
      <c r="I191" s="303">
        <v>3800</v>
      </c>
      <c r="J191" s="329">
        <f>I191*F191</f>
        <v>3800</v>
      </c>
    </row>
    <row r="192" spans="2:10">
      <c r="B192" s="318"/>
      <c r="C192" s="318"/>
      <c r="D192" s="319" t="s">
        <v>569</v>
      </c>
      <c r="E192" s="320">
        <v>0.13614999999999999</v>
      </c>
      <c r="F192" s="321"/>
      <c r="G192" s="322"/>
      <c r="H192" s="321"/>
      <c r="I192" s="330"/>
      <c r="J192" s="323">
        <f>J191*E192</f>
        <v>517.37</v>
      </c>
    </row>
    <row r="193" spans="2:10">
      <c r="B193" s="318"/>
      <c r="C193" s="318"/>
      <c r="D193" s="324"/>
      <c r="E193" s="300"/>
      <c r="F193" s="321"/>
      <c r="G193" s="322"/>
      <c r="H193" s="321"/>
      <c r="I193" s="330"/>
      <c r="J193" s="323">
        <f>SUM(J191:J192)</f>
        <v>4317.37</v>
      </c>
    </row>
    <row r="194" spans="2:10">
      <c r="B194" s="318"/>
      <c r="C194" s="318"/>
      <c r="D194" s="331" t="s">
        <v>570</v>
      </c>
      <c r="E194" s="300"/>
      <c r="F194" s="321"/>
      <c r="G194" s="322"/>
      <c r="H194" s="321"/>
      <c r="I194" s="330"/>
      <c r="J194" s="326">
        <f>ROUND(J193,0)</f>
        <v>4317</v>
      </c>
    </row>
    <row r="195" spans="2:10">
      <c r="B195" s="318"/>
      <c r="C195" s="318"/>
      <c r="D195" s="325"/>
      <c r="E195" s="300"/>
      <c r="F195" s="321"/>
      <c r="G195" s="322"/>
      <c r="H195" s="321"/>
      <c r="I195" s="316"/>
      <c r="J195" s="326"/>
    </row>
  </sheetData>
  <mergeCells count="18">
    <mergeCell ref="D122:J122"/>
    <mergeCell ref="D46:J46"/>
    <mergeCell ref="A1:J1"/>
    <mergeCell ref="D4:J4"/>
    <mergeCell ref="D19:J19"/>
    <mergeCell ref="D25:J25"/>
    <mergeCell ref="D39:J39"/>
    <mergeCell ref="D62:J62"/>
    <mergeCell ref="D70:J70"/>
    <mergeCell ref="D85:J85"/>
    <mergeCell ref="D102:J102"/>
    <mergeCell ref="D115:J115"/>
    <mergeCell ref="D175:J175"/>
    <mergeCell ref="D190:J190"/>
    <mergeCell ref="D137:J137"/>
    <mergeCell ref="D152:J152"/>
    <mergeCell ref="E153:F153"/>
    <mergeCell ref="G153:H153"/>
  </mergeCells>
  <pageMargins left="0.7" right="0.38" top="0.75" bottom="0.75" header="0.3" footer="0.3"/>
  <pageSetup paperSize="9" scale="90"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38AB4-AB44-4ABD-92AC-4E760DD4F073}">
  <sheetPr codeName="Sheet11"/>
  <dimension ref="B3:H29"/>
  <sheetViews>
    <sheetView topLeftCell="A9" workbookViewId="0">
      <selection activeCell="O22" sqref="O22"/>
    </sheetView>
  </sheetViews>
  <sheetFormatPr defaultRowHeight="13"/>
  <cols>
    <col min="2" max="2" width="34.09765625" customWidth="1"/>
    <col min="5" max="5" width="12.09765625" customWidth="1"/>
    <col min="8" max="8" width="11.09765625" customWidth="1"/>
  </cols>
  <sheetData>
    <row r="3" spans="2:8" ht="197" customHeight="1">
      <c r="B3" s="1267" t="s">
        <v>2396</v>
      </c>
      <c r="C3" s="1268"/>
      <c r="D3" s="1268"/>
      <c r="E3" s="1268"/>
      <c r="F3" s="1268"/>
      <c r="G3" s="1268"/>
      <c r="H3" s="1269"/>
    </row>
    <row r="4" spans="2:8">
      <c r="B4" s="1270"/>
      <c r="C4" s="1271"/>
      <c r="D4" s="1271"/>
      <c r="E4" s="1271"/>
      <c r="F4" s="1271"/>
      <c r="G4" s="1271"/>
      <c r="H4" s="386"/>
    </row>
    <row r="5" spans="2:8">
      <c r="B5" s="383" t="s">
        <v>659</v>
      </c>
      <c r="C5" s="1266"/>
      <c r="D5" s="1266"/>
      <c r="E5" s="1266"/>
      <c r="F5" s="386"/>
      <c r="G5" s="386"/>
      <c r="H5" s="387"/>
    </row>
    <row r="6" spans="2:8">
      <c r="B6" s="383" t="s">
        <v>660</v>
      </c>
      <c r="C6" s="388" t="s">
        <v>661</v>
      </c>
      <c r="D6" s="1272" t="s">
        <v>662</v>
      </c>
      <c r="E6" s="1272"/>
      <c r="F6" s="386"/>
      <c r="G6" s="388">
        <f>0.8*2.1</f>
        <v>1.6800000000000002</v>
      </c>
      <c r="H6" s="389" t="s">
        <v>17</v>
      </c>
    </row>
    <row r="7" spans="2:8">
      <c r="B7" s="385" t="s">
        <v>663</v>
      </c>
      <c r="C7" s="1262" t="s">
        <v>664</v>
      </c>
      <c r="D7" s="1263"/>
      <c r="E7" s="1263"/>
      <c r="F7" s="386"/>
      <c r="G7" s="386"/>
      <c r="H7" s="391"/>
    </row>
    <row r="8" spans="2:8">
      <c r="B8" s="385"/>
      <c r="C8" s="1259" t="s">
        <v>665</v>
      </c>
      <c r="D8" s="1259"/>
      <c r="E8" s="1259"/>
      <c r="F8" s="1264">
        <f xml:space="preserve"> ROUND(4.2*0.1*0.065,5)</f>
        <v>2.7300000000000001E-2</v>
      </c>
      <c r="G8" s="1264"/>
      <c r="H8" s="390" t="s">
        <v>666</v>
      </c>
    </row>
    <row r="9" spans="2:8">
      <c r="B9" s="385" t="s">
        <v>667</v>
      </c>
      <c r="C9" s="1262" t="s">
        <v>668</v>
      </c>
      <c r="D9" s="1263"/>
      <c r="E9" s="1263"/>
      <c r="F9" s="1260"/>
      <c r="G9" s="1260"/>
      <c r="H9" s="390"/>
    </row>
    <row r="10" spans="2:8">
      <c r="B10" s="385"/>
      <c r="C10" s="1258" t="s">
        <v>669</v>
      </c>
      <c r="D10" s="1259"/>
      <c r="E10" s="1259"/>
      <c r="F10" s="1264">
        <f xml:space="preserve"> ROUND(0.8*0.1*0.065,5)</f>
        <v>5.1999999999999998E-3</v>
      </c>
      <c r="G10" s="1264"/>
      <c r="H10" s="390" t="s">
        <v>666</v>
      </c>
    </row>
    <row r="11" spans="2:8">
      <c r="B11" s="385"/>
      <c r="C11" s="1259"/>
      <c r="D11" s="1259"/>
      <c r="E11" s="1259"/>
      <c r="F11" s="1265">
        <f>SUM(F8:F10)</f>
        <v>3.2500000000000001E-2</v>
      </c>
      <c r="G11" s="1266"/>
      <c r="H11" s="390" t="s">
        <v>666</v>
      </c>
    </row>
    <row r="12" spans="2:8">
      <c r="B12" s="385" t="s">
        <v>670</v>
      </c>
      <c r="C12" s="1258" t="s">
        <v>671</v>
      </c>
      <c r="D12" s="1259"/>
      <c r="E12" s="1259"/>
      <c r="F12" s="1260">
        <f>ROUND(0.8*2.1,3)</f>
        <v>1.68</v>
      </c>
      <c r="G12" s="1260"/>
      <c r="H12" s="389" t="s">
        <v>17</v>
      </c>
    </row>
    <row r="13" spans="2:8">
      <c r="B13" s="383" t="s">
        <v>672</v>
      </c>
      <c r="C13" s="392"/>
      <c r="D13" s="386"/>
      <c r="E13" s="392"/>
      <c r="F13" s="386"/>
      <c r="G13" s="386"/>
      <c r="H13" s="391"/>
    </row>
    <row r="14" spans="2:8" ht="26">
      <c r="B14" s="384" t="s">
        <v>2381</v>
      </c>
      <c r="C14" s="392">
        <f>2.1+2.1</f>
        <v>4.2</v>
      </c>
      <c r="D14" s="386" t="s">
        <v>674</v>
      </c>
      <c r="E14" s="392">
        <v>749</v>
      </c>
      <c r="F14" s="386">
        <v>1</v>
      </c>
      <c r="G14" s="386" t="s">
        <v>666</v>
      </c>
      <c r="H14" s="393">
        <f t="shared" ref="H14:H23" si="0">IF(F14="",C14*E14,(C14*E14/F14))</f>
        <v>3145.8</v>
      </c>
    </row>
    <row r="15" spans="2:8" ht="26">
      <c r="B15" s="384" t="s">
        <v>2382</v>
      </c>
      <c r="C15" s="392">
        <v>0.8</v>
      </c>
      <c r="D15" s="386" t="s">
        <v>674</v>
      </c>
      <c r="E15" s="392">
        <v>749</v>
      </c>
      <c r="F15" s="386">
        <v>1</v>
      </c>
      <c r="G15" s="386" t="s">
        <v>666</v>
      </c>
      <c r="H15" s="393">
        <f t="shared" si="0"/>
        <v>599.20000000000005</v>
      </c>
    </row>
    <row r="16" spans="2:8" ht="25">
      <c r="B16" s="385" t="s">
        <v>676</v>
      </c>
      <c r="C16" s="392">
        <f>F12</f>
        <v>1.68</v>
      </c>
      <c r="D16" s="386" t="s">
        <v>17</v>
      </c>
      <c r="E16" s="392">
        <v>2063</v>
      </c>
      <c r="F16" s="386">
        <v>1</v>
      </c>
      <c r="G16" s="386" t="s">
        <v>17</v>
      </c>
      <c r="H16" s="393">
        <f t="shared" si="0"/>
        <v>3465.8399999999997</v>
      </c>
    </row>
    <row r="17" spans="2:8" ht="37.5">
      <c r="B17" s="385" t="s">
        <v>2393</v>
      </c>
      <c r="C17" s="392">
        <v>1</v>
      </c>
      <c r="D17" s="386" t="s">
        <v>678</v>
      </c>
      <c r="E17" s="392">
        <v>166</v>
      </c>
      <c r="F17" s="386"/>
      <c r="G17" s="386" t="s">
        <v>572</v>
      </c>
      <c r="H17" s="393">
        <f t="shared" si="0"/>
        <v>166</v>
      </c>
    </row>
    <row r="18" spans="2:8" ht="25">
      <c r="B18" s="385" t="s">
        <v>679</v>
      </c>
      <c r="C18" s="392">
        <v>3</v>
      </c>
      <c r="D18" s="386" t="s">
        <v>375</v>
      </c>
      <c r="E18" s="392">
        <v>45</v>
      </c>
      <c r="F18" s="386"/>
      <c r="G18" s="386" t="s">
        <v>572</v>
      </c>
      <c r="H18" s="393">
        <f t="shared" si="0"/>
        <v>135</v>
      </c>
    </row>
    <row r="19" spans="2:8" ht="26">
      <c r="B19" s="1007" t="s">
        <v>2394</v>
      </c>
      <c r="C19" s="392">
        <v>2</v>
      </c>
      <c r="D19" s="386" t="s">
        <v>678</v>
      </c>
      <c r="E19" s="392">
        <v>312</v>
      </c>
      <c r="F19" s="386"/>
      <c r="G19" s="386" t="s">
        <v>572</v>
      </c>
      <c r="H19" s="393">
        <f t="shared" si="0"/>
        <v>624</v>
      </c>
    </row>
    <row r="20" spans="2:8" ht="25">
      <c r="B20" s="385" t="s">
        <v>2395</v>
      </c>
      <c r="C20" s="392">
        <v>2</v>
      </c>
      <c r="D20" s="386" t="s">
        <v>375</v>
      </c>
      <c r="E20" s="392">
        <v>157</v>
      </c>
      <c r="F20" s="386"/>
      <c r="G20" s="386" t="s">
        <v>572</v>
      </c>
      <c r="H20" s="393">
        <f t="shared" si="0"/>
        <v>314</v>
      </c>
    </row>
    <row r="21" spans="2:8">
      <c r="B21" s="385" t="str">
        <f>[160]Input!$C$49</f>
        <v>Add for MA @ 40%</v>
      </c>
      <c r="C21" s="392">
        <v>0.4</v>
      </c>
      <c r="D21" s="386"/>
      <c r="E21" s="392">
        <v>488.40512500000006</v>
      </c>
      <c r="F21" s="386"/>
      <c r="G21" s="386"/>
      <c r="H21" s="393">
        <f t="shared" si="0"/>
        <v>195.36205000000004</v>
      </c>
    </row>
    <row r="22" spans="2:8" ht="37.5">
      <c r="B22" s="395" t="s">
        <v>683</v>
      </c>
      <c r="C22" s="396">
        <f>F12</f>
        <v>1.68</v>
      </c>
      <c r="D22" s="386" t="s">
        <v>17</v>
      </c>
      <c r="E22" s="392">
        <v>550</v>
      </c>
      <c r="F22" s="386">
        <v>1</v>
      </c>
      <c r="G22" s="386" t="s">
        <v>17</v>
      </c>
      <c r="H22" s="393">
        <f t="shared" si="0"/>
        <v>924</v>
      </c>
    </row>
    <row r="23" spans="2:8">
      <c r="B23" s="385" t="str">
        <f>[160]Input!$C$49</f>
        <v>Add for MA @ 40%</v>
      </c>
      <c r="C23" s="392">
        <v>0.4</v>
      </c>
      <c r="D23" s="386"/>
      <c r="E23" s="392">
        <v>971.04</v>
      </c>
      <c r="F23" s="386"/>
      <c r="G23" s="386"/>
      <c r="H23" s="393">
        <f t="shared" si="0"/>
        <v>388.416</v>
      </c>
    </row>
    <row r="24" spans="2:8">
      <c r="B24" s="385" t="s">
        <v>684</v>
      </c>
      <c r="C24" s="392"/>
      <c r="D24" s="386"/>
      <c r="E24" s="392"/>
      <c r="F24" s="386"/>
      <c r="G24" s="386"/>
      <c r="H24" s="391"/>
    </row>
    <row r="25" spans="2:8">
      <c r="B25" s="383" t="s">
        <v>685</v>
      </c>
      <c r="C25" s="392"/>
      <c r="D25" s="386"/>
      <c r="E25" s="392"/>
      <c r="F25" s="386"/>
      <c r="G25" s="386"/>
      <c r="H25" s="397">
        <f>SUM(H14:H24)</f>
        <v>9957.6180499999991</v>
      </c>
    </row>
    <row r="26" spans="2:8" ht="25">
      <c r="B26" s="385" t="str">
        <f>[160]Input!$C$50</f>
        <v>Overheads &amp; Contractors Profit @ 13.615%</v>
      </c>
      <c r="C26" s="394">
        <v>0.13614999999999999</v>
      </c>
      <c r="D26" s="386"/>
      <c r="E26" s="392">
        <f>H25</f>
        <v>9957.6180499999991</v>
      </c>
      <c r="F26" s="386"/>
      <c r="G26" s="386"/>
      <c r="H26" s="393">
        <f>IF(F26="",C26*E26,(C26*E26/F26))</f>
        <v>1355.7296975074998</v>
      </c>
    </row>
    <row r="27" spans="2:8">
      <c r="B27" s="385"/>
      <c r="C27" s="392"/>
      <c r="D27" s="386"/>
      <c r="E27" s="392"/>
      <c r="F27" s="386"/>
      <c r="G27" s="386"/>
      <c r="H27" s="391">
        <f>SUM(H25:H26)</f>
        <v>11313.3477475075</v>
      </c>
    </row>
    <row r="28" spans="2:8">
      <c r="B28" s="383" t="s">
        <v>686</v>
      </c>
      <c r="C28" s="392"/>
      <c r="D28" s="386"/>
      <c r="E28" s="392"/>
      <c r="F28" s="386"/>
      <c r="G28" s="386"/>
      <c r="H28" s="391">
        <f>H27/G6</f>
        <v>6734.1355639925587</v>
      </c>
    </row>
    <row r="29" spans="2:8">
      <c r="B29" s="385"/>
      <c r="C29" s="392"/>
      <c r="D29" s="386"/>
      <c r="E29" s="392"/>
      <c r="F29" s="1261" t="s">
        <v>687</v>
      </c>
      <c r="G29" s="1261"/>
      <c r="H29" s="398">
        <f>ROUND(H28,0)</f>
        <v>6734</v>
      </c>
    </row>
  </sheetData>
  <mergeCells count="16">
    <mergeCell ref="B3:H3"/>
    <mergeCell ref="C8:E8"/>
    <mergeCell ref="F8:G8"/>
    <mergeCell ref="B4:G4"/>
    <mergeCell ref="C5:E5"/>
    <mergeCell ref="D6:E6"/>
    <mergeCell ref="C7:E7"/>
    <mergeCell ref="C12:E12"/>
    <mergeCell ref="F12:G12"/>
    <mergeCell ref="F29:G29"/>
    <mergeCell ref="C9:E9"/>
    <mergeCell ref="F9:G9"/>
    <mergeCell ref="C10:E10"/>
    <mergeCell ref="F10:G10"/>
    <mergeCell ref="C11:E11"/>
    <mergeCell ref="F11:G11"/>
  </mergeCells>
  <pageMargins left="1.0236220472440944" right="3.937007874015748E-2" top="0.94488188976377963" bottom="0.74803149606299213" header="0.31496062992125984" footer="0.31496062992125984"/>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20661-316C-4C78-96AC-D2046404963C}">
  <sheetPr codeName="Sheet12"/>
  <dimension ref="A1"/>
  <sheetViews>
    <sheetView workbookViewId="0">
      <selection activeCell="G18" sqref="G18"/>
    </sheetView>
  </sheetViews>
  <sheetFormatPr defaultRowHeight="13"/>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612D8-36FE-4913-927C-14EFB4A6B8FE}">
  <sheetPr codeName="Sheet13">
    <tabColor indexed="29"/>
  </sheetPr>
  <dimension ref="A1:BL5035"/>
  <sheetViews>
    <sheetView view="pageBreakPreview" zoomScaleSheetLayoutView="100" workbookViewId="0">
      <pane ySplit="1" topLeftCell="A4411" activePane="bottomLeft" state="frozen"/>
      <selection pane="bottomLeft" activeCell="G4435" sqref="G4435"/>
    </sheetView>
  </sheetViews>
  <sheetFormatPr defaultColWidth="9.3984375" defaultRowHeight="12.5"/>
  <cols>
    <col min="1" max="1" width="3.09765625" style="818" customWidth="1"/>
    <col min="2" max="2" width="2.69921875" style="818" customWidth="1"/>
    <col min="3" max="3" width="38.5" style="819" customWidth="1"/>
    <col min="4" max="4" width="10.19921875" style="820" customWidth="1"/>
    <col min="5" max="5" width="8.5" style="818" customWidth="1"/>
    <col min="6" max="6" width="13.5" style="820" customWidth="1"/>
    <col min="7" max="7" width="10.19921875" style="821" customWidth="1"/>
    <col min="8" max="8" width="9" style="818" customWidth="1"/>
    <col min="9" max="9" width="12.69921875" style="820" bestFit="1" customWidth="1"/>
    <col min="10" max="11" width="10.796875" style="405" customWidth="1"/>
    <col min="12" max="12" width="11.8984375" style="405" customWidth="1"/>
    <col min="13" max="13" width="39.296875" style="405" customWidth="1"/>
    <col min="14" max="18" width="14.59765625" style="405" customWidth="1"/>
    <col min="19" max="64" width="9.296875" style="405" customWidth="1"/>
    <col min="65" max="16384" width="9.3984375" style="405"/>
  </cols>
  <sheetData>
    <row r="1" spans="1:64" ht="35.25" customHeight="1">
      <c r="A1" s="1295" t="str">
        <f>+[161]Input!C1</f>
        <v>Name of Work:- Repairs and Rennovation of Animal House at Ground Floor at Gandhi Medical College, Secunderabad</v>
      </c>
      <c r="B1" s="1295"/>
      <c r="C1" s="1295"/>
      <c r="D1" s="1295"/>
      <c r="E1" s="1295"/>
      <c r="F1" s="1295"/>
      <c r="G1" s="1295"/>
      <c r="H1" s="1295"/>
      <c r="I1" s="1295"/>
      <c r="J1" s="400"/>
      <c r="K1" s="401">
        <v>246328279</v>
      </c>
      <c r="L1" s="402" t="e">
        <f>+K1-#REF!</f>
        <v>#REF!</v>
      </c>
      <c r="M1" s="403" t="e">
        <f>#REF!</f>
        <v>#REF!</v>
      </c>
      <c r="N1" s="404">
        <v>375000000</v>
      </c>
      <c r="O1" s="403" t="e">
        <f>+N1-M1</f>
        <v>#REF!</v>
      </c>
      <c r="P1" s="404"/>
      <c r="Q1" s="404"/>
      <c r="R1" s="404"/>
      <c r="S1" s="404"/>
      <c r="T1" s="404"/>
      <c r="U1" s="404"/>
      <c r="V1" s="404"/>
      <c r="W1" s="404"/>
      <c r="X1" s="404"/>
      <c r="Y1" s="404"/>
      <c r="Z1" s="404"/>
      <c r="AA1" s="404"/>
      <c r="AB1" s="404"/>
      <c r="AC1" s="404"/>
      <c r="AD1" s="404"/>
      <c r="AE1" s="404"/>
      <c r="AF1" s="404"/>
      <c r="AG1" s="404"/>
      <c r="AH1" s="404"/>
      <c r="AI1" s="404"/>
      <c r="AJ1" s="404"/>
      <c r="AK1" s="404"/>
      <c r="AL1" s="404"/>
      <c r="AM1" s="404"/>
      <c r="AN1" s="404"/>
      <c r="AO1" s="404"/>
      <c r="AP1" s="404"/>
      <c r="AQ1" s="404"/>
      <c r="AR1" s="404"/>
      <c r="AS1" s="404"/>
      <c r="AT1" s="404"/>
      <c r="AU1" s="404"/>
      <c r="AV1" s="404"/>
      <c r="AW1" s="404"/>
      <c r="AX1" s="404"/>
      <c r="AY1" s="404"/>
      <c r="AZ1" s="404"/>
      <c r="BA1" s="404"/>
      <c r="BB1" s="404"/>
      <c r="BC1" s="404"/>
      <c r="BD1" s="404"/>
      <c r="BE1" s="404"/>
      <c r="BF1" s="404"/>
      <c r="BG1" s="404"/>
      <c r="BH1" s="404"/>
      <c r="BI1" s="404"/>
      <c r="BJ1" s="404"/>
      <c r="BK1" s="404"/>
      <c r="BL1" s="404"/>
    </row>
    <row r="2" spans="1:64" ht="18.75" customHeight="1">
      <c r="A2" s="1316" t="s">
        <v>689</v>
      </c>
      <c r="B2" s="1316"/>
      <c r="C2" s="1316"/>
      <c r="D2" s="1316"/>
      <c r="E2" s="1316"/>
      <c r="F2" s="1316"/>
      <c r="G2" s="1316"/>
      <c r="H2" s="1316"/>
      <c r="I2" s="1316"/>
      <c r="J2" s="400"/>
      <c r="K2" s="401"/>
      <c r="L2" s="402"/>
      <c r="M2" s="404"/>
      <c r="N2" s="404"/>
      <c r="O2" s="404"/>
      <c r="P2" s="404"/>
      <c r="Q2" s="404"/>
      <c r="R2" s="404"/>
      <c r="S2" s="404"/>
      <c r="T2" s="404"/>
      <c r="U2" s="404"/>
      <c r="V2" s="404"/>
      <c r="W2" s="404"/>
      <c r="X2" s="404"/>
      <c r="Y2" s="404"/>
      <c r="Z2" s="404"/>
      <c r="AA2" s="404"/>
      <c r="AB2" s="404"/>
      <c r="AC2" s="404"/>
      <c r="AD2" s="404"/>
      <c r="AE2" s="404"/>
      <c r="AF2" s="404"/>
      <c r="AG2" s="404"/>
      <c r="AH2" s="404"/>
      <c r="AI2" s="404"/>
      <c r="AJ2" s="404"/>
      <c r="AK2" s="404"/>
      <c r="AL2" s="404"/>
      <c r="AM2" s="404"/>
      <c r="AN2" s="404"/>
      <c r="AO2" s="404"/>
      <c r="AP2" s="404"/>
      <c r="AQ2" s="404"/>
      <c r="AR2" s="404"/>
      <c r="AS2" s="404"/>
      <c r="AT2" s="404"/>
      <c r="AU2" s="404"/>
      <c r="AV2" s="404"/>
      <c r="AW2" s="404"/>
      <c r="AX2" s="404"/>
      <c r="AY2" s="404"/>
      <c r="AZ2" s="404"/>
      <c r="BA2" s="404"/>
      <c r="BB2" s="404"/>
      <c r="BC2" s="404"/>
      <c r="BD2" s="404"/>
      <c r="BE2" s="404"/>
      <c r="BF2" s="404"/>
      <c r="BG2" s="404"/>
      <c r="BH2" s="404"/>
      <c r="BI2" s="404"/>
      <c r="BJ2" s="404"/>
      <c r="BK2" s="404"/>
      <c r="BL2" s="404"/>
    </row>
    <row r="3" spans="1:64" ht="12.75" customHeight="1">
      <c r="A3" s="1277"/>
      <c r="B3" s="1277"/>
      <c r="C3" s="1318" t="s">
        <v>690</v>
      </c>
      <c r="D3" s="408" t="s">
        <v>691</v>
      </c>
      <c r="E3" s="408" t="s">
        <v>692</v>
      </c>
      <c r="F3" s="409" t="s">
        <v>693</v>
      </c>
      <c r="G3" s="409" t="s">
        <v>694</v>
      </c>
      <c r="H3" s="410" t="s">
        <v>695</v>
      </c>
      <c r="I3" s="409" t="s">
        <v>696</v>
      </c>
      <c r="J3" s="411"/>
      <c r="K3" s="412"/>
      <c r="L3" s="412"/>
      <c r="M3" s="413"/>
      <c r="N3" s="413"/>
      <c r="O3" s="413"/>
      <c r="P3" s="413"/>
      <c r="Q3" s="413"/>
      <c r="R3" s="413"/>
      <c r="S3" s="413"/>
      <c r="T3" s="413"/>
      <c r="U3" s="413"/>
      <c r="V3" s="413"/>
      <c r="W3" s="413"/>
      <c r="X3" s="413"/>
      <c r="Y3" s="413"/>
      <c r="Z3" s="413"/>
      <c r="AA3" s="413"/>
      <c r="AB3" s="413"/>
      <c r="AC3" s="413"/>
      <c r="AD3" s="413"/>
      <c r="AE3" s="413"/>
      <c r="AF3" s="413"/>
      <c r="AG3" s="413"/>
      <c r="AH3" s="413"/>
      <c r="AI3" s="413"/>
      <c r="AJ3" s="413"/>
      <c r="AK3" s="413"/>
      <c r="AL3" s="413"/>
      <c r="AM3" s="413"/>
      <c r="AN3" s="413"/>
      <c r="AO3" s="413"/>
      <c r="AP3" s="413"/>
      <c r="AQ3" s="413"/>
      <c r="AR3" s="413"/>
      <c r="AS3" s="413"/>
      <c r="AT3" s="413"/>
      <c r="AU3" s="413"/>
      <c r="AV3" s="413"/>
      <c r="AW3" s="413"/>
      <c r="AX3" s="413"/>
      <c r="AY3" s="413"/>
      <c r="AZ3" s="413"/>
      <c r="BA3" s="413"/>
      <c r="BB3" s="413"/>
      <c r="BC3" s="413"/>
      <c r="BD3" s="413"/>
      <c r="BE3" s="413"/>
      <c r="BF3" s="413"/>
      <c r="BG3" s="413"/>
      <c r="BH3" s="413"/>
      <c r="BI3" s="413"/>
      <c r="BJ3" s="413"/>
      <c r="BK3" s="413"/>
      <c r="BL3" s="413"/>
    </row>
    <row r="4" spans="1:64" ht="13">
      <c r="A4" s="1277"/>
      <c r="B4" s="1277"/>
      <c r="C4" s="1318"/>
      <c r="D4" s="414" t="s">
        <v>697</v>
      </c>
      <c r="E4" s="415" t="s">
        <v>698</v>
      </c>
      <c r="F4" s="414" t="s">
        <v>699</v>
      </c>
      <c r="G4" s="416" t="s">
        <v>700</v>
      </c>
      <c r="H4" s="415" t="s">
        <v>701</v>
      </c>
      <c r="I4" s="414" t="s">
        <v>702</v>
      </c>
      <c r="J4" s="411"/>
      <c r="K4" s="412"/>
      <c r="L4" s="412"/>
      <c r="M4" s="413"/>
      <c r="N4" s="413"/>
      <c r="O4" s="413"/>
      <c r="P4" s="413"/>
      <c r="Q4" s="413"/>
      <c r="R4" s="413"/>
      <c r="S4" s="413"/>
      <c r="T4" s="413"/>
      <c r="U4" s="413"/>
      <c r="V4" s="413"/>
      <c r="W4" s="413"/>
      <c r="X4" s="413"/>
      <c r="Y4" s="413"/>
      <c r="Z4" s="413"/>
      <c r="AA4" s="413"/>
      <c r="AB4" s="413"/>
      <c r="AC4" s="413"/>
      <c r="AD4" s="413"/>
      <c r="AE4" s="413"/>
      <c r="AF4" s="413"/>
      <c r="AG4" s="413"/>
      <c r="AH4" s="413"/>
      <c r="AI4" s="413"/>
      <c r="AJ4" s="413"/>
      <c r="AK4" s="413"/>
      <c r="AL4" s="413"/>
      <c r="AM4" s="413"/>
      <c r="AN4" s="413"/>
      <c r="AO4" s="413"/>
      <c r="AP4" s="413"/>
      <c r="AQ4" s="413"/>
      <c r="AR4" s="413"/>
      <c r="AS4" s="413"/>
      <c r="AT4" s="413"/>
      <c r="AU4" s="413"/>
      <c r="AV4" s="413"/>
      <c r="AW4" s="413"/>
      <c r="AX4" s="413"/>
      <c r="AY4" s="413"/>
      <c r="AZ4" s="413"/>
      <c r="BA4" s="413"/>
      <c r="BB4" s="413"/>
      <c r="BC4" s="413"/>
      <c r="BD4" s="413"/>
      <c r="BE4" s="413"/>
      <c r="BF4" s="413"/>
      <c r="BG4" s="413"/>
      <c r="BH4" s="413"/>
      <c r="BI4" s="413"/>
      <c r="BJ4" s="413"/>
      <c r="BK4" s="413"/>
      <c r="BL4" s="413"/>
    </row>
    <row r="5" spans="1:64" ht="25">
      <c r="A5" s="406"/>
      <c r="B5" s="406"/>
      <c r="C5" s="417" t="s">
        <v>703</v>
      </c>
      <c r="D5" s="408">
        <f>ROUND(([161]LEAD!$N$13*1.05),2)</f>
        <v>2576.61</v>
      </c>
      <c r="E5" s="408">
        <f>$D$5</f>
        <v>2576.61</v>
      </c>
      <c r="F5" s="408">
        <f>$D$5</f>
        <v>2576.61</v>
      </c>
      <c r="G5" s="408">
        <f>$D$5</f>
        <v>2576.61</v>
      </c>
      <c r="H5" s="408">
        <f>$D$5</f>
        <v>2576.61</v>
      </c>
      <c r="I5" s="408">
        <f>$D$5</f>
        <v>2576.61</v>
      </c>
      <c r="J5" s="418"/>
      <c r="K5" s="419"/>
      <c r="L5" s="419"/>
      <c r="M5" s="420"/>
      <c r="N5" s="420"/>
      <c r="O5" s="420"/>
      <c r="P5" s="420"/>
      <c r="Q5" s="420"/>
      <c r="R5" s="420"/>
      <c r="S5" s="420"/>
      <c r="T5" s="420"/>
      <c r="U5" s="420"/>
      <c r="V5" s="420"/>
      <c r="W5" s="420"/>
      <c r="X5" s="420"/>
      <c r="Y5" s="420"/>
      <c r="Z5" s="420"/>
      <c r="AA5" s="420"/>
      <c r="AB5" s="420"/>
      <c r="AC5" s="420"/>
      <c r="AD5" s="420"/>
      <c r="AE5" s="420"/>
      <c r="AF5" s="420"/>
      <c r="AG5" s="420"/>
      <c r="AH5" s="420"/>
      <c r="AI5" s="420"/>
      <c r="AJ5" s="420"/>
      <c r="AK5" s="420"/>
      <c r="AL5" s="420"/>
      <c r="AM5" s="420"/>
      <c r="AN5" s="420"/>
      <c r="AO5" s="420"/>
      <c r="AP5" s="420"/>
      <c r="AQ5" s="420"/>
      <c r="AR5" s="420"/>
      <c r="AS5" s="420"/>
      <c r="AT5" s="420"/>
      <c r="AU5" s="420"/>
      <c r="AV5" s="420"/>
      <c r="AW5" s="420"/>
      <c r="AX5" s="420"/>
      <c r="AY5" s="420"/>
      <c r="AZ5" s="420"/>
      <c r="BA5" s="420"/>
      <c r="BB5" s="420"/>
      <c r="BC5" s="420"/>
      <c r="BD5" s="420"/>
      <c r="BE5" s="420"/>
      <c r="BF5" s="420"/>
      <c r="BG5" s="420"/>
      <c r="BH5" s="420"/>
      <c r="BI5" s="420"/>
      <c r="BJ5" s="420"/>
      <c r="BK5" s="420"/>
      <c r="BL5" s="420"/>
    </row>
    <row r="6" spans="1:64">
      <c r="A6" s="406"/>
      <c r="B6" s="406"/>
      <c r="C6" s="417" t="s">
        <v>704</v>
      </c>
      <c r="D6" s="408">
        <f>[161]LEAD!$N$6*1440/2000</f>
        <v>3744</v>
      </c>
      <c r="E6" s="408">
        <f>[161]LEAD!$N$6*1440/3000</f>
        <v>2496</v>
      </c>
      <c r="F6" s="408">
        <f>[161]LEAD!$N$6*1440/4000</f>
        <v>1872</v>
      </c>
      <c r="G6" s="408">
        <f>[161]LEAD!$N$6*1440/5000</f>
        <v>1497.6</v>
      </c>
      <c r="H6" s="408">
        <f>[161]LEAD!$N$6*1440/6000</f>
        <v>1248</v>
      </c>
      <c r="I6" s="408">
        <f>[161]LEAD!$N$6*1440/8000</f>
        <v>936</v>
      </c>
      <c r="J6" s="418"/>
      <c r="K6" s="419"/>
      <c r="L6" s="419"/>
      <c r="M6" s="420"/>
      <c r="N6" s="420"/>
      <c r="O6" s="420"/>
      <c r="P6" s="420"/>
      <c r="Q6" s="420"/>
      <c r="R6" s="420"/>
      <c r="S6" s="420"/>
      <c r="T6" s="420"/>
      <c r="U6" s="420"/>
      <c r="V6" s="420"/>
      <c r="W6" s="420"/>
      <c r="X6" s="420"/>
      <c r="Y6" s="420"/>
      <c r="Z6" s="420"/>
      <c r="AA6" s="420"/>
      <c r="AB6" s="420"/>
      <c r="AC6" s="420"/>
      <c r="AD6" s="420"/>
      <c r="AE6" s="420"/>
      <c r="AF6" s="420"/>
      <c r="AG6" s="420"/>
      <c r="AH6" s="420"/>
      <c r="AI6" s="420"/>
      <c r="AJ6" s="420"/>
      <c r="AK6" s="420"/>
      <c r="AL6" s="420"/>
      <c r="AM6" s="420"/>
      <c r="AN6" s="420"/>
      <c r="AO6" s="420"/>
      <c r="AP6" s="420"/>
      <c r="AQ6" s="420"/>
      <c r="AR6" s="420"/>
      <c r="AS6" s="420"/>
      <c r="AT6" s="420"/>
      <c r="AU6" s="420"/>
      <c r="AV6" s="420"/>
      <c r="AW6" s="420"/>
      <c r="AX6" s="420"/>
      <c r="AY6" s="420"/>
      <c r="AZ6" s="420"/>
      <c r="BA6" s="420"/>
      <c r="BB6" s="420"/>
      <c r="BC6" s="420"/>
      <c r="BD6" s="420"/>
      <c r="BE6" s="420"/>
      <c r="BF6" s="420"/>
      <c r="BG6" s="420"/>
      <c r="BH6" s="420"/>
      <c r="BI6" s="420"/>
      <c r="BJ6" s="420"/>
      <c r="BK6" s="420"/>
      <c r="BL6" s="420"/>
    </row>
    <row r="7" spans="1:64" ht="25">
      <c r="A7" s="406"/>
      <c r="B7" s="406"/>
      <c r="C7" s="417" t="s">
        <v>705</v>
      </c>
      <c r="D7" s="408">
        <f>ROUND('[161]Civil-SOR'!$G$307*0.2,2)</f>
        <v>104</v>
      </c>
      <c r="E7" s="408">
        <f>ROUND('[161]Civil-SOR'!$G$307*0.2,2)</f>
        <v>104</v>
      </c>
      <c r="F7" s="408">
        <f>ROUND('[161]Civil-SOR'!$G$307*0.2,2)</f>
        <v>104</v>
      </c>
      <c r="G7" s="408">
        <f>ROUND('[161]Civil-SOR'!$G$307*0.2,2)</f>
        <v>104</v>
      </c>
      <c r="H7" s="408">
        <f>ROUND('[161]Civil-SOR'!$G$307*0.2,2)</f>
        <v>104</v>
      </c>
      <c r="I7" s="408">
        <f>ROUND('[161]Civil-SOR'!$G$307*0.2,2)</f>
        <v>104</v>
      </c>
      <c r="J7" s="418"/>
      <c r="K7" s="419"/>
      <c r="L7" s="419"/>
      <c r="M7" s="420"/>
      <c r="N7" s="420"/>
      <c r="O7" s="420"/>
      <c r="P7" s="420"/>
      <c r="Q7" s="420"/>
      <c r="R7" s="420"/>
      <c r="S7" s="420"/>
      <c r="T7" s="420"/>
      <c r="U7" s="420"/>
      <c r="V7" s="420"/>
      <c r="W7" s="420"/>
      <c r="X7" s="420"/>
      <c r="Y7" s="420"/>
      <c r="Z7" s="420"/>
      <c r="AA7" s="420"/>
      <c r="AB7" s="420"/>
      <c r="AC7" s="420"/>
      <c r="AD7" s="420"/>
      <c r="AE7" s="420"/>
      <c r="AF7" s="420"/>
      <c r="AG7" s="420"/>
      <c r="AH7" s="420"/>
      <c r="AI7" s="420"/>
      <c r="AJ7" s="420"/>
      <c r="AK7" s="420"/>
      <c r="AL7" s="420"/>
      <c r="AM7" s="420"/>
      <c r="AN7" s="420"/>
      <c r="AO7" s="420"/>
      <c r="AP7" s="420"/>
      <c r="AQ7" s="420"/>
      <c r="AR7" s="420"/>
      <c r="AS7" s="420"/>
      <c r="AT7" s="420"/>
      <c r="AU7" s="420"/>
      <c r="AV7" s="420"/>
      <c r="AW7" s="420"/>
      <c r="AX7" s="420"/>
      <c r="AY7" s="420"/>
      <c r="AZ7" s="420"/>
      <c r="BA7" s="420"/>
      <c r="BB7" s="420"/>
      <c r="BC7" s="420"/>
      <c r="BD7" s="420"/>
      <c r="BE7" s="420"/>
      <c r="BF7" s="420"/>
      <c r="BG7" s="420"/>
      <c r="BH7" s="420"/>
      <c r="BI7" s="420"/>
      <c r="BJ7" s="420"/>
      <c r="BK7" s="420"/>
      <c r="BL7" s="420"/>
    </row>
    <row r="8" spans="1:64">
      <c r="A8" s="406"/>
      <c r="B8" s="406"/>
      <c r="C8" s="417" t="str">
        <f>[161]Input!$C$47</f>
        <v>Add for MA @ 40%</v>
      </c>
      <c r="D8" s="408">
        <f>$D$7*[161]Input!$D$47</f>
        <v>41.6</v>
      </c>
      <c r="E8" s="408">
        <f>$D$7*[161]Input!$D$47</f>
        <v>41.6</v>
      </c>
      <c r="F8" s="408">
        <f>$D$7*[161]Input!$D$47</f>
        <v>41.6</v>
      </c>
      <c r="G8" s="408">
        <f>$D$7*[161]Input!$D$47</f>
        <v>41.6</v>
      </c>
      <c r="H8" s="408">
        <f>$D$7*[161]Input!$D$47</f>
        <v>41.6</v>
      </c>
      <c r="I8" s="408">
        <f>$D$7*[161]Input!$D$47</f>
        <v>41.6</v>
      </c>
      <c r="J8" s="418"/>
      <c r="K8" s="419"/>
      <c r="L8" s="419"/>
      <c r="M8" s="420"/>
      <c r="N8" s="420"/>
      <c r="O8" s="420"/>
      <c r="P8" s="420"/>
      <c r="Q8" s="420"/>
      <c r="R8" s="420"/>
      <c r="S8" s="420"/>
      <c r="T8" s="420"/>
      <c r="U8" s="420"/>
      <c r="V8" s="420"/>
      <c r="W8" s="420"/>
      <c r="X8" s="420"/>
      <c r="Y8" s="420"/>
      <c r="Z8" s="420"/>
      <c r="AA8" s="420"/>
      <c r="AB8" s="420"/>
      <c r="AC8" s="420"/>
      <c r="AD8" s="420"/>
      <c r="AE8" s="420"/>
      <c r="AF8" s="420"/>
      <c r="AG8" s="420"/>
      <c r="AH8" s="420"/>
      <c r="AI8" s="420"/>
      <c r="AJ8" s="420"/>
      <c r="AK8" s="420"/>
      <c r="AL8" s="420"/>
      <c r="AM8" s="420"/>
      <c r="AN8" s="420"/>
      <c r="AO8" s="420"/>
      <c r="AP8" s="420"/>
      <c r="AQ8" s="420"/>
      <c r="AR8" s="420"/>
      <c r="AS8" s="420"/>
      <c r="AT8" s="420"/>
      <c r="AU8" s="420"/>
      <c r="AV8" s="420"/>
      <c r="AW8" s="420"/>
      <c r="AX8" s="420"/>
      <c r="AY8" s="420"/>
      <c r="AZ8" s="420"/>
      <c r="BA8" s="420"/>
      <c r="BB8" s="420"/>
      <c r="BC8" s="420"/>
      <c r="BD8" s="420"/>
      <c r="BE8" s="420"/>
      <c r="BF8" s="420"/>
      <c r="BG8" s="420"/>
      <c r="BH8" s="420"/>
      <c r="BI8" s="420"/>
      <c r="BJ8" s="420"/>
      <c r="BK8" s="420"/>
      <c r="BL8" s="420"/>
    </row>
    <row r="9" spans="1:64" ht="13">
      <c r="A9" s="406"/>
      <c r="B9" s="406"/>
      <c r="C9" s="421" t="s">
        <v>706</v>
      </c>
      <c r="D9" s="422">
        <f t="shared" ref="D9:I9" si="0">SUM(D5:D8)</f>
        <v>6466.2100000000009</v>
      </c>
      <c r="E9" s="422">
        <f t="shared" si="0"/>
        <v>5218.2100000000009</v>
      </c>
      <c r="F9" s="422">
        <f t="shared" si="0"/>
        <v>4594.2100000000009</v>
      </c>
      <c r="G9" s="422">
        <f t="shared" si="0"/>
        <v>4219.8100000000004</v>
      </c>
      <c r="H9" s="422">
        <f t="shared" si="0"/>
        <v>3970.21</v>
      </c>
      <c r="I9" s="422">
        <f t="shared" si="0"/>
        <v>3658.21</v>
      </c>
      <c r="J9" s="423"/>
      <c r="K9" s="424"/>
      <c r="L9" s="424"/>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5"/>
      <c r="BC9" s="425"/>
      <c r="BD9" s="425"/>
      <c r="BE9" s="425"/>
      <c r="BF9" s="425"/>
      <c r="BG9" s="425"/>
      <c r="BH9" s="425"/>
      <c r="BI9" s="425"/>
      <c r="BJ9" s="425"/>
      <c r="BK9" s="425"/>
      <c r="BL9" s="425"/>
    </row>
    <row r="10" spans="1:64" ht="13">
      <c r="A10" s="426"/>
      <c r="B10" s="426"/>
      <c r="C10" s="427"/>
      <c r="D10" s="414"/>
      <c r="E10" s="414"/>
      <c r="F10" s="414"/>
      <c r="G10" s="416"/>
      <c r="H10" s="414"/>
      <c r="I10" s="414"/>
      <c r="J10" s="400"/>
      <c r="K10" s="401"/>
      <c r="L10" s="401"/>
      <c r="M10" s="404"/>
      <c r="N10" s="404"/>
      <c r="O10" s="404"/>
      <c r="P10" s="404"/>
      <c r="Q10" s="404"/>
      <c r="R10" s="404"/>
      <c r="S10" s="404"/>
      <c r="T10" s="404"/>
      <c r="U10" s="404"/>
      <c r="V10" s="404"/>
      <c r="W10" s="404"/>
      <c r="X10" s="404"/>
      <c r="Y10" s="404"/>
      <c r="Z10" s="404"/>
      <c r="AA10" s="404"/>
      <c r="AB10" s="404"/>
      <c r="AC10" s="404"/>
      <c r="AD10" s="404"/>
      <c r="AE10" s="404"/>
      <c r="AF10" s="404"/>
      <c r="AG10" s="404"/>
      <c r="AH10" s="404"/>
      <c r="AI10" s="404"/>
      <c r="AJ10" s="404"/>
      <c r="AK10" s="404"/>
      <c r="AL10" s="404"/>
      <c r="AM10" s="404"/>
      <c r="AN10" s="404"/>
      <c r="AO10" s="404"/>
      <c r="AP10" s="404"/>
      <c r="AQ10" s="404"/>
      <c r="AR10" s="404"/>
      <c r="AS10" s="404"/>
      <c r="AT10" s="404"/>
      <c r="AU10" s="404"/>
      <c r="AV10" s="404"/>
      <c r="AW10" s="404"/>
      <c r="AX10" s="404"/>
      <c r="AY10" s="404"/>
      <c r="AZ10" s="404"/>
      <c r="BA10" s="404"/>
      <c r="BB10" s="404"/>
      <c r="BC10" s="404"/>
      <c r="BD10" s="404"/>
      <c r="BE10" s="404"/>
      <c r="BF10" s="404"/>
      <c r="BG10" s="404"/>
      <c r="BH10" s="404"/>
      <c r="BI10" s="404"/>
      <c r="BJ10" s="404"/>
      <c r="BK10" s="404"/>
      <c r="BL10" s="404"/>
    </row>
    <row r="11" spans="1:64" ht="12.75" customHeight="1">
      <c r="A11" s="406"/>
      <c r="B11" s="406"/>
      <c r="C11" s="1315" t="s">
        <v>707</v>
      </c>
      <c r="D11" s="1315"/>
      <c r="E11" s="1315"/>
      <c r="F11" s="1315"/>
      <c r="G11" s="428"/>
      <c r="H11" s="428"/>
      <c r="I11" s="428"/>
      <c r="J11" s="423"/>
      <c r="K11" s="424"/>
      <c r="L11" s="424"/>
      <c r="M11" s="425"/>
      <c r="N11" s="425"/>
      <c r="O11" s="425"/>
      <c r="P11" s="425"/>
      <c r="Q11" s="425"/>
      <c r="R11" s="425"/>
      <c r="S11" s="425"/>
      <c r="T11" s="425"/>
      <c r="U11" s="425"/>
      <c r="V11" s="425"/>
      <c r="W11" s="425"/>
      <c r="X11" s="425"/>
      <c r="Y11" s="425"/>
      <c r="Z11" s="425"/>
      <c r="AA11" s="425"/>
      <c r="AB11" s="425"/>
      <c r="AC11" s="425"/>
      <c r="AD11" s="425"/>
      <c r="AE11" s="425"/>
      <c r="AF11" s="425"/>
      <c r="AG11" s="425"/>
      <c r="AH11" s="425"/>
      <c r="AI11" s="425"/>
      <c r="AJ11" s="425"/>
      <c r="AK11" s="425"/>
      <c r="AL11" s="425"/>
      <c r="AM11" s="425"/>
      <c r="AN11" s="425"/>
      <c r="AO11" s="425"/>
      <c r="AP11" s="425"/>
      <c r="AQ11" s="425"/>
      <c r="AR11" s="425"/>
      <c r="AS11" s="425"/>
      <c r="AT11" s="425"/>
      <c r="AU11" s="425"/>
      <c r="AV11" s="425"/>
      <c r="AW11" s="425"/>
      <c r="AX11" s="425"/>
      <c r="AY11" s="425"/>
      <c r="AZ11" s="425"/>
      <c r="BA11" s="425"/>
      <c r="BB11" s="425"/>
      <c r="BC11" s="425"/>
      <c r="BD11" s="425"/>
      <c r="BE11" s="425"/>
      <c r="BF11" s="425"/>
      <c r="BG11" s="425"/>
      <c r="BH11" s="425"/>
      <c r="BI11" s="425"/>
      <c r="BJ11" s="425"/>
      <c r="BK11" s="425"/>
      <c r="BL11" s="425"/>
    </row>
    <row r="12" spans="1:64">
      <c r="A12" s="426"/>
      <c r="B12" s="426"/>
      <c r="C12" s="429" t="s">
        <v>708</v>
      </c>
      <c r="D12" s="408">
        <v>0.6</v>
      </c>
      <c r="E12" s="408">
        <f>[161]LEAD!$N$19</f>
        <v>1507.96</v>
      </c>
      <c r="F12" s="408">
        <f t="shared" ref="F12:F15" si="1">ROUND(D12*E12,2)</f>
        <v>904.78</v>
      </c>
      <c r="G12" s="430"/>
      <c r="H12" s="408"/>
      <c r="I12" s="408"/>
      <c r="J12" s="418"/>
      <c r="K12" s="419"/>
      <c r="L12" s="419"/>
      <c r="M12" s="420"/>
      <c r="N12" s="420"/>
      <c r="O12" s="420"/>
      <c r="P12" s="420"/>
      <c r="Q12" s="420"/>
      <c r="R12" s="420"/>
      <c r="S12" s="420"/>
      <c r="T12" s="420"/>
      <c r="U12" s="420"/>
      <c r="V12" s="420"/>
      <c r="W12" s="420"/>
      <c r="X12" s="420"/>
      <c r="Y12" s="420"/>
      <c r="Z12" s="420"/>
      <c r="AA12" s="420"/>
      <c r="AB12" s="420"/>
      <c r="AC12" s="420"/>
      <c r="AD12" s="420"/>
      <c r="AE12" s="420"/>
      <c r="AF12" s="420"/>
      <c r="AG12" s="420"/>
      <c r="AH12" s="420"/>
      <c r="AI12" s="420"/>
      <c r="AJ12" s="420"/>
      <c r="AK12" s="420"/>
      <c r="AL12" s="420"/>
      <c r="AM12" s="420"/>
      <c r="AN12" s="420"/>
      <c r="AO12" s="420"/>
      <c r="AP12" s="420"/>
      <c r="AQ12" s="420"/>
      <c r="AR12" s="420"/>
      <c r="AS12" s="420"/>
      <c r="AT12" s="420"/>
      <c r="AU12" s="420"/>
      <c r="AV12" s="420"/>
      <c r="AW12" s="420"/>
      <c r="AX12" s="420"/>
      <c r="AY12" s="420"/>
      <c r="AZ12" s="420"/>
      <c r="BA12" s="420"/>
      <c r="BB12" s="420"/>
      <c r="BC12" s="420"/>
      <c r="BD12" s="420"/>
      <c r="BE12" s="420"/>
      <c r="BF12" s="420"/>
      <c r="BG12" s="420"/>
      <c r="BH12" s="420"/>
      <c r="BI12" s="420"/>
      <c r="BJ12" s="420"/>
      <c r="BK12" s="420"/>
      <c r="BL12" s="420"/>
    </row>
    <row r="13" spans="1:64">
      <c r="A13" s="426"/>
      <c r="B13" s="426"/>
      <c r="C13" s="429" t="s">
        <v>709</v>
      </c>
      <c r="D13" s="408">
        <v>0.15</v>
      </c>
      <c r="E13" s="408">
        <f>[161]LEAD!$N$20</f>
        <v>1457.96</v>
      </c>
      <c r="F13" s="408">
        <f t="shared" si="1"/>
        <v>218.69</v>
      </c>
      <c r="G13" s="430"/>
      <c r="H13" s="408"/>
      <c r="I13" s="408"/>
      <c r="J13" s="418"/>
      <c r="K13" s="419"/>
      <c r="L13" s="419"/>
      <c r="M13" s="420"/>
      <c r="N13" s="420"/>
      <c r="O13" s="420"/>
      <c r="P13" s="420"/>
      <c r="Q13" s="420"/>
      <c r="R13" s="420"/>
      <c r="S13" s="420"/>
      <c r="T13" s="420"/>
      <c r="U13" s="420"/>
      <c r="V13" s="420"/>
      <c r="W13" s="420"/>
      <c r="X13" s="420"/>
      <c r="Y13" s="420"/>
      <c r="Z13" s="420"/>
      <c r="AA13" s="420"/>
      <c r="AB13" s="420"/>
      <c r="AC13" s="420"/>
      <c r="AD13" s="420"/>
      <c r="AE13" s="420"/>
      <c r="AF13" s="420"/>
      <c r="AG13" s="420"/>
      <c r="AH13" s="420"/>
      <c r="AI13" s="420"/>
      <c r="AJ13" s="420"/>
      <c r="AK13" s="420"/>
      <c r="AL13" s="420"/>
      <c r="AM13" s="420"/>
      <c r="AN13" s="420"/>
      <c r="AO13" s="420"/>
      <c r="AP13" s="420"/>
      <c r="AQ13" s="420"/>
      <c r="AR13" s="420"/>
      <c r="AS13" s="420"/>
      <c r="AT13" s="420"/>
      <c r="AU13" s="420"/>
      <c r="AV13" s="420"/>
      <c r="AW13" s="420"/>
      <c r="AX13" s="420"/>
      <c r="AY13" s="420"/>
      <c r="AZ13" s="420"/>
      <c r="BA13" s="420"/>
      <c r="BB13" s="420"/>
      <c r="BC13" s="420"/>
      <c r="BD13" s="420"/>
      <c r="BE13" s="420"/>
      <c r="BF13" s="420"/>
      <c r="BG13" s="420"/>
      <c r="BH13" s="420"/>
      <c r="BI13" s="420"/>
      <c r="BJ13" s="420"/>
      <c r="BK13" s="420"/>
      <c r="BL13" s="420"/>
    </row>
    <row r="14" spans="1:64">
      <c r="A14" s="426"/>
      <c r="B14" s="426"/>
      <c r="C14" s="429" t="s">
        <v>710</v>
      </c>
      <c r="D14" s="408">
        <v>0.15</v>
      </c>
      <c r="E14" s="408">
        <f>[161]LEAD!$N$21</f>
        <v>1357.96</v>
      </c>
      <c r="F14" s="408">
        <f t="shared" si="1"/>
        <v>203.69</v>
      </c>
      <c r="G14" s="430"/>
      <c r="H14" s="408"/>
      <c r="I14" s="408"/>
      <c r="J14" s="418"/>
      <c r="K14" s="419"/>
      <c r="L14" s="419"/>
      <c r="M14" s="420"/>
      <c r="N14" s="420"/>
      <c r="O14" s="420"/>
      <c r="P14" s="420"/>
      <c r="Q14" s="420"/>
      <c r="R14" s="420"/>
      <c r="S14" s="420"/>
      <c r="T14" s="420"/>
      <c r="U14" s="420"/>
      <c r="V14" s="420"/>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0"/>
      <c r="AT14" s="420"/>
      <c r="AU14" s="420"/>
      <c r="AV14" s="420"/>
      <c r="AW14" s="420"/>
      <c r="AX14" s="420"/>
      <c r="AY14" s="420"/>
      <c r="AZ14" s="420"/>
      <c r="BA14" s="420"/>
      <c r="BB14" s="420"/>
      <c r="BC14" s="420"/>
      <c r="BD14" s="420"/>
      <c r="BE14" s="420"/>
      <c r="BF14" s="420"/>
      <c r="BG14" s="420"/>
      <c r="BH14" s="420"/>
      <c r="BI14" s="420"/>
      <c r="BJ14" s="420"/>
      <c r="BK14" s="420"/>
      <c r="BL14" s="420"/>
    </row>
    <row r="15" spans="1:64">
      <c r="A15" s="426"/>
      <c r="B15" s="426"/>
      <c r="C15" s="429" t="s">
        <v>711</v>
      </c>
      <c r="D15" s="408">
        <v>0.1</v>
      </c>
      <c r="E15" s="408">
        <f>[161]LEAD!$N$22</f>
        <v>1207.96</v>
      </c>
      <c r="F15" s="408">
        <f t="shared" si="1"/>
        <v>120.8</v>
      </c>
      <c r="G15" s="430"/>
      <c r="H15" s="408"/>
      <c r="I15" s="408"/>
      <c r="J15" s="418"/>
      <c r="K15" s="419"/>
      <c r="L15" s="419"/>
      <c r="M15" s="420"/>
      <c r="N15" s="420"/>
      <c r="O15" s="420"/>
      <c r="P15" s="420"/>
      <c r="Q15" s="420"/>
      <c r="R15" s="420"/>
      <c r="S15" s="420"/>
      <c r="T15" s="420"/>
      <c r="U15" s="420"/>
      <c r="V15" s="420"/>
      <c r="W15" s="420"/>
      <c r="X15" s="420"/>
      <c r="Y15" s="420"/>
      <c r="Z15" s="420"/>
      <c r="AA15" s="420"/>
      <c r="AB15" s="420"/>
      <c r="AC15" s="420"/>
      <c r="AD15" s="420"/>
      <c r="AE15" s="420"/>
      <c r="AF15" s="420"/>
      <c r="AG15" s="420"/>
      <c r="AH15" s="420"/>
      <c r="AI15" s="420"/>
      <c r="AJ15" s="420"/>
      <c r="AK15" s="420"/>
      <c r="AL15" s="420"/>
      <c r="AM15" s="420"/>
      <c r="AN15" s="420"/>
      <c r="AO15" s="420"/>
      <c r="AP15" s="420"/>
      <c r="AQ15" s="420"/>
      <c r="AR15" s="420"/>
      <c r="AS15" s="420"/>
      <c r="AT15" s="420"/>
      <c r="AU15" s="420"/>
      <c r="AV15" s="420"/>
      <c r="AW15" s="420"/>
      <c r="AX15" s="420"/>
      <c r="AY15" s="420"/>
      <c r="AZ15" s="420"/>
      <c r="BA15" s="420"/>
      <c r="BB15" s="420"/>
      <c r="BC15" s="420"/>
      <c r="BD15" s="420"/>
      <c r="BE15" s="420"/>
      <c r="BF15" s="420"/>
      <c r="BG15" s="420"/>
      <c r="BH15" s="420"/>
      <c r="BI15" s="420"/>
      <c r="BJ15" s="420"/>
      <c r="BK15" s="420"/>
      <c r="BL15" s="420"/>
    </row>
    <row r="16" spans="1:64" ht="12.75" customHeight="1">
      <c r="A16" s="406"/>
      <c r="B16" s="406"/>
      <c r="C16" s="1313" t="s">
        <v>706</v>
      </c>
      <c r="D16" s="1313"/>
      <c r="E16" s="1313"/>
      <c r="F16" s="422">
        <f>SUM(F12:F15)</f>
        <v>1447.96</v>
      </c>
      <c r="G16" s="431"/>
      <c r="H16" s="406"/>
      <c r="I16" s="432"/>
      <c r="J16" s="423"/>
      <c r="K16" s="424"/>
      <c r="L16" s="424"/>
      <c r="M16" s="425"/>
      <c r="N16" s="425"/>
      <c r="O16" s="425"/>
      <c r="P16" s="425"/>
      <c r="Q16" s="425"/>
      <c r="R16" s="425"/>
      <c r="S16" s="425"/>
      <c r="T16" s="425"/>
      <c r="U16" s="425"/>
      <c r="V16" s="425"/>
      <c r="W16" s="425"/>
      <c r="X16" s="425"/>
      <c r="Y16" s="425"/>
      <c r="Z16" s="425"/>
      <c r="AA16" s="425"/>
      <c r="AB16" s="425"/>
      <c r="AC16" s="425"/>
      <c r="AD16" s="425"/>
      <c r="AE16" s="425"/>
      <c r="AF16" s="425"/>
      <c r="AG16" s="425"/>
      <c r="AH16" s="425"/>
      <c r="AI16" s="425"/>
      <c r="AJ16" s="425"/>
      <c r="AK16" s="425"/>
      <c r="AL16" s="425"/>
      <c r="AM16" s="425"/>
      <c r="AN16" s="425"/>
      <c r="AO16" s="425"/>
      <c r="AP16" s="425"/>
      <c r="AQ16" s="425"/>
      <c r="AR16" s="425"/>
      <c r="AS16" s="425"/>
      <c r="AT16" s="425"/>
      <c r="AU16" s="425"/>
      <c r="AV16" s="425"/>
      <c r="AW16" s="425"/>
      <c r="AX16" s="425"/>
      <c r="AY16" s="425"/>
      <c r="AZ16" s="425"/>
      <c r="BA16" s="425"/>
      <c r="BB16" s="425"/>
      <c r="BC16" s="425"/>
      <c r="BD16" s="425"/>
      <c r="BE16" s="425"/>
      <c r="BF16" s="425"/>
      <c r="BG16" s="425"/>
      <c r="BH16" s="425"/>
      <c r="BI16" s="425"/>
      <c r="BJ16" s="425"/>
      <c r="BK16" s="425"/>
      <c r="BL16" s="425"/>
    </row>
    <row r="17" spans="1:64" ht="13">
      <c r="A17" s="426"/>
      <c r="B17" s="426"/>
      <c r="C17" s="433"/>
      <c r="D17" s="409"/>
      <c r="E17" s="426"/>
      <c r="F17" s="434"/>
      <c r="G17" s="410"/>
      <c r="H17" s="426"/>
      <c r="I17" s="409"/>
      <c r="J17" s="400"/>
      <c r="K17" s="401"/>
      <c r="L17" s="401"/>
      <c r="M17" s="404"/>
      <c r="N17" s="404"/>
      <c r="O17" s="404"/>
      <c r="P17" s="404"/>
      <c r="Q17" s="404"/>
      <c r="R17" s="404"/>
      <c r="S17" s="404"/>
      <c r="T17" s="404"/>
      <c r="U17" s="404"/>
      <c r="V17" s="404"/>
      <c r="W17" s="404"/>
      <c r="X17" s="404"/>
      <c r="Y17" s="404"/>
      <c r="Z17" s="404"/>
      <c r="AA17" s="404"/>
      <c r="AB17" s="404"/>
      <c r="AC17" s="404"/>
      <c r="AD17" s="404"/>
      <c r="AE17" s="404"/>
      <c r="AF17" s="404"/>
      <c r="AG17" s="404"/>
      <c r="AH17" s="404"/>
      <c r="AI17" s="404"/>
      <c r="AJ17" s="404"/>
      <c r="AK17" s="404"/>
      <c r="AL17" s="404"/>
      <c r="AM17" s="404"/>
      <c r="AN17" s="404"/>
      <c r="AO17" s="404"/>
      <c r="AP17" s="404"/>
      <c r="AQ17" s="404"/>
      <c r="AR17" s="404"/>
      <c r="AS17" s="404"/>
      <c r="AT17" s="404"/>
      <c r="AU17" s="404"/>
      <c r="AV17" s="404"/>
      <c r="AW17" s="404"/>
      <c r="AX17" s="404"/>
      <c r="AY17" s="404"/>
      <c r="AZ17" s="404"/>
      <c r="BA17" s="404"/>
      <c r="BB17" s="404"/>
      <c r="BC17" s="404"/>
      <c r="BD17" s="404"/>
      <c r="BE17" s="404"/>
      <c r="BF17" s="404"/>
      <c r="BG17" s="404"/>
      <c r="BH17" s="404"/>
      <c r="BI17" s="404"/>
      <c r="BJ17" s="404"/>
      <c r="BK17" s="404"/>
      <c r="BL17" s="404"/>
    </row>
    <row r="18" spans="1:64" ht="12.75" customHeight="1">
      <c r="A18" s="406"/>
      <c r="B18" s="406"/>
      <c r="C18" s="1315" t="s">
        <v>712</v>
      </c>
      <c r="D18" s="1315"/>
      <c r="E18" s="1315"/>
      <c r="F18" s="1315"/>
      <c r="G18" s="428"/>
      <c r="H18" s="428"/>
      <c r="I18" s="428"/>
      <c r="J18" s="423"/>
      <c r="K18" s="424"/>
      <c r="L18" s="424"/>
      <c r="M18" s="425"/>
      <c r="N18" s="425"/>
      <c r="O18" s="425"/>
      <c r="P18" s="425"/>
      <c r="Q18" s="425"/>
      <c r="R18" s="425"/>
      <c r="S18" s="425"/>
      <c r="T18" s="425"/>
      <c r="U18" s="425"/>
      <c r="V18" s="425"/>
      <c r="W18" s="425"/>
      <c r="X18" s="425"/>
      <c r="Y18" s="425"/>
      <c r="Z18" s="425"/>
      <c r="AA18" s="425"/>
      <c r="AB18" s="425"/>
      <c r="AC18" s="425"/>
      <c r="AD18" s="425"/>
      <c r="AE18" s="425"/>
      <c r="AF18" s="425"/>
      <c r="AG18" s="425"/>
      <c r="AH18" s="425"/>
      <c r="AI18" s="425"/>
      <c r="AJ18" s="425"/>
      <c r="AK18" s="425"/>
      <c r="AL18" s="425"/>
      <c r="AM18" s="425"/>
      <c r="AN18" s="425"/>
      <c r="AO18" s="425"/>
      <c r="AP18" s="425"/>
      <c r="AQ18" s="425"/>
      <c r="AR18" s="425"/>
      <c r="AS18" s="425"/>
      <c r="AT18" s="425"/>
      <c r="AU18" s="425"/>
      <c r="AV18" s="425"/>
      <c r="AW18" s="425"/>
      <c r="AX18" s="425"/>
      <c r="AY18" s="425"/>
      <c r="AZ18" s="425"/>
      <c r="BA18" s="425"/>
      <c r="BB18" s="425"/>
      <c r="BC18" s="425"/>
      <c r="BD18" s="425"/>
      <c r="BE18" s="425"/>
      <c r="BF18" s="425"/>
      <c r="BG18" s="425"/>
      <c r="BH18" s="425"/>
      <c r="BI18" s="425"/>
      <c r="BJ18" s="425"/>
      <c r="BK18" s="425"/>
      <c r="BL18" s="425"/>
    </row>
    <row r="19" spans="1:64">
      <c r="A19" s="426"/>
      <c r="B19" s="426"/>
      <c r="C19" s="435" t="s">
        <v>709</v>
      </c>
      <c r="D19" s="408">
        <v>0.6</v>
      </c>
      <c r="E19" s="408">
        <f>[161]LEAD!$N$20</f>
        <v>1457.96</v>
      </c>
      <c r="F19" s="408">
        <f t="shared" ref="F19:F21" si="2">D19*E19</f>
        <v>874.77599999999995</v>
      </c>
      <c r="G19" s="410"/>
      <c r="H19" s="426"/>
      <c r="I19" s="409"/>
      <c r="J19" s="400"/>
      <c r="K19" s="401"/>
      <c r="L19" s="401"/>
      <c r="M19" s="404"/>
      <c r="N19" s="404"/>
      <c r="O19" s="404"/>
      <c r="P19" s="404"/>
      <c r="Q19" s="404"/>
      <c r="R19" s="404"/>
      <c r="S19" s="404"/>
      <c r="T19" s="404"/>
      <c r="U19" s="404"/>
      <c r="V19" s="404"/>
      <c r="W19" s="404"/>
      <c r="X19" s="404"/>
      <c r="Y19" s="404"/>
      <c r="Z19" s="404"/>
      <c r="AA19" s="404"/>
      <c r="AB19" s="404"/>
      <c r="AC19" s="404"/>
      <c r="AD19" s="404"/>
      <c r="AE19" s="404"/>
      <c r="AF19" s="404"/>
      <c r="AG19" s="404"/>
      <c r="AH19" s="404"/>
      <c r="AI19" s="404"/>
      <c r="AJ19" s="404"/>
      <c r="AK19" s="404"/>
      <c r="AL19" s="404"/>
      <c r="AM19" s="404"/>
      <c r="AN19" s="404"/>
      <c r="AO19" s="404"/>
      <c r="AP19" s="404"/>
      <c r="AQ19" s="404"/>
      <c r="AR19" s="404"/>
      <c r="AS19" s="404"/>
      <c r="AT19" s="404"/>
      <c r="AU19" s="404"/>
      <c r="AV19" s="404"/>
      <c r="AW19" s="404"/>
      <c r="AX19" s="404"/>
      <c r="AY19" s="404"/>
      <c r="AZ19" s="404"/>
      <c r="BA19" s="404"/>
      <c r="BB19" s="404"/>
      <c r="BC19" s="404"/>
      <c r="BD19" s="404"/>
      <c r="BE19" s="404"/>
      <c r="BF19" s="404"/>
      <c r="BG19" s="404"/>
      <c r="BH19" s="404"/>
      <c r="BI19" s="404"/>
      <c r="BJ19" s="404"/>
      <c r="BK19" s="404"/>
      <c r="BL19" s="404"/>
    </row>
    <row r="20" spans="1:64">
      <c r="A20" s="426"/>
      <c r="B20" s="426"/>
      <c r="C20" s="435" t="s">
        <v>710</v>
      </c>
      <c r="D20" s="408">
        <v>0.2</v>
      </c>
      <c r="E20" s="408">
        <f>[161]LEAD!$N$21</f>
        <v>1357.96</v>
      </c>
      <c r="F20" s="408">
        <f t="shared" si="2"/>
        <v>271.59200000000004</v>
      </c>
      <c r="G20" s="410"/>
      <c r="H20" s="426"/>
      <c r="I20" s="409"/>
      <c r="J20" s="400"/>
      <c r="K20" s="401"/>
      <c r="L20" s="401"/>
      <c r="M20" s="404"/>
      <c r="N20" s="404"/>
      <c r="O20" s="404"/>
      <c r="P20" s="404"/>
      <c r="Q20" s="404"/>
      <c r="R20" s="404"/>
      <c r="S20" s="404"/>
      <c r="T20" s="404"/>
      <c r="U20" s="404"/>
      <c r="V20" s="404"/>
      <c r="W20" s="404"/>
      <c r="X20" s="404"/>
      <c r="Y20" s="404"/>
      <c r="Z20" s="404"/>
      <c r="AA20" s="404"/>
      <c r="AB20" s="404"/>
      <c r="AC20" s="404"/>
      <c r="AD20" s="404"/>
      <c r="AE20" s="404"/>
      <c r="AF20" s="404"/>
      <c r="AG20" s="404"/>
      <c r="AH20" s="404"/>
      <c r="AI20" s="404"/>
      <c r="AJ20" s="404"/>
      <c r="AK20" s="404"/>
      <c r="AL20" s="404"/>
      <c r="AM20" s="404"/>
      <c r="AN20" s="404"/>
      <c r="AO20" s="404"/>
      <c r="AP20" s="404"/>
      <c r="AQ20" s="404"/>
      <c r="AR20" s="404"/>
      <c r="AS20" s="404"/>
      <c r="AT20" s="404"/>
      <c r="AU20" s="404"/>
      <c r="AV20" s="404"/>
      <c r="AW20" s="404"/>
      <c r="AX20" s="404"/>
      <c r="AY20" s="404"/>
      <c r="AZ20" s="404"/>
      <c r="BA20" s="404"/>
      <c r="BB20" s="404"/>
      <c r="BC20" s="404"/>
      <c r="BD20" s="404"/>
      <c r="BE20" s="404"/>
      <c r="BF20" s="404"/>
      <c r="BG20" s="404"/>
      <c r="BH20" s="404"/>
      <c r="BI20" s="404"/>
      <c r="BJ20" s="404"/>
      <c r="BK20" s="404"/>
      <c r="BL20" s="404"/>
    </row>
    <row r="21" spans="1:64">
      <c r="A21" s="426"/>
      <c r="B21" s="426"/>
      <c r="C21" s="435" t="s">
        <v>711</v>
      </c>
      <c r="D21" s="408">
        <v>0.2</v>
      </c>
      <c r="E21" s="408">
        <f>[161]LEAD!$N$22</f>
        <v>1207.96</v>
      </c>
      <c r="F21" s="408">
        <f t="shared" si="2"/>
        <v>241.59200000000001</v>
      </c>
      <c r="G21" s="410"/>
      <c r="H21" s="426"/>
      <c r="I21" s="409"/>
      <c r="J21" s="400"/>
      <c r="K21" s="401"/>
      <c r="L21" s="401"/>
      <c r="M21" s="404"/>
      <c r="N21" s="404"/>
      <c r="O21" s="404"/>
      <c r="P21" s="404"/>
      <c r="Q21" s="404"/>
      <c r="R21" s="404"/>
      <c r="S21" s="404"/>
      <c r="T21" s="404"/>
      <c r="U21" s="404"/>
      <c r="V21" s="404"/>
      <c r="W21" s="404"/>
      <c r="X21" s="404"/>
      <c r="Y21" s="404"/>
      <c r="Z21" s="404"/>
      <c r="AA21" s="404"/>
      <c r="AB21" s="404"/>
      <c r="AC21" s="404"/>
      <c r="AD21" s="404"/>
      <c r="AE21" s="404"/>
      <c r="AF21" s="404"/>
      <c r="AG21" s="404"/>
      <c r="AH21" s="404"/>
      <c r="AI21" s="404"/>
      <c r="AJ21" s="404"/>
      <c r="AK21" s="404"/>
      <c r="AL21" s="404"/>
      <c r="AM21" s="404"/>
      <c r="AN21" s="404"/>
      <c r="AO21" s="404"/>
      <c r="AP21" s="404"/>
      <c r="AQ21" s="404"/>
      <c r="AR21" s="404"/>
      <c r="AS21" s="404"/>
      <c r="AT21" s="404"/>
      <c r="AU21" s="404"/>
      <c r="AV21" s="404"/>
      <c r="AW21" s="404"/>
      <c r="AX21" s="404"/>
      <c r="AY21" s="404"/>
      <c r="AZ21" s="404"/>
      <c r="BA21" s="404"/>
      <c r="BB21" s="404"/>
      <c r="BC21" s="404"/>
      <c r="BD21" s="404"/>
      <c r="BE21" s="404"/>
      <c r="BF21" s="404"/>
      <c r="BG21" s="404"/>
      <c r="BH21" s="404"/>
      <c r="BI21" s="404"/>
      <c r="BJ21" s="404"/>
      <c r="BK21" s="404"/>
      <c r="BL21" s="404"/>
    </row>
    <row r="22" spans="1:64" ht="12.75" customHeight="1">
      <c r="A22" s="406"/>
      <c r="B22" s="406"/>
      <c r="C22" s="1313" t="s">
        <v>706</v>
      </c>
      <c r="D22" s="1313"/>
      <c r="E22" s="1313"/>
      <c r="F22" s="422">
        <f>ROUND(SUM(F19:F21),2)</f>
        <v>1387.96</v>
      </c>
      <c r="G22" s="431"/>
      <c r="H22" s="406"/>
      <c r="I22" s="432"/>
      <c r="J22" s="423"/>
      <c r="K22" s="424"/>
      <c r="L22" s="424"/>
      <c r="M22" s="425"/>
      <c r="N22" s="425"/>
      <c r="O22" s="425"/>
      <c r="P22" s="425"/>
      <c r="Q22" s="425"/>
      <c r="R22" s="425"/>
      <c r="S22" s="425"/>
      <c r="T22" s="425"/>
      <c r="U22" s="425"/>
      <c r="V22" s="425"/>
      <c r="W22" s="425"/>
      <c r="X22" s="425"/>
      <c r="Y22" s="425"/>
      <c r="Z22" s="425"/>
      <c r="AA22" s="425"/>
      <c r="AB22" s="425"/>
      <c r="AC22" s="425"/>
      <c r="AD22" s="425"/>
      <c r="AE22" s="425"/>
      <c r="AF22" s="425"/>
      <c r="AG22" s="425"/>
      <c r="AH22" s="425"/>
      <c r="AI22" s="425"/>
      <c r="AJ22" s="425"/>
      <c r="AK22" s="425"/>
      <c r="AL22" s="425"/>
      <c r="AM22" s="425"/>
      <c r="AN22" s="425"/>
      <c r="AO22" s="425"/>
      <c r="AP22" s="425"/>
      <c r="AQ22" s="425"/>
      <c r="AR22" s="425"/>
      <c r="AS22" s="425"/>
      <c r="AT22" s="425"/>
      <c r="AU22" s="425"/>
      <c r="AV22" s="425"/>
      <c r="AW22" s="425"/>
      <c r="AX22" s="425"/>
      <c r="AY22" s="425"/>
      <c r="AZ22" s="425"/>
      <c r="BA22" s="425"/>
      <c r="BB22" s="425"/>
      <c r="BC22" s="425"/>
      <c r="BD22" s="425"/>
      <c r="BE22" s="425"/>
      <c r="BF22" s="425"/>
      <c r="BG22" s="425"/>
      <c r="BH22" s="425"/>
      <c r="BI22" s="425"/>
      <c r="BJ22" s="425"/>
      <c r="BK22" s="425"/>
      <c r="BL22" s="425"/>
    </row>
    <row r="23" spans="1:64" ht="12.75" customHeight="1">
      <c r="A23" s="1316" t="s">
        <v>713</v>
      </c>
      <c r="B23" s="1316"/>
      <c r="C23" s="1316"/>
      <c r="D23" s="1316"/>
      <c r="E23" s="1316"/>
      <c r="F23" s="1316"/>
      <c r="G23" s="1316"/>
      <c r="H23" s="1316"/>
      <c r="I23" s="1316"/>
      <c r="J23" s="400"/>
      <c r="K23" s="401"/>
      <c r="L23" s="401"/>
      <c r="M23" s="404"/>
      <c r="N23" s="404"/>
      <c r="O23" s="404"/>
      <c r="P23" s="404"/>
      <c r="Q23" s="404"/>
      <c r="R23" s="404"/>
      <c r="S23" s="404"/>
      <c r="T23" s="404"/>
      <c r="U23" s="404"/>
      <c r="V23" s="404"/>
      <c r="W23" s="404"/>
      <c r="X23" s="404"/>
      <c r="Y23" s="404"/>
      <c r="Z23" s="404"/>
      <c r="AA23" s="404"/>
      <c r="AB23" s="404"/>
      <c r="AC23" s="404"/>
      <c r="AD23" s="404"/>
      <c r="AE23" s="404"/>
      <c r="AF23" s="404"/>
      <c r="AG23" s="404"/>
      <c r="AH23" s="404"/>
      <c r="AI23" s="404"/>
      <c r="AJ23" s="404"/>
      <c r="AK23" s="404"/>
      <c r="AL23" s="404"/>
      <c r="AM23" s="404"/>
      <c r="AN23" s="404"/>
      <c r="AO23" s="404"/>
      <c r="AP23" s="404"/>
      <c r="AQ23" s="404"/>
      <c r="AR23" s="404"/>
      <c r="AS23" s="404"/>
      <c r="AT23" s="404"/>
      <c r="AU23" s="404"/>
      <c r="AV23" s="404"/>
      <c r="AW23" s="404"/>
      <c r="AX23" s="404"/>
      <c r="AY23" s="404"/>
      <c r="AZ23" s="404"/>
      <c r="BA23" s="404"/>
      <c r="BB23" s="404"/>
      <c r="BC23" s="404"/>
      <c r="BD23" s="404"/>
      <c r="BE23" s="404"/>
      <c r="BF23" s="404"/>
      <c r="BG23" s="404"/>
      <c r="BH23" s="404"/>
      <c r="BI23" s="404"/>
      <c r="BJ23" s="404"/>
      <c r="BK23" s="404"/>
      <c r="BL23" s="404"/>
    </row>
    <row r="24" spans="1:64" ht="25.5" customHeight="1">
      <c r="A24" s="1312" t="s">
        <v>714</v>
      </c>
      <c r="B24" s="1312"/>
      <c r="C24" s="407" t="s">
        <v>436</v>
      </c>
      <c r="D24" s="1312" t="s">
        <v>715</v>
      </c>
      <c r="E24" s="1312"/>
      <c r="F24" s="422" t="s">
        <v>716</v>
      </c>
      <c r="G24" s="1317" t="s">
        <v>717</v>
      </c>
      <c r="H24" s="1317"/>
      <c r="I24" s="422" t="s">
        <v>718</v>
      </c>
      <c r="J24" s="437"/>
      <c r="K24" s="438"/>
      <c r="L24" s="438"/>
      <c r="M24" s="439"/>
      <c r="N24" s="439"/>
      <c r="O24" s="439"/>
      <c r="P24" s="439"/>
      <c r="Q24" s="439"/>
      <c r="R24" s="439"/>
      <c r="S24" s="439"/>
      <c r="T24" s="439"/>
      <c r="U24" s="439"/>
      <c r="V24" s="439"/>
      <c r="W24" s="439"/>
      <c r="X24" s="439"/>
      <c r="Y24" s="439"/>
      <c r="Z24" s="439"/>
      <c r="AA24" s="439"/>
      <c r="AB24" s="439"/>
      <c r="AC24" s="439"/>
      <c r="AD24" s="439"/>
      <c r="AE24" s="439"/>
      <c r="AF24" s="439"/>
      <c r="AG24" s="439"/>
      <c r="AH24" s="439"/>
      <c r="AI24" s="439"/>
      <c r="AJ24" s="439"/>
      <c r="AK24" s="439"/>
      <c r="AL24" s="439"/>
      <c r="AM24" s="439"/>
      <c r="AN24" s="439"/>
      <c r="AO24" s="439"/>
      <c r="AP24" s="439"/>
      <c r="AQ24" s="439"/>
      <c r="AR24" s="439"/>
      <c r="AS24" s="439"/>
      <c r="AT24" s="439"/>
      <c r="AU24" s="439"/>
      <c r="AV24" s="439"/>
      <c r="AW24" s="439"/>
      <c r="AX24" s="439"/>
      <c r="AY24" s="439"/>
      <c r="AZ24" s="439"/>
      <c r="BA24" s="439"/>
      <c r="BB24" s="439"/>
      <c r="BC24" s="439"/>
      <c r="BD24" s="439"/>
      <c r="BE24" s="439"/>
      <c r="BF24" s="439"/>
      <c r="BG24" s="439"/>
      <c r="BH24" s="439"/>
      <c r="BI24" s="439"/>
      <c r="BJ24" s="439"/>
      <c r="BK24" s="439"/>
      <c r="BL24" s="439"/>
    </row>
    <row r="25" spans="1:64" ht="13">
      <c r="A25" s="422"/>
      <c r="B25" s="422"/>
      <c r="C25" s="407"/>
      <c r="D25" s="422"/>
      <c r="E25" s="422"/>
      <c r="F25" s="422"/>
      <c r="G25" s="436"/>
      <c r="H25" s="407"/>
      <c r="I25" s="422"/>
      <c r="J25" s="437"/>
      <c r="K25" s="438"/>
      <c r="L25" s="438"/>
      <c r="M25" s="439"/>
      <c r="N25" s="439"/>
      <c r="O25" s="439"/>
      <c r="P25" s="439"/>
      <c r="Q25" s="439"/>
      <c r="R25" s="439"/>
      <c r="S25" s="439"/>
      <c r="T25" s="439"/>
      <c r="U25" s="439"/>
      <c r="V25" s="439"/>
      <c r="W25" s="439"/>
      <c r="X25" s="439"/>
      <c r="Y25" s="439"/>
      <c r="Z25" s="439"/>
      <c r="AA25" s="439"/>
      <c r="AB25" s="439"/>
      <c r="AC25" s="439"/>
      <c r="AD25" s="439"/>
      <c r="AE25" s="439"/>
      <c r="AF25" s="439"/>
      <c r="AG25" s="439"/>
      <c r="AH25" s="439"/>
      <c r="AI25" s="439"/>
      <c r="AJ25" s="439"/>
      <c r="AK25" s="439"/>
      <c r="AL25" s="439"/>
      <c r="AM25" s="439"/>
      <c r="AN25" s="439"/>
      <c r="AO25" s="439"/>
      <c r="AP25" s="439"/>
      <c r="AQ25" s="439"/>
      <c r="AR25" s="439"/>
      <c r="AS25" s="439"/>
      <c r="AT25" s="439"/>
      <c r="AU25" s="439"/>
      <c r="AV25" s="439"/>
      <c r="AW25" s="439"/>
      <c r="AX25" s="439"/>
      <c r="AY25" s="439"/>
      <c r="AZ25" s="439"/>
      <c r="BA25" s="439"/>
      <c r="BB25" s="439"/>
      <c r="BC25" s="439"/>
      <c r="BD25" s="439"/>
      <c r="BE25" s="439"/>
      <c r="BF25" s="439"/>
      <c r="BG25" s="439"/>
      <c r="BH25" s="439"/>
      <c r="BI25" s="439"/>
      <c r="BJ25" s="439"/>
      <c r="BK25" s="439"/>
      <c r="BL25" s="439"/>
    </row>
    <row r="26" spans="1:64" ht="37" customHeight="1">
      <c r="A26" s="431">
        <v>1</v>
      </c>
      <c r="B26" s="422"/>
      <c r="C26" s="1297" t="s">
        <v>719</v>
      </c>
      <c r="D26" s="1297"/>
      <c r="E26" s="1297"/>
      <c r="F26" s="1297"/>
      <c r="G26" s="1297"/>
      <c r="H26" s="1297"/>
      <c r="I26" s="406"/>
      <c r="J26" s="437"/>
      <c r="K26" s="438"/>
      <c r="L26" s="438"/>
      <c r="M26" s="439"/>
      <c r="N26" s="439"/>
      <c r="O26" s="439"/>
      <c r="P26" s="439"/>
      <c r="Q26" s="439"/>
      <c r="R26" s="439"/>
      <c r="S26" s="439"/>
      <c r="T26" s="439"/>
      <c r="U26" s="439"/>
      <c r="V26" s="439"/>
      <c r="W26" s="439"/>
      <c r="X26" s="439"/>
      <c r="Y26" s="439"/>
      <c r="Z26" s="439"/>
      <c r="AA26" s="439"/>
      <c r="AB26" s="439"/>
      <c r="AC26" s="439"/>
      <c r="AD26" s="439"/>
      <c r="AE26" s="439"/>
      <c r="AF26" s="439"/>
      <c r="AG26" s="439"/>
      <c r="AH26" s="439"/>
      <c r="AI26" s="439"/>
      <c r="AJ26" s="439"/>
      <c r="AK26" s="439"/>
      <c r="AL26" s="439"/>
      <c r="AM26" s="439"/>
      <c r="AN26" s="439"/>
      <c r="AO26" s="439"/>
      <c r="AP26" s="439"/>
      <c r="AQ26" s="439"/>
      <c r="AR26" s="439"/>
      <c r="AS26" s="439"/>
      <c r="AT26" s="439"/>
      <c r="AU26" s="439"/>
      <c r="AV26" s="439"/>
      <c r="AW26" s="439"/>
      <c r="AX26" s="439"/>
      <c r="AY26" s="439"/>
      <c r="AZ26" s="439"/>
      <c r="BA26" s="439"/>
      <c r="BB26" s="439"/>
      <c r="BC26" s="439"/>
      <c r="BD26" s="439"/>
      <c r="BE26" s="439"/>
      <c r="BF26" s="439"/>
      <c r="BG26" s="439"/>
      <c r="BH26" s="439"/>
      <c r="BI26" s="439"/>
      <c r="BJ26" s="439"/>
      <c r="BK26" s="439"/>
      <c r="BL26" s="439"/>
    </row>
    <row r="27" spans="1:64" ht="13">
      <c r="A27" s="422"/>
      <c r="B27" s="422" t="s">
        <v>720</v>
      </c>
      <c r="C27" s="440" t="s">
        <v>721</v>
      </c>
      <c r="D27" s="432"/>
      <c r="E27" s="441"/>
      <c r="F27" s="432"/>
      <c r="G27" s="431"/>
      <c r="H27" s="406"/>
      <c r="I27" s="432"/>
      <c r="J27" s="437"/>
      <c r="K27" s="438"/>
      <c r="L27" s="438"/>
      <c r="M27" s="439"/>
      <c r="N27" s="439"/>
      <c r="O27" s="439"/>
      <c r="P27" s="439"/>
      <c r="Q27" s="439"/>
      <c r="R27" s="439"/>
      <c r="S27" s="439"/>
      <c r="T27" s="439"/>
      <c r="U27" s="439"/>
      <c r="V27" s="439"/>
      <c r="W27" s="439"/>
      <c r="X27" s="439"/>
      <c r="Y27" s="439"/>
      <c r="Z27" s="439"/>
      <c r="AA27" s="439"/>
      <c r="AB27" s="439"/>
      <c r="AC27" s="439"/>
      <c r="AD27" s="439"/>
      <c r="AE27" s="439"/>
      <c r="AF27" s="439"/>
      <c r="AG27" s="439"/>
      <c r="AH27" s="439"/>
      <c r="AI27" s="439"/>
      <c r="AJ27" s="439"/>
      <c r="AK27" s="439"/>
      <c r="AL27" s="439"/>
      <c r="AM27" s="439"/>
      <c r="AN27" s="439"/>
      <c r="AO27" s="439"/>
      <c r="AP27" s="439"/>
      <c r="AQ27" s="439"/>
      <c r="AR27" s="439"/>
      <c r="AS27" s="439"/>
      <c r="AT27" s="439"/>
      <c r="AU27" s="439"/>
      <c r="AV27" s="439"/>
      <c r="AW27" s="439"/>
      <c r="AX27" s="439"/>
      <c r="AY27" s="439"/>
      <c r="AZ27" s="439"/>
      <c r="BA27" s="439"/>
      <c r="BB27" s="439"/>
      <c r="BC27" s="439"/>
      <c r="BD27" s="439"/>
      <c r="BE27" s="439"/>
      <c r="BF27" s="439"/>
      <c r="BG27" s="439"/>
      <c r="BH27" s="439"/>
      <c r="BI27" s="439"/>
      <c r="BJ27" s="439"/>
      <c r="BK27" s="439"/>
      <c r="BL27" s="439"/>
    </row>
    <row r="28" spans="1:64" ht="13">
      <c r="A28" s="422"/>
      <c r="B28" s="422"/>
      <c r="C28" s="440" t="s">
        <v>722</v>
      </c>
      <c r="D28" s="432"/>
      <c r="E28" s="441"/>
      <c r="F28" s="432"/>
      <c r="G28" s="431"/>
      <c r="H28" s="406"/>
      <c r="I28" s="432"/>
      <c r="J28" s="437"/>
      <c r="K28" s="438"/>
      <c r="L28" s="438"/>
      <c r="M28" s="439"/>
      <c r="N28" s="439"/>
      <c r="O28" s="439"/>
      <c r="P28" s="439"/>
      <c r="Q28" s="439"/>
      <c r="R28" s="439"/>
      <c r="S28" s="439"/>
      <c r="T28" s="439"/>
      <c r="U28" s="439"/>
      <c r="V28" s="439"/>
      <c r="W28" s="439"/>
      <c r="X28" s="439"/>
      <c r="Y28" s="439"/>
      <c r="Z28" s="439"/>
      <c r="AA28" s="439"/>
      <c r="AB28" s="439"/>
      <c r="AC28" s="439"/>
      <c r="AD28" s="439"/>
      <c r="AE28" s="439"/>
      <c r="AF28" s="439"/>
      <c r="AG28" s="439"/>
      <c r="AH28" s="439"/>
      <c r="AI28" s="439"/>
      <c r="AJ28" s="439"/>
      <c r="AK28" s="439"/>
      <c r="AL28" s="439"/>
      <c r="AM28" s="439"/>
      <c r="AN28" s="439"/>
      <c r="AO28" s="439"/>
      <c r="AP28" s="439"/>
      <c r="AQ28" s="439"/>
      <c r="AR28" s="439"/>
      <c r="AS28" s="439"/>
      <c r="AT28" s="439"/>
      <c r="AU28" s="439"/>
      <c r="AV28" s="439"/>
      <c r="AW28" s="439"/>
      <c r="AX28" s="439"/>
      <c r="AY28" s="439"/>
      <c r="AZ28" s="439"/>
      <c r="BA28" s="439"/>
      <c r="BB28" s="439"/>
      <c r="BC28" s="439"/>
      <c r="BD28" s="439"/>
      <c r="BE28" s="439"/>
      <c r="BF28" s="439"/>
      <c r="BG28" s="439"/>
      <c r="BH28" s="439"/>
      <c r="BI28" s="439"/>
      <c r="BJ28" s="439"/>
      <c r="BK28" s="439"/>
      <c r="BL28" s="439"/>
    </row>
    <row r="29" spans="1:64" ht="13">
      <c r="A29" s="422"/>
      <c r="B29" s="422"/>
      <c r="C29" s="429" t="s">
        <v>723</v>
      </c>
      <c r="D29" s="441">
        <v>0.40899999999999997</v>
      </c>
      <c r="E29" s="441" t="s">
        <v>375</v>
      </c>
      <c r="F29" s="432">
        <f>'[161]Civil-SOR'!$G$307</f>
        <v>520</v>
      </c>
      <c r="G29" s="431">
        <v>1</v>
      </c>
      <c r="H29" s="406" t="s">
        <v>572</v>
      </c>
      <c r="I29" s="408">
        <f t="shared" ref="I29:I30" si="3">IF(G29="",D29*F29,(D29*F29/G29))</f>
        <v>212.67999999999998</v>
      </c>
      <c r="J29" s="437"/>
      <c r="K29" s="438"/>
      <c r="L29" s="438"/>
      <c r="M29" s="439"/>
      <c r="N29" s="439"/>
      <c r="O29" s="439"/>
      <c r="P29" s="439"/>
      <c r="Q29" s="439"/>
      <c r="R29" s="439"/>
      <c r="S29" s="439"/>
      <c r="T29" s="439"/>
      <c r="U29" s="439"/>
      <c r="V29" s="439"/>
      <c r="W29" s="439"/>
      <c r="X29" s="439"/>
      <c r="Y29" s="439"/>
      <c r="Z29" s="439"/>
      <c r="AA29" s="439"/>
      <c r="AB29" s="439"/>
      <c r="AC29" s="439"/>
      <c r="AD29" s="439"/>
      <c r="AE29" s="439"/>
      <c r="AF29" s="439"/>
      <c r="AG29" s="439"/>
      <c r="AH29" s="439"/>
      <c r="AI29" s="439"/>
      <c r="AJ29" s="439"/>
      <c r="AK29" s="439"/>
      <c r="AL29" s="439"/>
      <c r="AM29" s="439"/>
      <c r="AN29" s="439"/>
      <c r="AO29" s="439"/>
      <c r="AP29" s="439"/>
      <c r="AQ29" s="439"/>
      <c r="AR29" s="439"/>
      <c r="AS29" s="439"/>
      <c r="AT29" s="439"/>
      <c r="AU29" s="439"/>
      <c r="AV29" s="439"/>
      <c r="AW29" s="439"/>
      <c r="AX29" s="439"/>
      <c r="AY29" s="439"/>
      <c r="AZ29" s="439"/>
      <c r="BA29" s="439"/>
      <c r="BB29" s="439"/>
      <c r="BC29" s="439"/>
      <c r="BD29" s="439"/>
      <c r="BE29" s="439"/>
      <c r="BF29" s="439"/>
      <c r="BG29" s="439"/>
      <c r="BH29" s="439"/>
      <c r="BI29" s="439"/>
      <c r="BJ29" s="439"/>
      <c r="BK29" s="439"/>
      <c r="BL29" s="439"/>
    </row>
    <row r="30" spans="1:64" ht="13">
      <c r="A30" s="422"/>
      <c r="B30" s="422"/>
      <c r="C30" s="429" t="str">
        <f>[161]Input!$C$47</f>
        <v>Add for MA @ 40%</v>
      </c>
      <c r="D30" s="432">
        <f>[161]Input!$D$47</f>
        <v>0.4</v>
      </c>
      <c r="E30" s="442"/>
      <c r="F30" s="432">
        <f>I29</f>
        <v>212.67999999999998</v>
      </c>
      <c r="G30" s="436"/>
      <c r="H30" s="407"/>
      <c r="I30" s="408">
        <f t="shared" si="3"/>
        <v>85.072000000000003</v>
      </c>
      <c r="J30" s="437"/>
      <c r="K30" s="438"/>
      <c r="L30" s="438"/>
      <c r="M30" s="439"/>
      <c r="N30" s="439"/>
      <c r="O30" s="439"/>
      <c r="P30" s="439"/>
      <c r="Q30" s="439"/>
      <c r="R30" s="439"/>
      <c r="S30" s="439"/>
      <c r="T30" s="439"/>
      <c r="U30" s="439"/>
      <c r="V30" s="439"/>
      <c r="W30" s="439"/>
      <c r="X30" s="439"/>
      <c r="Y30" s="439"/>
      <c r="Z30" s="439"/>
      <c r="AA30" s="439"/>
      <c r="AB30" s="439"/>
      <c r="AC30" s="439"/>
      <c r="AD30" s="439"/>
      <c r="AE30" s="439"/>
      <c r="AF30" s="439"/>
      <c r="AG30" s="439"/>
      <c r="AH30" s="439"/>
      <c r="AI30" s="439"/>
      <c r="AJ30" s="439"/>
      <c r="AK30" s="439"/>
      <c r="AL30" s="439"/>
      <c r="AM30" s="439"/>
      <c r="AN30" s="439"/>
      <c r="AO30" s="439"/>
      <c r="AP30" s="439"/>
      <c r="AQ30" s="439"/>
      <c r="AR30" s="439"/>
      <c r="AS30" s="439"/>
      <c r="AT30" s="439"/>
      <c r="AU30" s="439"/>
      <c r="AV30" s="439"/>
      <c r="AW30" s="439"/>
      <c r="AX30" s="439"/>
      <c r="AY30" s="439"/>
      <c r="AZ30" s="439"/>
      <c r="BA30" s="439"/>
      <c r="BB30" s="439"/>
      <c r="BC30" s="439"/>
      <c r="BD30" s="439"/>
      <c r="BE30" s="439"/>
      <c r="BF30" s="439"/>
      <c r="BG30" s="439"/>
      <c r="BH30" s="439"/>
      <c r="BI30" s="439"/>
      <c r="BJ30" s="439"/>
      <c r="BK30" s="439"/>
      <c r="BL30" s="439"/>
    </row>
    <row r="31" spans="1:64" ht="13">
      <c r="A31" s="422"/>
      <c r="B31" s="422"/>
      <c r="C31" s="440" t="s">
        <v>724</v>
      </c>
      <c r="D31" s="422"/>
      <c r="E31" s="442"/>
      <c r="F31" s="422"/>
      <c r="G31" s="436"/>
      <c r="H31" s="407"/>
      <c r="I31" s="414">
        <f>SUM(I29:I30)</f>
        <v>297.75199999999995</v>
      </c>
      <c r="J31" s="437"/>
      <c r="K31" s="438"/>
      <c r="L31" s="438"/>
      <c r="M31" s="439"/>
      <c r="N31" s="439"/>
      <c r="O31" s="439"/>
      <c r="P31" s="439"/>
      <c r="Q31" s="439"/>
      <c r="R31" s="439"/>
      <c r="S31" s="439"/>
      <c r="T31" s="439"/>
      <c r="U31" s="439"/>
      <c r="V31" s="439"/>
      <c r="W31" s="439"/>
      <c r="X31" s="439"/>
      <c r="Y31" s="439"/>
      <c r="Z31" s="439"/>
      <c r="AA31" s="439"/>
      <c r="AB31" s="439"/>
      <c r="AC31" s="439"/>
      <c r="AD31" s="439"/>
      <c r="AE31" s="439"/>
      <c r="AF31" s="439"/>
      <c r="AG31" s="439"/>
      <c r="AH31" s="439"/>
      <c r="AI31" s="439"/>
      <c r="AJ31" s="439"/>
      <c r="AK31" s="439"/>
      <c r="AL31" s="439"/>
      <c r="AM31" s="439"/>
      <c r="AN31" s="439"/>
      <c r="AO31" s="439"/>
      <c r="AP31" s="439"/>
      <c r="AQ31" s="439"/>
      <c r="AR31" s="439"/>
      <c r="AS31" s="439"/>
      <c r="AT31" s="439"/>
      <c r="AU31" s="439"/>
      <c r="AV31" s="439"/>
      <c r="AW31" s="439"/>
      <c r="AX31" s="439"/>
      <c r="AY31" s="439"/>
      <c r="AZ31" s="439"/>
      <c r="BA31" s="439"/>
      <c r="BB31" s="439"/>
      <c r="BC31" s="439"/>
      <c r="BD31" s="439"/>
      <c r="BE31" s="439"/>
      <c r="BF31" s="439"/>
      <c r="BG31" s="439"/>
      <c r="BH31" s="439"/>
      <c r="BI31" s="439"/>
      <c r="BJ31" s="439"/>
      <c r="BK31" s="439"/>
      <c r="BL31" s="439"/>
    </row>
    <row r="32" spans="1:64" ht="25">
      <c r="A32" s="422"/>
      <c r="B32" s="422"/>
      <c r="C32" s="443" t="str">
        <f>[161]Input!$C$48</f>
        <v>Overheads &amp; Contractors Profit @ 13.615%</v>
      </c>
      <c r="D32" s="444">
        <f>[161]Input!$D$48</f>
        <v>0.13614999999999999</v>
      </c>
      <c r="E32" s="441"/>
      <c r="F32" s="432">
        <f>I31</f>
        <v>297.75199999999995</v>
      </c>
      <c r="G32" s="431"/>
      <c r="H32" s="406"/>
      <c r="I32" s="408">
        <f>IF(G32="",D32*F32,(D32*F32/G32))</f>
        <v>40.538934799999993</v>
      </c>
      <c r="J32" s="437"/>
      <c r="K32" s="438"/>
      <c r="L32" s="438"/>
      <c r="M32" s="439"/>
      <c r="N32" s="439"/>
      <c r="O32" s="439"/>
      <c r="P32" s="439"/>
      <c r="Q32" s="439"/>
      <c r="R32" s="439"/>
      <c r="S32" s="439"/>
      <c r="T32" s="439"/>
      <c r="U32" s="439"/>
      <c r="V32" s="439"/>
      <c r="W32" s="439"/>
      <c r="X32" s="439"/>
      <c r="Y32" s="439"/>
      <c r="Z32" s="439"/>
      <c r="AA32" s="439"/>
      <c r="AB32" s="439"/>
      <c r="AC32" s="439"/>
      <c r="AD32" s="439"/>
      <c r="AE32" s="439"/>
      <c r="AF32" s="439"/>
      <c r="AG32" s="439"/>
      <c r="AH32" s="439"/>
      <c r="AI32" s="439"/>
      <c r="AJ32" s="439"/>
      <c r="AK32" s="439"/>
      <c r="AL32" s="439"/>
      <c r="AM32" s="439"/>
      <c r="AN32" s="439"/>
      <c r="AO32" s="439"/>
      <c r="AP32" s="439"/>
      <c r="AQ32" s="439"/>
      <c r="AR32" s="439"/>
      <c r="AS32" s="439"/>
      <c r="AT32" s="439"/>
      <c r="AU32" s="439"/>
      <c r="AV32" s="439"/>
      <c r="AW32" s="439"/>
      <c r="AX32" s="439"/>
      <c r="AY32" s="439"/>
      <c r="AZ32" s="439"/>
      <c r="BA32" s="439"/>
      <c r="BB32" s="439"/>
      <c r="BC32" s="439"/>
      <c r="BD32" s="439"/>
      <c r="BE32" s="439"/>
      <c r="BF32" s="439"/>
      <c r="BG32" s="439"/>
      <c r="BH32" s="439"/>
      <c r="BI32" s="439"/>
      <c r="BJ32" s="439"/>
      <c r="BK32" s="439"/>
      <c r="BL32" s="439"/>
    </row>
    <row r="33" spans="1:64" ht="13">
      <c r="A33" s="422"/>
      <c r="B33" s="422"/>
      <c r="C33" s="440" t="s">
        <v>724</v>
      </c>
      <c r="D33" s="422"/>
      <c r="E33" s="442"/>
      <c r="F33" s="422"/>
      <c r="G33" s="436"/>
      <c r="H33" s="408" t="s">
        <v>725</v>
      </c>
      <c r="I33" s="414">
        <f>SUM(I31:I32)</f>
        <v>338.29093479999995</v>
      </c>
      <c r="J33" s="437"/>
      <c r="K33" s="438"/>
      <c r="L33" s="438"/>
      <c r="M33" s="439"/>
      <c r="N33" s="439"/>
      <c r="O33" s="439"/>
      <c r="P33" s="439"/>
      <c r="Q33" s="439"/>
      <c r="R33" s="439"/>
      <c r="S33" s="439"/>
      <c r="T33" s="439"/>
      <c r="U33" s="439"/>
      <c r="V33" s="439"/>
      <c r="W33" s="439"/>
      <c r="X33" s="439"/>
      <c r="Y33" s="439"/>
      <c r="Z33" s="439"/>
      <c r="AA33" s="439"/>
      <c r="AB33" s="439"/>
      <c r="AC33" s="439"/>
      <c r="AD33" s="439"/>
      <c r="AE33" s="439"/>
      <c r="AF33" s="439"/>
      <c r="AG33" s="439"/>
      <c r="AH33" s="439"/>
      <c r="AI33" s="439"/>
      <c r="AJ33" s="439"/>
      <c r="AK33" s="439"/>
      <c r="AL33" s="439"/>
      <c r="AM33" s="439"/>
      <c r="AN33" s="439"/>
      <c r="AO33" s="439"/>
      <c r="AP33" s="439"/>
      <c r="AQ33" s="439"/>
      <c r="AR33" s="439"/>
      <c r="AS33" s="439"/>
      <c r="AT33" s="439"/>
      <c r="AU33" s="439"/>
      <c r="AV33" s="439"/>
      <c r="AW33" s="439"/>
      <c r="AX33" s="439"/>
      <c r="AY33" s="439"/>
      <c r="AZ33" s="439"/>
      <c r="BA33" s="439"/>
      <c r="BB33" s="439"/>
      <c r="BC33" s="439"/>
      <c r="BD33" s="439"/>
      <c r="BE33" s="439"/>
      <c r="BF33" s="439"/>
      <c r="BG33" s="439"/>
      <c r="BH33" s="439"/>
      <c r="BI33" s="439"/>
      <c r="BJ33" s="439"/>
      <c r="BK33" s="439"/>
      <c r="BL33" s="439"/>
    </row>
    <row r="34" spans="1:64" ht="12.75" customHeight="1">
      <c r="A34" s="422"/>
      <c r="B34" s="422"/>
      <c r="C34" s="1313" t="s">
        <v>724</v>
      </c>
      <c r="D34" s="1313"/>
      <c r="E34" s="1313"/>
      <c r="F34" s="1313"/>
      <c r="G34" s="1313"/>
      <c r="H34" s="407" t="s">
        <v>726</v>
      </c>
      <c r="I34" s="414">
        <f>ROUND(I33,0)</f>
        <v>338</v>
      </c>
      <c r="J34" s="437"/>
      <c r="K34" s="438"/>
      <c r="L34" s="438"/>
      <c r="M34" s="439"/>
      <c r="N34" s="439"/>
      <c r="O34" s="439"/>
      <c r="P34" s="439"/>
      <c r="Q34" s="439"/>
      <c r="R34" s="439"/>
      <c r="S34" s="439"/>
      <c r="T34" s="439"/>
      <c r="U34" s="439"/>
      <c r="V34" s="439"/>
      <c r="W34" s="439"/>
      <c r="X34" s="439"/>
      <c r="Y34" s="439"/>
      <c r="Z34" s="439"/>
      <c r="AA34" s="439"/>
      <c r="AB34" s="439"/>
      <c r="AC34" s="439"/>
      <c r="AD34" s="439"/>
      <c r="AE34" s="439"/>
      <c r="AF34" s="439"/>
      <c r="AG34" s="439"/>
      <c r="AH34" s="439"/>
      <c r="AI34" s="439"/>
      <c r="AJ34" s="439"/>
      <c r="AK34" s="439"/>
      <c r="AL34" s="439"/>
      <c r="AM34" s="439"/>
      <c r="AN34" s="439"/>
      <c r="AO34" s="439"/>
      <c r="AP34" s="439"/>
      <c r="AQ34" s="439"/>
      <c r="AR34" s="439"/>
      <c r="AS34" s="439"/>
      <c r="AT34" s="439"/>
      <c r="AU34" s="439"/>
      <c r="AV34" s="439"/>
      <c r="AW34" s="439"/>
      <c r="AX34" s="439"/>
      <c r="AY34" s="439"/>
      <c r="AZ34" s="439"/>
      <c r="BA34" s="439"/>
      <c r="BB34" s="439"/>
      <c r="BC34" s="439"/>
      <c r="BD34" s="439"/>
      <c r="BE34" s="439"/>
      <c r="BF34" s="439"/>
      <c r="BG34" s="439"/>
      <c r="BH34" s="439"/>
      <c r="BI34" s="439"/>
      <c r="BJ34" s="439"/>
      <c r="BK34" s="439"/>
      <c r="BL34" s="439"/>
    </row>
    <row r="35" spans="1:64" ht="13">
      <c r="A35" s="422"/>
      <c r="B35" s="422"/>
      <c r="C35" s="426"/>
      <c r="D35" s="426"/>
      <c r="E35" s="426"/>
      <c r="F35" s="426"/>
      <c r="G35" s="426"/>
      <c r="H35" s="426"/>
      <c r="I35" s="409"/>
      <c r="J35" s="437"/>
      <c r="K35" s="438"/>
      <c r="L35" s="438"/>
      <c r="M35" s="439"/>
      <c r="N35" s="439"/>
      <c r="O35" s="439"/>
      <c r="P35" s="439"/>
      <c r="Q35" s="439"/>
      <c r="R35" s="439"/>
      <c r="S35" s="439"/>
      <c r="T35" s="439"/>
      <c r="U35" s="439"/>
      <c r="V35" s="439"/>
      <c r="W35" s="439"/>
      <c r="X35" s="439"/>
      <c r="Y35" s="439"/>
      <c r="Z35" s="439"/>
      <c r="AA35" s="439"/>
      <c r="AB35" s="439"/>
      <c r="AC35" s="439"/>
      <c r="AD35" s="439"/>
      <c r="AE35" s="439"/>
      <c r="AF35" s="439"/>
      <c r="AG35" s="439"/>
      <c r="AH35" s="439"/>
      <c r="AI35" s="439"/>
      <c r="AJ35" s="439"/>
      <c r="AK35" s="439"/>
      <c r="AL35" s="439"/>
      <c r="AM35" s="439"/>
      <c r="AN35" s="439"/>
      <c r="AO35" s="439"/>
      <c r="AP35" s="439"/>
      <c r="AQ35" s="439"/>
      <c r="AR35" s="439"/>
      <c r="AS35" s="439"/>
      <c r="AT35" s="439"/>
      <c r="AU35" s="439"/>
      <c r="AV35" s="439"/>
      <c r="AW35" s="439"/>
      <c r="AX35" s="439"/>
      <c r="AY35" s="439"/>
      <c r="AZ35" s="439"/>
      <c r="BA35" s="439"/>
      <c r="BB35" s="439"/>
      <c r="BC35" s="439"/>
      <c r="BD35" s="439"/>
      <c r="BE35" s="439"/>
      <c r="BF35" s="439"/>
      <c r="BG35" s="439"/>
      <c r="BH35" s="439"/>
      <c r="BI35" s="439"/>
      <c r="BJ35" s="439"/>
      <c r="BK35" s="439"/>
      <c r="BL35" s="439"/>
    </row>
    <row r="36" spans="1:64" ht="25.5" customHeight="1">
      <c r="A36" s="422"/>
      <c r="B36" s="422" t="s">
        <v>727</v>
      </c>
      <c r="C36" s="1311" t="s">
        <v>728</v>
      </c>
      <c r="D36" s="1311"/>
      <c r="E36" s="1311"/>
      <c r="F36" s="407"/>
      <c r="G36" s="407"/>
      <c r="H36" s="406"/>
      <c r="I36" s="432"/>
      <c r="J36" s="437"/>
      <c r="K36" s="438"/>
      <c r="L36" s="438"/>
      <c r="M36" s="439"/>
      <c r="N36" s="439"/>
      <c r="O36" s="439"/>
      <c r="P36" s="439"/>
      <c r="Q36" s="439"/>
      <c r="R36" s="439"/>
      <c r="S36" s="439"/>
      <c r="T36" s="439"/>
      <c r="U36" s="439"/>
      <c r="V36" s="439"/>
      <c r="W36" s="439"/>
      <c r="X36" s="439"/>
      <c r="Y36" s="439"/>
      <c r="Z36" s="439"/>
      <c r="AA36" s="439"/>
      <c r="AB36" s="439"/>
      <c r="AC36" s="439"/>
      <c r="AD36" s="439"/>
      <c r="AE36" s="439"/>
      <c r="AF36" s="439"/>
      <c r="AG36" s="439"/>
      <c r="AH36" s="439"/>
      <c r="AI36" s="439"/>
      <c r="AJ36" s="439"/>
      <c r="AK36" s="439"/>
      <c r="AL36" s="439"/>
      <c r="AM36" s="439"/>
      <c r="AN36" s="439"/>
      <c r="AO36" s="439"/>
      <c r="AP36" s="439"/>
      <c r="AQ36" s="439"/>
      <c r="AR36" s="439"/>
      <c r="AS36" s="439"/>
      <c r="AT36" s="439"/>
      <c r="AU36" s="439"/>
      <c r="AV36" s="439"/>
      <c r="AW36" s="439"/>
      <c r="AX36" s="439"/>
      <c r="AY36" s="439"/>
      <c r="AZ36" s="439"/>
      <c r="BA36" s="439"/>
      <c r="BB36" s="439"/>
      <c r="BC36" s="439"/>
      <c r="BD36" s="439"/>
      <c r="BE36" s="439"/>
      <c r="BF36" s="439"/>
      <c r="BG36" s="439"/>
      <c r="BH36" s="439"/>
      <c r="BI36" s="439"/>
      <c r="BJ36" s="439"/>
      <c r="BK36" s="439"/>
      <c r="BL36" s="439"/>
    </row>
    <row r="37" spans="1:64" ht="13">
      <c r="A37" s="422"/>
      <c r="B37" s="422"/>
      <c r="C37" s="440" t="s">
        <v>729</v>
      </c>
      <c r="D37" s="407"/>
      <c r="E37" s="407"/>
      <c r="F37" s="407"/>
      <c r="G37" s="407"/>
      <c r="H37" s="406"/>
      <c r="I37" s="432"/>
      <c r="J37" s="437"/>
      <c r="K37" s="438"/>
      <c r="L37" s="438"/>
      <c r="M37" s="439"/>
      <c r="N37" s="439"/>
      <c r="O37" s="439"/>
      <c r="P37" s="439"/>
      <c r="Q37" s="439"/>
      <c r="R37" s="439"/>
      <c r="S37" s="439"/>
      <c r="T37" s="439"/>
      <c r="U37" s="439"/>
      <c r="V37" s="439"/>
      <c r="W37" s="439"/>
      <c r="X37" s="439"/>
      <c r="Y37" s="439"/>
      <c r="Z37" s="439"/>
      <c r="AA37" s="439"/>
      <c r="AB37" s="439"/>
      <c r="AC37" s="439"/>
      <c r="AD37" s="439"/>
      <c r="AE37" s="439"/>
      <c r="AF37" s="439"/>
      <c r="AG37" s="439"/>
      <c r="AH37" s="439"/>
      <c r="AI37" s="439"/>
      <c r="AJ37" s="439"/>
      <c r="AK37" s="439"/>
      <c r="AL37" s="439"/>
      <c r="AM37" s="439"/>
      <c r="AN37" s="439"/>
      <c r="AO37" s="439"/>
      <c r="AP37" s="439"/>
      <c r="AQ37" s="439"/>
      <c r="AR37" s="439"/>
      <c r="AS37" s="439"/>
      <c r="AT37" s="439"/>
      <c r="AU37" s="439"/>
      <c r="AV37" s="439"/>
      <c r="AW37" s="439"/>
      <c r="AX37" s="439"/>
      <c r="AY37" s="439"/>
      <c r="AZ37" s="439"/>
      <c r="BA37" s="439"/>
      <c r="BB37" s="439"/>
      <c r="BC37" s="439"/>
      <c r="BD37" s="439"/>
      <c r="BE37" s="439"/>
      <c r="BF37" s="439"/>
      <c r="BG37" s="439"/>
      <c r="BH37" s="439"/>
      <c r="BI37" s="439"/>
      <c r="BJ37" s="439"/>
      <c r="BK37" s="439"/>
      <c r="BL37" s="439"/>
    </row>
    <row r="38" spans="1:64" ht="13">
      <c r="A38" s="422"/>
      <c r="B38" s="422"/>
      <c r="C38" s="429" t="s">
        <v>723</v>
      </c>
      <c r="D38" s="432">
        <v>2.44</v>
      </c>
      <c r="E38" s="441" t="s">
        <v>375</v>
      </c>
      <c r="F38" s="432">
        <f>'[161]Civil-SOR'!$G$307</f>
        <v>520</v>
      </c>
      <c r="G38" s="431">
        <v>1</v>
      </c>
      <c r="H38" s="406" t="s">
        <v>572</v>
      </c>
      <c r="I38" s="408">
        <f t="shared" ref="I38:I39" si="4">IF(G38="",D38*F38,(D38*F38/G38))</f>
        <v>1268.8</v>
      </c>
      <c r="J38" s="437"/>
      <c r="K38" s="438"/>
      <c r="L38" s="438"/>
      <c r="M38" s="439"/>
      <c r="N38" s="439"/>
      <c r="O38" s="439"/>
      <c r="P38" s="439"/>
      <c r="Q38" s="439"/>
      <c r="R38" s="439"/>
      <c r="S38" s="439"/>
      <c r="T38" s="439"/>
      <c r="U38" s="439"/>
      <c r="V38" s="439"/>
      <c r="W38" s="439"/>
      <c r="X38" s="439"/>
      <c r="Y38" s="439"/>
      <c r="Z38" s="439"/>
      <c r="AA38" s="439"/>
      <c r="AB38" s="439"/>
      <c r="AC38" s="439"/>
      <c r="AD38" s="439"/>
      <c r="AE38" s="439"/>
      <c r="AF38" s="439"/>
      <c r="AG38" s="439"/>
      <c r="AH38" s="439"/>
      <c r="AI38" s="439"/>
      <c r="AJ38" s="439"/>
      <c r="AK38" s="439"/>
      <c r="AL38" s="439"/>
      <c r="AM38" s="439"/>
      <c r="AN38" s="439"/>
      <c r="AO38" s="439"/>
      <c r="AP38" s="439"/>
      <c r="AQ38" s="439"/>
      <c r="AR38" s="439"/>
      <c r="AS38" s="439"/>
      <c r="AT38" s="439"/>
      <c r="AU38" s="439"/>
      <c r="AV38" s="439"/>
      <c r="AW38" s="439"/>
      <c r="AX38" s="439"/>
      <c r="AY38" s="439"/>
      <c r="AZ38" s="439"/>
      <c r="BA38" s="439"/>
      <c r="BB38" s="439"/>
      <c r="BC38" s="439"/>
      <c r="BD38" s="439"/>
      <c r="BE38" s="439"/>
      <c r="BF38" s="439"/>
      <c r="BG38" s="439"/>
      <c r="BH38" s="439"/>
      <c r="BI38" s="439"/>
      <c r="BJ38" s="439"/>
      <c r="BK38" s="439"/>
      <c r="BL38" s="439"/>
    </row>
    <row r="39" spans="1:64" ht="13">
      <c r="A39" s="422"/>
      <c r="B39" s="422"/>
      <c r="C39" s="429" t="str">
        <f>[161]Input!$C$47</f>
        <v>Add for MA @ 40%</v>
      </c>
      <c r="D39" s="432">
        <f>[161]Input!$D$47</f>
        <v>0.4</v>
      </c>
      <c r="E39" s="442"/>
      <c r="F39" s="432">
        <f>I38</f>
        <v>1268.8</v>
      </c>
      <c r="G39" s="436"/>
      <c r="H39" s="407"/>
      <c r="I39" s="408">
        <f t="shared" si="4"/>
        <v>507.52</v>
      </c>
      <c r="J39" s="437"/>
      <c r="K39" s="438"/>
      <c r="L39" s="438"/>
      <c r="M39" s="439"/>
      <c r="N39" s="439"/>
      <c r="O39" s="439"/>
      <c r="P39" s="439"/>
      <c r="Q39" s="439"/>
      <c r="R39" s="439"/>
      <c r="S39" s="439"/>
      <c r="T39" s="439"/>
      <c r="U39" s="439"/>
      <c r="V39" s="439"/>
      <c r="W39" s="439"/>
      <c r="X39" s="439"/>
      <c r="Y39" s="439"/>
      <c r="Z39" s="439"/>
      <c r="AA39" s="439"/>
      <c r="AB39" s="439"/>
      <c r="AC39" s="439"/>
      <c r="AD39" s="439"/>
      <c r="AE39" s="439"/>
      <c r="AF39" s="439"/>
      <c r="AG39" s="439"/>
      <c r="AH39" s="439"/>
      <c r="AI39" s="439"/>
      <c r="AJ39" s="439"/>
      <c r="AK39" s="439"/>
      <c r="AL39" s="439"/>
      <c r="AM39" s="439"/>
      <c r="AN39" s="439"/>
      <c r="AO39" s="439"/>
      <c r="AP39" s="439"/>
      <c r="AQ39" s="439"/>
      <c r="AR39" s="439"/>
      <c r="AS39" s="439"/>
      <c r="AT39" s="439"/>
      <c r="AU39" s="439"/>
      <c r="AV39" s="439"/>
      <c r="AW39" s="439"/>
      <c r="AX39" s="439"/>
      <c r="AY39" s="439"/>
      <c r="AZ39" s="439"/>
      <c r="BA39" s="439"/>
      <c r="BB39" s="439"/>
      <c r="BC39" s="439"/>
      <c r="BD39" s="439"/>
      <c r="BE39" s="439"/>
      <c r="BF39" s="439"/>
      <c r="BG39" s="439"/>
      <c r="BH39" s="439"/>
      <c r="BI39" s="439"/>
      <c r="BJ39" s="439"/>
      <c r="BK39" s="439"/>
      <c r="BL39" s="439"/>
    </row>
    <row r="40" spans="1:64" ht="13">
      <c r="A40" s="422"/>
      <c r="B40" s="422"/>
      <c r="C40" s="440" t="s">
        <v>724</v>
      </c>
      <c r="D40" s="422"/>
      <c r="E40" s="442"/>
      <c r="F40" s="422"/>
      <c r="G40" s="436"/>
      <c r="H40" s="407"/>
      <c r="I40" s="408">
        <f>SUM(I38:I39)</f>
        <v>1776.32</v>
      </c>
      <c r="J40" s="437"/>
      <c r="K40" s="438"/>
      <c r="L40" s="438"/>
      <c r="M40" s="439"/>
      <c r="N40" s="439"/>
      <c r="O40" s="439"/>
      <c r="P40" s="439"/>
      <c r="Q40" s="439"/>
      <c r="R40" s="439"/>
      <c r="S40" s="439"/>
      <c r="T40" s="439"/>
      <c r="U40" s="439"/>
      <c r="V40" s="439"/>
      <c r="W40" s="439"/>
      <c r="X40" s="439"/>
      <c r="Y40" s="439"/>
      <c r="Z40" s="439"/>
      <c r="AA40" s="439"/>
      <c r="AB40" s="439"/>
      <c r="AC40" s="439"/>
      <c r="AD40" s="439"/>
      <c r="AE40" s="439"/>
      <c r="AF40" s="439"/>
      <c r="AG40" s="439"/>
      <c r="AH40" s="439"/>
      <c r="AI40" s="439"/>
      <c r="AJ40" s="439"/>
      <c r="AK40" s="439"/>
      <c r="AL40" s="439"/>
      <c r="AM40" s="439"/>
      <c r="AN40" s="439"/>
      <c r="AO40" s="439"/>
      <c r="AP40" s="439"/>
      <c r="AQ40" s="439"/>
      <c r="AR40" s="439"/>
      <c r="AS40" s="439"/>
      <c r="AT40" s="439"/>
      <c r="AU40" s="439"/>
      <c r="AV40" s="439"/>
      <c r="AW40" s="439"/>
      <c r="AX40" s="439"/>
      <c r="AY40" s="439"/>
      <c r="AZ40" s="439"/>
      <c r="BA40" s="439"/>
      <c r="BB40" s="439"/>
      <c r="BC40" s="439"/>
      <c r="BD40" s="439"/>
      <c r="BE40" s="439"/>
      <c r="BF40" s="439"/>
      <c r="BG40" s="439"/>
      <c r="BH40" s="439"/>
      <c r="BI40" s="439"/>
      <c r="BJ40" s="439"/>
      <c r="BK40" s="439"/>
      <c r="BL40" s="439"/>
    </row>
    <row r="41" spans="1:64" ht="25">
      <c r="A41" s="422"/>
      <c r="B41" s="422"/>
      <c r="C41" s="445" t="str">
        <f>[161]Input!$C$48</f>
        <v>Overheads &amp; Contractors Profit @ 13.615%</v>
      </c>
      <c r="D41" s="444">
        <f>[161]Input!$D$48</f>
        <v>0.13614999999999999</v>
      </c>
      <c r="E41" s="441"/>
      <c r="F41" s="432">
        <f>I40</f>
        <v>1776.32</v>
      </c>
      <c r="G41" s="431"/>
      <c r="H41" s="406"/>
      <c r="I41" s="408">
        <f>IF(G41="",D41*F41,(D41*F41/G41))</f>
        <v>241.84596799999997</v>
      </c>
      <c r="J41" s="446"/>
      <c r="K41" s="447"/>
      <c r="L41" s="447"/>
      <c r="M41" s="448"/>
      <c r="N41" s="448"/>
      <c r="O41" s="448"/>
      <c r="P41" s="448"/>
      <c r="Q41" s="448"/>
      <c r="R41" s="448"/>
      <c r="S41" s="448"/>
      <c r="T41" s="448"/>
      <c r="U41" s="448"/>
      <c r="V41" s="448"/>
      <c r="W41" s="448"/>
      <c r="X41" s="448"/>
      <c r="Y41" s="448"/>
      <c r="Z41" s="448"/>
      <c r="AA41" s="448"/>
      <c r="AB41" s="448"/>
      <c r="AC41" s="448"/>
      <c r="AD41" s="448"/>
      <c r="AE41" s="448"/>
      <c r="AF41" s="448"/>
      <c r="AG41" s="448"/>
      <c r="AH41" s="448"/>
      <c r="AI41" s="448"/>
      <c r="AJ41" s="448"/>
      <c r="AK41" s="448"/>
      <c r="AL41" s="448"/>
      <c r="AM41" s="448"/>
      <c r="AN41" s="448"/>
      <c r="AO41" s="448"/>
      <c r="AP41" s="448"/>
      <c r="AQ41" s="448"/>
      <c r="AR41" s="448"/>
      <c r="AS41" s="448"/>
      <c r="AT41" s="448"/>
      <c r="AU41" s="448"/>
      <c r="AV41" s="448"/>
      <c r="AW41" s="448"/>
      <c r="AX41" s="448"/>
      <c r="AY41" s="448"/>
      <c r="AZ41" s="448"/>
      <c r="BA41" s="448"/>
      <c r="BB41" s="448"/>
      <c r="BC41" s="448"/>
      <c r="BD41" s="448"/>
      <c r="BE41" s="448"/>
      <c r="BF41" s="448"/>
      <c r="BG41" s="448"/>
      <c r="BH41" s="448"/>
      <c r="BI41" s="448"/>
      <c r="BJ41" s="448"/>
      <c r="BK41" s="448"/>
      <c r="BL41" s="448"/>
    </row>
    <row r="42" spans="1:64" ht="13">
      <c r="A42" s="422"/>
      <c r="B42" s="422"/>
      <c r="C42" s="440" t="s">
        <v>724</v>
      </c>
      <c r="D42" s="422"/>
      <c r="E42" s="442"/>
      <c r="F42" s="422"/>
      <c r="G42" s="436"/>
      <c r="H42" s="408" t="s">
        <v>725</v>
      </c>
      <c r="I42" s="408">
        <f>SUM(I40:I41)</f>
        <v>2018.1659679999998</v>
      </c>
      <c r="J42" s="437"/>
      <c r="K42" s="438"/>
      <c r="L42" s="438"/>
      <c r="M42" s="439"/>
      <c r="N42" s="439"/>
      <c r="O42" s="439"/>
      <c r="P42" s="439"/>
      <c r="Q42" s="439"/>
      <c r="R42" s="439"/>
      <c r="S42" s="439"/>
      <c r="T42" s="439"/>
      <c r="U42" s="439"/>
      <c r="V42" s="439"/>
      <c r="W42" s="439"/>
      <c r="X42" s="439"/>
      <c r="Y42" s="439"/>
      <c r="Z42" s="439"/>
      <c r="AA42" s="439"/>
      <c r="AB42" s="439"/>
      <c r="AC42" s="439"/>
      <c r="AD42" s="439"/>
      <c r="AE42" s="439"/>
      <c r="AF42" s="439"/>
      <c r="AG42" s="439"/>
      <c r="AH42" s="439"/>
      <c r="AI42" s="439"/>
      <c r="AJ42" s="439"/>
      <c r="AK42" s="439"/>
      <c r="AL42" s="439"/>
      <c r="AM42" s="439"/>
      <c r="AN42" s="439"/>
      <c r="AO42" s="439"/>
      <c r="AP42" s="439"/>
      <c r="AQ42" s="439"/>
      <c r="AR42" s="439"/>
      <c r="AS42" s="439"/>
      <c r="AT42" s="439"/>
      <c r="AU42" s="439"/>
      <c r="AV42" s="439"/>
      <c r="AW42" s="439"/>
      <c r="AX42" s="439"/>
      <c r="AY42" s="439"/>
      <c r="AZ42" s="439"/>
      <c r="BA42" s="439"/>
      <c r="BB42" s="439"/>
      <c r="BC42" s="439"/>
      <c r="BD42" s="439"/>
      <c r="BE42" s="439"/>
      <c r="BF42" s="439"/>
      <c r="BG42" s="439"/>
      <c r="BH42" s="439"/>
      <c r="BI42" s="439"/>
      <c r="BJ42" s="439"/>
      <c r="BK42" s="439"/>
      <c r="BL42" s="439"/>
    </row>
    <row r="43" spans="1:64" ht="12.75" customHeight="1">
      <c r="A43" s="422"/>
      <c r="B43" s="422"/>
      <c r="C43" s="1313" t="s">
        <v>724</v>
      </c>
      <c r="D43" s="1313"/>
      <c r="E43" s="1313"/>
      <c r="F43" s="1313"/>
      <c r="G43" s="1313"/>
      <c r="H43" s="407" t="s">
        <v>726</v>
      </c>
      <c r="I43" s="414">
        <f>ROUND(I42,0)</f>
        <v>2018</v>
      </c>
      <c r="J43" s="437"/>
      <c r="K43" s="438"/>
      <c r="L43" s="438"/>
      <c r="M43" s="439"/>
      <c r="N43" s="439"/>
      <c r="O43" s="439"/>
      <c r="P43" s="439"/>
      <c r="Q43" s="439"/>
      <c r="R43" s="439"/>
      <c r="S43" s="439"/>
      <c r="T43" s="439"/>
      <c r="U43" s="439"/>
      <c r="V43" s="439"/>
      <c r="W43" s="439"/>
      <c r="X43" s="439"/>
      <c r="Y43" s="439"/>
      <c r="Z43" s="439"/>
      <c r="AA43" s="439"/>
      <c r="AB43" s="439"/>
      <c r="AC43" s="439"/>
      <c r="AD43" s="439"/>
      <c r="AE43" s="439"/>
      <c r="AF43" s="439"/>
      <c r="AG43" s="439"/>
      <c r="AH43" s="439"/>
      <c r="AI43" s="439"/>
      <c r="AJ43" s="439"/>
      <c r="AK43" s="439"/>
      <c r="AL43" s="439"/>
      <c r="AM43" s="439"/>
      <c r="AN43" s="439"/>
      <c r="AO43" s="439"/>
      <c r="AP43" s="439"/>
      <c r="AQ43" s="439"/>
      <c r="AR43" s="439"/>
      <c r="AS43" s="439"/>
      <c r="AT43" s="439"/>
      <c r="AU43" s="439"/>
      <c r="AV43" s="439"/>
      <c r="AW43" s="439"/>
      <c r="AX43" s="439"/>
      <c r="AY43" s="439"/>
      <c r="AZ43" s="439"/>
      <c r="BA43" s="439"/>
      <c r="BB43" s="439"/>
      <c r="BC43" s="439"/>
      <c r="BD43" s="439"/>
      <c r="BE43" s="439"/>
      <c r="BF43" s="439"/>
      <c r="BG43" s="439"/>
      <c r="BH43" s="439"/>
      <c r="BI43" s="439"/>
      <c r="BJ43" s="439"/>
      <c r="BK43" s="439"/>
      <c r="BL43" s="439"/>
    </row>
    <row r="44" spans="1:64" ht="13">
      <c r="A44" s="422"/>
      <c r="B44" s="422"/>
      <c r="C44" s="407"/>
      <c r="D44" s="422"/>
      <c r="E44" s="442"/>
      <c r="F44" s="422"/>
      <c r="G44" s="436"/>
      <c r="H44" s="406"/>
      <c r="I44" s="422"/>
      <c r="J44" s="437"/>
      <c r="K44" s="438"/>
      <c r="L44" s="438"/>
      <c r="M44" s="439"/>
      <c r="N44" s="439"/>
      <c r="O44" s="439"/>
      <c r="P44" s="439"/>
      <c r="Q44" s="439"/>
      <c r="R44" s="439"/>
      <c r="S44" s="439"/>
      <c r="T44" s="439"/>
      <c r="U44" s="439"/>
      <c r="V44" s="439"/>
      <c r="W44" s="439"/>
      <c r="X44" s="439"/>
      <c r="Y44" s="439"/>
      <c r="Z44" s="439"/>
      <c r="AA44" s="439"/>
      <c r="AB44" s="439"/>
      <c r="AC44" s="439"/>
      <c r="AD44" s="439"/>
      <c r="AE44" s="439"/>
      <c r="AF44" s="439"/>
      <c r="AG44" s="439"/>
      <c r="AH44" s="439"/>
      <c r="AI44" s="439"/>
      <c r="AJ44" s="439"/>
      <c r="AK44" s="439"/>
      <c r="AL44" s="439"/>
      <c r="AM44" s="439"/>
      <c r="AN44" s="439"/>
      <c r="AO44" s="439"/>
      <c r="AP44" s="439"/>
      <c r="AQ44" s="439"/>
      <c r="AR44" s="439"/>
      <c r="AS44" s="439"/>
      <c r="AT44" s="439"/>
      <c r="AU44" s="439"/>
      <c r="AV44" s="439"/>
      <c r="AW44" s="439"/>
      <c r="AX44" s="439"/>
      <c r="AY44" s="439"/>
      <c r="AZ44" s="439"/>
      <c r="BA44" s="439"/>
      <c r="BB44" s="439"/>
      <c r="BC44" s="439"/>
      <c r="BD44" s="439"/>
      <c r="BE44" s="439"/>
      <c r="BF44" s="439"/>
      <c r="BG44" s="439"/>
      <c r="BH44" s="439"/>
      <c r="BI44" s="439"/>
      <c r="BJ44" s="439"/>
      <c r="BK44" s="439"/>
      <c r="BL44" s="439"/>
    </row>
    <row r="45" spans="1:64" ht="12.75" customHeight="1">
      <c r="A45" s="422"/>
      <c r="B45" s="422" t="s">
        <v>730</v>
      </c>
      <c r="C45" s="1311" t="s">
        <v>731</v>
      </c>
      <c r="D45" s="1311"/>
      <c r="E45" s="1311"/>
      <c r="F45" s="407"/>
      <c r="G45" s="407"/>
      <c r="H45" s="406"/>
      <c r="I45" s="432"/>
      <c r="J45" s="437"/>
      <c r="K45" s="438"/>
      <c r="L45" s="438"/>
      <c r="M45" s="439"/>
      <c r="N45" s="439"/>
      <c r="O45" s="439"/>
      <c r="P45" s="439"/>
      <c r="Q45" s="439"/>
      <c r="R45" s="439"/>
      <c r="S45" s="439"/>
      <c r="T45" s="439"/>
      <c r="U45" s="439"/>
      <c r="V45" s="439"/>
      <c r="W45" s="439"/>
      <c r="X45" s="439"/>
      <c r="Y45" s="439"/>
      <c r="Z45" s="439"/>
      <c r="AA45" s="439"/>
      <c r="AB45" s="439"/>
      <c r="AC45" s="439"/>
      <c r="AD45" s="439"/>
      <c r="AE45" s="439"/>
      <c r="AF45" s="439"/>
      <c r="AG45" s="439"/>
      <c r="AH45" s="439"/>
      <c r="AI45" s="439"/>
      <c r="AJ45" s="439"/>
      <c r="AK45" s="439"/>
      <c r="AL45" s="439"/>
      <c r="AM45" s="439"/>
      <c r="AN45" s="439"/>
      <c r="AO45" s="439"/>
      <c r="AP45" s="439"/>
      <c r="AQ45" s="439"/>
      <c r="AR45" s="439"/>
      <c r="AS45" s="439"/>
      <c r="AT45" s="439"/>
      <c r="AU45" s="439"/>
      <c r="AV45" s="439"/>
      <c r="AW45" s="439"/>
      <c r="AX45" s="439"/>
      <c r="AY45" s="439"/>
      <c r="AZ45" s="439"/>
      <c r="BA45" s="439"/>
      <c r="BB45" s="439"/>
      <c r="BC45" s="439"/>
      <c r="BD45" s="439"/>
      <c r="BE45" s="439"/>
      <c r="BF45" s="439"/>
      <c r="BG45" s="439"/>
      <c r="BH45" s="439"/>
      <c r="BI45" s="439"/>
      <c r="BJ45" s="439"/>
      <c r="BK45" s="439"/>
      <c r="BL45" s="439"/>
    </row>
    <row r="46" spans="1:64" ht="13">
      <c r="A46" s="422"/>
      <c r="B46" s="422"/>
      <c r="C46" s="440" t="s">
        <v>732</v>
      </c>
      <c r="D46" s="407"/>
      <c r="E46" s="407"/>
      <c r="F46" s="407"/>
      <c r="G46" s="407"/>
      <c r="H46" s="406"/>
      <c r="I46" s="432"/>
      <c r="J46" s="437"/>
      <c r="K46" s="438"/>
      <c r="L46" s="438"/>
      <c r="M46" s="439"/>
      <c r="N46" s="439"/>
      <c r="O46" s="439"/>
      <c r="P46" s="439"/>
      <c r="Q46" s="439"/>
      <c r="R46" s="439"/>
      <c r="S46" s="439"/>
      <c r="T46" s="439"/>
      <c r="U46" s="439"/>
      <c r="V46" s="439"/>
      <c r="W46" s="439"/>
      <c r="X46" s="439"/>
      <c r="Y46" s="439"/>
      <c r="Z46" s="439"/>
      <c r="AA46" s="439"/>
      <c r="AB46" s="439"/>
      <c r="AC46" s="439"/>
      <c r="AD46" s="439"/>
      <c r="AE46" s="439"/>
      <c r="AF46" s="439"/>
      <c r="AG46" s="439"/>
      <c r="AH46" s="439"/>
      <c r="AI46" s="439"/>
      <c r="AJ46" s="439"/>
      <c r="AK46" s="439"/>
      <c r="AL46" s="439"/>
      <c r="AM46" s="439"/>
      <c r="AN46" s="439"/>
      <c r="AO46" s="439"/>
      <c r="AP46" s="439"/>
      <c r="AQ46" s="439"/>
      <c r="AR46" s="439"/>
      <c r="AS46" s="439"/>
      <c r="AT46" s="439"/>
      <c r="AU46" s="439"/>
      <c r="AV46" s="439"/>
      <c r="AW46" s="439"/>
      <c r="AX46" s="439"/>
      <c r="AY46" s="439"/>
      <c r="AZ46" s="439"/>
      <c r="BA46" s="439"/>
      <c r="BB46" s="439"/>
      <c r="BC46" s="439"/>
      <c r="BD46" s="439"/>
      <c r="BE46" s="439"/>
      <c r="BF46" s="439"/>
      <c r="BG46" s="439"/>
      <c r="BH46" s="439"/>
      <c r="BI46" s="439"/>
      <c r="BJ46" s="439"/>
      <c r="BK46" s="439"/>
      <c r="BL46" s="439"/>
    </row>
    <row r="47" spans="1:64" ht="13">
      <c r="A47" s="422"/>
      <c r="B47" s="422"/>
      <c r="C47" s="429" t="s">
        <v>723</v>
      </c>
      <c r="D47" s="432">
        <v>4.88</v>
      </c>
      <c r="E47" s="441" t="s">
        <v>375</v>
      </c>
      <c r="F47" s="432">
        <f>'[161]Civil-SOR'!$G$307</f>
        <v>520</v>
      </c>
      <c r="G47" s="431">
        <v>1</v>
      </c>
      <c r="H47" s="406" t="s">
        <v>572</v>
      </c>
      <c r="I47" s="408">
        <f t="shared" ref="I47:I48" si="5">IF(G47="",D47*F47,(D47*F47/G47))</f>
        <v>2537.6</v>
      </c>
      <c r="J47" s="437"/>
      <c r="K47" s="438"/>
      <c r="L47" s="438"/>
      <c r="M47" s="439"/>
      <c r="N47" s="439"/>
      <c r="O47" s="439"/>
      <c r="P47" s="439"/>
      <c r="Q47" s="439"/>
      <c r="R47" s="439"/>
      <c r="S47" s="439"/>
      <c r="T47" s="439"/>
      <c r="U47" s="439"/>
      <c r="V47" s="439"/>
      <c r="W47" s="439"/>
      <c r="X47" s="439"/>
      <c r="Y47" s="439"/>
      <c r="Z47" s="439"/>
      <c r="AA47" s="439"/>
      <c r="AB47" s="439"/>
      <c r="AC47" s="439"/>
      <c r="AD47" s="439"/>
      <c r="AE47" s="439"/>
      <c r="AF47" s="439"/>
      <c r="AG47" s="439"/>
      <c r="AH47" s="439"/>
      <c r="AI47" s="439"/>
      <c r="AJ47" s="439"/>
      <c r="AK47" s="439"/>
      <c r="AL47" s="439"/>
      <c r="AM47" s="439"/>
      <c r="AN47" s="439"/>
      <c r="AO47" s="439"/>
      <c r="AP47" s="439"/>
      <c r="AQ47" s="439"/>
      <c r="AR47" s="439"/>
      <c r="AS47" s="439"/>
      <c r="AT47" s="439"/>
      <c r="AU47" s="439"/>
      <c r="AV47" s="439"/>
      <c r="AW47" s="439"/>
      <c r="AX47" s="439"/>
      <c r="AY47" s="439"/>
      <c r="AZ47" s="439"/>
      <c r="BA47" s="439"/>
      <c r="BB47" s="439"/>
      <c r="BC47" s="439"/>
      <c r="BD47" s="439"/>
      <c r="BE47" s="439"/>
      <c r="BF47" s="439"/>
      <c r="BG47" s="439"/>
      <c r="BH47" s="439"/>
      <c r="BI47" s="439"/>
      <c r="BJ47" s="439"/>
      <c r="BK47" s="439"/>
      <c r="BL47" s="439"/>
    </row>
    <row r="48" spans="1:64" ht="13">
      <c r="A48" s="422"/>
      <c r="B48" s="422"/>
      <c r="C48" s="429" t="str">
        <f>[161]Input!$C$47</f>
        <v>Add for MA @ 40%</v>
      </c>
      <c r="D48" s="432">
        <f>[161]Input!$D$47</f>
        <v>0.4</v>
      </c>
      <c r="E48" s="442"/>
      <c r="F48" s="432">
        <f>I47</f>
        <v>2537.6</v>
      </c>
      <c r="G48" s="436"/>
      <c r="H48" s="407"/>
      <c r="I48" s="408">
        <f t="shared" si="5"/>
        <v>1015.04</v>
      </c>
      <c r="J48" s="437"/>
      <c r="K48" s="438"/>
      <c r="L48" s="438"/>
      <c r="M48" s="439"/>
      <c r="N48" s="439"/>
      <c r="O48" s="439"/>
      <c r="P48" s="439"/>
      <c r="Q48" s="439"/>
      <c r="R48" s="439"/>
      <c r="S48" s="439"/>
      <c r="T48" s="439"/>
      <c r="U48" s="439"/>
      <c r="V48" s="439"/>
      <c r="W48" s="439"/>
      <c r="X48" s="439"/>
      <c r="Y48" s="439"/>
      <c r="Z48" s="439"/>
      <c r="AA48" s="439"/>
      <c r="AB48" s="439"/>
      <c r="AC48" s="439"/>
      <c r="AD48" s="439"/>
      <c r="AE48" s="439"/>
      <c r="AF48" s="439"/>
      <c r="AG48" s="439"/>
      <c r="AH48" s="439"/>
      <c r="AI48" s="439"/>
      <c r="AJ48" s="439"/>
      <c r="AK48" s="439"/>
      <c r="AL48" s="439"/>
      <c r="AM48" s="439"/>
      <c r="AN48" s="439"/>
      <c r="AO48" s="439"/>
      <c r="AP48" s="439"/>
      <c r="AQ48" s="439"/>
      <c r="AR48" s="439"/>
      <c r="AS48" s="439"/>
      <c r="AT48" s="439"/>
      <c r="AU48" s="439"/>
      <c r="AV48" s="439"/>
      <c r="AW48" s="439"/>
      <c r="AX48" s="439"/>
      <c r="AY48" s="439"/>
      <c r="AZ48" s="439"/>
      <c r="BA48" s="439"/>
      <c r="BB48" s="439"/>
      <c r="BC48" s="439"/>
      <c r="BD48" s="439"/>
      <c r="BE48" s="439"/>
      <c r="BF48" s="439"/>
      <c r="BG48" s="439"/>
      <c r="BH48" s="439"/>
      <c r="BI48" s="439"/>
      <c r="BJ48" s="439"/>
      <c r="BK48" s="439"/>
      <c r="BL48" s="439"/>
    </row>
    <row r="49" spans="1:64" ht="13">
      <c r="A49" s="422"/>
      <c r="B49" s="422"/>
      <c r="C49" s="440" t="s">
        <v>724</v>
      </c>
      <c r="D49" s="422"/>
      <c r="E49" s="442"/>
      <c r="F49" s="422"/>
      <c r="G49" s="436"/>
      <c r="H49" s="407"/>
      <c r="I49" s="408">
        <f>SUM(I47:I48)</f>
        <v>3552.64</v>
      </c>
      <c r="J49" s="437"/>
      <c r="K49" s="438"/>
      <c r="L49" s="438"/>
      <c r="M49" s="439"/>
      <c r="N49" s="439"/>
      <c r="O49" s="439"/>
      <c r="P49" s="439"/>
      <c r="Q49" s="439"/>
      <c r="R49" s="439"/>
      <c r="S49" s="439"/>
      <c r="T49" s="439"/>
      <c r="U49" s="439"/>
      <c r="V49" s="439"/>
      <c r="W49" s="439"/>
      <c r="X49" s="439"/>
      <c r="Y49" s="439"/>
      <c r="Z49" s="439"/>
      <c r="AA49" s="439"/>
      <c r="AB49" s="439"/>
      <c r="AC49" s="439"/>
      <c r="AD49" s="439"/>
      <c r="AE49" s="439"/>
      <c r="AF49" s="439"/>
      <c r="AG49" s="439"/>
      <c r="AH49" s="439"/>
      <c r="AI49" s="439"/>
      <c r="AJ49" s="439"/>
      <c r="AK49" s="439"/>
      <c r="AL49" s="439"/>
      <c r="AM49" s="439"/>
      <c r="AN49" s="439"/>
      <c r="AO49" s="439"/>
      <c r="AP49" s="439"/>
      <c r="AQ49" s="439"/>
      <c r="AR49" s="439"/>
      <c r="AS49" s="439"/>
      <c r="AT49" s="439"/>
      <c r="AU49" s="439"/>
      <c r="AV49" s="439"/>
      <c r="AW49" s="439"/>
      <c r="AX49" s="439"/>
      <c r="AY49" s="439"/>
      <c r="AZ49" s="439"/>
      <c r="BA49" s="439"/>
      <c r="BB49" s="439"/>
      <c r="BC49" s="439"/>
      <c r="BD49" s="439"/>
      <c r="BE49" s="439"/>
      <c r="BF49" s="439"/>
      <c r="BG49" s="439"/>
      <c r="BH49" s="439"/>
      <c r="BI49" s="439"/>
      <c r="BJ49" s="439"/>
      <c r="BK49" s="439"/>
      <c r="BL49" s="439"/>
    </row>
    <row r="50" spans="1:64" ht="25">
      <c r="A50" s="422"/>
      <c r="B50" s="422"/>
      <c r="C50" s="445" t="str">
        <f>[161]Input!$C$48</f>
        <v>Overheads &amp; Contractors Profit @ 13.615%</v>
      </c>
      <c r="D50" s="444">
        <f>[161]Input!$D$48</f>
        <v>0.13614999999999999</v>
      </c>
      <c r="E50" s="441"/>
      <c r="F50" s="432">
        <f>I49</f>
        <v>3552.64</v>
      </c>
      <c r="G50" s="431"/>
      <c r="H50" s="406"/>
      <c r="I50" s="408">
        <f>IF(G50="",D50*F50,(D50*F50/G50))</f>
        <v>483.69193599999994</v>
      </c>
      <c r="J50" s="446"/>
      <c r="K50" s="447"/>
      <c r="L50" s="447"/>
      <c r="M50" s="448"/>
      <c r="N50" s="448"/>
      <c r="O50" s="448"/>
      <c r="P50" s="448"/>
      <c r="Q50" s="448"/>
      <c r="R50" s="448"/>
      <c r="S50" s="448"/>
      <c r="T50" s="448"/>
      <c r="U50" s="448"/>
      <c r="V50" s="448"/>
      <c r="W50" s="448"/>
      <c r="X50" s="448"/>
      <c r="Y50" s="448"/>
      <c r="Z50" s="448"/>
      <c r="AA50" s="448"/>
      <c r="AB50" s="448"/>
      <c r="AC50" s="448"/>
      <c r="AD50" s="448"/>
      <c r="AE50" s="448"/>
      <c r="AF50" s="448"/>
      <c r="AG50" s="448"/>
      <c r="AH50" s="448"/>
      <c r="AI50" s="448"/>
      <c r="AJ50" s="448"/>
      <c r="AK50" s="448"/>
      <c r="AL50" s="448"/>
      <c r="AM50" s="448"/>
      <c r="AN50" s="448"/>
      <c r="AO50" s="448"/>
      <c r="AP50" s="448"/>
      <c r="AQ50" s="448"/>
      <c r="AR50" s="448"/>
      <c r="AS50" s="448"/>
      <c r="AT50" s="448"/>
      <c r="AU50" s="448"/>
      <c r="AV50" s="448"/>
      <c r="AW50" s="448"/>
      <c r="AX50" s="448"/>
      <c r="AY50" s="448"/>
      <c r="AZ50" s="448"/>
      <c r="BA50" s="448"/>
      <c r="BB50" s="448"/>
      <c r="BC50" s="448"/>
      <c r="BD50" s="448"/>
      <c r="BE50" s="448"/>
      <c r="BF50" s="448"/>
      <c r="BG50" s="448"/>
      <c r="BH50" s="448"/>
      <c r="BI50" s="448"/>
      <c r="BJ50" s="448"/>
      <c r="BK50" s="448"/>
      <c r="BL50" s="448"/>
    </row>
    <row r="51" spans="1:64" ht="13">
      <c r="A51" s="422"/>
      <c r="B51" s="422"/>
      <c r="C51" s="440" t="s">
        <v>724</v>
      </c>
      <c r="D51" s="422"/>
      <c r="E51" s="442"/>
      <c r="F51" s="422"/>
      <c r="G51" s="436"/>
      <c r="H51" s="408" t="s">
        <v>725</v>
      </c>
      <c r="I51" s="408">
        <f>SUM(I49:I50)</f>
        <v>4036.3319359999996</v>
      </c>
      <c r="J51" s="437"/>
      <c r="K51" s="438"/>
      <c r="L51" s="438"/>
      <c r="M51" s="439"/>
      <c r="N51" s="439"/>
      <c r="O51" s="439"/>
      <c r="P51" s="439"/>
      <c r="Q51" s="439"/>
      <c r="R51" s="439"/>
      <c r="S51" s="439"/>
      <c r="T51" s="439"/>
      <c r="U51" s="439"/>
      <c r="V51" s="439"/>
      <c r="W51" s="439"/>
      <c r="X51" s="439"/>
      <c r="Y51" s="439"/>
      <c r="Z51" s="439"/>
      <c r="AA51" s="439"/>
      <c r="AB51" s="439"/>
      <c r="AC51" s="439"/>
      <c r="AD51" s="439"/>
      <c r="AE51" s="439"/>
      <c r="AF51" s="439"/>
      <c r="AG51" s="439"/>
      <c r="AH51" s="439"/>
      <c r="AI51" s="439"/>
      <c r="AJ51" s="439"/>
      <c r="AK51" s="439"/>
      <c r="AL51" s="439"/>
      <c r="AM51" s="439"/>
      <c r="AN51" s="439"/>
      <c r="AO51" s="439"/>
      <c r="AP51" s="439"/>
      <c r="AQ51" s="439"/>
      <c r="AR51" s="439"/>
      <c r="AS51" s="439"/>
      <c r="AT51" s="439"/>
      <c r="AU51" s="439"/>
      <c r="AV51" s="439"/>
      <c r="AW51" s="439"/>
      <c r="AX51" s="439"/>
      <c r="AY51" s="439"/>
      <c r="AZ51" s="439"/>
      <c r="BA51" s="439"/>
      <c r="BB51" s="439"/>
      <c r="BC51" s="439"/>
      <c r="BD51" s="439"/>
      <c r="BE51" s="439"/>
      <c r="BF51" s="439"/>
      <c r="BG51" s="439"/>
      <c r="BH51" s="439"/>
      <c r="BI51" s="439"/>
      <c r="BJ51" s="439"/>
      <c r="BK51" s="439"/>
      <c r="BL51" s="439"/>
    </row>
    <row r="52" spans="1:64" ht="13">
      <c r="A52" s="422"/>
      <c r="B52" s="422"/>
      <c r="C52" s="407"/>
      <c r="D52" s="422"/>
      <c r="E52" s="442"/>
      <c r="F52" s="422"/>
      <c r="G52" s="436"/>
      <c r="H52" s="407" t="s">
        <v>726</v>
      </c>
      <c r="I52" s="414">
        <f>ROUND(I51,0)</f>
        <v>4036</v>
      </c>
      <c r="J52" s="437"/>
      <c r="K52" s="438"/>
      <c r="L52" s="438"/>
      <c r="M52" s="439"/>
      <c r="N52" s="439"/>
      <c r="O52" s="439"/>
      <c r="P52" s="439"/>
      <c r="Q52" s="439"/>
      <c r="R52" s="439"/>
      <c r="S52" s="439"/>
      <c r="T52" s="439"/>
      <c r="U52" s="439"/>
      <c r="V52" s="439"/>
      <c r="W52" s="439"/>
      <c r="X52" s="439"/>
      <c r="Y52" s="439"/>
      <c r="Z52" s="439"/>
      <c r="AA52" s="439"/>
      <c r="AB52" s="439"/>
      <c r="AC52" s="439"/>
      <c r="AD52" s="439"/>
      <c r="AE52" s="439"/>
      <c r="AF52" s="439"/>
      <c r="AG52" s="439"/>
      <c r="AH52" s="439"/>
      <c r="AI52" s="439"/>
      <c r="AJ52" s="439"/>
      <c r="AK52" s="439"/>
      <c r="AL52" s="439"/>
      <c r="AM52" s="439"/>
      <c r="AN52" s="439"/>
      <c r="AO52" s="439"/>
      <c r="AP52" s="439"/>
      <c r="AQ52" s="439"/>
      <c r="AR52" s="439"/>
      <c r="AS52" s="439"/>
      <c r="AT52" s="439"/>
      <c r="AU52" s="439"/>
      <c r="AV52" s="439"/>
      <c r="AW52" s="439"/>
      <c r="AX52" s="439"/>
      <c r="AY52" s="439"/>
      <c r="AZ52" s="439"/>
      <c r="BA52" s="439"/>
      <c r="BB52" s="439"/>
      <c r="BC52" s="439"/>
      <c r="BD52" s="439"/>
      <c r="BE52" s="439"/>
      <c r="BF52" s="439"/>
      <c r="BG52" s="439"/>
      <c r="BH52" s="439"/>
      <c r="BI52" s="439"/>
      <c r="BJ52" s="439"/>
      <c r="BK52" s="439"/>
      <c r="BL52" s="439"/>
    </row>
    <row r="53" spans="1:64" ht="13">
      <c r="A53" s="422"/>
      <c r="B53" s="422"/>
      <c r="C53" s="407"/>
      <c r="D53" s="422"/>
      <c r="E53" s="442"/>
      <c r="F53" s="422"/>
      <c r="G53" s="436"/>
      <c r="H53" s="406"/>
      <c r="I53" s="422"/>
      <c r="J53" s="437"/>
      <c r="K53" s="438"/>
      <c r="L53" s="438"/>
      <c r="M53" s="439"/>
      <c r="N53" s="439"/>
      <c r="O53" s="439"/>
      <c r="P53" s="439"/>
      <c r="Q53" s="439"/>
      <c r="R53" s="439"/>
      <c r="S53" s="439"/>
      <c r="T53" s="439"/>
      <c r="U53" s="439"/>
      <c r="V53" s="439"/>
      <c r="W53" s="439"/>
      <c r="X53" s="439"/>
      <c r="Y53" s="439"/>
      <c r="Z53" s="439"/>
      <c r="AA53" s="439"/>
      <c r="AB53" s="439"/>
      <c r="AC53" s="439"/>
      <c r="AD53" s="439"/>
      <c r="AE53" s="439"/>
      <c r="AF53" s="439"/>
      <c r="AG53" s="439"/>
      <c r="AH53" s="439"/>
      <c r="AI53" s="439"/>
      <c r="AJ53" s="439"/>
      <c r="AK53" s="439"/>
      <c r="AL53" s="439"/>
      <c r="AM53" s="439"/>
      <c r="AN53" s="439"/>
      <c r="AO53" s="439"/>
      <c r="AP53" s="439"/>
      <c r="AQ53" s="439"/>
      <c r="AR53" s="439"/>
      <c r="AS53" s="439"/>
      <c r="AT53" s="439"/>
      <c r="AU53" s="439"/>
      <c r="AV53" s="439"/>
      <c r="AW53" s="439"/>
      <c r="AX53" s="439"/>
      <c r="AY53" s="439"/>
      <c r="AZ53" s="439"/>
      <c r="BA53" s="439"/>
      <c r="BB53" s="439"/>
      <c r="BC53" s="439"/>
      <c r="BD53" s="439"/>
      <c r="BE53" s="439"/>
      <c r="BF53" s="439"/>
      <c r="BG53" s="439"/>
      <c r="BH53" s="439"/>
      <c r="BI53" s="439"/>
      <c r="BJ53" s="439"/>
      <c r="BK53" s="439"/>
      <c r="BL53" s="439"/>
    </row>
    <row r="54" spans="1:64" ht="26">
      <c r="A54" s="422"/>
      <c r="B54" s="422" t="s">
        <v>733</v>
      </c>
      <c r="C54" s="440" t="s">
        <v>734</v>
      </c>
      <c r="D54" s="407"/>
      <c r="E54" s="407"/>
      <c r="F54" s="407"/>
      <c r="G54" s="407"/>
      <c r="H54" s="406"/>
      <c r="I54" s="432"/>
      <c r="J54" s="437"/>
      <c r="K54" s="438"/>
      <c r="L54" s="438"/>
      <c r="M54" s="439"/>
      <c r="N54" s="439"/>
      <c r="O54" s="439"/>
      <c r="P54" s="439"/>
      <c r="Q54" s="439"/>
      <c r="R54" s="439"/>
      <c r="S54" s="439"/>
      <c r="T54" s="439"/>
      <c r="U54" s="439"/>
      <c r="V54" s="439"/>
      <c r="W54" s="439"/>
      <c r="X54" s="439"/>
      <c r="Y54" s="439"/>
      <c r="Z54" s="439"/>
      <c r="AA54" s="439"/>
      <c r="AB54" s="439"/>
      <c r="AC54" s="439"/>
      <c r="AD54" s="439"/>
      <c r="AE54" s="439"/>
      <c r="AF54" s="439"/>
      <c r="AG54" s="439"/>
      <c r="AH54" s="439"/>
      <c r="AI54" s="439"/>
      <c r="AJ54" s="439"/>
      <c r="AK54" s="439"/>
      <c r="AL54" s="439"/>
      <c r="AM54" s="439"/>
      <c r="AN54" s="439"/>
      <c r="AO54" s="439"/>
      <c r="AP54" s="439"/>
      <c r="AQ54" s="439"/>
      <c r="AR54" s="439"/>
      <c r="AS54" s="439"/>
      <c r="AT54" s="439"/>
      <c r="AU54" s="439"/>
      <c r="AV54" s="439"/>
      <c r="AW54" s="439"/>
      <c r="AX54" s="439"/>
      <c r="AY54" s="439"/>
      <c r="AZ54" s="439"/>
      <c r="BA54" s="439"/>
      <c r="BB54" s="439"/>
      <c r="BC54" s="439"/>
      <c r="BD54" s="439"/>
      <c r="BE54" s="439"/>
      <c r="BF54" s="439"/>
      <c r="BG54" s="439"/>
      <c r="BH54" s="439"/>
      <c r="BI54" s="439"/>
      <c r="BJ54" s="439"/>
      <c r="BK54" s="439"/>
      <c r="BL54" s="439"/>
    </row>
    <row r="55" spans="1:64" ht="13">
      <c r="A55" s="422"/>
      <c r="B55" s="422"/>
      <c r="C55" s="440" t="s">
        <v>735</v>
      </c>
      <c r="D55" s="407"/>
      <c r="E55" s="407"/>
      <c r="F55" s="407"/>
      <c r="G55" s="407"/>
      <c r="H55" s="406"/>
      <c r="I55" s="432"/>
      <c r="J55" s="437"/>
      <c r="K55" s="438"/>
      <c r="L55" s="438"/>
      <c r="M55" s="439"/>
      <c r="N55" s="439"/>
      <c r="O55" s="439"/>
      <c r="P55" s="439"/>
      <c r="Q55" s="439"/>
      <c r="R55" s="439"/>
      <c r="S55" s="439"/>
      <c r="T55" s="439"/>
      <c r="U55" s="439"/>
      <c r="V55" s="439"/>
      <c r="W55" s="439"/>
      <c r="X55" s="439"/>
      <c r="Y55" s="439"/>
      <c r="Z55" s="439"/>
      <c r="AA55" s="439"/>
      <c r="AB55" s="439"/>
      <c r="AC55" s="439"/>
      <c r="AD55" s="439"/>
      <c r="AE55" s="439"/>
      <c r="AF55" s="439"/>
      <c r="AG55" s="439"/>
      <c r="AH55" s="439"/>
      <c r="AI55" s="439"/>
      <c r="AJ55" s="439"/>
      <c r="AK55" s="439"/>
      <c r="AL55" s="439"/>
      <c r="AM55" s="439"/>
      <c r="AN55" s="439"/>
      <c r="AO55" s="439"/>
      <c r="AP55" s="439"/>
      <c r="AQ55" s="439"/>
      <c r="AR55" s="439"/>
      <c r="AS55" s="439"/>
      <c r="AT55" s="439"/>
      <c r="AU55" s="439"/>
      <c r="AV55" s="439"/>
      <c r="AW55" s="439"/>
      <c r="AX55" s="439"/>
      <c r="AY55" s="439"/>
      <c r="AZ55" s="439"/>
      <c r="BA55" s="439"/>
      <c r="BB55" s="439"/>
      <c r="BC55" s="439"/>
      <c r="BD55" s="439"/>
      <c r="BE55" s="439"/>
      <c r="BF55" s="439"/>
      <c r="BG55" s="439"/>
      <c r="BH55" s="439"/>
      <c r="BI55" s="439"/>
      <c r="BJ55" s="439"/>
      <c r="BK55" s="439"/>
      <c r="BL55" s="439"/>
    </row>
    <row r="56" spans="1:64" ht="13">
      <c r="A56" s="422"/>
      <c r="B56" s="422"/>
      <c r="C56" s="429" t="s">
        <v>723</v>
      </c>
      <c r="D56" s="432">
        <v>4.32</v>
      </c>
      <c r="E56" s="441" t="s">
        <v>375</v>
      </c>
      <c r="F56" s="432">
        <f>'[161]Civil-SOR'!$G$307</f>
        <v>520</v>
      </c>
      <c r="G56" s="431">
        <v>1</v>
      </c>
      <c r="H56" s="406" t="s">
        <v>572</v>
      </c>
      <c r="I56" s="408">
        <f t="shared" ref="I56:I57" si="6">IF(G56="",D56*F56,(D56*F56/G56))</f>
        <v>2246.4</v>
      </c>
      <c r="J56" s="437"/>
      <c r="K56" s="438"/>
      <c r="L56" s="438"/>
      <c r="M56" s="439"/>
      <c r="N56" s="439"/>
      <c r="O56" s="439"/>
      <c r="P56" s="439"/>
      <c r="Q56" s="439"/>
      <c r="R56" s="439"/>
      <c r="S56" s="439"/>
      <c r="T56" s="439"/>
      <c r="U56" s="439"/>
      <c r="V56" s="439"/>
      <c r="W56" s="439"/>
      <c r="X56" s="439"/>
      <c r="Y56" s="439"/>
      <c r="Z56" s="439"/>
      <c r="AA56" s="439"/>
      <c r="AB56" s="439"/>
      <c r="AC56" s="439"/>
      <c r="AD56" s="439"/>
      <c r="AE56" s="439"/>
      <c r="AF56" s="439"/>
      <c r="AG56" s="439"/>
      <c r="AH56" s="439"/>
      <c r="AI56" s="439"/>
      <c r="AJ56" s="439"/>
      <c r="AK56" s="439"/>
      <c r="AL56" s="439"/>
      <c r="AM56" s="439"/>
      <c r="AN56" s="439"/>
      <c r="AO56" s="439"/>
      <c r="AP56" s="439"/>
      <c r="AQ56" s="439"/>
      <c r="AR56" s="439"/>
      <c r="AS56" s="439"/>
      <c r="AT56" s="439"/>
      <c r="AU56" s="439"/>
      <c r="AV56" s="439"/>
      <c r="AW56" s="439"/>
      <c r="AX56" s="439"/>
      <c r="AY56" s="439"/>
      <c r="AZ56" s="439"/>
      <c r="BA56" s="439"/>
      <c r="BB56" s="439"/>
      <c r="BC56" s="439"/>
      <c r="BD56" s="439"/>
      <c r="BE56" s="439"/>
      <c r="BF56" s="439"/>
      <c r="BG56" s="439"/>
      <c r="BH56" s="439"/>
      <c r="BI56" s="439"/>
      <c r="BJ56" s="439"/>
      <c r="BK56" s="439"/>
      <c r="BL56" s="439"/>
    </row>
    <row r="57" spans="1:64" ht="13">
      <c r="A57" s="422"/>
      <c r="B57" s="422"/>
      <c r="C57" s="429" t="str">
        <f>[161]Input!$C$47</f>
        <v>Add for MA @ 40%</v>
      </c>
      <c r="D57" s="432">
        <f>[161]Input!$D$47</f>
        <v>0.4</v>
      </c>
      <c r="E57" s="442"/>
      <c r="F57" s="432">
        <f>I56</f>
        <v>2246.4</v>
      </c>
      <c r="G57" s="436"/>
      <c r="H57" s="407"/>
      <c r="I57" s="408">
        <f t="shared" si="6"/>
        <v>898.56000000000006</v>
      </c>
      <c r="J57" s="437"/>
      <c r="K57" s="438"/>
      <c r="L57" s="438"/>
      <c r="M57" s="439"/>
      <c r="N57" s="439"/>
      <c r="O57" s="439"/>
      <c r="P57" s="439"/>
      <c r="Q57" s="439"/>
      <c r="R57" s="439"/>
      <c r="S57" s="439"/>
      <c r="T57" s="439"/>
      <c r="U57" s="439"/>
      <c r="V57" s="439"/>
      <c r="W57" s="439"/>
      <c r="X57" s="439"/>
      <c r="Y57" s="439"/>
      <c r="Z57" s="439"/>
      <c r="AA57" s="439"/>
      <c r="AB57" s="439"/>
      <c r="AC57" s="439"/>
      <c r="AD57" s="439"/>
      <c r="AE57" s="439"/>
      <c r="AF57" s="439"/>
      <c r="AG57" s="439"/>
      <c r="AH57" s="439"/>
      <c r="AI57" s="439"/>
      <c r="AJ57" s="439"/>
      <c r="AK57" s="439"/>
      <c r="AL57" s="439"/>
      <c r="AM57" s="439"/>
      <c r="AN57" s="439"/>
      <c r="AO57" s="439"/>
      <c r="AP57" s="439"/>
      <c r="AQ57" s="439"/>
      <c r="AR57" s="439"/>
      <c r="AS57" s="439"/>
      <c r="AT57" s="439"/>
      <c r="AU57" s="439"/>
      <c r="AV57" s="439"/>
      <c r="AW57" s="439"/>
      <c r="AX57" s="439"/>
      <c r="AY57" s="439"/>
      <c r="AZ57" s="439"/>
      <c r="BA57" s="439"/>
      <c r="BB57" s="439"/>
      <c r="BC57" s="439"/>
      <c r="BD57" s="439"/>
      <c r="BE57" s="439"/>
      <c r="BF57" s="439"/>
      <c r="BG57" s="439"/>
      <c r="BH57" s="439"/>
      <c r="BI57" s="439"/>
      <c r="BJ57" s="439"/>
      <c r="BK57" s="439"/>
      <c r="BL57" s="439"/>
    </row>
    <row r="58" spans="1:64" ht="12.75" customHeight="1">
      <c r="A58" s="422"/>
      <c r="B58" s="422"/>
      <c r="C58" s="1314" t="s">
        <v>736</v>
      </c>
      <c r="D58" s="1314"/>
      <c r="E58" s="1314"/>
      <c r="F58" s="432"/>
      <c r="G58" s="436"/>
      <c r="H58" s="407"/>
      <c r="I58" s="408"/>
      <c r="J58" s="437"/>
      <c r="K58" s="438"/>
      <c r="L58" s="438"/>
      <c r="M58" s="439"/>
      <c r="N58" s="439"/>
      <c r="O58" s="439"/>
      <c r="P58" s="439"/>
      <c r="Q58" s="439"/>
      <c r="R58" s="439"/>
      <c r="S58" s="439"/>
      <c r="T58" s="439"/>
      <c r="U58" s="439"/>
      <c r="V58" s="439"/>
      <c r="W58" s="439"/>
      <c r="X58" s="439"/>
      <c r="Y58" s="439"/>
      <c r="Z58" s="439"/>
      <c r="AA58" s="439"/>
      <c r="AB58" s="439"/>
      <c r="AC58" s="439"/>
      <c r="AD58" s="439"/>
      <c r="AE58" s="439"/>
      <c r="AF58" s="439"/>
      <c r="AG58" s="439"/>
      <c r="AH58" s="439"/>
      <c r="AI58" s="439"/>
      <c r="AJ58" s="439"/>
      <c r="AK58" s="439"/>
      <c r="AL58" s="439"/>
      <c r="AM58" s="439"/>
      <c r="AN58" s="439"/>
      <c r="AO58" s="439"/>
      <c r="AP58" s="439"/>
      <c r="AQ58" s="439"/>
      <c r="AR58" s="439"/>
      <c r="AS58" s="439"/>
      <c r="AT58" s="439"/>
      <c r="AU58" s="439"/>
      <c r="AV58" s="439"/>
      <c r="AW58" s="439"/>
      <c r="AX58" s="439"/>
      <c r="AY58" s="439"/>
      <c r="AZ58" s="439"/>
      <c r="BA58" s="439"/>
      <c r="BB58" s="439"/>
      <c r="BC58" s="439"/>
      <c r="BD58" s="439"/>
      <c r="BE58" s="439"/>
      <c r="BF58" s="439"/>
      <c r="BG58" s="439"/>
      <c r="BH58" s="439"/>
      <c r="BI58" s="439"/>
      <c r="BJ58" s="439"/>
      <c r="BK58" s="439"/>
      <c r="BL58" s="439"/>
    </row>
    <row r="59" spans="1:64" ht="13">
      <c r="A59" s="422"/>
      <c r="B59" s="422"/>
      <c r="C59" s="450" t="s">
        <v>737</v>
      </c>
      <c r="D59" s="432">
        <v>0.5</v>
      </c>
      <c r="E59" s="441" t="s">
        <v>375</v>
      </c>
      <c r="F59" s="432">
        <f>'[161]Civil-SOR'!$G$299</f>
        <v>550</v>
      </c>
      <c r="G59" s="431">
        <v>1</v>
      </c>
      <c r="H59" s="406" t="s">
        <v>572</v>
      </c>
      <c r="I59" s="408">
        <f t="shared" ref="I59:I61" si="7">IF(G59="",D59*F59,(D59*F59/G59))</f>
        <v>275</v>
      </c>
      <c r="J59" s="437"/>
      <c r="K59" s="438"/>
      <c r="L59" s="438"/>
      <c r="M59" s="439"/>
      <c r="N59" s="439"/>
      <c r="O59" s="439"/>
      <c r="P59" s="439"/>
      <c r="Q59" s="439"/>
      <c r="R59" s="439"/>
      <c r="S59" s="439"/>
      <c r="T59" s="439"/>
      <c r="U59" s="439"/>
      <c r="V59" s="439"/>
      <c r="W59" s="439"/>
      <c r="X59" s="439"/>
      <c r="Y59" s="439"/>
      <c r="Z59" s="439"/>
      <c r="AA59" s="439"/>
      <c r="AB59" s="439"/>
      <c r="AC59" s="439"/>
      <c r="AD59" s="439"/>
      <c r="AE59" s="439"/>
      <c r="AF59" s="439"/>
      <c r="AG59" s="439"/>
      <c r="AH59" s="439"/>
      <c r="AI59" s="439"/>
      <c r="AJ59" s="439"/>
      <c r="AK59" s="439"/>
      <c r="AL59" s="439"/>
      <c r="AM59" s="439"/>
      <c r="AN59" s="439"/>
      <c r="AO59" s="439"/>
      <c r="AP59" s="439"/>
      <c r="AQ59" s="439"/>
      <c r="AR59" s="439"/>
      <c r="AS59" s="439"/>
      <c r="AT59" s="439"/>
      <c r="AU59" s="439"/>
      <c r="AV59" s="439"/>
      <c r="AW59" s="439"/>
      <c r="AX59" s="439"/>
      <c r="AY59" s="439"/>
      <c r="AZ59" s="439"/>
      <c r="BA59" s="439"/>
      <c r="BB59" s="439"/>
      <c r="BC59" s="439"/>
      <c r="BD59" s="439"/>
      <c r="BE59" s="439"/>
      <c r="BF59" s="439"/>
      <c r="BG59" s="439"/>
      <c r="BH59" s="439"/>
      <c r="BI59" s="439"/>
      <c r="BJ59" s="439"/>
      <c r="BK59" s="439"/>
      <c r="BL59" s="439"/>
    </row>
    <row r="60" spans="1:64" ht="13">
      <c r="A60" s="422"/>
      <c r="B60" s="422"/>
      <c r="C60" s="450" t="s">
        <v>738</v>
      </c>
      <c r="D60" s="432">
        <v>0.5</v>
      </c>
      <c r="E60" s="441" t="s">
        <v>375</v>
      </c>
      <c r="F60" s="432">
        <f>'[161]Civil-SOR'!$G$307</f>
        <v>520</v>
      </c>
      <c r="G60" s="431">
        <v>1</v>
      </c>
      <c r="H60" s="406" t="s">
        <v>572</v>
      </c>
      <c r="I60" s="408">
        <f t="shared" si="7"/>
        <v>260</v>
      </c>
      <c r="J60" s="437"/>
      <c r="K60" s="438"/>
      <c r="L60" s="438"/>
      <c r="M60" s="439"/>
      <c r="N60" s="439"/>
      <c r="O60" s="439"/>
      <c r="P60" s="439"/>
      <c r="Q60" s="439"/>
      <c r="R60" s="439"/>
      <c r="S60" s="439"/>
      <c r="T60" s="439"/>
      <c r="U60" s="439"/>
      <c r="V60" s="439"/>
      <c r="W60" s="439"/>
      <c r="X60" s="439"/>
      <c r="Y60" s="439"/>
      <c r="Z60" s="439"/>
      <c r="AA60" s="439"/>
      <c r="AB60" s="439"/>
      <c r="AC60" s="439"/>
      <c r="AD60" s="439"/>
      <c r="AE60" s="439"/>
      <c r="AF60" s="439"/>
      <c r="AG60" s="439"/>
      <c r="AH60" s="439"/>
      <c r="AI60" s="439"/>
      <c r="AJ60" s="439"/>
      <c r="AK60" s="439"/>
      <c r="AL60" s="439"/>
      <c r="AM60" s="439"/>
      <c r="AN60" s="439"/>
      <c r="AO60" s="439"/>
      <c r="AP60" s="439"/>
      <c r="AQ60" s="439"/>
      <c r="AR60" s="439"/>
      <c r="AS60" s="439"/>
      <c r="AT60" s="439"/>
      <c r="AU60" s="439"/>
      <c r="AV60" s="439"/>
      <c r="AW60" s="439"/>
      <c r="AX60" s="439"/>
      <c r="AY60" s="439"/>
      <c r="AZ60" s="439"/>
      <c r="BA60" s="439"/>
      <c r="BB60" s="439"/>
      <c r="BC60" s="439"/>
      <c r="BD60" s="439"/>
      <c r="BE60" s="439"/>
      <c r="BF60" s="439"/>
      <c r="BG60" s="439"/>
      <c r="BH60" s="439"/>
      <c r="BI60" s="439"/>
      <c r="BJ60" s="439"/>
      <c r="BK60" s="439"/>
      <c r="BL60" s="439"/>
    </row>
    <row r="61" spans="1:64" ht="13">
      <c r="A61" s="422"/>
      <c r="B61" s="422"/>
      <c r="C61" s="429" t="str">
        <f>[161]Input!$C$47</f>
        <v>Add for MA @ 40%</v>
      </c>
      <c r="D61" s="432">
        <f>[161]Input!$D$47</f>
        <v>0.4</v>
      </c>
      <c r="E61" s="442"/>
      <c r="F61" s="432">
        <f>I59+I60</f>
        <v>535</v>
      </c>
      <c r="G61" s="436"/>
      <c r="H61" s="407"/>
      <c r="I61" s="408">
        <f t="shared" si="7"/>
        <v>214</v>
      </c>
      <c r="J61" s="437"/>
      <c r="K61" s="438"/>
      <c r="L61" s="438"/>
      <c r="M61" s="439"/>
      <c r="N61" s="439"/>
      <c r="O61" s="439"/>
      <c r="P61" s="439"/>
      <c r="Q61" s="439"/>
      <c r="R61" s="439"/>
      <c r="S61" s="439"/>
      <c r="T61" s="439"/>
      <c r="U61" s="439"/>
      <c r="V61" s="439"/>
      <c r="W61" s="439"/>
      <c r="X61" s="439"/>
      <c r="Y61" s="439"/>
      <c r="Z61" s="439"/>
      <c r="AA61" s="439"/>
      <c r="AB61" s="439"/>
      <c r="AC61" s="439"/>
      <c r="AD61" s="439"/>
      <c r="AE61" s="439"/>
      <c r="AF61" s="439"/>
      <c r="AG61" s="439"/>
      <c r="AH61" s="439"/>
      <c r="AI61" s="439"/>
      <c r="AJ61" s="439"/>
      <c r="AK61" s="439"/>
      <c r="AL61" s="439"/>
      <c r="AM61" s="439"/>
      <c r="AN61" s="439"/>
      <c r="AO61" s="439"/>
      <c r="AP61" s="439"/>
      <c r="AQ61" s="439"/>
      <c r="AR61" s="439"/>
      <c r="AS61" s="439"/>
      <c r="AT61" s="439"/>
      <c r="AU61" s="439"/>
      <c r="AV61" s="439"/>
      <c r="AW61" s="439"/>
      <c r="AX61" s="439"/>
      <c r="AY61" s="439"/>
      <c r="AZ61" s="439"/>
      <c r="BA61" s="439"/>
      <c r="BB61" s="439"/>
      <c r="BC61" s="439"/>
      <c r="BD61" s="439"/>
      <c r="BE61" s="439"/>
      <c r="BF61" s="439"/>
      <c r="BG61" s="439"/>
      <c r="BH61" s="439"/>
      <c r="BI61" s="439"/>
      <c r="BJ61" s="439"/>
      <c r="BK61" s="439"/>
      <c r="BL61" s="439"/>
    </row>
    <row r="62" spans="1:64" ht="13">
      <c r="A62" s="422"/>
      <c r="B62" s="422"/>
      <c r="C62" s="440" t="s">
        <v>724</v>
      </c>
      <c r="D62" s="422"/>
      <c r="E62" s="442"/>
      <c r="F62" s="422"/>
      <c r="G62" s="436"/>
      <c r="H62" s="407"/>
      <c r="I62" s="408">
        <f>SUM(I56:I61)</f>
        <v>3893.96</v>
      </c>
      <c r="J62" s="437"/>
      <c r="K62" s="438"/>
      <c r="L62" s="438"/>
      <c r="M62" s="439"/>
      <c r="N62" s="439"/>
      <c r="O62" s="439"/>
      <c r="P62" s="439"/>
      <c r="Q62" s="439"/>
      <c r="R62" s="439"/>
      <c r="S62" s="439"/>
      <c r="T62" s="439"/>
      <c r="U62" s="439"/>
      <c r="V62" s="439"/>
      <c r="W62" s="439"/>
      <c r="X62" s="439"/>
      <c r="Y62" s="439"/>
      <c r="Z62" s="439"/>
      <c r="AA62" s="439"/>
      <c r="AB62" s="439"/>
      <c r="AC62" s="439"/>
      <c r="AD62" s="439"/>
      <c r="AE62" s="439"/>
      <c r="AF62" s="439"/>
      <c r="AG62" s="439"/>
      <c r="AH62" s="439"/>
      <c r="AI62" s="439"/>
      <c r="AJ62" s="439"/>
      <c r="AK62" s="439"/>
      <c r="AL62" s="439"/>
      <c r="AM62" s="439"/>
      <c r="AN62" s="439"/>
      <c r="AO62" s="439"/>
      <c r="AP62" s="439"/>
      <c r="AQ62" s="439"/>
      <c r="AR62" s="439"/>
      <c r="AS62" s="439"/>
      <c r="AT62" s="439"/>
      <c r="AU62" s="439"/>
      <c r="AV62" s="439"/>
      <c r="AW62" s="439"/>
      <c r="AX62" s="439"/>
      <c r="AY62" s="439"/>
      <c r="AZ62" s="439"/>
      <c r="BA62" s="439"/>
      <c r="BB62" s="439"/>
      <c r="BC62" s="439"/>
      <c r="BD62" s="439"/>
      <c r="BE62" s="439"/>
      <c r="BF62" s="439"/>
      <c r="BG62" s="439"/>
      <c r="BH62" s="439"/>
      <c r="BI62" s="439"/>
      <c r="BJ62" s="439"/>
      <c r="BK62" s="439"/>
      <c r="BL62" s="439"/>
    </row>
    <row r="63" spans="1:64" ht="25">
      <c r="A63" s="422"/>
      <c r="B63" s="422"/>
      <c r="C63" s="445" t="str">
        <f>[161]Input!$C$48</f>
        <v>Overheads &amp; Contractors Profit @ 13.615%</v>
      </c>
      <c r="D63" s="444">
        <f>[161]Input!$D$48</f>
        <v>0.13614999999999999</v>
      </c>
      <c r="E63" s="441"/>
      <c r="F63" s="432">
        <f>I62</f>
        <v>3893.96</v>
      </c>
      <c r="G63" s="431"/>
      <c r="H63" s="406"/>
      <c r="I63" s="408">
        <f>IF(G63="",D63*F63,(D63*F63/G63))</f>
        <v>530.16265399999997</v>
      </c>
      <c r="J63" s="446"/>
      <c r="K63" s="447"/>
      <c r="L63" s="447"/>
      <c r="M63" s="448"/>
      <c r="N63" s="448"/>
      <c r="O63" s="448"/>
      <c r="P63" s="448"/>
      <c r="Q63" s="448"/>
      <c r="R63" s="448"/>
      <c r="S63" s="448"/>
      <c r="T63" s="448"/>
      <c r="U63" s="448"/>
      <c r="V63" s="448"/>
      <c r="W63" s="448"/>
      <c r="X63" s="448"/>
      <c r="Y63" s="448"/>
      <c r="Z63" s="448"/>
      <c r="AA63" s="448"/>
      <c r="AB63" s="448"/>
      <c r="AC63" s="448"/>
      <c r="AD63" s="448"/>
      <c r="AE63" s="448"/>
      <c r="AF63" s="448"/>
      <c r="AG63" s="448"/>
      <c r="AH63" s="448"/>
      <c r="AI63" s="448"/>
      <c r="AJ63" s="448"/>
      <c r="AK63" s="448"/>
      <c r="AL63" s="448"/>
      <c r="AM63" s="448"/>
      <c r="AN63" s="448"/>
      <c r="AO63" s="448"/>
      <c r="AP63" s="448"/>
      <c r="AQ63" s="448"/>
      <c r="AR63" s="448"/>
      <c r="AS63" s="448"/>
      <c r="AT63" s="448"/>
      <c r="AU63" s="448"/>
      <c r="AV63" s="448"/>
      <c r="AW63" s="448"/>
      <c r="AX63" s="448"/>
      <c r="AY63" s="448"/>
      <c r="AZ63" s="448"/>
      <c r="BA63" s="448"/>
      <c r="BB63" s="448"/>
      <c r="BC63" s="448"/>
      <c r="BD63" s="448"/>
      <c r="BE63" s="448"/>
      <c r="BF63" s="448"/>
      <c r="BG63" s="448"/>
      <c r="BH63" s="448"/>
      <c r="BI63" s="448"/>
      <c r="BJ63" s="448"/>
      <c r="BK63" s="448"/>
      <c r="BL63" s="448"/>
    </row>
    <row r="64" spans="1:64" ht="13">
      <c r="A64" s="422"/>
      <c r="B64" s="422"/>
      <c r="C64" s="440" t="s">
        <v>724</v>
      </c>
      <c r="D64" s="422"/>
      <c r="E64" s="442"/>
      <c r="F64" s="422"/>
      <c r="G64" s="436"/>
      <c r="H64" s="408" t="s">
        <v>725</v>
      </c>
      <c r="I64" s="414">
        <f>SUM(I62:I63)</f>
        <v>4424.1226539999998</v>
      </c>
      <c r="J64" s="437"/>
      <c r="K64" s="438"/>
      <c r="L64" s="438"/>
      <c r="M64" s="439"/>
      <c r="N64" s="439"/>
      <c r="O64" s="439"/>
      <c r="P64" s="439"/>
      <c r="Q64" s="439"/>
      <c r="R64" s="439"/>
      <c r="S64" s="439"/>
      <c r="T64" s="439"/>
      <c r="U64" s="439"/>
      <c r="V64" s="439"/>
      <c r="W64" s="439"/>
      <c r="X64" s="439"/>
      <c r="Y64" s="439"/>
      <c r="Z64" s="439"/>
      <c r="AA64" s="439"/>
      <c r="AB64" s="439"/>
      <c r="AC64" s="439"/>
      <c r="AD64" s="439"/>
      <c r="AE64" s="439"/>
      <c r="AF64" s="439"/>
      <c r="AG64" s="439"/>
      <c r="AH64" s="439"/>
      <c r="AI64" s="439"/>
      <c r="AJ64" s="439"/>
      <c r="AK64" s="439"/>
      <c r="AL64" s="439"/>
      <c r="AM64" s="439"/>
      <c r="AN64" s="439"/>
      <c r="AO64" s="439"/>
      <c r="AP64" s="439"/>
      <c r="AQ64" s="439"/>
      <c r="AR64" s="439"/>
      <c r="AS64" s="439"/>
      <c r="AT64" s="439"/>
      <c r="AU64" s="439"/>
      <c r="AV64" s="439"/>
      <c r="AW64" s="439"/>
      <c r="AX64" s="439"/>
      <c r="AY64" s="439"/>
      <c r="AZ64" s="439"/>
      <c r="BA64" s="439"/>
      <c r="BB64" s="439"/>
      <c r="BC64" s="439"/>
      <c r="BD64" s="439"/>
      <c r="BE64" s="439"/>
      <c r="BF64" s="439"/>
      <c r="BG64" s="439"/>
      <c r="BH64" s="439"/>
      <c r="BI64" s="439"/>
      <c r="BJ64" s="439"/>
      <c r="BK64" s="439"/>
      <c r="BL64" s="439"/>
    </row>
    <row r="65" spans="1:64" ht="13">
      <c r="A65" s="422"/>
      <c r="B65" s="422"/>
      <c r="C65" s="407"/>
      <c r="D65" s="422"/>
      <c r="E65" s="442"/>
      <c r="F65" s="422"/>
      <c r="G65" s="436"/>
      <c r="H65" s="407" t="s">
        <v>726</v>
      </c>
      <c r="I65" s="414">
        <f>ROUND(I64,0)</f>
        <v>4424</v>
      </c>
      <c r="J65" s="437"/>
      <c r="K65" s="438"/>
      <c r="L65" s="438"/>
      <c r="M65" s="439"/>
      <c r="N65" s="439"/>
      <c r="O65" s="439"/>
      <c r="P65" s="439"/>
      <c r="Q65" s="439"/>
      <c r="R65" s="439"/>
      <c r="S65" s="439"/>
      <c r="T65" s="439"/>
      <c r="U65" s="439"/>
      <c r="V65" s="439"/>
      <c r="W65" s="439"/>
      <c r="X65" s="439"/>
      <c r="Y65" s="439"/>
      <c r="Z65" s="439"/>
      <c r="AA65" s="439"/>
      <c r="AB65" s="439"/>
      <c r="AC65" s="439"/>
      <c r="AD65" s="439"/>
      <c r="AE65" s="439"/>
      <c r="AF65" s="439"/>
      <c r="AG65" s="439"/>
      <c r="AH65" s="439"/>
      <c r="AI65" s="439"/>
      <c r="AJ65" s="439"/>
      <c r="AK65" s="439"/>
      <c r="AL65" s="439"/>
      <c r="AM65" s="439"/>
      <c r="AN65" s="439"/>
      <c r="AO65" s="439"/>
      <c r="AP65" s="439"/>
      <c r="AQ65" s="439"/>
      <c r="AR65" s="439"/>
      <c r="AS65" s="439"/>
      <c r="AT65" s="439"/>
      <c r="AU65" s="439"/>
      <c r="AV65" s="439"/>
      <c r="AW65" s="439"/>
      <c r="AX65" s="439"/>
      <c r="AY65" s="439"/>
      <c r="AZ65" s="439"/>
      <c r="BA65" s="439"/>
      <c r="BB65" s="439"/>
      <c r="BC65" s="439"/>
      <c r="BD65" s="439"/>
      <c r="BE65" s="439"/>
      <c r="BF65" s="439"/>
      <c r="BG65" s="439"/>
      <c r="BH65" s="439"/>
      <c r="BI65" s="439"/>
      <c r="BJ65" s="439"/>
      <c r="BK65" s="439"/>
      <c r="BL65" s="439"/>
    </row>
    <row r="66" spans="1:64" ht="13">
      <c r="A66" s="422"/>
      <c r="B66" s="422"/>
      <c r="C66" s="407"/>
      <c r="D66" s="422"/>
      <c r="E66" s="442"/>
      <c r="F66" s="422"/>
      <c r="G66" s="436"/>
      <c r="H66" s="406"/>
      <c r="I66" s="422"/>
      <c r="J66" s="437"/>
      <c r="K66" s="438"/>
      <c r="L66" s="438"/>
      <c r="M66" s="439"/>
      <c r="N66" s="439"/>
      <c r="O66" s="439"/>
      <c r="P66" s="439"/>
      <c r="Q66" s="439"/>
      <c r="R66" s="439"/>
      <c r="S66" s="439"/>
      <c r="T66" s="439"/>
      <c r="U66" s="439"/>
      <c r="V66" s="439"/>
      <c r="W66" s="439"/>
      <c r="X66" s="439"/>
      <c r="Y66" s="439"/>
      <c r="Z66" s="439"/>
      <c r="AA66" s="439"/>
      <c r="AB66" s="439"/>
      <c r="AC66" s="439"/>
      <c r="AD66" s="439"/>
      <c r="AE66" s="439"/>
      <c r="AF66" s="439"/>
      <c r="AG66" s="439"/>
      <c r="AH66" s="439"/>
      <c r="AI66" s="439"/>
      <c r="AJ66" s="439"/>
      <c r="AK66" s="439"/>
      <c r="AL66" s="439"/>
      <c r="AM66" s="439"/>
      <c r="AN66" s="439"/>
      <c r="AO66" s="439"/>
      <c r="AP66" s="439"/>
      <c r="AQ66" s="439"/>
      <c r="AR66" s="439"/>
      <c r="AS66" s="439"/>
      <c r="AT66" s="439"/>
      <c r="AU66" s="439"/>
      <c r="AV66" s="439"/>
      <c r="AW66" s="439"/>
      <c r="AX66" s="439"/>
      <c r="AY66" s="439"/>
      <c r="AZ66" s="439"/>
      <c r="BA66" s="439"/>
      <c r="BB66" s="439"/>
      <c r="BC66" s="439"/>
      <c r="BD66" s="439"/>
      <c r="BE66" s="439"/>
      <c r="BF66" s="439"/>
      <c r="BG66" s="439"/>
      <c r="BH66" s="439"/>
      <c r="BI66" s="439"/>
      <c r="BJ66" s="439"/>
      <c r="BK66" s="439"/>
      <c r="BL66" s="439"/>
    </row>
    <row r="67" spans="1:64" ht="13">
      <c r="A67" s="422"/>
      <c r="B67" s="422"/>
      <c r="C67" s="407"/>
      <c r="D67" s="422"/>
      <c r="E67" s="442"/>
      <c r="F67" s="422"/>
      <c r="G67" s="436"/>
      <c r="H67" s="406"/>
      <c r="I67" s="422"/>
      <c r="J67" s="437"/>
      <c r="K67" s="438"/>
      <c r="L67" s="438"/>
      <c r="M67" s="439"/>
      <c r="N67" s="439"/>
      <c r="O67" s="439"/>
      <c r="P67" s="439"/>
      <c r="Q67" s="439"/>
      <c r="R67" s="439"/>
      <c r="S67" s="439"/>
      <c r="T67" s="439"/>
      <c r="U67" s="439"/>
      <c r="V67" s="439"/>
      <c r="W67" s="439"/>
      <c r="X67" s="439"/>
      <c r="Y67" s="439"/>
      <c r="Z67" s="439"/>
      <c r="AA67" s="439"/>
      <c r="AB67" s="439"/>
      <c r="AC67" s="439"/>
      <c r="AD67" s="439"/>
      <c r="AE67" s="439"/>
      <c r="AF67" s="439"/>
      <c r="AG67" s="439"/>
      <c r="AH67" s="439"/>
      <c r="AI67" s="439"/>
      <c r="AJ67" s="439"/>
      <c r="AK67" s="439"/>
      <c r="AL67" s="439"/>
      <c r="AM67" s="439"/>
      <c r="AN67" s="439"/>
      <c r="AO67" s="439"/>
      <c r="AP67" s="439"/>
      <c r="AQ67" s="439"/>
      <c r="AR67" s="439"/>
      <c r="AS67" s="439"/>
      <c r="AT67" s="439"/>
      <c r="AU67" s="439"/>
      <c r="AV67" s="439"/>
      <c r="AW67" s="439"/>
      <c r="AX67" s="439"/>
      <c r="AY67" s="439"/>
      <c r="AZ67" s="439"/>
      <c r="BA67" s="439"/>
      <c r="BB67" s="439"/>
      <c r="BC67" s="439"/>
      <c r="BD67" s="439"/>
      <c r="BE67" s="439"/>
      <c r="BF67" s="439"/>
      <c r="BG67" s="439"/>
      <c r="BH67" s="439"/>
      <c r="BI67" s="439"/>
      <c r="BJ67" s="439"/>
      <c r="BK67" s="439"/>
      <c r="BL67" s="439"/>
    </row>
    <row r="68" spans="1:64" ht="25.5" customHeight="1">
      <c r="A68" s="422"/>
      <c r="B68" s="422" t="s">
        <v>730</v>
      </c>
      <c r="C68" s="1311" t="s">
        <v>739</v>
      </c>
      <c r="D68" s="1311"/>
      <c r="E68" s="1311"/>
      <c r="F68" s="422"/>
      <c r="G68" s="436"/>
      <c r="H68" s="406"/>
      <c r="I68" s="422"/>
      <c r="J68" s="437"/>
      <c r="K68" s="438"/>
      <c r="L68" s="438"/>
      <c r="M68" s="439"/>
      <c r="N68" s="439"/>
      <c r="O68" s="439"/>
      <c r="P68" s="439"/>
      <c r="Q68" s="439"/>
      <c r="R68" s="439"/>
      <c r="S68" s="439"/>
      <c r="T68" s="439"/>
      <c r="U68" s="439"/>
      <c r="V68" s="439"/>
      <c r="W68" s="439"/>
      <c r="X68" s="439"/>
      <c r="Y68" s="439"/>
      <c r="Z68" s="439"/>
      <c r="AA68" s="439"/>
      <c r="AB68" s="439"/>
      <c r="AC68" s="439"/>
      <c r="AD68" s="439"/>
      <c r="AE68" s="439"/>
      <c r="AF68" s="439"/>
      <c r="AG68" s="439"/>
      <c r="AH68" s="439"/>
      <c r="AI68" s="439"/>
      <c r="AJ68" s="439"/>
      <c r="AK68" s="439"/>
      <c r="AL68" s="439"/>
      <c r="AM68" s="439"/>
      <c r="AN68" s="439"/>
      <c r="AO68" s="439"/>
      <c r="AP68" s="439"/>
      <c r="AQ68" s="439"/>
      <c r="AR68" s="439"/>
      <c r="AS68" s="439"/>
      <c r="AT68" s="439"/>
      <c r="AU68" s="439"/>
      <c r="AV68" s="439"/>
      <c r="AW68" s="439"/>
      <c r="AX68" s="439"/>
      <c r="AY68" s="439"/>
      <c r="AZ68" s="439"/>
      <c r="BA68" s="439"/>
      <c r="BB68" s="439"/>
      <c r="BC68" s="439"/>
      <c r="BD68" s="439"/>
      <c r="BE68" s="439"/>
      <c r="BF68" s="439"/>
      <c r="BG68" s="439"/>
      <c r="BH68" s="439"/>
      <c r="BI68" s="439"/>
      <c r="BJ68" s="439"/>
      <c r="BK68" s="439"/>
      <c r="BL68" s="439"/>
    </row>
    <row r="69" spans="1:64" ht="13">
      <c r="A69" s="422"/>
      <c r="B69" s="422"/>
      <c r="C69" s="429" t="s">
        <v>740</v>
      </c>
      <c r="D69" s="432">
        <v>10</v>
      </c>
      <c r="E69" s="441" t="s">
        <v>17</v>
      </c>
      <c r="F69" s="432">
        <f>'[161]Civil-SOR'!$G$216</f>
        <v>11</v>
      </c>
      <c r="G69" s="431">
        <v>1</v>
      </c>
      <c r="H69" s="406" t="s">
        <v>17</v>
      </c>
      <c r="I69" s="408">
        <f t="shared" ref="I69:I70" si="8">IF(G69="",D69*F69,(D69*F69/G69))</f>
        <v>110</v>
      </c>
      <c r="J69" s="437"/>
      <c r="K69" s="438"/>
      <c r="L69" s="438"/>
      <c r="M69" s="439"/>
      <c r="N69" s="439"/>
      <c r="O69" s="439"/>
      <c r="P69" s="439"/>
      <c r="Q69" s="439"/>
      <c r="R69" s="439"/>
      <c r="S69" s="439"/>
      <c r="T69" s="439"/>
      <c r="U69" s="439"/>
      <c r="V69" s="439"/>
      <c r="W69" s="439"/>
      <c r="X69" s="439"/>
      <c r="Y69" s="439"/>
      <c r="Z69" s="439"/>
      <c r="AA69" s="439"/>
      <c r="AB69" s="439"/>
      <c r="AC69" s="439"/>
      <c r="AD69" s="439"/>
      <c r="AE69" s="439"/>
      <c r="AF69" s="439"/>
      <c r="AG69" s="439"/>
      <c r="AH69" s="439"/>
      <c r="AI69" s="439"/>
      <c r="AJ69" s="439"/>
      <c r="AK69" s="439"/>
      <c r="AL69" s="439"/>
      <c r="AM69" s="439"/>
      <c r="AN69" s="439"/>
      <c r="AO69" s="439"/>
      <c r="AP69" s="439"/>
      <c r="AQ69" s="439"/>
      <c r="AR69" s="439"/>
      <c r="AS69" s="439"/>
      <c r="AT69" s="439"/>
      <c r="AU69" s="439"/>
      <c r="AV69" s="439"/>
      <c r="AW69" s="439"/>
      <c r="AX69" s="439"/>
      <c r="AY69" s="439"/>
      <c r="AZ69" s="439"/>
      <c r="BA69" s="439"/>
      <c r="BB69" s="439"/>
      <c r="BC69" s="439"/>
      <c r="BD69" s="439"/>
      <c r="BE69" s="439"/>
      <c r="BF69" s="439"/>
      <c r="BG69" s="439"/>
      <c r="BH69" s="439"/>
      <c r="BI69" s="439"/>
      <c r="BJ69" s="439"/>
      <c r="BK69" s="439"/>
      <c r="BL69" s="439"/>
    </row>
    <row r="70" spans="1:64" ht="13">
      <c r="A70" s="422"/>
      <c r="B70" s="422"/>
      <c r="C70" s="429" t="str">
        <f>[161]Input!$C$47</f>
        <v>Add for MA @ 40%</v>
      </c>
      <c r="D70" s="432">
        <f>[161]Input!$D$47</f>
        <v>0.4</v>
      </c>
      <c r="E70" s="441"/>
      <c r="F70" s="432">
        <f>I69</f>
        <v>110</v>
      </c>
      <c r="G70" s="431"/>
      <c r="H70" s="406"/>
      <c r="I70" s="408">
        <f t="shared" si="8"/>
        <v>44</v>
      </c>
      <c r="J70" s="437"/>
      <c r="K70" s="438"/>
      <c r="L70" s="438"/>
      <c r="M70" s="439"/>
      <c r="N70" s="439"/>
      <c r="O70" s="439"/>
      <c r="P70" s="439"/>
      <c r="Q70" s="439"/>
      <c r="R70" s="439"/>
      <c r="S70" s="439"/>
      <c r="T70" s="439"/>
      <c r="U70" s="439"/>
      <c r="V70" s="439"/>
      <c r="W70" s="439"/>
      <c r="X70" s="439"/>
      <c r="Y70" s="439"/>
      <c r="Z70" s="439"/>
      <c r="AA70" s="439"/>
      <c r="AB70" s="439"/>
      <c r="AC70" s="439"/>
      <c r="AD70" s="439"/>
      <c r="AE70" s="439"/>
      <c r="AF70" s="439"/>
      <c r="AG70" s="439"/>
      <c r="AH70" s="439"/>
      <c r="AI70" s="439"/>
      <c r="AJ70" s="439"/>
      <c r="AK70" s="439"/>
      <c r="AL70" s="439"/>
      <c r="AM70" s="439"/>
      <c r="AN70" s="439"/>
      <c r="AO70" s="439"/>
      <c r="AP70" s="439"/>
      <c r="AQ70" s="439"/>
      <c r="AR70" s="439"/>
      <c r="AS70" s="439"/>
      <c r="AT70" s="439"/>
      <c r="AU70" s="439"/>
      <c r="AV70" s="439"/>
      <c r="AW70" s="439"/>
      <c r="AX70" s="439"/>
      <c r="AY70" s="439"/>
      <c r="AZ70" s="439"/>
      <c r="BA70" s="439"/>
      <c r="BB70" s="439"/>
      <c r="BC70" s="439"/>
      <c r="BD70" s="439"/>
      <c r="BE70" s="439"/>
      <c r="BF70" s="439"/>
      <c r="BG70" s="439"/>
      <c r="BH70" s="439"/>
      <c r="BI70" s="439"/>
      <c r="BJ70" s="439"/>
      <c r="BK70" s="439"/>
      <c r="BL70" s="439"/>
    </row>
    <row r="71" spans="1:64" ht="13">
      <c r="A71" s="422"/>
      <c r="B71" s="422"/>
      <c r="C71" s="440" t="s">
        <v>741</v>
      </c>
      <c r="D71" s="432"/>
      <c r="E71" s="441"/>
      <c r="F71" s="432"/>
      <c r="G71" s="431"/>
      <c r="H71" s="406"/>
      <c r="I71" s="432">
        <f>SUM(I69:I70)</f>
        <v>154</v>
      </c>
      <c r="J71" s="437"/>
      <c r="K71" s="438"/>
      <c r="L71" s="438"/>
      <c r="M71" s="439"/>
      <c r="N71" s="439"/>
      <c r="O71" s="439"/>
      <c r="P71" s="439"/>
      <c r="Q71" s="439"/>
      <c r="R71" s="439"/>
      <c r="S71" s="439"/>
      <c r="T71" s="439"/>
      <c r="U71" s="439"/>
      <c r="V71" s="439"/>
      <c r="W71" s="439"/>
      <c r="X71" s="439"/>
      <c r="Y71" s="439"/>
      <c r="Z71" s="439"/>
      <c r="AA71" s="439"/>
      <c r="AB71" s="439"/>
      <c r="AC71" s="439"/>
      <c r="AD71" s="439"/>
      <c r="AE71" s="439"/>
      <c r="AF71" s="439"/>
      <c r="AG71" s="439"/>
      <c r="AH71" s="439"/>
      <c r="AI71" s="439"/>
      <c r="AJ71" s="439"/>
      <c r="AK71" s="439"/>
      <c r="AL71" s="439"/>
      <c r="AM71" s="439"/>
      <c r="AN71" s="439"/>
      <c r="AO71" s="439"/>
      <c r="AP71" s="439"/>
      <c r="AQ71" s="439"/>
      <c r="AR71" s="439"/>
      <c r="AS71" s="439"/>
      <c r="AT71" s="439"/>
      <c r="AU71" s="439"/>
      <c r="AV71" s="439"/>
      <c r="AW71" s="439"/>
      <c r="AX71" s="439"/>
      <c r="AY71" s="439"/>
      <c r="AZ71" s="439"/>
      <c r="BA71" s="439"/>
      <c r="BB71" s="439"/>
      <c r="BC71" s="439"/>
      <c r="BD71" s="439"/>
      <c r="BE71" s="439"/>
      <c r="BF71" s="439"/>
      <c r="BG71" s="439"/>
      <c r="BH71" s="439"/>
      <c r="BI71" s="439"/>
      <c r="BJ71" s="439"/>
      <c r="BK71" s="439"/>
      <c r="BL71" s="439"/>
    </row>
    <row r="72" spans="1:64" ht="13">
      <c r="A72" s="422"/>
      <c r="B72" s="422"/>
      <c r="C72" s="440" t="s">
        <v>742</v>
      </c>
      <c r="D72" s="432"/>
      <c r="E72" s="441"/>
      <c r="F72" s="432"/>
      <c r="G72" s="431"/>
      <c r="H72" s="406"/>
      <c r="I72" s="432">
        <f>I71/10</f>
        <v>15.4</v>
      </c>
      <c r="J72" s="437"/>
      <c r="K72" s="438"/>
      <c r="L72" s="438"/>
      <c r="M72" s="439"/>
      <c r="N72" s="439"/>
      <c r="O72" s="439"/>
      <c r="P72" s="439"/>
      <c r="Q72" s="439"/>
      <c r="R72" s="439"/>
      <c r="S72" s="439"/>
      <c r="T72" s="439"/>
      <c r="U72" s="439"/>
      <c r="V72" s="439"/>
      <c r="W72" s="439"/>
      <c r="X72" s="439"/>
      <c r="Y72" s="439"/>
      <c r="Z72" s="439"/>
      <c r="AA72" s="439"/>
      <c r="AB72" s="439"/>
      <c r="AC72" s="439"/>
      <c r="AD72" s="439"/>
      <c r="AE72" s="439"/>
      <c r="AF72" s="439"/>
      <c r="AG72" s="439"/>
      <c r="AH72" s="439"/>
      <c r="AI72" s="439"/>
      <c r="AJ72" s="439"/>
      <c r="AK72" s="439"/>
      <c r="AL72" s="439"/>
      <c r="AM72" s="439"/>
      <c r="AN72" s="439"/>
      <c r="AO72" s="439"/>
      <c r="AP72" s="439"/>
      <c r="AQ72" s="439"/>
      <c r="AR72" s="439"/>
      <c r="AS72" s="439"/>
      <c r="AT72" s="439"/>
      <c r="AU72" s="439"/>
      <c r="AV72" s="439"/>
      <c r="AW72" s="439"/>
      <c r="AX72" s="439"/>
      <c r="AY72" s="439"/>
      <c r="AZ72" s="439"/>
      <c r="BA72" s="439"/>
      <c r="BB72" s="439"/>
      <c r="BC72" s="439"/>
      <c r="BD72" s="439"/>
      <c r="BE72" s="439"/>
      <c r="BF72" s="439"/>
      <c r="BG72" s="439"/>
      <c r="BH72" s="439"/>
      <c r="BI72" s="439"/>
      <c r="BJ72" s="439"/>
      <c r="BK72" s="439"/>
      <c r="BL72" s="439"/>
    </row>
    <row r="73" spans="1:64" ht="25">
      <c r="A73" s="422"/>
      <c r="B73" s="422"/>
      <c r="C73" s="443" t="str">
        <f>[161]Input!$C$48</f>
        <v>Overheads &amp; Contractors Profit @ 13.615%</v>
      </c>
      <c r="D73" s="444">
        <f>[161]Input!$D$48</f>
        <v>0.13614999999999999</v>
      </c>
      <c r="E73" s="441"/>
      <c r="F73" s="432">
        <f>I72</f>
        <v>15.4</v>
      </c>
      <c r="G73" s="431"/>
      <c r="H73" s="406"/>
      <c r="I73" s="408">
        <f>IF(G73="",D73*F73,(D73*F73/G73))</f>
        <v>2.0967099999999999</v>
      </c>
      <c r="J73" s="437"/>
      <c r="K73" s="438"/>
      <c r="L73" s="438"/>
      <c r="M73" s="439"/>
      <c r="N73" s="439"/>
      <c r="O73" s="439"/>
      <c r="P73" s="439"/>
      <c r="Q73" s="439"/>
      <c r="R73" s="439"/>
      <c r="S73" s="439"/>
      <c r="T73" s="439"/>
      <c r="U73" s="439"/>
      <c r="V73" s="439"/>
      <c r="W73" s="439"/>
      <c r="X73" s="439"/>
      <c r="Y73" s="439"/>
      <c r="Z73" s="439"/>
      <c r="AA73" s="439"/>
      <c r="AB73" s="439"/>
      <c r="AC73" s="439"/>
      <c r="AD73" s="439"/>
      <c r="AE73" s="439"/>
      <c r="AF73" s="439"/>
      <c r="AG73" s="439"/>
      <c r="AH73" s="439"/>
      <c r="AI73" s="439"/>
      <c r="AJ73" s="439"/>
      <c r="AK73" s="439"/>
      <c r="AL73" s="439"/>
      <c r="AM73" s="439"/>
      <c r="AN73" s="439"/>
      <c r="AO73" s="439"/>
      <c r="AP73" s="439"/>
      <c r="AQ73" s="439"/>
      <c r="AR73" s="439"/>
      <c r="AS73" s="439"/>
      <c r="AT73" s="439"/>
      <c r="AU73" s="439"/>
      <c r="AV73" s="439"/>
      <c r="AW73" s="439"/>
      <c r="AX73" s="439"/>
      <c r="AY73" s="439"/>
      <c r="AZ73" s="439"/>
      <c r="BA73" s="439"/>
      <c r="BB73" s="439"/>
      <c r="BC73" s="439"/>
      <c r="BD73" s="439"/>
      <c r="BE73" s="439"/>
      <c r="BF73" s="439"/>
      <c r="BG73" s="439"/>
      <c r="BH73" s="439"/>
      <c r="BI73" s="439"/>
      <c r="BJ73" s="439"/>
      <c r="BK73" s="439"/>
      <c r="BL73" s="439"/>
    </row>
    <row r="74" spans="1:64" ht="13">
      <c r="A74" s="422"/>
      <c r="B74" s="422"/>
      <c r="C74" s="440" t="s">
        <v>742</v>
      </c>
      <c r="D74" s="432"/>
      <c r="E74" s="441"/>
      <c r="F74" s="432"/>
      <c r="G74" s="431"/>
      <c r="H74" s="408" t="s">
        <v>725</v>
      </c>
      <c r="I74" s="408">
        <f>SUM(I72:I73)</f>
        <v>17.49671</v>
      </c>
      <c r="J74" s="437"/>
      <c r="K74" s="438"/>
      <c r="L74" s="438"/>
      <c r="M74" s="439"/>
      <c r="N74" s="439"/>
      <c r="O74" s="439"/>
      <c r="P74" s="439"/>
      <c r="Q74" s="439"/>
      <c r="R74" s="439"/>
      <c r="S74" s="439"/>
      <c r="T74" s="439"/>
      <c r="U74" s="439"/>
      <c r="V74" s="439"/>
      <c r="W74" s="439"/>
      <c r="X74" s="439"/>
      <c r="Y74" s="439"/>
      <c r="Z74" s="439"/>
      <c r="AA74" s="439"/>
      <c r="AB74" s="439"/>
      <c r="AC74" s="439"/>
      <c r="AD74" s="439"/>
      <c r="AE74" s="439"/>
      <c r="AF74" s="439"/>
      <c r="AG74" s="439"/>
      <c r="AH74" s="439"/>
      <c r="AI74" s="439"/>
      <c r="AJ74" s="439"/>
      <c r="AK74" s="439"/>
      <c r="AL74" s="439"/>
      <c r="AM74" s="439"/>
      <c r="AN74" s="439"/>
      <c r="AO74" s="439"/>
      <c r="AP74" s="439"/>
      <c r="AQ74" s="439"/>
      <c r="AR74" s="439"/>
      <c r="AS74" s="439"/>
      <c r="AT74" s="439"/>
      <c r="AU74" s="439"/>
      <c r="AV74" s="439"/>
      <c r="AW74" s="439"/>
      <c r="AX74" s="439"/>
      <c r="AY74" s="439"/>
      <c r="AZ74" s="439"/>
      <c r="BA74" s="439"/>
      <c r="BB74" s="439"/>
      <c r="BC74" s="439"/>
      <c r="BD74" s="439"/>
      <c r="BE74" s="439"/>
      <c r="BF74" s="439"/>
      <c r="BG74" s="439"/>
      <c r="BH74" s="439"/>
      <c r="BI74" s="439"/>
      <c r="BJ74" s="439"/>
      <c r="BK74" s="439"/>
      <c r="BL74" s="439"/>
    </row>
    <row r="75" spans="1:64" ht="13">
      <c r="A75" s="422"/>
      <c r="B75" s="422"/>
      <c r="C75" s="406"/>
      <c r="D75" s="432"/>
      <c r="E75" s="441"/>
      <c r="F75" s="432"/>
      <c r="G75" s="431"/>
      <c r="H75" s="407" t="s">
        <v>726</v>
      </c>
      <c r="I75" s="414">
        <f>ROUND(I74,0)</f>
        <v>17</v>
      </c>
      <c r="J75" s="437"/>
      <c r="K75" s="438"/>
      <c r="L75" s="438"/>
      <c r="M75" s="439"/>
      <c r="N75" s="439"/>
      <c r="O75" s="439"/>
      <c r="P75" s="439"/>
      <c r="Q75" s="439"/>
      <c r="R75" s="439"/>
      <c r="S75" s="439"/>
      <c r="T75" s="439"/>
      <c r="U75" s="439"/>
      <c r="V75" s="439"/>
      <c r="W75" s="439"/>
      <c r="X75" s="439"/>
      <c r="Y75" s="439"/>
      <c r="Z75" s="439"/>
      <c r="AA75" s="439"/>
      <c r="AB75" s="439"/>
      <c r="AC75" s="439"/>
      <c r="AD75" s="439"/>
      <c r="AE75" s="439"/>
      <c r="AF75" s="439"/>
      <c r="AG75" s="439"/>
      <c r="AH75" s="439"/>
      <c r="AI75" s="439"/>
      <c r="AJ75" s="439"/>
      <c r="AK75" s="439"/>
      <c r="AL75" s="439"/>
      <c r="AM75" s="439"/>
      <c r="AN75" s="439"/>
      <c r="AO75" s="439"/>
      <c r="AP75" s="439"/>
      <c r="AQ75" s="439"/>
      <c r="AR75" s="439"/>
      <c r="AS75" s="439"/>
      <c r="AT75" s="439"/>
      <c r="AU75" s="439"/>
      <c r="AV75" s="439"/>
      <c r="AW75" s="439"/>
      <c r="AX75" s="439"/>
      <c r="AY75" s="439"/>
      <c r="AZ75" s="439"/>
      <c r="BA75" s="439"/>
      <c r="BB75" s="439"/>
      <c r="BC75" s="439"/>
      <c r="BD75" s="439"/>
      <c r="BE75" s="439"/>
      <c r="BF75" s="439"/>
      <c r="BG75" s="439"/>
      <c r="BH75" s="439"/>
      <c r="BI75" s="439"/>
      <c r="BJ75" s="439"/>
      <c r="BK75" s="439"/>
      <c r="BL75" s="439"/>
    </row>
    <row r="76" spans="1:64" ht="13">
      <c r="A76" s="422"/>
      <c r="B76" s="422"/>
      <c r="C76" s="407"/>
      <c r="D76" s="422"/>
      <c r="E76" s="442"/>
      <c r="F76" s="422"/>
      <c r="G76" s="436"/>
      <c r="H76" s="406"/>
      <c r="I76" s="422"/>
      <c r="J76" s="437"/>
      <c r="K76" s="438"/>
      <c r="L76" s="438"/>
      <c r="M76" s="439"/>
      <c r="N76" s="439"/>
      <c r="O76" s="439"/>
      <c r="P76" s="439"/>
      <c r="Q76" s="439"/>
      <c r="R76" s="439"/>
      <c r="S76" s="439"/>
      <c r="T76" s="439"/>
      <c r="U76" s="439"/>
      <c r="V76" s="439"/>
      <c r="W76" s="439"/>
      <c r="X76" s="439"/>
      <c r="Y76" s="439"/>
      <c r="Z76" s="439"/>
      <c r="AA76" s="439"/>
      <c r="AB76" s="439"/>
      <c r="AC76" s="439"/>
      <c r="AD76" s="439"/>
      <c r="AE76" s="439"/>
      <c r="AF76" s="439"/>
      <c r="AG76" s="439"/>
      <c r="AH76" s="439"/>
      <c r="AI76" s="439"/>
      <c r="AJ76" s="439"/>
      <c r="AK76" s="439"/>
      <c r="AL76" s="439"/>
      <c r="AM76" s="439"/>
      <c r="AN76" s="439"/>
      <c r="AO76" s="439"/>
      <c r="AP76" s="439"/>
      <c r="AQ76" s="439"/>
      <c r="AR76" s="439"/>
      <c r="AS76" s="439"/>
      <c r="AT76" s="439"/>
      <c r="AU76" s="439"/>
      <c r="AV76" s="439"/>
      <c r="AW76" s="439"/>
      <c r="AX76" s="439"/>
      <c r="AY76" s="439"/>
      <c r="AZ76" s="439"/>
      <c r="BA76" s="439"/>
      <c r="BB76" s="439"/>
      <c r="BC76" s="439"/>
      <c r="BD76" s="439"/>
      <c r="BE76" s="439"/>
      <c r="BF76" s="439"/>
      <c r="BG76" s="439"/>
      <c r="BH76" s="439"/>
      <c r="BI76" s="439"/>
      <c r="BJ76" s="439"/>
      <c r="BK76" s="439"/>
      <c r="BL76" s="439"/>
    </row>
    <row r="77" spans="1:64" ht="13">
      <c r="A77" s="422"/>
      <c r="B77" s="422" t="s">
        <v>743</v>
      </c>
      <c r="C77" s="433" t="s">
        <v>744</v>
      </c>
      <c r="D77" s="422"/>
      <c r="E77" s="442"/>
      <c r="F77" s="422"/>
      <c r="G77" s="436"/>
      <c r="H77" s="407"/>
      <c r="I77" s="422"/>
      <c r="J77" s="437"/>
      <c r="K77" s="438"/>
      <c r="L77" s="438"/>
      <c r="M77" s="439"/>
      <c r="N77" s="439"/>
      <c r="O77" s="439"/>
      <c r="P77" s="439"/>
      <c r="Q77" s="439"/>
      <c r="R77" s="439"/>
      <c r="S77" s="439"/>
      <c r="T77" s="439"/>
      <c r="U77" s="439"/>
      <c r="V77" s="439"/>
      <c r="W77" s="439"/>
      <c r="X77" s="439"/>
      <c r="Y77" s="439"/>
      <c r="Z77" s="439"/>
      <c r="AA77" s="439"/>
      <c r="AB77" s="439"/>
      <c r="AC77" s="439"/>
      <c r="AD77" s="439"/>
      <c r="AE77" s="439"/>
      <c r="AF77" s="439"/>
      <c r="AG77" s="439"/>
      <c r="AH77" s="439"/>
      <c r="AI77" s="439"/>
      <c r="AJ77" s="439"/>
      <c r="AK77" s="439"/>
      <c r="AL77" s="439"/>
      <c r="AM77" s="439"/>
      <c r="AN77" s="439"/>
      <c r="AO77" s="439"/>
      <c r="AP77" s="439"/>
      <c r="AQ77" s="439"/>
      <c r="AR77" s="439"/>
      <c r="AS77" s="439"/>
      <c r="AT77" s="439"/>
      <c r="AU77" s="439"/>
      <c r="AV77" s="439"/>
      <c r="AW77" s="439"/>
      <c r="AX77" s="439"/>
      <c r="AY77" s="439"/>
      <c r="AZ77" s="439"/>
      <c r="BA77" s="439"/>
      <c r="BB77" s="439"/>
      <c r="BC77" s="439"/>
      <c r="BD77" s="439"/>
      <c r="BE77" s="439"/>
      <c r="BF77" s="439"/>
      <c r="BG77" s="439"/>
      <c r="BH77" s="439"/>
      <c r="BI77" s="439"/>
      <c r="BJ77" s="439"/>
      <c r="BK77" s="439"/>
      <c r="BL77" s="439"/>
    </row>
    <row r="78" spans="1:64" ht="13">
      <c r="A78" s="422"/>
      <c r="B78" s="422"/>
      <c r="C78" s="429" t="s">
        <v>745</v>
      </c>
      <c r="D78" s="432">
        <v>1</v>
      </c>
      <c r="E78" s="441" t="s">
        <v>666</v>
      </c>
      <c r="F78" s="432">
        <f>'[161]Civil-SOR'!$G$210</f>
        <v>571</v>
      </c>
      <c r="G78" s="431">
        <v>1</v>
      </c>
      <c r="H78" s="406" t="s">
        <v>57</v>
      </c>
      <c r="I78" s="408">
        <f t="shared" ref="I78:I79" si="9">IF(G78="",D78*F78,(D78*F78/G78))</f>
        <v>571</v>
      </c>
      <c r="J78" s="437"/>
      <c r="K78" s="438"/>
      <c r="L78" s="438"/>
      <c r="M78" s="439"/>
      <c r="N78" s="439"/>
      <c r="O78" s="439"/>
      <c r="P78" s="439"/>
      <c r="Q78" s="439"/>
      <c r="R78" s="439"/>
      <c r="S78" s="439"/>
      <c r="T78" s="439"/>
      <c r="U78" s="439"/>
      <c r="V78" s="439"/>
      <c r="W78" s="439"/>
      <c r="X78" s="439"/>
      <c r="Y78" s="439"/>
      <c r="Z78" s="439"/>
      <c r="AA78" s="439"/>
      <c r="AB78" s="439"/>
      <c r="AC78" s="439"/>
      <c r="AD78" s="439"/>
      <c r="AE78" s="439"/>
      <c r="AF78" s="439"/>
      <c r="AG78" s="439"/>
      <c r="AH78" s="439"/>
      <c r="AI78" s="439"/>
      <c r="AJ78" s="439"/>
      <c r="AK78" s="439"/>
      <c r="AL78" s="439"/>
      <c r="AM78" s="439"/>
      <c r="AN78" s="439"/>
      <c r="AO78" s="439"/>
      <c r="AP78" s="439"/>
      <c r="AQ78" s="439"/>
      <c r="AR78" s="439"/>
      <c r="AS78" s="439"/>
      <c r="AT78" s="439"/>
      <c r="AU78" s="439"/>
      <c r="AV78" s="439"/>
      <c r="AW78" s="439"/>
      <c r="AX78" s="439"/>
      <c r="AY78" s="439"/>
      <c r="AZ78" s="439"/>
      <c r="BA78" s="439"/>
      <c r="BB78" s="439"/>
      <c r="BC78" s="439"/>
      <c r="BD78" s="439"/>
      <c r="BE78" s="439"/>
      <c r="BF78" s="439"/>
      <c r="BG78" s="439"/>
      <c r="BH78" s="439"/>
      <c r="BI78" s="439"/>
      <c r="BJ78" s="439"/>
      <c r="BK78" s="439"/>
      <c r="BL78" s="439"/>
    </row>
    <row r="79" spans="1:64" ht="13">
      <c r="A79" s="422"/>
      <c r="B79" s="422"/>
      <c r="C79" s="429" t="str">
        <f>[161]Input!$C$47</f>
        <v>Add for MA @ 40%</v>
      </c>
      <c r="D79" s="432">
        <f>[161]Input!$D$47</f>
        <v>0.4</v>
      </c>
      <c r="E79" s="441"/>
      <c r="F79" s="432">
        <f>I78</f>
        <v>571</v>
      </c>
      <c r="G79" s="431"/>
      <c r="H79" s="406"/>
      <c r="I79" s="408">
        <f t="shared" si="9"/>
        <v>228.4</v>
      </c>
      <c r="J79" s="437"/>
      <c r="K79" s="438"/>
      <c r="L79" s="438"/>
      <c r="M79" s="439"/>
      <c r="N79" s="439"/>
      <c r="O79" s="439"/>
      <c r="P79" s="439"/>
      <c r="Q79" s="439"/>
      <c r="R79" s="439"/>
      <c r="S79" s="439"/>
      <c r="T79" s="439"/>
      <c r="U79" s="439"/>
      <c r="V79" s="439"/>
      <c r="W79" s="439"/>
      <c r="X79" s="439"/>
      <c r="Y79" s="439"/>
      <c r="Z79" s="439"/>
      <c r="AA79" s="439"/>
      <c r="AB79" s="439"/>
      <c r="AC79" s="439"/>
      <c r="AD79" s="439"/>
      <c r="AE79" s="439"/>
      <c r="AF79" s="439"/>
      <c r="AG79" s="439"/>
      <c r="AH79" s="439"/>
      <c r="AI79" s="439"/>
      <c r="AJ79" s="439"/>
      <c r="AK79" s="439"/>
      <c r="AL79" s="439"/>
      <c r="AM79" s="439"/>
      <c r="AN79" s="439"/>
      <c r="AO79" s="439"/>
      <c r="AP79" s="439"/>
      <c r="AQ79" s="439"/>
      <c r="AR79" s="439"/>
      <c r="AS79" s="439"/>
      <c r="AT79" s="439"/>
      <c r="AU79" s="439"/>
      <c r="AV79" s="439"/>
      <c r="AW79" s="439"/>
      <c r="AX79" s="439"/>
      <c r="AY79" s="439"/>
      <c r="AZ79" s="439"/>
      <c r="BA79" s="439"/>
      <c r="BB79" s="439"/>
      <c r="BC79" s="439"/>
      <c r="BD79" s="439"/>
      <c r="BE79" s="439"/>
      <c r="BF79" s="439"/>
      <c r="BG79" s="439"/>
      <c r="BH79" s="439"/>
      <c r="BI79" s="439"/>
      <c r="BJ79" s="439"/>
      <c r="BK79" s="439"/>
      <c r="BL79" s="439"/>
    </row>
    <row r="80" spans="1:64" ht="13">
      <c r="A80" s="422"/>
      <c r="B80" s="422"/>
      <c r="C80" s="440" t="s">
        <v>724</v>
      </c>
      <c r="D80" s="432"/>
      <c r="E80" s="441"/>
      <c r="F80" s="432"/>
      <c r="G80" s="431"/>
      <c r="H80" s="406"/>
      <c r="I80" s="432">
        <f>SUM(I78:I79)</f>
        <v>799.4</v>
      </c>
      <c r="J80" s="437"/>
      <c r="K80" s="438"/>
      <c r="L80" s="438"/>
      <c r="M80" s="439"/>
      <c r="N80" s="439"/>
      <c r="O80" s="439"/>
      <c r="P80" s="439"/>
      <c r="Q80" s="439"/>
      <c r="R80" s="439"/>
      <c r="S80" s="439"/>
      <c r="T80" s="439"/>
      <c r="U80" s="439"/>
      <c r="V80" s="439"/>
      <c r="W80" s="439"/>
      <c r="X80" s="439"/>
      <c r="Y80" s="439"/>
      <c r="Z80" s="439"/>
      <c r="AA80" s="439"/>
      <c r="AB80" s="439"/>
      <c r="AC80" s="439"/>
      <c r="AD80" s="439"/>
      <c r="AE80" s="439"/>
      <c r="AF80" s="439"/>
      <c r="AG80" s="439"/>
      <c r="AH80" s="439"/>
      <c r="AI80" s="439"/>
      <c r="AJ80" s="439"/>
      <c r="AK80" s="439"/>
      <c r="AL80" s="439"/>
      <c r="AM80" s="439"/>
      <c r="AN80" s="439"/>
      <c r="AO80" s="439"/>
      <c r="AP80" s="439"/>
      <c r="AQ80" s="439"/>
      <c r="AR80" s="439"/>
      <c r="AS80" s="439"/>
      <c r="AT80" s="439"/>
      <c r="AU80" s="439"/>
      <c r="AV80" s="439"/>
      <c r="AW80" s="439"/>
      <c r="AX80" s="439"/>
      <c r="AY80" s="439"/>
      <c r="AZ80" s="439"/>
      <c r="BA80" s="439"/>
      <c r="BB80" s="439"/>
      <c r="BC80" s="439"/>
      <c r="BD80" s="439"/>
      <c r="BE80" s="439"/>
      <c r="BF80" s="439"/>
      <c r="BG80" s="439"/>
      <c r="BH80" s="439"/>
      <c r="BI80" s="439"/>
      <c r="BJ80" s="439"/>
      <c r="BK80" s="439"/>
      <c r="BL80" s="439"/>
    </row>
    <row r="81" spans="1:64" ht="25">
      <c r="A81" s="422"/>
      <c r="B81" s="422"/>
      <c r="C81" s="445" t="str">
        <f>[161]Input!$C$48</f>
        <v>Overheads &amp; Contractors Profit @ 13.615%</v>
      </c>
      <c r="D81" s="444">
        <f>[161]Input!$D$48</f>
        <v>0.13614999999999999</v>
      </c>
      <c r="E81" s="441"/>
      <c r="F81" s="432">
        <f>I80</f>
        <v>799.4</v>
      </c>
      <c r="G81" s="431"/>
      <c r="H81" s="406"/>
      <c r="I81" s="408">
        <f>IF(G81="",D81*F81,(D81*F81/G81))</f>
        <v>108.83830999999999</v>
      </c>
      <c r="J81" s="446"/>
      <c r="K81" s="447"/>
      <c r="L81" s="447"/>
      <c r="M81" s="448"/>
      <c r="N81" s="448"/>
      <c r="O81" s="448"/>
      <c r="P81" s="448"/>
      <c r="Q81" s="448"/>
      <c r="R81" s="448"/>
      <c r="S81" s="448"/>
      <c r="T81" s="448"/>
      <c r="U81" s="448"/>
      <c r="V81" s="448"/>
      <c r="W81" s="448"/>
      <c r="X81" s="448"/>
      <c r="Y81" s="448"/>
      <c r="Z81" s="448"/>
      <c r="AA81" s="448"/>
      <c r="AB81" s="448"/>
      <c r="AC81" s="448"/>
      <c r="AD81" s="448"/>
      <c r="AE81" s="448"/>
      <c r="AF81" s="448"/>
      <c r="AG81" s="448"/>
      <c r="AH81" s="448"/>
      <c r="AI81" s="448"/>
      <c r="AJ81" s="448"/>
      <c r="AK81" s="448"/>
      <c r="AL81" s="448"/>
      <c r="AM81" s="448"/>
      <c r="AN81" s="448"/>
      <c r="AO81" s="448"/>
      <c r="AP81" s="448"/>
      <c r="AQ81" s="448"/>
      <c r="AR81" s="448"/>
      <c r="AS81" s="448"/>
      <c r="AT81" s="448"/>
      <c r="AU81" s="448"/>
      <c r="AV81" s="448"/>
      <c r="AW81" s="448"/>
      <c r="AX81" s="448"/>
      <c r="AY81" s="448"/>
      <c r="AZ81" s="448"/>
      <c r="BA81" s="448"/>
      <c r="BB81" s="448"/>
      <c r="BC81" s="448"/>
      <c r="BD81" s="448"/>
      <c r="BE81" s="448"/>
      <c r="BF81" s="448"/>
      <c r="BG81" s="448"/>
      <c r="BH81" s="448"/>
      <c r="BI81" s="448"/>
      <c r="BJ81" s="448"/>
      <c r="BK81" s="448"/>
      <c r="BL81" s="448"/>
    </row>
    <row r="82" spans="1:64" ht="13">
      <c r="A82" s="422"/>
      <c r="B82" s="422"/>
      <c r="C82" s="440" t="s">
        <v>724</v>
      </c>
      <c r="D82" s="432"/>
      <c r="E82" s="441"/>
      <c r="F82" s="432"/>
      <c r="G82" s="431"/>
      <c r="H82" s="408" t="s">
        <v>725</v>
      </c>
      <c r="I82" s="408">
        <f>SUM(I80:I81)</f>
        <v>908.23830999999996</v>
      </c>
      <c r="J82" s="437"/>
      <c r="K82" s="438"/>
      <c r="L82" s="438"/>
      <c r="M82" s="439"/>
      <c r="N82" s="439"/>
      <c r="O82" s="439"/>
      <c r="P82" s="439"/>
      <c r="Q82" s="439"/>
      <c r="R82" s="439"/>
      <c r="S82" s="439"/>
      <c r="T82" s="439"/>
      <c r="U82" s="439"/>
      <c r="V82" s="439"/>
      <c r="W82" s="439"/>
      <c r="X82" s="439"/>
      <c r="Y82" s="439"/>
      <c r="Z82" s="439"/>
      <c r="AA82" s="439"/>
      <c r="AB82" s="439"/>
      <c r="AC82" s="439"/>
      <c r="AD82" s="439"/>
      <c r="AE82" s="439"/>
      <c r="AF82" s="439"/>
      <c r="AG82" s="439"/>
      <c r="AH82" s="439"/>
      <c r="AI82" s="439"/>
      <c r="AJ82" s="439"/>
      <c r="AK82" s="439"/>
      <c r="AL82" s="439"/>
      <c r="AM82" s="439"/>
      <c r="AN82" s="439"/>
      <c r="AO82" s="439"/>
      <c r="AP82" s="439"/>
      <c r="AQ82" s="439"/>
      <c r="AR82" s="439"/>
      <c r="AS82" s="439"/>
      <c r="AT82" s="439"/>
      <c r="AU82" s="439"/>
      <c r="AV82" s="439"/>
      <c r="AW82" s="439"/>
      <c r="AX82" s="439"/>
      <c r="AY82" s="439"/>
      <c r="AZ82" s="439"/>
      <c r="BA82" s="439"/>
      <c r="BB82" s="439"/>
      <c r="BC82" s="439"/>
      <c r="BD82" s="439"/>
      <c r="BE82" s="439"/>
      <c r="BF82" s="439"/>
      <c r="BG82" s="439"/>
      <c r="BH82" s="439"/>
      <c r="BI82" s="439"/>
      <c r="BJ82" s="439"/>
      <c r="BK82" s="439"/>
      <c r="BL82" s="439"/>
    </row>
    <row r="83" spans="1:64" ht="13">
      <c r="A83" s="422"/>
      <c r="B83" s="422"/>
      <c r="C83" s="406"/>
      <c r="D83" s="432"/>
      <c r="E83" s="441"/>
      <c r="F83" s="432"/>
      <c r="G83" s="431"/>
      <c r="H83" s="407" t="s">
        <v>726</v>
      </c>
      <c r="I83" s="414">
        <f>ROUND(I82,0)</f>
        <v>908</v>
      </c>
      <c r="J83" s="437"/>
      <c r="K83" s="438"/>
      <c r="L83" s="438"/>
      <c r="M83" s="439"/>
      <c r="N83" s="439"/>
      <c r="O83" s="439"/>
      <c r="P83" s="439"/>
      <c r="Q83" s="439"/>
      <c r="R83" s="439"/>
      <c r="S83" s="439"/>
      <c r="T83" s="439"/>
      <c r="U83" s="439"/>
      <c r="V83" s="439"/>
      <c r="W83" s="439"/>
      <c r="X83" s="439"/>
      <c r="Y83" s="439"/>
      <c r="Z83" s="439"/>
      <c r="AA83" s="439"/>
      <c r="AB83" s="439"/>
      <c r="AC83" s="439"/>
      <c r="AD83" s="439"/>
      <c r="AE83" s="439"/>
      <c r="AF83" s="439"/>
      <c r="AG83" s="439"/>
      <c r="AH83" s="439"/>
      <c r="AI83" s="439"/>
      <c r="AJ83" s="439"/>
      <c r="AK83" s="439"/>
      <c r="AL83" s="439"/>
      <c r="AM83" s="439"/>
      <c r="AN83" s="439"/>
      <c r="AO83" s="439"/>
      <c r="AP83" s="439"/>
      <c r="AQ83" s="439"/>
      <c r="AR83" s="439"/>
      <c r="AS83" s="439"/>
      <c r="AT83" s="439"/>
      <c r="AU83" s="439"/>
      <c r="AV83" s="439"/>
      <c r="AW83" s="439"/>
      <c r="AX83" s="439"/>
      <c r="AY83" s="439"/>
      <c r="AZ83" s="439"/>
      <c r="BA83" s="439"/>
      <c r="BB83" s="439"/>
      <c r="BC83" s="439"/>
      <c r="BD83" s="439"/>
      <c r="BE83" s="439"/>
      <c r="BF83" s="439"/>
      <c r="BG83" s="439"/>
      <c r="BH83" s="439"/>
      <c r="BI83" s="439"/>
      <c r="BJ83" s="439"/>
      <c r="BK83" s="439"/>
      <c r="BL83" s="439"/>
    </row>
    <row r="84" spans="1:64" ht="13">
      <c r="A84" s="422"/>
      <c r="B84" s="422"/>
      <c r="C84" s="406"/>
      <c r="D84" s="432"/>
      <c r="E84" s="441"/>
      <c r="F84" s="432"/>
      <c r="G84" s="431"/>
      <c r="H84" s="406"/>
      <c r="I84" s="422"/>
      <c r="J84" s="437"/>
      <c r="K84" s="438"/>
      <c r="L84" s="438"/>
      <c r="M84" s="439"/>
      <c r="N84" s="439"/>
      <c r="O84" s="439"/>
      <c r="P84" s="439"/>
      <c r="Q84" s="439"/>
      <c r="R84" s="439"/>
      <c r="S84" s="439"/>
      <c r="T84" s="439"/>
      <c r="U84" s="439"/>
      <c r="V84" s="439"/>
      <c r="W84" s="439"/>
      <c r="X84" s="439"/>
      <c r="Y84" s="439"/>
      <c r="Z84" s="439"/>
      <c r="AA84" s="439"/>
      <c r="AB84" s="439"/>
      <c r="AC84" s="439"/>
      <c r="AD84" s="439"/>
      <c r="AE84" s="439"/>
      <c r="AF84" s="439"/>
      <c r="AG84" s="439"/>
      <c r="AH84" s="439"/>
      <c r="AI84" s="439"/>
      <c r="AJ84" s="439"/>
      <c r="AK84" s="439"/>
      <c r="AL84" s="439"/>
      <c r="AM84" s="439"/>
      <c r="AN84" s="439"/>
      <c r="AO84" s="439"/>
      <c r="AP84" s="439"/>
      <c r="AQ84" s="439"/>
      <c r="AR84" s="439"/>
      <c r="AS84" s="439"/>
      <c r="AT84" s="439"/>
      <c r="AU84" s="439"/>
      <c r="AV84" s="439"/>
      <c r="AW84" s="439"/>
      <c r="AX84" s="439"/>
      <c r="AY84" s="439"/>
      <c r="AZ84" s="439"/>
      <c r="BA84" s="439"/>
      <c r="BB84" s="439"/>
      <c r="BC84" s="439"/>
      <c r="BD84" s="439"/>
      <c r="BE84" s="439"/>
      <c r="BF84" s="439"/>
      <c r="BG84" s="439"/>
      <c r="BH84" s="439"/>
      <c r="BI84" s="439"/>
      <c r="BJ84" s="439"/>
      <c r="BK84" s="439"/>
      <c r="BL84" s="439"/>
    </row>
    <row r="85" spans="1:64" ht="25.5" customHeight="1">
      <c r="A85" s="422"/>
      <c r="B85" s="422" t="s">
        <v>746</v>
      </c>
      <c r="C85" s="1294" t="s">
        <v>747</v>
      </c>
      <c r="D85" s="1294"/>
      <c r="E85" s="1294"/>
      <c r="F85" s="422"/>
      <c r="G85" s="436"/>
      <c r="H85" s="407"/>
      <c r="I85" s="422"/>
      <c r="J85" s="446"/>
      <c r="K85" s="447"/>
      <c r="L85" s="447"/>
      <c r="M85" s="448"/>
      <c r="N85" s="448"/>
      <c r="O85" s="448"/>
      <c r="P85" s="448"/>
      <c r="Q85" s="448"/>
      <c r="R85" s="448"/>
      <c r="S85" s="448"/>
      <c r="T85" s="448"/>
      <c r="U85" s="448"/>
      <c r="V85" s="448"/>
      <c r="W85" s="448"/>
      <c r="X85" s="448"/>
      <c r="Y85" s="448"/>
      <c r="Z85" s="448"/>
      <c r="AA85" s="448"/>
      <c r="AB85" s="448"/>
      <c r="AC85" s="448"/>
      <c r="AD85" s="448"/>
      <c r="AE85" s="448"/>
      <c r="AF85" s="448"/>
      <c r="AG85" s="448"/>
      <c r="AH85" s="448"/>
      <c r="AI85" s="448"/>
      <c r="AJ85" s="448"/>
      <c r="AK85" s="448"/>
      <c r="AL85" s="448"/>
      <c r="AM85" s="448"/>
      <c r="AN85" s="448"/>
      <c r="AO85" s="448"/>
      <c r="AP85" s="448"/>
      <c r="AQ85" s="448"/>
      <c r="AR85" s="448"/>
      <c r="AS85" s="448"/>
      <c r="AT85" s="448"/>
      <c r="AU85" s="448"/>
      <c r="AV85" s="448"/>
      <c r="AW85" s="448"/>
      <c r="AX85" s="448"/>
      <c r="AY85" s="448"/>
      <c r="AZ85" s="448"/>
      <c r="BA85" s="448"/>
      <c r="BB85" s="448"/>
      <c r="BC85" s="448"/>
      <c r="BD85" s="448"/>
      <c r="BE85" s="448"/>
      <c r="BF85" s="448"/>
      <c r="BG85" s="448"/>
      <c r="BH85" s="448"/>
      <c r="BI85" s="448"/>
      <c r="BJ85" s="448"/>
      <c r="BK85" s="448"/>
      <c r="BL85" s="448"/>
    </row>
    <row r="86" spans="1:64" ht="25">
      <c r="A86" s="422"/>
      <c r="B86" s="422"/>
      <c r="C86" s="429" t="s">
        <v>748</v>
      </c>
      <c r="D86" s="432">
        <v>10</v>
      </c>
      <c r="E86" s="441" t="s">
        <v>17</v>
      </c>
      <c r="F86" s="432">
        <f>'[161]Civil-SOR'!$G$212</f>
        <v>20</v>
      </c>
      <c r="G86" s="431">
        <v>1</v>
      </c>
      <c r="H86" s="406" t="s">
        <v>62</v>
      </c>
      <c r="I86" s="408">
        <f t="shared" ref="I86:I87" si="10">IF(G86="",D86*F86,(D86*F86/G86))</f>
        <v>200</v>
      </c>
      <c r="J86" s="437"/>
      <c r="K86" s="438"/>
      <c r="L86" s="438"/>
      <c r="M86" s="439"/>
      <c r="N86" s="439"/>
      <c r="O86" s="439"/>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39"/>
      <c r="BC86" s="439"/>
      <c r="BD86" s="439"/>
      <c r="BE86" s="439"/>
      <c r="BF86" s="439"/>
      <c r="BG86" s="439"/>
      <c r="BH86" s="439"/>
      <c r="BI86" s="439"/>
      <c r="BJ86" s="439"/>
      <c r="BK86" s="439"/>
      <c r="BL86" s="439"/>
    </row>
    <row r="87" spans="1:64" ht="13">
      <c r="A87" s="422"/>
      <c r="B87" s="422"/>
      <c r="C87" s="429" t="str">
        <f>[161]Input!$C$47</f>
        <v>Add for MA @ 40%</v>
      </c>
      <c r="D87" s="432">
        <f>[161]Input!$D$47</f>
        <v>0.4</v>
      </c>
      <c r="E87" s="441"/>
      <c r="F87" s="432">
        <f>I86</f>
        <v>200</v>
      </c>
      <c r="G87" s="431"/>
      <c r="H87" s="406"/>
      <c r="I87" s="408">
        <f t="shared" si="10"/>
        <v>80</v>
      </c>
      <c r="J87" s="437"/>
      <c r="K87" s="438"/>
      <c r="L87" s="438"/>
      <c r="M87" s="439"/>
      <c r="N87" s="439"/>
      <c r="O87" s="439"/>
      <c r="P87" s="439"/>
      <c r="Q87" s="439"/>
      <c r="R87" s="439"/>
      <c r="S87" s="439"/>
      <c r="T87" s="439"/>
      <c r="U87" s="439"/>
      <c r="V87" s="439"/>
      <c r="W87" s="439"/>
      <c r="X87" s="439"/>
      <c r="Y87" s="439"/>
      <c r="Z87" s="439"/>
      <c r="AA87" s="439"/>
      <c r="AB87" s="439"/>
      <c r="AC87" s="439"/>
      <c r="AD87" s="439"/>
      <c r="AE87" s="439"/>
      <c r="AF87" s="439"/>
      <c r="AG87" s="439"/>
      <c r="AH87" s="439"/>
      <c r="AI87" s="439"/>
      <c r="AJ87" s="439"/>
      <c r="AK87" s="439"/>
      <c r="AL87" s="439"/>
      <c r="AM87" s="439"/>
      <c r="AN87" s="439"/>
      <c r="AO87" s="439"/>
      <c r="AP87" s="439"/>
      <c r="AQ87" s="439"/>
      <c r="AR87" s="439"/>
      <c r="AS87" s="439"/>
      <c r="AT87" s="439"/>
      <c r="AU87" s="439"/>
      <c r="AV87" s="439"/>
      <c r="AW87" s="439"/>
      <c r="AX87" s="439"/>
      <c r="AY87" s="439"/>
      <c r="AZ87" s="439"/>
      <c r="BA87" s="439"/>
      <c r="BB87" s="439"/>
      <c r="BC87" s="439"/>
      <c r="BD87" s="439"/>
      <c r="BE87" s="439"/>
      <c r="BF87" s="439"/>
      <c r="BG87" s="439"/>
      <c r="BH87" s="439"/>
      <c r="BI87" s="439"/>
      <c r="BJ87" s="439"/>
      <c r="BK87" s="439"/>
      <c r="BL87" s="439"/>
    </row>
    <row r="88" spans="1:64" ht="13">
      <c r="A88" s="422"/>
      <c r="B88" s="422"/>
      <c r="C88" s="440" t="s">
        <v>741</v>
      </c>
      <c r="D88" s="432"/>
      <c r="E88" s="441"/>
      <c r="F88" s="432"/>
      <c r="G88" s="431"/>
      <c r="H88" s="406"/>
      <c r="I88" s="432">
        <f>SUM(I86:I87)</f>
        <v>280</v>
      </c>
      <c r="J88" s="437"/>
      <c r="K88" s="438"/>
      <c r="L88" s="438"/>
      <c r="M88" s="439"/>
      <c r="N88" s="439"/>
      <c r="O88" s="439"/>
      <c r="P88" s="439"/>
      <c r="Q88" s="439"/>
      <c r="R88" s="439"/>
      <c r="S88" s="439"/>
      <c r="T88" s="439"/>
      <c r="U88" s="439"/>
      <c r="V88" s="439"/>
      <c r="W88" s="439"/>
      <c r="X88" s="439"/>
      <c r="Y88" s="439"/>
      <c r="Z88" s="439"/>
      <c r="AA88" s="439"/>
      <c r="AB88" s="439"/>
      <c r="AC88" s="439"/>
      <c r="AD88" s="439"/>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39"/>
      <c r="BC88" s="439"/>
      <c r="BD88" s="439"/>
      <c r="BE88" s="439"/>
      <c r="BF88" s="439"/>
      <c r="BG88" s="439"/>
      <c r="BH88" s="439"/>
      <c r="BI88" s="439"/>
      <c r="BJ88" s="439"/>
      <c r="BK88" s="439"/>
      <c r="BL88" s="439"/>
    </row>
    <row r="89" spans="1:64" ht="13">
      <c r="A89" s="422"/>
      <c r="B89" s="422"/>
      <c r="C89" s="440" t="s">
        <v>742</v>
      </c>
      <c r="D89" s="432"/>
      <c r="E89" s="441"/>
      <c r="F89" s="432"/>
      <c r="G89" s="431"/>
      <c r="H89" s="406"/>
      <c r="I89" s="432">
        <f>I88/10</f>
        <v>28</v>
      </c>
      <c r="J89" s="437"/>
      <c r="K89" s="438"/>
      <c r="L89" s="438"/>
      <c r="M89" s="439"/>
      <c r="N89" s="439"/>
      <c r="O89" s="439"/>
      <c r="P89" s="439"/>
      <c r="Q89" s="439"/>
      <c r="R89" s="439"/>
      <c r="S89" s="439"/>
      <c r="T89" s="439"/>
      <c r="U89" s="439"/>
      <c r="V89" s="439"/>
      <c r="W89" s="439"/>
      <c r="X89" s="439"/>
      <c r="Y89" s="439"/>
      <c r="Z89" s="439"/>
      <c r="AA89" s="439"/>
      <c r="AB89" s="439"/>
      <c r="AC89" s="439"/>
      <c r="AD89" s="439"/>
      <c r="AE89" s="439"/>
      <c r="AF89" s="439"/>
      <c r="AG89" s="439"/>
      <c r="AH89" s="439"/>
      <c r="AI89" s="439"/>
      <c r="AJ89" s="439"/>
      <c r="AK89" s="439"/>
      <c r="AL89" s="439"/>
      <c r="AM89" s="439"/>
      <c r="AN89" s="439"/>
      <c r="AO89" s="439"/>
      <c r="AP89" s="439"/>
      <c r="AQ89" s="439"/>
      <c r="AR89" s="439"/>
      <c r="AS89" s="439"/>
      <c r="AT89" s="439"/>
      <c r="AU89" s="439"/>
      <c r="AV89" s="439"/>
      <c r="AW89" s="439"/>
      <c r="AX89" s="439"/>
      <c r="AY89" s="439"/>
      <c r="AZ89" s="439"/>
      <c r="BA89" s="439"/>
      <c r="BB89" s="439"/>
      <c r="BC89" s="439"/>
      <c r="BD89" s="439"/>
      <c r="BE89" s="439"/>
      <c r="BF89" s="439"/>
      <c r="BG89" s="439"/>
      <c r="BH89" s="439"/>
      <c r="BI89" s="439"/>
      <c r="BJ89" s="439"/>
      <c r="BK89" s="439"/>
      <c r="BL89" s="439"/>
    </row>
    <row r="90" spans="1:64" ht="25">
      <c r="A90" s="422"/>
      <c r="B90" s="422"/>
      <c r="C90" s="445" t="str">
        <f>[161]Input!$C$48</f>
        <v>Overheads &amp; Contractors Profit @ 13.615%</v>
      </c>
      <c r="D90" s="444">
        <f>[161]Input!$D$48</f>
        <v>0.13614999999999999</v>
      </c>
      <c r="E90" s="441"/>
      <c r="F90" s="432">
        <f>I89</f>
        <v>28</v>
      </c>
      <c r="G90" s="431"/>
      <c r="H90" s="406"/>
      <c r="I90" s="408">
        <f>IF(G90="",D90*F90,(D90*F90/G90))</f>
        <v>3.8121999999999998</v>
      </c>
      <c r="J90" s="446"/>
      <c r="K90" s="447"/>
      <c r="L90" s="447"/>
      <c r="M90" s="448"/>
      <c r="N90" s="448"/>
      <c r="O90" s="448"/>
      <c r="P90" s="448"/>
      <c r="Q90" s="448"/>
      <c r="R90" s="448"/>
      <c r="S90" s="448"/>
      <c r="T90" s="448"/>
      <c r="U90" s="448"/>
      <c r="V90" s="448"/>
      <c r="W90" s="448"/>
      <c r="X90" s="448"/>
      <c r="Y90" s="448"/>
      <c r="Z90" s="448"/>
      <c r="AA90" s="448"/>
      <c r="AB90" s="448"/>
      <c r="AC90" s="448"/>
      <c r="AD90" s="448"/>
      <c r="AE90" s="448"/>
      <c r="AF90" s="448"/>
      <c r="AG90" s="448"/>
      <c r="AH90" s="448"/>
      <c r="AI90" s="448"/>
      <c r="AJ90" s="448"/>
      <c r="AK90" s="448"/>
      <c r="AL90" s="448"/>
      <c r="AM90" s="448"/>
      <c r="AN90" s="448"/>
      <c r="AO90" s="448"/>
      <c r="AP90" s="448"/>
      <c r="AQ90" s="448"/>
      <c r="AR90" s="448"/>
      <c r="AS90" s="448"/>
      <c r="AT90" s="448"/>
      <c r="AU90" s="448"/>
      <c r="AV90" s="448"/>
      <c r="AW90" s="448"/>
      <c r="AX90" s="448"/>
      <c r="AY90" s="448"/>
      <c r="AZ90" s="448"/>
      <c r="BA90" s="448"/>
      <c r="BB90" s="448"/>
      <c r="BC90" s="448"/>
      <c r="BD90" s="448"/>
      <c r="BE90" s="448"/>
      <c r="BF90" s="448"/>
      <c r="BG90" s="448"/>
      <c r="BH90" s="448"/>
      <c r="BI90" s="448"/>
      <c r="BJ90" s="448"/>
      <c r="BK90" s="448"/>
      <c r="BL90" s="448"/>
    </row>
    <row r="91" spans="1:64" ht="13">
      <c r="A91" s="422"/>
      <c r="B91" s="422"/>
      <c r="C91" s="440" t="s">
        <v>742</v>
      </c>
      <c r="D91" s="432"/>
      <c r="E91" s="441"/>
      <c r="F91" s="432"/>
      <c r="G91" s="431"/>
      <c r="H91" s="408" t="s">
        <v>725</v>
      </c>
      <c r="I91" s="408">
        <f>SUM(I89:I90)</f>
        <v>31.812200000000001</v>
      </c>
      <c r="J91" s="437"/>
      <c r="K91" s="438"/>
      <c r="L91" s="438"/>
      <c r="M91" s="439"/>
      <c r="N91" s="439"/>
      <c r="O91" s="439"/>
      <c r="P91" s="439"/>
      <c r="Q91" s="439"/>
      <c r="R91" s="439"/>
      <c r="S91" s="439"/>
      <c r="T91" s="439"/>
      <c r="U91" s="439"/>
      <c r="V91" s="439"/>
      <c r="W91" s="439"/>
      <c r="X91" s="439"/>
      <c r="Y91" s="439"/>
      <c r="Z91" s="439"/>
      <c r="AA91" s="439"/>
      <c r="AB91" s="439"/>
      <c r="AC91" s="439"/>
      <c r="AD91" s="439"/>
      <c r="AE91" s="439"/>
      <c r="AF91" s="439"/>
      <c r="AG91" s="439"/>
      <c r="AH91" s="439"/>
      <c r="AI91" s="439"/>
      <c r="AJ91" s="439"/>
      <c r="AK91" s="439"/>
      <c r="AL91" s="439"/>
      <c r="AM91" s="439"/>
      <c r="AN91" s="439"/>
      <c r="AO91" s="439"/>
      <c r="AP91" s="439"/>
      <c r="AQ91" s="439"/>
      <c r="AR91" s="439"/>
      <c r="AS91" s="439"/>
      <c r="AT91" s="439"/>
      <c r="AU91" s="439"/>
      <c r="AV91" s="439"/>
      <c r="AW91" s="439"/>
      <c r="AX91" s="439"/>
      <c r="AY91" s="439"/>
      <c r="AZ91" s="439"/>
      <c r="BA91" s="439"/>
      <c r="BB91" s="439"/>
      <c r="BC91" s="439"/>
      <c r="BD91" s="439"/>
      <c r="BE91" s="439"/>
      <c r="BF91" s="439"/>
      <c r="BG91" s="439"/>
      <c r="BH91" s="439"/>
      <c r="BI91" s="439"/>
      <c r="BJ91" s="439"/>
      <c r="BK91" s="439"/>
      <c r="BL91" s="439"/>
    </row>
    <row r="92" spans="1:64" ht="13">
      <c r="A92" s="422"/>
      <c r="B92" s="422"/>
      <c r="C92" s="406"/>
      <c r="D92" s="432"/>
      <c r="E92" s="441"/>
      <c r="F92" s="432"/>
      <c r="G92" s="431"/>
      <c r="H92" s="407" t="s">
        <v>726</v>
      </c>
      <c r="I92" s="414">
        <f>ROUND(I91,0)</f>
        <v>32</v>
      </c>
      <c r="J92" s="437"/>
      <c r="K92" s="438"/>
      <c r="L92" s="438"/>
      <c r="M92" s="439"/>
      <c r="N92" s="439"/>
      <c r="O92" s="439"/>
      <c r="P92" s="439"/>
      <c r="Q92" s="439"/>
      <c r="R92" s="439"/>
      <c r="S92" s="439"/>
      <c r="T92" s="439"/>
      <c r="U92" s="439"/>
      <c r="V92" s="439"/>
      <c r="W92" s="439"/>
      <c r="X92" s="439"/>
      <c r="Y92" s="439"/>
      <c r="Z92" s="439"/>
      <c r="AA92" s="439"/>
      <c r="AB92" s="439"/>
      <c r="AC92" s="439"/>
      <c r="AD92" s="439"/>
      <c r="AE92" s="439"/>
      <c r="AF92" s="439"/>
      <c r="AG92" s="439"/>
      <c r="AH92" s="439"/>
      <c r="AI92" s="439"/>
      <c r="AJ92" s="439"/>
      <c r="AK92" s="439"/>
      <c r="AL92" s="439"/>
      <c r="AM92" s="439"/>
      <c r="AN92" s="439"/>
      <c r="AO92" s="439"/>
      <c r="AP92" s="439"/>
      <c r="AQ92" s="439"/>
      <c r="AR92" s="439"/>
      <c r="AS92" s="439"/>
      <c r="AT92" s="439"/>
      <c r="AU92" s="439"/>
      <c r="AV92" s="439"/>
      <c r="AW92" s="439"/>
      <c r="AX92" s="439"/>
      <c r="AY92" s="439"/>
      <c r="AZ92" s="439"/>
      <c r="BA92" s="439"/>
      <c r="BB92" s="439"/>
      <c r="BC92" s="439"/>
      <c r="BD92" s="439"/>
      <c r="BE92" s="439"/>
      <c r="BF92" s="439"/>
      <c r="BG92" s="439"/>
      <c r="BH92" s="439"/>
      <c r="BI92" s="439"/>
      <c r="BJ92" s="439"/>
      <c r="BK92" s="439"/>
      <c r="BL92" s="439"/>
    </row>
    <row r="93" spans="1:64" ht="13">
      <c r="A93" s="422"/>
      <c r="B93" s="422"/>
      <c r="C93" s="406"/>
      <c r="D93" s="432"/>
      <c r="E93" s="441"/>
      <c r="F93" s="432"/>
      <c r="G93" s="431"/>
      <c r="H93" s="406"/>
      <c r="I93" s="422"/>
      <c r="J93" s="437"/>
      <c r="K93" s="438"/>
      <c r="L93" s="438"/>
      <c r="M93" s="439"/>
      <c r="N93" s="439"/>
      <c r="O93" s="439"/>
      <c r="P93" s="439"/>
      <c r="Q93" s="439"/>
      <c r="R93" s="439"/>
      <c r="S93" s="439"/>
      <c r="T93" s="439"/>
      <c r="U93" s="439"/>
      <c r="V93" s="439"/>
      <c r="W93" s="439"/>
      <c r="X93" s="439"/>
      <c r="Y93" s="439"/>
      <c r="Z93" s="439"/>
      <c r="AA93" s="439"/>
      <c r="AB93" s="439"/>
      <c r="AC93" s="439"/>
      <c r="AD93" s="439"/>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39"/>
      <c r="BC93" s="439"/>
      <c r="BD93" s="439"/>
      <c r="BE93" s="439"/>
      <c r="BF93" s="439"/>
      <c r="BG93" s="439"/>
      <c r="BH93" s="439"/>
      <c r="BI93" s="439"/>
      <c r="BJ93" s="439"/>
      <c r="BK93" s="439"/>
      <c r="BL93" s="439"/>
    </row>
    <row r="94" spans="1:64" ht="25.5" customHeight="1">
      <c r="A94" s="422"/>
      <c r="B94" s="422" t="s">
        <v>749</v>
      </c>
      <c r="C94" s="1294" t="s">
        <v>750</v>
      </c>
      <c r="D94" s="1294"/>
      <c r="E94" s="1294"/>
      <c r="F94" s="1294"/>
      <c r="G94" s="1294"/>
      <c r="H94" s="407"/>
      <c r="I94" s="422"/>
      <c r="J94" s="446"/>
      <c r="K94" s="447"/>
      <c r="L94" s="447"/>
      <c r="M94" s="448"/>
      <c r="N94" s="448"/>
      <c r="O94" s="448"/>
      <c r="P94" s="448"/>
      <c r="Q94" s="448"/>
      <c r="R94" s="448"/>
      <c r="S94" s="448"/>
      <c r="T94" s="448"/>
      <c r="U94" s="448"/>
      <c r="V94" s="448"/>
      <c r="W94" s="448"/>
      <c r="X94" s="448"/>
      <c r="Y94" s="448"/>
      <c r="Z94" s="448"/>
      <c r="AA94" s="448"/>
      <c r="AB94" s="448"/>
      <c r="AC94" s="448"/>
      <c r="AD94" s="448"/>
      <c r="AE94" s="448"/>
      <c r="AF94" s="448"/>
      <c r="AG94" s="448"/>
      <c r="AH94" s="448"/>
      <c r="AI94" s="448"/>
      <c r="AJ94" s="448"/>
      <c r="AK94" s="448"/>
      <c r="AL94" s="448"/>
      <c r="AM94" s="448"/>
      <c r="AN94" s="448"/>
      <c r="AO94" s="448"/>
      <c r="AP94" s="448"/>
      <c r="AQ94" s="448"/>
      <c r="AR94" s="448"/>
      <c r="AS94" s="448"/>
      <c r="AT94" s="448"/>
      <c r="AU94" s="448"/>
      <c r="AV94" s="448"/>
      <c r="AW94" s="448"/>
      <c r="AX94" s="448"/>
      <c r="AY94" s="448"/>
      <c r="AZ94" s="448"/>
      <c r="BA94" s="448"/>
      <c r="BB94" s="448"/>
      <c r="BC94" s="448"/>
      <c r="BD94" s="448"/>
      <c r="BE94" s="448"/>
      <c r="BF94" s="448"/>
      <c r="BG94" s="448"/>
      <c r="BH94" s="448"/>
      <c r="BI94" s="448"/>
      <c r="BJ94" s="448"/>
      <c r="BK94" s="448"/>
      <c r="BL94" s="448"/>
    </row>
    <row r="95" spans="1:64" ht="13">
      <c r="A95" s="422"/>
      <c r="B95" s="422"/>
      <c r="C95" s="445" t="s">
        <v>751</v>
      </c>
      <c r="D95" s="432">
        <v>10</v>
      </c>
      <c r="E95" s="441" t="s">
        <v>17</v>
      </c>
      <c r="F95" s="432">
        <f>'[161]Civil-SOR'!$G$211</f>
        <v>22</v>
      </c>
      <c r="G95" s="431">
        <v>1</v>
      </c>
      <c r="H95" s="406" t="s">
        <v>17</v>
      </c>
      <c r="I95" s="408">
        <f t="shared" ref="I95:I96" si="11">IF(G95="",D95*F95,(D95*F95/G95))</f>
        <v>220</v>
      </c>
      <c r="J95" s="446"/>
      <c r="K95" s="447"/>
      <c r="L95" s="447"/>
      <c r="M95" s="448"/>
      <c r="N95" s="448"/>
      <c r="O95" s="448"/>
      <c r="P95" s="448"/>
      <c r="Q95" s="448"/>
      <c r="R95" s="448"/>
      <c r="S95" s="448"/>
      <c r="T95" s="448"/>
      <c r="U95" s="448"/>
      <c r="V95" s="448"/>
      <c r="W95" s="448"/>
      <c r="X95" s="448"/>
      <c r="Y95" s="448"/>
      <c r="Z95" s="448"/>
      <c r="AA95" s="448"/>
      <c r="AB95" s="448"/>
      <c r="AC95" s="448"/>
      <c r="AD95" s="448"/>
      <c r="AE95" s="448"/>
      <c r="AF95" s="448"/>
      <c r="AG95" s="448"/>
      <c r="AH95" s="448"/>
      <c r="AI95" s="448"/>
      <c r="AJ95" s="448"/>
      <c r="AK95" s="448"/>
      <c r="AL95" s="448"/>
      <c r="AM95" s="448"/>
      <c r="AN95" s="448"/>
      <c r="AO95" s="448"/>
      <c r="AP95" s="448"/>
      <c r="AQ95" s="448"/>
      <c r="AR95" s="448"/>
      <c r="AS95" s="448"/>
      <c r="AT95" s="448"/>
      <c r="AU95" s="448"/>
      <c r="AV95" s="448"/>
      <c r="AW95" s="448"/>
      <c r="AX95" s="448"/>
      <c r="AY95" s="448"/>
      <c r="AZ95" s="448"/>
      <c r="BA95" s="448"/>
      <c r="BB95" s="448"/>
      <c r="BC95" s="448"/>
      <c r="BD95" s="448"/>
      <c r="BE95" s="448"/>
      <c r="BF95" s="448"/>
      <c r="BG95" s="448"/>
      <c r="BH95" s="448"/>
      <c r="BI95" s="448"/>
      <c r="BJ95" s="448"/>
      <c r="BK95" s="448"/>
      <c r="BL95" s="448"/>
    </row>
    <row r="96" spans="1:64" ht="13">
      <c r="A96" s="422"/>
      <c r="B96" s="422"/>
      <c r="C96" s="445" t="str">
        <f>[161]Input!$C$47</f>
        <v>Add for MA @ 40%</v>
      </c>
      <c r="D96" s="432">
        <f>[161]Input!$D$47</f>
        <v>0.4</v>
      </c>
      <c r="E96" s="441"/>
      <c r="F96" s="432">
        <f>I95</f>
        <v>220</v>
      </c>
      <c r="G96" s="431"/>
      <c r="H96" s="406"/>
      <c r="I96" s="408">
        <f t="shared" si="11"/>
        <v>88</v>
      </c>
      <c r="J96" s="446"/>
      <c r="K96" s="447"/>
      <c r="L96" s="447"/>
      <c r="M96" s="448"/>
      <c r="N96" s="448"/>
      <c r="O96" s="448"/>
      <c r="P96" s="448"/>
      <c r="Q96" s="448"/>
      <c r="R96" s="448"/>
      <c r="S96" s="448"/>
      <c r="T96" s="448"/>
      <c r="U96" s="448"/>
      <c r="V96" s="448"/>
      <c r="W96" s="448"/>
      <c r="X96" s="448"/>
      <c r="Y96" s="448"/>
      <c r="Z96" s="448"/>
      <c r="AA96" s="448"/>
      <c r="AB96" s="448"/>
      <c r="AC96" s="448"/>
      <c r="AD96" s="448"/>
      <c r="AE96" s="448"/>
      <c r="AF96" s="448"/>
      <c r="AG96" s="448"/>
      <c r="AH96" s="448"/>
      <c r="AI96" s="448"/>
      <c r="AJ96" s="448"/>
      <c r="AK96" s="448"/>
      <c r="AL96" s="448"/>
      <c r="AM96" s="448"/>
      <c r="AN96" s="448"/>
      <c r="AO96" s="448"/>
      <c r="AP96" s="448"/>
      <c r="AQ96" s="448"/>
      <c r="AR96" s="448"/>
      <c r="AS96" s="448"/>
      <c r="AT96" s="448"/>
      <c r="AU96" s="448"/>
      <c r="AV96" s="448"/>
      <c r="AW96" s="448"/>
      <c r="AX96" s="448"/>
      <c r="AY96" s="448"/>
      <c r="AZ96" s="448"/>
      <c r="BA96" s="448"/>
      <c r="BB96" s="448"/>
      <c r="BC96" s="448"/>
      <c r="BD96" s="448"/>
      <c r="BE96" s="448"/>
      <c r="BF96" s="448"/>
      <c r="BG96" s="448"/>
      <c r="BH96" s="448"/>
      <c r="BI96" s="448"/>
      <c r="BJ96" s="448"/>
      <c r="BK96" s="448"/>
      <c r="BL96" s="448"/>
    </row>
    <row r="97" spans="1:64" ht="13">
      <c r="A97" s="422"/>
      <c r="B97" s="422"/>
      <c r="C97" s="451" t="s">
        <v>741</v>
      </c>
      <c r="D97" s="432"/>
      <c r="E97" s="441"/>
      <c r="F97" s="432"/>
      <c r="G97" s="431"/>
      <c r="H97" s="406"/>
      <c r="I97" s="432">
        <f>SUM(I95:I96)</f>
        <v>308</v>
      </c>
      <c r="J97" s="446"/>
      <c r="K97" s="447"/>
      <c r="L97" s="447"/>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48"/>
      <c r="BC97" s="448"/>
      <c r="BD97" s="448"/>
      <c r="BE97" s="448"/>
      <c r="BF97" s="448"/>
      <c r="BG97" s="448"/>
      <c r="BH97" s="448"/>
      <c r="BI97" s="448"/>
      <c r="BJ97" s="448"/>
      <c r="BK97" s="448"/>
      <c r="BL97" s="448"/>
    </row>
    <row r="98" spans="1:64" ht="13">
      <c r="A98" s="422"/>
      <c r="B98" s="422"/>
      <c r="C98" s="451" t="s">
        <v>742</v>
      </c>
      <c r="D98" s="432"/>
      <c r="E98" s="441"/>
      <c r="F98" s="432"/>
      <c r="G98" s="431"/>
      <c r="H98" s="406"/>
      <c r="I98" s="432">
        <f>I97/10</f>
        <v>30.8</v>
      </c>
      <c r="J98" s="446"/>
      <c r="K98" s="447"/>
      <c r="L98" s="447"/>
      <c r="M98" s="448"/>
      <c r="N98" s="448"/>
      <c r="O98" s="448"/>
      <c r="P98" s="448"/>
      <c r="Q98" s="448"/>
      <c r="R98" s="448"/>
      <c r="S98" s="448"/>
      <c r="T98" s="448"/>
      <c r="U98" s="448"/>
      <c r="V98" s="448"/>
      <c r="W98" s="448"/>
      <c r="X98" s="448"/>
      <c r="Y98" s="448"/>
      <c r="Z98" s="448"/>
      <c r="AA98" s="448"/>
      <c r="AB98" s="448"/>
      <c r="AC98" s="448"/>
      <c r="AD98" s="448"/>
      <c r="AE98" s="448"/>
      <c r="AF98" s="448"/>
      <c r="AG98" s="448"/>
      <c r="AH98" s="448"/>
      <c r="AI98" s="448"/>
      <c r="AJ98" s="448"/>
      <c r="AK98" s="448"/>
      <c r="AL98" s="448"/>
      <c r="AM98" s="448"/>
      <c r="AN98" s="448"/>
      <c r="AO98" s="448"/>
      <c r="AP98" s="448"/>
      <c r="AQ98" s="448"/>
      <c r="AR98" s="448"/>
      <c r="AS98" s="448"/>
      <c r="AT98" s="448"/>
      <c r="AU98" s="448"/>
      <c r="AV98" s="448"/>
      <c r="AW98" s="448"/>
      <c r="AX98" s="448"/>
      <c r="AY98" s="448"/>
      <c r="AZ98" s="448"/>
      <c r="BA98" s="448"/>
      <c r="BB98" s="448"/>
      <c r="BC98" s="448"/>
      <c r="BD98" s="448"/>
      <c r="BE98" s="448"/>
      <c r="BF98" s="448"/>
      <c r="BG98" s="448"/>
      <c r="BH98" s="448"/>
      <c r="BI98" s="448"/>
      <c r="BJ98" s="448"/>
      <c r="BK98" s="448"/>
      <c r="BL98" s="448"/>
    </row>
    <row r="99" spans="1:64" ht="25">
      <c r="A99" s="422"/>
      <c r="B99" s="422"/>
      <c r="C99" s="445" t="str">
        <f>[161]Input!$C$48</f>
        <v>Overheads &amp; Contractors Profit @ 13.615%</v>
      </c>
      <c r="D99" s="444">
        <f>[161]Input!$D$48</f>
        <v>0.13614999999999999</v>
      </c>
      <c r="E99" s="441"/>
      <c r="F99" s="432">
        <f>I98</f>
        <v>30.8</v>
      </c>
      <c r="G99" s="431"/>
      <c r="H99" s="406"/>
      <c r="I99" s="408">
        <f>IF(G99="",D99*F99,(D99*F99/G99))</f>
        <v>4.1934199999999997</v>
      </c>
      <c r="J99" s="446"/>
      <c r="K99" s="447"/>
      <c r="L99" s="447"/>
      <c r="M99" s="448"/>
      <c r="N99" s="448"/>
      <c r="O99" s="448"/>
      <c r="P99" s="448"/>
      <c r="Q99" s="448"/>
      <c r="R99" s="448"/>
      <c r="S99" s="448"/>
      <c r="T99" s="448"/>
      <c r="U99" s="448"/>
      <c r="V99" s="448"/>
      <c r="W99" s="448"/>
      <c r="X99" s="448"/>
      <c r="Y99" s="448"/>
      <c r="Z99" s="448"/>
      <c r="AA99" s="448"/>
      <c r="AB99" s="448"/>
      <c r="AC99" s="448"/>
      <c r="AD99" s="448"/>
      <c r="AE99" s="448"/>
      <c r="AF99" s="448"/>
      <c r="AG99" s="448"/>
      <c r="AH99" s="448"/>
      <c r="AI99" s="448"/>
      <c r="AJ99" s="448"/>
      <c r="AK99" s="448"/>
      <c r="AL99" s="448"/>
      <c r="AM99" s="448"/>
      <c r="AN99" s="448"/>
      <c r="AO99" s="448"/>
      <c r="AP99" s="448"/>
      <c r="AQ99" s="448"/>
      <c r="AR99" s="448"/>
      <c r="AS99" s="448"/>
      <c r="AT99" s="448"/>
      <c r="AU99" s="448"/>
      <c r="AV99" s="448"/>
      <c r="AW99" s="448"/>
      <c r="AX99" s="448"/>
      <c r="AY99" s="448"/>
      <c r="AZ99" s="448"/>
      <c r="BA99" s="448"/>
      <c r="BB99" s="448"/>
      <c r="BC99" s="448"/>
      <c r="BD99" s="448"/>
      <c r="BE99" s="448"/>
      <c r="BF99" s="448"/>
      <c r="BG99" s="448"/>
      <c r="BH99" s="448"/>
      <c r="BI99" s="448"/>
      <c r="BJ99" s="448"/>
      <c r="BK99" s="448"/>
      <c r="BL99" s="448"/>
    </row>
    <row r="100" spans="1:64" ht="13">
      <c r="A100" s="422"/>
      <c r="B100" s="422"/>
      <c r="C100" s="451" t="s">
        <v>742</v>
      </c>
      <c r="D100" s="432"/>
      <c r="E100" s="441"/>
      <c r="F100" s="432"/>
      <c r="G100" s="431"/>
      <c r="H100" s="408" t="s">
        <v>725</v>
      </c>
      <c r="I100" s="408">
        <f>SUM(I98:I99)</f>
        <v>34.99342</v>
      </c>
      <c r="J100" s="446"/>
      <c r="K100" s="447"/>
      <c r="L100" s="447"/>
      <c r="M100" s="448"/>
      <c r="N100" s="448"/>
      <c r="O100" s="448"/>
      <c r="P100" s="448"/>
      <c r="Q100" s="448"/>
      <c r="R100" s="448"/>
      <c r="S100" s="448"/>
      <c r="T100" s="448"/>
      <c r="U100" s="448"/>
      <c r="V100" s="448"/>
      <c r="W100" s="448"/>
      <c r="X100" s="448"/>
      <c r="Y100" s="448"/>
      <c r="Z100" s="448"/>
      <c r="AA100" s="448"/>
      <c r="AB100" s="448"/>
      <c r="AC100" s="448"/>
      <c r="AD100" s="448"/>
      <c r="AE100" s="448"/>
      <c r="AF100" s="448"/>
      <c r="AG100" s="448"/>
      <c r="AH100" s="448"/>
      <c r="AI100" s="448"/>
      <c r="AJ100" s="448"/>
      <c r="AK100" s="448"/>
      <c r="AL100" s="448"/>
      <c r="AM100" s="448"/>
      <c r="AN100" s="448"/>
      <c r="AO100" s="448"/>
      <c r="AP100" s="448"/>
      <c r="AQ100" s="448"/>
      <c r="AR100" s="448"/>
      <c r="AS100" s="448"/>
      <c r="AT100" s="448"/>
      <c r="AU100" s="448"/>
      <c r="AV100" s="448"/>
      <c r="AW100" s="448"/>
      <c r="AX100" s="448"/>
      <c r="AY100" s="448"/>
      <c r="AZ100" s="448"/>
      <c r="BA100" s="448"/>
      <c r="BB100" s="448"/>
      <c r="BC100" s="448"/>
      <c r="BD100" s="448"/>
      <c r="BE100" s="448"/>
      <c r="BF100" s="448"/>
      <c r="BG100" s="448"/>
      <c r="BH100" s="448"/>
      <c r="BI100" s="448"/>
      <c r="BJ100" s="448"/>
      <c r="BK100" s="448"/>
      <c r="BL100" s="448"/>
    </row>
    <row r="101" spans="1:64" ht="13">
      <c r="A101" s="422"/>
      <c r="B101" s="422"/>
      <c r="C101" s="406"/>
      <c r="D101" s="432"/>
      <c r="E101" s="441"/>
      <c r="F101" s="432"/>
      <c r="G101" s="431"/>
      <c r="H101" s="407" t="s">
        <v>726</v>
      </c>
      <c r="I101" s="414">
        <f>ROUND(I100,0)</f>
        <v>35</v>
      </c>
      <c r="J101" s="437"/>
      <c r="K101" s="438"/>
      <c r="L101" s="438"/>
      <c r="M101" s="439"/>
      <c r="N101" s="439"/>
      <c r="O101" s="439"/>
      <c r="P101" s="439"/>
      <c r="Q101" s="439"/>
      <c r="R101" s="439"/>
      <c r="S101" s="439"/>
      <c r="T101" s="439"/>
      <c r="U101" s="439"/>
      <c r="V101" s="439"/>
      <c r="W101" s="439"/>
      <c r="X101" s="439"/>
      <c r="Y101" s="439"/>
      <c r="Z101" s="439"/>
      <c r="AA101" s="439"/>
      <c r="AB101" s="439"/>
      <c r="AC101" s="439"/>
      <c r="AD101" s="439"/>
      <c r="AE101" s="439"/>
      <c r="AF101" s="439"/>
      <c r="AG101" s="439"/>
      <c r="AH101" s="439"/>
      <c r="AI101" s="439"/>
      <c r="AJ101" s="439"/>
      <c r="AK101" s="439"/>
      <c r="AL101" s="439"/>
      <c r="AM101" s="439"/>
      <c r="AN101" s="439"/>
      <c r="AO101" s="439"/>
      <c r="AP101" s="439"/>
      <c r="AQ101" s="439"/>
      <c r="AR101" s="439"/>
      <c r="AS101" s="439"/>
      <c r="AT101" s="439"/>
      <c r="AU101" s="439"/>
      <c r="AV101" s="439"/>
      <c r="AW101" s="439"/>
      <c r="AX101" s="439"/>
      <c r="AY101" s="439"/>
      <c r="AZ101" s="439"/>
      <c r="BA101" s="439"/>
      <c r="BB101" s="439"/>
      <c r="BC101" s="439"/>
      <c r="BD101" s="439"/>
      <c r="BE101" s="439"/>
      <c r="BF101" s="439"/>
      <c r="BG101" s="439"/>
      <c r="BH101" s="439"/>
      <c r="BI101" s="439"/>
      <c r="BJ101" s="439"/>
      <c r="BK101" s="439"/>
      <c r="BL101" s="439"/>
    </row>
    <row r="102" spans="1:64" ht="13">
      <c r="A102" s="422"/>
      <c r="B102" s="422"/>
      <c r="C102" s="406"/>
      <c r="D102" s="432"/>
      <c r="E102" s="441"/>
      <c r="F102" s="432"/>
      <c r="G102" s="431"/>
      <c r="H102" s="406"/>
      <c r="I102" s="422"/>
      <c r="J102" s="437"/>
      <c r="K102" s="438"/>
      <c r="L102" s="438"/>
      <c r="M102" s="439"/>
      <c r="N102" s="439"/>
      <c r="O102" s="439"/>
      <c r="P102" s="439"/>
      <c r="Q102" s="439"/>
      <c r="R102" s="439"/>
      <c r="S102" s="439"/>
      <c r="T102" s="439"/>
      <c r="U102" s="439"/>
      <c r="V102" s="439"/>
      <c r="W102" s="439"/>
      <c r="X102" s="439"/>
      <c r="Y102" s="439"/>
      <c r="Z102" s="439"/>
      <c r="AA102" s="439"/>
      <c r="AB102" s="439"/>
      <c r="AC102" s="439"/>
      <c r="AD102" s="439"/>
      <c r="AE102" s="439"/>
      <c r="AF102" s="439"/>
      <c r="AG102" s="439"/>
      <c r="AH102" s="439"/>
      <c r="AI102" s="439"/>
      <c r="AJ102" s="439"/>
      <c r="AK102" s="439"/>
      <c r="AL102" s="439"/>
      <c r="AM102" s="439"/>
      <c r="AN102" s="439"/>
      <c r="AO102" s="439"/>
      <c r="AP102" s="439"/>
      <c r="AQ102" s="439"/>
      <c r="AR102" s="439"/>
      <c r="AS102" s="439"/>
      <c r="AT102" s="439"/>
      <c r="AU102" s="439"/>
      <c r="AV102" s="439"/>
      <c r="AW102" s="439"/>
      <c r="AX102" s="439"/>
      <c r="AY102" s="439"/>
      <c r="AZ102" s="439"/>
      <c r="BA102" s="439"/>
      <c r="BB102" s="439"/>
      <c r="BC102" s="439"/>
      <c r="BD102" s="439"/>
      <c r="BE102" s="439"/>
      <c r="BF102" s="439"/>
      <c r="BG102" s="439"/>
      <c r="BH102" s="439"/>
      <c r="BI102" s="439"/>
      <c r="BJ102" s="439"/>
      <c r="BK102" s="439"/>
      <c r="BL102" s="439"/>
    </row>
    <row r="103" spans="1:64" ht="12.75" customHeight="1">
      <c r="A103" s="422"/>
      <c r="B103" s="422" t="s">
        <v>752</v>
      </c>
      <c r="C103" s="1294" t="s">
        <v>753</v>
      </c>
      <c r="D103" s="1294"/>
      <c r="E103" s="1294"/>
      <c r="F103" s="422"/>
      <c r="G103" s="436"/>
      <c r="H103" s="407"/>
      <c r="I103" s="422"/>
      <c r="J103" s="446"/>
      <c r="K103" s="447"/>
      <c r="L103" s="447"/>
      <c r="M103" s="448"/>
      <c r="N103" s="448"/>
      <c r="O103" s="448"/>
      <c r="P103" s="448"/>
      <c r="Q103" s="448"/>
      <c r="R103" s="448"/>
      <c r="S103" s="448"/>
      <c r="T103" s="448"/>
      <c r="U103" s="448"/>
      <c r="V103" s="448"/>
      <c r="W103" s="448"/>
      <c r="X103" s="448"/>
      <c r="Y103" s="448"/>
      <c r="Z103" s="448"/>
      <c r="AA103" s="448"/>
      <c r="AB103" s="448"/>
      <c r="AC103" s="448"/>
      <c r="AD103" s="448"/>
      <c r="AE103" s="448"/>
      <c r="AF103" s="448"/>
      <c r="AG103" s="448"/>
      <c r="AH103" s="448"/>
      <c r="AI103" s="448"/>
      <c r="AJ103" s="448"/>
      <c r="AK103" s="448"/>
      <c r="AL103" s="448"/>
      <c r="AM103" s="448"/>
      <c r="AN103" s="448"/>
      <c r="AO103" s="448"/>
      <c r="AP103" s="448"/>
      <c r="AQ103" s="448"/>
      <c r="AR103" s="448"/>
      <c r="AS103" s="448"/>
      <c r="AT103" s="448"/>
      <c r="AU103" s="448"/>
      <c r="AV103" s="448"/>
      <c r="AW103" s="448"/>
      <c r="AX103" s="448"/>
      <c r="AY103" s="448"/>
      <c r="AZ103" s="448"/>
      <c r="BA103" s="448"/>
      <c r="BB103" s="448"/>
      <c r="BC103" s="448"/>
      <c r="BD103" s="448"/>
      <c r="BE103" s="448"/>
      <c r="BF103" s="448"/>
      <c r="BG103" s="448"/>
      <c r="BH103" s="448"/>
      <c r="BI103" s="448"/>
      <c r="BJ103" s="448"/>
      <c r="BK103" s="448"/>
      <c r="BL103" s="448"/>
    </row>
    <row r="104" spans="1:64" ht="25">
      <c r="A104" s="422"/>
      <c r="B104" s="422"/>
      <c r="C104" s="445" t="s">
        <v>754</v>
      </c>
      <c r="D104" s="432">
        <v>1</v>
      </c>
      <c r="E104" s="441" t="s">
        <v>666</v>
      </c>
      <c r="F104" s="432">
        <f>'[161]Civil-SOR'!$G$213</f>
        <v>297</v>
      </c>
      <c r="G104" s="431">
        <v>1</v>
      </c>
      <c r="H104" s="406" t="s">
        <v>666</v>
      </c>
      <c r="I104" s="408">
        <f t="shared" ref="I104:I105" si="12">IF(G104="",D104*F104,(D104*F104/G104))</f>
        <v>297</v>
      </c>
      <c r="J104" s="446"/>
      <c r="K104" s="447"/>
      <c r="L104" s="447"/>
      <c r="M104" s="448"/>
      <c r="N104" s="448"/>
      <c r="O104" s="448"/>
      <c r="P104" s="448"/>
      <c r="Q104" s="448"/>
      <c r="R104" s="448"/>
      <c r="S104" s="448"/>
      <c r="T104" s="448"/>
      <c r="U104" s="448"/>
      <c r="V104" s="448"/>
      <c r="W104" s="448"/>
      <c r="X104" s="448"/>
      <c r="Y104" s="448"/>
      <c r="Z104" s="448"/>
      <c r="AA104" s="448"/>
      <c r="AB104" s="448"/>
      <c r="AC104" s="448"/>
      <c r="AD104" s="448"/>
      <c r="AE104" s="448"/>
      <c r="AF104" s="448"/>
      <c r="AG104" s="448"/>
      <c r="AH104" s="448"/>
      <c r="AI104" s="448"/>
      <c r="AJ104" s="448"/>
      <c r="AK104" s="448"/>
      <c r="AL104" s="448"/>
      <c r="AM104" s="448"/>
      <c r="AN104" s="448"/>
      <c r="AO104" s="448"/>
      <c r="AP104" s="448"/>
      <c r="AQ104" s="448"/>
      <c r="AR104" s="448"/>
      <c r="AS104" s="448"/>
      <c r="AT104" s="448"/>
      <c r="AU104" s="448"/>
      <c r="AV104" s="448"/>
      <c r="AW104" s="448"/>
      <c r="AX104" s="448"/>
      <c r="AY104" s="448"/>
      <c r="AZ104" s="448"/>
      <c r="BA104" s="448"/>
      <c r="BB104" s="448"/>
      <c r="BC104" s="448"/>
      <c r="BD104" s="448"/>
      <c r="BE104" s="448"/>
      <c r="BF104" s="448"/>
      <c r="BG104" s="448"/>
      <c r="BH104" s="448"/>
      <c r="BI104" s="448"/>
      <c r="BJ104" s="448"/>
      <c r="BK104" s="448"/>
      <c r="BL104" s="448"/>
    </row>
    <row r="105" spans="1:64" ht="13">
      <c r="A105" s="422"/>
      <c r="B105" s="422"/>
      <c r="C105" s="445" t="str">
        <f>[161]Input!$C$47</f>
        <v>Add for MA @ 40%</v>
      </c>
      <c r="D105" s="432">
        <f>[161]Input!$D$47</f>
        <v>0.4</v>
      </c>
      <c r="E105" s="441"/>
      <c r="F105" s="432">
        <f>I104</f>
        <v>297</v>
      </c>
      <c r="G105" s="431"/>
      <c r="H105" s="406"/>
      <c r="I105" s="408">
        <f t="shared" si="12"/>
        <v>118.80000000000001</v>
      </c>
      <c r="J105" s="446"/>
      <c r="K105" s="447"/>
      <c r="L105" s="447"/>
      <c r="M105" s="448"/>
      <c r="N105" s="448"/>
      <c r="O105" s="448"/>
      <c r="P105" s="448"/>
      <c r="Q105" s="448"/>
      <c r="R105" s="448"/>
      <c r="S105" s="448"/>
      <c r="T105" s="448"/>
      <c r="U105" s="448"/>
      <c r="V105" s="448"/>
      <c r="W105" s="448"/>
      <c r="X105" s="448"/>
      <c r="Y105" s="448"/>
      <c r="Z105" s="448"/>
      <c r="AA105" s="448"/>
      <c r="AB105" s="448"/>
      <c r="AC105" s="448"/>
      <c r="AD105" s="448"/>
      <c r="AE105" s="448"/>
      <c r="AF105" s="448"/>
      <c r="AG105" s="448"/>
      <c r="AH105" s="448"/>
      <c r="AI105" s="448"/>
      <c r="AJ105" s="448"/>
      <c r="AK105" s="448"/>
      <c r="AL105" s="448"/>
      <c r="AM105" s="448"/>
      <c r="AN105" s="448"/>
      <c r="AO105" s="448"/>
      <c r="AP105" s="448"/>
      <c r="AQ105" s="448"/>
      <c r="AR105" s="448"/>
      <c r="AS105" s="448"/>
      <c r="AT105" s="448"/>
      <c r="AU105" s="448"/>
      <c r="AV105" s="448"/>
      <c r="AW105" s="448"/>
      <c r="AX105" s="448"/>
      <c r="AY105" s="448"/>
      <c r="AZ105" s="448"/>
      <c r="BA105" s="448"/>
      <c r="BB105" s="448"/>
      <c r="BC105" s="448"/>
      <c r="BD105" s="448"/>
      <c r="BE105" s="448"/>
      <c r="BF105" s="448"/>
      <c r="BG105" s="448"/>
      <c r="BH105" s="448"/>
      <c r="BI105" s="448"/>
      <c r="BJ105" s="448"/>
      <c r="BK105" s="448"/>
      <c r="BL105" s="448"/>
    </row>
    <row r="106" spans="1:64" ht="13">
      <c r="A106" s="422"/>
      <c r="B106" s="422"/>
      <c r="C106" s="451" t="s">
        <v>724</v>
      </c>
      <c r="D106" s="432"/>
      <c r="E106" s="441"/>
      <c r="F106" s="432"/>
      <c r="G106" s="431"/>
      <c r="H106" s="406"/>
      <c r="I106" s="432">
        <f>SUM(I104:I105)</f>
        <v>415.8</v>
      </c>
      <c r="J106" s="446"/>
      <c r="K106" s="447"/>
      <c r="L106" s="447"/>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48"/>
      <c r="BC106" s="448"/>
      <c r="BD106" s="448"/>
      <c r="BE106" s="448"/>
      <c r="BF106" s="448"/>
      <c r="BG106" s="448"/>
      <c r="BH106" s="448"/>
      <c r="BI106" s="448"/>
      <c r="BJ106" s="448"/>
      <c r="BK106" s="448"/>
      <c r="BL106" s="448"/>
    </row>
    <row r="107" spans="1:64" ht="25">
      <c r="A107" s="422"/>
      <c r="B107" s="422"/>
      <c r="C107" s="445" t="str">
        <f>[161]Input!$C$48</f>
        <v>Overheads &amp; Contractors Profit @ 13.615%</v>
      </c>
      <c r="D107" s="444">
        <f>[161]Input!$D$48</f>
        <v>0.13614999999999999</v>
      </c>
      <c r="E107" s="441"/>
      <c r="F107" s="432">
        <f>I106</f>
        <v>415.8</v>
      </c>
      <c r="G107" s="431"/>
      <c r="H107" s="406"/>
      <c r="I107" s="408">
        <f>IF(G107="",D107*F107,(D107*F107/G107))</f>
        <v>56.611170000000001</v>
      </c>
      <c r="J107" s="446"/>
      <c r="K107" s="447"/>
      <c r="L107" s="447"/>
      <c r="M107" s="448"/>
      <c r="N107" s="448"/>
      <c r="O107" s="448"/>
      <c r="P107" s="448"/>
      <c r="Q107" s="448"/>
      <c r="R107" s="448"/>
      <c r="S107" s="448"/>
      <c r="T107" s="448"/>
      <c r="U107" s="448"/>
      <c r="V107" s="448"/>
      <c r="W107" s="448"/>
      <c r="X107" s="448"/>
      <c r="Y107" s="448"/>
      <c r="Z107" s="448"/>
      <c r="AA107" s="448"/>
      <c r="AB107" s="448"/>
      <c r="AC107" s="448"/>
      <c r="AD107" s="448"/>
      <c r="AE107" s="448"/>
      <c r="AF107" s="448"/>
      <c r="AG107" s="448"/>
      <c r="AH107" s="448"/>
      <c r="AI107" s="448"/>
      <c r="AJ107" s="448"/>
      <c r="AK107" s="448"/>
      <c r="AL107" s="448"/>
      <c r="AM107" s="448"/>
      <c r="AN107" s="448"/>
      <c r="AO107" s="448"/>
      <c r="AP107" s="448"/>
      <c r="AQ107" s="448"/>
      <c r="AR107" s="448"/>
      <c r="AS107" s="448"/>
      <c r="AT107" s="448"/>
      <c r="AU107" s="448"/>
      <c r="AV107" s="448"/>
      <c r="AW107" s="448"/>
      <c r="AX107" s="448"/>
      <c r="AY107" s="448"/>
      <c r="AZ107" s="448"/>
      <c r="BA107" s="448"/>
      <c r="BB107" s="448"/>
      <c r="BC107" s="448"/>
      <c r="BD107" s="448"/>
      <c r="BE107" s="448"/>
      <c r="BF107" s="448"/>
      <c r="BG107" s="448"/>
      <c r="BH107" s="448"/>
      <c r="BI107" s="448"/>
      <c r="BJ107" s="448"/>
      <c r="BK107" s="448"/>
      <c r="BL107" s="448"/>
    </row>
    <row r="108" spans="1:64" ht="13">
      <c r="A108" s="422"/>
      <c r="B108" s="422"/>
      <c r="C108" s="451" t="s">
        <v>724</v>
      </c>
      <c r="D108" s="432"/>
      <c r="E108" s="441"/>
      <c r="F108" s="432"/>
      <c r="G108" s="431"/>
      <c r="H108" s="408" t="s">
        <v>725</v>
      </c>
      <c r="I108" s="408">
        <f>SUM(I106:I107)</f>
        <v>472.41117000000003</v>
      </c>
      <c r="J108" s="446"/>
      <c r="K108" s="447"/>
      <c r="L108" s="447"/>
      <c r="M108" s="448"/>
      <c r="N108" s="448"/>
      <c r="O108" s="448"/>
      <c r="P108" s="448"/>
      <c r="Q108" s="448"/>
      <c r="R108" s="448"/>
      <c r="S108" s="448"/>
      <c r="T108" s="448"/>
      <c r="U108" s="448"/>
      <c r="V108" s="448"/>
      <c r="W108" s="448"/>
      <c r="X108" s="448"/>
      <c r="Y108" s="448"/>
      <c r="Z108" s="448"/>
      <c r="AA108" s="448"/>
      <c r="AB108" s="448"/>
      <c r="AC108" s="448"/>
      <c r="AD108" s="448"/>
      <c r="AE108" s="448"/>
      <c r="AF108" s="448"/>
      <c r="AG108" s="448"/>
      <c r="AH108" s="448"/>
      <c r="AI108" s="448"/>
      <c r="AJ108" s="448"/>
      <c r="AK108" s="448"/>
      <c r="AL108" s="448"/>
      <c r="AM108" s="448"/>
      <c r="AN108" s="448"/>
      <c r="AO108" s="448"/>
      <c r="AP108" s="448"/>
      <c r="AQ108" s="448"/>
      <c r="AR108" s="448"/>
      <c r="AS108" s="448"/>
      <c r="AT108" s="448"/>
      <c r="AU108" s="448"/>
      <c r="AV108" s="448"/>
      <c r="AW108" s="448"/>
      <c r="AX108" s="448"/>
      <c r="AY108" s="448"/>
      <c r="AZ108" s="448"/>
      <c r="BA108" s="448"/>
      <c r="BB108" s="448"/>
      <c r="BC108" s="448"/>
      <c r="BD108" s="448"/>
      <c r="BE108" s="448"/>
      <c r="BF108" s="448"/>
      <c r="BG108" s="448"/>
      <c r="BH108" s="448"/>
      <c r="BI108" s="448"/>
      <c r="BJ108" s="448"/>
      <c r="BK108" s="448"/>
      <c r="BL108" s="448"/>
    </row>
    <row r="109" spans="1:64" ht="13">
      <c r="A109" s="422"/>
      <c r="B109" s="422"/>
      <c r="C109" s="406"/>
      <c r="D109" s="432"/>
      <c r="E109" s="441"/>
      <c r="F109" s="432"/>
      <c r="G109" s="431"/>
      <c r="H109" s="407" t="s">
        <v>726</v>
      </c>
      <c r="I109" s="414">
        <f>ROUND(I108,0)</f>
        <v>472</v>
      </c>
      <c r="J109" s="437"/>
      <c r="K109" s="438"/>
      <c r="L109" s="438"/>
      <c r="M109" s="439"/>
      <c r="N109" s="439"/>
      <c r="O109" s="439"/>
      <c r="P109" s="439"/>
      <c r="Q109" s="439"/>
      <c r="R109" s="439"/>
      <c r="S109" s="439"/>
      <c r="T109" s="439"/>
      <c r="U109" s="439"/>
      <c r="V109" s="439"/>
      <c r="W109" s="439"/>
      <c r="X109" s="439"/>
      <c r="Y109" s="439"/>
      <c r="Z109" s="439"/>
      <c r="AA109" s="439"/>
      <c r="AB109" s="439"/>
      <c r="AC109" s="439"/>
      <c r="AD109" s="439"/>
      <c r="AE109" s="439"/>
      <c r="AF109" s="439"/>
      <c r="AG109" s="439"/>
      <c r="AH109" s="439"/>
      <c r="AI109" s="439"/>
      <c r="AJ109" s="439"/>
      <c r="AK109" s="439"/>
      <c r="AL109" s="439"/>
      <c r="AM109" s="439"/>
      <c r="AN109" s="439"/>
      <c r="AO109" s="439"/>
      <c r="AP109" s="439"/>
      <c r="AQ109" s="439"/>
      <c r="AR109" s="439"/>
      <c r="AS109" s="439"/>
      <c r="AT109" s="439"/>
      <c r="AU109" s="439"/>
      <c r="AV109" s="439"/>
      <c r="AW109" s="439"/>
      <c r="AX109" s="439"/>
      <c r="AY109" s="439"/>
      <c r="AZ109" s="439"/>
      <c r="BA109" s="439"/>
      <c r="BB109" s="439"/>
      <c r="BC109" s="439"/>
      <c r="BD109" s="439"/>
      <c r="BE109" s="439"/>
      <c r="BF109" s="439"/>
      <c r="BG109" s="439"/>
      <c r="BH109" s="439"/>
      <c r="BI109" s="439"/>
      <c r="BJ109" s="439"/>
      <c r="BK109" s="439"/>
      <c r="BL109" s="439"/>
    </row>
    <row r="110" spans="1:64" ht="13">
      <c r="A110" s="422"/>
      <c r="B110" s="422"/>
      <c r="C110" s="406"/>
      <c r="D110" s="432"/>
      <c r="E110" s="441"/>
      <c r="F110" s="432"/>
      <c r="G110" s="431"/>
      <c r="H110" s="406"/>
      <c r="I110" s="422"/>
      <c r="J110" s="437"/>
      <c r="K110" s="438"/>
      <c r="L110" s="438"/>
      <c r="M110" s="439"/>
      <c r="N110" s="439"/>
      <c r="O110" s="439"/>
      <c r="P110" s="439"/>
      <c r="Q110" s="439"/>
      <c r="R110" s="439"/>
      <c r="S110" s="439"/>
      <c r="T110" s="439"/>
      <c r="U110" s="439"/>
      <c r="V110" s="439"/>
      <c r="W110" s="439"/>
      <c r="X110" s="439"/>
      <c r="Y110" s="439"/>
      <c r="Z110" s="439"/>
      <c r="AA110" s="439"/>
      <c r="AB110" s="439"/>
      <c r="AC110" s="439"/>
      <c r="AD110" s="439"/>
      <c r="AE110" s="439"/>
      <c r="AF110" s="439"/>
      <c r="AG110" s="439"/>
      <c r="AH110" s="439"/>
      <c r="AI110" s="439"/>
      <c r="AJ110" s="439"/>
      <c r="AK110" s="439"/>
      <c r="AL110" s="439"/>
      <c r="AM110" s="439"/>
      <c r="AN110" s="439"/>
      <c r="AO110" s="439"/>
      <c r="AP110" s="439"/>
      <c r="AQ110" s="439"/>
      <c r="AR110" s="439"/>
      <c r="AS110" s="439"/>
      <c r="AT110" s="439"/>
      <c r="AU110" s="439"/>
      <c r="AV110" s="439"/>
      <c r="AW110" s="439"/>
      <c r="AX110" s="439"/>
      <c r="AY110" s="439"/>
      <c r="AZ110" s="439"/>
      <c r="BA110" s="439"/>
      <c r="BB110" s="439"/>
      <c r="BC110" s="439"/>
      <c r="BD110" s="439"/>
      <c r="BE110" s="439"/>
      <c r="BF110" s="439"/>
      <c r="BG110" s="439"/>
      <c r="BH110" s="439"/>
      <c r="BI110" s="439"/>
      <c r="BJ110" s="439"/>
      <c r="BK110" s="439"/>
      <c r="BL110" s="439"/>
    </row>
    <row r="111" spans="1:64" ht="13">
      <c r="A111" s="422"/>
      <c r="B111" s="422"/>
      <c r="C111" s="406"/>
      <c r="D111" s="432"/>
      <c r="E111" s="441"/>
      <c r="F111" s="432"/>
      <c r="G111" s="431"/>
      <c r="H111" s="406"/>
      <c r="I111" s="422"/>
      <c r="J111" s="437"/>
      <c r="K111" s="438"/>
      <c r="L111" s="438"/>
      <c r="M111" s="439"/>
      <c r="N111" s="439"/>
      <c r="O111" s="439"/>
      <c r="P111" s="439"/>
      <c r="Q111" s="439"/>
      <c r="R111" s="439"/>
      <c r="S111" s="439"/>
      <c r="T111" s="439"/>
      <c r="U111" s="439"/>
      <c r="V111" s="439"/>
      <c r="W111" s="439"/>
      <c r="X111" s="439"/>
      <c r="Y111" s="439"/>
      <c r="Z111" s="439"/>
      <c r="AA111" s="439"/>
      <c r="AB111" s="439"/>
      <c r="AC111" s="439"/>
      <c r="AD111" s="439"/>
      <c r="AE111" s="439"/>
      <c r="AF111" s="439"/>
      <c r="AG111" s="439"/>
      <c r="AH111" s="439"/>
      <c r="AI111" s="439"/>
      <c r="AJ111" s="439"/>
      <c r="AK111" s="439"/>
      <c r="AL111" s="439"/>
      <c r="AM111" s="439"/>
      <c r="AN111" s="439"/>
      <c r="AO111" s="439"/>
      <c r="AP111" s="439"/>
      <c r="AQ111" s="439"/>
      <c r="AR111" s="439"/>
      <c r="AS111" s="439"/>
      <c r="AT111" s="439"/>
      <c r="AU111" s="439"/>
      <c r="AV111" s="439"/>
      <c r="AW111" s="439"/>
      <c r="AX111" s="439"/>
      <c r="AY111" s="439"/>
      <c r="AZ111" s="439"/>
      <c r="BA111" s="439"/>
      <c r="BB111" s="439"/>
      <c r="BC111" s="439"/>
      <c r="BD111" s="439"/>
      <c r="BE111" s="439"/>
      <c r="BF111" s="439"/>
      <c r="BG111" s="439"/>
      <c r="BH111" s="439"/>
      <c r="BI111" s="439"/>
      <c r="BJ111" s="439"/>
      <c r="BK111" s="439"/>
      <c r="BL111" s="439"/>
    </row>
    <row r="112" spans="1:64" ht="13">
      <c r="A112" s="422"/>
      <c r="B112" s="422" t="s">
        <v>755</v>
      </c>
      <c r="C112" s="433" t="s">
        <v>756</v>
      </c>
      <c r="D112" s="422"/>
      <c r="E112" s="442"/>
      <c r="F112" s="422"/>
      <c r="G112" s="436"/>
      <c r="H112" s="407"/>
      <c r="I112" s="422"/>
      <c r="J112" s="437"/>
      <c r="K112" s="438"/>
      <c r="L112" s="438"/>
      <c r="M112" s="439"/>
      <c r="N112" s="439"/>
      <c r="O112" s="439"/>
      <c r="P112" s="439"/>
      <c r="Q112" s="439"/>
      <c r="R112" s="439"/>
      <c r="S112" s="439"/>
      <c r="T112" s="439"/>
      <c r="U112" s="439"/>
      <c r="V112" s="439"/>
      <c r="W112" s="439"/>
      <c r="X112" s="439"/>
      <c r="Y112" s="439"/>
      <c r="Z112" s="439"/>
      <c r="AA112" s="439"/>
      <c r="AB112" s="439"/>
      <c r="AC112" s="439"/>
      <c r="AD112" s="439"/>
      <c r="AE112" s="439"/>
      <c r="AF112" s="439"/>
      <c r="AG112" s="439"/>
      <c r="AH112" s="439"/>
      <c r="AI112" s="439"/>
      <c r="AJ112" s="439"/>
      <c r="AK112" s="439"/>
      <c r="AL112" s="439"/>
      <c r="AM112" s="439"/>
      <c r="AN112" s="439"/>
      <c r="AO112" s="439"/>
      <c r="AP112" s="439"/>
      <c r="AQ112" s="439"/>
      <c r="AR112" s="439"/>
      <c r="AS112" s="439"/>
      <c r="AT112" s="439"/>
      <c r="AU112" s="439"/>
      <c r="AV112" s="439"/>
      <c r="AW112" s="439"/>
      <c r="AX112" s="439"/>
      <c r="AY112" s="439"/>
      <c r="AZ112" s="439"/>
      <c r="BA112" s="439"/>
      <c r="BB112" s="439"/>
      <c r="BC112" s="439"/>
      <c r="BD112" s="439"/>
      <c r="BE112" s="439"/>
      <c r="BF112" s="439"/>
      <c r="BG112" s="439"/>
      <c r="BH112" s="439"/>
      <c r="BI112" s="439"/>
      <c r="BJ112" s="439"/>
      <c r="BK112" s="439"/>
      <c r="BL112" s="439"/>
    </row>
    <row r="113" spans="1:64" ht="13">
      <c r="A113" s="422"/>
      <c r="B113" s="422"/>
      <c r="C113" s="429" t="s">
        <v>757</v>
      </c>
      <c r="D113" s="432">
        <v>10</v>
      </c>
      <c r="E113" s="441" t="s">
        <v>17</v>
      </c>
      <c r="F113" s="432">
        <f>'[161]Civil-SOR'!$G$214</f>
        <v>7</v>
      </c>
      <c r="G113" s="431">
        <v>1</v>
      </c>
      <c r="H113" s="406" t="s">
        <v>17</v>
      </c>
      <c r="I113" s="408">
        <f t="shared" ref="I113:I114" si="13">IF(G113="",D113*F113,(D113*F113/G113))</f>
        <v>70</v>
      </c>
      <c r="J113" s="437"/>
      <c r="K113" s="438"/>
      <c r="L113" s="438"/>
      <c r="M113" s="439"/>
      <c r="N113" s="439"/>
      <c r="O113" s="439"/>
      <c r="P113" s="439"/>
      <c r="Q113" s="439"/>
      <c r="R113" s="439"/>
      <c r="S113" s="439"/>
      <c r="T113" s="439"/>
      <c r="U113" s="439"/>
      <c r="V113" s="439"/>
      <c r="W113" s="439"/>
      <c r="X113" s="439"/>
      <c r="Y113" s="439"/>
      <c r="Z113" s="439"/>
      <c r="AA113" s="439"/>
      <c r="AB113" s="439"/>
      <c r="AC113" s="439"/>
      <c r="AD113" s="439"/>
      <c r="AE113" s="439"/>
      <c r="AF113" s="439"/>
      <c r="AG113" s="439"/>
      <c r="AH113" s="439"/>
      <c r="AI113" s="439"/>
      <c r="AJ113" s="439"/>
      <c r="AK113" s="439"/>
      <c r="AL113" s="439"/>
      <c r="AM113" s="439"/>
      <c r="AN113" s="439"/>
      <c r="AO113" s="439"/>
      <c r="AP113" s="439"/>
      <c r="AQ113" s="439"/>
      <c r="AR113" s="439"/>
      <c r="AS113" s="439"/>
      <c r="AT113" s="439"/>
      <c r="AU113" s="439"/>
      <c r="AV113" s="439"/>
      <c r="AW113" s="439"/>
      <c r="AX113" s="439"/>
      <c r="AY113" s="439"/>
      <c r="AZ113" s="439"/>
      <c r="BA113" s="439"/>
      <c r="BB113" s="439"/>
      <c r="BC113" s="439"/>
      <c r="BD113" s="439"/>
      <c r="BE113" s="439"/>
      <c r="BF113" s="439"/>
      <c r="BG113" s="439"/>
      <c r="BH113" s="439"/>
      <c r="BI113" s="439"/>
      <c r="BJ113" s="439"/>
      <c r="BK113" s="439"/>
      <c r="BL113" s="439"/>
    </row>
    <row r="114" spans="1:64" ht="13">
      <c r="A114" s="422"/>
      <c r="B114" s="422"/>
      <c r="C114" s="429" t="str">
        <f>[161]Input!$C$47</f>
        <v>Add for MA @ 40%</v>
      </c>
      <c r="D114" s="432">
        <f>[161]Input!$D$47</f>
        <v>0.4</v>
      </c>
      <c r="E114" s="441"/>
      <c r="F114" s="432">
        <f>I113</f>
        <v>70</v>
      </c>
      <c r="G114" s="431"/>
      <c r="H114" s="406"/>
      <c r="I114" s="408">
        <f t="shared" si="13"/>
        <v>28</v>
      </c>
      <c r="J114" s="437"/>
      <c r="K114" s="438"/>
      <c r="L114" s="438"/>
      <c r="M114" s="439"/>
      <c r="N114" s="439"/>
      <c r="O114" s="439"/>
      <c r="P114" s="439"/>
      <c r="Q114" s="439"/>
      <c r="R114" s="439"/>
      <c r="S114" s="439"/>
      <c r="T114" s="439"/>
      <c r="U114" s="439"/>
      <c r="V114" s="439"/>
      <c r="W114" s="439"/>
      <c r="X114" s="439"/>
      <c r="Y114" s="439"/>
      <c r="Z114" s="439"/>
      <c r="AA114" s="439"/>
      <c r="AB114" s="439"/>
      <c r="AC114" s="439"/>
      <c r="AD114" s="439"/>
      <c r="AE114" s="439"/>
      <c r="AF114" s="439"/>
      <c r="AG114" s="439"/>
      <c r="AH114" s="439"/>
      <c r="AI114" s="439"/>
      <c r="AJ114" s="439"/>
      <c r="AK114" s="439"/>
      <c r="AL114" s="439"/>
      <c r="AM114" s="439"/>
      <c r="AN114" s="439"/>
      <c r="AO114" s="439"/>
      <c r="AP114" s="439"/>
      <c r="AQ114" s="439"/>
      <c r="AR114" s="439"/>
      <c r="AS114" s="439"/>
      <c r="AT114" s="439"/>
      <c r="AU114" s="439"/>
      <c r="AV114" s="439"/>
      <c r="AW114" s="439"/>
      <c r="AX114" s="439"/>
      <c r="AY114" s="439"/>
      <c r="AZ114" s="439"/>
      <c r="BA114" s="439"/>
      <c r="BB114" s="439"/>
      <c r="BC114" s="439"/>
      <c r="BD114" s="439"/>
      <c r="BE114" s="439"/>
      <c r="BF114" s="439"/>
      <c r="BG114" s="439"/>
      <c r="BH114" s="439"/>
      <c r="BI114" s="439"/>
      <c r="BJ114" s="439"/>
      <c r="BK114" s="439"/>
      <c r="BL114" s="439"/>
    </row>
    <row r="115" spans="1:64" ht="13">
      <c r="A115" s="422"/>
      <c r="B115" s="422"/>
      <c r="C115" s="440" t="s">
        <v>741</v>
      </c>
      <c r="D115" s="432"/>
      <c r="E115" s="441"/>
      <c r="F115" s="432"/>
      <c r="G115" s="431"/>
      <c r="H115" s="406"/>
      <c r="I115" s="432">
        <f>SUM(I113:I114)</f>
        <v>98</v>
      </c>
      <c r="J115" s="437"/>
      <c r="K115" s="438"/>
      <c r="L115" s="438"/>
      <c r="M115" s="439"/>
      <c r="N115" s="439"/>
      <c r="O115" s="439"/>
      <c r="P115" s="439"/>
      <c r="Q115" s="439"/>
      <c r="R115" s="439"/>
      <c r="S115" s="439"/>
      <c r="T115" s="439"/>
      <c r="U115" s="439"/>
      <c r="V115" s="439"/>
      <c r="W115" s="439"/>
      <c r="X115" s="439"/>
      <c r="Y115" s="439"/>
      <c r="Z115" s="439"/>
      <c r="AA115" s="439"/>
      <c r="AB115" s="439"/>
      <c r="AC115" s="439"/>
      <c r="AD115" s="439"/>
      <c r="AE115" s="439"/>
      <c r="AF115" s="439"/>
      <c r="AG115" s="439"/>
      <c r="AH115" s="439"/>
      <c r="AI115" s="439"/>
      <c r="AJ115" s="439"/>
      <c r="AK115" s="439"/>
      <c r="AL115" s="439"/>
      <c r="AM115" s="439"/>
      <c r="AN115" s="439"/>
      <c r="AO115" s="439"/>
      <c r="AP115" s="439"/>
      <c r="AQ115" s="439"/>
      <c r="AR115" s="439"/>
      <c r="AS115" s="439"/>
      <c r="AT115" s="439"/>
      <c r="AU115" s="439"/>
      <c r="AV115" s="439"/>
      <c r="AW115" s="439"/>
      <c r="AX115" s="439"/>
      <c r="AY115" s="439"/>
      <c r="AZ115" s="439"/>
      <c r="BA115" s="439"/>
      <c r="BB115" s="439"/>
      <c r="BC115" s="439"/>
      <c r="BD115" s="439"/>
      <c r="BE115" s="439"/>
      <c r="BF115" s="439"/>
      <c r="BG115" s="439"/>
      <c r="BH115" s="439"/>
      <c r="BI115" s="439"/>
      <c r="BJ115" s="439"/>
      <c r="BK115" s="439"/>
      <c r="BL115" s="439"/>
    </row>
    <row r="116" spans="1:64" ht="13">
      <c r="A116" s="422"/>
      <c r="B116" s="422"/>
      <c r="C116" s="440" t="s">
        <v>742</v>
      </c>
      <c r="D116" s="432"/>
      <c r="E116" s="441"/>
      <c r="F116" s="432"/>
      <c r="G116" s="431"/>
      <c r="H116" s="406"/>
      <c r="I116" s="432">
        <f>I115/10</f>
        <v>9.8000000000000007</v>
      </c>
      <c r="J116" s="437"/>
      <c r="K116" s="438"/>
      <c r="L116" s="438"/>
      <c r="M116" s="439"/>
      <c r="N116" s="439"/>
      <c r="O116" s="439"/>
      <c r="P116" s="439"/>
      <c r="Q116" s="439"/>
      <c r="R116" s="439"/>
      <c r="S116" s="439"/>
      <c r="T116" s="439"/>
      <c r="U116" s="439"/>
      <c r="V116" s="439"/>
      <c r="W116" s="439"/>
      <c r="X116" s="439"/>
      <c r="Y116" s="439"/>
      <c r="Z116" s="439"/>
      <c r="AA116" s="439"/>
      <c r="AB116" s="439"/>
      <c r="AC116" s="439"/>
      <c r="AD116" s="439"/>
      <c r="AE116" s="439"/>
      <c r="AF116" s="439"/>
      <c r="AG116" s="439"/>
      <c r="AH116" s="439"/>
      <c r="AI116" s="439"/>
      <c r="AJ116" s="439"/>
      <c r="AK116" s="439"/>
      <c r="AL116" s="439"/>
      <c r="AM116" s="439"/>
      <c r="AN116" s="439"/>
      <c r="AO116" s="439"/>
      <c r="AP116" s="439"/>
      <c r="AQ116" s="439"/>
      <c r="AR116" s="439"/>
      <c r="AS116" s="439"/>
      <c r="AT116" s="439"/>
      <c r="AU116" s="439"/>
      <c r="AV116" s="439"/>
      <c r="AW116" s="439"/>
      <c r="AX116" s="439"/>
      <c r="AY116" s="439"/>
      <c r="AZ116" s="439"/>
      <c r="BA116" s="439"/>
      <c r="BB116" s="439"/>
      <c r="BC116" s="439"/>
      <c r="BD116" s="439"/>
      <c r="BE116" s="439"/>
      <c r="BF116" s="439"/>
      <c r="BG116" s="439"/>
      <c r="BH116" s="439"/>
      <c r="BI116" s="439"/>
      <c r="BJ116" s="439"/>
      <c r="BK116" s="439"/>
      <c r="BL116" s="439"/>
    </row>
    <row r="117" spans="1:64" ht="25">
      <c r="A117" s="422"/>
      <c r="B117" s="422"/>
      <c r="C117" s="445" t="str">
        <f>[161]Input!$C$48</f>
        <v>Overheads &amp; Contractors Profit @ 13.615%</v>
      </c>
      <c r="D117" s="444">
        <f>[161]Input!$D$48</f>
        <v>0.13614999999999999</v>
      </c>
      <c r="E117" s="441"/>
      <c r="F117" s="432">
        <f>I116</f>
        <v>9.8000000000000007</v>
      </c>
      <c r="G117" s="431"/>
      <c r="H117" s="406"/>
      <c r="I117" s="408">
        <f>IF(G117="",D117*F117,(D117*F117/G117))</f>
        <v>1.3342700000000001</v>
      </c>
      <c r="J117" s="437"/>
      <c r="K117" s="438"/>
      <c r="L117" s="438"/>
      <c r="M117" s="439"/>
      <c r="N117" s="439"/>
      <c r="O117" s="439"/>
      <c r="P117" s="439"/>
      <c r="Q117" s="439"/>
      <c r="R117" s="439"/>
      <c r="S117" s="439"/>
      <c r="T117" s="439"/>
      <c r="U117" s="439"/>
      <c r="V117" s="439"/>
      <c r="W117" s="439"/>
      <c r="X117" s="439"/>
      <c r="Y117" s="439"/>
      <c r="Z117" s="439"/>
      <c r="AA117" s="439"/>
      <c r="AB117" s="439"/>
      <c r="AC117" s="439"/>
      <c r="AD117" s="439"/>
      <c r="AE117" s="439"/>
      <c r="AF117" s="439"/>
      <c r="AG117" s="439"/>
      <c r="AH117" s="439"/>
      <c r="AI117" s="439"/>
      <c r="AJ117" s="439"/>
      <c r="AK117" s="439"/>
      <c r="AL117" s="439"/>
      <c r="AM117" s="439"/>
      <c r="AN117" s="439"/>
      <c r="AO117" s="439"/>
      <c r="AP117" s="439"/>
      <c r="AQ117" s="439"/>
      <c r="AR117" s="439"/>
      <c r="AS117" s="439"/>
      <c r="AT117" s="439"/>
      <c r="AU117" s="439"/>
      <c r="AV117" s="439"/>
      <c r="AW117" s="439"/>
      <c r="AX117" s="439"/>
      <c r="AY117" s="439"/>
      <c r="AZ117" s="439"/>
      <c r="BA117" s="439"/>
      <c r="BB117" s="439"/>
      <c r="BC117" s="439"/>
      <c r="BD117" s="439"/>
      <c r="BE117" s="439"/>
      <c r="BF117" s="439"/>
      <c r="BG117" s="439"/>
      <c r="BH117" s="439"/>
      <c r="BI117" s="439"/>
      <c r="BJ117" s="439"/>
      <c r="BK117" s="439"/>
      <c r="BL117" s="439"/>
    </row>
    <row r="118" spans="1:64" ht="13">
      <c r="A118" s="422"/>
      <c r="B118" s="422"/>
      <c r="C118" s="440" t="s">
        <v>742</v>
      </c>
      <c r="D118" s="432"/>
      <c r="E118" s="441"/>
      <c r="F118" s="432"/>
      <c r="G118" s="431"/>
      <c r="H118" s="408" t="s">
        <v>725</v>
      </c>
      <c r="I118" s="414">
        <f>SUM(I116:I117)</f>
        <v>11.134270000000001</v>
      </c>
      <c r="J118" s="437"/>
      <c r="K118" s="438"/>
      <c r="L118" s="438"/>
      <c r="M118" s="439"/>
      <c r="N118" s="439"/>
      <c r="O118" s="439"/>
      <c r="P118" s="439"/>
      <c r="Q118" s="439"/>
      <c r="R118" s="439"/>
      <c r="S118" s="439"/>
      <c r="T118" s="439"/>
      <c r="U118" s="439"/>
      <c r="V118" s="439"/>
      <c r="W118" s="439"/>
      <c r="X118" s="439"/>
      <c r="Y118" s="439"/>
      <c r="Z118" s="439"/>
      <c r="AA118" s="439"/>
      <c r="AB118" s="439"/>
      <c r="AC118" s="439"/>
      <c r="AD118" s="439"/>
      <c r="AE118" s="439"/>
      <c r="AF118" s="439"/>
      <c r="AG118" s="439"/>
      <c r="AH118" s="439"/>
      <c r="AI118" s="439"/>
      <c r="AJ118" s="439"/>
      <c r="AK118" s="439"/>
      <c r="AL118" s="439"/>
      <c r="AM118" s="439"/>
      <c r="AN118" s="439"/>
      <c r="AO118" s="439"/>
      <c r="AP118" s="439"/>
      <c r="AQ118" s="439"/>
      <c r="AR118" s="439"/>
      <c r="AS118" s="439"/>
      <c r="AT118" s="439"/>
      <c r="AU118" s="439"/>
      <c r="AV118" s="439"/>
      <c r="AW118" s="439"/>
      <c r="AX118" s="439"/>
      <c r="AY118" s="439"/>
      <c r="AZ118" s="439"/>
      <c r="BA118" s="439"/>
      <c r="BB118" s="439"/>
      <c r="BC118" s="439"/>
      <c r="BD118" s="439"/>
      <c r="BE118" s="439"/>
      <c r="BF118" s="439"/>
      <c r="BG118" s="439"/>
      <c r="BH118" s="439"/>
      <c r="BI118" s="439"/>
      <c r="BJ118" s="439"/>
      <c r="BK118" s="439"/>
      <c r="BL118" s="439"/>
    </row>
    <row r="119" spans="1:64" ht="13">
      <c r="A119" s="422"/>
      <c r="B119" s="422"/>
      <c r="C119" s="406"/>
      <c r="D119" s="432"/>
      <c r="E119" s="441"/>
      <c r="F119" s="432"/>
      <c r="G119" s="431"/>
      <c r="H119" s="407" t="s">
        <v>726</v>
      </c>
      <c r="I119" s="414">
        <f>ROUND(I118,0)</f>
        <v>11</v>
      </c>
      <c r="J119" s="437"/>
      <c r="K119" s="438"/>
      <c r="L119" s="438"/>
      <c r="M119" s="439"/>
      <c r="N119" s="439"/>
      <c r="O119" s="439"/>
      <c r="P119" s="439"/>
      <c r="Q119" s="439"/>
      <c r="R119" s="439"/>
      <c r="S119" s="439"/>
      <c r="T119" s="439"/>
      <c r="U119" s="439"/>
      <c r="V119" s="439"/>
      <c r="W119" s="439"/>
      <c r="X119" s="439"/>
      <c r="Y119" s="439"/>
      <c r="Z119" s="439"/>
      <c r="AA119" s="439"/>
      <c r="AB119" s="439"/>
      <c r="AC119" s="439"/>
      <c r="AD119" s="439"/>
      <c r="AE119" s="439"/>
      <c r="AF119" s="439"/>
      <c r="AG119" s="439"/>
      <c r="AH119" s="439"/>
      <c r="AI119" s="439"/>
      <c r="AJ119" s="439"/>
      <c r="AK119" s="439"/>
      <c r="AL119" s="439"/>
      <c r="AM119" s="439"/>
      <c r="AN119" s="439"/>
      <c r="AO119" s="439"/>
      <c r="AP119" s="439"/>
      <c r="AQ119" s="439"/>
      <c r="AR119" s="439"/>
      <c r="AS119" s="439"/>
      <c r="AT119" s="439"/>
      <c r="AU119" s="439"/>
      <c r="AV119" s="439"/>
      <c r="AW119" s="439"/>
      <c r="AX119" s="439"/>
      <c r="AY119" s="439"/>
      <c r="AZ119" s="439"/>
      <c r="BA119" s="439"/>
      <c r="BB119" s="439"/>
      <c r="BC119" s="439"/>
      <c r="BD119" s="439"/>
      <c r="BE119" s="439"/>
      <c r="BF119" s="439"/>
      <c r="BG119" s="439"/>
      <c r="BH119" s="439"/>
      <c r="BI119" s="439"/>
      <c r="BJ119" s="439"/>
      <c r="BK119" s="439"/>
      <c r="BL119" s="439"/>
    </row>
    <row r="120" spans="1:64" ht="13">
      <c r="A120" s="422"/>
      <c r="B120" s="422"/>
      <c r="C120" s="406"/>
      <c r="D120" s="432"/>
      <c r="E120" s="441"/>
      <c r="F120" s="432"/>
      <c r="G120" s="431"/>
      <c r="H120" s="406"/>
      <c r="I120" s="414"/>
      <c r="J120" s="437"/>
      <c r="K120" s="438"/>
      <c r="L120" s="438"/>
      <c r="M120" s="452"/>
      <c r="N120" s="452"/>
      <c r="O120" s="452"/>
      <c r="P120" s="452"/>
      <c r="Q120" s="452"/>
      <c r="R120" s="452"/>
      <c r="S120" s="452"/>
      <c r="T120" s="452"/>
      <c r="U120" s="452"/>
      <c r="V120" s="452"/>
      <c r="W120" s="452"/>
      <c r="X120" s="452"/>
      <c r="Y120" s="452"/>
      <c r="Z120" s="452"/>
      <c r="AA120" s="452"/>
      <c r="AB120" s="452"/>
      <c r="AC120" s="452"/>
      <c r="AD120" s="452"/>
      <c r="AE120" s="452"/>
      <c r="AF120" s="452"/>
      <c r="AG120" s="452"/>
      <c r="AH120" s="452"/>
      <c r="AI120" s="452"/>
      <c r="AJ120" s="452"/>
      <c r="AK120" s="452"/>
      <c r="AL120" s="452"/>
      <c r="AM120" s="452"/>
      <c r="AN120" s="452"/>
      <c r="AO120" s="452"/>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row>
    <row r="121" spans="1:64" ht="13">
      <c r="A121" s="422"/>
      <c r="B121" s="422" t="s">
        <v>758</v>
      </c>
      <c r="C121" s="427" t="s">
        <v>759</v>
      </c>
      <c r="D121" s="422"/>
      <c r="E121" s="442"/>
      <c r="F121" s="422"/>
      <c r="G121" s="436"/>
      <c r="H121" s="407"/>
      <c r="I121" s="422"/>
      <c r="J121" s="446"/>
      <c r="K121" s="447"/>
      <c r="L121" s="447"/>
      <c r="M121" s="448"/>
      <c r="N121" s="448"/>
      <c r="O121" s="448"/>
      <c r="P121" s="448"/>
      <c r="Q121" s="448"/>
      <c r="R121" s="448"/>
      <c r="S121" s="448"/>
      <c r="T121" s="448"/>
      <c r="U121" s="448"/>
      <c r="V121" s="448"/>
      <c r="W121" s="448"/>
      <c r="X121" s="448"/>
      <c r="Y121" s="448"/>
      <c r="Z121" s="448"/>
      <c r="AA121" s="448"/>
      <c r="AB121" s="448"/>
      <c r="AC121" s="448"/>
      <c r="AD121" s="448"/>
      <c r="AE121" s="448"/>
      <c r="AF121" s="448"/>
      <c r="AG121" s="448"/>
      <c r="AH121" s="448"/>
      <c r="AI121" s="448"/>
      <c r="AJ121" s="448"/>
      <c r="AK121" s="448"/>
      <c r="AL121" s="448"/>
      <c r="AM121" s="448"/>
      <c r="AN121" s="448"/>
      <c r="AO121" s="448"/>
      <c r="AP121" s="448"/>
      <c r="AQ121" s="448"/>
      <c r="AR121" s="448"/>
      <c r="AS121" s="448"/>
      <c r="AT121" s="448"/>
      <c r="AU121" s="448"/>
      <c r="AV121" s="448"/>
      <c r="AW121" s="448"/>
      <c r="AX121" s="448"/>
      <c r="AY121" s="448"/>
      <c r="AZ121" s="448"/>
      <c r="BA121" s="448"/>
      <c r="BB121" s="448"/>
      <c r="BC121" s="448"/>
      <c r="BD121" s="448"/>
      <c r="BE121" s="448"/>
      <c r="BF121" s="448"/>
      <c r="BG121" s="448"/>
      <c r="BH121" s="448"/>
      <c r="BI121" s="448"/>
      <c r="BJ121" s="448"/>
      <c r="BK121" s="448"/>
      <c r="BL121" s="448"/>
    </row>
    <row r="122" spans="1:64" ht="25">
      <c r="A122" s="422"/>
      <c r="B122" s="422"/>
      <c r="C122" s="445" t="s">
        <v>760</v>
      </c>
      <c r="D122" s="432">
        <v>10</v>
      </c>
      <c r="E122" s="441" t="s">
        <v>17</v>
      </c>
      <c r="F122" s="432">
        <f>'[161]Civil-SOR'!$G$215</f>
        <v>7</v>
      </c>
      <c r="G122" s="431">
        <v>1</v>
      </c>
      <c r="H122" s="406" t="s">
        <v>17</v>
      </c>
      <c r="I122" s="408">
        <f t="shared" ref="I122:I123" si="14">IF(G122="",D122*F122,(D122*F122/G122))</f>
        <v>70</v>
      </c>
      <c r="J122" s="446"/>
      <c r="K122" s="447"/>
      <c r="L122" s="447"/>
      <c r="M122" s="448"/>
      <c r="N122" s="448"/>
      <c r="O122" s="448"/>
      <c r="P122" s="448"/>
      <c r="Q122" s="448"/>
      <c r="R122" s="448"/>
      <c r="S122" s="448"/>
      <c r="T122" s="448"/>
      <c r="U122" s="448"/>
      <c r="V122" s="448"/>
      <c r="W122" s="448"/>
      <c r="X122" s="448"/>
      <c r="Y122" s="448"/>
      <c r="Z122" s="448"/>
      <c r="AA122" s="448"/>
      <c r="AB122" s="448"/>
      <c r="AC122" s="448"/>
      <c r="AD122" s="448"/>
      <c r="AE122" s="448"/>
      <c r="AF122" s="448"/>
      <c r="AG122" s="448"/>
      <c r="AH122" s="448"/>
      <c r="AI122" s="448"/>
      <c r="AJ122" s="448"/>
      <c r="AK122" s="448"/>
      <c r="AL122" s="448"/>
      <c r="AM122" s="448"/>
      <c r="AN122" s="448"/>
      <c r="AO122" s="448"/>
      <c r="AP122" s="448"/>
      <c r="AQ122" s="448"/>
      <c r="AR122" s="448"/>
      <c r="AS122" s="448"/>
      <c r="AT122" s="448"/>
      <c r="AU122" s="448"/>
      <c r="AV122" s="448"/>
      <c r="AW122" s="448"/>
      <c r="AX122" s="448"/>
      <c r="AY122" s="448"/>
      <c r="AZ122" s="448"/>
      <c r="BA122" s="448"/>
      <c r="BB122" s="448"/>
      <c r="BC122" s="448"/>
      <c r="BD122" s="448"/>
      <c r="BE122" s="448"/>
      <c r="BF122" s="448"/>
      <c r="BG122" s="448"/>
      <c r="BH122" s="448"/>
      <c r="BI122" s="448"/>
      <c r="BJ122" s="448"/>
      <c r="BK122" s="448"/>
      <c r="BL122" s="448"/>
    </row>
    <row r="123" spans="1:64" ht="13">
      <c r="A123" s="422"/>
      <c r="B123" s="422"/>
      <c r="C123" s="445" t="str">
        <f>[161]Input!$C$47</f>
        <v>Add for MA @ 40%</v>
      </c>
      <c r="D123" s="432">
        <f>[161]Input!$D$47</f>
        <v>0.4</v>
      </c>
      <c r="E123" s="441"/>
      <c r="F123" s="432">
        <f>I122</f>
        <v>70</v>
      </c>
      <c r="G123" s="431"/>
      <c r="H123" s="406"/>
      <c r="I123" s="408">
        <f t="shared" si="14"/>
        <v>28</v>
      </c>
      <c r="J123" s="446"/>
      <c r="K123" s="447"/>
      <c r="L123" s="447"/>
      <c r="M123" s="448"/>
      <c r="N123" s="448"/>
      <c r="O123" s="448"/>
      <c r="P123" s="448"/>
      <c r="Q123" s="448"/>
      <c r="R123" s="448"/>
      <c r="S123" s="448"/>
      <c r="T123" s="448"/>
      <c r="U123" s="448"/>
      <c r="V123" s="448"/>
      <c r="W123" s="448"/>
      <c r="X123" s="448"/>
      <c r="Y123" s="448"/>
      <c r="Z123" s="448"/>
      <c r="AA123" s="448"/>
      <c r="AB123" s="448"/>
      <c r="AC123" s="448"/>
      <c r="AD123" s="448"/>
      <c r="AE123" s="448"/>
      <c r="AF123" s="448"/>
      <c r="AG123" s="448"/>
      <c r="AH123" s="448"/>
      <c r="AI123" s="448"/>
      <c r="AJ123" s="448"/>
      <c r="AK123" s="448"/>
      <c r="AL123" s="448"/>
      <c r="AM123" s="448"/>
      <c r="AN123" s="448"/>
      <c r="AO123" s="448"/>
      <c r="AP123" s="448"/>
      <c r="AQ123" s="448"/>
      <c r="AR123" s="448"/>
      <c r="AS123" s="448"/>
      <c r="AT123" s="448"/>
      <c r="AU123" s="448"/>
      <c r="AV123" s="448"/>
      <c r="AW123" s="448"/>
      <c r="AX123" s="448"/>
      <c r="AY123" s="448"/>
      <c r="AZ123" s="448"/>
      <c r="BA123" s="448"/>
      <c r="BB123" s="448"/>
      <c r="BC123" s="448"/>
      <c r="BD123" s="448"/>
      <c r="BE123" s="448"/>
      <c r="BF123" s="448"/>
      <c r="BG123" s="448"/>
      <c r="BH123" s="448"/>
      <c r="BI123" s="448"/>
      <c r="BJ123" s="448"/>
      <c r="BK123" s="448"/>
      <c r="BL123" s="448"/>
    </row>
    <row r="124" spans="1:64" ht="13">
      <c r="A124" s="422"/>
      <c r="B124" s="422"/>
      <c r="C124" s="451" t="s">
        <v>741</v>
      </c>
      <c r="D124" s="432"/>
      <c r="E124" s="441"/>
      <c r="F124" s="432"/>
      <c r="G124" s="431"/>
      <c r="H124" s="406"/>
      <c r="I124" s="432">
        <f>SUM(I122:I123)</f>
        <v>98</v>
      </c>
      <c r="J124" s="446"/>
      <c r="K124" s="447"/>
      <c r="L124" s="447"/>
      <c r="M124" s="448"/>
      <c r="N124" s="448"/>
      <c r="O124" s="448"/>
      <c r="P124" s="448"/>
      <c r="Q124" s="448"/>
      <c r="R124" s="448"/>
      <c r="S124" s="448"/>
      <c r="T124" s="448"/>
      <c r="U124" s="448"/>
      <c r="V124" s="448"/>
      <c r="W124" s="448"/>
      <c r="X124" s="448"/>
      <c r="Y124" s="448"/>
      <c r="Z124" s="448"/>
      <c r="AA124" s="448"/>
      <c r="AB124" s="448"/>
      <c r="AC124" s="448"/>
      <c r="AD124" s="448"/>
      <c r="AE124" s="448"/>
      <c r="AF124" s="448"/>
      <c r="AG124" s="448"/>
      <c r="AH124" s="448"/>
      <c r="AI124" s="448"/>
      <c r="AJ124" s="448"/>
      <c r="AK124" s="448"/>
      <c r="AL124" s="448"/>
      <c r="AM124" s="448"/>
      <c r="AN124" s="448"/>
      <c r="AO124" s="448"/>
      <c r="AP124" s="448"/>
      <c r="AQ124" s="448"/>
      <c r="AR124" s="448"/>
      <c r="AS124" s="448"/>
      <c r="AT124" s="448"/>
      <c r="AU124" s="448"/>
      <c r="AV124" s="448"/>
      <c r="AW124" s="448"/>
      <c r="AX124" s="448"/>
      <c r="AY124" s="448"/>
      <c r="AZ124" s="448"/>
      <c r="BA124" s="448"/>
      <c r="BB124" s="448"/>
      <c r="BC124" s="448"/>
      <c r="BD124" s="448"/>
      <c r="BE124" s="448"/>
      <c r="BF124" s="448"/>
      <c r="BG124" s="448"/>
      <c r="BH124" s="448"/>
      <c r="BI124" s="448"/>
      <c r="BJ124" s="448"/>
      <c r="BK124" s="448"/>
      <c r="BL124" s="448"/>
    </row>
    <row r="125" spans="1:64" ht="13">
      <c r="A125" s="422"/>
      <c r="B125" s="422"/>
      <c r="C125" s="451" t="s">
        <v>742</v>
      </c>
      <c r="D125" s="432"/>
      <c r="E125" s="441"/>
      <c r="F125" s="432"/>
      <c r="G125" s="431"/>
      <c r="H125" s="406"/>
      <c r="I125" s="432">
        <f>I124/10</f>
        <v>9.8000000000000007</v>
      </c>
      <c r="J125" s="446"/>
      <c r="K125" s="447"/>
      <c r="L125" s="447"/>
      <c r="M125" s="448"/>
      <c r="N125" s="448"/>
      <c r="O125" s="448"/>
      <c r="P125" s="448"/>
      <c r="Q125" s="448"/>
      <c r="R125" s="448"/>
      <c r="S125" s="448"/>
      <c r="T125" s="448"/>
      <c r="U125" s="448"/>
      <c r="V125" s="448"/>
      <c r="W125" s="448"/>
      <c r="X125" s="448"/>
      <c r="Y125" s="448"/>
      <c r="Z125" s="448"/>
      <c r="AA125" s="448"/>
      <c r="AB125" s="448"/>
      <c r="AC125" s="448"/>
      <c r="AD125" s="448"/>
      <c r="AE125" s="448"/>
      <c r="AF125" s="448"/>
      <c r="AG125" s="448"/>
      <c r="AH125" s="448"/>
      <c r="AI125" s="448"/>
      <c r="AJ125" s="448"/>
      <c r="AK125" s="448"/>
      <c r="AL125" s="448"/>
      <c r="AM125" s="448"/>
      <c r="AN125" s="448"/>
      <c r="AO125" s="448"/>
      <c r="AP125" s="448"/>
      <c r="AQ125" s="448"/>
      <c r="AR125" s="448"/>
      <c r="AS125" s="448"/>
      <c r="AT125" s="448"/>
      <c r="AU125" s="448"/>
      <c r="AV125" s="448"/>
      <c r="AW125" s="448"/>
      <c r="AX125" s="448"/>
      <c r="AY125" s="448"/>
      <c r="AZ125" s="448"/>
      <c r="BA125" s="448"/>
      <c r="BB125" s="448"/>
      <c r="BC125" s="448"/>
      <c r="BD125" s="448"/>
      <c r="BE125" s="448"/>
      <c r="BF125" s="448"/>
      <c r="BG125" s="448"/>
      <c r="BH125" s="448"/>
      <c r="BI125" s="448"/>
      <c r="BJ125" s="448"/>
      <c r="BK125" s="448"/>
      <c r="BL125" s="448"/>
    </row>
    <row r="126" spans="1:64" ht="25">
      <c r="A126" s="422"/>
      <c r="B126" s="422"/>
      <c r="C126" s="445" t="str">
        <f>[161]Input!$C$48</f>
        <v>Overheads &amp; Contractors Profit @ 13.615%</v>
      </c>
      <c r="D126" s="444">
        <f>[161]Input!$D$48</f>
        <v>0.13614999999999999</v>
      </c>
      <c r="E126" s="441"/>
      <c r="F126" s="432">
        <f>I125</f>
        <v>9.8000000000000007</v>
      </c>
      <c r="G126" s="431"/>
      <c r="H126" s="406"/>
      <c r="I126" s="408">
        <f>IF(G126="",D126*F126,(D126*F126/G126))</f>
        <v>1.3342700000000001</v>
      </c>
      <c r="J126" s="446"/>
      <c r="K126" s="447"/>
      <c r="L126" s="447"/>
      <c r="M126" s="448"/>
      <c r="N126" s="448"/>
      <c r="O126" s="448"/>
      <c r="P126" s="448"/>
      <c r="Q126" s="448"/>
      <c r="R126" s="448"/>
      <c r="S126" s="448"/>
      <c r="T126" s="448"/>
      <c r="U126" s="448"/>
      <c r="V126" s="448"/>
      <c r="W126" s="448"/>
      <c r="X126" s="448"/>
      <c r="Y126" s="448"/>
      <c r="Z126" s="448"/>
      <c r="AA126" s="448"/>
      <c r="AB126" s="448"/>
      <c r="AC126" s="448"/>
      <c r="AD126" s="448"/>
      <c r="AE126" s="448"/>
      <c r="AF126" s="448"/>
      <c r="AG126" s="448"/>
      <c r="AH126" s="448"/>
      <c r="AI126" s="448"/>
      <c r="AJ126" s="448"/>
      <c r="AK126" s="448"/>
      <c r="AL126" s="448"/>
      <c r="AM126" s="448"/>
      <c r="AN126" s="448"/>
      <c r="AO126" s="448"/>
      <c r="AP126" s="448"/>
      <c r="AQ126" s="448"/>
      <c r="AR126" s="448"/>
      <c r="AS126" s="448"/>
      <c r="AT126" s="448"/>
      <c r="AU126" s="448"/>
      <c r="AV126" s="448"/>
      <c r="AW126" s="448"/>
      <c r="AX126" s="448"/>
      <c r="AY126" s="448"/>
      <c r="AZ126" s="448"/>
      <c r="BA126" s="448"/>
      <c r="BB126" s="448"/>
      <c r="BC126" s="448"/>
      <c r="BD126" s="448"/>
      <c r="BE126" s="448"/>
      <c r="BF126" s="448"/>
      <c r="BG126" s="448"/>
      <c r="BH126" s="448"/>
      <c r="BI126" s="448"/>
      <c r="BJ126" s="448"/>
      <c r="BK126" s="448"/>
      <c r="BL126" s="448"/>
    </row>
    <row r="127" spans="1:64" ht="13">
      <c r="A127" s="422"/>
      <c r="B127" s="422"/>
      <c r="C127" s="451" t="s">
        <v>742</v>
      </c>
      <c r="D127" s="432"/>
      <c r="E127" s="441"/>
      <c r="F127" s="432"/>
      <c r="G127" s="431"/>
      <c r="H127" s="408" t="s">
        <v>725</v>
      </c>
      <c r="I127" s="408">
        <f>SUM(I125:I126)</f>
        <v>11.134270000000001</v>
      </c>
      <c r="J127" s="446"/>
      <c r="K127" s="447"/>
      <c r="L127" s="447"/>
      <c r="M127" s="448"/>
      <c r="N127" s="448"/>
      <c r="O127" s="448"/>
      <c r="P127" s="448"/>
      <c r="Q127" s="448"/>
      <c r="R127" s="448"/>
      <c r="S127" s="448"/>
      <c r="T127" s="448"/>
      <c r="U127" s="448"/>
      <c r="V127" s="448"/>
      <c r="W127" s="448"/>
      <c r="X127" s="448"/>
      <c r="Y127" s="448"/>
      <c r="Z127" s="448"/>
      <c r="AA127" s="448"/>
      <c r="AB127" s="448"/>
      <c r="AC127" s="448"/>
      <c r="AD127" s="448"/>
      <c r="AE127" s="448"/>
      <c r="AF127" s="448"/>
      <c r="AG127" s="448"/>
      <c r="AH127" s="448"/>
      <c r="AI127" s="448"/>
      <c r="AJ127" s="448"/>
      <c r="AK127" s="448"/>
      <c r="AL127" s="448"/>
      <c r="AM127" s="448"/>
      <c r="AN127" s="448"/>
      <c r="AO127" s="448"/>
      <c r="AP127" s="448"/>
      <c r="AQ127" s="448"/>
      <c r="AR127" s="448"/>
      <c r="AS127" s="448"/>
      <c r="AT127" s="448"/>
      <c r="AU127" s="448"/>
      <c r="AV127" s="448"/>
      <c r="AW127" s="448"/>
      <c r="AX127" s="448"/>
      <c r="AY127" s="448"/>
      <c r="AZ127" s="448"/>
      <c r="BA127" s="448"/>
      <c r="BB127" s="448"/>
      <c r="BC127" s="448"/>
      <c r="BD127" s="448"/>
      <c r="BE127" s="448"/>
      <c r="BF127" s="448"/>
      <c r="BG127" s="448"/>
      <c r="BH127" s="448"/>
      <c r="BI127" s="448"/>
      <c r="BJ127" s="448"/>
      <c r="BK127" s="448"/>
      <c r="BL127" s="448"/>
    </row>
    <row r="128" spans="1:64" ht="13">
      <c r="A128" s="422"/>
      <c r="B128" s="422"/>
      <c r="C128" s="406"/>
      <c r="D128" s="432"/>
      <c r="E128" s="441"/>
      <c r="F128" s="432"/>
      <c r="G128" s="431"/>
      <c r="H128" s="407" t="s">
        <v>726</v>
      </c>
      <c r="I128" s="414">
        <f>ROUND(I127,0)</f>
        <v>11</v>
      </c>
      <c r="J128" s="437"/>
      <c r="K128" s="438"/>
      <c r="L128" s="438"/>
      <c r="M128" s="439"/>
      <c r="N128" s="439"/>
      <c r="O128" s="439"/>
      <c r="P128" s="439"/>
      <c r="Q128" s="439"/>
      <c r="R128" s="439"/>
      <c r="S128" s="439"/>
      <c r="T128" s="439"/>
      <c r="U128" s="439"/>
      <c r="V128" s="439"/>
      <c r="W128" s="439"/>
      <c r="X128" s="439"/>
      <c r="Y128" s="439"/>
      <c r="Z128" s="439"/>
      <c r="AA128" s="439"/>
      <c r="AB128" s="439"/>
      <c r="AC128" s="439"/>
      <c r="AD128" s="439"/>
      <c r="AE128" s="439"/>
      <c r="AF128" s="439"/>
      <c r="AG128" s="439"/>
      <c r="AH128" s="439"/>
      <c r="AI128" s="439"/>
      <c r="AJ128" s="439"/>
      <c r="AK128" s="439"/>
      <c r="AL128" s="439"/>
      <c r="AM128" s="439"/>
      <c r="AN128" s="439"/>
      <c r="AO128" s="439"/>
      <c r="AP128" s="439"/>
      <c r="AQ128" s="439"/>
      <c r="AR128" s="439"/>
      <c r="AS128" s="439"/>
      <c r="AT128" s="439"/>
      <c r="AU128" s="439"/>
      <c r="AV128" s="439"/>
      <c r="AW128" s="439"/>
      <c r="AX128" s="439"/>
      <c r="AY128" s="439"/>
      <c r="AZ128" s="439"/>
      <c r="BA128" s="439"/>
      <c r="BB128" s="439"/>
      <c r="BC128" s="439"/>
      <c r="BD128" s="439"/>
      <c r="BE128" s="439"/>
      <c r="BF128" s="439"/>
      <c r="BG128" s="439"/>
      <c r="BH128" s="439"/>
      <c r="BI128" s="439"/>
      <c r="BJ128" s="439"/>
      <c r="BK128" s="439"/>
      <c r="BL128" s="439"/>
    </row>
    <row r="129" spans="1:64" ht="13">
      <c r="A129" s="422"/>
      <c r="B129" s="422"/>
      <c r="C129" s="406"/>
      <c r="D129" s="432"/>
      <c r="E129" s="441"/>
      <c r="F129" s="432"/>
      <c r="G129" s="431"/>
      <c r="H129" s="406"/>
      <c r="I129" s="422"/>
      <c r="J129" s="437"/>
      <c r="K129" s="438"/>
      <c r="L129" s="438"/>
      <c r="M129" s="452"/>
      <c r="N129" s="452"/>
      <c r="O129" s="452"/>
      <c r="P129" s="452"/>
      <c r="Q129" s="452"/>
      <c r="R129" s="452"/>
      <c r="S129" s="452"/>
      <c r="T129" s="452"/>
      <c r="U129" s="452"/>
      <c r="V129" s="452"/>
      <c r="W129" s="452"/>
      <c r="X129" s="452"/>
      <c r="Y129" s="452"/>
      <c r="Z129" s="452"/>
      <c r="AA129" s="452"/>
      <c r="AB129" s="452"/>
      <c r="AC129" s="452"/>
      <c r="AD129" s="452"/>
      <c r="AE129" s="452"/>
      <c r="AF129" s="452"/>
      <c r="AG129" s="452"/>
      <c r="AH129" s="452"/>
      <c r="AI129" s="452"/>
      <c r="AJ129" s="452"/>
      <c r="AK129" s="452"/>
      <c r="AL129" s="452"/>
      <c r="AM129" s="452"/>
      <c r="AN129" s="452"/>
      <c r="AO129" s="452"/>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row>
    <row r="130" spans="1:64" ht="12.75" customHeight="1">
      <c r="A130" s="422"/>
      <c r="B130" s="422" t="s">
        <v>761</v>
      </c>
      <c r="C130" s="1294" t="s">
        <v>762</v>
      </c>
      <c r="D130" s="1294"/>
      <c r="E130" s="1294"/>
      <c r="F130" s="1294"/>
      <c r="G130" s="1294"/>
      <c r="H130" s="406"/>
      <c r="I130" s="422"/>
      <c r="J130" s="437"/>
      <c r="K130" s="438"/>
      <c r="L130" s="438"/>
      <c r="M130" s="439"/>
      <c r="N130" s="439"/>
      <c r="O130" s="439"/>
      <c r="P130" s="439"/>
      <c r="Q130" s="439"/>
      <c r="R130" s="439"/>
      <c r="S130" s="439"/>
      <c r="T130" s="439"/>
      <c r="U130" s="439"/>
      <c r="V130" s="439"/>
      <c r="W130" s="439"/>
      <c r="X130" s="439"/>
      <c r="Y130" s="439"/>
      <c r="Z130" s="439"/>
      <c r="AA130" s="439"/>
      <c r="AB130" s="439"/>
      <c r="AC130" s="439"/>
      <c r="AD130" s="439"/>
      <c r="AE130" s="439"/>
      <c r="AF130" s="439"/>
      <c r="AG130" s="439"/>
      <c r="AH130" s="439"/>
      <c r="AI130" s="439"/>
      <c r="AJ130" s="439"/>
      <c r="AK130" s="439"/>
      <c r="AL130" s="439"/>
      <c r="AM130" s="439"/>
      <c r="AN130" s="439"/>
      <c r="AO130" s="439"/>
      <c r="AP130" s="439"/>
      <c r="AQ130" s="439"/>
      <c r="AR130" s="439"/>
      <c r="AS130" s="439"/>
      <c r="AT130" s="439"/>
      <c r="AU130" s="439"/>
      <c r="AV130" s="439"/>
      <c r="AW130" s="439"/>
      <c r="AX130" s="439"/>
      <c r="AY130" s="439"/>
      <c r="AZ130" s="439"/>
      <c r="BA130" s="439"/>
      <c r="BB130" s="439"/>
      <c r="BC130" s="439"/>
      <c r="BD130" s="439"/>
      <c r="BE130" s="439"/>
      <c r="BF130" s="439"/>
      <c r="BG130" s="439"/>
      <c r="BH130" s="439"/>
      <c r="BI130" s="439"/>
      <c r="BJ130" s="439"/>
      <c r="BK130" s="439"/>
      <c r="BL130" s="439"/>
    </row>
    <row r="131" spans="1:64" ht="25">
      <c r="A131" s="422"/>
      <c r="B131" s="422"/>
      <c r="C131" s="445" t="s">
        <v>763</v>
      </c>
      <c r="D131" s="432">
        <v>10</v>
      </c>
      <c r="E131" s="441" t="s">
        <v>17</v>
      </c>
      <c r="F131" s="432">
        <f>'[161]Civil-SOR'!$G$217</f>
        <v>7</v>
      </c>
      <c r="G131" s="431">
        <v>1</v>
      </c>
      <c r="H131" s="406" t="s">
        <v>17</v>
      </c>
      <c r="I131" s="408">
        <f t="shared" ref="I131:I132" si="15">IF(G131="",D131*F131,(D131*F131/G131))</f>
        <v>70</v>
      </c>
      <c r="J131" s="446"/>
      <c r="K131" s="447"/>
      <c r="L131" s="447"/>
      <c r="M131" s="448"/>
      <c r="N131" s="448"/>
      <c r="O131" s="448"/>
      <c r="P131" s="448"/>
      <c r="Q131" s="448"/>
      <c r="R131" s="448"/>
      <c r="S131" s="448"/>
      <c r="T131" s="448"/>
      <c r="U131" s="448"/>
      <c r="V131" s="448"/>
      <c r="W131" s="448"/>
      <c r="X131" s="448"/>
      <c r="Y131" s="448"/>
      <c r="Z131" s="448"/>
      <c r="AA131" s="448"/>
      <c r="AB131" s="448"/>
      <c r="AC131" s="448"/>
      <c r="AD131" s="448"/>
      <c r="AE131" s="448"/>
      <c r="AF131" s="448"/>
      <c r="AG131" s="448"/>
      <c r="AH131" s="448"/>
      <c r="AI131" s="448"/>
      <c r="AJ131" s="448"/>
      <c r="AK131" s="448"/>
      <c r="AL131" s="448"/>
      <c r="AM131" s="448"/>
      <c r="AN131" s="448"/>
      <c r="AO131" s="448"/>
      <c r="AP131" s="448"/>
      <c r="AQ131" s="448"/>
      <c r="AR131" s="448"/>
      <c r="AS131" s="448"/>
      <c r="AT131" s="448"/>
      <c r="AU131" s="448"/>
      <c r="AV131" s="448"/>
      <c r="AW131" s="448"/>
      <c r="AX131" s="448"/>
      <c r="AY131" s="448"/>
      <c r="AZ131" s="448"/>
      <c r="BA131" s="448"/>
      <c r="BB131" s="448"/>
      <c r="BC131" s="448"/>
      <c r="BD131" s="448"/>
      <c r="BE131" s="448"/>
      <c r="BF131" s="448"/>
      <c r="BG131" s="448"/>
      <c r="BH131" s="448"/>
      <c r="BI131" s="448"/>
      <c r="BJ131" s="448"/>
      <c r="BK131" s="448"/>
      <c r="BL131" s="448"/>
    </row>
    <row r="132" spans="1:64" ht="13">
      <c r="A132" s="422"/>
      <c r="B132" s="422"/>
      <c r="C132" s="445" t="str">
        <f>[161]Input!$C$47</f>
        <v>Add for MA @ 40%</v>
      </c>
      <c r="D132" s="432">
        <f>[161]Input!$D$47</f>
        <v>0.4</v>
      </c>
      <c r="E132" s="441"/>
      <c r="F132" s="432">
        <f>I131</f>
        <v>70</v>
      </c>
      <c r="G132" s="431"/>
      <c r="H132" s="406"/>
      <c r="I132" s="408">
        <f t="shared" si="15"/>
        <v>28</v>
      </c>
      <c r="J132" s="446"/>
      <c r="K132" s="447"/>
      <c r="L132" s="447"/>
      <c r="M132" s="448"/>
      <c r="N132" s="448"/>
      <c r="O132" s="448"/>
      <c r="P132" s="448"/>
      <c r="Q132" s="448"/>
      <c r="R132" s="448"/>
      <c r="S132" s="448"/>
      <c r="T132" s="448"/>
      <c r="U132" s="448"/>
      <c r="V132" s="448"/>
      <c r="W132" s="448"/>
      <c r="X132" s="448"/>
      <c r="Y132" s="448"/>
      <c r="Z132" s="448"/>
      <c r="AA132" s="448"/>
      <c r="AB132" s="448"/>
      <c r="AC132" s="448"/>
      <c r="AD132" s="448"/>
      <c r="AE132" s="448"/>
      <c r="AF132" s="448"/>
      <c r="AG132" s="448"/>
      <c r="AH132" s="448"/>
      <c r="AI132" s="448"/>
      <c r="AJ132" s="448"/>
      <c r="AK132" s="448"/>
      <c r="AL132" s="448"/>
      <c r="AM132" s="448"/>
      <c r="AN132" s="448"/>
      <c r="AO132" s="448"/>
      <c r="AP132" s="448"/>
      <c r="AQ132" s="448"/>
      <c r="AR132" s="448"/>
      <c r="AS132" s="448"/>
      <c r="AT132" s="448"/>
      <c r="AU132" s="448"/>
      <c r="AV132" s="448"/>
      <c r="AW132" s="448"/>
      <c r="AX132" s="448"/>
      <c r="AY132" s="448"/>
      <c r="AZ132" s="448"/>
      <c r="BA132" s="448"/>
      <c r="BB132" s="448"/>
      <c r="BC132" s="448"/>
      <c r="BD132" s="448"/>
      <c r="BE132" s="448"/>
      <c r="BF132" s="448"/>
      <c r="BG132" s="448"/>
      <c r="BH132" s="448"/>
      <c r="BI132" s="448"/>
      <c r="BJ132" s="448"/>
      <c r="BK132" s="448"/>
      <c r="BL132" s="448"/>
    </row>
    <row r="133" spans="1:64" ht="13">
      <c r="A133" s="422"/>
      <c r="B133" s="422"/>
      <c r="C133" s="451" t="s">
        <v>741</v>
      </c>
      <c r="D133" s="432"/>
      <c r="E133" s="441"/>
      <c r="F133" s="432"/>
      <c r="G133" s="431"/>
      <c r="H133" s="406"/>
      <c r="I133" s="432">
        <f>SUM(I131:I132)</f>
        <v>98</v>
      </c>
      <c r="J133" s="446"/>
      <c r="K133" s="447"/>
      <c r="L133" s="447"/>
      <c r="M133" s="448"/>
      <c r="N133" s="448"/>
      <c r="O133" s="448"/>
      <c r="P133" s="448"/>
      <c r="Q133" s="448"/>
      <c r="R133" s="448"/>
      <c r="S133" s="448"/>
      <c r="T133" s="448"/>
      <c r="U133" s="448"/>
      <c r="V133" s="448"/>
      <c r="W133" s="448"/>
      <c r="X133" s="448"/>
      <c r="Y133" s="448"/>
      <c r="Z133" s="448"/>
      <c r="AA133" s="448"/>
      <c r="AB133" s="448"/>
      <c r="AC133" s="448"/>
      <c r="AD133" s="448"/>
      <c r="AE133" s="448"/>
      <c r="AF133" s="448"/>
      <c r="AG133" s="448"/>
      <c r="AH133" s="448"/>
      <c r="AI133" s="448"/>
      <c r="AJ133" s="448"/>
      <c r="AK133" s="448"/>
      <c r="AL133" s="448"/>
      <c r="AM133" s="448"/>
      <c r="AN133" s="448"/>
      <c r="AO133" s="448"/>
      <c r="AP133" s="448"/>
      <c r="AQ133" s="448"/>
      <c r="AR133" s="448"/>
      <c r="AS133" s="448"/>
      <c r="AT133" s="448"/>
      <c r="AU133" s="448"/>
      <c r="AV133" s="448"/>
      <c r="AW133" s="448"/>
      <c r="AX133" s="448"/>
      <c r="AY133" s="448"/>
      <c r="AZ133" s="448"/>
      <c r="BA133" s="448"/>
      <c r="BB133" s="448"/>
      <c r="BC133" s="448"/>
      <c r="BD133" s="448"/>
      <c r="BE133" s="448"/>
      <c r="BF133" s="448"/>
      <c r="BG133" s="448"/>
      <c r="BH133" s="448"/>
      <c r="BI133" s="448"/>
      <c r="BJ133" s="448"/>
      <c r="BK133" s="448"/>
      <c r="BL133" s="448"/>
    </row>
    <row r="134" spans="1:64" ht="13">
      <c r="A134" s="422"/>
      <c r="B134" s="422"/>
      <c r="C134" s="451" t="s">
        <v>742</v>
      </c>
      <c r="D134" s="432"/>
      <c r="E134" s="441"/>
      <c r="F134" s="432"/>
      <c r="G134" s="431"/>
      <c r="H134" s="406"/>
      <c r="I134" s="432">
        <f>I133/10</f>
        <v>9.8000000000000007</v>
      </c>
      <c r="J134" s="446"/>
      <c r="K134" s="447"/>
      <c r="L134" s="447"/>
      <c r="M134" s="448"/>
      <c r="N134" s="448"/>
      <c r="O134" s="448"/>
      <c r="P134" s="448"/>
      <c r="Q134" s="448"/>
      <c r="R134" s="448"/>
      <c r="S134" s="448"/>
      <c r="T134" s="448"/>
      <c r="U134" s="448"/>
      <c r="V134" s="448"/>
      <c r="W134" s="448"/>
      <c r="X134" s="448"/>
      <c r="Y134" s="448"/>
      <c r="Z134" s="448"/>
      <c r="AA134" s="448"/>
      <c r="AB134" s="448"/>
      <c r="AC134" s="448"/>
      <c r="AD134" s="448"/>
      <c r="AE134" s="448"/>
      <c r="AF134" s="448"/>
      <c r="AG134" s="448"/>
      <c r="AH134" s="448"/>
      <c r="AI134" s="448"/>
      <c r="AJ134" s="448"/>
      <c r="AK134" s="448"/>
      <c r="AL134" s="448"/>
      <c r="AM134" s="448"/>
      <c r="AN134" s="448"/>
      <c r="AO134" s="448"/>
      <c r="AP134" s="448"/>
      <c r="AQ134" s="448"/>
      <c r="AR134" s="448"/>
      <c r="AS134" s="448"/>
      <c r="AT134" s="448"/>
      <c r="AU134" s="448"/>
      <c r="AV134" s="448"/>
      <c r="AW134" s="448"/>
      <c r="AX134" s="448"/>
      <c r="AY134" s="448"/>
      <c r="AZ134" s="448"/>
      <c r="BA134" s="448"/>
      <c r="BB134" s="448"/>
      <c r="BC134" s="448"/>
      <c r="BD134" s="448"/>
      <c r="BE134" s="448"/>
      <c r="BF134" s="448"/>
      <c r="BG134" s="448"/>
      <c r="BH134" s="448"/>
      <c r="BI134" s="448"/>
      <c r="BJ134" s="448"/>
      <c r="BK134" s="448"/>
      <c r="BL134" s="448"/>
    </row>
    <row r="135" spans="1:64" ht="25">
      <c r="A135" s="422"/>
      <c r="B135" s="422"/>
      <c r="C135" s="445" t="str">
        <f>[161]Input!$C$48</f>
        <v>Overheads &amp; Contractors Profit @ 13.615%</v>
      </c>
      <c r="D135" s="444">
        <f>[161]Input!$D$48</f>
        <v>0.13614999999999999</v>
      </c>
      <c r="E135" s="441"/>
      <c r="F135" s="432">
        <f>I134</f>
        <v>9.8000000000000007</v>
      </c>
      <c r="G135" s="431"/>
      <c r="H135" s="406"/>
      <c r="I135" s="408">
        <f>IF(G135="",D135*F135,(D135*F135/G135))</f>
        <v>1.3342700000000001</v>
      </c>
      <c r="J135" s="446"/>
      <c r="K135" s="447"/>
      <c r="L135" s="447"/>
      <c r="M135" s="448"/>
      <c r="N135" s="448"/>
      <c r="O135" s="448"/>
      <c r="P135" s="448"/>
      <c r="Q135" s="448"/>
      <c r="R135" s="448"/>
      <c r="S135" s="448"/>
      <c r="T135" s="448"/>
      <c r="U135" s="448"/>
      <c r="V135" s="448"/>
      <c r="W135" s="448"/>
      <c r="X135" s="448"/>
      <c r="Y135" s="448"/>
      <c r="Z135" s="448"/>
      <c r="AA135" s="448"/>
      <c r="AB135" s="448"/>
      <c r="AC135" s="448"/>
      <c r="AD135" s="448"/>
      <c r="AE135" s="448"/>
      <c r="AF135" s="448"/>
      <c r="AG135" s="448"/>
      <c r="AH135" s="448"/>
      <c r="AI135" s="448"/>
      <c r="AJ135" s="448"/>
      <c r="AK135" s="448"/>
      <c r="AL135" s="448"/>
      <c r="AM135" s="448"/>
      <c r="AN135" s="448"/>
      <c r="AO135" s="448"/>
      <c r="AP135" s="448"/>
      <c r="AQ135" s="448"/>
      <c r="AR135" s="448"/>
      <c r="AS135" s="448"/>
      <c r="AT135" s="448"/>
      <c r="AU135" s="448"/>
      <c r="AV135" s="448"/>
      <c r="AW135" s="448"/>
      <c r="AX135" s="448"/>
      <c r="AY135" s="448"/>
      <c r="AZ135" s="448"/>
      <c r="BA135" s="448"/>
      <c r="BB135" s="448"/>
      <c r="BC135" s="448"/>
      <c r="BD135" s="448"/>
      <c r="BE135" s="448"/>
      <c r="BF135" s="448"/>
      <c r="BG135" s="448"/>
      <c r="BH135" s="448"/>
      <c r="BI135" s="448"/>
      <c r="BJ135" s="448"/>
      <c r="BK135" s="448"/>
      <c r="BL135" s="448"/>
    </row>
    <row r="136" spans="1:64" ht="13">
      <c r="A136" s="422"/>
      <c r="B136" s="422"/>
      <c r="C136" s="440" t="s">
        <v>742</v>
      </c>
      <c r="D136" s="432"/>
      <c r="E136" s="441"/>
      <c r="F136" s="432"/>
      <c r="G136" s="431"/>
      <c r="H136" s="408" t="s">
        <v>725</v>
      </c>
      <c r="I136" s="408">
        <f>SUM(I134:I135)</f>
        <v>11.134270000000001</v>
      </c>
      <c r="J136" s="437"/>
      <c r="K136" s="438"/>
      <c r="L136" s="438"/>
      <c r="M136" s="439"/>
      <c r="N136" s="439"/>
      <c r="O136" s="439"/>
      <c r="P136" s="439"/>
      <c r="Q136" s="439"/>
      <c r="R136" s="439"/>
      <c r="S136" s="439"/>
      <c r="T136" s="439"/>
      <c r="U136" s="439"/>
      <c r="V136" s="439"/>
      <c r="W136" s="439"/>
      <c r="X136" s="439"/>
      <c r="Y136" s="439"/>
      <c r="Z136" s="439"/>
      <c r="AA136" s="439"/>
      <c r="AB136" s="439"/>
      <c r="AC136" s="439"/>
      <c r="AD136" s="439"/>
      <c r="AE136" s="439"/>
      <c r="AF136" s="439"/>
      <c r="AG136" s="439"/>
      <c r="AH136" s="439"/>
      <c r="AI136" s="439"/>
      <c r="AJ136" s="439"/>
      <c r="AK136" s="439"/>
      <c r="AL136" s="439"/>
      <c r="AM136" s="439"/>
      <c r="AN136" s="439"/>
      <c r="AO136" s="439"/>
      <c r="AP136" s="439"/>
      <c r="AQ136" s="439"/>
      <c r="AR136" s="439"/>
      <c r="AS136" s="439"/>
      <c r="AT136" s="439"/>
      <c r="AU136" s="439"/>
      <c r="AV136" s="439"/>
      <c r="AW136" s="439"/>
      <c r="AX136" s="439"/>
      <c r="AY136" s="439"/>
      <c r="AZ136" s="439"/>
      <c r="BA136" s="439"/>
      <c r="BB136" s="439"/>
      <c r="BC136" s="439"/>
      <c r="BD136" s="439"/>
      <c r="BE136" s="439"/>
      <c r="BF136" s="439"/>
      <c r="BG136" s="439"/>
      <c r="BH136" s="439"/>
      <c r="BI136" s="439"/>
      <c r="BJ136" s="439"/>
      <c r="BK136" s="439"/>
      <c r="BL136" s="439"/>
    </row>
    <row r="137" spans="1:64" ht="13">
      <c r="A137" s="422"/>
      <c r="B137" s="422"/>
      <c r="C137" s="406"/>
      <c r="D137" s="432"/>
      <c r="E137" s="441"/>
      <c r="F137" s="432"/>
      <c r="G137" s="431"/>
      <c r="H137" s="407" t="s">
        <v>726</v>
      </c>
      <c r="I137" s="414">
        <f>ROUND(I136,0)</f>
        <v>11</v>
      </c>
      <c r="J137" s="437"/>
      <c r="K137" s="438"/>
      <c r="L137" s="438"/>
      <c r="M137" s="439"/>
      <c r="N137" s="439"/>
      <c r="O137" s="439"/>
      <c r="P137" s="439"/>
      <c r="Q137" s="439"/>
      <c r="R137" s="439"/>
      <c r="S137" s="439"/>
      <c r="T137" s="439"/>
      <c r="U137" s="439"/>
      <c r="V137" s="439"/>
      <c r="W137" s="439"/>
      <c r="X137" s="439"/>
      <c r="Y137" s="439"/>
      <c r="Z137" s="439"/>
      <c r="AA137" s="439"/>
      <c r="AB137" s="439"/>
      <c r="AC137" s="439"/>
      <c r="AD137" s="439"/>
      <c r="AE137" s="439"/>
      <c r="AF137" s="439"/>
      <c r="AG137" s="439"/>
      <c r="AH137" s="439"/>
      <c r="AI137" s="439"/>
      <c r="AJ137" s="439"/>
      <c r="AK137" s="439"/>
      <c r="AL137" s="439"/>
      <c r="AM137" s="439"/>
      <c r="AN137" s="439"/>
      <c r="AO137" s="439"/>
      <c r="AP137" s="439"/>
      <c r="AQ137" s="439"/>
      <c r="AR137" s="439"/>
      <c r="AS137" s="439"/>
      <c r="AT137" s="439"/>
      <c r="AU137" s="439"/>
      <c r="AV137" s="439"/>
      <c r="AW137" s="439"/>
      <c r="AX137" s="439"/>
      <c r="AY137" s="439"/>
      <c r="AZ137" s="439"/>
      <c r="BA137" s="439"/>
      <c r="BB137" s="439"/>
      <c r="BC137" s="439"/>
      <c r="BD137" s="439"/>
      <c r="BE137" s="439"/>
      <c r="BF137" s="439"/>
      <c r="BG137" s="439"/>
      <c r="BH137" s="439"/>
      <c r="BI137" s="439"/>
      <c r="BJ137" s="439"/>
      <c r="BK137" s="439"/>
      <c r="BL137" s="439"/>
    </row>
    <row r="138" spans="1:64" ht="13">
      <c r="A138" s="422"/>
      <c r="B138" s="422"/>
      <c r="C138" s="406"/>
      <c r="D138" s="432"/>
      <c r="E138" s="441"/>
      <c r="F138" s="432"/>
      <c r="G138" s="431"/>
      <c r="H138" s="406"/>
      <c r="I138" s="422"/>
      <c r="J138" s="437"/>
      <c r="K138" s="438"/>
      <c r="L138" s="438"/>
      <c r="M138" s="452"/>
      <c r="N138" s="452"/>
      <c r="O138" s="452"/>
      <c r="P138" s="452"/>
      <c r="Q138" s="452"/>
      <c r="R138" s="452"/>
      <c r="S138" s="452"/>
      <c r="T138" s="452"/>
      <c r="U138" s="452"/>
      <c r="V138" s="452"/>
      <c r="W138" s="452"/>
      <c r="X138" s="452"/>
      <c r="Y138" s="452"/>
      <c r="Z138" s="452"/>
      <c r="AA138" s="452"/>
      <c r="AB138" s="452"/>
      <c r="AC138" s="452"/>
      <c r="AD138" s="452"/>
      <c r="AE138" s="452"/>
      <c r="AF138" s="452"/>
      <c r="AG138" s="452"/>
      <c r="AH138" s="452"/>
      <c r="AI138" s="452"/>
      <c r="AJ138" s="452"/>
      <c r="AK138" s="452"/>
      <c r="AL138" s="452"/>
      <c r="AM138" s="452"/>
      <c r="AN138" s="452"/>
      <c r="AO138" s="452"/>
      <c r="AP138" s="452"/>
      <c r="AQ138" s="452"/>
      <c r="AR138" s="452"/>
      <c r="AS138" s="452"/>
      <c r="AT138" s="452"/>
      <c r="AU138" s="452"/>
      <c r="AV138" s="452"/>
      <c r="AW138" s="452"/>
      <c r="AX138" s="452"/>
      <c r="AY138" s="452"/>
      <c r="AZ138" s="452"/>
      <c r="BA138" s="452"/>
      <c r="BB138" s="452"/>
      <c r="BC138" s="452"/>
      <c r="BD138" s="452"/>
      <c r="BE138" s="452"/>
      <c r="BF138" s="452"/>
      <c r="BG138" s="452"/>
      <c r="BH138" s="452"/>
      <c r="BI138" s="452"/>
      <c r="BJ138" s="452"/>
      <c r="BK138" s="452"/>
      <c r="BL138" s="452"/>
    </row>
    <row r="139" spans="1:64" ht="12.75" customHeight="1">
      <c r="A139" s="1312" t="s">
        <v>764</v>
      </c>
      <c r="B139" s="1312"/>
      <c r="C139" s="1294" t="s">
        <v>765</v>
      </c>
      <c r="D139" s="1294"/>
      <c r="E139" s="1294"/>
      <c r="F139" s="1294"/>
      <c r="G139" s="1294"/>
      <c r="H139" s="406"/>
      <c r="I139" s="422"/>
      <c r="J139" s="446"/>
      <c r="K139" s="447"/>
      <c r="L139" s="447"/>
      <c r="M139" s="448"/>
      <c r="N139" s="448"/>
      <c r="O139" s="448"/>
      <c r="P139" s="448"/>
      <c r="Q139" s="448"/>
      <c r="R139" s="448"/>
      <c r="S139" s="448"/>
      <c r="T139" s="448"/>
      <c r="U139" s="448"/>
      <c r="V139" s="448"/>
      <c r="W139" s="448"/>
      <c r="X139" s="448"/>
      <c r="Y139" s="448"/>
      <c r="Z139" s="448"/>
      <c r="AA139" s="448"/>
      <c r="AB139" s="448"/>
      <c r="AC139" s="448"/>
      <c r="AD139" s="448"/>
      <c r="AE139" s="448"/>
      <c r="AF139" s="448"/>
      <c r="AG139" s="448"/>
      <c r="AH139" s="448"/>
      <c r="AI139" s="448"/>
      <c r="AJ139" s="448"/>
      <c r="AK139" s="448"/>
      <c r="AL139" s="448"/>
      <c r="AM139" s="448"/>
      <c r="AN139" s="448"/>
      <c r="AO139" s="448"/>
      <c r="AP139" s="448"/>
      <c r="AQ139" s="448"/>
      <c r="AR139" s="448"/>
      <c r="AS139" s="448"/>
      <c r="AT139" s="448"/>
      <c r="AU139" s="448"/>
      <c r="AV139" s="448"/>
      <c r="AW139" s="448"/>
      <c r="AX139" s="448"/>
      <c r="AY139" s="448"/>
      <c r="AZ139" s="448"/>
      <c r="BA139" s="448"/>
      <c r="BB139" s="448"/>
      <c r="BC139" s="448"/>
      <c r="BD139" s="448"/>
      <c r="BE139" s="448"/>
      <c r="BF139" s="448"/>
      <c r="BG139" s="448"/>
      <c r="BH139" s="448"/>
      <c r="BI139" s="448"/>
      <c r="BJ139" s="448"/>
      <c r="BK139" s="448"/>
      <c r="BL139" s="448"/>
    </row>
    <row r="140" spans="1:64" ht="25">
      <c r="A140" s="422"/>
      <c r="B140" s="422"/>
      <c r="C140" s="429" t="s">
        <v>766</v>
      </c>
      <c r="D140" s="432">
        <v>10</v>
      </c>
      <c r="E140" s="441" t="s">
        <v>17</v>
      </c>
      <c r="F140" s="432">
        <f>'[161]Civil-SOR'!$G$218</f>
        <v>8</v>
      </c>
      <c r="G140" s="431">
        <v>1</v>
      </c>
      <c r="H140" s="406" t="s">
        <v>17</v>
      </c>
      <c r="I140" s="408">
        <f t="shared" ref="I140:I141" si="16">IF(G140="",D140*F140,(D140*F140/G140))</f>
        <v>80</v>
      </c>
      <c r="J140" s="437"/>
      <c r="K140" s="438"/>
      <c r="L140" s="438"/>
      <c r="M140" s="439"/>
      <c r="N140" s="439"/>
      <c r="O140" s="439"/>
      <c r="P140" s="439"/>
      <c r="Q140" s="439"/>
      <c r="R140" s="439"/>
      <c r="S140" s="439"/>
      <c r="T140" s="439"/>
      <c r="U140" s="439"/>
      <c r="V140" s="439"/>
      <c r="W140" s="439"/>
      <c r="X140" s="439"/>
      <c r="Y140" s="439"/>
      <c r="Z140" s="439"/>
      <c r="AA140" s="439"/>
      <c r="AB140" s="439"/>
      <c r="AC140" s="439"/>
      <c r="AD140" s="439"/>
      <c r="AE140" s="439"/>
      <c r="AF140" s="439"/>
      <c r="AG140" s="439"/>
      <c r="AH140" s="439"/>
      <c r="AI140" s="439"/>
      <c r="AJ140" s="439"/>
      <c r="AK140" s="439"/>
      <c r="AL140" s="439"/>
      <c r="AM140" s="439"/>
      <c r="AN140" s="439"/>
      <c r="AO140" s="439"/>
      <c r="AP140" s="439"/>
      <c r="AQ140" s="439"/>
      <c r="AR140" s="439"/>
      <c r="AS140" s="439"/>
      <c r="AT140" s="439"/>
      <c r="AU140" s="439"/>
      <c r="AV140" s="439"/>
      <c r="AW140" s="439"/>
      <c r="AX140" s="439"/>
      <c r="AY140" s="439"/>
      <c r="AZ140" s="439"/>
      <c r="BA140" s="439"/>
      <c r="BB140" s="439"/>
      <c r="BC140" s="439"/>
      <c r="BD140" s="439"/>
      <c r="BE140" s="439"/>
      <c r="BF140" s="439"/>
      <c r="BG140" s="439"/>
      <c r="BH140" s="439"/>
      <c r="BI140" s="439"/>
      <c r="BJ140" s="439"/>
      <c r="BK140" s="439"/>
      <c r="BL140" s="439"/>
    </row>
    <row r="141" spans="1:64" ht="13">
      <c r="A141" s="422"/>
      <c r="B141" s="422"/>
      <c r="C141" s="429" t="str">
        <f>[161]Input!$C$47</f>
        <v>Add for MA @ 40%</v>
      </c>
      <c r="D141" s="432">
        <f>[161]Input!$D$47</f>
        <v>0.4</v>
      </c>
      <c r="E141" s="441"/>
      <c r="F141" s="432">
        <f>I140</f>
        <v>80</v>
      </c>
      <c r="G141" s="431"/>
      <c r="H141" s="406"/>
      <c r="I141" s="408">
        <f t="shared" si="16"/>
        <v>32</v>
      </c>
      <c r="J141" s="437"/>
      <c r="K141" s="438"/>
      <c r="L141" s="438"/>
      <c r="M141" s="439"/>
      <c r="N141" s="439"/>
      <c r="O141" s="439"/>
      <c r="P141" s="439"/>
      <c r="Q141" s="439"/>
      <c r="R141" s="439"/>
      <c r="S141" s="439"/>
      <c r="T141" s="439"/>
      <c r="U141" s="439"/>
      <c r="V141" s="439"/>
      <c r="W141" s="439"/>
      <c r="X141" s="439"/>
      <c r="Y141" s="439"/>
      <c r="Z141" s="439"/>
      <c r="AA141" s="439"/>
      <c r="AB141" s="439"/>
      <c r="AC141" s="439"/>
      <c r="AD141" s="439"/>
      <c r="AE141" s="439"/>
      <c r="AF141" s="439"/>
      <c r="AG141" s="439"/>
      <c r="AH141" s="439"/>
      <c r="AI141" s="439"/>
      <c r="AJ141" s="439"/>
      <c r="AK141" s="439"/>
      <c r="AL141" s="439"/>
      <c r="AM141" s="439"/>
      <c r="AN141" s="439"/>
      <c r="AO141" s="439"/>
      <c r="AP141" s="439"/>
      <c r="AQ141" s="439"/>
      <c r="AR141" s="439"/>
      <c r="AS141" s="439"/>
      <c r="AT141" s="439"/>
      <c r="AU141" s="439"/>
      <c r="AV141" s="439"/>
      <c r="AW141" s="439"/>
      <c r="AX141" s="439"/>
      <c r="AY141" s="439"/>
      <c r="AZ141" s="439"/>
      <c r="BA141" s="439"/>
      <c r="BB141" s="439"/>
      <c r="BC141" s="439"/>
      <c r="BD141" s="439"/>
      <c r="BE141" s="439"/>
      <c r="BF141" s="439"/>
      <c r="BG141" s="439"/>
      <c r="BH141" s="439"/>
      <c r="BI141" s="439"/>
      <c r="BJ141" s="439"/>
      <c r="BK141" s="439"/>
      <c r="BL141" s="439"/>
    </row>
    <row r="142" spans="1:64" ht="13">
      <c r="A142" s="422"/>
      <c r="B142" s="422"/>
      <c r="C142" s="440" t="s">
        <v>741</v>
      </c>
      <c r="D142" s="432"/>
      <c r="E142" s="441"/>
      <c r="F142" s="432"/>
      <c r="G142" s="431"/>
      <c r="H142" s="406"/>
      <c r="I142" s="432">
        <f>SUM(I140:I141)</f>
        <v>112</v>
      </c>
      <c r="J142" s="437"/>
      <c r="K142" s="438"/>
      <c r="L142" s="438"/>
      <c r="M142" s="439"/>
      <c r="N142" s="439"/>
      <c r="O142" s="439"/>
      <c r="P142" s="439"/>
      <c r="Q142" s="439"/>
      <c r="R142" s="439"/>
      <c r="S142" s="439"/>
      <c r="T142" s="439"/>
      <c r="U142" s="439"/>
      <c r="V142" s="439"/>
      <c r="W142" s="439"/>
      <c r="X142" s="439"/>
      <c r="Y142" s="439"/>
      <c r="Z142" s="439"/>
      <c r="AA142" s="439"/>
      <c r="AB142" s="439"/>
      <c r="AC142" s="439"/>
      <c r="AD142" s="439"/>
      <c r="AE142" s="439"/>
      <c r="AF142" s="439"/>
      <c r="AG142" s="439"/>
      <c r="AH142" s="439"/>
      <c r="AI142" s="439"/>
      <c r="AJ142" s="439"/>
      <c r="AK142" s="439"/>
      <c r="AL142" s="439"/>
      <c r="AM142" s="439"/>
      <c r="AN142" s="439"/>
      <c r="AO142" s="439"/>
      <c r="AP142" s="439"/>
      <c r="AQ142" s="439"/>
      <c r="AR142" s="439"/>
      <c r="AS142" s="439"/>
      <c r="AT142" s="439"/>
      <c r="AU142" s="439"/>
      <c r="AV142" s="439"/>
      <c r="AW142" s="439"/>
      <c r="AX142" s="439"/>
      <c r="AY142" s="439"/>
      <c r="AZ142" s="439"/>
      <c r="BA142" s="439"/>
      <c r="BB142" s="439"/>
      <c r="BC142" s="439"/>
      <c r="BD142" s="439"/>
      <c r="BE142" s="439"/>
      <c r="BF142" s="439"/>
      <c r="BG142" s="439"/>
      <c r="BH142" s="439"/>
      <c r="BI142" s="439"/>
      <c r="BJ142" s="439"/>
      <c r="BK142" s="439"/>
      <c r="BL142" s="439"/>
    </row>
    <row r="143" spans="1:64" ht="13">
      <c r="A143" s="422"/>
      <c r="B143" s="422"/>
      <c r="C143" s="440" t="s">
        <v>742</v>
      </c>
      <c r="D143" s="432"/>
      <c r="E143" s="441"/>
      <c r="F143" s="432"/>
      <c r="G143" s="431"/>
      <c r="H143" s="406"/>
      <c r="I143" s="432">
        <f>I142/10</f>
        <v>11.2</v>
      </c>
      <c r="J143" s="437"/>
      <c r="K143" s="438"/>
      <c r="L143" s="438"/>
      <c r="M143" s="439"/>
      <c r="N143" s="439"/>
      <c r="O143" s="439"/>
      <c r="P143" s="439"/>
      <c r="Q143" s="439"/>
      <c r="R143" s="439"/>
      <c r="S143" s="439"/>
      <c r="T143" s="439"/>
      <c r="U143" s="439"/>
      <c r="V143" s="439"/>
      <c r="W143" s="439"/>
      <c r="X143" s="439"/>
      <c r="Y143" s="439"/>
      <c r="Z143" s="439"/>
      <c r="AA143" s="439"/>
      <c r="AB143" s="439"/>
      <c r="AC143" s="439"/>
      <c r="AD143" s="439"/>
      <c r="AE143" s="439"/>
      <c r="AF143" s="439"/>
      <c r="AG143" s="439"/>
      <c r="AH143" s="439"/>
      <c r="AI143" s="439"/>
      <c r="AJ143" s="439"/>
      <c r="AK143" s="439"/>
      <c r="AL143" s="439"/>
      <c r="AM143" s="439"/>
      <c r="AN143" s="439"/>
      <c r="AO143" s="439"/>
      <c r="AP143" s="439"/>
      <c r="AQ143" s="439"/>
      <c r="AR143" s="439"/>
      <c r="AS143" s="439"/>
      <c r="AT143" s="439"/>
      <c r="AU143" s="439"/>
      <c r="AV143" s="439"/>
      <c r="AW143" s="439"/>
      <c r="AX143" s="439"/>
      <c r="AY143" s="439"/>
      <c r="AZ143" s="439"/>
      <c r="BA143" s="439"/>
      <c r="BB143" s="439"/>
      <c r="BC143" s="439"/>
      <c r="BD143" s="439"/>
      <c r="BE143" s="439"/>
      <c r="BF143" s="439"/>
      <c r="BG143" s="439"/>
      <c r="BH143" s="439"/>
      <c r="BI143" s="439"/>
      <c r="BJ143" s="439"/>
      <c r="BK143" s="439"/>
      <c r="BL143" s="439"/>
    </row>
    <row r="144" spans="1:64" ht="25">
      <c r="A144" s="422"/>
      <c r="B144" s="422"/>
      <c r="C144" s="445" t="str">
        <f>[161]Input!$C$48</f>
        <v>Overheads &amp; Contractors Profit @ 13.615%</v>
      </c>
      <c r="D144" s="444">
        <f>[161]Input!$D$48</f>
        <v>0.13614999999999999</v>
      </c>
      <c r="E144" s="441"/>
      <c r="F144" s="432">
        <f>I143</f>
        <v>11.2</v>
      </c>
      <c r="G144" s="431"/>
      <c r="H144" s="406"/>
      <c r="I144" s="408">
        <f>IF(G144="",D144*F144,(D144*F144/G144))</f>
        <v>1.5248799999999998</v>
      </c>
      <c r="J144" s="446"/>
      <c r="K144" s="447"/>
      <c r="L144" s="447"/>
      <c r="M144" s="448"/>
      <c r="N144" s="448"/>
      <c r="O144" s="448"/>
      <c r="P144" s="448"/>
      <c r="Q144" s="448"/>
      <c r="R144" s="448"/>
      <c r="S144" s="448"/>
      <c r="T144" s="448"/>
      <c r="U144" s="448"/>
      <c r="V144" s="448"/>
      <c r="W144" s="448"/>
      <c r="X144" s="448"/>
      <c r="Y144" s="448"/>
      <c r="Z144" s="448"/>
      <c r="AA144" s="448"/>
      <c r="AB144" s="448"/>
      <c r="AC144" s="448"/>
      <c r="AD144" s="448"/>
      <c r="AE144" s="448"/>
      <c r="AF144" s="448"/>
      <c r="AG144" s="448"/>
      <c r="AH144" s="448"/>
      <c r="AI144" s="448"/>
      <c r="AJ144" s="448"/>
      <c r="AK144" s="448"/>
      <c r="AL144" s="448"/>
      <c r="AM144" s="448"/>
      <c r="AN144" s="448"/>
      <c r="AO144" s="448"/>
      <c r="AP144" s="448"/>
      <c r="AQ144" s="448"/>
      <c r="AR144" s="448"/>
      <c r="AS144" s="448"/>
      <c r="AT144" s="448"/>
      <c r="AU144" s="448"/>
      <c r="AV144" s="448"/>
      <c r="AW144" s="448"/>
      <c r="AX144" s="448"/>
      <c r="AY144" s="448"/>
      <c r="AZ144" s="448"/>
      <c r="BA144" s="448"/>
      <c r="BB144" s="448"/>
      <c r="BC144" s="448"/>
      <c r="BD144" s="448"/>
      <c r="BE144" s="448"/>
      <c r="BF144" s="448"/>
      <c r="BG144" s="448"/>
      <c r="BH144" s="448"/>
      <c r="BI144" s="448"/>
      <c r="BJ144" s="448"/>
      <c r="BK144" s="448"/>
      <c r="BL144" s="448"/>
    </row>
    <row r="145" spans="1:64" ht="13">
      <c r="A145" s="422"/>
      <c r="B145" s="422"/>
      <c r="C145" s="440" t="s">
        <v>742</v>
      </c>
      <c r="D145" s="432"/>
      <c r="E145" s="441"/>
      <c r="F145" s="432"/>
      <c r="G145" s="431"/>
      <c r="H145" s="408" t="s">
        <v>725</v>
      </c>
      <c r="I145" s="408">
        <f>SUM(I143:I144)</f>
        <v>12.724879999999999</v>
      </c>
      <c r="J145" s="437"/>
      <c r="K145" s="438"/>
      <c r="L145" s="438"/>
      <c r="M145" s="439"/>
      <c r="N145" s="439"/>
      <c r="O145" s="439"/>
      <c r="P145" s="439"/>
      <c r="Q145" s="439"/>
      <c r="R145" s="439"/>
      <c r="S145" s="439"/>
      <c r="T145" s="439"/>
      <c r="U145" s="439"/>
      <c r="V145" s="439"/>
      <c r="W145" s="439"/>
      <c r="X145" s="439"/>
      <c r="Y145" s="439"/>
      <c r="Z145" s="439"/>
      <c r="AA145" s="439"/>
      <c r="AB145" s="439"/>
      <c r="AC145" s="439"/>
      <c r="AD145" s="439"/>
      <c r="AE145" s="439"/>
      <c r="AF145" s="439"/>
      <c r="AG145" s="439"/>
      <c r="AH145" s="439"/>
      <c r="AI145" s="439"/>
      <c r="AJ145" s="439"/>
      <c r="AK145" s="439"/>
      <c r="AL145" s="439"/>
      <c r="AM145" s="439"/>
      <c r="AN145" s="439"/>
      <c r="AO145" s="439"/>
      <c r="AP145" s="439"/>
      <c r="AQ145" s="439"/>
      <c r="AR145" s="439"/>
      <c r="AS145" s="439"/>
      <c r="AT145" s="439"/>
      <c r="AU145" s="439"/>
      <c r="AV145" s="439"/>
      <c r="AW145" s="439"/>
      <c r="AX145" s="439"/>
      <c r="AY145" s="439"/>
      <c r="AZ145" s="439"/>
      <c r="BA145" s="439"/>
      <c r="BB145" s="439"/>
      <c r="BC145" s="439"/>
      <c r="BD145" s="439"/>
      <c r="BE145" s="439"/>
      <c r="BF145" s="439"/>
      <c r="BG145" s="439"/>
      <c r="BH145" s="439"/>
      <c r="BI145" s="439"/>
      <c r="BJ145" s="439"/>
      <c r="BK145" s="439"/>
      <c r="BL145" s="439"/>
    </row>
    <row r="146" spans="1:64" ht="13">
      <c r="A146" s="422"/>
      <c r="B146" s="422"/>
      <c r="C146" s="406"/>
      <c r="D146" s="432"/>
      <c r="E146" s="441"/>
      <c r="F146" s="432"/>
      <c r="G146" s="431"/>
      <c r="H146" s="407" t="s">
        <v>726</v>
      </c>
      <c r="I146" s="414">
        <f>ROUND(I145,0)</f>
        <v>13</v>
      </c>
      <c r="J146" s="437"/>
      <c r="K146" s="438"/>
      <c r="L146" s="438"/>
      <c r="M146" s="439"/>
      <c r="N146" s="439"/>
      <c r="O146" s="439"/>
      <c r="P146" s="439"/>
      <c r="Q146" s="439"/>
      <c r="R146" s="439"/>
      <c r="S146" s="439"/>
      <c r="T146" s="439"/>
      <c r="U146" s="439"/>
      <c r="V146" s="439"/>
      <c r="W146" s="439"/>
      <c r="X146" s="439"/>
      <c r="Y146" s="439"/>
      <c r="Z146" s="439"/>
      <c r="AA146" s="439"/>
      <c r="AB146" s="439"/>
      <c r="AC146" s="439"/>
      <c r="AD146" s="439"/>
      <c r="AE146" s="439"/>
      <c r="AF146" s="439"/>
      <c r="AG146" s="439"/>
      <c r="AH146" s="439"/>
      <c r="AI146" s="439"/>
      <c r="AJ146" s="439"/>
      <c r="AK146" s="439"/>
      <c r="AL146" s="439"/>
      <c r="AM146" s="439"/>
      <c r="AN146" s="439"/>
      <c r="AO146" s="439"/>
      <c r="AP146" s="439"/>
      <c r="AQ146" s="439"/>
      <c r="AR146" s="439"/>
      <c r="AS146" s="439"/>
      <c r="AT146" s="439"/>
      <c r="AU146" s="439"/>
      <c r="AV146" s="439"/>
      <c r="AW146" s="439"/>
      <c r="AX146" s="439"/>
      <c r="AY146" s="439"/>
      <c r="AZ146" s="439"/>
      <c r="BA146" s="439"/>
      <c r="BB146" s="439"/>
      <c r="BC146" s="439"/>
      <c r="BD146" s="439"/>
      <c r="BE146" s="439"/>
      <c r="BF146" s="439"/>
      <c r="BG146" s="439"/>
      <c r="BH146" s="439"/>
      <c r="BI146" s="439"/>
      <c r="BJ146" s="439"/>
      <c r="BK146" s="439"/>
      <c r="BL146" s="439"/>
    </row>
    <row r="147" spans="1:64" ht="13">
      <c r="A147" s="422"/>
      <c r="B147" s="422"/>
      <c r="C147" s="406"/>
      <c r="D147" s="432"/>
      <c r="E147" s="441"/>
      <c r="F147" s="432"/>
      <c r="G147" s="431"/>
      <c r="H147" s="406"/>
      <c r="I147" s="422"/>
      <c r="J147" s="437"/>
      <c r="K147" s="438"/>
      <c r="L147" s="438"/>
      <c r="M147" s="439"/>
      <c r="N147" s="439"/>
      <c r="O147" s="439"/>
      <c r="P147" s="439"/>
      <c r="Q147" s="439"/>
      <c r="R147" s="439"/>
      <c r="S147" s="439"/>
      <c r="T147" s="439"/>
      <c r="U147" s="439"/>
      <c r="V147" s="439"/>
      <c r="W147" s="439"/>
      <c r="X147" s="439"/>
      <c r="Y147" s="439"/>
      <c r="Z147" s="439"/>
      <c r="AA147" s="439"/>
      <c r="AB147" s="439"/>
      <c r="AC147" s="439"/>
      <c r="AD147" s="439"/>
      <c r="AE147" s="439"/>
      <c r="AF147" s="439"/>
      <c r="AG147" s="439"/>
      <c r="AH147" s="439"/>
      <c r="AI147" s="439"/>
      <c r="AJ147" s="439"/>
      <c r="AK147" s="439"/>
      <c r="AL147" s="439"/>
      <c r="AM147" s="439"/>
      <c r="AN147" s="439"/>
      <c r="AO147" s="439"/>
      <c r="AP147" s="439"/>
      <c r="AQ147" s="439"/>
      <c r="AR147" s="439"/>
      <c r="AS147" s="439"/>
      <c r="AT147" s="439"/>
      <c r="AU147" s="439"/>
      <c r="AV147" s="439"/>
      <c r="AW147" s="439"/>
      <c r="AX147" s="439"/>
      <c r="AY147" s="439"/>
      <c r="AZ147" s="439"/>
      <c r="BA147" s="439"/>
      <c r="BB147" s="439"/>
      <c r="BC147" s="439"/>
      <c r="BD147" s="439"/>
      <c r="BE147" s="439"/>
      <c r="BF147" s="439"/>
      <c r="BG147" s="439"/>
      <c r="BH147" s="439"/>
      <c r="BI147" s="439"/>
      <c r="BJ147" s="439"/>
      <c r="BK147" s="439"/>
      <c r="BL147" s="439"/>
    </row>
    <row r="148" spans="1:64" ht="37.4" customHeight="1">
      <c r="A148" s="431">
        <f>A26+1</f>
        <v>2</v>
      </c>
      <c r="B148" s="422"/>
      <c r="C148" s="1276" t="s">
        <v>767</v>
      </c>
      <c r="D148" s="1276"/>
      <c r="E148" s="1276"/>
      <c r="F148" s="1276"/>
      <c r="G148" s="1276"/>
      <c r="H148" s="1276"/>
      <c r="I148" s="407"/>
      <c r="J148" s="437"/>
      <c r="K148" s="438"/>
      <c r="L148" s="438"/>
      <c r="M148" s="439"/>
      <c r="N148" s="439"/>
      <c r="O148" s="439"/>
      <c r="P148" s="439"/>
      <c r="Q148" s="439"/>
      <c r="R148" s="439"/>
      <c r="S148" s="439"/>
      <c r="T148" s="439"/>
      <c r="U148" s="439"/>
      <c r="V148" s="439"/>
      <c r="W148" s="439"/>
      <c r="X148" s="439"/>
      <c r="Y148" s="439"/>
      <c r="Z148" s="439"/>
      <c r="AA148" s="439"/>
      <c r="AB148" s="439"/>
      <c r="AC148" s="439"/>
      <c r="AD148" s="439"/>
      <c r="AE148" s="439"/>
      <c r="AF148" s="439"/>
      <c r="AG148" s="439"/>
      <c r="AH148" s="439"/>
      <c r="AI148" s="439"/>
      <c r="AJ148" s="439"/>
      <c r="AK148" s="439"/>
      <c r="AL148" s="439"/>
      <c r="AM148" s="439"/>
      <c r="AN148" s="439"/>
      <c r="AO148" s="439"/>
      <c r="AP148" s="439"/>
      <c r="AQ148" s="439"/>
      <c r="AR148" s="439"/>
      <c r="AS148" s="439"/>
      <c r="AT148" s="439"/>
      <c r="AU148" s="439"/>
      <c r="AV148" s="439"/>
      <c r="AW148" s="439"/>
      <c r="AX148" s="439"/>
      <c r="AY148" s="439"/>
      <c r="AZ148" s="439"/>
      <c r="BA148" s="439"/>
      <c r="BB148" s="439"/>
      <c r="BC148" s="439"/>
      <c r="BD148" s="439"/>
      <c r="BE148" s="439"/>
      <c r="BF148" s="439"/>
      <c r="BG148" s="439"/>
      <c r="BH148" s="439"/>
      <c r="BI148" s="439"/>
      <c r="BJ148" s="439"/>
      <c r="BK148" s="439"/>
      <c r="BL148" s="439"/>
    </row>
    <row r="149" spans="1:64" ht="13">
      <c r="A149" s="422"/>
      <c r="B149" s="422"/>
      <c r="C149" s="451" t="s">
        <v>768</v>
      </c>
      <c r="D149" s="406"/>
      <c r="E149" s="406"/>
      <c r="F149" s="406"/>
      <c r="G149" s="406"/>
      <c r="H149" s="406"/>
      <c r="I149" s="422"/>
      <c r="J149" s="437"/>
      <c r="K149" s="438"/>
      <c r="L149" s="438"/>
      <c r="M149" s="439"/>
      <c r="N149" s="439"/>
      <c r="O149" s="439"/>
      <c r="P149" s="439"/>
      <c r="Q149" s="439"/>
      <c r="R149" s="439"/>
      <c r="S149" s="439"/>
      <c r="T149" s="439"/>
      <c r="U149" s="439"/>
      <c r="V149" s="439"/>
      <c r="W149" s="439"/>
      <c r="X149" s="439"/>
      <c r="Y149" s="439"/>
      <c r="Z149" s="439"/>
      <c r="AA149" s="439"/>
      <c r="AB149" s="439"/>
      <c r="AC149" s="439"/>
      <c r="AD149" s="439"/>
      <c r="AE149" s="439"/>
      <c r="AF149" s="439"/>
      <c r="AG149" s="439"/>
      <c r="AH149" s="439"/>
      <c r="AI149" s="439"/>
      <c r="AJ149" s="439"/>
      <c r="AK149" s="439"/>
      <c r="AL149" s="439"/>
      <c r="AM149" s="439"/>
      <c r="AN149" s="439"/>
      <c r="AO149" s="439"/>
      <c r="AP149" s="439"/>
      <c r="AQ149" s="439"/>
      <c r="AR149" s="439"/>
      <c r="AS149" s="439"/>
      <c r="AT149" s="439"/>
      <c r="AU149" s="439"/>
      <c r="AV149" s="439"/>
      <c r="AW149" s="439"/>
      <c r="AX149" s="439"/>
      <c r="AY149" s="439"/>
      <c r="AZ149" s="439"/>
      <c r="BA149" s="439"/>
      <c r="BB149" s="439"/>
      <c r="BC149" s="439"/>
      <c r="BD149" s="439"/>
      <c r="BE149" s="439"/>
      <c r="BF149" s="439"/>
      <c r="BG149" s="439"/>
      <c r="BH149" s="439"/>
      <c r="BI149" s="439"/>
      <c r="BJ149" s="439"/>
      <c r="BK149" s="439"/>
      <c r="BL149" s="439"/>
    </row>
    <row r="150" spans="1:64" ht="13">
      <c r="A150" s="422"/>
      <c r="B150" s="432" t="s">
        <v>720</v>
      </c>
      <c r="C150" s="440" t="s">
        <v>769</v>
      </c>
      <c r="D150" s="432"/>
      <c r="E150" s="441"/>
      <c r="F150" s="432"/>
      <c r="G150" s="431"/>
      <c r="H150" s="406"/>
      <c r="I150" s="408"/>
      <c r="J150" s="437"/>
      <c r="K150" s="438"/>
      <c r="L150" s="438"/>
      <c r="M150" s="439"/>
      <c r="N150" s="439"/>
      <c r="O150" s="439"/>
      <c r="P150" s="439"/>
      <c r="Q150" s="439"/>
      <c r="R150" s="439"/>
      <c r="S150" s="439"/>
      <c r="T150" s="439"/>
      <c r="U150" s="439"/>
      <c r="V150" s="439"/>
      <c r="W150" s="439"/>
      <c r="X150" s="439"/>
      <c r="Y150" s="439"/>
      <c r="Z150" s="439"/>
      <c r="AA150" s="439"/>
      <c r="AB150" s="439"/>
      <c r="AC150" s="439"/>
      <c r="AD150" s="439"/>
      <c r="AE150" s="439"/>
      <c r="AF150" s="439"/>
      <c r="AG150" s="439"/>
      <c r="AH150" s="439"/>
      <c r="AI150" s="439"/>
      <c r="AJ150" s="439"/>
      <c r="AK150" s="439"/>
      <c r="AL150" s="439"/>
      <c r="AM150" s="439"/>
      <c r="AN150" s="439"/>
      <c r="AO150" s="439"/>
      <c r="AP150" s="439"/>
      <c r="AQ150" s="439"/>
      <c r="AR150" s="439"/>
      <c r="AS150" s="439"/>
      <c r="AT150" s="439"/>
      <c r="AU150" s="439"/>
      <c r="AV150" s="439"/>
      <c r="AW150" s="439"/>
      <c r="AX150" s="439"/>
      <c r="AY150" s="439"/>
      <c r="AZ150" s="439"/>
      <c r="BA150" s="439"/>
      <c r="BB150" s="439"/>
      <c r="BC150" s="439"/>
      <c r="BD150" s="439"/>
      <c r="BE150" s="439"/>
      <c r="BF150" s="439"/>
      <c r="BG150" s="439"/>
      <c r="BH150" s="439"/>
      <c r="BI150" s="439"/>
      <c r="BJ150" s="439"/>
      <c r="BK150" s="439"/>
      <c r="BL150" s="439"/>
    </row>
    <row r="151" spans="1:64" ht="13">
      <c r="A151" s="422"/>
      <c r="B151" s="422"/>
      <c r="C151" s="440" t="s">
        <v>770</v>
      </c>
      <c r="D151" s="432"/>
      <c r="E151" s="441"/>
      <c r="F151" s="432"/>
      <c r="G151" s="431"/>
      <c r="H151" s="406"/>
      <c r="I151" s="408"/>
      <c r="J151" s="437"/>
      <c r="K151" s="438"/>
      <c r="L151" s="438"/>
      <c r="M151" s="439"/>
      <c r="N151" s="439"/>
      <c r="O151" s="439"/>
      <c r="P151" s="439"/>
      <c r="Q151" s="439"/>
      <c r="R151" s="439"/>
      <c r="S151" s="439"/>
      <c r="T151" s="439"/>
      <c r="U151" s="439"/>
      <c r="V151" s="439"/>
      <c r="W151" s="439"/>
      <c r="X151" s="439"/>
      <c r="Y151" s="439"/>
      <c r="Z151" s="439"/>
      <c r="AA151" s="439"/>
      <c r="AB151" s="439"/>
      <c r="AC151" s="439"/>
      <c r="AD151" s="439"/>
      <c r="AE151" s="439"/>
      <c r="AF151" s="439"/>
      <c r="AG151" s="439"/>
      <c r="AH151" s="439"/>
      <c r="AI151" s="439"/>
      <c r="AJ151" s="439"/>
      <c r="AK151" s="439"/>
      <c r="AL151" s="439"/>
      <c r="AM151" s="439"/>
      <c r="AN151" s="439"/>
      <c r="AO151" s="439"/>
      <c r="AP151" s="439"/>
      <c r="AQ151" s="439"/>
      <c r="AR151" s="439"/>
      <c r="AS151" s="439"/>
      <c r="AT151" s="439"/>
      <c r="AU151" s="439"/>
      <c r="AV151" s="439"/>
      <c r="AW151" s="439"/>
      <c r="AX151" s="439"/>
      <c r="AY151" s="439"/>
      <c r="AZ151" s="439"/>
      <c r="BA151" s="439"/>
      <c r="BB151" s="439"/>
      <c r="BC151" s="439"/>
      <c r="BD151" s="439"/>
      <c r="BE151" s="439"/>
      <c r="BF151" s="439"/>
      <c r="BG151" s="439"/>
      <c r="BH151" s="439"/>
      <c r="BI151" s="439"/>
      <c r="BJ151" s="439"/>
      <c r="BK151" s="439"/>
      <c r="BL151" s="439"/>
    </row>
    <row r="152" spans="1:64" ht="13">
      <c r="A152" s="422"/>
      <c r="B152" s="422"/>
      <c r="C152" s="429" t="s">
        <v>771</v>
      </c>
      <c r="D152" s="408">
        <v>0.1</v>
      </c>
      <c r="E152" s="408" t="s">
        <v>375</v>
      </c>
      <c r="F152" s="408">
        <f>'[161]Civil-SOR'!$G$302</f>
        <v>550</v>
      </c>
      <c r="G152" s="430">
        <v>1</v>
      </c>
      <c r="H152" s="408" t="s">
        <v>678</v>
      </c>
      <c r="I152" s="408">
        <f t="shared" ref="I152:I155" si="17">IF(G152="",D152*F152,(D152*F152/G152))</f>
        <v>55</v>
      </c>
      <c r="J152" s="437"/>
      <c r="K152" s="438"/>
      <c r="L152" s="438"/>
      <c r="M152" s="439"/>
      <c r="N152" s="439"/>
      <c r="O152" s="439"/>
      <c r="P152" s="439"/>
      <c r="Q152" s="439"/>
      <c r="R152" s="439"/>
      <c r="S152" s="439"/>
      <c r="T152" s="439"/>
      <c r="U152" s="439"/>
      <c r="V152" s="439"/>
      <c r="W152" s="439"/>
      <c r="X152" s="439"/>
      <c r="Y152" s="439"/>
      <c r="Z152" s="439"/>
      <c r="AA152" s="439"/>
      <c r="AB152" s="439"/>
      <c r="AC152" s="439"/>
      <c r="AD152" s="439"/>
      <c r="AE152" s="439"/>
      <c r="AF152" s="439"/>
      <c r="AG152" s="439"/>
      <c r="AH152" s="439"/>
      <c r="AI152" s="439"/>
      <c r="AJ152" s="439"/>
      <c r="AK152" s="439"/>
      <c r="AL152" s="439"/>
      <c r="AM152" s="439"/>
      <c r="AN152" s="439"/>
      <c r="AO152" s="439"/>
      <c r="AP152" s="439"/>
      <c r="AQ152" s="439"/>
      <c r="AR152" s="439"/>
      <c r="AS152" s="439"/>
      <c r="AT152" s="439"/>
      <c r="AU152" s="439"/>
      <c r="AV152" s="439"/>
      <c r="AW152" s="439"/>
      <c r="AX152" s="439"/>
      <c r="AY152" s="439"/>
      <c r="AZ152" s="439"/>
      <c r="BA152" s="439"/>
      <c r="BB152" s="439"/>
      <c r="BC152" s="439"/>
      <c r="BD152" s="439"/>
      <c r="BE152" s="439"/>
      <c r="BF152" s="439"/>
      <c r="BG152" s="439"/>
      <c r="BH152" s="439"/>
      <c r="BI152" s="439"/>
      <c r="BJ152" s="439"/>
      <c r="BK152" s="439"/>
      <c r="BL152" s="439"/>
    </row>
    <row r="153" spans="1:64" ht="13">
      <c r="A153" s="422"/>
      <c r="B153" s="422"/>
      <c r="C153" s="429" t="s">
        <v>738</v>
      </c>
      <c r="D153" s="408">
        <v>0.2</v>
      </c>
      <c r="E153" s="408" t="s">
        <v>375</v>
      </c>
      <c r="F153" s="408">
        <f>'[161]Civil-SOR'!$G$307</f>
        <v>520</v>
      </c>
      <c r="G153" s="430">
        <v>1</v>
      </c>
      <c r="H153" s="408" t="s">
        <v>678</v>
      </c>
      <c r="I153" s="408">
        <f t="shared" si="17"/>
        <v>104</v>
      </c>
      <c r="J153" s="437"/>
      <c r="K153" s="438"/>
      <c r="L153" s="438"/>
      <c r="M153" s="439"/>
      <c r="N153" s="439"/>
      <c r="O153" s="439"/>
      <c r="P153" s="439"/>
      <c r="Q153" s="439"/>
      <c r="R153" s="439"/>
      <c r="S153" s="439"/>
      <c r="T153" s="439"/>
      <c r="U153" s="439"/>
      <c r="V153" s="439"/>
      <c r="W153" s="439"/>
      <c r="X153" s="439"/>
      <c r="Y153" s="439"/>
      <c r="Z153" s="439"/>
      <c r="AA153" s="439"/>
      <c r="AB153" s="439"/>
      <c r="AC153" s="439"/>
      <c r="AD153" s="439"/>
      <c r="AE153" s="439"/>
      <c r="AF153" s="439"/>
      <c r="AG153" s="439"/>
      <c r="AH153" s="439"/>
      <c r="AI153" s="439"/>
      <c r="AJ153" s="439"/>
      <c r="AK153" s="439"/>
      <c r="AL153" s="439"/>
      <c r="AM153" s="439"/>
      <c r="AN153" s="439"/>
      <c r="AO153" s="439"/>
      <c r="AP153" s="439"/>
      <c r="AQ153" s="439"/>
      <c r="AR153" s="439"/>
      <c r="AS153" s="439"/>
      <c r="AT153" s="439"/>
      <c r="AU153" s="439"/>
      <c r="AV153" s="439"/>
      <c r="AW153" s="439"/>
      <c r="AX153" s="439"/>
      <c r="AY153" s="439"/>
      <c r="AZ153" s="439"/>
      <c r="BA153" s="439"/>
      <c r="BB153" s="439"/>
      <c r="BC153" s="439"/>
      <c r="BD153" s="439"/>
      <c r="BE153" s="439"/>
      <c r="BF153" s="439"/>
      <c r="BG153" s="439"/>
      <c r="BH153" s="439"/>
      <c r="BI153" s="439"/>
      <c r="BJ153" s="439"/>
      <c r="BK153" s="439"/>
      <c r="BL153" s="439"/>
    </row>
    <row r="154" spans="1:64" ht="13">
      <c r="A154" s="422"/>
      <c r="B154" s="422"/>
      <c r="C154" s="429" t="s">
        <v>772</v>
      </c>
      <c r="D154" s="408">
        <v>0.05</v>
      </c>
      <c r="E154" s="408" t="s">
        <v>375</v>
      </c>
      <c r="F154" s="408">
        <f>'[161]Civil-SOR'!$G$302</f>
        <v>550</v>
      </c>
      <c r="G154" s="430">
        <v>1</v>
      </c>
      <c r="H154" s="408" t="s">
        <v>678</v>
      </c>
      <c r="I154" s="408">
        <f t="shared" si="17"/>
        <v>27.5</v>
      </c>
      <c r="J154" s="437"/>
      <c r="K154" s="438"/>
      <c r="L154" s="438"/>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row>
    <row r="155" spans="1:64" ht="13">
      <c r="A155" s="422"/>
      <c r="B155" s="422"/>
      <c r="C155" s="429" t="str">
        <f>[161]Input!$C$47</f>
        <v>Add for MA @ 40%</v>
      </c>
      <c r="D155" s="432">
        <f>[161]Input!$D$47</f>
        <v>0.4</v>
      </c>
      <c r="E155" s="441"/>
      <c r="F155" s="432">
        <f>SUM(I152:I154)</f>
        <v>186.5</v>
      </c>
      <c r="G155" s="431"/>
      <c r="H155" s="406"/>
      <c r="I155" s="408">
        <f t="shared" si="17"/>
        <v>74.600000000000009</v>
      </c>
      <c r="J155" s="437"/>
      <c r="K155" s="438"/>
      <c r="L155" s="438"/>
      <c r="M155" s="439"/>
      <c r="N155" s="439"/>
      <c r="O155" s="439"/>
      <c r="P155" s="439"/>
      <c r="Q155" s="439"/>
      <c r="R155" s="439"/>
      <c r="S155" s="439"/>
      <c r="T155" s="439"/>
      <c r="U155" s="439"/>
      <c r="V155" s="439"/>
      <c r="W155" s="439"/>
      <c r="X155" s="439"/>
      <c r="Y155" s="439"/>
      <c r="Z155" s="439"/>
      <c r="AA155" s="439"/>
      <c r="AB155" s="439"/>
      <c r="AC155" s="439"/>
      <c r="AD155" s="439"/>
      <c r="AE155" s="439"/>
      <c r="AF155" s="439"/>
      <c r="AG155" s="439"/>
      <c r="AH155" s="439"/>
      <c r="AI155" s="439"/>
      <c r="AJ155" s="439"/>
      <c r="AK155" s="439"/>
      <c r="AL155" s="439"/>
      <c r="AM155" s="439"/>
      <c r="AN155" s="439"/>
      <c r="AO155" s="439"/>
      <c r="AP155" s="439"/>
      <c r="AQ155" s="439"/>
      <c r="AR155" s="439"/>
      <c r="AS155" s="439"/>
      <c r="AT155" s="439"/>
      <c r="AU155" s="439"/>
      <c r="AV155" s="439"/>
      <c r="AW155" s="439"/>
      <c r="AX155" s="439"/>
      <c r="AY155" s="439"/>
      <c r="AZ155" s="439"/>
      <c r="BA155" s="439"/>
      <c r="BB155" s="439"/>
      <c r="BC155" s="439"/>
      <c r="BD155" s="439"/>
      <c r="BE155" s="439"/>
      <c r="BF155" s="439"/>
      <c r="BG155" s="439"/>
      <c r="BH155" s="439"/>
      <c r="BI155" s="439"/>
      <c r="BJ155" s="439"/>
      <c r="BK155" s="439"/>
      <c r="BL155" s="439"/>
    </row>
    <row r="156" spans="1:64" ht="13">
      <c r="A156" s="422"/>
      <c r="B156" s="422"/>
      <c r="C156" s="406"/>
      <c r="D156" s="432"/>
      <c r="E156" s="441"/>
      <c r="F156" s="432"/>
      <c r="G156" s="431"/>
      <c r="H156" s="406"/>
      <c r="I156" s="432">
        <f>SUM(I152:I155)</f>
        <v>261.10000000000002</v>
      </c>
      <c r="J156" s="437"/>
      <c r="K156" s="438"/>
      <c r="L156" s="438"/>
      <c r="M156" s="439"/>
      <c r="N156" s="439"/>
      <c r="O156" s="439"/>
      <c r="P156" s="439"/>
      <c r="Q156" s="439"/>
      <c r="R156" s="439"/>
      <c r="S156" s="439"/>
      <c r="T156" s="439"/>
      <c r="U156" s="439"/>
      <c r="V156" s="439"/>
      <c r="W156" s="439"/>
      <c r="X156" s="439"/>
      <c r="Y156" s="439"/>
      <c r="Z156" s="439"/>
      <c r="AA156" s="439"/>
      <c r="AB156" s="439"/>
      <c r="AC156" s="439"/>
      <c r="AD156" s="439"/>
      <c r="AE156" s="439"/>
      <c r="AF156" s="439"/>
      <c r="AG156" s="439"/>
      <c r="AH156" s="439"/>
      <c r="AI156" s="439"/>
      <c r="AJ156" s="439"/>
      <c r="AK156" s="439"/>
      <c r="AL156" s="439"/>
      <c r="AM156" s="439"/>
      <c r="AN156" s="439"/>
      <c r="AO156" s="439"/>
      <c r="AP156" s="439"/>
      <c r="AQ156" s="439"/>
      <c r="AR156" s="439"/>
      <c r="AS156" s="439"/>
      <c r="AT156" s="439"/>
      <c r="AU156" s="439"/>
      <c r="AV156" s="439"/>
      <c r="AW156" s="439"/>
      <c r="AX156" s="439"/>
      <c r="AY156" s="439"/>
      <c r="AZ156" s="439"/>
      <c r="BA156" s="439"/>
      <c r="BB156" s="439"/>
      <c r="BC156" s="439"/>
      <c r="BD156" s="439"/>
      <c r="BE156" s="439"/>
      <c r="BF156" s="439"/>
      <c r="BG156" s="439"/>
      <c r="BH156" s="439"/>
      <c r="BI156" s="439"/>
      <c r="BJ156" s="439"/>
      <c r="BK156" s="439"/>
      <c r="BL156" s="439"/>
    </row>
    <row r="157" spans="1:64" ht="25">
      <c r="A157" s="422"/>
      <c r="B157" s="422"/>
      <c r="C157" s="445" t="str">
        <f>[161]Input!$C$48</f>
        <v>Overheads &amp; Contractors Profit @ 13.615%</v>
      </c>
      <c r="D157" s="444">
        <f>[161]Input!$D$48</f>
        <v>0.13614999999999999</v>
      </c>
      <c r="E157" s="441"/>
      <c r="F157" s="432">
        <f>I156</f>
        <v>261.10000000000002</v>
      </c>
      <c r="G157" s="431"/>
      <c r="H157" s="406"/>
      <c r="I157" s="408">
        <f>IF(G157="",D157*F157,(D157*F157/G157))</f>
        <v>35.548765000000003</v>
      </c>
      <c r="J157" s="446"/>
      <c r="K157" s="447"/>
      <c r="L157" s="447"/>
      <c r="M157" s="448"/>
      <c r="N157" s="448"/>
      <c r="O157" s="448"/>
      <c r="P157" s="448"/>
      <c r="Q157" s="448"/>
      <c r="R157" s="448"/>
      <c r="S157" s="448"/>
      <c r="T157" s="448"/>
      <c r="U157" s="448"/>
      <c r="V157" s="448"/>
      <c r="W157" s="448"/>
      <c r="X157" s="448"/>
      <c r="Y157" s="448"/>
      <c r="Z157" s="448"/>
      <c r="AA157" s="448"/>
      <c r="AB157" s="448"/>
      <c r="AC157" s="448"/>
      <c r="AD157" s="448"/>
      <c r="AE157" s="448"/>
      <c r="AF157" s="448"/>
      <c r="AG157" s="448"/>
      <c r="AH157" s="448"/>
      <c r="AI157" s="448"/>
      <c r="AJ157" s="448"/>
      <c r="AK157" s="448"/>
      <c r="AL157" s="448"/>
      <c r="AM157" s="448"/>
      <c r="AN157" s="448"/>
      <c r="AO157" s="448"/>
      <c r="AP157" s="448"/>
      <c r="AQ157" s="448"/>
      <c r="AR157" s="448"/>
      <c r="AS157" s="448"/>
      <c r="AT157" s="448"/>
      <c r="AU157" s="448"/>
      <c r="AV157" s="448"/>
      <c r="AW157" s="448"/>
      <c r="AX157" s="448"/>
      <c r="AY157" s="448"/>
      <c r="AZ157" s="448"/>
      <c r="BA157" s="448"/>
      <c r="BB157" s="448"/>
      <c r="BC157" s="448"/>
      <c r="BD157" s="448"/>
      <c r="BE157" s="448"/>
      <c r="BF157" s="448"/>
      <c r="BG157" s="448"/>
      <c r="BH157" s="448"/>
      <c r="BI157" s="448"/>
      <c r="BJ157" s="448"/>
      <c r="BK157" s="448"/>
      <c r="BL157" s="448"/>
    </row>
    <row r="158" spans="1:64" ht="13">
      <c r="A158" s="422"/>
      <c r="B158" s="422"/>
      <c r="C158" s="440" t="s">
        <v>773</v>
      </c>
      <c r="D158" s="432"/>
      <c r="E158" s="441"/>
      <c r="F158" s="432"/>
      <c r="G158" s="431"/>
      <c r="H158" s="408" t="s">
        <v>725</v>
      </c>
      <c r="I158" s="432">
        <f>SUM(I156:I157)</f>
        <v>296.64876500000003</v>
      </c>
      <c r="J158" s="437"/>
      <c r="K158" s="438"/>
      <c r="L158" s="438"/>
      <c r="M158" s="439"/>
      <c r="N158" s="439"/>
      <c r="O158" s="439"/>
      <c r="P158" s="439"/>
      <c r="Q158" s="439"/>
      <c r="R158" s="439"/>
      <c r="S158" s="439"/>
      <c r="T158" s="439"/>
      <c r="U158" s="439"/>
      <c r="V158" s="439"/>
      <c r="W158" s="439"/>
      <c r="X158" s="439"/>
      <c r="Y158" s="439"/>
      <c r="Z158" s="439"/>
      <c r="AA158" s="439"/>
      <c r="AB158" s="439"/>
      <c r="AC158" s="439"/>
      <c r="AD158" s="439"/>
      <c r="AE158" s="439"/>
      <c r="AF158" s="439"/>
      <c r="AG158" s="439"/>
      <c r="AH158" s="439"/>
      <c r="AI158" s="439"/>
      <c r="AJ158" s="439"/>
      <c r="AK158" s="439"/>
      <c r="AL158" s="439"/>
      <c r="AM158" s="439"/>
      <c r="AN158" s="439"/>
      <c r="AO158" s="439"/>
      <c r="AP158" s="439"/>
      <c r="AQ158" s="439"/>
      <c r="AR158" s="439"/>
      <c r="AS158" s="439"/>
      <c r="AT158" s="439"/>
      <c r="AU158" s="439"/>
      <c r="AV158" s="439"/>
      <c r="AW158" s="439"/>
      <c r="AX158" s="439"/>
      <c r="AY158" s="439"/>
      <c r="AZ158" s="439"/>
      <c r="BA158" s="439"/>
      <c r="BB158" s="439"/>
      <c r="BC158" s="439"/>
      <c r="BD158" s="439"/>
      <c r="BE158" s="439"/>
      <c r="BF158" s="439"/>
      <c r="BG158" s="439"/>
      <c r="BH158" s="439"/>
      <c r="BI158" s="439"/>
      <c r="BJ158" s="439"/>
      <c r="BK158" s="439"/>
      <c r="BL158" s="439"/>
    </row>
    <row r="159" spans="1:64" ht="13">
      <c r="A159" s="422"/>
      <c r="B159" s="422"/>
      <c r="C159" s="406"/>
      <c r="D159" s="432"/>
      <c r="E159" s="441"/>
      <c r="F159" s="432"/>
      <c r="G159" s="431"/>
      <c r="H159" s="415" t="s">
        <v>774</v>
      </c>
      <c r="I159" s="414">
        <f>ROUND(I158,0)</f>
        <v>297</v>
      </c>
      <c r="J159" s="437"/>
      <c r="K159" s="438"/>
      <c r="L159" s="438"/>
      <c r="M159" s="439"/>
      <c r="N159" s="439"/>
      <c r="O159" s="439"/>
      <c r="P159" s="439"/>
      <c r="Q159" s="439"/>
      <c r="R159" s="439"/>
      <c r="S159" s="439"/>
      <c r="T159" s="439"/>
      <c r="U159" s="439"/>
      <c r="V159" s="439"/>
      <c r="W159" s="439"/>
      <c r="X159" s="439"/>
      <c r="Y159" s="439"/>
      <c r="Z159" s="439"/>
      <c r="AA159" s="439"/>
      <c r="AB159" s="439"/>
      <c r="AC159" s="439"/>
      <c r="AD159" s="439"/>
      <c r="AE159" s="439"/>
      <c r="AF159" s="439"/>
      <c r="AG159" s="439"/>
      <c r="AH159" s="439"/>
      <c r="AI159" s="439"/>
      <c r="AJ159" s="439"/>
      <c r="AK159" s="439"/>
      <c r="AL159" s="439"/>
      <c r="AM159" s="439"/>
      <c r="AN159" s="439"/>
      <c r="AO159" s="439"/>
      <c r="AP159" s="439"/>
      <c r="AQ159" s="439"/>
      <c r="AR159" s="439"/>
      <c r="AS159" s="439"/>
      <c r="AT159" s="439"/>
      <c r="AU159" s="439"/>
      <c r="AV159" s="439"/>
      <c r="AW159" s="439"/>
      <c r="AX159" s="439"/>
      <c r="AY159" s="439"/>
      <c r="AZ159" s="439"/>
      <c r="BA159" s="439"/>
      <c r="BB159" s="439"/>
      <c r="BC159" s="439"/>
      <c r="BD159" s="439"/>
      <c r="BE159" s="439"/>
      <c r="BF159" s="439"/>
      <c r="BG159" s="439"/>
      <c r="BH159" s="439"/>
      <c r="BI159" s="439"/>
      <c r="BJ159" s="439"/>
      <c r="BK159" s="439"/>
      <c r="BL159" s="439"/>
    </row>
    <row r="160" spans="1:64" ht="13">
      <c r="A160" s="422"/>
      <c r="B160" s="422"/>
      <c r="C160" s="406"/>
      <c r="D160" s="432"/>
      <c r="E160" s="441"/>
      <c r="F160" s="432"/>
      <c r="G160" s="431"/>
      <c r="H160" s="415"/>
      <c r="I160" s="414"/>
      <c r="J160" s="437"/>
      <c r="K160" s="438"/>
      <c r="L160" s="438"/>
      <c r="M160" s="452"/>
      <c r="N160" s="452"/>
      <c r="O160" s="452"/>
      <c r="P160" s="452"/>
      <c r="Q160" s="452"/>
      <c r="R160" s="452"/>
      <c r="S160" s="452"/>
      <c r="T160" s="452"/>
      <c r="U160" s="452"/>
      <c r="V160" s="452"/>
      <c r="W160" s="452"/>
      <c r="X160" s="452"/>
      <c r="Y160" s="452"/>
      <c r="Z160" s="452"/>
      <c r="AA160" s="452"/>
      <c r="AB160" s="452"/>
      <c r="AC160" s="452"/>
      <c r="AD160" s="452"/>
      <c r="AE160" s="452"/>
      <c r="AF160" s="452"/>
      <c r="AG160" s="452"/>
      <c r="AH160" s="452"/>
      <c r="AI160" s="452"/>
      <c r="AJ160" s="452"/>
      <c r="AK160" s="452"/>
      <c r="AL160" s="452"/>
      <c r="AM160" s="452"/>
      <c r="AN160" s="452"/>
      <c r="AO160" s="452"/>
      <c r="AP160" s="452"/>
      <c r="AQ160" s="452"/>
      <c r="AR160" s="452"/>
      <c r="AS160" s="452"/>
      <c r="AT160" s="452"/>
      <c r="AU160" s="452"/>
      <c r="AV160" s="452"/>
      <c r="AW160" s="452"/>
      <c r="AX160" s="452"/>
      <c r="AY160" s="452"/>
      <c r="AZ160" s="452"/>
      <c r="BA160" s="452"/>
      <c r="BB160" s="452"/>
      <c r="BC160" s="452"/>
      <c r="BD160" s="452"/>
      <c r="BE160" s="452"/>
      <c r="BF160" s="452"/>
      <c r="BG160" s="452"/>
      <c r="BH160" s="452"/>
      <c r="BI160" s="452"/>
      <c r="BJ160" s="452"/>
      <c r="BK160" s="452"/>
      <c r="BL160" s="452"/>
    </row>
    <row r="161" spans="1:64" ht="12.75" customHeight="1">
      <c r="A161" s="432"/>
      <c r="B161" s="432" t="s">
        <v>727</v>
      </c>
      <c r="C161" s="440" t="s">
        <v>775</v>
      </c>
      <c r="D161" s="432"/>
      <c r="E161" s="441"/>
      <c r="F161" s="432"/>
      <c r="G161" s="431"/>
      <c r="H161" s="406"/>
      <c r="I161" s="408"/>
      <c r="J161" s="437"/>
      <c r="K161" s="438"/>
      <c r="L161" s="438"/>
      <c r="M161" s="452"/>
      <c r="N161" s="452"/>
      <c r="O161" s="452"/>
      <c r="P161" s="452"/>
      <c r="Q161" s="452"/>
      <c r="R161" s="452"/>
      <c r="S161" s="452"/>
      <c r="T161" s="452"/>
      <c r="U161" s="452"/>
      <c r="V161" s="452"/>
      <c r="W161" s="452"/>
      <c r="X161" s="452"/>
      <c r="Y161" s="452"/>
      <c r="Z161" s="452"/>
      <c r="AA161" s="452"/>
      <c r="AB161" s="452"/>
      <c r="AC161" s="452"/>
      <c r="AD161" s="452"/>
      <c r="AE161" s="452"/>
      <c r="AF161" s="452"/>
      <c r="AG161" s="452"/>
      <c r="AH161" s="452"/>
      <c r="AI161" s="452"/>
      <c r="AJ161" s="452"/>
      <c r="AK161" s="452"/>
      <c r="AL161" s="452"/>
      <c r="AM161" s="452"/>
      <c r="AN161" s="452"/>
      <c r="AO161" s="452"/>
      <c r="AP161" s="452"/>
      <c r="AQ161" s="452"/>
      <c r="AR161" s="452"/>
      <c r="AS161" s="452"/>
      <c r="AT161" s="452"/>
      <c r="AU161" s="452"/>
      <c r="AV161" s="452"/>
      <c r="AW161" s="452"/>
      <c r="AX161" s="452"/>
      <c r="AY161" s="452"/>
      <c r="AZ161" s="452"/>
      <c r="BA161" s="452"/>
      <c r="BB161" s="452"/>
      <c r="BC161" s="452"/>
      <c r="BD161" s="452"/>
      <c r="BE161" s="452"/>
      <c r="BF161" s="452"/>
      <c r="BG161" s="452"/>
      <c r="BH161" s="452"/>
      <c r="BI161" s="452"/>
      <c r="BJ161" s="452"/>
      <c r="BK161" s="452"/>
      <c r="BL161" s="452"/>
    </row>
    <row r="162" spans="1:64" ht="13">
      <c r="A162" s="422"/>
      <c r="B162" s="422"/>
      <c r="C162" s="440" t="s">
        <v>770</v>
      </c>
      <c r="D162" s="432"/>
      <c r="E162" s="441"/>
      <c r="F162" s="432"/>
      <c r="G162" s="431"/>
      <c r="H162" s="406"/>
      <c r="I162" s="408"/>
      <c r="J162" s="437"/>
      <c r="K162" s="438"/>
      <c r="L162" s="438"/>
      <c r="M162" s="452"/>
      <c r="N162" s="452"/>
      <c r="O162" s="452"/>
      <c r="P162" s="452"/>
      <c r="Q162" s="452"/>
      <c r="R162" s="452"/>
      <c r="S162" s="452"/>
      <c r="T162" s="452"/>
      <c r="U162" s="452"/>
      <c r="V162" s="452"/>
      <c r="W162" s="452"/>
      <c r="X162" s="452"/>
      <c r="Y162" s="452"/>
      <c r="Z162" s="452"/>
      <c r="AA162" s="452"/>
      <c r="AB162" s="452"/>
      <c r="AC162" s="452"/>
      <c r="AD162" s="452"/>
      <c r="AE162" s="452"/>
      <c r="AF162" s="452"/>
      <c r="AG162" s="452"/>
      <c r="AH162" s="452"/>
      <c r="AI162" s="452"/>
      <c r="AJ162" s="452"/>
      <c r="AK162" s="452"/>
      <c r="AL162" s="452"/>
      <c r="AM162" s="452"/>
      <c r="AN162" s="452"/>
      <c r="AO162" s="452"/>
      <c r="AP162" s="452"/>
      <c r="AQ162" s="452"/>
      <c r="AR162" s="452"/>
      <c r="AS162" s="452"/>
      <c r="AT162" s="452"/>
      <c r="AU162" s="452"/>
      <c r="AV162" s="452"/>
      <c r="AW162" s="452"/>
      <c r="AX162" s="452"/>
      <c r="AY162" s="452"/>
      <c r="AZ162" s="452"/>
      <c r="BA162" s="452"/>
      <c r="BB162" s="452"/>
      <c r="BC162" s="452"/>
      <c r="BD162" s="452"/>
      <c r="BE162" s="452"/>
      <c r="BF162" s="452"/>
      <c r="BG162" s="452"/>
      <c r="BH162" s="452"/>
      <c r="BI162" s="452"/>
      <c r="BJ162" s="452"/>
      <c r="BK162" s="452"/>
      <c r="BL162" s="452"/>
    </row>
    <row r="163" spans="1:64" ht="13">
      <c r="A163" s="422"/>
      <c r="B163" s="422"/>
      <c r="C163" s="429" t="s">
        <v>771</v>
      </c>
      <c r="D163" s="408">
        <v>0.13</v>
      </c>
      <c r="E163" s="408" t="s">
        <v>375</v>
      </c>
      <c r="F163" s="408">
        <f>'[161]Civil-SOR'!$G$302</f>
        <v>550</v>
      </c>
      <c r="G163" s="430">
        <v>1</v>
      </c>
      <c r="H163" s="408" t="s">
        <v>678</v>
      </c>
      <c r="I163" s="408">
        <f t="shared" ref="I163:I166" si="18">IF(G163="",D163*F163,(D163*F163/G163))</f>
        <v>71.5</v>
      </c>
      <c r="J163" s="437"/>
      <c r="K163" s="438"/>
      <c r="L163" s="438"/>
      <c r="M163" s="452"/>
      <c r="N163" s="452"/>
      <c r="O163" s="452"/>
      <c r="P163" s="452"/>
      <c r="Q163" s="452"/>
      <c r="R163" s="452"/>
      <c r="S163" s="452"/>
      <c r="T163" s="452"/>
      <c r="U163" s="452"/>
      <c r="V163" s="452"/>
      <c r="W163" s="452"/>
      <c r="X163" s="452"/>
      <c r="Y163" s="452"/>
      <c r="Z163" s="452"/>
      <c r="AA163" s="452"/>
      <c r="AB163" s="452"/>
      <c r="AC163" s="452"/>
      <c r="AD163" s="452"/>
      <c r="AE163" s="452"/>
      <c r="AF163" s="452"/>
      <c r="AG163" s="452"/>
      <c r="AH163" s="452"/>
      <c r="AI163" s="452"/>
      <c r="AJ163" s="452"/>
      <c r="AK163" s="452"/>
      <c r="AL163" s="452"/>
      <c r="AM163" s="452"/>
      <c r="AN163" s="452"/>
      <c r="AO163" s="452"/>
      <c r="AP163" s="452"/>
      <c r="AQ163" s="452"/>
      <c r="AR163" s="452"/>
      <c r="AS163" s="452"/>
      <c r="AT163" s="452"/>
      <c r="AU163" s="452"/>
      <c r="AV163" s="452"/>
      <c r="AW163" s="452"/>
      <c r="AX163" s="452"/>
      <c r="AY163" s="452"/>
      <c r="AZ163" s="452"/>
      <c r="BA163" s="452"/>
      <c r="BB163" s="452"/>
      <c r="BC163" s="452"/>
      <c r="BD163" s="452"/>
      <c r="BE163" s="452"/>
      <c r="BF163" s="452"/>
      <c r="BG163" s="452"/>
      <c r="BH163" s="452"/>
      <c r="BI163" s="452"/>
      <c r="BJ163" s="452"/>
      <c r="BK163" s="452"/>
      <c r="BL163" s="452"/>
    </row>
    <row r="164" spans="1:64" ht="13">
      <c r="A164" s="422"/>
      <c r="B164" s="422"/>
      <c r="C164" s="429" t="s">
        <v>738</v>
      </c>
      <c r="D164" s="408">
        <v>0.27</v>
      </c>
      <c r="E164" s="408" t="s">
        <v>375</v>
      </c>
      <c r="F164" s="408">
        <f>'[161]Civil-SOR'!$G$307</f>
        <v>520</v>
      </c>
      <c r="G164" s="430">
        <v>1</v>
      </c>
      <c r="H164" s="408" t="s">
        <v>678</v>
      </c>
      <c r="I164" s="408">
        <f t="shared" si="18"/>
        <v>140.4</v>
      </c>
      <c r="J164" s="437"/>
      <c r="K164" s="438"/>
      <c r="L164" s="438"/>
      <c r="M164" s="452"/>
      <c r="N164" s="452"/>
      <c r="O164" s="452"/>
      <c r="P164" s="452"/>
      <c r="Q164" s="452"/>
      <c r="R164" s="452"/>
      <c r="S164" s="452"/>
      <c r="T164" s="452"/>
      <c r="U164" s="452"/>
      <c r="V164" s="452"/>
      <c r="W164" s="452"/>
      <c r="X164" s="452"/>
      <c r="Y164" s="452"/>
      <c r="Z164" s="452"/>
      <c r="AA164" s="452"/>
      <c r="AB164" s="452"/>
      <c r="AC164" s="452"/>
      <c r="AD164" s="452"/>
      <c r="AE164" s="452"/>
      <c r="AF164" s="452"/>
      <c r="AG164" s="452"/>
      <c r="AH164" s="452"/>
      <c r="AI164" s="452"/>
      <c r="AJ164" s="452"/>
      <c r="AK164" s="452"/>
      <c r="AL164" s="452"/>
      <c r="AM164" s="452"/>
      <c r="AN164" s="452"/>
      <c r="AO164" s="452"/>
      <c r="AP164" s="452"/>
      <c r="AQ164" s="452"/>
      <c r="AR164" s="452"/>
      <c r="AS164" s="452"/>
      <c r="AT164" s="452"/>
      <c r="AU164" s="452"/>
      <c r="AV164" s="452"/>
      <c r="AW164" s="452"/>
      <c r="AX164" s="452"/>
      <c r="AY164" s="452"/>
      <c r="AZ164" s="452"/>
      <c r="BA164" s="452"/>
      <c r="BB164" s="452"/>
      <c r="BC164" s="452"/>
      <c r="BD164" s="452"/>
      <c r="BE164" s="452"/>
      <c r="BF164" s="452"/>
      <c r="BG164" s="452"/>
      <c r="BH164" s="452"/>
      <c r="BI164" s="452"/>
      <c r="BJ164" s="452"/>
      <c r="BK164" s="452"/>
      <c r="BL164" s="452"/>
    </row>
    <row r="165" spans="1:64" ht="13">
      <c r="A165" s="422"/>
      <c r="B165" s="422"/>
      <c r="C165" s="429" t="s">
        <v>772</v>
      </c>
      <c r="D165" s="408">
        <v>7.0000000000000007E-2</v>
      </c>
      <c r="E165" s="408" t="s">
        <v>375</v>
      </c>
      <c r="F165" s="408">
        <f>'[161]Civil-SOR'!$G$302</f>
        <v>550</v>
      </c>
      <c r="G165" s="430">
        <v>1</v>
      </c>
      <c r="H165" s="408" t="s">
        <v>678</v>
      </c>
      <c r="I165" s="408">
        <f t="shared" si="18"/>
        <v>38.500000000000007</v>
      </c>
      <c r="J165" s="437"/>
      <c r="K165" s="438"/>
      <c r="L165" s="438"/>
      <c r="M165" s="452"/>
      <c r="N165" s="452"/>
      <c r="O165" s="452"/>
      <c r="P165" s="452"/>
      <c r="Q165" s="452"/>
      <c r="R165" s="452"/>
      <c r="S165" s="452"/>
      <c r="T165" s="452"/>
      <c r="U165" s="452"/>
      <c r="V165" s="452"/>
      <c r="W165" s="452"/>
      <c r="X165" s="452"/>
      <c r="Y165" s="452"/>
      <c r="Z165" s="452"/>
      <c r="AA165" s="452"/>
      <c r="AB165" s="452"/>
      <c r="AC165" s="452"/>
      <c r="AD165" s="452"/>
      <c r="AE165" s="452"/>
      <c r="AF165" s="452"/>
      <c r="AG165" s="452"/>
      <c r="AH165" s="452"/>
      <c r="AI165" s="452"/>
      <c r="AJ165" s="452"/>
      <c r="AK165" s="452"/>
      <c r="AL165" s="452"/>
      <c r="AM165" s="452"/>
      <c r="AN165" s="452"/>
      <c r="AO165" s="452"/>
      <c r="AP165" s="452"/>
      <c r="AQ165" s="452"/>
      <c r="AR165" s="452"/>
      <c r="AS165" s="452"/>
      <c r="AT165" s="452"/>
      <c r="AU165" s="452"/>
      <c r="AV165" s="452"/>
      <c r="AW165" s="452"/>
      <c r="AX165" s="452"/>
      <c r="AY165" s="452"/>
      <c r="AZ165" s="452"/>
      <c r="BA165" s="452"/>
      <c r="BB165" s="452"/>
      <c r="BC165" s="452"/>
      <c r="BD165" s="452"/>
      <c r="BE165" s="452"/>
      <c r="BF165" s="452"/>
      <c r="BG165" s="452"/>
      <c r="BH165" s="452"/>
      <c r="BI165" s="452"/>
      <c r="BJ165" s="452"/>
      <c r="BK165" s="452"/>
      <c r="BL165" s="452"/>
    </row>
    <row r="166" spans="1:64" ht="13">
      <c r="A166" s="422"/>
      <c r="B166" s="422"/>
      <c r="C166" s="429" t="str">
        <f>[161]Input!$C$47</f>
        <v>Add for MA @ 40%</v>
      </c>
      <c r="D166" s="432">
        <f>[161]Input!$D$47</f>
        <v>0.4</v>
      </c>
      <c r="E166" s="441"/>
      <c r="F166" s="432">
        <f>SUM(I163:I165)</f>
        <v>250.4</v>
      </c>
      <c r="G166" s="431"/>
      <c r="H166" s="406"/>
      <c r="I166" s="408">
        <f t="shared" si="18"/>
        <v>100.16000000000001</v>
      </c>
      <c r="J166" s="437"/>
      <c r="K166" s="438"/>
      <c r="L166" s="438"/>
      <c r="M166" s="452"/>
      <c r="N166" s="452"/>
      <c r="O166" s="452"/>
      <c r="P166" s="452"/>
      <c r="Q166" s="452"/>
      <c r="R166" s="452"/>
      <c r="S166" s="452"/>
      <c r="T166" s="452"/>
      <c r="U166" s="452"/>
      <c r="V166" s="452"/>
      <c r="W166" s="452"/>
      <c r="X166" s="452"/>
      <c r="Y166" s="452"/>
      <c r="Z166" s="452"/>
      <c r="AA166" s="452"/>
      <c r="AB166" s="452"/>
      <c r="AC166" s="452"/>
      <c r="AD166" s="452"/>
      <c r="AE166" s="452"/>
      <c r="AF166" s="452"/>
      <c r="AG166" s="452"/>
      <c r="AH166" s="452"/>
      <c r="AI166" s="452"/>
      <c r="AJ166" s="452"/>
      <c r="AK166" s="452"/>
      <c r="AL166" s="452"/>
      <c r="AM166" s="452"/>
      <c r="AN166" s="452"/>
      <c r="AO166" s="452"/>
      <c r="AP166" s="452"/>
      <c r="AQ166" s="452"/>
      <c r="AR166" s="452"/>
      <c r="AS166" s="452"/>
      <c r="AT166" s="452"/>
      <c r="AU166" s="452"/>
      <c r="AV166" s="452"/>
      <c r="AW166" s="452"/>
      <c r="AX166" s="452"/>
      <c r="AY166" s="452"/>
      <c r="AZ166" s="452"/>
      <c r="BA166" s="452"/>
      <c r="BB166" s="452"/>
      <c r="BC166" s="452"/>
      <c r="BD166" s="452"/>
      <c r="BE166" s="452"/>
      <c r="BF166" s="452"/>
      <c r="BG166" s="452"/>
      <c r="BH166" s="452"/>
      <c r="BI166" s="452"/>
      <c r="BJ166" s="452"/>
      <c r="BK166" s="452"/>
      <c r="BL166" s="452"/>
    </row>
    <row r="167" spans="1:64" ht="13">
      <c r="A167" s="422"/>
      <c r="B167" s="422"/>
      <c r="C167" s="406"/>
      <c r="D167" s="432"/>
      <c r="E167" s="441"/>
      <c r="F167" s="432"/>
      <c r="G167" s="431"/>
      <c r="H167" s="406"/>
      <c r="I167" s="432">
        <f>SUM(I163:I166)</f>
        <v>350.56</v>
      </c>
      <c r="J167" s="437"/>
      <c r="K167" s="438"/>
      <c r="L167" s="438"/>
      <c r="M167" s="452"/>
      <c r="N167" s="452"/>
      <c r="O167" s="452"/>
      <c r="P167" s="452"/>
      <c r="Q167" s="452"/>
      <c r="R167" s="452"/>
      <c r="S167" s="452"/>
      <c r="T167" s="452"/>
      <c r="U167" s="452"/>
      <c r="V167" s="452"/>
      <c r="W167" s="452"/>
      <c r="X167" s="452"/>
      <c r="Y167" s="452"/>
      <c r="Z167" s="452"/>
      <c r="AA167" s="452"/>
      <c r="AB167" s="452"/>
      <c r="AC167" s="452"/>
      <c r="AD167" s="452"/>
      <c r="AE167" s="452"/>
      <c r="AF167" s="452"/>
      <c r="AG167" s="452"/>
      <c r="AH167" s="452"/>
      <c r="AI167" s="452"/>
      <c r="AJ167" s="452"/>
      <c r="AK167" s="452"/>
      <c r="AL167" s="452"/>
      <c r="AM167" s="452"/>
      <c r="AN167" s="452"/>
      <c r="AO167" s="452"/>
      <c r="AP167" s="452"/>
      <c r="AQ167" s="452"/>
      <c r="AR167" s="452"/>
      <c r="AS167" s="452"/>
      <c r="AT167" s="452"/>
      <c r="AU167" s="452"/>
      <c r="AV167" s="452"/>
      <c r="AW167" s="452"/>
      <c r="AX167" s="452"/>
      <c r="AY167" s="452"/>
      <c r="AZ167" s="452"/>
      <c r="BA167" s="452"/>
      <c r="BB167" s="452"/>
      <c r="BC167" s="452"/>
      <c r="BD167" s="452"/>
      <c r="BE167" s="452"/>
      <c r="BF167" s="452"/>
      <c r="BG167" s="452"/>
      <c r="BH167" s="452"/>
      <c r="BI167" s="452"/>
      <c r="BJ167" s="452"/>
      <c r="BK167" s="452"/>
      <c r="BL167" s="452"/>
    </row>
    <row r="168" spans="1:64" ht="25">
      <c r="A168" s="422"/>
      <c r="B168" s="422"/>
      <c r="C168" s="445" t="str">
        <f>[161]Input!$C$48</f>
        <v>Overheads &amp; Contractors Profit @ 13.615%</v>
      </c>
      <c r="D168" s="444">
        <f>[161]Input!$D$48</f>
        <v>0.13614999999999999</v>
      </c>
      <c r="E168" s="441"/>
      <c r="F168" s="432">
        <f>I167</f>
        <v>350.56</v>
      </c>
      <c r="G168" s="431"/>
      <c r="H168" s="406"/>
      <c r="I168" s="408">
        <f>IF(G168="",D168*F168,(D168*F168/G168))</f>
        <v>47.728743999999999</v>
      </c>
      <c r="J168" s="446"/>
      <c r="K168" s="447"/>
      <c r="L168" s="447"/>
      <c r="M168" s="453"/>
      <c r="N168" s="453"/>
      <c r="O168" s="453"/>
      <c r="P168" s="453"/>
      <c r="Q168" s="453"/>
      <c r="R168" s="453"/>
      <c r="S168" s="453"/>
      <c r="T168" s="453"/>
      <c r="U168" s="453"/>
      <c r="V168" s="453"/>
      <c r="W168" s="453"/>
      <c r="X168" s="453"/>
      <c r="Y168" s="453"/>
      <c r="Z168" s="453"/>
      <c r="AA168" s="453"/>
      <c r="AB168" s="453"/>
      <c r="AC168" s="453"/>
      <c r="AD168" s="453"/>
      <c r="AE168" s="453"/>
      <c r="AF168" s="453"/>
      <c r="AG168" s="453"/>
      <c r="AH168" s="453"/>
      <c r="AI168" s="453"/>
      <c r="AJ168" s="453"/>
      <c r="AK168" s="453"/>
      <c r="AL168" s="453"/>
      <c r="AM168" s="453"/>
      <c r="AN168" s="453"/>
      <c r="AO168" s="453"/>
      <c r="AP168" s="453"/>
      <c r="AQ168" s="453"/>
      <c r="AR168" s="453"/>
      <c r="AS168" s="453"/>
      <c r="AT168" s="453"/>
      <c r="AU168" s="453"/>
      <c r="AV168" s="453"/>
      <c r="AW168" s="453"/>
      <c r="AX168" s="453"/>
      <c r="AY168" s="453"/>
      <c r="AZ168" s="453"/>
      <c r="BA168" s="453"/>
      <c r="BB168" s="453"/>
      <c r="BC168" s="453"/>
      <c r="BD168" s="453"/>
      <c r="BE168" s="453"/>
      <c r="BF168" s="453"/>
      <c r="BG168" s="453"/>
      <c r="BH168" s="453"/>
      <c r="BI168" s="453"/>
      <c r="BJ168" s="453"/>
      <c r="BK168" s="453"/>
      <c r="BL168" s="453"/>
    </row>
    <row r="169" spans="1:64" ht="13">
      <c r="A169" s="422"/>
      <c r="B169" s="422"/>
      <c r="C169" s="440" t="s">
        <v>773</v>
      </c>
      <c r="D169" s="432"/>
      <c r="E169" s="441"/>
      <c r="F169" s="432"/>
      <c r="G169" s="431"/>
      <c r="H169" s="408" t="s">
        <v>725</v>
      </c>
      <c r="I169" s="432">
        <f>SUM(I167:I168)</f>
        <v>398.28874400000001</v>
      </c>
      <c r="J169" s="437"/>
      <c r="K169" s="438"/>
      <c r="L169" s="438"/>
      <c r="M169" s="452"/>
      <c r="N169" s="452"/>
      <c r="O169" s="452"/>
      <c r="P169" s="452"/>
      <c r="Q169" s="452"/>
      <c r="R169" s="452"/>
      <c r="S169" s="452"/>
      <c r="T169" s="452"/>
      <c r="U169" s="452"/>
      <c r="V169" s="452"/>
      <c r="W169" s="452"/>
      <c r="X169" s="452"/>
      <c r="Y169" s="452"/>
      <c r="Z169" s="452"/>
      <c r="AA169" s="452"/>
      <c r="AB169" s="452"/>
      <c r="AC169" s="452"/>
      <c r="AD169" s="452"/>
      <c r="AE169" s="452"/>
      <c r="AF169" s="452"/>
      <c r="AG169" s="452"/>
      <c r="AH169" s="452"/>
      <c r="AI169" s="452"/>
      <c r="AJ169" s="452"/>
      <c r="AK169" s="452"/>
      <c r="AL169" s="452"/>
      <c r="AM169" s="452"/>
      <c r="AN169" s="452"/>
      <c r="AO169" s="452"/>
      <c r="AP169" s="452"/>
      <c r="AQ169" s="452"/>
      <c r="AR169" s="452"/>
      <c r="AS169" s="452"/>
      <c r="AT169" s="452"/>
      <c r="AU169" s="452"/>
      <c r="AV169" s="452"/>
      <c r="AW169" s="452"/>
      <c r="AX169" s="452"/>
      <c r="AY169" s="452"/>
      <c r="AZ169" s="452"/>
      <c r="BA169" s="452"/>
      <c r="BB169" s="452"/>
      <c r="BC169" s="452"/>
      <c r="BD169" s="452"/>
      <c r="BE169" s="452"/>
      <c r="BF169" s="452"/>
      <c r="BG169" s="452"/>
      <c r="BH169" s="452"/>
      <c r="BI169" s="452"/>
      <c r="BJ169" s="452"/>
      <c r="BK169" s="452"/>
      <c r="BL169" s="452"/>
    </row>
    <row r="170" spans="1:64" ht="13">
      <c r="A170" s="422"/>
      <c r="B170" s="422"/>
      <c r="C170" s="406"/>
      <c r="D170" s="432"/>
      <c r="E170" s="441"/>
      <c r="F170" s="432"/>
      <c r="G170" s="431"/>
      <c r="H170" s="407" t="s">
        <v>726</v>
      </c>
      <c r="I170" s="414">
        <f>ROUND(I169,0)</f>
        <v>398</v>
      </c>
      <c r="J170" s="437"/>
      <c r="K170" s="438"/>
      <c r="L170" s="438"/>
      <c r="M170" s="452"/>
      <c r="N170" s="452"/>
      <c r="O170" s="452"/>
      <c r="P170" s="452"/>
      <c r="Q170" s="452"/>
      <c r="R170" s="452"/>
      <c r="S170" s="452"/>
      <c r="T170" s="452"/>
      <c r="U170" s="452"/>
      <c r="V170" s="452"/>
      <c r="W170" s="452"/>
      <c r="X170" s="452"/>
      <c r="Y170" s="452"/>
      <c r="Z170" s="452"/>
      <c r="AA170" s="452"/>
      <c r="AB170" s="452"/>
      <c r="AC170" s="452"/>
      <c r="AD170" s="452"/>
      <c r="AE170" s="452"/>
      <c r="AF170" s="452"/>
      <c r="AG170" s="452"/>
      <c r="AH170" s="452"/>
      <c r="AI170" s="452"/>
      <c r="AJ170" s="452"/>
      <c r="AK170" s="452"/>
      <c r="AL170" s="452"/>
      <c r="AM170" s="452"/>
      <c r="AN170" s="452"/>
      <c r="AO170" s="452"/>
      <c r="AP170" s="452"/>
      <c r="AQ170" s="452"/>
      <c r="AR170" s="452"/>
      <c r="AS170" s="452"/>
      <c r="AT170" s="452"/>
      <c r="AU170" s="452"/>
      <c r="AV170" s="452"/>
      <c r="AW170" s="452"/>
      <c r="AX170" s="452"/>
      <c r="AY170" s="452"/>
      <c r="AZ170" s="452"/>
      <c r="BA170" s="452"/>
      <c r="BB170" s="452"/>
      <c r="BC170" s="452"/>
      <c r="BD170" s="452"/>
      <c r="BE170" s="452"/>
      <c r="BF170" s="452"/>
      <c r="BG170" s="452"/>
      <c r="BH170" s="452"/>
      <c r="BI170" s="452"/>
      <c r="BJ170" s="452"/>
      <c r="BK170" s="452"/>
      <c r="BL170" s="452"/>
    </row>
    <row r="171" spans="1:64" ht="13">
      <c r="A171" s="422"/>
      <c r="B171" s="422"/>
      <c r="C171" s="406"/>
      <c r="D171" s="432"/>
      <c r="E171" s="441"/>
      <c r="F171" s="432"/>
      <c r="G171" s="431"/>
      <c r="H171" s="406"/>
      <c r="I171" s="422"/>
      <c r="J171" s="437"/>
      <c r="K171" s="438"/>
      <c r="L171" s="438"/>
      <c r="M171" s="452"/>
      <c r="N171" s="452"/>
      <c r="O171" s="452"/>
      <c r="P171" s="452"/>
      <c r="Q171" s="452"/>
      <c r="R171" s="452"/>
      <c r="S171" s="452"/>
      <c r="T171" s="452"/>
      <c r="U171" s="452"/>
      <c r="V171" s="452"/>
      <c r="W171" s="452"/>
      <c r="X171" s="452"/>
      <c r="Y171" s="452"/>
      <c r="Z171" s="452"/>
      <c r="AA171" s="452"/>
      <c r="AB171" s="452"/>
      <c r="AC171" s="452"/>
      <c r="AD171" s="452"/>
      <c r="AE171" s="452"/>
      <c r="AF171" s="452"/>
      <c r="AG171" s="452"/>
      <c r="AH171" s="452"/>
      <c r="AI171" s="452"/>
      <c r="AJ171" s="452"/>
      <c r="AK171" s="452"/>
      <c r="AL171" s="452"/>
      <c r="AM171" s="452"/>
      <c r="AN171" s="452"/>
      <c r="AO171" s="452"/>
      <c r="AP171" s="452"/>
      <c r="AQ171" s="452"/>
      <c r="AR171" s="452"/>
      <c r="AS171" s="452"/>
      <c r="AT171" s="452"/>
      <c r="AU171" s="452"/>
      <c r="AV171" s="452"/>
      <c r="AW171" s="452"/>
      <c r="AX171" s="452"/>
      <c r="AY171" s="452"/>
      <c r="AZ171" s="452"/>
      <c r="BA171" s="452"/>
      <c r="BB171" s="452"/>
      <c r="BC171" s="452"/>
      <c r="BD171" s="452"/>
      <c r="BE171" s="452"/>
      <c r="BF171" s="452"/>
      <c r="BG171" s="452"/>
      <c r="BH171" s="452"/>
      <c r="BI171" s="452"/>
      <c r="BJ171" s="452"/>
      <c r="BK171" s="452"/>
      <c r="BL171" s="452"/>
    </row>
    <row r="172" spans="1:64" ht="60.4" customHeight="1">
      <c r="A172" s="430">
        <f>1+A148</f>
        <v>3</v>
      </c>
      <c r="B172" s="454"/>
      <c r="C172" s="1297" t="s">
        <v>776</v>
      </c>
      <c r="D172" s="1297"/>
      <c r="E172" s="1297"/>
      <c r="F172" s="1297"/>
      <c r="G172" s="1297"/>
      <c r="H172" s="1297"/>
      <c r="I172" s="407"/>
      <c r="J172" s="400"/>
      <c r="K172" s="401"/>
      <c r="L172" s="401"/>
      <c r="M172" s="404"/>
      <c r="N172" s="404"/>
      <c r="O172" s="404"/>
      <c r="P172" s="404"/>
      <c r="Q172" s="404"/>
      <c r="R172" s="404"/>
      <c r="S172" s="404"/>
      <c r="T172" s="404"/>
      <c r="U172" s="404"/>
      <c r="V172" s="404"/>
      <c r="W172" s="404"/>
      <c r="X172" s="404"/>
      <c r="Y172" s="404"/>
      <c r="Z172" s="404"/>
      <c r="AA172" s="404"/>
      <c r="AB172" s="404"/>
      <c r="AC172" s="404"/>
      <c r="AD172" s="404"/>
      <c r="AE172" s="404"/>
      <c r="AF172" s="404"/>
      <c r="AG172" s="404"/>
      <c r="AH172" s="404"/>
      <c r="AI172" s="404"/>
      <c r="AJ172" s="404"/>
      <c r="AK172" s="404"/>
      <c r="AL172" s="404"/>
      <c r="AM172" s="404"/>
      <c r="AN172" s="404"/>
      <c r="AO172" s="404"/>
      <c r="AP172" s="404"/>
      <c r="AQ172" s="404"/>
      <c r="AR172" s="404"/>
      <c r="AS172" s="404"/>
      <c r="AT172" s="404"/>
      <c r="AU172" s="404"/>
      <c r="AV172" s="404"/>
      <c r="AW172" s="404"/>
      <c r="AX172" s="404"/>
      <c r="AY172" s="404"/>
      <c r="AZ172" s="404"/>
      <c r="BA172" s="404"/>
      <c r="BB172" s="404"/>
      <c r="BC172" s="404"/>
      <c r="BD172" s="404"/>
      <c r="BE172" s="404"/>
      <c r="BF172" s="404"/>
      <c r="BG172" s="404"/>
      <c r="BH172" s="404"/>
      <c r="BI172" s="404"/>
      <c r="BJ172" s="404"/>
      <c r="BK172" s="404"/>
      <c r="BL172" s="404"/>
    </row>
    <row r="173" spans="1:64" ht="13">
      <c r="A173" s="454"/>
      <c r="B173" s="454"/>
      <c r="C173" s="455" t="s">
        <v>777</v>
      </c>
      <c r="D173" s="426"/>
      <c r="E173" s="426"/>
      <c r="F173" s="408"/>
      <c r="G173" s="430"/>
      <c r="H173" s="456"/>
      <c r="I173" s="408"/>
      <c r="J173" s="400"/>
      <c r="K173" s="401"/>
      <c r="L173" s="401"/>
      <c r="M173" s="404"/>
      <c r="N173" s="404"/>
      <c r="O173" s="404"/>
      <c r="P173" s="404"/>
      <c r="Q173" s="404"/>
      <c r="R173" s="404"/>
      <c r="S173" s="404"/>
      <c r="T173" s="404"/>
      <c r="U173" s="404"/>
      <c r="V173" s="404"/>
      <c r="W173" s="404"/>
      <c r="X173" s="404"/>
      <c r="Y173" s="404"/>
      <c r="Z173" s="404"/>
      <c r="AA173" s="404"/>
      <c r="AB173" s="404"/>
      <c r="AC173" s="404"/>
      <c r="AD173" s="404"/>
      <c r="AE173" s="404"/>
      <c r="AF173" s="404"/>
      <c r="AG173" s="404"/>
      <c r="AH173" s="404"/>
      <c r="AI173" s="404"/>
      <c r="AJ173" s="404"/>
      <c r="AK173" s="404"/>
      <c r="AL173" s="404"/>
      <c r="AM173" s="404"/>
      <c r="AN173" s="404"/>
      <c r="AO173" s="404"/>
      <c r="AP173" s="404"/>
      <c r="AQ173" s="404"/>
      <c r="AR173" s="404"/>
      <c r="AS173" s="404"/>
      <c r="AT173" s="404"/>
      <c r="AU173" s="404"/>
      <c r="AV173" s="404"/>
      <c r="AW173" s="404"/>
      <c r="AX173" s="404"/>
      <c r="AY173" s="404"/>
      <c r="AZ173" s="404"/>
      <c r="BA173" s="404"/>
      <c r="BB173" s="404"/>
      <c r="BC173" s="404"/>
      <c r="BD173" s="404"/>
      <c r="BE173" s="404"/>
      <c r="BF173" s="404"/>
      <c r="BG173" s="404"/>
      <c r="BH173" s="404"/>
      <c r="BI173" s="404"/>
      <c r="BJ173" s="404"/>
      <c r="BK173" s="404"/>
      <c r="BL173" s="404"/>
    </row>
    <row r="174" spans="1:64" ht="12.75" customHeight="1">
      <c r="A174" s="454"/>
      <c r="B174" s="454"/>
      <c r="C174" s="1294" t="s">
        <v>778</v>
      </c>
      <c r="D174" s="1294"/>
      <c r="E174" s="1294"/>
      <c r="F174" s="408"/>
      <c r="G174" s="430"/>
      <c r="H174" s="456"/>
      <c r="I174" s="408"/>
      <c r="J174" s="400"/>
      <c r="K174" s="401"/>
      <c r="L174" s="401"/>
      <c r="M174" s="404"/>
      <c r="N174" s="404"/>
      <c r="O174" s="404"/>
      <c r="P174" s="404"/>
      <c r="Q174" s="404"/>
      <c r="R174" s="404"/>
      <c r="S174" s="404"/>
      <c r="T174" s="404"/>
      <c r="U174" s="404"/>
      <c r="V174" s="404"/>
      <c r="W174" s="404"/>
      <c r="X174" s="404"/>
      <c r="Y174" s="404"/>
      <c r="Z174" s="404"/>
      <c r="AA174" s="404"/>
      <c r="AB174" s="404"/>
      <c r="AC174" s="404"/>
      <c r="AD174" s="404"/>
      <c r="AE174" s="404"/>
      <c r="AF174" s="404"/>
      <c r="AG174" s="404"/>
      <c r="AH174" s="404"/>
      <c r="AI174" s="404"/>
      <c r="AJ174" s="404"/>
      <c r="AK174" s="404"/>
      <c r="AL174" s="404"/>
      <c r="AM174" s="404"/>
      <c r="AN174" s="404"/>
      <c r="AO174" s="404"/>
      <c r="AP174" s="404"/>
      <c r="AQ174" s="404"/>
      <c r="AR174" s="404"/>
      <c r="AS174" s="404"/>
      <c r="AT174" s="404"/>
      <c r="AU174" s="404"/>
      <c r="AV174" s="404"/>
      <c r="AW174" s="404"/>
      <c r="AX174" s="404"/>
      <c r="AY174" s="404"/>
      <c r="AZ174" s="404"/>
      <c r="BA174" s="404"/>
      <c r="BB174" s="404"/>
      <c r="BC174" s="404"/>
      <c r="BD174" s="404"/>
      <c r="BE174" s="404"/>
      <c r="BF174" s="404"/>
      <c r="BG174" s="404"/>
      <c r="BH174" s="404"/>
      <c r="BI174" s="404"/>
      <c r="BJ174" s="404"/>
      <c r="BK174" s="404"/>
      <c r="BL174" s="404"/>
    </row>
    <row r="175" spans="1:64" ht="13">
      <c r="A175" s="454"/>
      <c r="B175" s="454"/>
      <c r="C175" s="427" t="s">
        <v>779</v>
      </c>
      <c r="D175" s="408"/>
      <c r="E175" s="408"/>
      <c r="F175" s="408"/>
      <c r="G175" s="430"/>
      <c r="H175" s="456" t="str">
        <f>IF(E175="","",IF(E175="No.","Each",IF(E175="Nos.","Each",E175)))</f>
        <v/>
      </c>
      <c r="I175" s="408"/>
      <c r="J175" s="400"/>
      <c r="K175" s="401"/>
      <c r="L175" s="401"/>
      <c r="M175" s="404"/>
      <c r="N175" s="404"/>
      <c r="O175" s="404"/>
      <c r="P175" s="404"/>
      <c r="Q175" s="404"/>
      <c r="R175" s="404"/>
      <c r="S175" s="404"/>
      <c r="T175" s="404"/>
      <c r="U175" s="404"/>
      <c r="V175" s="404"/>
      <c r="W175" s="404"/>
      <c r="X175" s="404"/>
      <c r="Y175" s="404"/>
      <c r="Z175" s="404"/>
      <c r="AA175" s="404"/>
      <c r="AB175" s="404"/>
      <c r="AC175" s="404"/>
      <c r="AD175" s="404"/>
      <c r="AE175" s="404"/>
      <c r="AF175" s="404"/>
      <c r="AG175" s="404"/>
      <c r="AH175" s="404"/>
      <c r="AI175" s="404"/>
      <c r="AJ175" s="404"/>
      <c r="AK175" s="404"/>
      <c r="AL175" s="404"/>
      <c r="AM175" s="404"/>
      <c r="AN175" s="404"/>
      <c r="AO175" s="404"/>
      <c r="AP175" s="404"/>
      <c r="AQ175" s="404"/>
      <c r="AR175" s="404"/>
      <c r="AS175" s="404"/>
      <c r="AT175" s="404"/>
      <c r="AU175" s="404"/>
      <c r="AV175" s="404"/>
      <c r="AW175" s="404"/>
      <c r="AX175" s="404"/>
      <c r="AY175" s="404"/>
      <c r="AZ175" s="404"/>
      <c r="BA175" s="404"/>
      <c r="BB175" s="404"/>
      <c r="BC175" s="404"/>
      <c r="BD175" s="404"/>
      <c r="BE175" s="404"/>
      <c r="BF175" s="404"/>
      <c r="BG175" s="404"/>
      <c r="BH175" s="404"/>
      <c r="BI175" s="404"/>
      <c r="BJ175" s="404"/>
      <c r="BK175" s="404"/>
      <c r="BL175" s="404"/>
    </row>
    <row r="176" spans="1:64" ht="13">
      <c r="A176" s="454"/>
      <c r="B176" s="454"/>
      <c r="C176" s="427" t="s">
        <v>780</v>
      </c>
      <c r="D176" s="457"/>
      <c r="E176" s="415"/>
      <c r="F176" s="408"/>
      <c r="G176" s="410"/>
      <c r="H176" s="426"/>
      <c r="I176" s="408"/>
      <c r="J176" s="400"/>
      <c r="K176" s="401"/>
      <c r="L176" s="401"/>
      <c r="M176" s="404"/>
      <c r="N176" s="404"/>
      <c r="O176" s="404"/>
      <c r="P176" s="404"/>
      <c r="Q176" s="404"/>
      <c r="R176" s="404"/>
      <c r="S176" s="404"/>
      <c r="T176" s="404"/>
      <c r="U176" s="404"/>
      <c r="V176" s="404"/>
      <c r="W176" s="404"/>
      <c r="X176" s="404"/>
      <c r="Y176" s="404"/>
      <c r="Z176" s="404"/>
      <c r="AA176" s="404"/>
      <c r="AB176" s="404"/>
      <c r="AC176" s="404"/>
      <c r="AD176" s="404"/>
      <c r="AE176" s="404"/>
      <c r="AF176" s="404"/>
      <c r="AG176" s="404"/>
      <c r="AH176" s="404"/>
      <c r="AI176" s="404"/>
      <c r="AJ176" s="404"/>
      <c r="AK176" s="404"/>
      <c r="AL176" s="404"/>
      <c r="AM176" s="404"/>
      <c r="AN176" s="404"/>
      <c r="AO176" s="404"/>
      <c r="AP176" s="404"/>
      <c r="AQ176" s="404"/>
      <c r="AR176" s="404"/>
      <c r="AS176" s="404"/>
      <c r="AT176" s="404"/>
      <c r="AU176" s="404"/>
      <c r="AV176" s="404"/>
      <c r="AW176" s="404"/>
      <c r="AX176" s="404"/>
      <c r="AY176" s="404"/>
      <c r="AZ176" s="404"/>
      <c r="BA176" s="404"/>
      <c r="BB176" s="404"/>
      <c r="BC176" s="404"/>
      <c r="BD176" s="404"/>
      <c r="BE176" s="404"/>
      <c r="BF176" s="404"/>
      <c r="BG176" s="404"/>
      <c r="BH176" s="404"/>
      <c r="BI176" s="404"/>
      <c r="BJ176" s="404"/>
      <c r="BK176" s="404"/>
      <c r="BL176" s="404"/>
    </row>
    <row r="177" spans="1:64" ht="13">
      <c r="A177" s="458"/>
      <c r="B177" s="458"/>
      <c r="C177" s="427" t="s">
        <v>781</v>
      </c>
      <c r="D177" s="459"/>
      <c r="E177" s="459"/>
      <c r="F177" s="459"/>
      <c r="G177" s="460"/>
      <c r="H177" s="461"/>
      <c r="I177" s="461"/>
      <c r="J177" s="462"/>
      <c r="K177" s="463"/>
      <c r="L177" s="463"/>
      <c r="M177" s="464"/>
      <c r="N177" s="464"/>
      <c r="O177" s="464"/>
      <c r="P177" s="464"/>
      <c r="Q177" s="464"/>
      <c r="R177" s="464"/>
      <c r="S177" s="464"/>
      <c r="T177" s="464"/>
      <c r="U177" s="464"/>
      <c r="V177" s="464"/>
      <c r="W177" s="464"/>
      <c r="X177" s="464"/>
      <c r="Y177" s="464"/>
      <c r="Z177" s="464"/>
      <c r="AA177" s="464"/>
      <c r="AB177" s="464"/>
      <c r="AC177" s="464"/>
      <c r="AD177" s="464"/>
      <c r="AE177" s="464"/>
      <c r="AF177" s="464"/>
      <c r="AG177" s="464"/>
      <c r="AH177" s="464"/>
      <c r="AI177" s="464"/>
      <c r="AJ177" s="464"/>
      <c r="AK177" s="464"/>
      <c r="AL177" s="464"/>
      <c r="AM177" s="464"/>
      <c r="AN177" s="464"/>
      <c r="AO177" s="464"/>
      <c r="AP177" s="464"/>
      <c r="AQ177" s="464"/>
      <c r="AR177" s="464"/>
      <c r="AS177" s="464"/>
      <c r="AT177" s="464"/>
      <c r="AU177" s="464"/>
      <c r="AV177" s="464"/>
      <c r="AW177" s="464"/>
      <c r="AX177" s="464"/>
      <c r="AY177" s="464"/>
      <c r="AZ177" s="464"/>
      <c r="BA177" s="464"/>
      <c r="BB177" s="464"/>
      <c r="BC177" s="464"/>
      <c r="BD177" s="464"/>
      <c r="BE177" s="464"/>
      <c r="BF177" s="464"/>
      <c r="BG177" s="464"/>
      <c r="BH177" s="464"/>
      <c r="BI177" s="464"/>
      <c r="BJ177" s="464"/>
      <c r="BK177" s="464"/>
      <c r="BL177" s="464"/>
    </row>
    <row r="178" spans="1:64">
      <c r="A178" s="458"/>
      <c r="B178" s="458"/>
      <c r="C178" s="417" t="s">
        <v>782</v>
      </c>
      <c r="D178" s="459">
        <v>3.64</v>
      </c>
      <c r="E178" s="459" t="s">
        <v>375</v>
      </c>
      <c r="F178" s="459">
        <f>'[161]Civil-SOR'!$G$307</f>
        <v>520</v>
      </c>
      <c r="G178" s="460">
        <v>1</v>
      </c>
      <c r="H178" s="459" t="s">
        <v>678</v>
      </c>
      <c r="I178" s="459">
        <f t="shared" ref="I178:I179" si="19">IF(G178="",D178*F178,(D178*F178/G178))</f>
        <v>1892.8</v>
      </c>
      <c r="J178" s="462"/>
      <c r="K178" s="463"/>
      <c r="L178" s="463"/>
      <c r="M178" s="464"/>
      <c r="N178" s="464"/>
      <c r="O178" s="464"/>
      <c r="P178" s="464"/>
      <c r="Q178" s="464"/>
      <c r="R178" s="464"/>
      <c r="S178" s="464"/>
      <c r="T178" s="464"/>
      <c r="U178" s="464"/>
      <c r="V178" s="464"/>
      <c r="W178" s="464"/>
      <c r="X178" s="464"/>
      <c r="Y178" s="464"/>
      <c r="Z178" s="464"/>
      <c r="AA178" s="464"/>
      <c r="AB178" s="464"/>
      <c r="AC178" s="464"/>
      <c r="AD178" s="464"/>
      <c r="AE178" s="464"/>
      <c r="AF178" s="464"/>
      <c r="AG178" s="464"/>
      <c r="AH178" s="464"/>
      <c r="AI178" s="464"/>
      <c r="AJ178" s="464"/>
      <c r="AK178" s="464"/>
      <c r="AL178" s="464"/>
      <c r="AM178" s="464"/>
      <c r="AN178" s="464"/>
      <c r="AO178" s="464"/>
      <c r="AP178" s="464"/>
      <c r="AQ178" s="464"/>
      <c r="AR178" s="464"/>
      <c r="AS178" s="464"/>
      <c r="AT178" s="464"/>
      <c r="AU178" s="464"/>
      <c r="AV178" s="464"/>
      <c r="AW178" s="464"/>
      <c r="AX178" s="464"/>
      <c r="AY178" s="464"/>
      <c r="AZ178" s="464"/>
      <c r="BA178" s="464"/>
      <c r="BB178" s="464"/>
      <c r="BC178" s="464"/>
      <c r="BD178" s="464"/>
      <c r="BE178" s="464"/>
      <c r="BF178" s="464"/>
      <c r="BG178" s="464"/>
      <c r="BH178" s="464"/>
      <c r="BI178" s="464"/>
      <c r="BJ178" s="464"/>
      <c r="BK178" s="464"/>
      <c r="BL178" s="464"/>
    </row>
    <row r="179" spans="1:64">
      <c r="A179" s="458"/>
      <c r="B179" s="458"/>
      <c r="C179" s="417" t="str">
        <f>[161]Input!$C$47</f>
        <v>Add for MA @ 40%</v>
      </c>
      <c r="D179" s="459">
        <f>[161]Input!$D$47</f>
        <v>0.4</v>
      </c>
      <c r="E179" s="459"/>
      <c r="F179" s="459">
        <f>I178</f>
        <v>1892.8</v>
      </c>
      <c r="G179" s="460"/>
      <c r="H179" s="459"/>
      <c r="I179" s="459">
        <f t="shared" si="19"/>
        <v>757.12</v>
      </c>
      <c r="J179" s="462"/>
      <c r="K179" s="463"/>
      <c r="L179" s="463"/>
      <c r="M179" s="464"/>
      <c r="N179" s="464"/>
      <c r="O179" s="464"/>
      <c r="P179" s="464"/>
      <c r="Q179" s="464"/>
      <c r="R179" s="464"/>
      <c r="S179" s="464"/>
      <c r="T179" s="464"/>
      <c r="U179" s="464"/>
      <c r="V179" s="464"/>
      <c r="W179" s="464"/>
      <c r="X179" s="464"/>
      <c r="Y179" s="464"/>
      <c r="Z179" s="464"/>
      <c r="AA179" s="464"/>
      <c r="AB179" s="464"/>
      <c r="AC179" s="464"/>
      <c r="AD179" s="464"/>
      <c r="AE179" s="464"/>
      <c r="AF179" s="464"/>
      <c r="AG179" s="464"/>
      <c r="AH179" s="464"/>
      <c r="AI179" s="464"/>
      <c r="AJ179" s="464"/>
      <c r="AK179" s="464"/>
      <c r="AL179" s="464"/>
      <c r="AM179" s="464"/>
      <c r="AN179" s="464"/>
      <c r="AO179" s="464"/>
      <c r="AP179" s="464"/>
      <c r="AQ179" s="464"/>
      <c r="AR179" s="464"/>
      <c r="AS179" s="464"/>
      <c r="AT179" s="464"/>
      <c r="AU179" s="464"/>
      <c r="AV179" s="464"/>
      <c r="AW179" s="464"/>
      <c r="AX179" s="464"/>
      <c r="AY179" s="464"/>
      <c r="AZ179" s="464"/>
      <c r="BA179" s="464"/>
      <c r="BB179" s="464"/>
      <c r="BC179" s="464"/>
      <c r="BD179" s="464"/>
      <c r="BE179" s="464"/>
      <c r="BF179" s="464"/>
      <c r="BG179" s="464"/>
      <c r="BH179" s="464"/>
      <c r="BI179" s="464"/>
      <c r="BJ179" s="464"/>
      <c r="BK179" s="464"/>
      <c r="BL179" s="464"/>
    </row>
    <row r="180" spans="1:64">
      <c r="A180" s="458"/>
      <c r="B180" s="458"/>
      <c r="C180" s="417" t="s">
        <v>783</v>
      </c>
      <c r="D180" s="459"/>
      <c r="E180" s="459"/>
      <c r="F180" s="459"/>
      <c r="G180" s="460"/>
      <c r="H180" s="459"/>
      <c r="I180" s="459">
        <f>SUM(I178:I179)</f>
        <v>2649.92</v>
      </c>
      <c r="J180" s="462"/>
      <c r="K180" s="463"/>
      <c r="L180" s="463"/>
      <c r="M180" s="464"/>
      <c r="N180" s="464"/>
      <c r="O180" s="464"/>
      <c r="P180" s="464"/>
      <c r="Q180" s="464"/>
      <c r="R180" s="464"/>
      <c r="S180" s="464"/>
      <c r="T180" s="464"/>
      <c r="U180" s="464"/>
      <c r="V180" s="464"/>
      <c r="W180" s="464"/>
      <c r="X180" s="464"/>
      <c r="Y180" s="464"/>
      <c r="Z180" s="464"/>
      <c r="AA180" s="464"/>
      <c r="AB180" s="464"/>
      <c r="AC180" s="464"/>
      <c r="AD180" s="464"/>
      <c r="AE180" s="464"/>
      <c r="AF180" s="464"/>
      <c r="AG180" s="464"/>
      <c r="AH180" s="464"/>
      <c r="AI180" s="464"/>
      <c r="AJ180" s="464"/>
      <c r="AK180" s="464"/>
      <c r="AL180" s="464"/>
      <c r="AM180" s="464"/>
      <c r="AN180" s="464"/>
      <c r="AO180" s="464"/>
      <c r="AP180" s="464"/>
      <c r="AQ180" s="464"/>
      <c r="AR180" s="464"/>
      <c r="AS180" s="464"/>
      <c r="AT180" s="464"/>
      <c r="AU180" s="464"/>
      <c r="AV180" s="464"/>
      <c r="AW180" s="464"/>
      <c r="AX180" s="464"/>
      <c r="AY180" s="464"/>
      <c r="AZ180" s="464"/>
      <c r="BA180" s="464"/>
      <c r="BB180" s="464"/>
      <c r="BC180" s="464"/>
      <c r="BD180" s="464"/>
      <c r="BE180" s="464"/>
      <c r="BF180" s="464"/>
      <c r="BG180" s="464"/>
      <c r="BH180" s="464"/>
      <c r="BI180" s="464"/>
      <c r="BJ180" s="464"/>
      <c r="BK180" s="464"/>
      <c r="BL180" s="464"/>
    </row>
    <row r="181" spans="1:64" ht="25">
      <c r="A181" s="458"/>
      <c r="B181" s="458"/>
      <c r="C181" s="435" t="str">
        <f>[161]Input!$C$48</f>
        <v>Overheads &amp; Contractors Profit @ 13.615%</v>
      </c>
      <c r="D181" s="465">
        <f>[161]Input!$D$48</f>
        <v>0.13614999999999999</v>
      </c>
      <c r="E181" s="459"/>
      <c r="F181" s="459">
        <f>I180</f>
        <v>2649.92</v>
      </c>
      <c r="G181" s="460"/>
      <c r="H181" s="461"/>
      <c r="I181" s="459">
        <f>IF(G181="",D181*F181,(D181*F181/G181))</f>
        <v>360.786608</v>
      </c>
      <c r="J181" s="462"/>
      <c r="K181" s="463"/>
      <c r="L181" s="463"/>
      <c r="M181" s="464"/>
      <c r="N181" s="464"/>
      <c r="O181" s="464"/>
      <c r="P181" s="464"/>
      <c r="Q181" s="464"/>
      <c r="R181" s="464"/>
      <c r="S181" s="464"/>
      <c r="T181" s="464"/>
      <c r="U181" s="464"/>
      <c r="V181" s="464"/>
      <c r="W181" s="464"/>
      <c r="X181" s="464"/>
      <c r="Y181" s="464"/>
      <c r="Z181" s="464"/>
      <c r="AA181" s="464"/>
      <c r="AB181" s="464"/>
      <c r="AC181" s="464"/>
      <c r="AD181" s="464"/>
      <c r="AE181" s="464"/>
      <c r="AF181" s="464"/>
      <c r="AG181" s="464"/>
      <c r="AH181" s="464"/>
      <c r="AI181" s="464"/>
      <c r="AJ181" s="464"/>
      <c r="AK181" s="464"/>
      <c r="AL181" s="464"/>
      <c r="AM181" s="464"/>
      <c r="AN181" s="464"/>
      <c r="AO181" s="464"/>
      <c r="AP181" s="464"/>
      <c r="AQ181" s="464"/>
      <c r="AR181" s="464"/>
      <c r="AS181" s="464"/>
      <c r="AT181" s="464"/>
      <c r="AU181" s="464"/>
      <c r="AV181" s="464"/>
      <c r="AW181" s="464"/>
      <c r="AX181" s="464"/>
      <c r="AY181" s="464"/>
      <c r="AZ181" s="464"/>
      <c r="BA181" s="464"/>
      <c r="BB181" s="464"/>
      <c r="BC181" s="464"/>
      <c r="BD181" s="464"/>
      <c r="BE181" s="464"/>
      <c r="BF181" s="464"/>
      <c r="BG181" s="464"/>
      <c r="BH181" s="464"/>
      <c r="BI181" s="464"/>
      <c r="BJ181" s="464"/>
      <c r="BK181" s="464"/>
      <c r="BL181" s="464"/>
    </row>
    <row r="182" spans="1:64" ht="13">
      <c r="A182" s="458"/>
      <c r="B182" s="458"/>
      <c r="C182" s="417" t="s">
        <v>784</v>
      </c>
      <c r="D182" s="459"/>
      <c r="E182" s="459"/>
      <c r="F182" s="459"/>
      <c r="G182" s="460"/>
      <c r="H182" s="461"/>
      <c r="I182" s="459">
        <f>SUM(I180:I181)</f>
        <v>3010.706608</v>
      </c>
      <c r="J182" s="462"/>
      <c r="K182" s="463"/>
      <c r="L182" s="463"/>
      <c r="M182" s="464"/>
      <c r="N182" s="464"/>
      <c r="O182" s="464"/>
      <c r="P182" s="464"/>
      <c r="Q182" s="464"/>
      <c r="R182" s="464"/>
      <c r="S182" s="464"/>
      <c r="T182" s="464"/>
      <c r="U182" s="464"/>
      <c r="V182" s="464"/>
      <c r="W182" s="464"/>
      <c r="X182" s="464"/>
      <c r="Y182" s="464"/>
      <c r="Z182" s="464"/>
      <c r="AA182" s="464"/>
      <c r="AB182" s="464"/>
      <c r="AC182" s="464"/>
      <c r="AD182" s="464"/>
      <c r="AE182" s="464"/>
      <c r="AF182" s="464"/>
      <c r="AG182" s="464"/>
      <c r="AH182" s="464"/>
      <c r="AI182" s="464"/>
      <c r="AJ182" s="464"/>
      <c r="AK182" s="464"/>
      <c r="AL182" s="464"/>
      <c r="AM182" s="464"/>
      <c r="AN182" s="464"/>
      <c r="AO182" s="464"/>
      <c r="AP182" s="464"/>
      <c r="AQ182" s="464"/>
      <c r="AR182" s="464"/>
      <c r="AS182" s="464"/>
      <c r="AT182" s="464"/>
      <c r="AU182" s="464"/>
      <c r="AV182" s="464"/>
      <c r="AW182" s="464"/>
      <c r="AX182" s="464"/>
      <c r="AY182" s="464"/>
      <c r="AZ182" s="464"/>
      <c r="BA182" s="464"/>
      <c r="BB182" s="464"/>
      <c r="BC182" s="464"/>
      <c r="BD182" s="464"/>
      <c r="BE182" s="464"/>
      <c r="BF182" s="464"/>
      <c r="BG182" s="464"/>
      <c r="BH182" s="464"/>
      <c r="BI182" s="464"/>
      <c r="BJ182" s="464"/>
      <c r="BK182" s="464"/>
      <c r="BL182" s="464"/>
    </row>
    <row r="183" spans="1:64" ht="13">
      <c r="A183" s="458"/>
      <c r="B183" s="458"/>
      <c r="C183" s="427" t="s">
        <v>785</v>
      </c>
      <c r="D183" s="459"/>
      <c r="E183" s="459"/>
      <c r="F183" s="459"/>
      <c r="G183" s="460"/>
      <c r="H183" s="459" t="s">
        <v>725</v>
      </c>
      <c r="I183" s="459">
        <f>I182/10</f>
        <v>301.07066079999998</v>
      </c>
      <c r="J183" s="462"/>
      <c r="K183" s="463"/>
      <c r="L183" s="463"/>
      <c r="M183" s="464"/>
      <c r="N183" s="464"/>
      <c r="O183" s="464"/>
      <c r="P183" s="464"/>
      <c r="Q183" s="464"/>
      <c r="R183" s="464"/>
      <c r="S183" s="464"/>
      <c r="T183" s="464"/>
      <c r="U183" s="464"/>
      <c r="V183" s="464"/>
      <c r="W183" s="464"/>
      <c r="X183" s="464"/>
      <c r="Y183" s="464"/>
      <c r="Z183" s="464"/>
      <c r="AA183" s="464"/>
      <c r="AB183" s="464"/>
      <c r="AC183" s="464"/>
      <c r="AD183" s="464"/>
      <c r="AE183" s="464"/>
      <c r="AF183" s="464"/>
      <c r="AG183" s="464"/>
      <c r="AH183" s="464"/>
      <c r="AI183" s="464"/>
      <c r="AJ183" s="464"/>
      <c r="AK183" s="464"/>
      <c r="AL183" s="464"/>
      <c r="AM183" s="464"/>
      <c r="AN183" s="464"/>
      <c r="AO183" s="464"/>
      <c r="AP183" s="464"/>
      <c r="AQ183" s="464"/>
      <c r="AR183" s="464"/>
      <c r="AS183" s="464"/>
      <c r="AT183" s="464"/>
      <c r="AU183" s="464"/>
      <c r="AV183" s="464"/>
      <c r="AW183" s="464"/>
      <c r="AX183" s="464"/>
      <c r="AY183" s="464"/>
      <c r="AZ183" s="464"/>
      <c r="BA183" s="464"/>
      <c r="BB183" s="464"/>
      <c r="BC183" s="464"/>
      <c r="BD183" s="464"/>
      <c r="BE183" s="464"/>
      <c r="BF183" s="464"/>
      <c r="BG183" s="464"/>
      <c r="BH183" s="464"/>
      <c r="BI183" s="464"/>
      <c r="BJ183" s="464"/>
      <c r="BK183" s="464"/>
      <c r="BL183" s="464"/>
    </row>
    <row r="184" spans="1:64" ht="13">
      <c r="A184" s="454"/>
      <c r="B184" s="454"/>
      <c r="C184" s="427" t="s">
        <v>724</v>
      </c>
      <c r="D184" s="408"/>
      <c r="E184" s="408"/>
      <c r="F184" s="408"/>
      <c r="G184" s="430"/>
      <c r="H184" s="407" t="s">
        <v>726</v>
      </c>
      <c r="I184" s="414">
        <f>ROUND(I183,0)</f>
        <v>301</v>
      </c>
      <c r="J184" s="400"/>
      <c r="K184" s="401"/>
      <c r="L184" s="401"/>
      <c r="M184" s="404"/>
      <c r="N184" s="404"/>
      <c r="O184" s="404"/>
      <c r="P184" s="404"/>
      <c r="Q184" s="404"/>
      <c r="R184" s="404"/>
      <c r="S184" s="404"/>
      <c r="T184" s="404"/>
      <c r="U184" s="404"/>
      <c r="V184" s="404"/>
      <c r="W184" s="404"/>
      <c r="X184" s="404"/>
      <c r="Y184" s="404"/>
      <c r="Z184" s="404"/>
      <c r="AA184" s="404"/>
      <c r="AB184" s="404"/>
      <c r="AC184" s="404"/>
      <c r="AD184" s="404"/>
      <c r="AE184" s="404"/>
      <c r="AF184" s="404"/>
      <c r="AG184" s="404"/>
      <c r="AH184" s="404"/>
      <c r="AI184" s="404"/>
      <c r="AJ184" s="404"/>
      <c r="AK184" s="404"/>
      <c r="AL184" s="404"/>
      <c r="AM184" s="404"/>
      <c r="AN184" s="404"/>
      <c r="AO184" s="404"/>
      <c r="AP184" s="404"/>
      <c r="AQ184" s="404"/>
      <c r="AR184" s="404"/>
      <c r="AS184" s="404"/>
      <c r="AT184" s="404"/>
      <c r="AU184" s="404"/>
      <c r="AV184" s="404"/>
      <c r="AW184" s="404"/>
      <c r="AX184" s="404"/>
      <c r="AY184" s="404"/>
      <c r="AZ184" s="404"/>
      <c r="BA184" s="404"/>
      <c r="BB184" s="404"/>
      <c r="BC184" s="404"/>
      <c r="BD184" s="404"/>
      <c r="BE184" s="404"/>
      <c r="BF184" s="404"/>
      <c r="BG184" s="404"/>
      <c r="BH184" s="404"/>
      <c r="BI184" s="404"/>
      <c r="BJ184" s="404"/>
      <c r="BK184" s="404"/>
      <c r="BL184" s="404"/>
    </row>
    <row r="185" spans="1:64" ht="13">
      <c r="A185" s="454"/>
      <c r="B185" s="454"/>
      <c r="C185" s="427"/>
      <c r="D185" s="408"/>
      <c r="E185" s="408"/>
      <c r="F185" s="408"/>
      <c r="G185" s="430"/>
      <c r="H185" s="415"/>
      <c r="I185" s="414"/>
      <c r="J185" s="400"/>
      <c r="K185" s="401"/>
      <c r="L185" s="401"/>
      <c r="M185" s="404"/>
      <c r="N185" s="404"/>
      <c r="O185" s="404"/>
      <c r="P185" s="404"/>
      <c r="Q185" s="404"/>
      <c r="R185" s="404"/>
      <c r="S185" s="404"/>
      <c r="T185" s="404"/>
      <c r="U185" s="404"/>
      <c r="V185" s="404"/>
      <c r="W185" s="404"/>
      <c r="X185" s="404"/>
      <c r="Y185" s="404"/>
      <c r="Z185" s="404"/>
      <c r="AA185" s="404"/>
      <c r="AB185" s="404"/>
      <c r="AC185" s="404"/>
      <c r="AD185" s="404"/>
      <c r="AE185" s="404"/>
      <c r="AF185" s="404"/>
      <c r="AG185" s="404"/>
      <c r="AH185" s="404"/>
      <c r="AI185" s="404"/>
      <c r="AJ185" s="404"/>
      <c r="AK185" s="404"/>
      <c r="AL185" s="404"/>
      <c r="AM185" s="404"/>
      <c r="AN185" s="404"/>
      <c r="AO185" s="404"/>
      <c r="AP185" s="404"/>
      <c r="AQ185" s="404"/>
      <c r="AR185" s="404"/>
      <c r="AS185" s="404"/>
      <c r="AT185" s="404"/>
      <c r="AU185" s="404"/>
      <c r="AV185" s="404"/>
      <c r="AW185" s="404"/>
      <c r="AX185" s="404"/>
      <c r="AY185" s="404"/>
      <c r="AZ185" s="404"/>
      <c r="BA185" s="404"/>
      <c r="BB185" s="404"/>
      <c r="BC185" s="404"/>
      <c r="BD185" s="404"/>
      <c r="BE185" s="404"/>
      <c r="BF185" s="404"/>
      <c r="BG185" s="404"/>
      <c r="BH185" s="404"/>
      <c r="BI185" s="404"/>
      <c r="BJ185" s="404"/>
      <c r="BK185" s="404"/>
      <c r="BL185" s="404"/>
    </row>
    <row r="186" spans="1:64" ht="72.650000000000006" customHeight="1">
      <c r="A186" s="430">
        <f>A172+1</f>
        <v>4</v>
      </c>
      <c r="B186" s="454"/>
      <c r="C186" s="1276" t="s">
        <v>786</v>
      </c>
      <c r="D186" s="1276"/>
      <c r="E186" s="1276"/>
      <c r="F186" s="1276"/>
      <c r="G186" s="1276"/>
      <c r="H186" s="1276"/>
      <c r="I186" s="407"/>
      <c r="J186" s="400"/>
      <c r="K186" s="401"/>
      <c r="L186" s="401"/>
      <c r="M186" s="404"/>
      <c r="N186" s="404"/>
      <c r="O186" s="404"/>
      <c r="P186" s="404"/>
      <c r="Q186" s="404"/>
      <c r="R186" s="404"/>
      <c r="S186" s="404"/>
      <c r="T186" s="404"/>
      <c r="U186" s="404"/>
      <c r="V186" s="404"/>
      <c r="W186" s="404"/>
      <c r="X186" s="404"/>
      <c r="Y186" s="404"/>
      <c r="Z186" s="404"/>
      <c r="AA186" s="404"/>
      <c r="AB186" s="404"/>
      <c r="AC186" s="404"/>
      <c r="AD186" s="404"/>
      <c r="AE186" s="404"/>
      <c r="AF186" s="404"/>
      <c r="AG186" s="404"/>
      <c r="AH186" s="404"/>
      <c r="AI186" s="404"/>
      <c r="AJ186" s="404"/>
      <c r="AK186" s="404"/>
      <c r="AL186" s="404"/>
      <c r="AM186" s="404"/>
      <c r="AN186" s="404"/>
      <c r="AO186" s="404"/>
      <c r="AP186" s="404"/>
      <c r="AQ186" s="404"/>
      <c r="AR186" s="404"/>
      <c r="AS186" s="404"/>
      <c r="AT186" s="404"/>
      <c r="AU186" s="404"/>
      <c r="AV186" s="404"/>
      <c r="AW186" s="404"/>
      <c r="AX186" s="404"/>
      <c r="AY186" s="404"/>
      <c r="AZ186" s="404"/>
      <c r="BA186" s="404"/>
      <c r="BB186" s="404"/>
      <c r="BC186" s="404"/>
      <c r="BD186" s="404"/>
      <c r="BE186" s="404"/>
      <c r="BF186" s="404"/>
      <c r="BG186" s="404"/>
      <c r="BH186" s="404"/>
      <c r="BI186" s="404"/>
      <c r="BJ186" s="404"/>
      <c r="BK186" s="404"/>
      <c r="BL186" s="404"/>
    </row>
    <row r="187" spans="1:64" ht="13">
      <c r="A187" s="454"/>
      <c r="B187" s="454"/>
      <c r="C187" s="455" t="s">
        <v>787</v>
      </c>
      <c r="D187" s="426"/>
      <c r="E187" s="426"/>
      <c r="F187" s="426"/>
      <c r="G187" s="426"/>
      <c r="H187" s="426"/>
      <c r="I187" s="409"/>
      <c r="J187" s="400"/>
      <c r="K187" s="401"/>
      <c r="L187" s="401"/>
      <c r="M187" s="404"/>
      <c r="N187" s="404"/>
      <c r="O187" s="404"/>
      <c r="P187" s="404"/>
      <c r="Q187" s="404"/>
      <c r="R187" s="404"/>
      <c r="S187" s="404"/>
      <c r="T187" s="404"/>
      <c r="U187" s="404"/>
      <c r="V187" s="404"/>
      <c r="W187" s="404"/>
      <c r="X187" s="404"/>
      <c r="Y187" s="404"/>
      <c r="Z187" s="404"/>
      <c r="AA187" s="404"/>
      <c r="AB187" s="404"/>
      <c r="AC187" s="404"/>
      <c r="AD187" s="404"/>
      <c r="AE187" s="404"/>
      <c r="AF187" s="404"/>
      <c r="AG187" s="404"/>
      <c r="AH187" s="404"/>
      <c r="AI187" s="404"/>
      <c r="AJ187" s="404"/>
      <c r="AK187" s="404"/>
      <c r="AL187" s="404"/>
      <c r="AM187" s="404"/>
      <c r="AN187" s="404"/>
      <c r="AO187" s="404"/>
      <c r="AP187" s="404"/>
      <c r="AQ187" s="404"/>
      <c r="AR187" s="404"/>
      <c r="AS187" s="404"/>
      <c r="AT187" s="404"/>
      <c r="AU187" s="404"/>
      <c r="AV187" s="404"/>
      <c r="AW187" s="404"/>
      <c r="AX187" s="404"/>
      <c r="AY187" s="404"/>
      <c r="AZ187" s="404"/>
      <c r="BA187" s="404"/>
      <c r="BB187" s="404"/>
      <c r="BC187" s="404"/>
      <c r="BD187" s="404"/>
      <c r="BE187" s="404"/>
      <c r="BF187" s="404"/>
      <c r="BG187" s="404"/>
      <c r="BH187" s="404"/>
      <c r="BI187" s="404"/>
      <c r="BJ187" s="404"/>
      <c r="BK187" s="404"/>
      <c r="BL187" s="404"/>
    </row>
    <row r="188" spans="1:64">
      <c r="A188" s="454"/>
      <c r="B188" s="454"/>
      <c r="C188" s="417" t="s">
        <v>788</v>
      </c>
      <c r="D188" s="408">
        <v>1</v>
      </c>
      <c r="E188" s="408" t="s">
        <v>666</v>
      </c>
      <c r="F188" s="408">
        <f>$I$183</f>
        <v>301.07066079999998</v>
      </c>
      <c r="G188" s="430">
        <v>1</v>
      </c>
      <c r="H188" s="454" t="s">
        <v>666</v>
      </c>
      <c r="I188" s="408">
        <f t="shared" ref="I188:I191" si="20">IF(G188="",D188*F188,(D188*F188/G188))</f>
        <v>301.07066079999998</v>
      </c>
      <c r="J188" s="400"/>
      <c r="K188" s="401"/>
      <c r="L188" s="401"/>
      <c r="M188" s="404"/>
      <c r="N188" s="404"/>
      <c r="O188" s="404"/>
      <c r="P188" s="404"/>
      <c r="Q188" s="404"/>
      <c r="R188" s="404"/>
      <c r="S188" s="404"/>
      <c r="T188" s="404"/>
      <c r="U188" s="404"/>
      <c r="V188" s="404"/>
      <c r="W188" s="404"/>
      <c r="X188" s="404"/>
      <c r="Y188" s="404"/>
      <c r="Z188" s="404"/>
      <c r="AA188" s="404"/>
      <c r="AB188" s="404"/>
      <c r="AC188" s="404"/>
      <c r="AD188" s="404"/>
      <c r="AE188" s="404"/>
      <c r="AF188" s="404"/>
      <c r="AG188" s="404"/>
      <c r="AH188" s="404"/>
      <c r="AI188" s="404"/>
      <c r="AJ188" s="404"/>
      <c r="AK188" s="404"/>
      <c r="AL188" s="404"/>
      <c r="AM188" s="404"/>
      <c r="AN188" s="404"/>
      <c r="AO188" s="404"/>
      <c r="AP188" s="404"/>
      <c r="AQ188" s="404"/>
      <c r="AR188" s="404"/>
      <c r="AS188" s="404"/>
      <c r="AT188" s="404"/>
      <c r="AU188" s="404"/>
      <c r="AV188" s="404"/>
      <c r="AW188" s="404"/>
      <c r="AX188" s="404"/>
      <c r="AY188" s="404"/>
      <c r="AZ188" s="404"/>
      <c r="BA188" s="404"/>
      <c r="BB188" s="404"/>
      <c r="BC188" s="404"/>
      <c r="BD188" s="404"/>
      <c r="BE188" s="404"/>
      <c r="BF188" s="404"/>
      <c r="BG188" s="404"/>
      <c r="BH188" s="404"/>
      <c r="BI188" s="404"/>
      <c r="BJ188" s="404"/>
      <c r="BK188" s="404"/>
      <c r="BL188" s="404"/>
    </row>
    <row r="189" spans="1:64">
      <c r="A189" s="454"/>
      <c r="B189" s="454"/>
      <c r="C189" s="417" t="s">
        <v>789</v>
      </c>
      <c r="D189" s="408">
        <f>ROUND(1/60,2)</f>
        <v>0.02</v>
      </c>
      <c r="E189" s="408" t="s">
        <v>375</v>
      </c>
      <c r="F189" s="408">
        <f>'[161]Civil-SOR'!$G$307</f>
        <v>520</v>
      </c>
      <c r="G189" s="430">
        <v>1</v>
      </c>
      <c r="H189" s="454" t="s">
        <v>572</v>
      </c>
      <c r="I189" s="408">
        <f t="shared" si="20"/>
        <v>10.4</v>
      </c>
      <c r="J189" s="400"/>
      <c r="K189" s="401"/>
      <c r="L189" s="401"/>
      <c r="M189" s="404"/>
      <c r="N189" s="404"/>
      <c r="O189" s="404"/>
      <c r="P189" s="404"/>
      <c r="Q189" s="404"/>
      <c r="R189" s="404"/>
      <c r="S189" s="404"/>
      <c r="T189" s="404"/>
      <c r="U189" s="404"/>
      <c r="V189" s="404"/>
      <c r="W189" s="404"/>
      <c r="X189" s="404"/>
      <c r="Y189" s="404"/>
      <c r="Z189" s="404"/>
      <c r="AA189" s="404"/>
      <c r="AB189" s="404"/>
      <c r="AC189" s="404"/>
      <c r="AD189" s="404"/>
      <c r="AE189" s="404"/>
      <c r="AF189" s="404"/>
      <c r="AG189" s="404"/>
      <c r="AH189" s="404"/>
      <c r="AI189" s="404"/>
      <c r="AJ189" s="404"/>
      <c r="AK189" s="404"/>
      <c r="AL189" s="404"/>
      <c r="AM189" s="404"/>
      <c r="AN189" s="404"/>
      <c r="AO189" s="404"/>
      <c r="AP189" s="404"/>
      <c r="AQ189" s="404"/>
      <c r="AR189" s="404"/>
      <c r="AS189" s="404"/>
      <c r="AT189" s="404"/>
      <c r="AU189" s="404"/>
      <c r="AV189" s="404"/>
      <c r="AW189" s="404"/>
      <c r="AX189" s="404"/>
      <c r="AY189" s="404"/>
      <c r="AZ189" s="404"/>
      <c r="BA189" s="404"/>
      <c r="BB189" s="404"/>
      <c r="BC189" s="404"/>
      <c r="BD189" s="404"/>
      <c r="BE189" s="404"/>
      <c r="BF189" s="404"/>
      <c r="BG189" s="404"/>
      <c r="BH189" s="404"/>
      <c r="BI189" s="404"/>
      <c r="BJ189" s="404"/>
      <c r="BK189" s="404"/>
      <c r="BL189" s="404"/>
    </row>
    <row r="190" spans="1:64" ht="13">
      <c r="A190" s="454"/>
      <c r="B190" s="454"/>
      <c r="C190" s="417" t="str">
        <f>[161]Input!$C$47</f>
        <v>Add for MA @ 40%</v>
      </c>
      <c r="D190" s="408">
        <f>[161]Input!$D$47</f>
        <v>0.4</v>
      </c>
      <c r="E190" s="408"/>
      <c r="F190" s="408">
        <f>I189</f>
        <v>10.4</v>
      </c>
      <c r="G190" s="430"/>
      <c r="H190" s="415"/>
      <c r="I190" s="408">
        <f t="shared" si="20"/>
        <v>4.16</v>
      </c>
      <c r="J190" s="400"/>
      <c r="K190" s="401"/>
      <c r="L190" s="401"/>
      <c r="M190" s="404"/>
      <c r="N190" s="404"/>
      <c r="O190" s="404"/>
      <c r="P190" s="404"/>
      <c r="Q190" s="404"/>
      <c r="R190" s="404"/>
      <c r="S190" s="404"/>
      <c r="T190" s="404"/>
      <c r="U190" s="404"/>
      <c r="V190" s="404"/>
      <c r="W190" s="404"/>
      <c r="X190" s="404"/>
      <c r="Y190" s="404"/>
      <c r="Z190" s="404"/>
      <c r="AA190" s="404"/>
      <c r="AB190" s="404"/>
      <c r="AC190" s="404"/>
      <c r="AD190" s="404"/>
      <c r="AE190" s="404"/>
      <c r="AF190" s="404"/>
      <c r="AG190" s="404"/>
      <c r="AH190" s="404"/>
      <c r="AI190" s="404"/>
      <c r="AJ190" s="404"/>
      <c r="AK190" s="404"/>
      <c r="AL190" s="404"/>
      <c r="AM190" s="404"/>
      <c r="AN190" s="404"/>
      <c r="AO190" s="404"/>
      <c r="AP190" s="404"/>
      <c r="AQ190" s="404"/>
      <c r="AR190" s="404"/>
      <c r="AS190" s="404"/>
      <c r="AT190" s="404"/>
      <c r="AU190" s="404"/>
      <c r="AV190" s="404"/>
      <c r="AW190" s="404"/>
      <c r="AX190" s="404"/>
      <c r="AY190" s="404"/>
      <c r="AZ190" s="404"/>
      <c r="BA190" s="404"/>
      <c r="BB190" s="404"/>
      <c r="BC190" s="404"/>
      <c r="BD190" s="404"/>
      <c r="BE190" s="404"/>
      <c r="BF190" s="404"/>
      <c r="BG190" s="404"/>
      <c r="BH190" s="404"/>
      <c r="BI190" s="404"/>
      <c r="BJ190" s="404"/>
      <c r="BK190" s="404"/>
      <c r="BL190" s="404"/>
    </row>
    <row r="191" spans="1:64" ht="13">
      <c r="A191" s="454"/>
      <c r="B191" s="454"/>
      <c r="C191" s="466" t="str">
        <f>[161]Input!$C$48</f>
        <v>Overheads &amp; Contractors Profit @ 13.615%</v>
      </c>
      <c r="D191" s="467">
        <f>[161]Input!$D$48</f>
        <v>0.13614999999999999</v>
      </c>
      <c r="E191" s="408"/>
      <c r="F191" s="408">
        <f>SUM(I189:I190)</f>
        <v>14.56</v>
      </c>
      <c r="G191" s="430"/>
      <c r="H191" s="415"/>
      <c r="I191" s="408">
        <f t="shared" si="20"/>
        <v>1.9823439999999999</v>
      </c>
      <c r="J191" s="418"/>
      <c r="K191" s="419"/>
      <c r="L191" s="419"/>
      <c r="M191" s="420"/>
      <c r="N191" s="420"/>
      <c r="O191" s="420"/>
      <c r="P191" s="420"/>
      <c r="Q191" s="420"/>
      <c r="R191" s="420"/>
      <c r="S191" s="420"/>
      <c r="T191" s="420"/>
      <c r="U191" s="420"/>
      <c r="V191" s="420"/>
      <c r="W191" s="420"/>
      <c r="X191" s="420"/>
      <c r="Y191" s="420"/>
      <c r="Z191" s="420"/>
      <c r="AA191" s="420"/>
      <c r="AB191" s="420"/>
      <c r="AC191" s="420"/>
      <c r="AD191" s="420"/>
      <c r="AE191" s="420"/>
      <c r="AF191" s="420"/>
      <c r="AG191" s="420"/>
      <c r="AH191" s="420"/>
      <c r="AI191" s="420"/>
      <c r="AJ191" s="420"/>
      <c r="AK191" s="420"/>
      <c r="AL191" s="420"/>
      <c r="AM191" s="420"/>
      <c r="AN191" s="420"/>
      <c r="AO191" s="420"/>
      <c r="AP191" s="420"/>
      <c r="AQ191" s="420"/>
      <c r="AR191" s="420"/>
      <c r="AS191" s="420"/>
      <c r="AT191" s="420"/>
      <c r="AU191" s="420"/>
      <c r="AV191" s="420"/>
      <c r="AW191" s="420"/>
      <c r="AX191" s="420"/>
      <c r="AY191" s="420"/>
      <c r="AZ191" s="420"/>
      <c r="BA191" s="420"/>
      <c r="BB191" s="420"/>
      <c r="BC191" s="420"/>
      <c r="BD191" s="420"/>
      <c r="BE191" s="420"/>
      <c r="BF191" s="420"/>
      <c r="BG191" s="420"/>
      <c r="BH191" s="420"/>
      <c r="BI191" s="420"/>
      <c r="BJ191" s="420"/>
      <c r="BK191" s="420"/>
      <c r="BL191" s="420"/>
    </row>
    <row r="192" spans="1:64" ht="13">
      <c r="A192" s="454"/>
      <c r="B192" s="454"/>
      <c r="C192" s="427" t="s">
        <v>724</v>
      </c>
      <c r="D192" s="408"/>
      <c r="E192" s="408"/>
      <c r="F192" s="408"/>
      <c r="G192" s="430"/>
      <c r="H192" s="408" t="s">
        <v>725</v>
      </c>
      <c r="I192" s="408">
        <f>SUM(I188:I191)</f>
        <v>317.6130048</v>
      </c>
      <c r="J192" s="400"/>
      <c r="K192" s="401"/>
      <c r="L192" s="401"/>
      <c r="M192" s="404"/>
      <c r="N192" s="404"/>
      <c r="O192" s="404"/>
      <c r="P192" s="404"/>
      <c r="Q192" s="404"/>
      <c r="R192" s="404"/>
      <c r="S192" s="404"/>
      <c r="T192" s="404"/>
      <c r="U192" s="404"/>
      <c r="V192" s="404"/>
      <c r="W192" s="404"/>
      <c r="X192" s="404"/>
      <c r="Y192" s="404"/>
      <c r="Z192" s="404"/>
      <c r="AA192" s="404"/>
      <c r="AB192" s="404"/>
      <c r="AC192" s="404"/>
      <c r="AD192" s="404"/>
      <c r="AE192" s="404"/>
      <c r="AF192" s="404"/>
      <c r="AG192" s="404"/>
      <c r="AH192" s="404"/>
      <c r="AI192" s="404"/>
      <c r="AJ192" s="404"/>
      <c r="AK192" s="404"/>
      <c r="AL192" s="404"/>
      <c r="AM192" s="404"/>
      <c r="AN192" s="404"/>
      <c r="AO192" s="404"/>
      <c r="AP192" s="404"/>
      <c r="AQ192" s="404"/>
      <c r="AR192" s="404"/>
      <c r="AS192" s="404"/>
      <c r="AT192" s="404"/>
      <c r="AU192" s="404"/>
      <c r="AV192" s="404"/>
      <c r="AW192" s="404"/>
      <c r="AX192" s="404"/>
      <c r="AY192" s="404"/>
      <c r="AZ192" s="404"/>
      <c r="BA192" s="404"/>
      <c r="BB192" s="404"/>
      <c r="BC192" s="404"/>
      <c r="BD192" s="404"/>
      <c r="BE192" s="404"/>
      <c r="BF192" s="404"/>
      <c r="BG192" s="404"/>
      <c r="BH192" s="404"/>
      <c r="BI192" s="404"/>
      <c r="BJ192" s="404"/>
      <c r="BK192" s="404"/>
      <c r="BL192" s="404"/>
    </row>
    <row r="193" spans="1:64" ht="13">
      <c r="A193" s="454"/>
      <c r="B193" s="454"/>
      <c r="C193" s="427"/>
      <c r="D193" s="408"/>
      <c r="E193" s="408"/>
      <c r="F193" s="408"/>
      <c r="G193" s="430"/>
      <c r="H193" s="407" t="s">
        <v>726</v>
      </c>
      <c r="I193" s="414">
        <f>ROUND(I192,0)</f>
        <v>318</v>
      </c>
      <c r="J193" s="400"/>
      <c r="K193" s="401"/>
      <c r="L193" s="401"/>
      <c r="M193" s="404"/>
      <c r="N193" s="404"/>
      <c r="O193" s="404"/>
      <c r="P193" s="404"/>
      <c r="Q193" s="404"/>
      <c r="R193" s="404"/>
      <c r="S193" s="404"/>
      <c r="T193" s="404"/>
      <c r="U193" s="404"/>
      <c r="V193" s="404"/>
      <c r="W193" s="404"/>
      <c r="X193" s="404"/>
      <c r="Y193" s="404"/>
      <c r="Z193" s="404"/>
      <c r="AA193" s="404"/>
      <c r="AB193" s="404"/>
      <c r="AC193" s="404"/>
      <c r="AD193" s="404"/>
      <c r="AE193" s="404"/>
      <c r="AF193" s="404"/>
      <c r="AG193" s="404"/>
      <c r="AH193" s="404"/>
      <c r="AI193" s="404"/>
      <c r="AJ193" s="404"/>
      <c r="AK193" s="404"/>
      <c r="AL193" s="404"/>
      <c r="AM193" s="404"/>
      <c r="AN193" s="404"/>
      <c r="AO193" s="404"/>
      <c r="AP193" s="404"/>
      <c r="AQ193" s="404"/>
      <c r="AR193" s="404"/>
      <c r="AS193" s="404"/>
      <c r="AT193" s="404"/>
      <c r="AU193" s="404"/>
      <c r="AV193" s="404"/>
      <c r="AW193" s="404"/>
      <c r="AX193" s="404"/>
      <c r="AY193" s="404"/>
      <c r="AZ193" s="404"/>
      <c r="BA193" s="404"/>
      <c r="BB193" s="404"/>
      <c r="BC193" s="404"/>
      <c r="BD193" s="404"/>
      <c r="BE193" s="404"/>
      <c r="BF193" s="404"/>
      <c r="BG193" s="404"/>
      <c r="BH193" s="404"/>
      <c r="BI193" s="404"/>
      <c r="BJ193" s="404"/>
      <c r="BK193" s="404"/>
      <c r="BL193" s="404"/>
    </row>
    <row r="194" spans="1:64" ht="13">
      <c r="A194" s="454"/>
      <c r="B194" s="454"/>
      <c r="C194" s="427"/>
      <c r="D194" s="408"/>
      <c r="E194" s="408"/>
      <c r="F194" s="408"/>
      <c r="G194" s="430"/>
      <c r="H194" s="415"/>
      <c r="I194" s="414"/>
      <c r="J194" s="400"/>
      <c r="K194" s="401"/>
      <c r="L194" s="401"/>
      <c r="M194" s="404"/>
      <c r="N194" s="404"/>
      <c r="O194" s="404"/>
      <c r="P194" s="404"/>
      <c r="Q194" s="404"/>
      <c r="R194" s="404"/>
      <c r="S194" s="404"/>
      <c r="T194" s="404"/>
      <c r="U194" s="404"/>
      <c r="V194" s="404"/>
      <c r="W194" s="404"/>
      <c r="X194" s="404"/>
      <c r="Y194" s="404"/>
      <c r="Z194" s="404"/>
      <c r="AA194" s="404"/>
      <c r="AB194" s="404"/>
      <c r="AC194" s="404"/>
      <c r="AD194" s="404"/>
      <c r="AE194" s="404"/>
      <c r="AF194" s="404"/>
      <c r="AG194" s="404"/>
      <c r="AH194" s="404"/>
      <c r="AI194" s="404"/>
      <c r="AJ194" s="404"/>
      <c r="AK194" s="404"/>
      <c r="AL194" s="404"/>
      <c r="AM194" s="404"/>
      <c r="AN194" s="404"/>
      <c r="AO194" s="404"/>
      <c r="AP194" s="404"/>
      <c r="AQ194" s="404"/>
      <c r="AR194" s="404"/>
      <c r="AS194" s="404"/>
      <c r="AT194" s="404"/>
      <c r="AU194" s="404"/>
      <c r="AV194" s="404"/>
      <c r="AW194" s="404"/>
      <c r="AX194" s="404"/>
      <c r="AY194" s="404"/>
      <c r="AZ194" s="404"/>
      <c r="BA194" s="404"/>
      <c r="BB194" s="404"/>
      <c r="BC194" s="404"/>
      <c r="BD194" s="404"/>
      <c r="BE194" s="404"/>
      <c r="BF194" s="404"/>
      <c r="BG194" s="404"/>
      <c r="BH194" s="404"/>
      <c r="BI194" s="404"/>
      <c r="BJ194" s="404"/>
      <c r="BK194" s="404"/>
      <c r="BL194" s="404"/>
    </row>
    <row r="195" spans="1:64" ht="63" customHeight="1">
      <c r="A195" s="430">
        <f>1+A186</f>
        <v>5</v>
      </c>
      <c r="B195" s="454"/>
      <c r="C195" s="1276" t="s">
        <v>790</v>
      </c>
      <c r="D195" s="1276"/>
      <c r="E195" s="1276"/>
      <c r="F195" s="1276"/>
      <c r="G195" s="1276"/>
      <c r="H195" s="1276"/>
      <c r="I195" s="407"/>
      <c r="J195" s="400"/>
      <c r="K195" s="401"/>
      <c r="L195" s="401"/>
      <c r="M195" s="404"/>
      <c r="N195" s="404"/>
      <c r="O195" s="404"/>
      <c r="P195" s="404"/>
      <c r="Q195" s="404"/>
      <c r="R195" s="404"/>
      <c r="S195" s="404"/>
      <c r="T195" s="404"/>
      <c r="U195" s="404"/>
      <c r="V195" s="404"/>
      <c r="W195" s="404"/>
      <c r="X195" s="404"/>
      <c r="Y195" s="404"/>
      <c r="Z195" s="404"/>
      <c r="AA195" s="404"/>
      <c r="AB195" s="404"/>
      <c r="AC195" s="404"/>
      <c r="AD195" s="404"/>
      <c r="AE195" s="404"/>
      <c r="AF195" s="404"/>
      <c r="AG195" s="404"/>
      <c r="AH195" s="404"/>
      <c r="AI195" s="404"/>
      <c r="AJ195" s="404"/>
      <c r="AK195" s="404"/>
      <c r="AL195" s="404"/>
      <c r="AM195" s="404"/>
      <c r="AN195" s="404"/>
      <c r="AO195" s="404"/>
      <c r="AP195" s="404"/>
      <c r="AQ195" s="404"/>
      <c r="AR195" s="404"/>
      <c r="AS195" s="404"/>
      <c r="AT195" s="404"/>
      <c r="AU195" s="404"/>
      <c r="AV195" s="404"/>
      <c r="AW195" s="404"/>
      <c r="AX195" s="404"/>
      <c r="AY195" s="404"/>
      <c r="AZ195" s="404"/>
      <c r="BA195" s="404"/>
      <c r="BB195" s="404"/>
      <c r="BC195" s="404"/>
      <c r="BD195" s="404"/>
      <c r="BE195" s="404"/>
      <c r="BF195" s="404"/>
      <c r="BG195" s="404"/>
      <c r="BH195" s="404"/>
      <c r="BI195" s="404"/>
      <c r="BJ195" s="404"/>
      <c r="BK195" s="404"/>
      <c r="BL195" s="404"/>
    </row>
    <row r="196" spans="1:64" ht="13">
      <c r="A196" s="454"/>
      <c r="B196" s="454"/>
      <c r="C196" s="455" t="s">
        <v>791</v>
      </c>
      <c r="D196" s="426"/>
      <c r="E196" s="426"/>
      <c r="F196" s="408"/>
      <c r="G196" s="430"/>
      <c r="H196" s="456"/>
      <c r="I196" s="408"/>
      <c r="J196" s="400"/>
      <c r="K196" s="401"/>
      <c r="L196" s="401"/>
      <c r="M196" s="404"/>
      <c r="N196" s="404"/>
      <c r="O196" s="404"/>
      <c r="P196" s="404"/>
      <c r="Q196" s="404"/>
      <c r="R196" s="404"/>
      <c r="S196" s="404"/>
      <c r="T196" s="404"/>
      <c r="U196" s="404"/>
      <c r="V196" s="404"/>
      <c r="W196" s="404"/>
      <c r="X196" s="404"/>
      <c r="Y196" s="404"/>
      <c r="Z196" s="404"/>
      <c r="AA196" s="404"/>
      <c r="AB196" s="404"/>
      <c r="AC196" s="404"/>
      <c r="AD196" s="404"/>
      <c r="AE196" s="404"/>
      <c r="AF196" s="404"/>
      <c r="AG196" s="404"/>
      <c r="AH196" s="404"/>
      <c r="AI196" s="404"/>
      <c r="AJ196" s="404"/>
      <c r="AK196" s="404"/>
      <c r="AL196" s="404"/>
      <c r="AM196" s="404"/>
      <c r="AN196" s="404"/>
      <c r="AO196" s="404"/>
      <c r="AP196" s="404"/>
      <c r="AQ196" s="404"/>
      <c r="AR196" s="404"/>
      <c r="AS196" s="404"/>
      <c r="AT196" s="404"/>
      <c r="AU196" s="404"/>
      <c r="AV196" s="404"/>
      <c r="AW196" s="404"/>
      <c r="AX196" s="404"/>
      <c r="AY196" s="404"/>
      <c r="AZ196" s="404"/>
      <c r="BA196" s="404"/>
      <c r="BB196" s="404"/>
      <c r="BC196" s="404"/>
      <c r="BD196" s="404"/>
      <c r="BE196" s="404"/>
      <c r="BF196" s="404"/>
      <c r="BG196" s="404"/>
      <c r="BH196" s="404"/>
      <c r="BI196" s="404"/>
      <c r="BJ196" s="404"/>
      <c r="BK196" s="404"/>
      <c r="BL196" s="404"/>
    </row>
    <row r="197" spans="1:64" ht="12.75" customHeight="1">
      <c r="A197" s="454"/>
      <c r="B197" s="454"/>
      <c r="C197" s="1294" t="s">
        <v>792</v>
      </c>
      <c r="D197" s="1294"/>
      <c r="E197" s="1294"/>
      <c r="F197" s="408"/>
      <c r="G197" s="430"/>
      <c r="H197" s="456"/>
      <c r="I197" s="408"/>
      <c r="J197" s="400"/>
      <c r="K197" s="401"/>
      <c r="L197" s="401"/>
      <c r="M197" s="404"/>
      <c r="N197" s="404"/>
      <c r="O197" s="404"/>
      <c r="P197" s="404"/>
      <c r="Q197" s="404"/>
      <c r="R197" s="404"/>
      <c r="S197" s="404"/>
      <c r="T197" s="404"/>
      <c r="U197" s="404"/>
      <c r="V197" s="404"/>
      <c r="W197" s="404"/>
      <c r="X197" s="404"/>
      <c r="Y197" s="404"/>
      <c r="Z197" s="404"/>
      <c r="AA197" s="404"/>
      <c r="AB197" s="404"/>
      <c r="AC197" s="404"/>
      <c r="AD197" s="404"/>
      <c r="AE197" s="404"/>
      <c r="AF197" s="404"/>
      <c r="AG197" s="404"/>
      <c r="AH197" s="404"/>
      <c r="AI197" s="404"/>
      <c r="AJ197" s="404"/>
      <c r="AK197" s="404"/>
      <c r="AL197" s="404"/>
      <c r="AM197" s="404"/>
      <c r="AN197" s="404"/>
      <c r="AO197" s="404"/>
      <c r="AP197" s="404"/>
      <c r="AQ197" s="404"/>
      <c r="AR197" s="404"/>
      <c r="AS197" s="404"/>
      <c r="AT197" s="404"/>
      <c r="AU197" s="404"/>
      <c r="AV197" s="404"/>
      <c r="AW197" s="404"/>
      <c r="AX197" s="404"/>
      <c r="AY197" s="404"/>
      <c r="AZ197" s="404"/>
      <c r="BA197" s="404"/>
      <c r="BB197" s="404"/>
      <c r="BC197" s="404"/>
      <c r="BD197" s="404"/>
      <c r="BE197" s="404"/>
      <c r="BF197" s="404"/>
      <c r="BG197" s="404"/>
      <c r="BH197" s="404"/>
      <c r="BI197" s="404"/>
      <c r="BJ197" s="404"/>
      <c r="BK197" s="404"/>
      <c r="BL197" s="404"/>
    </row>
    <row r="198" spans="1:64" ht="13">
      <c r="A198" s="454"/>
      <c r="B198" s="454"/>
      <c r="C198" s="427" t="s">
        <v>779</v>
      </c>
      <c r="D198" s="408"/>
      <c r="E198" s="408"/>
      <c r="F198" s="408"/>
      <c r="G198" s="430"/>
      <c r="H198" s="456" t="str">
        <f>IF(E198="","",IF(E198="No.","Each",IF(E198="Nos.","Each",E198)))</f>
        <v/>
      </c>
      <c r="I198" s="408"/>
      <c r="J198" s="400"/>
      <c r="K198" s="401"/>
      <c r="L198" s="401"/>
      <c r="M198" s="404"/>
      <c r="N198" s="404"/>
      <c r="O198" s="404"/>
      <c r="P198" s="404"/>
      <c r="Q198" s="404"/>
      <c r="R198" s="404"/>
      <c r="S198" s="404"/>
      <c r="T198" s="404"/>
      <c r="U198" s="404"/>
      <c r="V198" s="404"/>
      <c r="W198" s="404"/>
      <c r="X198" s="404"/>
      <c r="Y198" s="404"/>
      <c r="Z198" s="404"/>
      <c r="AA198" s="404"/>
      <c r="AB198" s="404"/>
      <c r="AC198" s="404"/>
      <c r="AD198" s="404"/>
      <c r="AE198" s="404"/>
      <c r="AF198" s="404"/>
      <c r="AG198" s="404"/>
      <c r="AH198" s="404"/>
      <c r="AI198" s="404"/>
      <c r="AJ198" s="404"/>
      <c r="AK198" s="404"/>
      <c r="AL198" s="404"/>
      <c r="AM198" s="404"/>
      <c r="AN198" s="404"/>
      <c r="AO198" s="404"/>
      <c r="AP198" s="404"/>
      <c r="AQ198" s="404"/>
      <c r="AR198" s="404"/>
      <c r="AS198" s="404"/>
      <c r="AT198" s="404"/>
      <c r="AU198" s="404"/>
      <c r="AV198" s="404"/>
      <c r="AW198" s="404"/>
      <c r="AX198" s="404"/>
      <c r="AY198" s="404"/>
      <c r="AZ198" s="404"/>
      <c r="BA198" s="404"/>
      <c r="BB198" s="404"/>
      <c r="BC198" s="404"/>
      <c r="BD198" s="404"/>
      <c r="BE198" s="404"/>
      <c r="BF198" s="404"/>
      <c r="BG198" s="404"/>
      <c r="BH198" s="404"/>
      <c r="BI198" s="404"/>
      <c r="BJ198" s="404"/>
      <c r="BK198" s="404"/>
      <c r="BL198" s="404"/>
    </row>
    <row r="199" spans="1:64" ht="13">
      <c r="A199" s="454"/>
      <c r="B199" s="454"/>
      <c r="C199" s="427" t="s">
        <v>793</v>
      </c>
      <c r="D199" s="457">
        <v>240</v>
      </c>
      <c r="E199" s="415" t="s">
        <v>666</v>
      </c>
      <c r="F199" s="408"/>
      <c r="G199" s="410"/>
      <c r="H199" s="426"/>
      <c r="I199" s="408"/>
      <c r="J199" s="400"/>
      <c r="K199" s="401"/>
      <c r="L199" s="401"/>
      <c r="M199" s="404"/>
      <c r="N199" s="404"/>
      <c r="O199" s="404"/>
      <c r="P199" s="404"/>
      <c r="Q199" s="404"/>
      <c r="R199" s="404"/>
      <c r="S199" s="404"/>
      <c r="T199" s="404"/>
      <c r="U199" s="404"/>
      <c r="V199" s="404"/>
      <c r="W199" s="404"/>
      <c r="X199" s="404"/>
      <c r="Y199" s="404"/>
      <c r="Z199" s="404"/>
      <c r="AA199" s="404"/>
      <c r="AB199" s="404"/>
      <c r="AC199" s="404"/>
      <c r="AD199" s="404"/>
      <c r="AE199" s="404"/>
      <c r="AF199" s="404"/>
      <c r="AG199" s="404"/>
      <c r="AH199" s="404"/>
      <c r="AI199" s="404"/>
      <c r="AJ199" s="404"/>
      <c r="AK199" s="404"/>
      <c r="AL199" s="404"/>
      <c r="AM199" s="404"/>
      <c r="AN199" s="404"/>
      <c r="AO199" s="404"/>
      <c r="AP199" s="404"/>
      <c r="AQ199" s="404"/>
      <c r="AR199" s="404"/>
      <c r="AS199" s="404"/>
      <c r="AT199" s="404"/>
      <c r="AU199" s="404"/>
      <c r="AV199" s="404"/>
      <c r="AW199" s="404"/>
      <c r="AX199" s="404"/>
      <c r="AY199" s="404"/>
      <c r="AZ199" s="404"/>
      <c r="BA199" s="404"/>
      <c r="BB199" s="404"/>
      <c r="BC199" s="404"/>
      <c r="BD199" s="404"/>
      <c r="BE199" s="404"/>
      <c r="BF199" s="404"/>
      <c r="BG199" s="404"/>
      <c r="BH199" s="404"/>
      <c r="BI199" s="404"/>
      <c r="BJ199" s="404"/>
      <c r="BK199" s="404"/>
      <c r="BL199" s="404"/>
    </row>
    <row r="200" spans="1:64" ht="13">
      <c r="A200" s="454"/>
      <c r="B200" s="454"/>
      <c r="C200" s="427" t="s">
        <v>781</v>
      </c>
      <c r="D200" s="408"/>
      <c r="E200" s="408"/>
      <c r="F200" s="408"/>
      <c r="G200" s="430"/>
      <c r="H200" s="414"/>
      <c r="I200" s="414"/>
      <c r="J200" s="400"/>
      <c r="K200" s="401"/>
      <c r="L200" s="401"/>
      <c r="M200" s="404"/>
      <c r="N200" s="404"/>
      <c r="O200" s="404"/>
      <c r="P200" s="404"/>
      <c r="Q200" s="404"/>
      <c r="R200" s="404"/>
      <c r="S200" s="404"/>
      <c r="T200" s="404"/>
      <c r="U200" s="404"/>
      <c r="V200" s="404"/>
      <c r="W200" s="404"/>
      <c r="X200" s="404"/>
      <c r="Y200" s="404"/>
      <c r="Z200" s="404"/>
      <c r="AA200" s="404"/>
      <c r="AB200" s="404"/>
      <c r="AC200" s="404"/>
      <c r="AD200" s="404"/>
      <c r="AE200" s="404"/>
      <c r="AF200" s="404"/>
      <c r="AG200" s="404"/>
      <c r="AH200" s="404"/>
      <c r="AI200" s="404"/>
      <c r="AJ200" s="404"/>
      <c r="AK200" s="404"/>
      <c r="AL200" s="404"/>
      <c r="AM200" s="404"/>
      <c r="AN200" s="404"/>
      <c r="AO200" s="404"/>
      <c r="AP200" s="404"/>
      <c r="AQ200" s="404"/>
      <c r="AR200" s="404"/>
      <c r="AS200" s="404"/>
      <c r="AT200" s="404"/>
      <c r="AU200" s="404"/>
      <c r="AV200" s="404"/>
      <c r="AW200" s="404"/>
      <c r="AX200" s="404"/>
      <c r="AY200" s="404"/>
      <c r="AZ200" s="404"/>
      <c r="BA200" s="404"/>
      <c r="BB200" s="404"/>
      <c r="BC200" s="404"/>
      <c r="BD200" s="404"/>
      <c r="BE200" s="404"/>
      <c r="BF200" s="404"/>
      <c r="BG200" s="404"/>
      <c r="BH200" s="404"/>
      <c r="BI200" s="404"/>
      <c r="BJ200" s="404"/>
      <c r="BK200" s="404"/>
      <c r="BL200" s="404"/>
    </row>
    <row r="201" spans="1:64">
      <c r="A201" s="454"/>
      <c r="B201" s="454"/>
      <c r="C201" s="417" t="s">
        <v>782</v>
      </c>
      <c r="D201" s="408">
        <v>8.32</v>
      </c>
      <c r="E201" s="408" t="s">
        <v>375</v>
      </c>
      <c r="F201" s="408">
        <f>'[161]Civil-SOR'!$G$307</f>
        <v>520</v>
      </c>
      <c r="G201" s="430">
        <v>1</v>
      </c>
      <c r="H201" s="408" t="s">
        <v>678</v>
      </c>
      <c r="I201" s="408">
        <f t="shared" ref="I201:I202" si="21">IF(G201="",D201*F201,(D201*F201/G201))</f>
        <v>4326.4000000000005</v>
      </c>
      <c r="J201" s="400"/>
      <c r="K201" s="401"/>
      <c r="L201" s="401"/>
      <c r="M201" s="404"/>
      <c r="N201" s="404"/>
      <c r="O201" s="404"/>
      <c r="P201" s="404"/>
      <c r="Q201" s="404"/>
      <c r="R201" s="404"/>
      <c r="S201" s="404"/>
      <c r="T201" s="404"/>
      <c r="U201" s="404"/>
      <c r="V201" s="404"/>
      <c r="W201" s="404"/>
      <c r="X201" s="404"/>
      <c r="Y201" s="404"/>
      <c r="Z201" s="404"/>
      <c r="AA201" s="404"/>
      <c r="AB201" s="404"/>
      <c r="AC201" s="404"/>
      <c r="AD201" s="404"/>
      <c r="AE201" s="404"/>
      <c r="AF201" s="404"/>
      <c r="AG201" s="404"/>
      <c r="AH201" s="404"/>
      <c r="AI201" s="404"/>
      <c r="AJ201" s="404"/>
      <c r="AK201" s="404"/>
      <c r="AL201" s="404"/>
      <c r="AM201" s="404"/>
      <c r="AN201" s="404"/>
      <c r="AO201" s="404"/>
      <c r="AP201" s="404"/>
      <c r="AQ201" s="404"/>
      <c r="AR201" s="404"/>
      <c r="AS201" s="404"/>
      <c r="AT201" s="404"/>
      <c r="AU201" s="404"/>
      <c r="AV201" s="404"/>
      <c r="AW201" s="404"/>
      <c r="AX201" s="404"/>
      <c r="AY201" s="404"/>
      <c r="AZ201" s="404"/>
      <c r="BA201" s="404"/>
      <c r="BB201" s="404"/>
      <c r="BC201" s="404"/>
      <c r="BD201" s="404"/>
      <c r="BE201" s="404"/>
      <c r="BF201" s="404"/>
      <c r="BG201" s="404"/>
      <c r="BH201" s="404"/>
      <c r="BI201" s="404"/>
      <c r="BJ201" s="404"/>
      <c r="BK201" s="404"/>
      <c r="BL201" s="404"/>
    </row>
    <row r="202" spans="1:64">
      <c r="A202" s="454"/>
      <c r="B202" s="454"/>
      <c r="C202" s="417" t="str">
        <f>[161]Input!$C$47</f>
        <v>Add for MA @ 40%</v>
      </c>
      <c r="D202" s="408">
        <f>[161]Input!$D$47</f>
        <v>0.4</v>
      </c>
      <c r="E202" s="408"/>
      <c r="F202" s="408">
        <f>I201</f>
        <v>4326.4000000000005</v>
      </c>
      <c r="G202" s="430"/>
      <c r="H202" s="408"/>
      <c r="I202" s="408">
        <f t="shared" si="21"/>
        <v>1730.5600000000004</v>
      </c>
      <c r="J202" s="400"/>
      <c r="K202" s="401"/>
      <c r="L202" s="401"/>
      <c r="M202" s="404"/>
      <c r="N202" s="404"/>
      <c r="O202" s="404"/>
      <c r="P202" s="404"/>
      <c r="Q202" s="404"/>
      <c r="R202" s="404"/>
      <c r="S202" s="404"/>
      <c r="T202" s="404"/>
      <c r="U202" s="404"/>
      <c r="V202" s="404"/>
      <c r="W202" s="404"/>
      <c r="X202" s="404"/>
      <c r="Y202" s="404"/>
      <c r="Z202" s="404"/>
      <c r="AA202" s="404"/>
      <c r="AB202" s="404"/>
      <c r="AC202" s="404"/>
      <c r="AD202" s="404"/>
      <c r="AE202" s="404"/>
      <c r="AF202" s="404"/>
      <c r="AG202" s="404"/>
      <c r="AH202" s="404"/>
      <c r="AI202" s="404"/>
      <c r="AJ202" s="404"/>
      <c r="AK202" s="404"/>
      <c r="AL202" s="404"/>
      <c r="AM202" s="404"/>
      <c r="AN202" s="404"/>
      <c r="AO202" s="404"/>
      <c r="AP202" s="404"/>
      <c r="AQ202" s="404"/>
      <c r="AR202" s="404"/>
      <c r="AS202" s="404"/>
      <c r="AT202" s="404"/>
      <c r="AU202" s="404"/>
      <c r="AV202" s="404"/>
      <c r="AW202" s="404"/>
      <c r="AX202" s="404"/>
      <c r="AY202" s="404"/>
      <c r="AZ202" s="404"/>
      <c r="BA202" s="404"/>
      <c r="BB202" s="404"/>
      <c r="BC202" s="404"/>
      <c r="BD202" s="404"/>
      <c r="BE202" s="404"/>
      <c r="BF202" s="404"/>
      <c r="BG202" s="404"/>
      <c r="BH202" s="404"/>
      <c r="BI202" s="404"/>
      <c r="BJ202" s="404"/>
      <c r="BK202" s="404"/>
      <c r="BL202" s="404"/>
    </row>
    <row r="203" spans="1:64" ht="13">
      <c r="A203" s="454"/>
      <c r="B203" s="454"/>
      <c r="C203" s="427" t="s">
        <v>794</v>
      </c>
      <c r="D203" s="408"/>
      <c r="E203" s="408"/>
      <c r="F203" s="408"/>
      <c r="G203" s="430"/>
      <c r="H203" s="408"/>
      <c r="I203" s="408"/>
      <c r="J203" s="400"/>
      <c r="K203" s="401">
        <f>2917*12</f>
        <v>35004</v>
      </c>
      <c r="L203" s="401"/>
      <c r="M203" s="404"/>
      <c r="N203" s="404"/>
      <c r="O203" s="404"/>
      <c r="P203" s="404"/>
      <c r="Q203" s="404"/>
      <c r="R203" s="404"/>
      <c r="S203" s="404"/>
      <c r="T203" s="404"/>
      <c r="U203" s="404"/>
      <c r="V203" s="404"/>
      <c r="W203" s="404"/>
      <c r="X203" s="404"/>
      <c r="Y203" s="404"/>
      <c r="Z203" s="404"/>
      <c r="AA203" s="404"/>
      <c r="AB203" s="404"/>
      <c r="AC203" s="404"/>
      <c r="AD203" s="404"/>
      <c r="AE203" s="404"/>
      <c r="AF203" s="404"/>
      <c r="AG203" s="404"/>
      <c r="AH203" s="404"/>
      <c r="AI203" s="404"/>
      <c r="AJ203" s="404"/>
      <c r="AK203" s="404"/>
      <c r="AL203" s="404"/>
      <c r="AM203" s="404"/>
      <c r="AN203" s="404"/>
      <c r="AO203" s="404"/>
      <c r="AP203" s="404"/>
      <c r="AQ203" s="404"/>
      <c r="AR203" s="404"/>
      <c r="AS203" s="404"/>
      <c r="AT203" s="404"/>
      <c r="AU203" s="404"/>
      <c r="AV203" s="404"/>
      <c r="AW203" s="404"/>
      <c r="AX203" s="404"/>
      <c r="AY203" s="404"/>
      <c r="AZ203" s="404"/>
      <c r="BA203" s="404"/>
      <c r="BB203" s="404"/>
      <c r="BC203" s="404"/>
      <c r="BD203" s="404"/>
      <c r="BE203" s="404"/>
      <c r="BF203" s="404"/>
      <c r="BG203" s="404"/>
      <c r="BH203" s="404"/>
      <c r="BI203" s="404"/>
      <c r="BJ203" s="404"/>
      <c r="BK203" s="404"/>
      <c r="BL203" s="404"/>
    </row>
    <row r="204" spans="1:64" ht="25">
      <c r="A204" s="454"/>
      <c r="B204" s="454"/>
      <c r="C204" s="468" t="s">
        <v>795</v>
      </c>
      <c r="D204" s="408">
        <v>6</v>
      </c>
      <c r="E204" s="408" t="s">
        <v>796</v>
      </c>
      <c r="F204" s="408">
        <f>'[161]Civil-SOR'!$G$333</f>
        <v>3185.7</v>
      </c>
      <c r="G204" s="430">
        <v>1</v>
      </c>
      <c r="H204" s="408" t="s">
        <v>797</v>
      </c>
      <c r="I204" s="408">
        <f t="shared" ref="I204:I206" si="22">IF(G204="",D204*F204,(D204*F204/G204))</f>
        <v>19114.199999999997</v>
      </c>
      <c r="J204" s="400"/>
      <c r="K204" s="401"/>
      <c r="L204" s="401"/>
      <c r="M204" s="404"/>
      <c r="N204" s="404"/>
      <c r="O204" s="404"/>
      <c r="P204" s="404"/>
      <c r="Q204" s="404"/>
      <c r="R204" s="404"/>
      <c r="S204" s="404"/>
      <c r="T204" s="404"/>
      <c r="U204" s="404"/>
      <c r="V204" s="404"/>
      <c r="W204" s="404"/>
      <c r="X204" s="404"/>
      <c r="Y204" s="404"/>
      <c r="Z204" s="404"/>
      <c r="AA204" s="404"/>
      <c r="AB204" s="404"/>
      <c r="AC204" s="404"/>
      <c r="AD204" s="404"/>
      <c r="AE204" s="404"/>
      <c r="AF204" s="404"/>
      <c r="AG204" s="404"/>
      <c r="AH204" s="404"/>
      <c r="AI204" s="404"/>
      <c r="AJ204" s="404"/>
      <c r="AK204" s="404"/>
      <c r="AL204" s="404"/>
      <c r="AM204" s="404"/>
      <c r="AN204" s="404"/>
      <c r="AO204" s="404"/>
      <c r="AP204" s="404"/>
      <c r="AQ204" s="404"/>
      <c r="AR204" s="404"/>
      <c r="AS204" s="404"/>
      <c r="AT204" s="404"/>
      <c r="AU204" s="404"/>
      <c r="AV204" s="404"/>
      <c r="AW204" s="404"/>
      <c r="AX204" s="404"/>
      <c r="AY204" s="404"/>
      <c r="AZ204" s="404"/>
      <c r="BA204" s="404"/>
      <c r="BB204" s="404"/>
      <c r="BC204" s="404"/>
      <c r="BD204" s="404"/>
      <c r="BE204" s="404"/>
      <c r="BF204" s="404"/>
      <c r="BG204" s="404"/>
      <c r="BH204" s="404"/>
      <c r="BI204" s="404"/>
      <c r="BJ204" s="404"/>
      <c r="BK204" s="404"/>
      <c r="BL204" s="404"/>
    </row>
    <row r="205" spans="1:64">
      <c r="A205" s="454"/>
      <c r="B205" s="454"/>
      <c r="C205" s="417" t="s">
        <v>798</v>
      </c>
      <c r="D205" s="408">
        <v>6</v>
      </c>
      <c r="E205" s="408" t="s">
        <v>796</v>
      </c>
      <c r="F205" s="408">
        <f>'[161]Civil-SOR'!$J$333</f>
        <v>317.2</v>
      </c>
      <c r="G205" s="430">
        <v>1</v>
      </c>
      <c r="H205" s="408" t="s">
        <v>797</v>
      </c>
      <c r="I205" s="408">
        <f t="shared" si="22"/>
        <v>1903.1999999999998</v>
      </c>
      <c r="J205" s="400"/>
      <c r="K205" s="401"/>
      <c r="L205" s="401"/>
      <c r="M205" s="404"/>
      <c r="N205" s="404"/>
      <c r="O205" s="404"/>
      <c r="P205" s="404"/>
      <c r="Q205" s="404"/>
      <c r="R205" s="404"/>
      <c r="S205" s="404"/>
      <c r="T205" s="404"/>
      <c r="U205" s="404"/>
      <c r="V205" s="404"/>
      <c r="W205" s="404"/>
      <c r="X205" s="404"/>
      <c r="Y205" s="404"/>
      <c r="Z205" s="404"/>
      <c r="AA205" s="404"/>
      <c r="AB205" s="404"/>
      <c r="AC205" s="404"/>
      <c r="AD205" s="404"/>
      <c r="AE205" s="404"/>
      <c r="AF205" s="404"/>
      <c r="AG205" s="404"/>
      <c r="AH205" s="404"/>
      <c r="AI205" s="404"/>
      <c r="AJ205" s="404"/>
      <c r="AK205" s="404"/>
      <c r="AL205" s="404"/>
      <c r="AM205" s="404"/>
      <c r="AN205" s="404"/>
      <c r="AO205" s="404"/>
      <c r="AP205" s="404"/>
      <c r="AQ205" s="404"/>
      <c r="AR205" s="404"/>
      <c r="AS205" s="404"/>
      <c r="AT205" s="404"/>
      <c r="AU205" s="404"/>
      <c r="AV205" s="404"/>
      <c r="AW205" s="404"/>
      <c r="AX205" s="404"/>
      <c r="AY205" s="404"/>
      <c r="AZ205" s="404"/>
      <c r="BA205" s="404"/>
      <c r="BB205" s="404"/>
      <c r="BC205" s="404"/>
      <c r="BD205" s="404"/>
      <c r="BE205" s="404"/>
      <c r="BF205" s="404"/>
      <c r="BG205" s="404"/>
      <c r="BH205" s="404"/>
      <c r="BI205" s="404"/>
      <c r="BJ205" s="404"/>
      <c r="BK205" s="404"/>
      <c r="BL205" s="404"/>
    </row>
    <row r="206" spans="1:64">
      <c r="A206" s="454"/>
      <c r="B206" s="454"/>
      <c r="C206" s="417" t="s">
        <v>799</v>
      </c>
      <c r="D206" s="408">
        <f>[161]Input!$D$47</f>
        <v>0.4</v>
      </c>
      <c r="E206" s="408"/>
      <c r="F206" s="408">
        <f>$I$205</f>
        <v>1903.1999999999998</v>
      </c>
      <c r="G206" s="430"/>
      <c r="H206" s="408"/>
      <c r="I206" s="408">
        <f t="shared" si="22"/>
        <v>761.28</v>
      </c>
      <c r="J206" s="400"/>
      <c r="K206" s="401"/>
      <c r="L206" s="401"/>
      <c r="M206" s="404"/>
      <c r="N206" s="404"/>
      <c r="O206" s="404"/>
      <c r="P206" s="404"/>
      <c r="Q206" s="404"/>
      <c r="R206" s="404"/>
      <c r="S206" s="404"/>
      <c r="T206" s="404"/>
      <c r="U206" s="404"/>
      <c r="V206" s="404"/>
      <c r="W206" s="404"/>
      <c r="X206" s="404"/>
      <c r="Y206" s="404"/>
      <c r="Z206" s="404"/>
      <c r="AA206" s="404"/>
      <c r="AB206" s="404"/>
      <c r="AC206" s="404"/>
      <c r="AD206" s="404"/>
      <c r="AE206" s="404"/>
      <c r="AF206" s="404"/>
      <c r="AG206" s="404"/>
      <c r="AH206" s="404"/>
      <c r="AI206" s="404"/>
      <c r="AJ206" s="404"/>
      <c r="AK206" s="404"/>
      <c r="AL206" s="404"/>
      <c r="AM206" s="404"/>
      <c r="AN206" s="404"/>
      <c r="AO206" s="404"/>
      <c r="AP206" s="404"/>
      <c r="AQ206" s="404"/>
      <c r="AR206" s="404"/>
      <c r="AS206" s="404"/>
      <c r="AT206" s="404"/>
      <c r="AU206" s="404"/>
      <c r="AV206" s="404"/>
      <c r="AW206" s="404"/>
      <c r="AX206" s="404"/>
      <c r="AY206" s="404"/>
      <c r="AZ206" s="404"/>
      <c r="BA206" s="404"/>
      <c r="BB206" s="404"/>
      <c r="BC206" s="404"/>
      <c r="BD206" s="404"/>
      <c r="BE206" s="404"/>
      <c r="BF206" s="404"/>
      <c r="BG206" s="404"/>
      <c r="BH206" s="404"/>
      <c r="BI206" s="404"/>
      <c r="BJ206" s="404"/>
      <c r="BK206" s="404"/>
      <c r="BL206" s="404"/>
    </row>
    <row r="207" spans="1:64">
      <c r="A207" s="454"/>
      <c r="B207" s="454"/>
      <c r="C207" s="417" t="s">
        <v>800</v>
      </c>
      <c r="D207" s="408"/>
      <c r="E207" s="408"/>
      <c r="F207" s="408"/>
      <c r="G207" s="408"/>
      <c r="H207" s="408"/>
      <c r="I207" s="408">
        <f>SUM(I201:I206)</f>
        <v>27835.639999999996</v>
      </c>
      <c r="J207" s="400"/>
      <c r="K207" s="401"/>
      <c r="L207" s="401"/>
      <c r="M207" s="404"/>
      <c r="N207" s="404"/>
      <c r="O207" s="404"/>
      <c r="P207" s="404"/>
      <c r="Q207" s="404"/>
      <c r="R207" s="404"/>
      <c r="S207" s="404"/>
      <c r="T207" s="404"/>
      <c r="U207" s="404"/>
      <c r="V207" s="404"/>
      <c r="W207" s="404"/>
      <c r="X207" s="404"/>
      <c r="Y207" s="404"/>
      <c r="Z207" s="404"/>
      <c r="AA207" s="404"/>
      <c r="AB207" s="404"/>
      <c r="AC207" s="404"/>
      <c r="AD207" s="404"/>
      <c r="AE207" s="404"/>
      <c r="AF207" s="404"/>
      <c r="AG207" s="404"/>
      <c r="AH207" s="404"/>
      <c r="AI207" s="404"/>
      <c r="AJ207" s="404"/>
      <c r="AK207" s="404"/>
      <c r="AL207" s="404"/>
      <c r="AM207" s="404"/>
      <c r="AN207" s="404"/>
      <c r="AO207" s="404"/>
      <c r="AP207" s="404"/>
      <c r="AQ207" s="404"/>
      <c r="AR207" s="404"/>
      <c r="AS207" s="404"/>
      <c r="AT207" s="404"/>
      <c r="AU207" s="404"/>
      <c r="AV207" s="404"/>
      <c r="AW207" s="404"/>
      <c r="AX207" s="404"/>
      <c r="AY207" s="404"/>
      <c r="AZ207" s="404"/>
      <c r="BA207" s="404"/>
      <c r="BB207" s="404"/>
      <c r="BC207" s="404"/>
      <c r="BD207" s="404"/>
      <c r="BE207" s="404"/>
      <c r="BF207" s="404"/>
      <c r="BG207" s="404"/>
      <c r="BH207" s="404"/>
      <c r="BI207" s="404"/>
      <c r="BJ207" s="404"/>
      <c r="BK207" s="404"/>
      <c r="BL207" s="404"/>
    </row>
    <row r="208" spans="1:64" ht="13">
      <c r="A208" s="454"/>
      <c r="B208" s="454"/>
      <c r="C208" s="469" t="str">
        <f>[161]Input!$C$48</f>
        <v>Overheads &amp; Contractors Profit @ 13.615%</v>
      </c>
      <c r="D208" s="467">
        <f>[161]Input!$D$48</f>
        <v>0.13614999999999999</v>
      </c>
      <c r="E208" s="408"/>
      <c r="F208" s="408">
        <f>I207</f>
        <v>27835.639999999996</v>
      </c>
      <c r="G208" s="430"/>
      <c r="H208" s="414"/>
      <c r="I208" s="408">
        <f>IF(G208="",D208*F208,(D208*F208/G208))</f>
        <v>3789.8223859999994</v>
      </c>
      <c r="J208" s="400"/>
      <c r="K208" s="401"/>
      <c r="L208" s="401"/>
      <c r="M208" s="404"/>
      <c r="N208" s="404"/>
      <c r="O208" s="404"/>
      <c r="P208" s="404"/>
      <c r="Q208" s="404"/>
      <c r="R208" s="404"/>
      <c r="S208" s="404"/>
      <c r="T208" s="404"/>
      <c r="U208" s="404"/>
      <c r="V208" s="404"/>
      <c r="W208" s="404"/>
      <c r="X208" s="404"/>
      <c r="Y208" s="404"/>
      <c r="Z208" s="404"/>
      <c r="AA208" s="404"/>
      <c r="AB208" s="404"/>
      <c r="AC208" s="404"/>
      <c r="AD208" s="404"/>
      <c r="AE208" s="404"/>
      <c r="AF208" s="404"/>
      <c r="AG208" s="404"/>
      <c r="AH208" s="404"/>
      <c r="AI208" s="404"/>
      <c r="AJ208" s="404"/>
      <c r="AK208" s="404"/>
      <c r="AL208" s="404"/>
      <c r="AM208" s="404"/>
      <c r="AN208" s="404"/>
      <c r="AO208" s="404"/>
      <c r="AP208" s="404"/>
      <c r="AQ208" s="404"/>
      <c r="AR208" s="404"/>
      <c r="AS208" s="404"/>
      <c r="AT208" s="404"/>
      <c r="AU208" s="404"/>
      <c r="AV208" s="404"/>
      <c r="AW208" s="404"/>
      <c r="AX208" s="404"/>
      <c r="AY208" s="404"/>
      <c r="AZ208" s="404"/>
      <c r="BA208" s="404"/>
      <c r="BB208" s="404"/>
      <c r="BC208" s="404"/>
      <c r="BD208" s="404"/>
      <c r="BE208" s="404"/>
      <c r="BF208" s="404"/>
      <c r="BG208" s="404"/>
      <c r="BH208" s="404"/>
      <c r="BI208" s="404"/>
      <c r="BJ208" s="404"/>
      <c r="BK208" s="404"/>
      <c r="BL208" s="404"/>
    </row>
    <row r="209" spans="1:64" ht="13">
      <c r="A209" s="454"/>
      <c r="B209" s="454"/>
      <c r="C209" s="417" t="s">
        <v>801</v>
      </c>
      <c r="D209" s="408"/>
      <c r="E209" s="408"/>
      <c r="F209" s="408"/>
      <c r="G209" s="430"/>
      <c r="H209" s="414"/>
      <c r="I209" s="408">
        <f>SUM(I207:I208)</f>
        <v>31625.462385999996</v>
      </c>
      <c r="J209" s="400"/>
      <c r="K209" s="401"/>
      <c r="L209" s="401"/>
      <c r="M209" s="404"/>
      <c r="N209" s="404"/>
      <c r="O209" s="404"/>
      <c r="P209" s="404"/>
      <c r="Q209" s="404"/>
      <c r="R209" s="404"/>
      <c r="S209" s="404"/>
      <c r="T209" s="404"/>
      <c r="U209" s="404"/>
      <c r="V209" s="404"/>
      <c r="W209" s="404"/>
      <c r="X209" s="404"/>
      <c r="Y209" s="404"/>
      <c r="Z209" s="404"/>
      <c r="AA209" s="404"/>
      <c r="AB209" s="404"/>
      <c r="AC209" s="404"/>
      <c r="AD209" s="404"/>
      <c r="AE209" s="404"/>
      <c r="AF209" s="404"/>
      <c r="AG209" s="404"/>
      <c r="AH209" s="404"/>
      <c r="AI209" s="404"/>
      <c r="AJ209" s="404"/>
      <c r="AK209" s="404"/>
      <c r="AL209" s="404"/>
      <c r="AM209" s="404"/>
      <c r="AN209" s="404"/>
      <c r="AO209" s="404"/>
      <c r="AP209" s="404"/>
      <c r="AQ209" s="404"/>
      <c r="AR209" s="404"/>
      <c r="AS209" s="404"/>
      <c r="AT209" s="404"/>
      <c r="AU209" s="404"/>
      <c r="AV209" s="404"/>
      <c r="AW209" s="404"/>
      <c r="AX209" s="404"/>
      <c r="AY209" s="404"/>
      <c r="AZ209" s="404"/>
      <c r="BA209" s="404"/>
      <c r="BB209" s="404"/>
      <c r="BC209" s="404"/>
      <c r="BD209" s="404"/>
      <c r="BE209" s="404"/>
      <c r="BF209" s="404"/>
      <c r="BG209" s="404"/>
      <c r="BH209" s="404"/>
      <c r="BI209" s="404"/>
      <c r="BJ209" s="404"/>
      <c r="BK209" s="404"/>
      <c r="BL209" s="404"/>
    </row>
    <row r="210" spans="1:64" ht="13">
      <c r="A210" s="454"/>
      <c r="B210" s="454"/>
      <c r="C210" s="427" t="s">
        <v>802</v>
      </c>
      <c r="D210" s="408"/>
      <c r="E210" s="408"/>
      <c r="F210" s="408"/>
      <c r="G210" s="430"/>
      <c r="H210" s="408" t="s">
        <v>725</v>
      </c>
      <c r="I210" s="408">
        <f>I209/D199</f>
        <v>131.77275994166664</v>
      </c>
      <c r="J210" s="400"/>
      <c r="K210" s="401"/>
      <c r="L210" s="401"/>
      <c r="M210" s="404"/>
      <c r="N210" s="404"/>
      <c r="O210" s="404"/>
      <c r="P210" s="404"/>
      <c r="Q210" s="404"/>
      <c r="R210" s="404"/>
      <c r="S210" s="404"/>
      <c r="T210" s="404"/>
      <c r="U210" s="404"/>
      <c r="V210" s="404"/>
      <c r="W210" s="404"/>
      <c r="X210" s="404"/>
      <c r="Y210" s="404"/>
      <c r="Z210" s="404"/>
      <c r="AA210" s="404"/>
      <c r="AB210" s="404"/>
      <c r="AC210" s="404"/>
      <c r="AD210" s="404"/>
      <c r="AE210" s="404"/>
      <c r="AF210" s="404"/>
      <c r="AG210" s="404"/>
      <c r="AH210" s="404"/>
      <c r="AI210" s="404"/>
      <c r="AJ210" s="404"/>
      <c r="AK210" s="404"/>
      <c r="AL210" s="404"/>
      <c r="AM210" s="404"/>
      <c r="AN210" s="404"/>
      <c r="AO210" s="404"/>
      <c r="AP210" s="404"/>
      <c r="AQ210" s="404"/>
      <c r="AR210" s="404"/>
      <c r="AS210" s="404"/>
      <c r="AT210" s="404"/>
      <c r="AU210" s="404"/>
      <c r="AV210" s="404"/>
      <c r="AW210" s="404"/>
      <c r="AX210" s="404"/>
      <c r="AY210" s="404"/>
      <c r="AZ210" s="404"/>
      <c r="BA210" s="404"/>
      <c r="BB210" s="404"/>
      <c r="BC210" s="404"/>
      <c r="BD210" s="404"/>
      <c r="BE210" s="404"/>
      <c r="BF210" s="404"/>
      <c r="BG210" s="404"/>
      <c r="BH210" s="404"/>
      <c r="BI210" s="404"/>
      <c r="BJ210" s="404"/>
      <c r="BK210" s="404"/>
      <c r="BL210" s="404"/>
    </row>
    <row r="211" spans="1:64" ht="13">
      <c r="A211" s="454"/>
      <c r="B211" s="454"/>
      <c r="C211" s="427"/>
      <c r="D211" s="408"/>
      <c r="E211" s="408"/>
      <c r="F211" s="408"/>
      <c r="G211" s="430"/>
      <c r="H211" s="407" t="s">
        <v>726</v>
      </c>
      <c r="I211" s="414">
        <f>ROUND(I210,0)</f>
        <v>132</v>
      </c>
      <c r="J211" s="400"/>
      <c r="K211" s="401"/>
      <c r="L211" s="401"/>
      <c r="M211" s="404"/>
      <c r="N211" s="404"/>
      <c r="O211" s="404"/>
      <c r="P211" s="404"/>
      <c r="Q211" s="404"/>
      <c r="R211" s="404"/>
      <c r="S211" s="404"/>
      <c r="T211" s="404"/>
      <c r="U211" s="404"/>
      <c r="V211" s="404"/>
      <c r="W211" s="404"/>
      <c r="X211" s="404"/>
      <c r="Y211" s="404"/>
      <c r="Z211" s="404"/>
      <c r="AA211" s="404"/>
      <c r="AB211" s="404"/>
      <c r="AC211" s="404"/>
      <c r="AD211" s="404"/>
      <c r="AE211" s="404"/>
      <c r="AF211" s="404"/>
      <c r="AG211" s="404"/>
      <c r="AH211" s="404"/>
      <c r="AI211" s="404"/>
      <c r="AJ211" s="404"/>
      <c r="AK211" s="404"/>
      <c r="AL211" s="404"/>
      <c r="AM211" s="404"/>
      <c r="AN211" s="404"/>
      <c r="AO211" s="404"/>
      <c r="AP211" s="404"/>
      <c r="AQ211" s="404"/>
      <c r="AR211" s="404"/>
      <c r="AS211" s="404"/>
      <c r="AT211" s="404"/>
      <c r="AU211" s="404"/>
      <c r="AV211" s="404"/>
      <c r="AW211" s="404"/>
      <c r="AX211" s="404"/>
      <c r="AY211" s="404"/>
      <c r="AZ211" s="404"/>
      <c r="BA211" s="404"/>
      <c r="BB211" s="404"/>
      <c r="BC211" s="404"/>
      <c r="BD211" s="404"/>
      <c r="BE211" s="404"/>
      <c r="BF211" s="404"/>
      <c r="BG211" s="404"/>
      <c r="BH211" s="404"/>
      <c r="BI211" s="404"/>
      <c r="BJ211" s="404"/>
      <c r="BK211" s="404"/>
      <c r="BL211" s="404"/>
    </row>
    <row r="212" spans="1:64" ht="13">
      <c r="A212" s="454"/>
      <c r="B212" s="454"/>
      <c r="C212" s="427"/>
      <c r="D212" s="408"/>
      <c r="E212" s="408"/>
      <c r="F212" s="408"/>
      <c r="G212" s="430"/>
      <c r="H212" s="415"/>
      <c r="I212" s="414"/>
      <c r="J212" s="400"/>
      <c r="K212" s="401"/>
      <c r="L212" s="401"/>
    </row>
    <row r="213" spans="1:64" ht="60.4" customHeight="1">
      <c r="A213" s="430">
        <f>A195+1</f>
        <v>6</v>
      </c>
      <c r="B213" s="454"/>
      <c r="C213" s="1276" t="s">
        <v>803</v>
      </c>
      <c r="D213" s="1276"/>
      <c r="E213" s="1276"/>
      <c r="F213" s="1276"/>
      <c r="G213" s="1276"/>
      <c r="H213" s="1276"/>
      <c r="I213" s="407"/>
      <c r="J213" s="400"/>
      <c r="K213" s="401"/>
      <c r="L213" s="401"/>
      <c r="M213" s="404"/>
      <c r="N213" s="404"/>
      <c r="O213" s="404"/>
      <c r="P213" s="404"/>
      <c r="Q213" s="404"/>
      <c r="R213" s="404"/>
      <c r="S213" s="404"/>
      <c r="T213" s="404"/>
      <c r="U213" s="404"/>
      <c r="V213" s="404"/>
      <c r="W213" s="404"/>
      <c r="X213" s="404"/>
      <c r="Y213" s="404"/>
      <c r="Z213" s="404"/>
      <c r="AA213" s="404"/>
      <c r="AB213" s="404"/>
      <c r="AC213" s="404"/>
      <c r="AD213" s="404"/>
      <c r="AE213" s="404"/>
      <c r="AF213" s="404"/>
      <c r="AG213" s="404"/>
      <c r="AH213" s="404"/>
      <c r="AI213" s="404"/>
      <c r="AJ213" s="404"/>
      <c r="AK213" s="404"/>
      <c r="AL213" s="404"/>
      <c r="AM213" s="404"/>
      <c r="AN213" s="404"/>
      <c r="AO213" s="404"/>
      <c r="AP213" s="404"/>
      <c r="AQ213" s="404"/>
      <c r="AR213" s="404"/>
      <c r="AS213" s="404"/>
      <c r="AT213" s="404"/>
      <c r="AU213" s="404"/>
      <c r="AV213" s="404"/>
      <c r="AW213" s="404"/>
      <c r="AX213" s="404"/>
      <c r="AY213" s="404"/>
      <c r="AZ213" s="404"/>
      <c r="BA213" s="404"/>
      <c r="BB213" s="404"/>
      <c r="BC213" s="404"/>
      <c r="BD213" s="404"/>
      <c r="BE213" s="404"/>
      <c r="BF213" s="404"/>
      <c r="BG213" s="404"/>
      <c r="BH213" s="404"/>
      <c r="BI213" s="404"/>
      <c r="BJ213" s="404"/>
      <c r="BK213" s="404"/>
      <c r="BL213" s="404"/>
    </row>
    <row r="214" spans="1:64" ht="13">
      <c r="A214" s="454"/>
      <c r="B214" s="454"/>
      <c r="C214" s="455" t="s">
        <v>804</v>
      </c>
      <c r="D214" s="426"/>
      <c r="E214" s="426"/>
      <c r="F214" s="408"/>
      <c r="G214" s="430"/>
      <c r="H214" s="456"/>
      <c r="I214" s="408"/>
      <c r="J214" s="400"/>
      <c r="K214" s="401"/>
      <c r="L214" s="401"/>
      <c r="M214" s="404"/>
      <c r="N214" s="404"/>
      <c r="O214" s="404"/>
      <c r="P214" s="404"/>
      <c r="Q214" s="404"/>
      <c r="R214" s="404"/>
      <c r="S214" s="404"/>
      <c r="T214" s="404"/>
      <c r="U214" s="404"/>
      <c r="V214" s="404"/>
      <c r="W214" s="404"/>
      <c r="X214" s="404"/>
      <c r="Y214" s="404"/>
      <c r="Z214" s="404"/>
      <c r="AA214" s="404"/>
      <c r="AB214" s="404"/>
      <c r="AC214" s="404"/>
      <c r="AD214" s="404"/>
      <c r="AE214" s="404"/>
      <c r="AF214" s="404"/>
      <c r="AG214" s="404"/>
      <c r="AH214" s="404"/>
      <c r="AI214" s="404"/>
      <c r="AJ214" s="404"/>
      <c r="AK214" s="404"/>
      <c r="AL214" s="404"/>
      <c r="AM214" s="404"/>
      <c r="AN214" s="404"/>
      <c r="AO214" s="404"/>
      <c r="AP214" s="404"/>
      <c r="AQ214" s="404"/>
      <c r="AR214" s="404"/>
      <c r="AS214" s="404"/>
      <c r="AT214" s="404"/>
      <c r="AU214" s="404"/>
      <c r="AV214" s="404"/>
      <c r="AW214" s="404"/>
      <c r="AX214" s="404"/>
      <c r="AY214" s="404"/>
      <c r="AZ214" s="404"/>
      <c r="BA214" s="404"/>
      <c r="BB214" s="404"/>
      <c r="BC214" s="404"/>
      <c r="BD214" s="404"/>
      <c r="BE214" s="404"/>
      <c r="BF214" s="404"/>
      <c r="BG214" s="404"/>
      <c r="BH214" s="404"/>
      <c r="BI214" s="404"/>
      <c r="BJ214" s="404"/>
      <c r="BK214" s="404"/>
      <c r="BL214" s="404"/>
    </row>
    <row r="215" spans="1:64" ht="12.75" customHeight="1">
      <c r="A215" s="454"/>
      <c r="B215" s="454"/>
      <c r="C215" s="1294" t="s">
        <v>805</v>
      </c>
      <c r="D215" s="1294"/>
      <c r="E215" s="1294"/>
      <c r="F215" s="408"/>
      <c r="G215" s="430"/>
      <c r="H215" s="456"/>
      <c r="I215" s="408"/>
      <c r="J215" s="400"/>
      <c r="K215" s="401"/>
      <c r="L215" s="401"/>
      <c r="M215" s="404"/>
      <c r="N215" s="404"/>
      <c r="O215" s="404"/>
      <c r="P215" s="404"/>
      <c r="Q215" s="404"/>
      <c r="R215" s="404"/>
      <c r="S215" s="404"/>
      <c r="T215" s="404"/>
      <c r="U215" s="404"/>
      <c r="V215" s="404"/>
      <c r="W215" s="404"/>
      <c r="X215" s="404"/>
      <c r="Y215" s="404"/>
      <c r="Z215" s="404"/>
      <c r="AA215" s="404"/>
      <c r="AB215" s="404"/>
      <c r="AC215" s="404"/>
      <c r="AD215" s="404"/>
      <c r="AE215" s="404"/>
      <c r="AF215" s="404"/>
      <c r="AG215" s="404"/>
      <c r="AH215" s="404"/>
      <c r="AI215" s="404"/>
      <c r="AJ215" s="404"/>
      <c r="AK215" s="404"/>
      <c r="AL215" s="404"/>
      <c r="AM215" s="404"/>
      <c r="AN215" s="404"/>
      <c r="AO215" s="404"/>
      <c r="AP215" s="404"/>
      <c r="AQ215" s="404"/>
      <c r="AR215" s="404"/>
      <c r="AS215" s="404"/>
      <c r="AT215" s="404"/>
      <c r="AU215" s="404"/>
      <c r="AV215" s="404"/>
      <c r="AW215" s="404"/>
      <c r="AX215" s="404"/>
      <c r="AY215" s="404"/>
      <c r="AZ215" s="404"/>
      <c r="BA215" s="404"/>
      <c r="BB215" s="404"/>
      <c r="BC215" s="404"/>
      <c r="BD215" s="404"/>
      <c r="BE215" s="404"/>
      <c r="BF215" s="404"/>
      <c r="BG215" s="404"/>
      <c r="BH215" s="404"/>
      <c r="BI215" s="404"/>
      <c r="BJ215" s="404"/>
      <c r="BK215" s="404"/>
      <c r="BL215" s="404"/>
    </row>
    <row r="216" spans="1:64" ht="13">
      <c r="A216" s="454"/>
      <c r="B216" s="454"/>
      <c r="C216" s="427" t="s">
        <v>779</v>
      </c>
      <c r="D216" s="408"/>
      <c r="E216" s="408"/>
      <c r="F216" s="408"/>
      <c r="G216" s="430"/>
      <c r="H216" s="456" t="str">
        <f>IF(E216="","",IF(E216="No.","Each",IF(E216="Nos.","Each",E216)))</f>
        <v/>
      </c>
      <c r="I216" s="408"/>
      <c r="J216" s="400"/>
      <c r="K216" s="401"/>
      <c r="L216" s="401"/>
      <c r="M216" s="404"/>
      <c r="N216" s="404"/>
      <c r="O216" s="404"/>
      <c r="P216" s="404"/>
      <c r="Q216" s="404"/>
      <c r="R216" s="404"/>
      <c r="S216" s="404"/>
      <c r="T216" s="404"/>
      <c r="U216" s="404"/>
      <c r="V216" s="404"/>
      <c r="W216" s="404"/>
      <c r="X216" s="404"/>
      <c r="Y216" s="404"/>
      <c r="Z216" s="404"/>
      <c r="AA216" s="404"/>
      <c r="AB216" s="404"/>
      <c r="AC216" s="404"/>
      <c r="AD216" s="404"/>
      <c r="AE216" s="404"/>
      <c r="AF216" s="404"/>
      <c r="AG216" s="404"/>
      <c r="AH216" s="404"/>
      <c r="AI216" s="404"/>
      <c r="AJ216" s="404"/>
      <c r="AK216" s="404"/>
      <c r="AL216" s="404"/>
      <c r="AM216" s="404"/>
      <c r="AN216" s="404"/>
      <c r="AO216" s="404"/>
      <c r="AP216" s="404"/>
      <c r="AQ216" s="404"/>
      <c r="AR216" s="404"/>
      <c r="AS216" s="404"/>
      <c r="AT216" s="404"/>
      <c r="AU216" s="404"/>
      <c r="AV216" s="404"/>
      <c r="AW216" s="404"/>
      <c r="AX216" s="404"/>
      <c r="AY216" s="404"/>
      <c r="AZ216" s="404"/>
      <c r="BA216" s="404"/>
      <c r="BB216" s="404"/>
      <c r="BC216" s="404"/>
      <c r="BD216" s="404"/>
      <c r="BE216" s="404"/>
      <c r="BF216" s="404"/>
      <c r="BG216" s="404"/>
      <c r="BH216" s="404"/>
      <c r="BI216" s="404"/>
      <c r="BJ216" s="404"/>
      <c r="BK216" s="404"/>
      <c r="BL216" s="404"/>
    </row>
    <row r="217" spans="1:64" ht="13">
      <c r="A217" s="458"/>
      <c r="B217" s="458"/>
      <c r="C217" s="427" t="s">
        <v>806</v>
      </c>
      <c r="D217" s="470"/>
      <c r="E217" s="471"/>
      <c r="F217" s="459"/>
      <c r="G217" s="431"/>
      <c r="H217" s="406"/>
      <c r="I217" s="459"/>
      <c r="J217" s="462"/>
      <c r="K217" s="463"/>
      <c r="L217" s="463"/>
      <c r="M217" s="464"/>
      <c r="N217" s="464"/>
      <c r="O217" s="464"/>
      <c r="P217" s="464"/>
      <c r="Q217" s="464"/>
      <c r="R217" s="464"/>
      <c r="S217" s="464"/>
      <c r="T217" s="464"/>
      <c r="U217" s="464"/>
      <c r="V217" s="464"/>
      <c r="W217" s="464"/>
      <c r="X217" s="464"/>
      <c r="Y217" s="464"/>
      <c r="Z217" s="464"/>
      <c r="AA217" s="464"/>
      <c r="AB217" s="464"/>
      <c r="AC217" s="464"/>
      <c r="AD217" s="464"/>
      <c r="AE217" s="464"/>
      <c r="AF217" s="464"/>
      <c r="AG217" s="464"/>
      <c r="AH217" s="464"/>
      <c r="AI217" s="464"/>
      <c r="AJ217" s="464"/>
      <c r="AK217" s="464"/>
      <c r="AL217" s="464"/>
      <c r="AM217" s="464"/>
      <c r="AN217" s="464"/>
      <c r="AO217" s="464"/>
      <c r="AP217" s="464"/>
      <c r="AQ217" s="464"/>
      <c r="AR217" s="464"/>
      <c r="AS217" s="464"/>
      <c r="AT217" s="464"/>
      <c r="AU217" s="464"/>
      <c r="AV217" s="464"/>
      <c r="AW217" s="464"/>
      <c r="AX217" s="464"/>
      <c r="AY217" s="464"/>
      <c r="AZ217" s="464"/>
      <c r="BA217" s="464"/>
      <c r="BB217" s="464"/>
      <c r="BC217" s="464"/>
      <c r="BD217" s="464"/>
      <c r="BE217" s="464"/>
      <c r="BF217" s="464"/>
      <c r="BG217" s="464"/>
      <c r="BH217" s="464"/>
      <c r="BI217" s="464"/>
      <c r="BJ217" s="464"/>
      <c r="BK217" s="464"/>
      <c r="BL217" s="464"/>
    </row>
    <row r="218" spans="1:64" ht="13">
      <c r="A218" s="458"/>
      <c r="B218" s="458"/>
      <c r="C218" s="427" t="s">
        <v>781</v>
      </c>
      <c r="D218" s="459"/>
      <c r="E218" s="459"/>
      <c r="F218" s="459"/>
      <c r="G218" s="460"/>
      <c r="H218" s="461"/>
      <c r="I218" s="461"/>
      <c r="J218" s="462"/>
      <c r="K218" s="463"/>
      <c r="L218" s="463"/>
      <c r="M218" s="464"/>
      <c r="N218" s="464"/>
      <c r="O218" s="464"/>
      <c r="P218" s="464"/>
      <c r="Q218" s="464"/>
      <c r="R218" s="464"/>
      <c r="S218" s="464"/>
      <c r="T218" s="464"/>
      <c r="U218" s="464"/>
      <c r="V218" s="464"/>
      <c r="W218" s="464"/>
      <c r="X218" s="464"/>
      <c r="Y218" s="464"/>
      <c r="Z218" s="464"/>
      <c r="AA218" s="464"/>
      <c r="AB218" s="464"/>
      <c r="AC218" s="464"/>
      <c r="AD218" s="464"/>
      <c r="AE218" s="464"/>
      <c r="AF218" s="464"/>
      <c r="AG218" s="464"/>
      <c r="AH218" s="464"/>
      <c r="AI218" s="464"/>
      <c r="AJ218" s="464"/>
      <c r="AK218" s="464"/>
      <c r="AL218" s="464"/>
      <c r="AM218" s="464"/>
      <c r="AN218" s="464"/>
      <c r="AO218" s="464"/>
      <c r="AP218" s="464"/>
      <c r="AQ218" s="464"/>
      <c r="AR218" s="464"/>
      <c r="AS218" s="464"/>
      <c r="AT218" s="464"/>
      <c r="AU218" s="464"/>
      <c r="AV218" s="464"/>
      <c r="AW218" s="464"/>
      <c r="AX218" s="464"/>
      <c r="AY218" s="464"/>
      <c r="AZ218" s="464"/>
      <c r="BA218" s="464"/>
      <c r="BB218" s="464"/>
      <c r="BC218" s="464"/>
      <c r="BD218" s="464"/>
      <c r="BE218" s="464"/>
      <c r="BF218" s="464"/>
      <c r="BG218" s="464"/>
      <c r="BH218" s="464"/>
      <c r="BI218" s="464"/>
      <c r="BJ218" s="464"/>
      <c r="BK218" s="464"/>
      <c r="BL218" s="464"/>
    </row>
    <row r="219" spans="1:64">
      <c r="A219" s="458"/>
      <c r="B219" s="458"/>
      <c r="C219" s="417" t="s">
        <v>782</v>
      </c>
      <c r="D219" s="459">
        <v>8.32</v>
      </c>
      <c r="E219" s="459" t="s">
        <v>375</v>
      </c>
      <c r="F219" s="459">
        <f>'[161]Civil-SOR'!$G$307</f>
        <v>520</v>
      </c>
      <c r="G219" s="460">
        <v>1</v>
      </c>
      <c r="H219" s="459" t="s">
        <v>678</v>
      </c>
      <c r="I219" s="459">
        <f t="shared" ref="I219:I220" si="23">IF(G219="",D219*F219,(D219*F219/G219))</f>
        <v>4326.4000000000005</v>
      </c>
      <c r="J219" s="462"/>
      <c r="K219" s="463"/>
      <c r="L219" s="463"/>
      <c r="M219" s="464"/>
      <c r="N219" s="464"/>
      <c r="O219" s="464"/>
      <c r="P219" s="464"/>
      <c r="Q219" s="464"/>
      <c r="R219" s="464"/>
      <c r="S219" s="464"/>
      <c r="T219" s="464"/>
      <c r="U219" s="464"/>
      <c r="V219" s="464"/>
      <c r="W219" s="464"/>
      <c r="X219" s="464"/>
      <c r="Y219" s="464"/>
      <c r="Z219" s="464"/>
      <c r="AA219" s="464"/>
      <c r="AB219" s="464"/>
      <c r="AC219" s="464"/>
      <c r="AD219" s="464"/>
      <c r="AE219" s="464"/>
      <c r="AF219" s="464"/>
      <c r="AG219" s="464"/>
      <c r="AH219" s="464"/>
      <c r="AI219" s="464"/>
      <c r="AJ219" s="464"/>
      <c r="AK219" s="464"/>
      <c r="AL219" s="464"/>
      <c r="AM219" s="464"/>
      <c r="AN219" s="464"/>
      <c r="AO219" s="464"/>
      <c r="AP219" s="464"/>
      <c r="AQ219" s="464"/>
      <c r="AR219" s="464"/>
      <c r="AS219" s="464"/>
      <c r="AT219" s="464"/>
      <c r="AU219" s="464"/>
      <c r="AV219" s="464"/>
      <c r="AW219" s="464"/>
      <c r="AX219" s="464"/>
      <c r="AY219" s="464"/>
      <c r="AZ219" s="464"/>
      <c r="BA219" s="464"/>
      <c r="BB219" s="464"/>
      <c r="BC219" s="464"/>
      <c r="BD219" s="464"/>
      <c r="BE219" s="464"/>
      <c r="BF219" s="464"/>
      <c r="BG219" s="464"/>
      <c r="BH219" s="464"/>
      <c r="BI219" s="464"/>
      <c r="BJ219" s="464"/>
      <c r="BK219" s="464"/>
      <c r="BL219" s="464"/>
    </row>
    <row r="220" spans="1:64">
      <c r="A220" s="458"/>
      <c r="B220" s="458"/>
      <c r="C220" s="417" t="str">
        <f>[161]Input!$C$47</f>
        <v>Add for MA @ 40%</v>
      </c>
      <c r="D220" s="459">
        <f>[161]Input!$D$47</f>
        <v>0.4</v>
      </c>
      <c r="E220" s="459"/>
      <c r="F220" s="459">
        <f>I219</f>
        <v>4326.4000000000005</v>
      </c>
      <c r="G220" s="460"/>
      <c r="H220" s="459"/>
      <c r="I220" s="459">
        <f t="shared" si="23"/>
        <v>1730.5600000000004</v>
      </c>
      <c r="J220" s="462"/>
      <c r="K220" s="463"/>
      <c r="L220" s="463"/>
      <c r="M220" s="464"/>
      <c r="N220" s="464"/>
      <c r="O220" s="464"/>
      <c r="P220" s="464"/>
      <c r="Q220" s="464"/>
      <c r="R220" s="464"/>
      <c r="S220" s="464"/>
      <c r="T220" s="464"/>
      <c r="U220" s="464"/>
      <c r="V220" s="464"/>
      <c r="W220" s="464"/>
      <c r="X220" s="464"/>
      <c r="Y220" s="464"/>
      <c r="Z220" s="464"/>
      <c r="AA220" s="464"/>
      <c r="AB220" s="464"/>
      <c r="AC220" s="464"/>
      <c r="AD220" s="464"/>
      <c r="AE220" s="464"/>
      <c r="AF220" s="464"/>
      <c r="AG220" s="464"/>
      <c r="AH220" s="464"/>
      <c r="AI220" s="464"/>
      <c r="AJ220" s="464"/>
      <c r="AK220" s="464"/>
      <c r="AL220" s="464"/>
      <c r="AM220" s="464"/>
      <c r="AN220" s="464"/>
      <c r="AO220" s="464"/>
      <c r="AP220" s="464"/>
      <c r="AQ220" s="464"/>
      <c r="AR220" s="464"/>
      <c r="AS220" s="464"/>
      <c r="AT220" s="464"/>
      <c r="AU220" s="464"/>
      <c r="AV220" s="464"/>
      <c r="AW220" s="464"/>
      <c r="AX220" s="464"/>
      <c r="AY220" s="464"/>
      <c r="AZ220" s="464"/>
      <c r="BA220" s="464"/>
      <c r="BB220" s="464"/>
      <c r="BC220" s="464"/>
      <c r="BD220" s="464"/>
      <c r="BE220" s="464"/>
      <c r="BF220" s="464"/>
      <c r="BG220" s="464"/>
      <c r="BH220" s="464"/>
      <c r="BI220" s="464"/>
      <c r="BJ220" s="464"/>
      <c r="BK220" s="464"/>
      <c r="BL220" s="464"/>
    </row>
    <row r="221" spans="1:64" ht="13">
      <c r="A221" s="458"/>
      <c r="B221" s="458"/>
      <c r="C221" s="427" t="s">
        <v>794</v>
      </c>
      <c r="D221" s="459"/>
      <c r="E221" s="459"/>
      <c r="F221" s="459"/>
      <c r="G221" s="460"/>
      <c r="H221" s="459"/>
      <c r="I221" s="459"/>
      <c r="J221" s="462"/>
      <c r="K221" s="463"/>
      <c r="L221" s="463"/>
      <c r="M221" s="464"/>
      <c r="N221" s="464"/>
      <c r="O221" s="464"/>
      <c r="P221" s="464"/>
      <c r="Q221" s="464"/>
      <c r="R221" s="464"/>
      <c r="S221" s="464"/>
      <c r="T221" s="464"/>
      <c r="U221" s="464"/>
      <c r="V221" s="464"/>
      <c r="W221" s="464"/>
      <c r="X221" s="464"/>
      <c r="Y221" s="464"/>
      <c r="Z221" s="464"/>
      <c r="AA221" s="464"/>
      <c r="AB221" s="464"/>
      <c r="AC221" s="464"/>
      <c r="AD221" s="464"/>
      <c r="AE221" s="464"/>
      <c r="AF221" s="464"/>
      <c r="AG221" s="464"/>
      <c r="AH221" s="464"/>
      <c r="AI221" s="464"/>
      <c r="AJ221" s="464"/>
      <c r="AK221" s="464"/>
      <c r="AL221" s="464"/>
      <c r="AM221" s="464"/>
      <c r="AN221" s="464"/>
      <c r="AO221" s="464"/>
      <c r="AP221" s="464"/>
      <c r="AQ221" s="464"/>
      <c r="AR221" s="464"/>
      <c r="AS221" s="464"/>
      <c r="AT221" s="464"/>
      <c r="AU221" s="464"/>
      <c r="AV221" s="464"/>
      <c r="AW221" s="464"/>
      <c r="AX221" s="464"/>
      <c r="AY221" s="464"/>
      <c r="AZ221" s="464"/>
      <c r="BA221" s="464"/>
      <c r="BB221" s="464"/>
      <c r="BC221" s="464"/>
      <c r="BD221" s="464"/>
      <c r="BE221" s="464"/>
      <c r="BF221" s="464"/>
      <c r="BG221" s="464"/>
      <c r="BH221" s="464"/>
      <c r="BI221" s="464"/>
      <c r="BJ221" s="464"/>
      <c r="BK221" s="464"/>
      <c r="BL221" s="464"/>
    </row>
    <row r="222" spans="1:64" ht="25">
      <c r="A222" s="458"/>
      <c r="B222" s="458"/>
      <c r="C222" s="435" t="s">
        <v>795</v>
      </c>
      <c r="D222" s="459">
        <v>6</v>
      </c>
      <c r="E222" s="459" t="s">
        <v>796</v>
      </c>
      <c r="F222" s="459">
        <f>'[161]Civil-SOR'!$G$333</f>
        <v>3185.7</v>
      </c>
      <c r="G222" s="460">
        <v>1</v>
      </c>
      <c r="H222" s="459" t="s">
        <v>797</v>
      </c>
      <c r="I222" s="459">
        <f t="shared" ref="I222:I224" si="24">IF(G222="",D222*F222,(D222*F222/G222))</f>
        <v>19114.199999999997</v>
      </c>
      <c r="J222" s="462"/>
      <c r="K222" s="463"/>
      <c r="L222" s="463"/>
      <c r="M222" s="464"/>
      <c r="N222" s="464"/>
      <c r="O222" s="464"/>
      <c r="P222" s="464"/>
      <c r="Q222" s="464"/>
      <c r="R222" s="464"/>
      <c r="S222" s="464"/>
      <c r="T222" s="464"/>
      <c r="U222" s="464"/>
      <c r="V222" s="464"/>
      <c r="W222" s="464"/>
      <c r="X222" s="464"/>
      <c r="Y222" s="464"/>
      <c r="Z222" s="464"/>
      <c r="AA222" s="464"/>
      <c r="AB222" s="464"/>
      <c r="AC222" s="464"/>
      <c r="AD222" s="464"/>
      <c r="AE222" s="464"/>
      <c r="AF222" s="464"/>
      <c r="AG222" s="464"/>
      <c r="AH222" s="464"/>
      <c r="AI222" s="464"/>
      <c r="AJ222" s="464"/>
      <c r="AK222" s="464"/>
      <c r="AL222" s="464"/>
      <c r="AM222" s="464"/>
      <c r="AN222" s="464"/>
      <c r="AO222" s="464"/>
      <c r="AP222" s="464"/>
      <c r="AQ222" s="464"/>
      <c r="AR222" s="464"/>
      <c r="AS222" s="464"/>
      <c r="AT222" s="464"/>
      <c r="AU222" s="464"/>
      <c r="AV222" s="464"/>
      <c r="AW222" s="464"/>
      <c r="AX222" s="464"/>
      <c r="AY222" s="464"/>
      <c r="AZ222" s="464"/>
      <c r="BA222" s="464"/>
      <c r="BB222" s="464"/>
      <c r="BC222" s="464"/>
      <c r="BD222" s="464"/>
      <c r="BE222" s="464"/>
      <c r="BF222" s="464"/>
      <c r="BG222" s="464"/>
      <c r="BH222" s="464"/>
      <c r="BI222" s="464"/>
      <c r="BJ222" s="464"/>
      <c r="BK222" s="464"/>
      <c r="BL222" s="464"/>
    </row>
    <row r="223" spans="1:64">
      <c r="A223" s="458"/>
      <c r="B223" s="458"/>
      <c r="C223" s="417" t="s">
        <v>798</v>
      </c>
      <c r="D223" s="459">
        <v>6</v>
      </c>
      <c r="E223" s="459" t="s">
        <v>796</v>
      </c>
      <c r="F223" s="459">
        <f>'[161]Civil-SOR'!$J$333</f>
        <v>317.2</v>
      </c>
      <c r="G223" s="460">
        <v>1</v>
      </c>
      <c r="H223" s="459" t="s">
        <v>797</v>
      </c>
      <c r="I223" s="459">
        <f t="shared" si="24"/>
        <v>1903.1999999999998</v>
      </c>
      <c r="J223" s="462"/>
      <c r="K223" s="463"/>
      <c r="L223" s="463"/>
      <c r="M223" s="464"/>
      <c r="N223" s="464"/>
      <c r="O223" s="464"/>
      <c r="P223" s="464"/>
      <c r="Q223" s="464"/>
      <c r="R223" s="464"/>
      <c r="S223" s="464"/>
      <c r="T223" s="464"/>
      <c r="U223" s="464"/>
      <c r="V223" s="464"/>
      <c r="W223" s="464"/>
      <c r="X223" s="464"/>
      <c r="Y223" s="464"/>
      <c r="Z223" s="464"/>
      <c r="AA223" s="464"/>
      <c r="AB223" s="464"/>
      <c r="AC223" s="464"/>
      <c r="AD223" s="464"/>
      <c r="AE223" s="464"/>
      <c r="AF223" s="464"/>
      <c r="AG223" s="464"/>
      <c r="AH223" s="464"/>
      <c r="AI223" s="464"/>
      <c r="AJ223" s="464"/>
      <c r="AK223" s="464"/>
      <c r="AL223" s="464"/>
      <c r="AM223" s="464"/>
      <c r="AN223" s="464"/>
      <c r="AO223" s="464"/>
      <c r="AP223" s="464"/>
      <c r="AQ223" s="464"/>
      <c r="AR223" s="464"/>
      <c r="AS223" s="464"/>
      <c r="AT223" s="464"/>
      <c r="AU223" s="464"/>
      <c r="AV223" s="464"/>
      <c r="AW223" s="464"/>
      <c r="AX223" s="464"/>
      <c r="AY223" s="464"/>
      <c r="AZ223" s="464"/>
      <c r="BA223" s="464"/>
      <c r="BB223" s="464"/>
      <c r="BC223" s="464"/>
      <c r="BD223" s="464"/>
      <c r="BE223" s="464"/>
      <c r="BF223" s="464"/>
      <c r="BG223" s="464"/>
      <c r="BH223" s="464"/>
      <c r="BI223" s="464"/>
      <c r="BJ223" s="464"/>
      <c r="BK223" s="464"/>
      <c r="BL223" s="464"/>
    </row>
    <row r="224" spans="1:64">
      <c r="A224" s="458"/>
      <c r="B224" s="458"/>
      <c r="C224" s="417" t="s">
        <v>799</v>
      </c>
      <c r="D224" s="459">
        <f>[161]Input!$D$47</f>
        <v>0.4</v>
      </c>
      <c r="E224" s="459"/>
      <c r="F224" s="459">
        <f>$I$223</f>
        <v>1903.1999999999998</v>
      </c>
      <c r="G224" s="460"/>
      <c r="H224" s="459"/>
      <c r="I224" s="459">
        <f t="shared" si="24"/>
        <v>761.28</v>
      </c>
      <c r="J224" s="462"/>
      <c r="K224" s="463"/>
      <c r="L224" s="463"/>
      <c r="M224" s="464"/>
      <c r="N224" s="464"/>
      <c r="O224" s="464"/>
      <c r="P224" s="464"/>
      <c r="Q224" s="464"/>
      <c r="R224" s="464"/>
      <c r="S224" s="464"/>
      <c r="T224" s="464"/>
      <c r="U224" s="464"/>
      <c r="V224" s="464"/>
      <c r="W224" s="464"/>
      <c r="X224" s="464"/>
      <c r="Y224" s="464"/>
      <c r="Z224" s="464"/>
      <c r="AA224" s="464"/>
      <c r="AB224" s="464"/>
      <c r="AC224" s="464"/>
      <c r="AD224" s="464"/>
      <c r="AE224" s="464"/>
      <c r="AF224" s="464"/>
      <c r="AG224" s="464"/>
      <c r="AH224" s="464"/>
      <c r="AI224" s="464"/>
      <c r="AJ224" s="464"/>
      <c r="AK224" s="464"/>
      <c r="AL224" s="464"/>
      <c r="AM224" s="464"/>
      <c r="AN224" s="464"/>
      <c r="AO224" s="464"/>
      <c r="AP224" s="464"/>
      <c r="AQ224" s="464"/>
      <c r="AR224" s="464"/>
      <c r="AS224" s="464"/>
      <c r="AT224" s="464"/>
      <c r="AU224" s="464"/>
      <c r="AV224" s="464"/>
      <c r="AW224" s="464"/>
      <c r="AX224" s="464"/>
      <c r="AY224" s="464"/>
      <c r="AZ224" s="464"/>
      <c r="BA224" s="464"/>
      <c r="BB224" s="464"/>
      <c r="BC224" s="464"/>
      <c r="BD224" s="464"/>
      <c r="BE224" s="464"/>
      <c r="BF224" s="464"/>
      <c r="BG224" s="464"/>
      <c r="BH224" s="464"/>
      <c r="BI224" s="464"/>
      <c r="BJ224" s="464"/>
      <c r="BK224" s="464"/>
      <c r="BL224" s="464"/>
    </row>
    <row r="225" spans="1:64" ht="13">
      <c r="A225" s="458"/>
      <c r="B225" s="458"/>
      <c r="C225" s="427" t="s">
        <v>800</v>
      </c>
      <c r="D225" s="459"/>
      <c r="E225" s="459"/>
      <c r="F225" s="459"/>
      <c r="G225" s="459"/>
      <c r="H225" s="459"/>
      <c r="I225" s="459">
        <f>SUM(I219:I224)</f>
        <v>27835.639999999996</v>
      </c>
      <c r="J225" s="462"/>
      <c r="K225" s="463"/>
      <c r="L225" s="463"/>
      <c r="M225" s="464"/>
      <c r="N225" s="464"/>
      <c r="O225" s="464"/>
      <c r="P225" s="464"/>
      <c r="Q225" s="464"/>
      <c r="R225" s="464"/>
      <c r="S225" s="464"/>
      <c r="T225" s="464"/>
      <c r="U225" s="464"/>
      <c r="V225" s="464"/>
      <c r="W225" s="464"/>
      <c r="X225" s="464"/>
      <c r="Y225" s="464"/>
      <c r="Z225" s="464"/>
      <c r="AA225" s="464"/>
      <c r="AB225" s="464"/>
      <c r="AC225" s="464"/>
      <c r="AD225" s="464"/>
      <c r="AE225" s="464"/>
      <c r="AF225" s="464"/>
      <c r="AG225" s="464"/>
      <c r="AH225" s="464"/>
      <c r="AI225" s="464"/>
      <c r="AJ225" s="464"/>
      <c r="AK225" s="464"/>
      <c r="AL225" s="464"/>
      <c r="AM225" s="464"/>
      <c r="AN225" s="464"/>
      <c r="AO225" s="464"/>
      <c r="AP225" s="464"/>
      <c r="AQ225" s="464"/>
      <c r="AR225" s="464"/>
      <c r="AS225" s="464"/>
      <c r="AT225" s="464"/>
      <c r="AU225" s="464"/>
      <c r="AV225" s="464"/>
      <c r="AW225" s="464"/>
      <c r="AX225" s="464"/>
      <c r="AY225" s="464"/>
      <c r="AZ225" s="464"/>
      <c r="BA225" s="464"/>
      <c r="BB225" s="464"/>
      <c r="BC225" s="464"/>
      <c r="BD225" s="464"/>
      <c r="BE225" s="464"/>
      <c r="BF225" s="464"/>
      <c r="BG225" s="464"/>
      <c r="BH225" s="464"/>
      <c r="BI225" s="464"/>
      <c r="BJ225" s="464"/>
      <c r="BK225" s="464"/>
      <c r="BL225" s="464"/>
    </row>
    <row r="226" spans="1:64" ht="25">
      <c r="A226" s="458"/>
      <c r="B226" s="458"/>
      <c r="C226" s="435" t="str">
        <f>[161]Input!$C$48</f>
        <v>Overheads &amp; Contractors Profit @ 13.615%</v>
      </c>
      <c r="D226" s="465">
        <f>[161]Input!$D$48</f>
        <v>0.13614999999999999</v>
      </c>
      <c r="E226" s="459"/>
      <c r="F226" s="459">
        <f>I225</f>
        <v>27835.639999999996</v>
      </c>
      <c r="G226" s="460"/>
      <c r="H226" s="461"/>
      <c r="I226" s="459">
        <f>IF(G226="",D226*F226,(D226*F226/G226))</f>
        <v>3789.8223859999994</v>
      </c>
      <c r="J226" s="462"/>
      <c r="K226" s="463"/>
      <c r="L226" s="463"/>
      <c r="M226" s="464"/>
      <c r="N226" s="464"/>
      <c r="O226" s="464"/>
      <c r="P226" s="464"/>
      <c r="Q226" s="464"/>
      <c r="R226" s="464"/>
      <c r="S226" s="464"/>
      <c r="T226" s="464"/>
      <c r="U226" s="464"/>
      <c r="V226" s="464"/>
      <c r="W226" s="464"/>
      <c r="X226" s="464"/>
      <c r="Y226" s="464"/>
      <c r="Z226" s="464"/>
      <c r="AA226" s="464"/>
      <c r="AB226" s="464"/>
      <c r="AC226" s="464"/>
      <c r="AD226" s="464"/>
      <c r="AE226" s="464"/>
      <c r="AF226" s="464"/>
      <c r="AG226" s="464"/>
      <c r="AH226" s="464"/>
      <c r="AI226" s="464"/>
      <c r="AJ226" s="464"/>
      <c r="AK226" s="464"/>
      <c r="AL226" s="464"/>
      <c r="AM226" s="464"/>
      <c r="AN226" s="464"/>
      <c r="AO226" s="464"/>
      <c r="AP226" s="464"/>
      <c r="AQ226" s="464"/>
      <c r="AR226" s="464"/>
      <c r="AS226" s="464"/>
      <c r="AT226" s="464"/>
      <c r="AU226" s="464"/>
      <c r="AV226" s="464"/>
      <c r="AW226" s="464"/>
      <c r="AX226" s="464"/>
      <c r="AY226" s="464"/>
      <c r="AZ226" s="464"/>
      <c r="BA226" s="464"/>
      <c r="BB226" s="464"/>
      <c r="BC226" s="464"/>
      <c r="BD226" s="464"/>
      <c r="BE226" s="464"/>
      <c r="BF226" s="464"/>
      <c r="BG226" s="464"/>
      <c r="BH226" s="464"/>
      <c r="BI226" s="464"/>
      <c r="BJ226" s="464"/>
      <c r="BK226" s="464"/>
      <c r="BL226" s="464"/>
    </row>
    <row r="227" spans="1:64" ht="13">
      <c r="A227" s="458"/>
      <c r="B227" s="458"/>
      <c r="C227" s="417" t="s">
        <v>807</v>
      </c>
      <c r="D227" s="459"/>
      <c r="E227" s="459"/>
      <c r="F227" s="459"/>
      <c r="G227" s="460"/>
      <c r="H227" s="461"/>
      <c r="I227" s="459">
        <f>SUM(I225:I226)</f>
        <v>31625.462385999996</v>
      </c>
      <c r="J227" s="462"/>
      <c r="K227" s="463"/>
      <c r="L227" s="463"/>
      <c r="M227" s="464"/>
      <c r="N227" s="464"/>
      <c r="O227" s="464"/>
      <c r="P227" s="464"/>
      <c r="Q227" s="464"/>
      <c r="R227" s="464"/>
      <c r="S227" s="464"/>
      <c r="T227" s="464"/>
      <c r="U227" s="464"/>
      <c r="V227" s="464"/>
      <c r="W227" s="464"/>
      <c r="X227" s="464"/>
      <c r="Y227" s="464"/>
      <c r="Z227" s="464"/>
      <c r="AA227" s="464"/>
      <c r="AB227" s="464"/>
      <c r="AC227" s="464"/>
      <c r="AD227" s="464"/>
      <c r="AE227" s="464"/>
      <c r="AF227" s="464"/>
      <c r="AG227" s="464"/>
      <c r="AH227" s="464"/>
      <c r="AI227" s="464"/>
      <c r="AJ227" s="464"/>
      <c r="AK227" s="464"/>
      <c r="AL227" s="464"/>
      <c r="AM227" s="464"/>
      <c r="AN227" s="464"/>
      <c r="AO227" s="464"/>
      <c r="AP227" s="464"/>
      <c r="AQ227" s="464"/>
      <c r="AR227" s="464"/>
      <c r="AS227" s="464"/>
      <c r="AT227" s="464"/>
      <c r="AU227" s="464"/>
      <c r="AV227" s="464"/>
      <c r="AW227" s="464"/>
      <c r="AX227" s="464"/>
      <c r="AY227" s="464"/>
      <c r="AZ227" s="464"/>
      <c r="BA227" s="464"/>
      <c r="BB227" s="464"/>
      <c r="BC227" s="464"/>
      <c r="BD227" s="464"/>
      <c r="BE227" s="464"/>
      <c r="BF227" s="464"/>
      <c r="BG227" s="464"/>
      <c r="BH227" s="464"/>
      <c r="BI227" s="464"/>
      <c r="BJ227" s="464"/>
      <c r="BK227" s="464"/>
      <c r="BL227" s="464"/>
    </row>
    <row r="228" spans="1:64" ht="13">
      <c r="A228" s="454"/>
      <c r="B228" s="454"/>
      <c r="C228" s="427" t="s">
        <v>808</v>
      </c>
      <c r="D228" s="408"/>
      <c r="E228" s="408"/>
      <c r="F228" s="408"/>
      <c r="G228" s="430"/>
      <c r="H228" s="408" t="s">
        <v>725</v>
      </c>
      <c r="I228" s="408">
        <f>I227/210</f>
        <v>150.59743993333331</v>
      </c>
      <c r="J228" s="400"/>
      <c r="K228" s="401"/>
      <c r="L228" s="401"/>
      <c r="M228" s="404"/>
      <c r="N228" s="404"/>
      <c r="O228" s="404"/>
      <c r="P228" s="404"/>
      <c r="Q228" s="404"/>
      <c r="R228" s="404"/>
      <c r="S228" s="404"/>
      <c r="T228" s="404"/>
      <c r="U228" s="404"/>
      <c r="V228" s="404"/>
      <c r="W228" s="404"/>
      <c r="X228" s="404"/>
      <c r="Y228" s="404"/>
      <c r="Z228" s="404"/>
      <c r="AA228" s="404"/>
      <c r="AB228" s="404"/>
      <c r="AC228" s="404"/>
      <c r="AD228" s="404"/>
      <c r="AE228" s="404"/>
      <c r="AF228" s="404"/>
      <c r="AG228" s="404"/>
      <c r="AH228" s="404"/>
      <c r="AI228" s="404"/>
      <c r="AJ228" s="404"/>
      <c r="AK228" s="404"/>
      <c r="AL228" s="404"/>
      <c r="AM228" s="404"/>
      <c r="AN228" s="404"/>
      <c r="AO228" s="404"/>
      <c r="AP228" s="404"/>
      <c r="AQ228" s="404"/>
      <c r="AR228" s="404"/>
      <c r="AS228" s="404"/>
      <c r="AT228" s="404"/>
      <c r="AU228" s="404"/>
      <c r="AV228" s="404"/>
      <c r="AW228" s="404"/>
      <c r="AX228" s="404"/>
      <c r="AY228" s="404"/>
      <c r="AZ228" s="404"/>
      <c r="BA228" s="404"/>
      <c r="BB228" s="404"/>
      <c r="BC228" s="404"/>
      <c r="BD228" s="404"/>
      <c r="BE228" s="404"/>
      <c r="BF228" s="404"/>
      <c r="BG228" s="404"/>
      <c r="BH228" s="404"/>
      <c r="BI228" s="404"/>
      <c r="BJ228" s="404"/>
      <c r="BK228" s="404"/>
      <c r="BL228" s="404"/>
    </row>
    <row r="229" spans="1:64" ht="13">
      <c r="A229" s="454"/>
      <c r="B229" s="454"/>
      <c r="C229" s="427" t="s">
        <v>724</v>
      </c>
      <c r="D229" s="408"/>
      <c r="E229" s="408"/>
      <c r="F229" s="408"/>
      <c r="G229" s="430"/>
      <c r="H229" s="407" t="s">
        <v>726</v>
      </c>
      <c r="I229" s="414">
        <f>ROUND(I228,0)</f>
        <v>151</v>
      </c>
      <c r="J229" s="400"/>
      <c r="K229" s="401"/>
      <c r="L229" s="401"/>
      <c r="M229" s="404"/>
      <c r="N229" s="404"/>
      <c r="O229" s="404"/>
      <c r="P229" s="404"/>
      <c r="Q229" s="404"/>
      <c r="R229" s="404"/>
      <c r="S229" s="404"/>
      <c r="T229" s="404"/>
      <c r="U229" s="404"/>
      <c r="V229" s="404"/>
      <c r="W229" s="404"/>
      <c r="X229" s="404"/>
      <c r="Y229" s="404"/>
      <c r="Z229" s="404"/>
      <c r="AA229" s="404"/>
      <c r="AB229" s="404"/>
      <c r="AC229" s="404"/>
      <c r="AD229" s="404"/>
      <c r="AE229" s="404"/>
      <c r="AF229" s="404"/>
      <c r="AG229" s="404"/>
      <c r="AH229" s="404"/>
      <c r="AI229" s="404"/>
      <c r="AJ229" s="404"/>
      <c r="AK229" s="404"/>
      <c r="AL229" s="404"/>
      <c r="AM229" s="404"/>
      <c r="AN229" s="404"/>
      <c r="AO229" s="404"/>
      <c r="AP229" s="404"/>
      <c r="AQ229" s="404"/>
      <c r="AR229" s="404"/>
      <c r="AS229" s="404"/>
      <c r="AT229" s="404"/>
      <c r="AU229" s="404"/>
      <c r="AV229" s="404"/>
      <c r="AW229" s="404"/>
      <c r="AX229" s="404"/>
      <c r="AY229" s="404"/>
      <c r="AZ229" s="404"/>
      <c r="BA229" s="404"/>
      <c r="BB229" s="404"/>
      <c r="BC229" s="404"/>
      <c r="BD229" s="404"/>
      <c r="BE229" s="404"/>
      <c r="BF229" s="404"/>
      <c r="BG229" s="404"/>
      <c r="BH229" s="404"/>
      <c r="BI229" s="404"/>
      <c r="BJ229" s="404"/>
      <c r="BK229" s="404"/>
      <c r="BL229" s="404"/>
    </row>
    <row r="230" spans="1:64" ht="13">
      <c r="A230" s="454"/>
      <c r="B230" s="454"/>
      <c r="C230" s="427"/>
      <c r="D230" s="408"/>
      <c r="E230" s="408"/>
      <c r="F230" s="408"/>
      <c r="G230" s="430"/>
      <c r="H230" s="415"/>
      <c r="I230" s="414"/>
      <c r="J230" s="400"/>
      <c r="K230" s="401"/>
      <c r="L230" s="401"/>
    </row>
    <row r="231" spans="1:64" ht="60.4" customHeight="1">
      <c r="A231" s="430">
        <f>A213+1</f>
        <v>7</v>
      </c>
      <c r="B231" s="454"/>
      <c r="C231" s="1276" t="s">
        <v>809</v>
      </c>
      <c r="D231" s="1276"/>
      <c r="E231" s="1276"/>
      <c r="F231" s="1276"/>
      <c r="G231" s="1276"/>
      <c r="H231" s="1276"/>
      <c r="I231" s="407"/>
      <c r="J231" s="400"/>
      <c r="K231" s="401"/>
      <c r="L231" s="401"/>
      <c r="M231" s="404"/>
      <c r="N231" s="404"/>
      <c r="O231" s="404"/>
      <c r="P231" s="404"/>
      <c r="Q231" s="404"/>
      <c r="R231" s="404"/>
      <c r="S231" s="404"/>
      <c r="T231" s="404"/>
      <c r="U231" s="404"/>
      <c r="V231" s="404"/>
      <c r="W231" s="404"/>
      <c r="X231" s="404"/>
      <c r="Y231" s="404"/>
      <c r="Z231" s="404"/>
      <c r="AA231" s="404"/>
      <c r="AB231" s="404"/>
      <c r="AC231" s="404"/>
      <c r="AD231" s="404"/>
      <c r="AE231" s="404"/>
      <c r="AF231" s="404"/>
      <c r="AG231" s="404"/>
      <c r="AH231" s="404"/>
      <c r="AI231" s="404"/>
      <c r="AJ231" s="404"/>
      <c r="AK231" s="404"/>
      <c r="AL231" s="404"/>
      <c r="AM231" s="404"/>
      <c r="AN231" s="404"/>
      <c r="AO231" s="404"/>
      <c r="AP231" s="404"/>
      <c r="AQ231" s="404"/>
      <c r="AR231" s="404"/>
      <c r="AS231" s="404"/>
      <c r="AT231" s="404"/>
      <c r="AU231" s="404"/>
      <c r="AV231" s="404"/>
      <c r="AW231" s="404"/>
      <c r="AX231" s="404"/>
      <c r="AY231" s="404"/>
      <c r="AZ231" s="404"/>
      <c r="BA231" s="404"/>
      <c r="BB231" s="404"/>
      <c r="BC231" s="404"/>
      <c r="BD231" s="404"/>
      <c r="BE231" s="404"/>
      <c r="BF231" s="404"/>
      <c r="BG231" s="404"/>
      <c r="BH231" s="404"/>
      <c r="BI231" s="404"/>
      <c r="BJ231" s="404"/>
      <c r="BK231" s="404"/>
      <c r="BL231" s="404"/>
    </row>
    <row r="232" spans="1:64" ht="13">
      <c r="A232" s="454"/>
      <c r="B232" s="454"/>
      <c r="C232" s="455" t="s">
        <v>810</v>
      </c>
      <c r="D232" s="426"/>
      <c r="E232" s="426"/>
      <c r="F232" s="426"/>
      <c r="G232" s="430"/>
      <c r="H232" s="456"/>
      <c r="I232" s="408"/>
      <c r="J232" s="400"/>
      <c r="K232" s="401"/>
      <c r="L232" s="401"/>
      <c r="M232" s="404"/>
      <c r="N232" s="404"/>
      <c r="O232" s="404"/>
      <c r="P232" s="404"/>
      <c r="Q232" s="404"/>
      <c r="R232" s="404"/>
      <c r="S232" s="404"/>
      <c r="T232" s="404"/>
      <c r="U232" s="404"/>
      <c r="V232" s="404"/>
      <c r="W232" s="404"/>
      <c r="X232" s="404"/>
      <c r="Y232" s="404"/>
      <c r="Z232" s="404"/>
      <c r="AA232" s="404"/>
      <c r="AB232" s="404"/>
      <c r="AC232" s="404"/>
      <c r="AD232" s="404"/>
      <c r="AE232" s="404"/>
      <c r="AF232" s="404"/>
      <c r="AG232" s="404"/>
      <c r="AH232" s="404"/>
      <c r="AI232" s="404"/>
      <c r="AJ232" s="404"/>
      <c r="AK232" s="404"/>
      <c r="AL232" s="404"/>
      <c r="AM232" s="404"/>
      <c r="AN232" s="404"/>
      <c r="AO232" s="404"/>
      <c r="AP232" s="404"/>
      <c r="AQ232" s="404"/>
      <c r="AR232" s="404"/>
      <c r="AS232" s="404"/>
      <c r="AT232" s="404"/>
      <c r="AU232" s="404"/>
      <c r="AV232" s="404"/>
      <c r="AW232" s="404"/>
      <c r="AX232" s="404"/>
      <c r="AY232" s="404"/>
      <c r="AZ232" s="404"/>
      <c r="BA232" s="404"/>
      <c r="BB232" s="404"/>
      <c r="BC232" s="404"/>
      <c r="BD232" s="404"/>
      <c r="BE232" s="404"/>
      <c r="BF232" s="404"/>
      <c r="BG232" s="404"/>
      <c r="BH232" s="404"/>
      <c r="BI232" s="404"/>
      <c r="BJ232" s="404"/>
      <c r="BK232" s="404"/>
      <c r="BL232" s="404"/>
    </row>
    <row r="233" spans="1:64" ht="12.75" customHeight="1">
      <c r="A233" s="454"/>
      <c r="B233" s="454"/>
      <c r="C233" s="1294" t="s">
        <v>811</v>
      </c>
      <c r="D233" s="1294"/>
      <c r="E233" s="1294"/>
      <c r="F233" s="1294"/>
      <c r="G233" s="430"/>
      <c r="H233" s="456"/>
      <c r="I233" s="408"/>
      <c r="J233" s="400"/>
      <c r="K233" s="401"/>
      <c r="L233" s="401"/>
      <c r="M233" s="404"/>
      <c r="N233" s="404"/>
      <c r="O233" s="404"/>
      <c r="P233" s="404"/>
      <c r="Q233" s="404"/>
      <c r="R233" s="404"/>
      <c r="S233" s="404"/>
      <c r="T233" s="404"/>
      <c r="U233" s="404"/>
      <c r="V233" s="404"/>
      <c r="W233" s="404"/>
      <c r="X233" s="404"/>
      <c r="Y233" s="404"/>
      <c r="Z233" s="404"/>
      <c r="AA233" s="404"/>
      <c r="AB233" s="404"/>
      <c r="AC233" s="404"/>
      <c r="AD233" s="404"/>
      <c r="AE233" s="404"/>
      <c r="AF233" s="404"/>
      <c r="AG233" s="404"/>
      <c r="AH233" s="404"/>
      <c r="AI233" s="404"/>
      <c r="AJ233" s="404"/>
      <c r="AK233" s="404"/>
      <c r="AL233" s="404"/>
      <c r="AM233" s="404"/>
      <c r="AN233" s="404"/>
      <c r="AO233" s="404"/>
      <c r="AP233" s="404"/>
      <c r="AQ233" s="404"/>
      <c r="AR233" s="404"/>
      <c r="AS233" s="404"/>
      <c r="AT233" s="404"/>
      <c r="AU233" s="404"/>
      <c r="AV233" s="404"/>
      <c r="AW233" s="404"/>
      <c r="AX233" s="404"/>
      <c r="AY233" s="404"/>
      <c r="AZ233" s="404"/>
      <c r="BA233" s="404"/>
      <c r="BB233" s="404"/>
      <c r="BC233" s="404"/>
      <c r="BD233" s="404"/>
      <c r="BE233" s="404"/>
      <c r="BF233" s="404"/>
      <c r="BG233" s="404"/>
      <c r="BH233" s="404"/>
      <c r="BI233" s="404"/>
      <c r="BJ233" s="404"/>
      <c r="BK233" s="404"/>
      <c r="BL233" s="404"/>
    </row>
    <row r="234" spans="1:64" ht="13">
      <c r="A234" s="454"/>
      <c r="B234" s="454"/>
      <c r="C234" s="427" t="s">
        <v>779</v>
      </c>
      <c r="D234" s="408"/>
      <c r="E234" s="408"/>
      <c r="F234" s="408"/>
      <c r="G234" s="430"/>
      <c r="H234" s="456" t="str">
        <f>IF(E234="","",IF(E234="No.","Each",IF(E234="Nos.","Each",E234)))</f>
        <v/>
      </c>
      <c r="I234" s="408"/>
      <c r="J234" s="400"/>
      <c r="K234" s="401"/>
      <c r="L234" s="401"/>
      <c r="M234" s="404"/>
      <c r="N234" s="404"/>
      <c r="O234" s="404"/>
      <c r="P234" s="404"/>
      <c r="Q234" s="404"/>
      <c r="R234" s="404"/>
      <c r="S234" s="404"/>
      <c r="T234" s="404"/>
      <c r="U234" s="404"/>
      <c r="V234" s="404"/>
      <c r="W234" s="404"/>
      <c r="X234" s="404"/>
      <c r="Y234" s="404"/>
      <c r="Z234" s="404"/>
      <c r="AA234" s="404"/>
      <c r="AB234" s="404"/>
      <c r="AC234" s="404"/>
      <c r="AD234" s="404"/>
      <c r="AE234" s="404"/>
      <c r="AF234" s="404"/>
      <c r="AG234" s="404"/>
      <c r="AH234" s="404"/>
      <c r="AI234" s="404"/>
      <c r="AJ234" s="404"/>
      <c r="AK234" s="404"/>
      <c r="AL234" s="404"/>
      <c r="AM234" s="404"/>
      <c r="AN234" s="404"/>
      <c r="AO234" s="404"/>
      <c r="AP234" s="404"/>
      <c r="AQ234" s="404"/>
      <c r="AR234" s="404"/>
      <c r="AS234" s="404"/>
      <c r="AT234" s="404"/>
      <c r="AU234" s="404"/>
      <c r="AV234" s="404"/>
      <c r="AW234" s="404"/>
      <c r="AX234" s="404"/>
      <c r="AY234" s="404"/>
      <c r="AZ234" s="404"/>
      <c r="BA234" s="404"/>
      <c r="BB234" s="404"/>
      <c r="BC234" s="404"/>
      <c r="BD234" s="404"/>
      <c r="BE234" s="404"/>
      <c r="BF234" s="404"/>
      <c r="BG234" s="404"/>
      <c r="BH234" s="404"/>
      <c r="BI234" s="404"/>
      <c r="BJ234" s="404"/>
      <c r="BK234" s="404"/>
      <c r="BL234" s="404"/>
    </row>
    <row r="235" spans="1:64" ht="13">
      <c r="A235" s="454"/>
      <c r="B235" s="454"/>
      <c r="C235" s="427" t="s">
        <v>793</v>
      </c>
      <c r="D235" s="457">
        <v>10</v>
      </c>
      <c r="E235" s="415" t="s">
        <v>812</v>
      </c>
      <c r="F235" s="408"/>
      <c r="G235" s="410"/>
      <c r="H235" s="426"/>
      <c r="I235" s="408"/>
      <c r="J235" s="400"/>
      <c r="K235" s="401"/>
      <c r="L235" s="401"/>
      <c r="M235" s="404"/>
      <c r="N235" s="404"/>
      <c r="O235" s="404"/>
      <c r="P235" s="404"/>
      <c r="Q235" s="404"/>
      <c r="R235" s="404"/>
      <c r="S235" s="404"/>
      <c r="T235" s="404"/>
      <c r="U235" s="404"/>
      <c r="V235" s="404"/>
      <c r="W235" s="404"/>
      <c r="X235" s="404"/>
      <c r="Y235" s="404"/>
      <c r="Z235" s="404"/>
      <c r="AA235" s="404"/>
      <c r="AB235" s="404"/>
      <c r="AC235" s="404"/>
      <c r="AD235" s="404"/>
      <c r="AE235" s="404"/>
      <c r="AF235" s="404"/>
      <c r="AG235" s="404"/>
      <c r="AH235" s="404"/>
      <c r="AI235" s="404"/>
      <c r="AJ235" s="404"/>
      <c r="AK235" s="404"/>
      <c r="AL235" s="404"/>
      <c r="AM235" s="404"/>
      <c r="AN235" s="404"/>
      <c r="AO235" s="404"/>
      <c r="AP235" s="404"/>
      <c r="AQ235" s="404"/>
      <c r="AR235" s="404"/>
      <c r="AS235" s="404"/>
      <c r="AT235" s="404"/>
      <c r="AU235" s="404"/>
      <c r="AV235" s="404"/>
      <c r="AW235" s="404"/>
      <c r="AX235" s="404"/>
      <c r="AY235" s="404"/>
      <c r="AZ235" s="404"/>
      <c r="BA235" s="404"/>
      <c r="BB235" s="404"/>
      <c r="BC235" s="404"/>
      <c r="BD235" s="404"/>
      <c r="BE235" s="404"/>
      <c r="BF235" s="404"/>
      <c r="BG235" s="404"/>
      <c r="BH235" s="404"/>
      <c r="BI235" s="404"/>
      <c r="BJ235" s="404"/>
      <c r="BK235" s="404"/>
      <c r="BL235" s="404"/>
    </row>
    <row r="236" spans="1:64" ht="13">
      <c r="A236" s="454"/>
      <c r="B236" s="454"/>
      <c r="C236" s="427" t="s">
        <v>781</v>
      </c>
      <c r="D236" s="408"/>
      <c r="E236" s="408"/>
      <c r="F236" s="408"/>
      <c r="G236" s="430"/>
      <c r="H236" s="414"/>
      <c r="I236" s="414"/>
      <c r="J236" s="400"/>
      <c r="K236" s="401"/>
      <c r="L236" s="401"/>
      <c r="M236" s="404"/>
      <c r="N236" s="404"/>
      <c r="O236" s="404"/>
      <c r="P236" s="404"/>
      <c r="Q236" s="404"/>
      <c r="R236" s="404"/>
      <c r="S236" s="404"/>
      <c r="T236" s="404"/>
      <c r="U236" s="404"/>
      <c r="V236" s="404"/>
      <c r="W236" s="404"/>
      <c r="X236" s="404"/>
      <c r="Y236" s="404"/>
      <c r="Z236" s="404"/>
      <c r="AA236" s="404"/>
      <c r="AB236" s="404"/>
      <c r="AC236" s="404"/>
      <c r="AD236" s="404"/>
      <c r="AE236" s="404"/>
      <c r="AF236" s="404"/>
      <c r="AG236" s="404"/>
      <c r="AH236" s="404"/>
      <c r="AI236" s="404"/>
      <c r="AJ236" s="404"/>
      <c r="AK236" s="404"/>
      <c r="AL236" s="404"/>
      <c r="AM236" s="404"/>
      <c r="AN236" s="404"/>
      <c r="AO236" s="404"/>
      <c r="AP236" s="404"/>
      <c r="AQ236" s="404"/>
      <c r="AR236" s="404"/>
      <c r="AS236" s="404"/>
      <c r="AT236" s="404"/>
      <c r="AU236" s="404"/>
      <c r="AV236" s="404"/>
      <c r="AW236" s="404"/>
      <c r="AX236" s="404"/>
      <c r="AY236" s="404"/>
      <c r="AZ236" s="404"/>
      <c r="BA236" s="404"/>
      <c r="BB236" s="404"/>
      <c r="BC236" s="404"/>
      <c r="BD236" s="404"/>
      <c r="BE236" s="404"/>
      <c r="BF236" s="404"/>
      <c r="BG236" s="404"/>
      <c r="BH236" s="404"/>
      <c r="BI236" s="404"/>
      <c r="BJ236" s="404"/>
      <c r="BK236" s="404"/>
      <c r="BL236" s="404"/>
    </row>
    <row r="237" spans="1:64">
      <c r="A237" s="454"/>
      <c r="B237" s="454"/>
      <c r="C237" s="417" t="s">
        <v>782</v>
      </c>
      <c r="D237" s="408">
        <v>5.2</v>
      </c>
      <c r="E237" s="408" t="s">
        <v>375</v>
      </c>
      <c r="F237" s="408">
        <f>'[161]Civil-SOR'!$G$307</f>
        <v>520</v>
      </c>
      <c r="G237" s="430">
        <v>1</v>
      </c>
      <c r="H237" s="408" t="s">
        <v>678</v>
      </c>
      <c r="I237" s="408">
        <f t="shared" ref="I237:I238" si="25">IF(G237="",D237*F237,(D237*F237/G237))</f>
        <v>2704</v>
      </c>
      <c r="J237" s="400"/>
      <c r="K237" s="401"/>
      <c r="L237" s="401"/>
      <c r="M237" s="404"/>
      <c r="N237" s="404"/>
      <c r="O237" s="404"/>
      <c r="P237" s="404"/>
      <c r="Q237" s="404"/>
      <c r="R237" s="404"/>
      <c r="S237" s="404"/>
      <c r="T237" s="404"/>
      <c r="U237" s="404"/>
      <c r="V237" s="404"/>
      <c r="W237" s="404"/>
      <c r="X237" s="404"/>
      <c r="Y237" s="404"/>
      <c r="Z237" s="404"/>
      <c r="AA237" s="404"/>
      <c r="AB237" s="404"/>
      <c r="AC237" s="404"/>
      <c r="AD237" s="404"/>
      <c r="AE237" s="404"/>
      <c r="AF237" s="404"/>
      <c r="AG237" s="404"/>
      <c r="AH237" s="404"/>
      <c r="AI237" s="404"/>
      <c r="AJ237" s="404"/>
      <c r="AK237" s="404"/>
      <c r="AL237" s="404"/>
      <c r="AM237" s="404"/>
      <c r="AN237" s="404"/>
      <c r="AO237" s="404"/>
      <c r="AP237" s="404"/>
      <c r="AQ237" s="404"/>
      <c r="AR237" s="404"/>
      <c r="AS237" s="404"/>
      <c r="AT237" s="404"/>
      <c r="AU237" s="404"/>
      <c r="AV237" s="404"/>
      <c r="AW237" s="404"/>
      <c r="AX237" s="404"/>
      <c r="AY237" s="404"/>
      <c r="AZ237" s="404"/>
      <c r="BA237" s="404"/>
      <c r="BB237" s="404"/>
      <c r="BC237" s="404"/>
      <c r="BD237" s="404"/>
      <c r="BE237" s="404"/>
      <c r="BF237" s="404"/>
      <c r="BG237" s="404"/>
      <c r="BH237" s="404"/>
      <c r="BI237" s="404"/>
      <c r="BJ237" s="404"/>
      <c r="BK237" s="404"/>
      <c r="BL237" s="404"/>
    </row>
    <row r="238" spans="1:64">
      <c r="A238" s="454"/>
      <c r="B238" s="454"/>
      <c r="C238" s="417" t="str">
        <f>[161]Input!$C$47</f>
        <v>Add for MA @ 40%</v>
      </c>
      <c r="D238" s="408">
        <f>[161]Input!$D$47</f>
        <v>0.4</v>
      </c>
      <c r="E238" s="408"/>
      <c r="F238" s="408">
        <f>I237</f>
        <v>2704</v>
      </c>
      <c r="G238" s="430"/>
      <c r="H238" s="408"/>
      <c r="I238" s="408">
        <f t="shared" si="25"/>
        <v>1081.6000000000001</v>
      </c>
      <c r="J238" s="400"/>
      <c r="K238" s="401"/>
      <c r="L238" s="401"/>
      <c r="M238" s="404"/>
      <c r="N238" s="404"/>
      <c r="O238" s="404"/>
      <c r="P238" s="404"/>
      <c r="Q238" s="404"/>
      <c r="R238" s="404"/>
      <c r="S238" s="404"/>
      <c r="T238" s="404"/>
      <c r="U238" s="404"/>
      <c r="V238" s="404"/>
      <c r="W238" s="404"/>
      <c r="X238" s="404"/>
      <c r="Y238" s="404"/>
      <c r="Z238" s="404"/>
      <c r="AA238" s="404"/>
      <c r="AB238" s="404"/>
      <c r="AC238" s="404"/>
      <c r="AD238" s="404"/>
      <c r="AE238" s="404"/>
      <c r="AF238" s="404"/>
      <c r="AG238" s="404"/>
      <c r="AH238" s="404"/>
      <c r="AI238" s="404"/>
      <c r="AJ238" s="404"/>
      <c r="AK238" s="404"/>
      <c r="AL238" s="404"/>
      <c r="AM238" s="404"/>
      <c r="AN238" s="404"/>
      <c r="AO238" s="404"/>
      <c r="AP238" s="404"/>
      <c r="AQ238" s="404"/>
      <c r="AR238" s="404"/>
      <c r="AS238" s="404"/>
      <c r="AT238" s="404"/>
      <c r="AU238" s="404"/>
      <c r="AV238" s="404"/>
      <c r="AW238" s="404"/>
      <c r="AX238" s="404"/>
      <c r="AY238" s="404"/>
      <c r="AZ238" s="404"/>
      <c r="BA238" s="404"/>
      <c r="BB238" s="404"/>
      <c r="BC238" s="404"/>
      <c r="BD238" s="404"/>
      <c r="BE238" s="404"/>
      <c r="BF238" s="404"/>
      <c r="BG238" s="404"/>
      <c r="BH238" s="404"/>
      <c r="BI238" s="404"/>
      <c r="BJ238" s="404"/>
      <c r="BK238" s="404"/>
      <c r="BL238" s="404"/>
    </row>
    <row r="239" spans="1:64">
      <c r="A239" s="454"/>
      <c r="B239" s="454"/>
      <c r="C239" s="417" t="s">
        <v>813</v>
      </c>
      <c r="D239" s="408"/>
      <c r="E239" s="408"/>
      <c r="F239" s="408"/>
      <c r="G239" s="430"/>
      <c r="H239" s="408"/>
      <c r="I239" s="408">
        <f>SUM(I237:I238)</f>
        <v>3785.6000000000004</v>
      </c>
      <c r="J239" s="400"/>
      <c r="K239" s="401"/>
      <c r="L239" s="401"/>
      <c r="M239" s="404"/>
      <c r="N239" s="404"/>
      <c r="O239" s="404"/>
      <c r="P239" s="404"/>
      <c r="Q239" s="404"/>
      <c r="R239" s="404"/>
      <c r="S239" s="404"/>
      <c r="T239" s="404"/>
      <c r="U239" s="404"/>
      <c r="V239" s="404"/>
      <c r="W239" s="404"/>
      <c r="X239" s="404"/>
      <c r="Y239" s="404"/>
      <c r="Z239" s="404"/>
      <c r="AA239" s="404"/>
      <c r="AB239" s="404"/>
      <c r="AC239" s="404"/>
      <c r="AD239" s="404"/>
      <c r="AE239" s="404"/>
      <c r="AF239" s="404"/>
      <c r="AG239" s="404"/>
      <c r="AH239" s="404"/>
      <c r="AI239" s="404"/>
      <c r="AJ239" s="404"/>
      <c r="AK239" s="404"/>
      <c r="AL239" s="404"/>
      <c r="AM239" s="404"/>
      <c r="AN239" s="404"/>
      <c r="AO239" s="404"/>
      <c r="AP239" s="404"/>
      <c r="AQ239" s="404"/>
      <c r="AR239" s="404"/>
      <c r="AS239" s="404"/>
      <c r="AT239" s="404"/>
      <c r="AU239" s="404"/>
      <c r="AV239" s="404"/>
      <c r="AW239" s="404"/>
      <c r="AX239" s="404"/>
      <c r="AY239" s="404"/>
      <c r="AZ239" s="404"/>
      <c r="BA239" s="404"/>
      <c r="BB239" s="404"/>
      <c r="BC239" s="404"/>
      <c r="BD239" s="404"/>
      <c r="BE239" s="404"/>
      <c r="BF239" s="404"/>
      <c r="BG239" s="404"/>
      <c r="BH239" s="404"/>
      <c r="BI239" s="404"/>
      <c r="BJ239" s="404"/>
      <c r="BK239" s="404"/>
      <c r="BL239" s="404"/>
    </row>
    <row r="240" spans="1:64" ht="25">
      <c r="A240" s="454"/>
      <c r="B240" s="454"/>
      <c r="C240" s="435" t="str">
        <f>[161]Input!$C$48</f>
        <v>Overheads &amp; Contractors Profit @ 13.615%</v>
      </c>
      <c r="D240" s="467">
        <f>[161]Input!$D$48</f>
        <v>0.13614999999999999</v>
      </c>
      <c r="E240" s="408"/>
      <c r="F240" s="408">
        <f>I239</f>
        <v>3785.6000000000004</v>
      </c>
      <c r="G240" s="430"/>
      <c r="H240" s="414"/>
      <c r="I240" s="408">
        <f>IF(G240="",D240*F240,(D240*F240/G240))</f>
        <v>515.40944000000002</v>
      </c>
      <c r="J240" s="418"/>
      <c r="K240" s="419"/>
      <c r="L240" s="419"/>
      <c r="M240" s="420"/>
      <c r="N240" s="420"/>
      <c r="O240" s="420"/>
      <c r="P240" s="420"/>
      <c r="Q240" s="420"/>
      <c r="R240" s="420"/>
      <c r="S240" s="420"/>
      <c r="T240" s="420"/>
      <c r="U240" s="420"/>
      <c r="V240" s="420"/>
      <c r="W240" s="420"/>
      <c r="X240" s="420"/>
      <c r="Y240" s="420"/>
      <c r="Z240" s="420"/>
      <c r="AA240" s="420"/>
      <c r="AB240" s="420"/>
      <c r="AC240" s="420"/>
      <c r="AD240" s="420"/>
      <c r="AE240" s="420"/>
      <c r="AF240" s="420"/>
      <c r="AG240" s="420"/>
      <c r="AH240" s="420"/>
      <c r="AI240" s="420"/>
      <c r="AJ240" s="420"/>
      <c r="AK240" s="420"/>
      <c r="AL240" s="420"/>
      <c r="AM240" s="420"/>
      <c r="AN240" s="420"/>
      <c r="AO240" s="420"/>
      <c r="AP240" s="420"/>
      <c r="AQ240" s="420"/>
      <c r="AR240" s="420"/>
      <c r="AS240" s="420"/>
      <c r="AT240" s="420"/>
      <c r="AU240" s="420"/>
      <c r="AV240" s="420"/>
      <c r="AW240" s="420"/>
      <c r="AX240" s="420"/>
      <c r="AY240" s="420"/>
      <c r="AZ240" s="420"/>
      <c r="BA240" s="420"/>
      <c r="BB240" s="420"/>
      <c r="BC240" s="420"/>
      <c r="BD240" s="420"/>
      <c r="BE240" s="420"/>
      <c r="BF240" s="420"/>
      <c r="BG240" s="420"/>
      <c r="BH240" s="420"/>
      <c r="BI240" s="420"/>
      <c r="BJ240" s="420"/>
      <c r="BK240" s="420"/>
      <c r="BL240" s="420"/>
    </row>
    <row r="241" spans="1:64" ht="13">
      <c r="A241" s="454"/>
      <c r="B241" s="454"/>
      <c r="C241" s="417" t="s">
        <v>784</v>
      </c>
      <c r="D241" s="408"/>
      <c r="E241" s="408"/>
      <c r="F241" s="408"/>
      <c r="G241" s="430"/>
      <c r="H241" s="414"/>
      <c r="I241" s="408">
        <f>SUM(I239:I240)</f>
        <v>4301.0094400000007</v>
      </c>
      <c r="J241" s="400"/>
      <c r="K241" s="401"/>
      <c r="L241" s="401"/>
      <c r="M241" s="404"/>
      <c r="N241" s="404"/>
      <c r="O241" s="404"/>
      <c r="P241" s="404"/>
      <c r="Q241" s="404"/>
      <c r="R241" s="404"/>
      <c r="S241" s="404"/>
      <c r="T241" s="404"/>
      <c r="U241" s="404"/>
      <c r="V241" s="404"/>
      <c r="W241" s="404"/>
      <c r="X241" s="404"/>
      <c r="Y241" s="404"/>
      <c r="Z241" s="404"/>
      <c r="AA241" s="404"/>
      <c r="AB241" s="404"/>
      <c r="AC241" s="404"/>
      <c r="AD241" s="404"/>
      <c r="AE241" s="404"/>
      <c r="AF241" s="404"/>
      <c r="AG241" s="404"/>
      <c r="AH241" s="404"/>
      <c r="AI241" s="404"/>
      <c r="AJ241" s="404"/>
      <c r="AK241" s="404"/>
      <c r="AL241" s="404"/>
      <c r="AM241" s="404"/>
      <c r="AN241" s="404"/>
      <c r="AO241" s="404"/>
      <c r="AP241" s="404"/>
      <c r="AQ241" s="404"/>
      <c r="AR241" s="404"/>
      <c r="AS241" s="404"/>
      <c r="AT241" s="404"/>
      <c r="AU241" s="404"/>
      <c r="AV241" s="404"/>
      <c r="AW241" s="404"/>
      <c r="AX241" s="404"/>
      <c r="AY241" s="404"/>
      <c r="AZ241" s="404"/>
      <c r="BA241" s="404"/>
      <c r="BB241" s="404"/>
      <c r="BC241" s="404"/>
      <c r="BD241" s="404"/>
      <c r="BE241" s="404"/>
      <c r="BF241" s="404"/>
      <c r="BG241" s="404"/>
      <c r="BH241" s="404"/>
      <c r="BI241" s="404"/>
      <c r="BJ241" s="404"/>
      <c r="BK241" s="404"/>
      <c r="BL241" s="404"/>
    </row>
    <row r="242" spans="1:64" ht="13">
      <c r="A242" s="454"/>
      <c r="B242" s="454"/>
      <c r="C242" s="427" t="s">
        <v>814</v>
      </c>
      <c r="D242" s="408"/>
      <c r="E242" s="408"/>
      <c r="F242" s="408"/>
      <c r="G242" s="430"/>
      <c r="H242" s="408" t="s">
        <v>725</v>
      </c>
      <c r="I242" s="408">
        <f>I241/D235</f>
        <v>430.10094400000008</v>
      </c>
      <c r="J242" s="400"/>
      <c r="K242" s="401"/>
      <c r="L242" s="401"/>
      <c r="M242" s="404"/>
      <c r="N242" s="404"/>
      <c r="O242" s="404"/>
      <c r="P242" s="404"/>
      <c r="Q242" s="404"/>
      <c r="R242" s="404"/>
      <c r="S242" s="404"/>
      <c r="T242" s="404"/>
      <c r="U242" s="404"/>
      <c r="V242" s="404"/>
      <c r="W242" s="404"/>
      <c r="X242" s="404"/>
      <c r="Y242" s="404"/>
      <c r="Z242" s="404"/>
      <c r="AA242" s="404"/>
      <c r="AB242" s="404"/>
      <c r="AC242" s="404"/>
      <c r="AD242" s="404"/>
      <c r="AE242" s="404"/>
      <c r="AF242" s="404"/>
      <c r="AG242" s="404"/>
      <c r="AH242" s="404"/>
      <c r="AI242" s="404"/>
      <c r="AJ242" s="404"/>
      <c r="AK242" s="404"/>
      <c r="AL242" s="404"/>
      <c r="AM242" s="404"/>
      <c r="AN242" s="404"/>
      <c r="AO242" s="404"/>
      <c r="AP242" s="404"/>
      <c r="AQ242" s="404"/>
      <c r="AR242" s="404"/>
      <c r="AS242" s="404"/>
      <c r="AT242" s="404"/>
      <c r="AU242" s="404"/>
      <c r="AV242" s="404"/>
      <c r="AW242" s="404"/>
      <c r="AX242" s="404"/>
      <c r="AY242" s="404"/>
      <c r="AZ242" s="404"/>
      <c r="BA242" s="404"/>
      <c r="BB242" s="404"/>
      <c r="BC242" s="404"/>
      <c r="BD242" s="404"/>
      <c r="BE242" s="404"/>
      <c r="BF242" s="404"/>
      <c r="BG242" s="404"/>
      <c r="BH242" s="404"/>
      <c r="BI242" s="404"/>
      <c r="BJ242" s="404"/>
      <c r="BK242" s="404"/>
      <c r="BL242" s="404"/>
    </row>
    <row r="243" spans="1:64" ht="13">
      <c r="A243" s="454"/>
      <c r="B243" s="454"/>
      <c r="C243" s="427" t="s">
        <v>724</v>
      </c>
      <c r="D243" s="408"/>
      <c r="E243" s="408"/>
      <c r="F243" s="408"/>
      <c r="G243" s="430"/>
      <c r="H243" s="415" t="s">
        <v>687</v>
      </c>
      <c r="I243" s="414">
        <f>ROUND(I242,0)</f>
        <v>430</v>
      </c>
      <c r="J243" s="400"/>
      <c r="K243" s="401"/>
      <c r="L243" s="401"/>
      <c r="M243" s="404"/>
      <c r="N243" s="404"/>
      <c r="O243" s="404"/>
      <c r="P243" s="404"/>
      <c r="Q243" s="404"/>
      <c r="R243" s="404"/>
      <c r="S243" s="404"/>
      <c r="T243" s="404"/>
      <c r="U243" s="404"/>
      <c r="V243" s="404"/>
      <c r="W243" s="404"/>
      <c r="X243" s="404"/>
      <c r="Y243" s="404"/>
      <c r="Z243" s="404"/>
      <c r="AA243" s="404"/>
      <c r="AB243" s="404"/>
      <c r="AC243" s="404"/>
      <c r="AD243" s="404"/>
      <c r="AE243" s="404"/>
      <c r="AF243" s="404"/>
      <c r="AG243" s="404"/>
      <c r="AH243" s="404"/>
      <c r="AI243" s="404"/>
      <c r="AJ243" s="404"/>
      <c r="AK243" s="404"/>
      <c r="AL243" s="404"/>
      <c r="AM243" s="404"/>
      <c r="AN243" s="404"/>
      <c r="AO243" s="404"/>
      <c r="AP243" s="404"/>
      <c r="AQ243" s="404"/>
      <c r="AR243" s="404"/>
      <c r="AS243" s="404"/>
      <c r="AT243" s="404"/>
      <c r="AU243" s="404"/>
      <c r="AV243" s="404"/>
      <c r="AW243" s="404"/>
      <c r="AX243" s="404"/>
      <c r="AY243" s="404"/>
      <c r="AZ243" s="404"/>
      <c r="BA243" s="404"/>
      <c r="BB243" s="404"/>
      <c r="BC243" s="404"/>
      <c r="BD243" s="404"/>
      <c r="BE243" s="404"/>
      <c r="BF243" s="404"/>
      <c r="BG243" s="404"/>
      <c r="BH243" s="404"/>
      <c r="BI243" s="404"/>
      <c r="BJ243" s="404"/>
      <c r="BK243" s="404"/>
      <c r="BL243" s="404"/>
    </row>
    <row r="244" spans="1:64" ht="13">
      <c r="A244" s="454"/>
      <c r="B244" s="454"/>
      <c r="C244" s="427"/>
      <c r="D244" s="408"/>
      <c r="E244" s="408"/>
      <c r="F244" s="408"/>
      <c r="G244" s="430"/>
      <c r="H244" s="415"/>
      <c r="I244" s="414"/>
      <c r="J244" s="400"/>
      <c r="K244" s="401"/>
      <c r="L244" s="401"/>
    </row>
    <row r="245" spans="1:64" ht="60.4" customHeight="1">
      <c r="A245" s="430">
        <f>1+A195</f>
        <v>6</v>
      </c>
      <c r="B245" s="454"/>
      <c r="C245" s="1276" t="s">
        <v>815</v>
      </c>
      <c r="D245" s="1276"/>
      <c r="E245" s="1276"/>
      <c r="F245" s="1276"/>
      <c r="G245" s="1276"/>
      <c r="H245" s="1276"/>
      <c r="I245" s="407"/>
      <c r="J245" s="400"/>
      <c r="K245" s="401"/>
      <c r="L245" s="401"/>
      <c r="M245" s="404"/>
      <c r="N245" s="404"/>
      <c r="O245" s="404"/>
      <c r="P245" s="404"/>
      <c r="Q245" s="404"/>
      <c r="R245" s="404"/>
      <c r="S245" s="404"/>
      <c r="T245" s="404"/>
      <c r="U245" s="404"/>
      <c r="V245" s="404"/>
      <c r="W245" s="404"/>
      <c r="X245" s="404"/>
      <c r="Y245" s="404"/>
      <c r="Z245" s="404"/>
      <c r="AA245" s="404"/>
      <c r="AB245" s="404"/>
      <c r="AC245" s="404"/>
      <c r="AD245" s="404"/>
      <c r="AE245" s="404"/>
      <c r="AF245" s="404"/>
      <c r="AG245" s="404"/>
      <c r="AH245" s="404"/>
      <c r="AI245" s="404"/>
      <c r="AJ245" s="404"/>
      <c r="AK245" s="404"/>
      <c r="AL245" s="404"/>
      <c r="AM245" s="404"/>
      <c r="AN245" s="404"/>
      <c r="AO245" s="404"/>
      <c r="AP245" s="404"/>
      <c r="AQ245" s="404"/>
      <c r="AR245" s="404"/>
      <c r="AS245" s="404"/>
      <c r="AT245" s="404"/>
      <c r="AU245" s="404"/>
      <c r="AV245" s="404"/>
      <c r="AW245" s="404"/>
      <c r="AX245" s="404"/>
      <c r="AY245" s="404"/>
      <c r="AZ245" s="404"/>
      <c r="BA245" s="404"/>
      <c r="BB245" s="404"/>
      <c r="BC245" s="404"/>
      <c r="BD245" s="404"/>
      <c r="BE245" s="404"/>
      <c r="BF245" s="404"/>
      <c r="BG245" s="404"/>
      <c r="BH245" s="404"/>
      <c r="BI245" s="404"/>
      <c r="BJ245" s="404"/>
      <c r="BK245" s="404"/>
      <c r="BL245" s="404"/>
    </row>
    <row r="246" spans="1:64" ht="13">
      <c r="A246" s="454"/>
      <c r="B246" s="454"/>
      <c r="C246" s="455" t="s">
        <v>816</v>
      </c>
      <c r="D246" s="426"/>
      <c r="E246" s="426"/>
      <c r="F246" s="426"/>
      <c r="G246" s="426"/>
      <c r="H246" s="456"/>
      <c r="I246" s="408"/>
      <c r="J246" s="400"/>
      <c r="K246" s="401"/>
      <c r="L246" s="401"/>
      <c r="M246" s="404"/>
      <c r="N246" s="404"/>
      <c r="O246" s="404"/>
      <c r="P246" s="404"/>
      <c r="Q246" s="404"/>
      <c r="R246" s="404"/>
      <c r="S246" s="404"/>
      <c r="T246" s="404"/>
      <c r="U246" s="404"/>
      <c r="V246" s="404"/>
      <c r="W246" s="404"/>
      <c r="X246" s="404"/>
      <c r="Y246" s="404"/>
      <c r="Z246" s="404"/>
      <c r="AA246" s="404"/>
      <c r="AB246" s="404"/>
      <c r="AC246" s="404"/>
      <c r="AD246" s="404"/>
      <c r="AE246" s="404"/>
      <c r="AF246" s="404"/>
      <c r="AG246" s="404"/>
      <c r="AH246" s="404"/>
      <c r="AI246" s="404"/>
      <c r="AJ246" s="404"/>
      <c r="AK246" s="404"/>
      <c r="AL246" s="404"/>
      <c r="AM246" s="404"/>
      <c r="AN246" s="404"/>
      <c r="AO246" s="404"/>
      <c r="AP246" s="404"/>
      <c r="AQ246" s="404"/>
      <c r="AR246" s="404"/>
      <c r="AS246" s="404"/>
      <c r="AT246" s="404"/>
      <c r="AU246" s="404"/>
      <c r="AV246" s="404"/>
      <c r="AW246" s="404"/>
      <c r="AX246" s="404"/>
      <c r="AY246" s="404"/>
      <c r="AZ246" s="404"/>
      <c r="BA246" s="404"/>
      <c r="BB246" s="404"/>
      <c r="BC246" s="404"/>
      <c r="BD246" s="404"/>
      <c r="BE246" s="404"/>
      <c r="BF246" s="404"/>
      <c r="BG246" s="404"/>
      <c r="BH246" s="404"/>
      <c r="BI246" s="404"/>
      <c r="BJ246" s="404"/>
      <c r="BK246" s="404"/>
      <c r="BL246" s="404"/>
    </row>
    <row r="247" spans="1:64" ht="12.75" customHeight="1">
      <c r="A247" s="454"/>
      <c r="B247" s="454"/>
      <c r="C247" s="1294" t="s">
        <v>817</v>
      </c>
      <c r="D247" s="1294"/>
      <c r="E247" s="1294"/>
      <c r="F247" s="1294"/>
      <c r="G247" s="1294"/>
      <c r="H247" s="456"/>
      <c r="I247" s="408"/>
      <c r="J247" s="400"/>
      <c r="K247" s="401"/>
      <c r="L247" s="401"/>
      <c r="M247" s="404"/>
      <c r="N247" s="404"/>
      <c r="O247" s="404"/>
      <c r="P247" s="404"/>
      <c r="Q247" s="404"/>
      <c r="R247" s="404"/>
      <c r="S247" s="404"/>
      <c r="T247" s="404"/>
      <c r="U247" s="404"/>
      <c r="V247" s="404"/>
      <c r="W247" s="404"/>
      <c r="X247" s="404"/>
      <c r="Y247" s="404"/>
      <c r="Z247" s="404"/>
      <c r="AA247" s="404"/>
      <c r="AB247" s="404"/>
      <c r="AC247" s="404"/>
      <c r="AD247" s="404"/>
      <c r="AE247" s="404"/>
      <c r="AF247" s="404"/>
      <c r="AG247" s="404"/>
      <c r="AH247" s="404"/>
      <c r="AI247" s="404"/>
      <c r="AJ247" s="404"/>
      <c r="AK247" s="404"/>
      <c r="AL247" s="404"/>
      <c r="AM247" s="404"/>
      <c r="AN247" s="404"/>
      <c r="AO247" s="404"/>
      <c r="AP247" s="404"/>
      <c r="AQ247" s="404"/>
      <c r="AR247" s="404"/>
      <c r="AS247" s="404"/>
      <c r="AT247" s="404"/>
      <c r="AU247" s="404"/>
      <c r="AV247" s="404"/>
      <c r="AW247" s="404"/>
      <c r="AX247" s="404"/>
      <c r="AY247" s="404"/>
      <c r="AZ247" s="404"/>
      <c r="BA247" s="404"/>
      <c r="BB247" s="404"/>
      <c r="BC247" s="404"/>
      <c r="BD247" s="404"/>
      <c r="BE247" s="404"/>
      <c r="BF247" s="404"/>
      <c r="BG247" s="404"/>
      <c r="BH247" s="404"/>
      <c r="BI247" s="404"/>
      <c r="BJ247" s="404"/>
      <c r="BK247" s="404"/>
      <c r="BL247" s="404"/>
    </row>
    <row r="248" spans="1:64" ht="13">
      <c r="A248" s="454"/>
      <c r="B248" s="454"/>
      <c r="C248" s="427" t="s">
        <v>779</v>
      </c>
      <c r="D248" s="408"/>
      <c r="E248" s="408"/>
      <c r="F248" s="408"/>
      <c r="G248" s="430"/>
      <c r="H248" s="456" t="str">
        <f>IF(E248="","",IF(E248="No.","Each",IF(E248="Nos.","Each",E248)))</f>
        <v/>
      </c>
      <c r="I248" s="408"/>
      <c r="J248" s="400"/>
      <c r="K248" s="401"/>
      <c r="L248" s="401"/>
      <c r="M248" s="404"/>
      <c r="N248" s="404"/>
      <c r="O248" s="404"/>
      <c r="P248" s="404"/>
      <c r="Q248" s="404"/>
      <c r="R248" s="404"/>
      <c r="S248" s="404"/>
      <c r="T248" s="404"/>
      <c r="U248" s="404"/>
      <c r="V248" s="404"/>
      <c r="W248" s="404"/>
      <c r="X248" s="404"/>
      <c r="Y248" s="404"/>
      <c r="Z248" s="404"/>
      <c r="AA248" s="404"/>
      <c r="AB248" s="404"/>
      <c r="AC248" s="404"/>
      <c r="AD248" s="404"/>
      <c r="AE248" s="404"/>
      <c r="AF248" s="404"/>
      <c r="AG248" s="404"/>
      <c r="AH248" s="404"/>
      <c r="AI248" s="404"/>
      <c r="AJ248" s="404"/>
      <c r="AK248" s="404"/>
      <c r="AL248" s="404"/>
      <c r="AM248" s="404"/>
      <c r="AN248" s="404"/>
      <c r="AO248" s="404"/>
      <c r="AP248" s="404"/>
      <c r="AQ248" s="404"/>
      <c r="AR248" s="404"/>
      <c r="AS248" s="404"/>
      <c r="AT248" s="404"/>
      <c r="AU248" s="404"/>
      <c r="AV248" s="404"/>
      <c r="AW248" s="404"/>
      <c r="AX248" s="404"/>
      <c r="AY248" s="404"/>
      <c r="AZ248" s="404"/>
      <c r="BA248" s="404"/>
      <c r="BB248" s="404"/>
      <c r="BC248" s="404"/>
      <c r="BD248" s="404"/>
      <c r="BE248" s="404"/>
      <c r="BF248" s="404"/>
      <c r="BG248" s="404"/>
      <c r="BH248" s="404"/>
      <c r="BI248" s="404"/>
      <c r="BJ248" s="404"/>
      <c r="BK248" s="404"/>
      <c r="BL248" s="404"/>
    </row>
    <row r="249" spans="1:64" ht="13">
      <c r="A249" s="454"/>
      <c r="B249" s="454"/>
      <c r="C249" s="427" t="s">
        <v>818</v>
      </c>
      <c r="D249" s="457"/>
      <c r="E249" s="415"/>
      <c r="F249" s="408"/>
      <c r="G249" s="410"/>
      <c r="H249" s="426"/>
      <c r="I249" s="408"/>
      <c r="J249" s="400"/>
      <c r="K249" s="401"/>
      <c r="L249" s="401"/>
      <c r="M249" s="404"/>
      <c r="N249" s="404"/>
      <c r="O249" s="404"/>
      <c r="P249" s="404"/>
      <c r="Q249" s="404"/>
      <c r="R249" s="404"/>
      <c r="S249" s="404"/>
      <c r="T249" s="404"/>
      <c r="U249" s="404"/>
      <c r="V249" s="404"/>
      <c r="W249" s="404"/>
      <c r="X249" s="404"/>
      <c r="Y249" s="404"/>
      <c r="Z249" s="404"/>
      <c r="AA249" s="404"/>
      <c r="AB249" s="404"/>
      <c r="AC249" s="404"/>
      <c r="AD249" s="404"/>
      <c r="AE249" s="404"/>
      <c r="AF249" s="404"/>
      <c r="AG249" s="404"/>
      <c r="AH249" s="404"/>
      <c r="AI249" s="404"/>
      <c r="AJ249" s="404"/>
      <c r="AK249" s="404"/>
      <c r="AL249" s="404"/>
      <c r="AM249" s="404"/>
      <c r="AN249" s="404"/>
      <c r="AO249" s="404"/>
      <c r="AP249" s="404"/>
      <c r="AQ249" s="404"/>
      <c r="AR249" s="404"/>
      <c r="AS249" s="404"/>
      <c r="AT249" s="404"/>
      <c r="AU249" s="404"/>
      <c r="AV249" s="404"/>
      <c r="AW249" s="404"/>
      <c r="AX249" s="404"/>
      <c r="AY249" s="404"/>
      <c r="AZ249" s="404"/>
      <c r="BA249" s="404"/>
      <c r="BB249" s="404"/>
      <c r="BC249" s="404"/>
      <c r="BD249" s="404"/>
      <c r="BE249" s="404"/>
      <c r="BF249" s="404"/>
      <c r="BG249" s="404"/>
      <c r="BH249" s="404"/>
      <c r="BI249" s="404"/>
      <c r="BJ249" s="404"/>
      <c r="BK249" s="404"/>
      <c r="BL249" s="404"/>
    </row>
    <row r="250" spans="1:64" ht="13">
      <c r="A250" s="454"/>
      <c r="B250" s="454"/>
      <c r="C250" s="427" t="s">
        <v>781</v>
      </c>
      <c r="D250" s="408"/>
      <c r="E250" s="408"/>
      <c r="F250" s="408"/>
      <c r="G250" s="430"/>
      <c r="H250" s="414"/>
      <c r="I250" s="414"/>
      <c r="J250" s="400"/>
      <c r="K250" s="401"/>
      <c r="L250" s="401"/>
      <c r="M250" s="404"/>
      <c r="N250" s="404"/>
      <c r="O250" s="404"/>
      <c r="P250" s="404"/>
      <c r="Q250" s="404"/>
      <c r="R250" s="404"/>
      <c r="S250" s="404"/>
      <c r="T250" s="404"/>
      <c r="U250" s="404"/>
      <c r="V250" s="404"/>
      <c r="W250" s="404"/>
      <c r="X250" s="404"/>
      <c r="Y250" s="404"/>
      <c r="Z250" s="404"/>
      <c r="AA250" s="404"/>
      <c r="AB250" s="404"/>
      <c r="AC250" s="404"/>
      <c r="AD250" s="404"/>
      <c r="AE250" s="404"/>
      <c r="AF250" s="404"/>
      <c r="AG250" s="404"/>
      <c r="AH250" s="404"/>
      <c r="AI250" s="404"/>
      <c r="AJ250" s="404"/>
      <c r="AK250" s="404"/>
      <c r="AL250" s="404"/>
      <c r="AM250" s="404"/>
      <c r="AN250" s="404"/>
      <c r="AO250" s="404"/>
      <c r="AP250" s="404"/>
      <c r="AQ250" s="404"/>
      <c r="AR250" s="404"/>
      <c r="AS250" s="404"/>
      <c r="AT250" s="404"/>
      <c r="AU250" s="404"/>
      <c r="AV250" s="404"/>
      <c r="AW250" s="404"/>
      <c r="AX250" s="404"/>
      <c r="AY250" s="404"/>
      <c r="AZ250" s="404"/>
      <c r="BA250" s="404"/>
      <c r="BB250" s="404"/>
      <c r="BC250" s="404"/>
      <c r="BD250" s="404"/>
      <c r="BE250" s="404"/>
      <c r="BF250" s="404"/>
      <c r="BG250" s="404"/>
      <c r="BH250" s="404"/>
      <c r="BI250" s="404"/>
      <c r="BJ250" s="404"/>
      <c r="BK250" s="404"/>
      <c r="BL250" s="404"/>
    </row>
    <row r="251" spans="1:64">
      <c r="A251" s="454"/>
      <c r="B251" s="454"/>
      <c r="C251" s="417" t="s">
        <v>782</v>
      </c>
      <c r="D251" s="408">
        <v>6.24</v>
      </c>
      <c r="E251" s="408" t="s">
        <v>375</v>
      </c>
      <c r="F251" s="408">
        <f>'[161]Civil-SOR'!$G$307</f>
        <v>520</v>
      </c>
      <c r="G251" s="430">
        <v>1</v>
      </c>
      <c r="H251" s="408" t="s">
        <v>678</v>
      </c>
      <c r="I251" s="408">
        <f t="shared" ref="I251:I252" si="26">IF(G251="",D251*F251,(D251*F251/G251))</f>
        <v>3244.8</v>
      </c>
      <c r="J251" s="400"/>
      <c r="K251" s="401"/>
      <c r="L251" s="401"/>
      <c r="M251" s="404"/>
      <c r="N251" s="404"/>
      <c r="O251" s="404"/>
      <c r="P251" s="404"/>
      <c r="Q251" s="404"/>
      <c r="R251" s="404"/>
      <c r="S251" s="404"/>
      <c r="T251" s="404"/>
      <c r="U251" s="404"/>
      <c r="V251" s="404"/>
      <c r="W251" s="404"/>
      <c r="X251" s="404"/>
      <c r="Y251" s="404"/>
      <c r="Z251" s="404"/>
      <c r="AA251" s="404"/>
      <c r="AB251" s="404"/>
      <c r="AC251" s="404"/>
      <c r="AD251" s="404"/>
      <c r="AE251" s="404"/>
      <c r="AF251" s="404"/>
      <c r="AG251" s="404"/>
      <c r="AH251" s="404"/>
      <c r="AI251" s="404"/>
      <c r="AJ251" s="404"/>
      <c r="AK251" s="404"/>
      <c r="AL251" s="404"/>
      <c r="AM251" s="404"/>
      <c r="AN251" s="404"/>
      <c r="AO251" s="404"/>
      <c r="AP251" s="404"/>
      <c r="AQ251" s="404"/>
      <c r="AR251" s="404"/>
      <c r="AS251" s="404"/>
      <c r="AT251" s="404"/>
      <c r="AU251" s="404"/>
      <c r="AV251" s="404"/>
      <c r="AW251" s="404"/>
      <c r="AX251" s="404"/>
      <c r="AY251" s="404"/>
      <c r="AZ251" s="404"/>
      <c r="BA251" s="404"/>
      <c r="BB251" s="404"/>
      <c r="BC251" s="404"/>
      <c r="BD251" s="404"/>
      <c r="BE251" s="404"/>
      <c r="BF251" s="404"/>
      <c r="BG251" s="404"/>
      <c r="BH251" s="404"/>
      <c r="BI251" s="404"/>
      <c r="BJ251" s="404"/>
      <c r="BK251" s="404"/>
      <c r="BL251" s="404"/>
    </row>
    <row r="252" spans="1:64">
      <c r="A252" s="454"/>
      <c r="B252" s="454"/>
      <c r="C252" s="417" t="str">
        <f>[161]Input!$C$47</f>
        <v>Add for MA @ 40%</v>
      </c>
      <c r="D252" s="408">
        <f>[161]Input!$D$47</f>
        <v>0.4</v>
      </c>
      <c r="E252" s="408"/>
      <c r="F252" s="408">
        <f>I251</f>
        <v>3244.8</v>
      </c>
      <c r="G252" s="430"/>
      <c r="H252" s="408"/>
      <c r="I252" s="408">
        <f t="shared" si="26"/>
        <v>1297.92</v>
      </c>
      <c r="J252" s="400"/>
      <c r="K252" s="401"/>
      <c r="L252" s="401"/>
      <c r="M252" s="404"/>
      <c r="N252" s="404"/>
      <c r="O252" s="404"/>
      <c r="P252" s="404"/>
      <c r="Q252" s="404"/>
      <c r="R252" s="404"/>
      <c r="S252" s="404"/>
      <c r="T252" s="404"/>
      <c r="U252" s="404"/>
      <c r="V252" s="404"/>
      <c r="W252" s="404"/>
      <c r="X252" s="404"/>
      <c r="Y252" s="404"/>
      <c r="Z252" s="404"/>
      <c r="AA252" s="404"/>
      <c r="AB252" s="404"/>
      <c r="AC252" s="404"/>
      <c r="AD252" s="404"/>
      <c r="AE252" s="404"/>
      <c r="AF252" s="404"/>
      <c r="AG252" s="404"/>
      <c r="AH252" s="404"/>
      <c r="AI252" s="404"/>
      <c r="AJ252" s="404"/>
      <c r="AK252" s="404"/>
      <c r="AL252" s="404"/>
      <c r="AM252" s="404"/>
      <c r="AN252" s="404"/>
      <c r="AO252" s="404"/>
      <c r="AP252" s="404"/>
      <c r="AQ252" s="404"/>
      <c r="AR252" s="404"/>
      <c r="AS252" s="404"/>
      <c r="AT252" s="404"/>
      <c r="AU252" s="404"/>
      <c r="AV252" s="404"/>
      <c r="AW252" s="404"/>
      <c r="AX252" s="404"/>
      <c r="AY252" s="404"/>
      <c r="AZ252" s="404"/>
      <c r="BA252" s="404"/>
      <c r="BB252" s="404"/>
      <c r="BC252" s="404"/>
      <c r="BD252" s="404"/>
      <c r="BE252" s="404"/>
      <c r="BF252" s="404"/>
      <c r="BG252" s="404"/>
      <c r="BH252" s="404"/>
      <c r="BI252" s="404"/>
      <c r="BJ252" s="404"/>
      <c r="BK252" s="404"/>
      <c r="BL252" s="404"/>
    </row>
    <row r="253" spans="1:64" ht="13">
      <c r="A253" s="454"/>
      <c r="B253" s="454"/>
      <c r="C253" s="427" t="s">
        <v>794</v>
      </c>
      <c r="D253" s="408"/>
      <c r="E253" s="408"/>
      <c r="F253" s="408"/>
      <c r="G253" s="430"/>
      <c r="H253" s="408"/>
      <c r="I253" s="408"/>
      <c r="J253" s="400"/>
      <c r="K253" s="401"/>
      <c r="L253" s="401"/>
      <c r="M253" s="404"/>
      <c r="N253" s="404"/>
      <c r="O253" s="404"/>
      <c r="P253" s="404"/>
      <c r="Q253" s="404"/>
      <c r="R253" s="404"/>
      <c r="S253" s="404"/>
      <c r="T253" s="404"/>
      <c r="U253" s="404"/>
      <c r="V253" s="404"/>
      <c r="W253" s="404"/>
      <c r="X253" s="404"/>
      <c r="Y253" s="404"/>
      <c r="Z253" s="404"/>
      <c r="AA253" s="404"/>
      <c r="AB253" s="404"/>
      <c r="AC253" s="404"/>
      <c r="AD253" s="404"/>
      <c r="AE253" s="404"/>
      <c r="AF253" s="404"/>
      <c r="AG253" s="404"/>
      <c r="AH253" s="404"/>
      <c r="AI253" s="404"/>
      <c r="AJ253" s="404"/>
      <c r="AK253" s="404"/>
      <c r="AL253" s="404"/>
      <c r="AM253" s="404"/>
      <c r="AN253" s="404"/>
      <c r="AO253" s="404"/>
      <c r="AP253" s="404"/>
      <c r="AQ253" s="404"/>
      <c r="AR253" s="404"/>
      <c r="AS253" s="404"/>
      <c r="AT253" s="404"/>
      <c r="AU253" s="404"/>
      <c r="AV253" s="404"/>
      <c r="AW253" s="404"/>
      <c r="AX253" s="404"/>
      <c r="AY253" s="404"/>
      <c r="AZ253" s="404"/>
      <c r="BA253" s="404"/>
      <c r="BB253" s="404"/>
      <c r="BC253" s="404"/>
      <c r="BD253" s="404"/>
      <c r="BE253" s="404"/>
      <c r="BF253" s="404"/>
      <c r="BG253" s="404"/>
      <c r="BH253" s="404"/>
      <c r="BI253" s="404"/>
      <c r="BJ253" s="404"/>
      <c r="BK253" s="404"/>
      <c r="BL253" s="404"/>
    </row>
    <row r="254" spans="1:64" ht="25">
      <c r="A254" s="454"/>
      <c r="B254" s="454"/>
      <c r="C254" s="468" t="s">
        <v>795</v>
      </c>
      <c r="D254" s="408">
        <v>6</v>
      </c>
      <c r="E254" s="408" t="s">
        <v>796</v>
      </c>
      <c r="F254" s="408">
        <f>'[161]Civil-SOR'!$G$333</f>
        <v>3185.7</v>
      </c>
      <c r="G254" s="430">
        <v>1</v>
      </c>
      <c r="H254" s="408" t="s">
        <v>797</v>
      </c>
      <c r="I254" s="408">
        <f t="shared" ref="I254:I256" si="27">IF(G254="",D254*F254,(D254*F254/G254))</f>
        <v>19114.199999999997</v>
      </c>
      <c r="J254" s="400"/>
      <c r="K254" s="401"/>
      <c r="L254" s="401"/>
      <c r="M254" s="404"/>
      <c r="N254" s="404"/>
      <c r="O254" s="404"/>
      <c r="P254" s="404"/>
      <c r="Q254" s="404"/>
      <c r="R254" s="404"/>
      <c r="S254" s="404"/>
      <c r="T254" s="404"/>
      <c r="U254" s="404"/>
      <c r="V254" s="404"/>
      <c r="W254" s="404"/>
      <c r="X254" s="404"/>
      <c r="Y254" s="404"/>
      <c r="Z254" s="404"/>
      <c r="AA254" s="404"/>
      <c r="AB254" s="404"/>
      <c r="AC254" s="404"/>
      <c r="AD254" s="404"/>
      <c r="AE254" s="404"/>
      <c r="AF254" s="404"/>
      <c r="AG254" s="404"/>
      <c r="AH254" s="404"/>
      <c r="AI254" s="404"/>
      <c r="AJ254" s="404"/>
      <c r="AK254" s="404"/>
      <c r="AL254" s="404"/>
      <c r="AM254" s="404"/>
      <c r="AN254" s="404"/>
      <c r="AO254" s="404"/>
      <c r="AP254" s="404"/>
      <c r="AQ254" s="404"/>
      <c r="AR254" s="404"/>
      <c r="AS254" s="404"/>
      <c r="AT254" s="404"/>
      <c r="AU254" s="404"/>
      <c r="AV254" s="404"/>
      <c r="AW254" s="404"/>
      <c r="AX254" s="404"/>
      <c r="AY254" s="404"/>
      <c r="AZ254" s="404"/>
      <c r="BA254" s="404"/>
      <c r="BB254" s="404"/>
      <c r="BC254" s="404"/>
      <c r="BD254" s="404"/>
      <c r="BE254" s="404"/>
      <c r="BF254" s="404"/>
      <c r="BG254" s="404"/>
      <c r="BH254" s="404"/>
      <c r="BI254" s="404"/>
      <c r="BJ254" s="404"/>
      <c r="BK254" s="404"/>
      <c r="BL254" s="404"/>
    </row>
    <row r="255" spans="1:64">
      <c r="A255" s="454"/>
      <c r="B255" s="454"/>
      <c r="C255" s="417" t="s">
        <v>798</v>
      </c>
      <c r="D255" s="408">
        <v>6</v>
      </c>
      <c r="E255" s="408" t="s">
        <v>796</v>
      </c>
      <c r="F255" s="408">
        <f>'[161]Civil-SOR'!$J$333</f>
        <v>317.2</v>
      </c>
      <c r="G255" s="430">
        <v>1</v>
      </c>
      <c r="H255" s="408" t="s">
        <v>797</v>
      </c>
      <c r="I255" s="408">
        <f t="shared" si="27"/>
        <v>1903.1999999999998</v>
      </c>
      <c r="J255" s="400"/>
      <c r="K255" s="401"/>
      <c r="L255" s="401"/>
      <c r="M255" s="404"/>
      <c r="N255" s="404"/>
      <c r="O255" s="404"/>
      <c r="P255" s="404"/>
      <c r="Q255" s="404"/>
      <c r="R255" s="404"/>
      <c r="S255" s="404"/>
      <c r="T255" s="404"/>
      <c r="U255" s="404"/>
      <c r="V255" s="404"/>
      <c r="W255" s="404"/>
      <c r="X255" s="404"/>
      <c r="Y255" s="404"/>
      <c r="Z255" s="404"/>
      <c r="AA255" s="404"/>
      <c r="AB255" s="404"/>
      <c r="AC255" s="404"/>
      <c r="AD255" s="404"/>
      <c r="AE255" s="404"/>
      <c r="AF255" s="404"/>
      <c r="AG255" s="404"/>
      <c r="AH255" s="404"/>
      <c r="AI255" s="404"/>
      <c r="AJ255" s="404"/>
      <c r="AK255" s="404"/>
      <c r="AL255" s="404"/>
      <c r="AM255" s="404"/>
      <c r="AN255" s="404"/>
      <c r="AO255" s="404"/>
      <c r="AP255" s="404"/>
      <c r="AQ255" s="404"/>
      <c r="AR255" s="404"/>
      <c r="AS255" s="404"/>
      <c r="AT255" s="404"/>
      <c r="AU255" s="404"/>
      <c r="AV255" s="404"/>
      <c r="AW255" s="404"/>
      <c r="AX255" s="404"/>
      <c r="AY255" s="404"/>
      <c r="AZ255" s="404"/>
      <c r="BA255" s="404"/>
      <c r="BB255" s="404"/>
      <c r="BC255" s="404"/>
      <c r="BD255" s="404"/>
      <c r="BE255" s="404"/>
      <c r="BF255" s="404"/>
      <c r="BG255" s="404"/>
      <c r="BH255" s="404"/>
      <c r="BI255" s="404"/>
      <c r="BJ255" s="404"/>
      <c r="BK255" s="404"/>
      <c r="BL255" s="404"/>
    </row>
    <row r="256" spans="1:64">
      <c r="A256" s="454"/>
      <c r="B256" s="454"/>
      <c r="C256" s="417" t="s">
        <v>799</v>
      </c>
      <c r="D256" s="408">
        <f>[161]Input!$D$47</f>
        <v>0.4</v>
      </c>
      <c r="E256" s="408"/>
      <c r="F256" s="408">
        <f>$I$255</f>
        <v>1903.1999999999998</v>
      </c>
      <c r="G256" s="430"/>
      <c r="H256" s="408"/>
      <c r="I256" s="408">
        <f t="shared" si="27"/>
        <v>761.28</v>
      </c>
      <c r="J256" s="400"/>
      <c r="K256" s="401"/>
      <c r="L256" s="401"/>
      <c r="M256" s="404"/>
      <c r="N256" s="404"/>
      <c r="O256" s="404"/>
      <c r="P256" s="404"/>
      <c r="Q256" s="404"/>
      <c r="R256" s="404"/>
      <c r="S256" s="404"/>
      <c r="T256" s="404"/>
      <c r="U256" s="404"/>
      <c r="V256" s="404"/>
      <c r="W256" s="404"/>
      <c r="X256" s="404"/>
      <c r="Y256" s="404"/>
      <c r="Z256" s="404"/>
      <c r="AA256" s="404"/>
      <c r="AB256" s="404"/>
      <c r="AC256" s="404"/>
      <c r="AD256" s="404"/>
      <c r="AE256" s="404"/>
      <c r="AF256" s="404"/>
      <c r="AG256" s="404"/>
      <c r="AH256" s="404"/>
      <c r="AI256" s="404"/>
      <c r="AJ256" s="404"/>
      <c r="AK256" s="404"/>
      <c r="AL256" s="404"/>
      <c r="AM256" s="404"/>
      <c r="AN256" s="404"/>
      <c r="AO256" s="404"/>
      <c r="AP256" s="404"/>
      <c r="AQ256" s="404"/>
      <c r="AR256" s="404"/>
      <c r="AS256" s="404"/>
      <c r="AT256" s="404"/>
      <c r="AU256" s="404"/>
      <c r="AV256" s="404"/>
      <c r="AW256" s="404"/>
      <c r="AX256" s="404"/>
      <c r="AY256" s="404"/>
      <c r="AZ256" s="404"/>
      <c r="BA256" s="404"/>
      <c r="BB256" s="404"/>
      <c r="BC256" s="404"/>
      <c r="BD256" s="404"/>
      <c r="BE256" s="404"/>
      <c r="BF256" s="404"/>
      <c r="BG256" s="404"/>
      <c r="BH256" s="404"/>
      <c r="BI256" s="404"/>
      <c r="BJ256" s="404"/>
      <c r="BK256" s="404"/>
      <c r="BL256" s="404"/>
    </row>
    <row r="257" spans="1:64">
      <c r="A257" s="454"/>
      <c r="B257" s="454"/>
      <c r="C257" s="417" t="s">
        <v>800</v>
      </c>
      <c r="D257" s="408"/>
      <c r="E257" s="408"/>
      <c r="F257" s="408"/>
      <c r="G257" s="408"/>
      <c r="H257" s="408"/>
      <c r="I257" s="408">
        <f>SUM(I251:I256)</f>
        <v>26321.399999999998</v>
      </c>
      <c r="J257" s="400"/>
      <c r="K257" s="401"/>
      <c r="L257" s="401"/>
      <c r="M257" s="404"/>
      <c r="N257" s="404"/>
      <c r="O257" s="404"/>
      <c r="P257" s="404"/>
      <c r="Q257" s="404"/>
      <c r="R257" s="404"/>
      <c r="S257" s="404"/>
      <c r="T257" s="404"/>
      <c r="U257" s="404"/>
      <c r="V257" s="404"/>
      <c r="W257" s="404"/>
      <c r="X257" s="404"/>
      <c r="Y257" s="404"/>
      <c r="Z257" s="404"/>
      <c r="AA257" s="404"/>
      <c r="AB257" s="404"/>
      <c r="AC257" s="404"/>
      <c r="AD257" s="404"/>
      <c r="AE257" s="404"/>
      <c r="AF257" s="404"/>
      <c r="AG257" s="404"/>
      <c r="AH257" s="404"/>
      <c r="AI257" s="404"/>
      <c r="AJ257" s="404"/>
      <c r="AK257" s="404"/>
      <c r="AL257" s="404"/>
      <c r="AM257" s="404"/>
      <c r="AN257" s="404"/>
      <c r="AO257" s="404"/>
      <c r="AP257" s="404"/>
      <c r="AQ257" s="404"/>
      <c r="AR257" s="404"/>
      <c r="AS257" s="404"/>
      <c r="AT257" s="404"/>
      <c r="AU257" s="404"/>
      <c r="AV257" s="404"/>
      <c r="AW257" s="404"/>
      <c r="AX257" s="404"/>
      <c r="AY257" s="404"/>
      <c r="AZ257" s="404"/>
      <c r="BA257" s="404"/>
      <c r="BB257" s="404"/>
      <c r="BC257" s="404"/>
      <c r="BD257" s="404"/>
      <c r="BE257" s="404"/>
      <c r="BF257" s="404"/>
      <c r="BG257" s="404"/>
      <c r="BH257" s="404"/>
      <c r="BI257" s="404"/>
      <c r="BJ257" s="404"/>
      <c r="BK257" s="404"/>
      <c r="BL257" s="404"/>
    </row>
    <row r="258" spans="1:64" ht="25">
      <c r="A258" s="454"/>
      <c r="B258" s="454"/>
      <c r="C258" s="468" t="str">
        <f>[161]Input!$C$48</f>
        <v>Overheads &amp; Contractors Profit @ 13.615%</v>
      </c>
      <c r="D258" s="467">
        <f>[161]Input!$D$48</f>
        <v>0.13614999999999999</v>
      </c>
      <c r="E258" s="408"/>
      <c r="F258" s="408">
        <f>I257</f>
        <v>26321.399999999998</v>
      </c>
      <c r="G258" s="430"/>
      <c r="H258" s="414"/>
      <c r="I258" s="408">
        <f>IF(G258="",D258*F258,(D258*F258/G258))</f>
        <v>3583.6586099999995</v>
      </c>
      <c r="J258" s="400"/>
      <c r="K258" s="401"/>
      <c r="L258" s="401"/>
      <c r="M258" s="404"/>
      <c r="N258" s="404"/>
      <c r="O258" s="404"/>
      <c r="P258" s="404"/>
      <c r="Q258" s="404"/>
      <c r="R258" s="404"/>
      <c r="S258" s="404"/>
      <c r="T258" s="404"/>
      <c r="U258" s="404"/>
      <c r="V258" s="404"/>
      <c r="W258" s="404"/>
      <c r="X258" s="404"/>
      <c r="Y258" s="404"/>
      <c r="Z258" s="404"/>
      <c r="AA258" s="404"/>
      <c r="AB258" s="404"/>
      <c r="AC258" s="404"/>
      <c r="AD258" s="404"/>
      <c r="AE258" s="404"/>
      <c r="AF258" s="404"/>
      <c r="AG258" s="404"/>
      <c r="AH258" s="404"/>
      <c r="AI258" s="404"/>
      <c r="AJ258" s="404"/>
      <c r="AK258" s="404"/>
      <c r="AL258" s="404"/>
      <c r="AM258" s="404"/>
      <c r="AN258" s="404"/>
      <c r="AO258" s="404"/>
      <c r="AP258" s="404"/>
      <c r="AQ258" s="404"/>
      <c r="AR258" s="404"/>
      <c r="AS258" s="404"/>
      <c r="AT258" s="404"/>
      <c r="AU258" s="404"/>
      <c r="AV258" s="404"/>
      <c r="AW258" s="404"/>
      <c r="AX258" s="404"/>
      <c r="AY258" s="404"/>
      <c r="AZ258" s="404"/>
      <c r="BA258" s="404"/>
      <c r="BB258" s="404"/>
      <c r="BC258" s="404"/>
      <c r="BD258" s="404"/>
      <c r="BE258" s="404"/>
      <c r="BF258" s="404"/>
      <c r="BG258" s="404"/>
      <c r="BH258" s="404"/>
      <c r="BI258" s="404"/>
      <c r="BJ258" s="404"/>
      <c r="BK258" s="404"/>
      <c r="BL258" s="404"/>
    </row>
    <row r="259" spans="1:64" ht="13">
      <c r="A259" s="454"/>
      <c r="B259" s="454"/>
      <c r="C259" s="417" t="s">
        <v>819</v>
      </c>
      <c r="D259" s="408"/>
      <c r="E259" s="408"/>
      <c r="F259" s="408"/>
      <c r="G259" s="430"/>
      <c r="H259" s="414"/>
      <c r="I259" s="408">
        <f>SUM(I257:I258)</f>
        <v>29905.058609999996</v>
      </c>
      <c r="J259" s="400"/>
      <c r="K259" s="401"/>
      <c r="L259" s="401"/>
      <c r="M259" s="404"/>
      <c r="N259" s="404"/>
      <c r="O259" s="404"/>
      <c r="P259" s="404"/>
      <c r="Q259" s="404"/>
      <c r="R259" s="404"/>
      <c r="S259" s="404"/>
      <c r="T259" s="404"/>
      <c r="U259" s="404"/>
      <c r="V259" s="404"/>
      <c r="W259" s="404"/>
      <c r="X259" s="404"/>
      <c r="Y259" s="404"/>
      <c r="Z259" s="404"/>
      <c r="AA259" s="404"/>
      <c r="AB259" s="404"/>
      <c r="AC259" s="404"/>
      <c r="AD259" s="404"/>
      <c r="AE259" s="404"/>
      <c r="AF259" s="404"/>
      <c r="AG259" s="404"/>
      <c r="AH259" s="404"/>
      <c r="AI259" s="404"/>
      <c r="AJ259" s="404"/>
      <c r="AK259" s="404"/>
      <c r="AL259" s="404"/>
      <c r="AM259" s="404"/>
      <c r="AN259" s="404"/>
      <c r="AO259" s="404"/>
      <c r="AP259" s="404"/>
      <c r="AQ259" s="404"/>
      <c r="AR259" s="404"/>
      <c r="AS259" s="404"/>
      <c r="AT259" s="404"/>
      <c r="AU259" s="404"/>
      <c r="AV259" s="404"/>
      <c r="AW259" s="404"/>
      <c r="AX259" s="404"/>
      <c r="AY259" s="404"/>
      <c r="AZ259" s="404"/>
      <c r="BA259" s="404"/>
      <c r="BB259" s="404"/>
      <c r="BC259" s="404"/>
      <c r="BD259" s="404"/>
      <c r="BE259" s="404"/>
      <c r="BF259" s="404"/>
      <c r="BG259" s="404"/>
      <c r="BH259" s="404"/>
      <c r="BI259" s="404"/>
      <c r="BJ259" s="404"/>
      <c r="BK259" s="404"/>
      <c r="BL259" s="404"/>
    </row>
    <row r="260" spans="1:64" ht="13">
      <c r="A260" s="454"/>
      <c r="B260" s="454"/>
      <c r="C260" s="427" t="s">
        <v>820</v>
      </c>
      <c r="D260" s="408"/>
      <c r="E260" s="408"/>
      <c r="F260" s="408"/>
      <c r="G260" s="430"/>
      <c r="H260" s="408" t="s">
        <v>725</v>
      </c>
      <c r="I260" s="408">
        <f>I259/180</f>
        <v>166.13921449999998</v>
      </c>
      <c r="J260" s="400"/>
      <c r="K260" s="401"/>
      <c r="L260" s="401"/>
      <c r="M260" s="404"/>
      <c r="N260" s="404"/>
      <c r="O260" s="404"/>
      <c r="P260" s="404"/>
      <c r="Q260" s="404"/>
      <c r="R260" s="404"/>
      <c r="S260" s="404"/>
      <c r="T260" s="404"/>
      <c r="U260" s="404"/>
      <c r="V260" s="404"/>
      <c r="W260" s="404"/>
      <c r="X260" s="404"/>
      <c r="Y260" s="404"/>
      <c r="Z260" s="404"/>
      <c r="AA260" s="404"/>
      <c r="AB260" s="404"/>
      <c r="AC260" s="404"/>
      <c r="AD260" s="404"/>
      <c r="AE260" s="404"/>
      <c r="AF260" s="404"/>
      <c r="AG260" s="404"/>
      <c r="AH260" s="404"/>
      <c r="AI260" s="404"/>
      <c r="AJ260" s="404"/>
      <c r="AK260" s="404"/>
      <c r="AL260" s="404"/>
      <c r="AM260" s="404"/>
      <c r="AN260" s="404"/>
      <c r="AO260" s="404"/>
      <c r="AP260" s="404"/>
      <c r="AQ260" s="404"/>
      <c r="AR260" s="404"/>
      <c r="AS260" s="404"/>
      <c r="AT260" s="404"/>
      <c r="AU260" s="404"/>
      <c r="AV260" s="404"/>
      <c r="AW260" s="404"/>
      <c r="AX260" s="404"/>
      <c r="AY260" s="404"/>
      <c r="AZ260" s="404"/>
      <c r="BA260" s="404"/>
      <c r="BB260" s="404"/>
      <c r="BC260" s="404"/>
      <c r="BD260" s="404"/>
      <c r="BE260" s="404"/>
      <c r="BF260" s="404"/>
      <c r="BG260" s="404"/>
      <c r="BH260" s="404"/>
      <c r="BI260" s="404"/>
      <c r="BJ260" s="404"/>
      <c r="BK260" s="404"/>
      <c r="BL260" s="404"/>
    </row>
    <row r="261" spans="1:64" ht="13">
      <c r="A261" s="454"/>
      <c r="B261" s="454"/>
      <c r="C261" s="427" t="s">
        <v>724</v>
      </c>
      <c r="D261" s="408"/>
      <c r="E261" s="408"/>
      <c r="F261" s="408"/>
      <c r="G261" s="430"/>
      <c r="H261" s="415" t="s">
        <v>687</v>
      </c>
      <c r="I261" s="414">
        <f>ROUND(I260,0)</f>
        <v>166</v>
      </c>
      <c r="J261" s="472"/>
      <c r="K261" s="401"/>
      <c r="L261" s="401"/>
      <c r="M261" s="404"/>
      <c r="N261" s="404"/>
      <c r="O261" s="404"/>
      <c r="P261" s="404"/>
      <c r="Q261" s="404"/>
      <c r="R261" s="404"/>
      <c r="S261" s="404"/>
      <c r="T261" s="404"/>
      <c r="U261" s="404"/>
      <c r="V261" s="404"/>
      <c r="W261" s="404"/>
      <c r="X261" s="404"/>
      <c r="Y261" s="404"/>
      <c r="Z261" s="404"/>
      <c r="AA261" s="404"/>
      <c r="AB261" s="404"/>
      <c r="AC261" s="404"/>
      <c r="AD261" s="404"/>
      <c r="AE261" s="404"/>
      <c r="AF261" s="404"/>
      <c r="AG261" s="404"/>
      <c r="AH261" s="404"/>
      <c r="AI261" s="404"/>
      <c r="AJ261" s="404"/>
      <c r="AK261" s="404"/>
      <c r="AL261" s="404"/>
      <c r="AM261" s="404"/>
      <c r="AN261" s="404"/>
      <c r="AO261" s="404"/>
      <c r="AP261" s="404"/>
      <c r="AQ261" s="404"/>
      <c r="AR261" s="404"/>
      <c r="AS261" s="404"/>
      <c r="AT261" s="404"/>
      <c r="AU261" s="404"/>
      <c r="AV261" s="404"/>
      <c r="AW261" s="404"/>
      <c r="AX261" s="404"/>
      <c r="AY261" s="404"/>
      <c r="AZ261" s="404"/>
      <c r="BA261" s="404"/>
      <c r="BB261" s="404"/>
      <c r="BC261" s="404"/>
      <c r="BD261" s="404"/>
      <c r="BE261" s="404"/>
      <c r="BF261" s="404"/>
      <c r="BG261" s="404"/>
      <c r="BH261" s="404"/>
      <c r="BI261" s="404"/>
      <c r="BJ261" s="404"/>
      <c r="BK261" s="404"/>
      <c r="BL261" s="404"/>
    </row>
    <row r="262" spans="1:64" ht="13">
      <c r="A262" s="454"/>
      <c r="B262" s="454"/>
      <c r="C262" s="427"/>
      <c r="D262" s="408"/>
      <c r="E262" s="408"/>
      <c r="F262" s="408"/>
      <c r="G262" s="430"/>
      <c r="H262" s="415"/>
      <c r="I262" s="414"/>
      <c r="J262" s="472"/>
      <c r="K262" s="401"/>
      <c r="L262" s="401"/>
    </row>
    <row r="263" spans="1:64" ht="47.9" customHeight="1">
      <c r="A263" s="1302">
        <f>A245+1</f>
        <v>7</v>
      </c>
      <c r="B263" s="1302"/>
      <c r="C263" s="1276" t="s">
        <v>821</v>
      </c>
      <c r="D263" s="1276"/>
      <c r="E263" s="1276"/>
      <c r="F263" s="1276"/>
      <c r="G263" s="1276"/>
      <c r="H263" s="1276"/>
      <c r="I263" s="407"/>
      <c r="J263" s="400"/>
      <c r="K263" s="401"/>
      <c r="L263" s="401"/>
      <c r="M263" s="404"/>
      <c r="N263" s="404"/>
      <c r="O263" s="404"/>
      <c r="P263" s="404"/>
      <c r="Q263" s="404"/>
      <c r="R263" s="404"/>
      <c r="S263" s="404"/>
      <c r="T263" s="404"/>
      <c r="U263" s="404"/>
      <c r="V263" s="404"/>
      <c r="W263" s="404"/>
      <c r="X263" s="404"/>
      <c r="Y263" s="404"/>
      <c r="Z263" s="404"/>
      <c r="AA263" s="404"/>
      <c r="AB263" s="404"/>
      <c r="AC263" s="404"/>
      <c r="AD263" s="404"/>
      <c r="AE263" s="404"/>
      <c r="AF263" s="404"/>
      <c r="AG263" s="404"/>
      <c r="AH263" s="404"/>
      <c r="AI263" s="404"/>
      <c r="AJ263" s="404"/>
      <c r="AK263" s="404"/>
      <c r="AL263" s="404"/>
      <c r="AM263" s="404"/>
      <c r="AN263" s="404"/>
      <c r="AO263" s="404"/>
      <c r="AP263" s="404"/>
      <c r="AQ263" s="404"/>
      <c r="AR263" s="404"/>
      <c r="AS263" s="404"/>
      <c r="AT263" s="404"/>
      <c r="AU263" s="404"/>
      <c r="AV263" s="404"/>
      <c r="AW263" s="404"/>
      <c r="AX263" s="404"/>
      <c r="AY263" s="404"/>
      <c r="AZ263" s="404"/>
      <c r="BA263" s="404"/>
      <c r="BB263" s="404"/>
      <c r="BC263" s="404"/>
      <c r="BD263" s="404"/>
      <c r="BE263" s="404"/>
      <c r="BF263" s="404"/>
      <c r="BG263" s="404"/>
      <c r="BH263" s="404"/>
      <c r="BI263" s="404"/>
      <c r="BJ263" s="404"/>
      <c r="BK263" s="404"/>
      <c r="BL263" s="404"/>
    </row>
    <row r="264" spans="1:64" ht="12.75" customHeight="1">
      <c r="A264" s="454"/>
      <c r="B264" s="454"/>
      <c r="C264" s="1294" t="s">
        <v>822</v>
      </c>
      <c r="D264" s="1294"/>
      <c r="E264" s="1294"/>
      <c r="F264" s="1294"/>
      <c r="G264" s="1294"/>
      <c r="H264" s="456"/>
      <c r="I264" s="408"/>
      <c r="J264" s="400"/>
      <c r="K264" s="401"/>
      <c r="L264" s="401"/>
      <c r="M264" s="404"/>
      <c r="N264" s="404"/>
      <c r="O264" s="404"/>
      <c r="P264" s="404"/>
      <c r="Q264" s="404"/>
      <c r="R264" s="404"/>
      <c r="S264" s="404"/>
      <c r="T264" s="404"/>
      <c r="U264" s="404"/>
      <c r="V264" s="404"/>
      <c r="W264" s="404"/>
      <c r="X264" s="404"/>
      <c r="Y264" s="404"/>
      <c r="Z264" s="404"/>
      <c r="AA264" s="404"/>
      <c r="AB264" s="404"/>
      <c r="AC264" s="404"/>
      <c r="AD264" s="404"/>
      <c r="AE264" s="404"/>
      <c r="AF264" s="404"/>
      <c r="AG264" s="404"/>
      <c r="AH264" s="404"/>
      <c r="AI264" s="404"/>
      <c r="AJ264" s="404"/>
      <c r="AK264" s="404"/>
      <c r="AL264" s="404"/>
      <c r="AM264" s="404"/>
      <c r="AN264" s="404"/>
      <c r="AO264" s="404"/>
      <c r="AP264" s="404"/>
      <c r="AQ264" s="404"/>
      <c r="AR264" s="404"/>
      <c r="AS264" s="404"/>
      <c r="AT264" s="404"/>
      <c r="AU264" s="404"/>
      <c r="AV264" s="404"/>
      <c r="AW264" s="404"/>
      <c r="AX264" s="404"/>
      <c r="AY264" s="404"/>
      <c r="AZ264" s="404"/>
      <c r="BA264" s="404"/>
      <c r="BB264" s="404"/>
      <c r="BC264" s="404"/>
      <c r="BD264" s="404"/>
      <c r="BE264" s="404"/>
      <c r="BF264" s="404"/>
      <c r="BG264" s="404"/>
      <c r="BH264" s="404"/>
      <c r="BI264" s="404"/>
      <c r="BJ264" s="404"/>
      <c r="BK264" s="404"/>
      <c r="BL264" s="404"/>
    </row>
    <row r="265" spans="1:64" ht="13">
      <c r="A265" s="454"/>
      <c r="B265" s="454"/>
      <c r="C265" s="427" t="s">
        <v>779</v>
      </c>
      <c r="D265" s="408"/>
      <c r="E265" s="408"/>
      <c r="F265" s="408"/>
      <c r="G265" s="430"/>
      <c r="H265" s="456" t="str">
        <f>IF(E265="","",IF(E265="No.","Each",IF(E265="Nos.","Each",E265)))</f>
        <v/>
      </c>
      <c r="I265" s="408"/>
      <c r="J265" s="400"/>
      <c r="K265" s="401"/>
      <c r="L265" s="401"/>
      <c r="M265" s="404"/>
      <c r="N265" s="404"/>
      <c r="O265" s="404"/>
      <c r="P265" s="404"/>
      <c r="Q265" s="404"/>
      <c r="R265" s="404"/>
      <c r="S265" s="404"/>
      <c r="T265" s="404"/>
      <c r="U265" s="404"/>
      <c r="V265" s="404"/>
      <c r="W265" s="404"/>
      <c r="X265" s="404"/>
      <c r="Y265" s="404"/>
      <c r="Z265" s="404"/>
      <c r="AA265" s="404"/>
      <c r="AB265" s="404"/>
      <c r="AC265" s="404"/>
      <c r="AD265" s="404"/>
      <c r="AE265" s="404"/>
      <c r="AF265" s="404"/>
      <c r="AG265" s="404"/>
      <c r="AH265" s="404"/>
      <c r="AI265" s="404"/>
      <c r="AJ265" s="404"/>
      <c r="AK265" s="404"/>
      <c r="AL265" s="404"/>
      <c r="AM265" s="404"/>
      <c r="AN265" s="404"/>
      <c r="AO265" s="404"/>
      <c r="AP265" s="404"/>
      <c r="AQ265" s="404"/>
      <c r="AR265" s="404"/>
      <c r="AS265" s="404"/>
      <c r="AT265" s="404"/>
      <c r="AU265" s="404"/>
      <c r="AV265" s="404"/>
      <c r="AW265" s="404"/>
      <c r="AX265" s="404"/>
      <c r="AY265" s="404"/>
      <c r="AZ265" s="404"/>
      <c r="BA265" s="404"/>
      <c r="BB265" s="404"/>
      <c r="BC265" s="404"/>
      <c r="BD265" s="404"/>
      <c r="BE265" s="404"/>
      <c r="BF265" s="404"/>
      <c r="BG265" s="404"/>
      <c r="BH265" s="404"/>
      <c r="BI265" s="404"/>
      <c r="BJ265" s="404"/>
      <c r="BK265" s="404"/>
      <c r="BL265" s="404"/>
    </row>
    <row r="266" spans="1:64" ht="13">
      <c r="A266" s="454"/>
      <c r="B266" s="454"/>
      <c r="C266" s="427" t="s">
        <v>780</v>
      </c>
      <c r="D266" s="457"/>
      <c r="E266" s="415"/>
      <c r="F266" s="408"/>
      <c r="G266" s="410"/>
      <c r="H266" s="426"/>
      <c r="I266" s="408"/>
      <c r="J266" s="400"/>
      <c r="K266" s="401"/>
      <c r="L266" s="401"/>
      <c r="M266" s="404"/>
      <c r="N266" s="404"/>
      <c r="O266" s="404"/>
      <c r="P266" s="404"/>
      <c r="Q266" s="404"/>
      <c r="R266" s="404"/>
      <c r="S266" s="404"/>
      <c r="T266" s="404"/>
      <c r="U266" s="404"/>
      <c r="V266" s="404"/>
      <c r="W266" s="404"/>
      <c r="X266" s="404"/>
      <c r="Y266" s="404"/>
      <c r="Z266" s="404"/>
      <c r="AA266" s="404"/>
      <c r="AB266" s="404"/>
      <c r="AC266" s="404"/>
      <c r="AD266" s="404"/>
      <c r="AE266" s="404"/>
      <c r="AF266" s="404"/>
      <c r="AG266" s="404"/>
      <c r="AH266" s="404"/>
      <c r="AI266" s="404"/>
      <c r="AJ266" s="404"/>
      <c r="AK266" s="404"/>
      <c r="AL266" s="404"/>
      <c r="AM266" s="404"/>
      <c r="AN266" s="404"/>
      <c r="AO266" s="404"/>
      <c r="AP266" s="404"/>
      <c r="AQ266" s="404"/>
      <c r="AR266" s="404"/>
      <c r="AS266" s="404"/>
      <c r="AT266" s="404"/>
      <c r="AU266" s="404"/>
      <c r="AV266" s="404"/>
      <c r="AW266" s="404"/>
      <c r="AX266" s="404"/>
      <c r="AY266" s="404"/>
      <c r="AZ266" s="404"/>
      <c r="BA266" s="404"/>
      <c r="BB266" s="404"/>
      <c r="BC266" s="404"/>
      <c r="BD266" s="404"/>
      <c r="BE266" s="404"/>
      <c r="BF266" s="404"/>
      <c r="BG266" s="404"/>
      <c r="BH266" s="404"/>
      <c r="BI266" s="404"/>
      <c r="BJ266" s="404"/>
      <c r="BK266" s="404"/>
      <c r="BL266" s="404"/>
    </row>
    <row r="267" spans="1:64" ht="13">
      <c r="A267" s="454"/>
      <c r="B267" s="454"/>
      <c r="C267" s="427" t="s">
        <v>781</v>
      </c>
      <c r="D267" s="408"/>
      <c r="E267" s="408"/>
      <c r="F267" s="408"/>
      <c r="G267" s="430"/>
      <c r="H267" s="414"/>
      <c r="I267" s="414"/>
      <c r="J267" s="400"/>
      <c r="K267" s="401"/>
      <c r="L267" s="401"/>
      <c r="M267" s="404"/>
      <c r="N267" s="404"/>
      <c r="O267" s="404"/>
      <c r="P267" s="404"/>
      <c r="Q267" s="404"/>
      <c r="R267" s="404"/>
      <c r="S267" s="404"/>
      <c r="T267" s="404"/>
      <c r="U267" s="404"/>
      <c r="V267" s="404"/>
      <c r="W267" s="404"/>
      <c r="X267" s="404"/>
      <c r="Y267" s="404"/>
      <c r="Z267" s="404"/>
      <c r="AA267" s="404"/>
      <c r="AB267" s="404"/>
      <c r="AC267" s="404"/>
      <c r="AD267" s="404"/>
      <c r="AE267" s="404"/>
      <c r="AF267" s="404"/>
      <c r="AG267" s="404"/>
      <c r="AH267" s="404"/>
      <c r="AI267" s="404"/>
      <c r="AJ267" s="404"/>
      <c r="AK267" s="404"/>
      <c r="AL267" s="404"/>
      <c r="AM267" s="404"/>
      <c r="AN267" s="404"/>
      <c r="AO267" s="404"/>
      <c r="AP267" s="404"/>
      <c r="AQ267" s="404"/>
      <c r="AR267" s="404"/>
      <c r="AS267" s="404"/>
      <c r="AT267" s="404"/>
      <c r="AU267" s="404"/>
      <c r="AV267" s="404"/>
      <c r="AW267" s="404"/>
      <c r="AX267" s="404"/>
      <c r="AY267" s="404"/>
      <c r="AZ267" s="404"/>
      <c r="BA267" s="404"/>
      <c r="BB267" s="404"/>
      <c r="BC267" s="404"/>
      <c r="BD267" s="404"/>
      <c r="BE267" s="404"/>
      <c r="BF267" s="404"/>
      <c r="BG267" s="404"/>
      <c r="BH267" s="404"/>
      <c r="BI267" s="404"/>
      <c r="BJ267" s="404"/>
      <c r="BK267" s="404"/>
      <c r="BL267" s="404"/>
    </row>
    <row r="268" spans="1:64" ht="25">
      <c r="A268" s="454"/>
      <c r="B268" s="454"/>
      <c r="C268" s="445" t="s">
        <v>823</v>
      </c>
      <c r="D268" s="408">
        <v>0.5</v>
      </c>
      <c r="E268" s="408" t="s">
        <v>375</v>
      </c>
      <c r="F268" s="408">
        <f>'[161]Civil-SOR'!$G$295</f>
        <v>605</v>
      </c>
      <c r="G268" s="430">
        <v>1</v>
      </c>
      <c r="H268" s="408" t="s">
        <v>678</v>
      </c>
      <c r="I268" s="408">
        <f t="shared" ref="I268:I271" si="28">IF(G268="",D268*F268,(D268*F268/G268))</f>
        <v>302.5</v>
      </c>
      <c r="J268" s="418"/>
      <c r="K268" s="419"/>
      <c r="L268" s="419"/>
      <c r="M268" s="420"/>
      <c r="N268" s="420"/>
      <c r="O268" s="420"/>
      <c r="P268" s="420"/>
      <c r="Q268" s="420"/>
      <c r="R268" s="420"/>
      <c r="S268" s="420"/>
      <c r="T268" s="420"/>
      <c r="U268" s="420"/>
      <c r="V268" s="420"/>
      <c r="W268" s="420"/>
      <c r="X268" s="420"/>
      <c r="Y268" s="420"/>
      <c r="Z268" s="420"/>
      <c r="AA268" s="420"/>
      <c r="AB268" s="420"/>
      <c r="AC268" s="420"/>
      <c r="AD268" s="420"/>
      <c r="AE268" s="420"/>
      <c r="AF268" s="420"/>
      <c r="AG268" s="420"/>
      <c r="AH268" s="420"/>
      <c r="AI268" s="420"/>
      <c r="AJ268" s="420"/>
      <c r="AK268" s="420"/>
      <c r="AL268" s="420"/>
      <c r="AM268" s="420"/>
      <c r="AN268" s="420"/>
      <c r="AO268" s="420"/>
      <c r="AP268" s="420"/>
      <c r="AQ268" s="420"/>
      <c r="AR268" s="420"/>
      <c r="AS268" s="420"/>
      <c r="AT268" s="420"/>
      <c r="AU268" s="420"/>
      <c r="AV268" s="420"/>
      <c r="AW268" s="420"/>
      <c r="AX268" s="420"/>
      <c r="AY268" s="420"/>
      <c r="AZ268" s="420"/>
      <c r="BA268" s="420"/>
      <c r="BB268" s="420"/>
      <c r="BC268" s="420"/>
      <c r="BD268" s="420"/>
      <c r="BE268" s="420"/>
      <c r="BF268" s="420"/>
      <c r="BG268" s="420"/>
      <c r="BH268" s="420"/>
      <c r="BI268" s="420"/>
      <c r="BJ268" s="420"/>
      <c r="BK268" s="420"/>
      <c r="BL268" s="420"/>
    </row>
    <row r="269" spans="1:64" ht="25">
      <c r="A269" s="454"/>
      <c r="B269" s="454"/>
      <c r="C269" s="445" t="s">
        <v>824</v>
      </c>
      <c r="D269" s="408">
        <v>0.25</v>
      </c>
      <c r="E269" s="408" t="s">
        <v>375</v>
      </c>
      <c r="F269" s="408">
        <f>'[161]Civil-SOR'!$G$290</f>
        <v>685</v>
      </c>
      <c r="G269" s="430">
        <v>1</v>
      </c>
      <c r="H269" s="408" t="s">
        <v>678</v>
      </c>
      <c r="I269" s="408">
        <f t="shared" si="28"/>
        <v>171.25</v>
      </c>
      <c r="J269" s="418"/>
      <c r="K269" s="419"/>
      <c r="L269" s="419"/>
      <c r="M269" s="420"/>
      <c r="N269" s="420"/>
      <c r="O269" s="420"/>
      <c r="P269" s="420"/>
      <c r="Q269" s="420"/>
      <c r="R269" s="420"/>
      <c r="S269" s="420"/>
      <c r="T269" s="420"/>
      <c r="U269" s="420"/>
      <c r="V269" s="420"/>
      <c r="W269" s="420"/>
      <c r="X269" s="420"/>
      <c r="Y269" s="420"/>
      <c r="Z269" s="420"/>
      <c r="AA269" s="420"/>
      <c r="AB269" s="420"/>
      <c r="AC269" s="420"/>
      <c r="AD269" s="420"/>
      <c r="AE269" s="420"/>
      <c r="AF269" s="420"/>
      <c r="AG269" s="420"/>
      <c r="AH269" s="420"/>
      <c r="AI269" s="420"/>
      <c r="AJ269" s="420"/>
      <c r="AK269" s="420"/>
      <c r="AL269" s="420"/>
      <c r="AM269" s="420"/>
      <c r="AN269" s="420"/>
      <c r="AO269" s="420"/>
      <c r="AP269" s="420"/>
      <c r="AQ269" s="420"/>
      <c r="AR269" s="420"/>
      <c r="AS269" s="420"/>
      <c r="AT269" s="420"/>
      <c r="AU269" s="420"/>
      <c r="AV269" s="420"/>
      <c r="AW269" s="420"/>
      <c r="AX269" s="420"/>
      <c r="AY269" s="420"/>
      <c r="AZ269" s="420"/>
      <c r="BA269" s="420"/>
      <c r="BB269" s="420"/>
      <c r="BC269" s="420"/>
      <c r="BD269" s="420"/>
      <c r="BE269" s="420"/>
      <c r="BF269" s="420"/>
      <c r="BG269" s="420"/>
      <c r="BH269" s="420"/>
      <c r="BI269" s="420"/>
      <c r="BJ269" s="420"/>
      <c r="BK269" s="420"/>
      <c r="BL269" s="420"/>
    </row>
    <row r="270" spans="1:64">
      <c r="A270" s="454"/>
      <c r="B270" s="454"/>
      <c r="C270" s="417" t="s">
        <v>782</v>
      </c>
      <c r="D270" s="408">
        <v>8.35</v>
      </c>
      <c r="E270" s="408" t="s">
        <v>375</v>
      </c>
      <c r="F270" s="408">
        <f>'[161]Civil-SOR'!$G$307</f>
        <v>520</v>
      </c>
      <c r="G270" s="430">
        <v>1</v>
      </c>
      <c r="H270" s="408" t="s">
        <v>678</v>
      </c>
      <c r="I270" s="408">
        <f t="shared" si="28"/>
        <v>4342</v>
      </c>
      <c r="J270" s="418"/>
      <c r="K270" s="419"/>
      <c r="L270" s="419"/>
      <c r="M270" s="420"/>
      <c r="N270" s="420"/>
      <c r="O270" s="420"/>
      <c r="P270" s="420"/>
      <c r="Q270" s="420"/>
      <c r="R270" s="420"/>
      <c r="S270" s="420"/>
      <c r="T270" s="420"/>
      <c r="U270" s="420"/>
      <c r="V270" s="420"/>
      <c r="W270" s="420"/>
      <c r="X270" s="420"/>
      <c r="Y270" s="420"/>
      <c r="Z270" s="420"/>
      <c r="AA270" s="420"/>
      <c r="AB270" s="420"/>
      <c r="AC270" s="420"/>
      <c r="AD270" s="420"/>
      <c r="AE270" s="420"/>
      <c r="AF270" s="420"/>
      <c r="AG270" s="420"/>
      <c r="AH270" s="420"/>
      <c r="AI270" s="420"/>
      <c r="AJ270" s="420"/>
      <c r="AK270" s="420"/>
      <c r="AL270" s="420"/>
      <c r="AM270" s="420"/>
      <c r="AN270" s="420"/>
      <c r="AO270" s="420"/>
      <c r="AP270" s="420"/>
      <c r="AQ270" s="420"/>
      <c r="AR270" s="420"/>
      <c r="AS270" s="420"/>
      <c r="AT270" s="420"/>
      <c r="AU270" s="420"/>
      <c r="AV270" s="420"/>
      <c r="AW270" s="420"/>
      <c r="AX270" s="420"/>
      <c r="AY270" s="420"/>
      <c r="AZ270" s="420"/>
      <c r="BA270" s="420"/>
      <c r="BB270" s="420"/>
      <c r="BC270" s="420"/>
      <c r="BD270" s="420"/>
      <c r="BE270" s="420"/>
      <c r="BF270" s="420"/>
      <c r="BG270" s="420"/>
      <c r="BH270" s="420"/>
      <c r="BI270" s="420"/>
      <c r="BJ270" s="420"/>
      <c r="BK270" s="420"/>
      <c r="BL270" s="420"/>
    </row>
    <row r="271" spans="1:64">
      <c r="A271" s="454"/>
      <c r="B271" s="454"/>
      <c r="C271" s="417" t="str">
        <f>[161]Input!$C$47</f>
        <v>Add for MA @ 40%</v>
      </c>
      <c r="D271" s="408">
        <f>[161]Input!$D$47</f>
        <v>0.4</v>
      </c>
      <c r="E271" s="408"/>
      <c r="F271" s="408">
        <f>SUM(I268:I270)</f>
        <v>4815.75</v>
      </c>
      <c r="G271" s="430"/>
      <c r="H271" s="408"/>
      <c r="I271" s="408">
        <f t="shared" si="28"/>
        <v>1926.3000000000002</v>
      </c>
      <c r="J271" s="418"/>
      <c r="K271" s="419"/>
      <c r="L271" s="419"/>
      <c r="M271" s="420"/>
      <c r="N271" s="420"/>
      <c r="O271" s="420"/>
      <c r="P271" s="420"/>
      <c r="Q271" s="420"/>
      <c r="R271" s="420"/>
      <c r="S271" s="420"/>
      <c r="T271" s="420"/>
      <c r="U271" s="420"/>
      <c r="V271" s="420"/>
      <c r="W271" s="420"/>
      <c r="X271" s="420"/>
      <c r="Y271" s="420"/>
      <c r="Z271" s="420"/>
      <c r="AA271" s="420"/>
      <c r="AB271" s="420"/>
      <c r="AC271" s="420"/>
      <c r="AD271" s="420"/>
      <c r="AE271" s="420"/>
      <c r="AF271" s="420"/>
      <c r="AG271" s="420"/>
      <c r="AH271" s="420"/>
      <c r="AI271" s="420"/>
      <c r="AJ271" s="420"/>
      <c r="AK271" s="420"/>
      <c r="AL271" s="420"/>
      <c r="AM271" s="420"/>
      <c r="AN271" s="420"/>
      <c r="AO271" s="420"/>
      <c r="AP271" s="420"/>
      <c r="AQ271" s="420"/>
      <c r="AR271" s="420"/>
      <c r="AS271" s="420"/>
      <c r="AT271" s="420"/>
      <c r="AU271" s="420"/>
      <c r="AV271" s="420"/>
      <c r="AW271" s="420"/>
      <c r="AX271" s="420"/>
      <c r="AY271" s="420"/>
      <c r="AZ271" s="420"/>
      <c r="BA271" s="420"/>
      <c r="BB271" s="420"/>
      <c r="BC271" s="420"/>
      <c r="BD271" s="420"/>
      <c r="BE271" s="420"/>
      <c r="BF271" s="420"/>
      <c r="BG271" s="420"/>
      <c r="BH271" s="420"/>
      <c r="BI271" s="420"/>
      <c r="BJ271" s="420"/>
      <c r="BK271" s="420"/>
      <c r="BL271" s="420"/>
    </row>
    <row r="272" spans="1:64" ht="13">
      <c r="A272" s="454"/>
      <c r="B272" s="454"/>
      <c r="C272" s="427" t="s">
        <v>794</v>
      </c>
      <c r="D272" s="408"/>
      <c r="E272" s="408"/>
      <c r="F272" s="408"/>
      <c r="G272" s="430"/>
      <c r="H272" s="408"/>
      <c r="I272" s="408"/>
      <c r="J272" s="418"/>
      <c r="K272" s="419"/>
      <c r="L272" s="419"/>
      <c r="M272" s="420"/>
      <c r="N272" s="420"/>
      <c r="O272" s="420"/>
      <c r="P272" s="420"/>
      <c r="Q272" s="420"/>
      <c r="R272" s="420"/>
      <c r="S272" s="420"/>
      <c r="T272" s="420"/>
      <c r="U272" s="420"/>
      <c r="V272" s="420"/>
      <c r="W272" s="420"/>
      <c r="X272" s="420"/>
      <c r="Y272" s="420"/>
      <c r="Z272" s="420"/>
      <c r="AA272" s="420"/>
      <c r="AB272" s="420"/>
      <c r="AC272" s="420"/>
      <c r="AD272" s="420"/>
      <c r="AE272" s="420"/>
      <c r="AF272" s="420"/>
      <c r="AG272" s="420"/>
      <c r="AH272" s="420"/>
      <c r="AI272" s="420"/>
      <c r="AJ272" s="420"/>
      <c r="AK272" s="420"/>
      <c r="AL272" s="420"/>
      <c r="AM272" s="420"/>
      <c r="AN272" s="420"/>
      <c r="AO272" s="420"/>
      <c r="AP272" s="420"/>
      <c r="AQ272" s="420"/>
      <c r="AR272" s="420"/>
      <c r="AS272" s="420"/>
      <c r="AT272" s="420"/>
      <c r="AU272" s="420"/>
      <c r="AV272" s="420"/>
      <c r="AW272" s="420"/>
      <c r="AX272" s="420"/>
      <c r="AY272" s="420"/>
      <c r="AZ272" s="420"/>
      <c r="BA272" s="420"/>
      <c r="BB272" s="420"/>
      <c r="BC272" s="420"/>
      <c r="BD272" s="420"/>
      <c r="BE272" s="420"/>
      <c r="BF272" s="420"/>
      <c r="BG272" s="420"/>
      <c r="BH272" s="420"/>
      <c r="BI272" s="420"/>
      <c r="BJ272" s="420"/>
      <c r="BK272" s="420"/>
      <c r="BL272" s="420"/>
    </row>
    <row r="273" spans="1:64">
      <c r="A273" s="454"/>
      <c r="B273" s="454"/>
      <c r="C273" s="417" t="s">
        <v>825</v>
      </c>
      <c r="D273" s="408">
        <v>1</v>
      </c>
      <c r="E273" s="408" t="s">
        <v>826</v>
      </c>
      <c r="F273" s="408">
        <f>'[161]Civil-SOR'!$G$328</f>
        <v>1458</v>
      </c>
      <c r="G273" s="430">
        <v>1</v>
      </c>
      <c r="H273" s="408" t="s">
        <v>797</v>
      </c>
      <c r="I273" s="408">
        <f t="shared" ref="I273:I274" si="29">IF(G273="",D273*F273,(D273*F273/G273))</f>
        <v>1458</v>
      </c>
      <c r="J273" s="418"/>
      <c r="K273" s="419"/>
      <c r="L273" s="419"/>
      <c r="M273" s="420"/>
      <c r="N273" s="420"/>
      <c r="O273" s="420"/>
      <c r="P273" s="420"/>
      <c r="Q273" s="420"/>
      <c r="R273" s="420"/>
      <c r="S273" s="420"/>
      <c r="T273" s="420"/>
      <c r="U273" s="420"/>
      <c r="V273" s="420"/>
      <c r="W273" s="420"/>
      <c r="X273" s="420"/>
      <c r="Y273" s="420"/>
      <c r="Z273" s="420"/>
      <c r="AA273" s="420"/>
      <c r="AB273" s="420"/>
      <c r="AC273" s="420"/>
      <c r="AD273" s="420"/>
      <c r="AE273" s="420"/>
      <c r="AF273" s="420"/>
      <c r="AG273" s="420"/>
      <c r="AH273" s="420"/>
      <c r="AI273" s="420"/>
      <c r="AJ273" s="420"/>
      <c r="AK273" s="420"/>
      <c r="AL273" s="420"/>
      <c r="AM273" s="420"/>
      <c r="AN273" s="420"/>
      <c r="AO273" s="420"/>
      <c r="AP273" s="420"/>
      <c r="AQ273" s="420"/>
      <c r="AR273" s="420"/>
      <c r="AS273" s="420"/>
      <c r="AT273" s="420"/>
      <c r="AU273" s="420"/>
      <c r="AV273" s="420"/>
      <c r="AW273" s="420"/>
      <c r="AX273" s="420"/>
      <c r="AY273" s="420"/>
      <c r="AZ273" s="420"/>
      <c r="BA273" s="420"/>
      <c r="BB273" s="420"/>
      <c r="BC273" s="420"/>
      <c r="BD273" s="420"/>
      <c r="BE273" s="420"/>
      <c r="BF273" s="420"/>
      <c r="BG273" s="420"/>
      <c r="BH273" s="420"/>
      <c r="BI273" s="420"/>
      <c r="BJ273" s="420"/>
      <c r="BK273" s="420"/>
      <c r="BL273" s="420"/>
    </row>
    <row r="274" spans="1:64">
      <c r="A274" s="454"/>
      <c r="B274" s="454"/>
      <c r="C274" s="417" t="s">
        <v>827</v>
      </c>
      <c r="D274" s="408">
        <v>2</v>
      </c>
      <c r="E274" s="408" t="s">
        <v>796</v>
      </c>
      <c r="F274" s="408">
        <f>'[161]Civil-SOR'!$G$331</f>
        <v>21.4</v>
      </c>
      <c r="G274" s="430">
        <v>1</v>
      </c>
      <c r="H274" s="408" t="s">
        <v>797</v>
      </c>
      <c r="I274" s="408">
        <f t="shared" si="29"/>
        <v>42.8</v>
      </c>
      <c r="J274" s="418"/>
      <c r="K274" s="419"/>
      <c r="L274" s="419"/>
      <c r="M274" s="420"/>
      <c r="N274" s="420"/>
      <c r="O274" s="420"/>
      <c r="P274" s="420"/>
      <c r="Q274" s="420"/>
      <c r="R274" s="420"/>
      <c r="S274" s="420"/>
      <c r="T274" s="420"/>
      <c r="U274" s="420"/>
      <c r="V274" s="420"/>
      <c r="W274" s="420"/>
      <c r="X274" s="420"/>
      <c r="Y274" s="420"/>
      <c r="Z274" s="420"/>
      <c r="AA274" s="420"/>
      <c r="AB274" s="420"/>
      <c r="AC274" s="420"/>
      <c r="AD274" s="420"/>
      <c r="AE274" s="420"/>
      <c r="AF274" s="420"/>
      <c r="AG274" s="420"/>
      <c r="AH274" s="420"/>
      <c r="AI274" s="420"/>
      <c r="AJ274" s="420"/>
      <c r="AK274" s="420"/>
      <c r="AL274" s="420"/>
      <c r="AM274" s="420"/>
      <c r="AN274" s="420"/>
      <c r="AO274" s="420"/>
      <c r="AP274" s="420"/>
      <c r="AQ274" s="420"/>
      <c r="AR274" s="420"/>
      <c r="AS274" s="420"/>
      <c r="AT274" s="420"/>
      <c r="AU274" s="420"/>
      <c r="AV274" s="420"/>
      <c r="AW274" s="420"/>
      <c r="AX274" s="420"/>
      <c r="AY274" s="420"/>
      <c r="AZ274" s="420"/>
      <c r="BA274" s="420"/>
      <c r="BB274" s="420"/>
      <c r="BC274" s="420"/>
      <c r="BD274" s="420"/>
      <c r="BE274" s="420"/>
      <c r="BF274" s="420"/>
      <c r="BG274" s="420"/>
      <c r="BH274" s="420"/>
      <c r="BI274" s="420"/>
      <c r="BJ274" s="420"/>
      <c r="BK274" s="420"/>
      <c r="BL274" s="420"/>
    </row>
    <row r="275" spans="1:64" ht="13">
      <c r="A275" s="454"/>
      <c r="B275" s="454"/>
      <c r="C275" s="427" t="s">
        <v>828</v>
      </c>
      <c r="D275" s="408"/>
      <c r="E275" s="408"/>
      <c r="F275" s="408"/>
      <c r="G275" s="430"/>
      <c r="H275" s="408"/>
      <c r="I275" s="408"/>
      <c r="J275" s="418"/>
      <c r="K275" s="419"/>
      <c r="L275" s="419"/>
      <c r="M275" s="420"/>
      <c r="N275" s="420"/>
      <c r="O275" s="420"/>
      <c r="P275" s="420"/>
      <c r="Q275" s="420"/>
      <c r="R275" s="420"/>
      <c r="S275" s="420"/>
      <c r="T275" s="420"/>
      <c r="U275" s="420"/>
      <c r="V275" s="420"/>
      <c r="W275" s="420"/>
      <c r="X275" s="420"/>
      <c r="Y275" s="420"/>
      <c r="Z275" s="420"/>
      <c r="AA275" s="420"/>
      <c r="AB275" s="420"/>
      <c r="AC275" s="420"/>
      <c r="AD275" s="420"/>
      <c r="AE275" s="420"/>
      <c r="AF275" s="420"/>
      <c r="AG275" s="420"/>
      <c r="AH275" s="420"/>
      <c r="AI275" s="420"/>
      <c r="AJ275" s="420"/>
      <c r="AK275" s="420"/>
      <c r="AL275" s="420"/>
      <c r="AM275" s="420"/>
      <c r="AN275" s="420"/>
      <c r="AO275" s="420"/>
      <c r="AP275" s="420"/>
      <c r="AQ275" s="420"/>
      <c r="AR275" s="420"/>
      <c r="AS275" s="420"/>
      <c r="AT275" s="420"/>
      <c r="AU275" s="420"/>
      <c r="AV275" s="420"/>
      <c r="AW275" s="420"/>
      <c r="AX275" s="420"/>
      <c r="AY275" s="420"/>
      <c r="AZ275" s="420"/>
      <c r="BA275" s="420"/>
      <c r="BB275" s="420"/>
      <c r="BC275" s="420"/>
      <c r="BD275" s="420"/>
      <c r="BE275" s="420"/>
      <c r="BF275" s="420"/>
      <c r="BG275" s="420"/>
      <c r="BH275" s="420"/>
      <c r="BI275" s="420"/>
      <c r="BJ275" s="420"/>
      <c r="BK275" s="420"/>
      <c r="BL275" s="420"/>
    </row>
    <row r="276" spans="1:64" ht="25">
      <c r="A276" s="454"/>
      <c r="B276" s="454"/>
      <c r="C276" s="417" t="s">
        <v>829</v>
      </c>
      <c r="D276" s="408">
        <v>1</v>
      </c>
      <c r="E276" s="408" t="s">
        <v>830</v>
      </c>
      <c r="F276" s="408">
        <f>'[161]Civil-SOR'!$J$328</f>
        <v>288.3</v>
      </c>
      <c r="G276" s="430">
        <v>1</v>
      </c>
      <c r="H276" s="408" t="s">
        <v>797</v>
      </c>
      <c r="I276" s="408">
        <f t="shared" ref="I276:I278" si="30">IF(G276="",D276*F276,(D276*F276/G276))</f>
        <v>288.3</v>
      </c>
      <c r="J276" s="418"/>
      <c r="K276" s="419"/>
      <c r="L276" s="419"/>
      <c r="M276" s="420"/>
      <c r="N276" s="420"/>
      <c r="O276" s="420"/>
      <c r="P276" s="420"/>
      <c r="Q276" s="420"/>
      <c r="R276" s="420"/>
      <c r="S276" s="420"/>
      <c r="T276" s="420"/>
      <c r="U276" s="420"/>
      <c r="V276" s="420"/>
      <c r="W276" s="420"/>
      <c r="X276" s="420"/>
      <c r="Y276" s="420"/>
      <c r="Z276" s="420"/>
      <c r="AA276" s="420"/>
      <c r="AB276" s="420"/>
      <c r="AC276" s="420"/>
      <c r="AD276" s="420"/>
      <c r="AE276" s="420"/>
      <c r="AF276" s="420"/>
      <c r="AG276" s="420"/>
      <c r="AH276" s="420"/>
      <c r="AI276" s="420"/>
      <c r="AJ276" s="420"/>
      <c r="AK276" s="420"/>
      <c r="AL276" s="420"/>
      <c r="AM276" s="420"/>
      <c r="AN276" s="420"/>
      <c r="AO276" s="420"/>
      <c r="AP276" s="420"/>
      <c r="AQ276" s="420"/>
      <c r="AR276" s="420"/>
      <c r="AS276" s="420"/>
      <c r="AT276" s="420"/>
      <c r="AU276" s="420"/>
      <c r="AV276" s="420"/>
      <c r="AW276" s="420"/>
      <c r="AX276" s="420"/>
      <c r="AY276" s="420"/>
      <c r="AZ276" s="420"/>
      <c r="BA276" s="420"/>
      <c r="BB276" s="420"/>
      <c r="BC276" s="420"/>
      <c r="BD276" s="420"/>
      <c r="BE276" s="420"/>
      <c r="BF276" s="420"/>
      <c r="BG276" s="420"/>
      <c r="BH276" s="420"/>
      <c r="BI276" s="420"/>
      <c r="BJ276" s="420"/>
      <c r="BK276" s="420"/>
      <c r="BL276" s="420"/>
    </row>
    <row r="277" spans="1:64">
      <c r="A277" s="454"/>
      <c r="B277" s="454"/>
      <c r="C277" s="417" t="s">
        <v>827</v>
      </c>
      <c r="D277" s="408">
        <v>2</v>
      </c>
      <c r="E277" s="408" t="s">
        <v>830</v>
      </c>
      <c r="F277" s="408">
        <f>'[161]Civil-SOR'!$J$331</f>
        <v>450.5</v>
      </c>
      <c r="G277" s="430">
        <v>1</v>
      </c>
      <c r="H277" s="408" t="s">
        <v>797</v>
      </c>
      <c r="I277" s="408">
        <f t="shared" si="30"/>
        <v>901</v>
      </c>
      <c r="J277" s="418"/>
      <c r="K277" s="419"/>
      <c r="L277" s="419"/>
      <c r="M277" s="420"/>
      <c r="N277" s="420"/>
      <c r="O277" s="420"/>
      <c r="P277" s="420"/>
      <c r="Q277" s="420"/>
      <c r="R277" s="420"/>
      <c r="S277" s="420"/>
      <c r="T277" s="420"/>
      <c r="U277" s="420"/>
      <c r="V277" s="420"/>
      <c r="W277" s="420"/>
      <c r="X277" s="420"/>
      <c r="Y277" s="420"/>
      <c r="Z277" s="420"/>
      <c r="AA277" s="420"/>
      <c r="AB277" s="420"/>
      <c r="AC277" s="420"/>
      <c r="AD277" s="420"/>
      <c r="AE277" s="420"/>
      <c r="AF277" s="420"/>
      <c r="AG277" s="420"/>
      <c r="AH277" s="420"/>
      <c r="AI277" s="420"/>
      <c r="AJ277" s="420"/>
      <c r="AK277" s="420"/>
      <c r="AL277" s="420"/>
      <c r="AM277" s="420"/>
      <c r="AN277" s="420"/>
      <c r="AO277" s="420"/>
      <c r="AP277" s="420"/>
      <c r="AQ277" s="420"/>
      <c r="AR277" s="420"/>
      <c r="AS277" s="420"/>
      <c r="AT277" s="420"/>
      <c r="AU277" s="420"/>
      <c r="AV277" s="420"/>
      <c r="AW277" s="420"/>
      <c r="AX277" s="420"/>
      <c r="AY277" s="420"/>
      <c r="AZ277" s="420"/>
      <c r="BA277" s="420"/>
      <c r="BB277" s="420"/>
      <c r="BC277" s="420"/>
      <c r="BD277" s="420"/>
      <c r="BE277" s="420"/>
      <c r="BF277" s="420"/>
      <c r="BG277" s="420"/>
      <c r="BH277" s="420"/>
      <c r="BI277" s="420"/>
      <c r="BJ277" s="420"/>
      <c r="BK277" s="420"/>
      <c r="BL277" s="420"/>
    </row>
    <row r="278" spans="1:64">
      <c r="A278" s="454"/>
      <c r="B278" s="454"/>
      <c r="C278" s="417" t="s">
        <v>799</v>
      </c>
      <c r="D278" s="408">
        <f>[161]Input!$D$47</f>
        <v>0.4</v>
      </c>
      <c r="E278" s="408"/>
      <c r="F278" s="408">
        <f>SUM(I276:I277)</f>
        <v>1189.3</v>
      </c>
      <c r="G278" s="430"/>
      <c r="H278" s="408"/>
      <c r="I278" s="408">
        <f t="shared" si="30"/>
        <v>475.72</v>
      </c>
      <c r="J278" s="418"/>
      <c r="K278" s="419"/>
      <c r="L278" s="419"/>
      <c r="M278" s="420"/>
      <c r="N278" s="420"/>
      <c r="O278" s="420"/>
      <c r="P278" s="420"/>
      <c r="Q278" s="420"/>
      <c r="R278" s="420"/>
      <c r="S278" s="420"/>
      <c r="T278" s="420"/>
      <c r="U278" s="420"/>
      <c r="V278" s="420"/>
      <c r="W278" s="420"/>
      <c r="X278" s="420"/>
      <c r="Y278" s="420"/>
      <c r="Z278" s="420"/>
      <c r="AA278" s="420"/>
      <c r="AB278" s="420"/>
      <c r="AC278" s="420"/>
      <c r="AD278" s="420"/>
      <c r="AE278" s="420"/>
      <c r="AF278" s="420"/>
      <c r="AG278" s="420"/>
      <c r="AH278" s="420"/>
      <c r="AI278" s="420"/>
      <c r="AJ278" s="420"/>
      <c r="AK278" s="420"/>
      <c r="AL278" s="420"/>
      <c r="AM278" s="420"/>
      <c r="AN278" s="420"/>
      <c r="AO278" s="420"/>
      <c r="AP278" s="420"/>
      <c r="AQ278" s="420"/>
      <c r="AR278" s="420"/>
      <c r="AS278" s="420"/>
      <c r="AT278" s="420"/>
      <c r="AU278" s="420"/>
      <c r="AV278" s="420"/>
      <c r="AW278" s="420"/>
      <c r="AX278" s="420"/>
      <c r="AY278" s="420"/>
      <c r="AZ278" s="420"/>
      <c r="BA278" s="420"/>
      <c r="BB278" s="420"/>
      <c r="BC278" s="420"/>
      <c r="BD278" s="420"/>
      <c r="BE278" s="420"/>
      <c r="BF278" s="420"/>
      <c r="BG278" s="420"/>
      <c r="BH278" s="420"/>
      <c r="BI278" s="420"/>
      <c r="BJ278" s="420"/>
      <c r="BK278" s="420"/>
      <c r="BL278" s="420"/>
    </row>
    <row r="279" spans="1:64" ht="13">
      <c r="A279" s="454"/>
      <c r="B279" s="454"/>
      <c r="C279" s="427" t="s">
        <v>831</v>
      </c>
      <c r="D279" s="408"/>
      <c r="E279" s="408"/>
      <c r="F279" s="408"/>
      <c r="G279" s="430"/>
      <c r="H279" s="408"/>
      <c r="I279" s="408"/>
      <c r="J279" s="418"/>
      <c r="K279" s="419"/>
      <c r="L279" s="419"/>
      <c r="M279" s="420"/>
      <c r="N279" s="420"/>
      <c r="O279" s="420"/>
      <c r="P279" s="420"/>
      <c r="Q279" s="420"/>
      <c r="R279" s="420"/>
      <c r="S279" s="420"/>
      <c r="T279" s="420"/>
      <c r="U279" s="420"/>
      <c r="V279" s="420"/>
      <c r="W279" s="420"/>
      <c r="X279" s="420"/>
      <c r="Y279" s="420"/>
      <c r="Z279" s="420"/>
      <c r="AA279" s="420"/>
      <c r="AB279" s="420"/>
      <c r="AC279" s="420"/>
      <c r="AD279" s="420"/>
      <c r="AE279" s="420"/>
      <c r="AF279" s="420"/>
      <c r="AG279" s="420"/>
      <c r="AH279" s="420"/>
      <c r="AI279" s="420"/>
      <c r="AJ279" s="420"/>
      <c r="AK279" s="420"/>
      <c r="AL279" s="420"/>
      <c r="AM279" s="420"/>
      <c r="AN279" s="420"/>
      <c r="AO279" s="420"/>
      <c r="AP279" s="420"/>
      <c r="AQ279" s="420"/>
      <c r="AR279" s="420"/>
      <c r="AS279" s="420"/>
      <c r="AT279" s="420"/>
      <c r="AU279" s="420"/>
      <c r="AV279" s="420"/>
      <c r="AW279" s="420"/>
      <c r="AX279" s="420"/>
      <c r="AY279" s="420"/>
      <c r="AZ279" s="420"/>
      <c r="BA279" s="420"/>
      <c r="BB279" s="420"/>
      <c r="BC279" s="420"/>
      <c r="BD279" s="420"/>
      <c r="BE279" s="420"/>
      <c r="BF279" s="420"/>
      <c r="BG279" s="420"/>
      <c r="BH279" s="420"/>
      <c r="BI279" s="420"/>
      <c r="BJ279" s="420"/>
      <c r="BK279" s="420"/>
      <c r="BL279" s="420"/>
    </row>
    <row r="280" spans="1:64">
      <c r="A280" s="454"/>
      <c r="B280" s="454"/>
      <c r="C280" s="417" t="s">
        <v>832</v>
      </c>
      <c r="D280" s="408">
        <v>3.5</v>
      </c>
      <c r="E280" s="408" t="s">
        <v>833</v>
      </c>
      <c r="F280" s="408">
        <f>'[161]Civil-SOR'!$G$321</f>
        <v>73</v>
      </c>
      <c r="G280" s="430">
        <v>1</v>
      </c>
      <c r="H280" s="408" t="s">
        <v>312</v>
      </c>
      <c r="I280" s="408">
        <f t="shared" ref="I280:I281" si="31">IF(G280="",D280*F280,(D280*F280/G280))</f>
        <v>255.5</v>
      </c>
      <c r="J280" s="418"/>
      <c r="K280" s="419"/>
      <c r="L280" s="419"/>
      <c r="M280" s="420"/>
      <c r="N280" s="420"/>
      <c r="O280" s="420"/>
      <c r="P280" s="420"/>
      <c r="Q280" s="420"/>
      <c r="R280" s="420"/>
      <c r="S280" s="420"/>
      <c r="T280" s="420"/>
      <c r="U280" s="420"/>
      <c r="V280" s="420"/>
      <c r="W280" s="420"/>
      <c r="X280" s="420"/>
      <c r="Y280" s="420"/>
      <c r="Z280" s="420"/>
      <c r="AA280" s="420"/>
      <c r="AB280" s="420"/>
      <c r="AC280" s="420"/>
      <c r="AD280" s="420"/>
      <c r="AE280" s="420"/>
      <c r="AF280" s="420"/>
      <c r="AG280" s="420"/>
      <c r="AH280" s="420"/>
      <c r="AI280" s="420"/>
      <c r="AJ280" s="420"/>
      <c r="AK280" s="420"/>
      <c r="AL280" s="420"/>
      <c r="AM280" s="420"/>
      <c r="AN280" s="420"/>
      <c r="AO280" s="420"/>
      <c r="AP280" s="420"/>
      <c r="AQ280" s="420"/>
      <c r="AR280" s="420"/>
      <c r="AS280" s="420"/>
      <c r="AT280" s="420"/>
      <c r="AU280" s="420"/>
      <c r="AV280" s="420"/>
      <c r="AW280" s="420"/>
      <c r="AX280" s="420"/>
      <c r="AY280" s="420"/>
      <c r="AZ280" s="420"/>
      <c r="BA280" s="420"/>
      <c r="BB280" s="420"/>
      <c r="BC280" s="420"/>
      <c r="BD280" s="420"/>
      <c r="BE280" s="420"/>
      <c r="BF280" s="420"/>
      <c r="BG280" s="420"/>
      <c r="BH280" s="420"/>
      <c r="BI280" s="420"/>
      <c r="BJ280" s="420"/>
      <c r="BK280" s="420"/>
      <c r="BL280" s="420"/>
    </row>
    <row r="281" spans="1:64">
      <c r="A281" s="454"/>
      <c r="B281" s="454"/>
      <c r="C281" s="417" t="s">
        <v>834</v>
      </c>
      <c r="D281" s="430">
        <v>14</v>
      </c>
      <c r="E281" s="408" t="s">
        <v>375</v>
      </c>
      <c r="F281" s="408">
        <f>'[161]Civil-SOR'!$G$310</f>
        <v>12</v>
      </c>
      <c r="G281" s="430">
        <v>1</v>
      </c>
      <c r="H281" s="408" t="s">
        <v>678</v>
      </c>
      <c r="I281" s="408">
        <f t="shared" si="31"/>
        <v>168</v>
      </c>
      <c r="J281" s="418"/>
      <c r="K281" s="419"/>
      <c r="L281" s="419"/>
      <c r="M281" s="420"/>
      <c r="N281" s="420"/>
      <c r="O281" s="420"/>
      <c r="P281" s="420"/>
      <c r="Q281" s="420"/>
      <c r="R281" s="420"/>
      <c r="S281" s="420"/>
      <c r="T281" s="420"/>
      <c r="U281" s="420"/>
      <c r="V281" s="420"/>
      <c r="W281" s="420"/>
      <c r="X281" s="420"/>
      <c r="Y281" s="420"/>
      <c r="Z281" s="420"/>
      <c r="AA281" s="420"/>
      <c r="AB281" s="420"/>
      <c r="AC281" s="420"/>
      <c r="AD281" s="420"/>
      <c r="AE281" s="420"/>
      <c r="AF281" s="420"/>
      <c r="AG281" s="420"/>
      <c r="AH281" s="420"/>
      <c r="AI281" s="420"/>
      <c r="AJ281" s="420"/>
      <c r="AK281" s="420"/>
      <c r="AL281" s="420"/>
      <c r="AM281" s="420"/>
      <c r="AN281" s="420"/>
      <c r="AO281" s="420"/>
      <c r="AP281" s="420"/>
      <c r="AQ281" s="420"/>
      <c r="AR281" s="420"/>
      <c r="AS281" s="420"/>
      <c r="AT281" s="420"/>
      <c r="AU281" s="420"/>
      <c r="AV281" s="420"/>
      <c r="AW281" s="420"/>
      <c r="AX281" s="420"/>
      <c r="AY281" s="420"/>
      <c r="AZ281" s="420"/>
      <c r="BA281" s="420"/>
      <c r="BB281" s="420"/>
      <c r="BC281" s="420"/>
      <c r="BD281" s="420"/>
      <c r="BE281" s="420"/>
      <c r="BF281" s="420"/>
      <c r="BG281" s="420"/>
      <c r="BH281" s="420"/>
      <c r="BI281" s="420"/>
      <c r="BJ281" s="420"/>
      <c r="BK281" s="420"/>
      <c r="BL281" s="420"/>
    </row>
    <row r="282" spans="1:64">
      <c r="A282" s="454"/>
      <c r="B282" s="454"/>
      <c r="C282" s="417" t="s">
        <v>800</v>
      </c>
      <c r="D282" s="408"/>
      <c r="E282" s="408"/>
      <c r="F282" s="408"/>
      <c r="G282" s="408"/>
      <c r="H282" s="408"/>
      <c r="I282" s="408">
        <f>SUM(I268:I281)</f>
        <v>10331.369999999997</v>
      </c>
      <c r="J282" s="418"/>
      <c r="K282" s="419"/>
      <c r="L282" s="419"/>
      <c r="M282" s="420"/>
      <c r="N282" s="420"/>
      <c r="O282" s="420"/>
      <c r="P282" s="420"/>
      <c r="Q282" s="420"/>
      <c r="R282" s="420"/>
      <c r="S282" s="420"/>
      <c r="T282" s="420"/>
      <c r="U282" s="420"/>
      <c r="V282" s="420"/>
      <c r="W282" s="420"/>
      <c r="X282" s="420"/>
      <c r="Y282" s="420"/>
      <c r="Z282" s="420"/>
      <c r="AA282" s="420"/>
      <c r="AB282" s="420"/>
      <c r="AC282" s="420"/>
      <c r="AD282" s="420"/>
      <c r="AE282" s="420"/>
      <c r="AF282" s="420"/>
      <c r="AG282" s="420"/>
      <c r="AH282" s="420"/>
      <c r="AI282" s="420"/>
      <c r="AJ282" s="420"/>
      <c r="AK282" s="420"/>
      <c r="AL282" s="420"/>
      <c r="AM282" s="420"/>
      <c r="AN282" s="420"/>
      <c r="AO282" s="420"/>
      <c r="AP282" s="420"/>
      <c r="AQ282" s="420"/>
      <c r="AR282" s="420"/>
      <c r="AS282" s="420"/>
      <c r="AT282" s="420"/>
      <c r="AU282" s="420"/>
      <c r="AV282" s="420"/>
      <c r="AW282" s="420"/>
      <c r="AX282" s="420"/>
      <c r="AY282" s="420"/>
      <c r="AZ282" s="420"/>
      <c r="BA282" s="420"/>
      <c r="BB282" s="420"/>
      <c r="BC282" s="420"/>
      <c r="BD282" s="420"/>
      <c r="BE282" s="420"/>
      <c r="BF282" s="420"/>
      <c r="BG282" s="420"/>
      <c r="BH282" s="420"/>
      <c r="BI282" s="420"/>
      <c r="BJ282" s="420"/>
      <c r="BK282" s="420"/>
      <c r="BL282" s="420"/>
    </row>
    <row r="283" spans="1:64" ht="13">
      <c r="A283" s="454"/>
      <c r="B283" s="454"/>
      <c r="C283" s="466" t="str">
        <f>[161]Input!$C$48</f>
        <v>Overheads &amp; Contractors Profit @ 13.615%</v>
      </c>
      <c r="D283" s="467">
        <f>[161]Input!$D$48</f>
        <v>0.13614999999999999</v>
      </c>
      <c r="E283" s="408"/>
      <c r="F283" s="408">
        <f>I282</f>
        <v>10331.369999999997</v>
      </c>
      <c r="G283" s="430"/>
      <c r="H283" s="414"/>
      <c r="I283" s="408">
        <f>IF(G283="",D283*F283,(D283*F283/G283))</f>
        <v>1406.6160254999995</v>
      </c>
      <c r="J283" s="418"/>
      <c r="K283" s="419"/>
      <c r="L283" s="419"/>
      <c r="M283" s="420"/>
      <c r="N283" s="420"/>
      <c r="O283" s="420"/>
      <c r="P283" s="420"/>
      <c r="Q283" s="420"/>
      <c r="R283" s="420"/>
      <c r="S283" s="420"/>
      <c r="T283" s="420"/>
      <c r="U283" s="420"/>
      <c r="V283" s="420"/>
      <c r="W283" s="420"/>
      <c r="X283" s="420"/>
      <c r="Y283" s="420"/>
      <c r="Z283" s="420"/>
      <c r="AA283" s="420"/>
      <c r="AB283" s="420"/>
      <c r="AC283" s="420"/>
      <c r="AD283" s="420"/>
      <c r="AE283" s="420"/>
      <c r="AF283" s="420"/>
      <c r="AG283" s="420"/>
      <c r="AH283" s="420"/>
      <c r="AI283" s="420"/>
      <c r="AJ283" s="420"/>
      <c r="AK283" s="420"/>
      <c r="AL283" s="420"/>
      <c r="AM283" s="420"/>
      <c r="AN283" s="420"/>
      <c r="AO283" s="420"/>
      <c r="AP283" s="420"/>
      <c r="AQ283" s="420"/>
      <c r="AR283" s="420"/>
      <c r="AS283" s="420"/>
      <c r="AT283" s="420"/>
      <c r="AU283" s="420"/>
      <c r="AV283" s="420"/>
      <c r="AW283" s="420"/>
      <c r="AX283" s="420"/>
      <c r="AY283" s="420"/>
      <c r="AZ283" s="420"/>
      <c r="BA283" s="420"/>
      <c r="BB283" s="420"/>
      <c r="BC283" s="420"/>
      <c r="BD283" s="420"/>
      <c r="BE283" s="420"/>
      <c r="BF283" s="420"/>
      <c r="BG283" s="420"/>
      <c r="BH283" s="420"/>
      <c r="BI283" s="420"/>
      <c r="BJ283" s="420"/>
      <c r="BK283" s="420"/>
      <c r="BL283" s="420"/>
    </row>
    <row r="284" spans="1:64" ht="13">
      <c r="A284" s="454"/>
      <c r="B284" s="454"/>
      <c r="C284" s="417" t="s">
        <v>835</v>
      </c>
      <c r="D284" s="408"/>
      <c r="E284" s="408"/>
      <c r="F284" s="408"/>
      <c r="G284" s="430"/>
      <c r="H284" s="414"/>
      <c r="I284" s="408">
        <f>SUM(I282:I283)</f>
        <v>11737.986025499997</v>
      </c>
      <c r="J284" s="418"/>
      <c r="K284" s="419"/>
      <c r="L284" s="419"/>
      <c r="M284" s="420"/>
      <c r="N284" s="420"/>
      <c r="O284" s="420"/>
      <c r="P284" s="420"/>
      <c r="Q284" s="420"/>
      <c r="R284" s="420"/>
      <c r="S284" s="420"/>
      <c r="T284" s="420"/>
      <c r="U284" s="420"/>
      <c r="V284" s="420"/>
      <c r="W284" s="420"/>
      <c r="X284" s="420"/>
      <c r="Y284" s="420"/>
      <c r="Z284" s="420"/>
      <c r="AA284" s="420"/>
      <c r="AB284" s="420"/>
      <c r="AC284" s="420"/>
      <c r="AD284" s="420"/>
      <c r="AE284" s="420"/>
      <c r="AF284" s="420"/>
      <c r="AG284" s="420"/>
      <c r="AH284" s="420"/>
      <c r="AI284" s="420"/>
      <c r="AJ284" s="420"/>
      <c r="AK284" s="420"/>
      <c r="AL284" s="420"/>
      <c r="AM284" s="420"/>
      <c r="AN284" s="420"/>
      <c r="AO284" s="420"/>
      <c r="AP284" s="420"/>
      <c r="AQ284" s="420"/>
      <c r="AR284" s="420"/>
      <c r="AS284" s="420"/>
      <c r="AT284" s="420"/>
      <c r="AU284" s="420"/>
      <c r="AV284" s="420"/>
      <c r="AW284" s="420"/>
      <c r="AX284" s="420"/>
      <c r="AY284" s="420"/>
      <c r="AZ284" s="420"/>
      <c r="BA284" s="420"/>
      <c r="BB284" s="420"/>
      <c r="BC284" s="420"/>
      <c r="BD284" s="420"/>
      <c r="BE284" s="420"/>
      <c r="BF284" s="420"/>
      <c r="BG284" s="420"/>
      <c r="BH284" s="420"/>
      <c r="BI284" s="420"/>
      <c r="BJ284" s="420"/>
      <c r="BK284" s="420"/>
      <c r="BL284" s="420"/>
    </row>
    <row r="285" spans="1:64" ht="13">
      <c r="A285" s="454"/>
      <c r="B285" s="454"/>
      <c r="C285" s="427" t="s">
        <v>836</v>
      </c>
      <c r="D285" s="408"/>
      <c r="E285" s="408"/>
      <c r="F285" s="408"/>
      <c r="G285" s="430"/>
      <c r="H285" s="408" t="s">
        <v>725</v>
      </c>
      <c r="I285" s="408">
        <f>I284/10</f>
        <v>1173.7986025499997</v>
      </c>
      <c r="J285" s="418"/>
      <c r="K285" s="419"/>
      <c r="L285" s="419"/>
      <c r="M285" s="420"/>
      <c r="N285" s="420"/>
      <c r="O285" s="420"/>
      <c r="P285" s="420"/>
      <c r="Q285" s="420"/>
      <c r="R285" s="420"/>
      <c r="S285" s="420"/>
      <c r="T285" s="420"/>
      <c r="U285" s="420"/>
      <c r="V285" s="420"/>
      <c r="W285" s="420"/>
      <c r="X285" s="420"/>
      <c r="Y285" s="420"/>
      <c r="Z285" s="420"/>
      <c r="AA285" s="420"/>
      <c r="AB285" s="420"/>
      <c r="AC285" s="420"/>
      <c r="AD285" s="420"/>
      <c r="AE285" s="420"/>
      <c r="AF285" s="420"/>
      <c r="AG285" s="420"/>
      <c r="AH285" s="420"/>
      <c r="AI285" s="420"/>
      <c r="AJ285" s="420"/>
      <c r="AK285" s="420"/>
      <c r="AL285" s="420"/>
      <c r="AM285" s="420"/>
      <c r="AN285" s="420"/>
      <c r="AO285" s="420"/>
      <c r="AP285" s="420"/>
      <c r="AQ285" s="420"/>
      <c r="AR285" s="420"/>
      <c r="AS285" s="420"/>
      <c r="AT285" s="420"/>
      <c r="AU285" s="420"/>
      <c r="AV285" s="420"/>
      <c r="AW285" s="420"/>
      <c r="AX285" s="420"/>
      <c r="AY285" s="420"/>
      <c r="AZ285" s="420"/>
      <c r="BA285" s="420"/>
      <c r="BB285" s="420"/>
      <c r="BC285" s="420"/>
      <c r="BD285" s="420"/>
      <c r="BE285" s="420"/>
      <c r="BF285" s="420"/>
      <c r="BG285" s="420"/>
      <c r="BH285" s="420"/>
      <c r="BI285" s="420"/>
      <c r="BJ285" s="420"/>
      <c r="BK285" s="420"/>
      <c r="BL285" s="420"/>
    </row>
    <row r="286" spans="1:64" ht="13">
      <c r="A286" s="454"/>
      <c r="B286" s="454"/>
      <c r="C286" s="427" t="s">
        <v>724</v>
      </c>
      <c r="D286" s="408"/>
      <c r="E286" s="408"/>
      <c r="F286" s="408"/>
      <c r="G286" s="430"/>
      <c r="H286" s="415" t="s">
        <v>687</v>
      </c>
      <c r="I286" s="414">
        <f>ROUND(I285,0)</f>
        <v>1174</v>
      </c>
      <c r="J286" s="400"/>
      <c r="K286" s="401"/>
      <c r="L286" s="401"/>
      <c r="M286" s="404"/>
      <c r="N286" s="404"/>
      <c r="O286" s="404"/>
      <c r="P286" s="404"/>
      <c r="Q286" s="404"/>
      <c r="R286" s="404"/>
      <c r="S286" s="404"/>
      <c r="T286" s="404"/>
      <c r="U286" s="404"/>
      <c r="V286" s="404"/>
      <c r="W286" s="404"/>
      <c r="X286" s="404"/>
      <c r="Y286" s="404"/>
      <c r="Z286" s="404"/>
      <c r="AA286" s="404"/>
      <c r="AB286" s="404"/>
      <c r="AC286" s="404"/>
      <c r="AD286" s="404"/>
      <c r="AE286" s="404"/>
      <c r="AF286" s="404"/>
      <c r="AG286" s="404"/>
      <c r="AH286" s="404"/>
      <c r="AI286" s="404"/>
      <c r="AJ286" s="404"/>
      <c r="AK286" s="404"/>
      <c r="AL286" s="404"/>
      <c r="AM286" s="404"/>
      <c r="AN286" s="404"/>
      <c r="AO286" s="404"/>
      <c r="AP286" s="404"/>
      <c r="AQ286" s="404"/>
      <c r="AR286" s="404"/>
      <c r="AS286" s="404"/>
      <c r="AT286" s="404"/>
      <c r="AU286" s="404"/>
      <c r="AV286" s="404"/>
      <c r="AW286" s="404"/>
      <c r="AX286" s="404"/>
      <c r="AY286" s="404"/>
      <c r="AZ286" s="404"/>
      <c r="BA286" s="404"/>
      <c r="BB286" s="404"/>
      <c r="BC286" s="404"/>
      <c r="BD286" s="404"/>
      <c r="BE286" s="404"/>
      <c r="BF286" s="404"/>
      <c r="BG286" s="404"/>
      <c r="BH286" s="404"/>
      <c r="BI286" s="404"/>
      <c r="BJ286" s="404"/>
      <c r="BK286" s="404"/>
      <c r="BL286" s="404"/>
    </row>
    <row r="287" spans="1:64" ht="13">
      <c r="A287" s="454"/>
      <c r="B287" s="454"/>
      <c r="C287" s="427"/>
      <c r="D287" s="408"/>
      <c r="E287" s="408"/>
      <c r="F287" s="408"/>
      <c r="G287" s="430"/>
      <c r="H287" s="415"/>
      <c r="I287" s="414"/>
      <c r="J287" s="400"/>
      <c r="K287" s="401"/>
      <c r="L287" s="401"/>
    </row>
    <row r="288" spans="1:64" ht="48.75" customHeight="1">
      <c r="A288" s="1302">
        <f>A263+1</f>
        <v>8</v>
      </c>
      <c r="B288" s="1302"/>
      <c r="C288" s="1276" t="s">
        <v>837</v>
      </c>
      <c r="D288" s="1276"/>
      <c r="E288" s="1276"/>
      <c r="F288" s="1276"/>
      <c r="G288" s="1276"/>
      <c r="H288" s="1276"/>
      <c r="I288" s="407"/>
      <c r="J288" s="400"/>
      <c r="K288" s="401"/>
      <c r="L288" s="401"/>
      <c r="M288" s="404"/>
      <c r="N288" s="404"/>
      <c r="O288" s="404"/>
      <c r="P288" s="404"/>
      <c r="Q288" s="404"/>
      <c r="R288" s="404"/>
      <c r="S288" s="404"/>
      <c r="T288" s="404"/>
      <c r="U288" s="404"/>
      <c r="V288" s="404"/>
      <c r="W288" s="404"/>
      <c r="X288" s="404"/>
      <c r="Y288" s="404"/>
      <c r="Z288" s="404"/>
      <c r="AA288" s="404"/>
      <c r="AB288" s="404"/>
      <c r="AC288" s="404"/>
      <c r="AD288" s="404"/>
      <c r="AE288" s="404"/>
      <c r="AF288" s="404"/>
      <c r="AG288" s="404"/>
      <c r="AH288" s="404"/>
      <c r="AI288" s="404"/>
      <c r="AJ288" s="404"/>
      <c r="AK288" s="404"/>
      <c r="AL288" s="404"/>
      <c r="AM288" s="404"/>
      <c r="AN288" s="404"/>
      <c r="AO288" s="404"/>
      <c r="AP288" s="404"/>
      <c r="AQ288" s="404"/>
      <c r="AR288" s="404"/>
      <c r="AS288" s="404"/>
      <c r="AT288" s="404"/>
      <c r="AU288" s="404"/>
      <c r="AV288" s="404"/>
      <c r="AW288" s="404"/>
      <c r="AX288" s="404"/>
      <c r="AY288" s="404"/>
      <c r="AZ288" s="404"/>
      <c r="BA288" s="404"/>
      <c r="BB288" s="404"/>
      <c r="BC288" s="404"/>
      <c r="BD288" s="404"/>
      <c r="BE288" s="404"/>
      <c r="BF288" s="404"/>
      <c r="BG288" s="404"/>
      <c r="BH288" s="404"/>
      <c r="BI288" s="404"/>
      <c r="BJ288" s="404"/>
      <c r="BK288" s="404"/>
      <c r="BL288" s="404"/>
    </row>
    <row r="289" spans="1:64" ht="12.75" customHeight="1">
      <c r="A289" s="454"/>
      <c r="B289" s="454"/>
      <c r="C289" s="1294" t="s">
        <v>838</v>
      </c>
      <c r="D289" s="1294"/>
      <c r="E289" s="1294"/>
      <c r="F289" s="1294"/>
      <c r="G289" s="1294"/>
      <c r="H289" s="456"/>
      <c r="I289" s="408"/>
      <c r="J289" s="400"/>
      <c r="K289" s="401"/>
      <c r="L289" s="401"/>
      <c r="M289" s="404"/>
      <c r="N289" s="404"/>
      <c r="O289" s="404"/>
      <c r="P289" s="404"/>
      <c r="Q289" s="404"/>
      <c r="R289" s="404"/>
      <c r="S289" s="404"/>
      <c r="T289" s="404"/>
      <c r="U289" s="404"/>
      <c r="V289" s="404"/>
      <c r="W289" s="404"/>
      <c r="X289" s="404"/>
      <c r="Y289" s="404"/>
      <c r="Z289" s="404"/>
      <c r="AA289" s="404"/>
      <c r="AB289" s="404"/>
      <c r="AC289" s="404"/>
      <c r="AD289" s="404"/>
      <c r="AE289" s="404"/>
      <c r="AF289" s="404"/>
      <c r="AG289" s="404"/>
      <c r="AH289" s="404"/>
      <c r="AI289" s="404"/>
      <c r="AJ289" s="404"/>
      <c r="AK289" s="404"/>
      <c r="AL289" s="404"/>
      <c r="AM289" s="404"/>
      <c r="AN289" s="404"/>
      <c r="AO289" s="404"/>
      <c r="AP289" s="404"/>
      <c r="AQ289" s="404"/>
      <c r="AR289" s="404"/>
      <c r="AS289" s="404"/>
      <c r="AT289" s="404"/>
      <c r="AU289" s="404"/>
      <c r="AV289" s="404"/>
      <c r="AW289" s="404"/>
      <c r="AX289" s="404"/>
      <c r="AY289" s="404"/>
      <c r="AZ289" s="404"/>
      <c r="BA289" s="404"/>
      <c r="BB289" s="404"/>
      <c r="BC289" s="404"/>
      <c r="BD289" s="404"/>
      <c r="BE289" s="404"/>
      <c r="BF289" s="404"/>
      <c r="BG289" s="404"/>
      <c r="BH289" s="404"/>
      <c r="BI289" s="404"/>
      <c r="BJ289" s="404"/>
      <c r="BK289" s="404"/>
      <c r="BL289" s="404"/>
    </row>
    <row r="290" spans="1:64" ht="13">
      <c r="A290" s="454"/>
      <c r="B290" s="454"/>
      <c r="C290" s="427" t="s">
        <v>779</v>
      </c>
      <c r="D290" s="408"/>
      <c r="E290" s="408"/>
      <c r="F290" s="408"/>
      <c r="G290" s="430"/>
      <c r="H290" s="456" t="str">
        <f>IF(E290="","",IF(E290="No.","Each",IF(E290="Nos.","Each",E290)))</f>
        <v/>
      </c>
      <c r="I290" s="408"/>
      <c r="J290" s="400"/>
      <c r="K290" s="401"/>
      <c r="L290" s="401"/>
      <c r="M290" s="404"/>
      <c r="N290" s="404"/>
      <c r="O290" s="404"/>
      <c r="P290" s="404"/>
      <c r="Q290" s="404"/>
      <c r="R290" s="404"/>
      <c r="S290" s="404"/>
      <c r="T290" s="404"/>
      <c r="U290" s="404"/>
      <c r="V290" s="404"/>
      <c r="W290" s="404"/>
      <c r="X290" s="404"/>
      <c r="Y290" s="404"/>
      <c r="Z290" s="404"/>
      <c r="AA290" s="404"/>
      <c r="AB290" s="404"/>
      <c r="AC290" s="404"/>
      <c r="AD290" s="404"/>
      <c r="AE290" s="404"/>
      <c r="AF290" s="404"/>
      <c r="AG290" s="404"/>
      <c r="AH290" s="404"/>
      <c r="AI290" s="404"/>
      <c r="AJ290" s="404"/>
      <c r="AK290" s="404"/>
      <c r="AL290" s="404"/>
      <c r="AM290" s="404"/>
      <c r="AN290" s="404"/>
      <c r="AO290" s="404"/>
      <c r="AP290" s="404"/>
      <c r="AQ290" s="404"/>
      <c r="AR290" s="404"/>
      <c r="AS290" s="404"/>
      <c r="AT290" s="404"/>
      <c r="AU290" s="404"/>
      <c r="AV290" s="404"/>
      <c r="AW290" s="404"/>
      <c r="AX290" s="404"/>
      <c r="AY290" s="404"/>
      <c r="AZ290" s="404"/>
      <c r="BA290" s="404"/>
      <c r="BB290" s="404"/>
      <c r="BC290" s="404"/>
      <c r="BD290" s="404"/>
      <c r="BE290" s="404"/>
      <c r="BF290" s="404"/>
      <c r="BG290" s="404"/>
      <c r="BH290" s="404"/>
      <c r="BI290" s="404"/>
      <c r="BJ290" s="404"/>
      <c r="BK290" s="404"/>
      <c r="BL290" s="404"/>
    </row>
    <row r="291" spans="1:64" ht="13">
      <c r="A291" s="454"/>
      <c r="B291" s="454"/>
      <c r="C291" s="427" t="s">
        <v>793</v>
      </c>
      <c r="D291" s="457">
        <v>10</v>
      </c>
      <c r="E291" s="415" t="s">
        <v>839</v>
      </c>
      <c r="F291" s="408"/>
      <c r="G291" s="410"/>
      <c r="H291" s="426"/>
      <c r="I291" s="408"/>
      <c r="J291" s="400"/>
      <c r="K291" s="401"/>
      <c r="L291" s="401"/>
      <c r="M291" s="404"/>
      <c r="N291" s="404"/>
      <c r="O291" s="404"/>
      <c r="P291" s="404"/>
      <c r="Q291" s="404"/>
      <c r="R291" s="404"/>
      <c r="S291" s="404"/>
      <c r="T291" s="404"/>
      <c r="U291" s="404"/>
      <c r="V291" s="404"/>
      <c r="W291" s="404"/>
      <c r="X291" s="404"/>
      <c r="Y291" s="404"/>
      <c r="Z291" s="404"/>
      <c r="AA291" s="404"/>
      <c r="AB291" s="404"/>
      <c r="AC291" s="404"/>
      <c r="AD291" s="404"/>
      <c r="AE291" s="404"/>
      <c r="AF291" s="404"/>
      <c r="AG291" s="404"/>
      <c r="AH291" s="404"/>
      <c r="AI291" s="404"/>
      <c r="AJ291" s="404"/>
      <c r="AK291" s="404"/>
      <c r="AL291" s="404"/>
      <c r="AM291" s="404"/>
      <c r="AN291" s="404"/>
      <c r="AO291" s="404"/>
      <c r="AP291" s="404"/>
      <c r="AQ291" s="404"/>
      <c r="AR291" s="404"/>
      <c r="AS291" s="404"/>
      <c r="AT291" s="404"/>
      <c r="AU291" s="404"/>
      <c r="AV291" s="404"/>
      <c r="AW291" s="404"/>
      <c r="AX291" s="404"/>
      <c r="AY291" s="404"/>
      <c r="AZ291" s="404"/>
      <c r="BA291" s="404"/>
      <c r="BB291" s="404"/>
      <c r="BC291" s="404"/>
      <c r="BD291" s="404"/>
      <c r="BE291" s="404"/>
      <c r="BF291" s="404"/>
      <c r="BG291" s="404"/>
      <c r="BH291" s="404"/>
      <c r="BI291" s="404"/>
      <c r="BJ291" s="404"/>
      <c r="BK291" s="404"/>
      <c r="BL291" s="404"/>
    </row>
    <row r="292" spans="1:64" ht="13">
      <c r="A292" s="454"/>
      <c r="B292" s="454"/>
      <c r="C292" s="417" t="s">
        <v>781</v>
      </c>
      <c r="D292" s="408"/>
      <c r="E292" s="408"/>
      <c r="F292" s="408"/>
      <c r="G292" s="430"/>
      <c r="H292" s="414"/>
      <c r="I292" s="414"/>
      <c r="J292" s="400"/>
      <c r="K292" s="401"/>
      <c r="L292" s="401"/>
      <c r="M292" s="404"/>
      <c r="N292" s="404"/>
      <c r="O292" s="404"/>
      <c r="P292" s="404"/>
      <c r="Q292" s="404"/>
      <c r="R292" s="404"/>
      <c r="S292" s="404"/>
      <c r="T292" s="404"/>
      <c r="U292" s="404"/>
      <c r="V292" s="404"/>
      <c r="W292" s="404"/>
      <c r="X292" s="404"/>
      <c r="Y292" s="404"/>
      <c r="Z292" s="404"/>
      <c r="AA292" s="404"/>
      <c r="AB292" s="404"/>
      <c r="AC292" s="404"/>
      <c r="AD292" s="404"/>
      <c r="AE292" s="404"/>
      <c r="AF292" s="404"/>
      <c r="AG292" s="404"/>
      <c r="AH292" s="404"/>
      <c r="AI292" s="404"/>
      <c r="AJ292" s="404"/>
      <c r="AK292" s="404"/>
      <c r="AL292" s="404"/>
      <c r="AM292" s="404"/>
      <c r="AN292" s="404"/>
      <c r="AO292" s="404"/>
      <c r="AP292" s="404"/>
      <c r="AQ292" s="404"/>
      <c r="AR292" s="404"/>
      <c r="AS292" s="404"/>
      <c r="AT292" s="404"/>
      <c r="AU292" s="404"/>
      <c r="AV292" s="404"/>
      <c r="AW292" s="404"/>
      <c r="AX292" s="404"/>
      <c r="AY292" s="404"/>
      <c r="AZ292" s="404"/>
      <c r="BA292" s="404"/>
      <c r="BB292" s="404"/>
      <c r="BC292" s="404"/>
      <c r="BD292" s="404"/>
      <c r="BE292" s="404"/>
      <c r="BF292" s="404"/>
      <c r="BG292" s="404"/>
      <c r="BH292" s="404"/>
      <c r="BI292" s="404"/>
      <c r="BJ292" s="404"/>
      <c r="BK292" s="404"/>
      <c r="BL292" s="404"/>
    </row>
    <row r="293" spans="1:64">
      <c r="A293" s="454"/>
      <c r="B293" s="454"/>
      <c r="C293" s="417" t="s">
        <v>782</v>
      </c>
      <c r="D293" s="408">
        <v>5.2</v>
      </c>
      <c r="E293" s="408" t="s">
        <v>375</v>
      </c>
      <c r="F293" s="408">
        <f>'[161]Civil-SOR'!$G$307</f>
        <v>520</v>
      </c>
      <c r="G293" s="430">
        <v>1</v>
      </c>
      <c r="H293" s="408" t="s">
        <v>678</v>
      </c>
      <c r="I293" s="408">
        <f t="shared" ref="I293:I294" si="32">IF(G293="",D293*F293,(D293*F293/G293))</f>
        <v>2704</v>
      </c>
      <c r="J293" s="400"/>
      <c r="K293" s="401"/>
      <c r="L293" s="401"/>
      <c r="M293" s="404"/>
      <c r="N293" s="404"/>
      <c r="O293" s="404"/>
      <c r="P293" s="404"/>
      <c r="Q293" s="404"/>
      <c r="R293" s="404"/>
      <c r="S293" s="404"/>
      <c r="T293" s="404"/>
      <c r="U293" s="404"/>
      <c r="V293" s="404"/>
      <c r="W293" s="404"/>
      <c r="X293" s="404"/>
      <c r="Y293" s="404"/>
      <c r="Z293" s="404"/>
      <c r="AA293" s="404"/>
      <c r="AB293" s="404"/>
      <c r="AC293" s="404"/>
      <c r="AD293" s="404"/>
      <c r="AE293" s="404"/>
      <c r="AF293" s="404"/>
      <c r="AG293" s="404"/>
      <c r="AH293" s="404"/>
      <c r="AI293" s="404"/>
      <c r="AJ293" s="404"/>
      <c r="AK293" s="404"/>
      <c r="AL293" s="404"/>
      <c r="AM293" s="404"/>
      <c r="AN293" s="404"/>
      <c r="AO293" s="404"/>
      <c r="AP293" s="404"/>
      <c r="AQ293" s="404"/>
      <c r="AR293" s="404"/>
      <c r="AS293" s="404"/>
      <c r="AT293" s="404"/>
      <c r="AU293" s="404"/>
      <c r="AV293" s="404"/>
      <c r="AW293" s="404"/>
      <c r="AX293" s="404"/>
      <c r="AY293" s="404"/>
      <c r="AZ293" s="404"/>
      <c r="BA293" s="404"/>
      <c r="BB293" s="404"/>
      <c r="BC293" s="404"/>
      <c r="BD293" s="404"/>
      <c r="BE293" s="404"/>
      <c r="BF293" s="404"/>
      <c r="BG293" s="404"/>
      <c r="BH293" s="404"/>
      <c r="BI293" s="404"/>
      <c r="BJ293" s="404"/>
      <c r="BK293" s="404"/>
      <c r="BL293" s="404"/>
    </row>
    <row r="294" spans="1:64">
      <c r="A294" s="454"/>
      <c r="B294" s="454"/>
      <c r="C294" s="417" t="str">
        <f>[161]Input!$C$47</f>
        <v>Add for MA @ 40%</v>
      </c>
      <c r="D294" s="408">
        <f>[161]Input!$D$47</f>
        <v>0.4</v>
      </c>
      <c r="E294" s="408"/>
      <c r="F294" s="408">
        <f>I293</f>
        <v>2704</v>
      </c>
      <c r="G294" s="430"/>
      <c r="H294" s="408"/>
      <c r="I294" s="408">
        <f t="shared" si="32"/>
        <v>1081.6000000000001</v>
      </c>
      <c r="J294" s="400"/>
      <c r="K294" s="401"/>
      <c r="L294" s="401"/>
      <c r="M294" s="404"/>
      <c r="N294" s="404"/>
      <c r="O294" s="404"/>
      <c r="P294" s="404"/>
      <c r="Q294" s="404"/>
      <c r="R294" s="404"/>
      <c r="S294" s="404"/>
      <c r="T294" s="404"/>
      <c r="U294" s="404"/>
      <c r="V294" s="404"/>
      <c r="W294" s="404"/>
      <c r="X294" s="404"/>
      <c r="Y294" s="404"/>
      <c r="Z294" s="404"/>
      <c r="AA294" s="404"/>
      <c r="AB294" s="404"/>
      <c r="AC294" s="404"/>
      <c r="AD294" s="404"/>
      <c r="AE294" s="404"/>
      <c r="AF294" s="404"/>
      <c r="AG294" s="404"/>
      <c r="AH294" s="404"/>
      <c r="AI294" s="404"/>
      <c r="AJ294" s="404"/>
      <c r="AK294" s="404"/>
      <c r="AL294" s="404"/>
      <c r="AM294" s="404"/>
      <c r="AN294" s="404"/>
      <c r="AO294" s="404"/>
      <c r="AP294" s="404"/>
      <c r="AQ294" s="404"/>
      <c r="AR294" s="404"/>
      <c r="AS294" s="404"/>
      <c r="AT294" s="404"/>
      <c r="AU294" s="404"/>
      <c r="AV294" s="404"/>
      <c r="AW294" s="404"/>
      <c r="AX294" s="404"/>
      <c r="AY294" s="404"/>
      <c r="AZ294" s="404"/>
      <c r="BA294" s="404"/>
      <c r="BB294" s="404"/>
      <c r="BC294" s="404"/>
      <c r="BD294" s="404"/>
      <c r="BE294" s="404"/>
      <c r="BF294" s="404"/>
      <c r="BG294" s="404"/>
      <c r="BH294" s="404"/>
      <c r="BI294" s="404"/>
      <c r="BJ294" s="404"/>
      <c r="BK294" s="404"/>
      <c r="BL294" s="404"/>
    </row>
    <row r="295" spans="1:64" ht="13">
      <c r="A295" s="454"/>
      <c r="B295" s="454"/>
      <c r="C295" s="427" t="s">
        <v>794</v>
      </c>
      <c r="D295" s="408"/>
      <c r="E295" s="408"/>
      <c r="F295" s="408"/>
      <c r="G295" s="430"/>
      <c r="H295" s="408"/>
      <c r="I295" s="408"/>
      <c r="J295" s="400"/>
      <c r="K295" s="401"/>
      <c r="L295" s="401"/>
      <c r="M295" s="404"/>
      <c r="N295" s="404"/>
      <c r="O295" s="404"/>
      <c r="P295" s="404"/>
      <c r="Q295" s="404"/>
      <c r="R295" s="404"/>
      <c r="S295" s="404"/>
      <c r="T295" s="404"/>
      <c r="U295" s="404"/>
      <c r="V295" s="404"/>
      <c r="W295" s="404"/>
      <c r="X295" s="404"/>
      <c r="Y295" s="404"/>
      <c r="Z295" s="404"/>
      <c r="AA295" s="404"/>
      <c r="AB295" s="404"/>
      <c r="AC295" s="404"/>
      <c r="AD295" s="404"/>
      <c r="AE295" s="404"/>
      <c r="AF295" s="404"/>
      <c r="AG295" s="404"/>
      <c r="AH295" s="404"/>
      <c r="AI295" s="404"/>
      <c r="AJ295" s="404"/>
      <c r="AK295" s="404"/>
      <c r="AL295" s="404"/>
      <c r="AM295" s="404"/>
      <c r="AN295" s="404"/>
      <c r="AO295" s="404"/>
      <c r="AP295" s="404"/>
      <c r="AQ295" s="404"/>
      <c r="AR295" s="404"/>
      <c r="AS295" s="404"/>
      <c r="AT295" s="404"/>
      <c r="AU295" s="404"/>
      <c r="AV295" s="404"/>
      <c r="AW295" s="404"/>
      <c r="AX295" s="404"/>
      <c r="AY295" s="404"/>
      <c r="AZ295" s="404"/>
      <c r="BA295" s="404"/>
      <c r="BB295" s="404"/>
      <c r="BC295" s="404"/>
      <c r="BD295" s="404"/>
      <c r="BE295" s="404"/>
      <c r="BF295" s="404"/>
      <c r="BG295" s="404"/>
      <c r="BH295" s="404"/>
      <c r="BI295" s="404"/>
      <c r="BJ295" s="404"/>
      <c r="BK295" s="404"/>
      <c r="BL295" s="404"/>
    </row>
    <row r="296" spans="1:64">
      <c r="A296" s="454"/>
      <c r="B296" s="454"/>
      <c r="C296" s="417" t="s">
        <v>840</v>
      </c>
      <c r="D296" s="408">
        <v>6</v>
      </c>
      <c r="E296" s="408" t="s">
        <v>830</v>
      </c>
      <c r="F296" s="408">
        <f>'[161]Civil-SOR'!$G$328</f>
        <v>1458</v>
      </c>
      <c r="G296" s="430">
        <v>1</v>
      </c>
      <c r="H296" s="408" t="s">
        <v>797</v>
      </c>
      <c r="I296" s="408">
        <f t="shared" ref="I296:I297" si="33">IF(G296="",D296*F296,(D296*F296/G296))</f>
        <v>8748</v>
      </c>
      <c r="J296" s="400"/>
      <c r="K296" s="401"/>
      <c r="L296" s="401"/>
      <c r="M296" s="404"/>
      <c r="N296" s="404"/>
      <c r="O296" s="404"/>
      <c r="P296" s="404"/>
      <c r="Q296" s="404"/>
      <c r="R296" s="404"/>
      <c r="S296" s="404"/>
      <c r="T296" s="404"/>
      <c r="U296" s="404"/>
      <c r="V296" s="404"/>
      <c r="W296" s="404"/>
      <c r="X296" s="404"/>
      <c r="Y296" s="404"/>
      <c r="Z296" s="404"/>
      <c r="AA296" s="404"/>
      <c r="AB296" s="404"/>
      <c r="AC296" s="404"/>
      <c r="AD296" s="404"/>
      <c r="AE296" s="404"/>
      <c r="AF296" s="404"/>
      <c r="AG296" s="404"/>
      <c r="AH296" s="404"/>
      <c r="AI296" s="404"/>
      <c r="AJ296" s="404"/>
      <c r="AK296" s="404"/>
      <c r="AL296" s="404"/>
      <c r="AM296" s="404"/>
      <c r="AN296" s="404"/>
      <c r="AO296" s="404"/>
      <c r="AP296" s="404"/>
      <c r="AQ296" s="404"/>
      <c r="AR296" s="404"/>
      <c r="AS296" s="404"/>
      <c r="AT296" s="404"/>
      <c r="AU296" s="404"/>
      <c r="AV296" s="404"/>
      <c r="AW296" s="404"/>
      <c r="AX296" s="404"/>
      <c r="AY296" s="404"/>
      <c r="AZ296" s="404"/>
      <c r="BA296" s="404"/>
      <c r="BB296" s="404"/>
      <c r="BC296" s="404"/>
      <c r="BD296" s="404"/>
      <c r="BE296" s="404"/>
      <c r="BF296" s="404"/>
      <c r="BG296" s="404"/>
      <c r="BH296" s="404"/>
      <c r="BI296" s="404"/>
      <c r="BJ296" s="404"/>
      <c r="BK296" s="404"/>
      <c r="BL296" s="404"/>
    </row>
    <row r="297" spans="1:64">
      <c r="A297" s="454"/>
      <c r="B297" s="454"/>
      <c r="C297" s="417" t="s">
        <v>827</v>
      </c>
      <c r="D297" s="408">
        <v>12</v>
      </c>
      <c r="E297" s="408" t="s">
        <v>830</v>
      </c>
      <c r="F297" s="408">
        <f>'[161]Civil-SOR'!$G$331</f>
        <v>21.4</v>
      </c>
      <c r="G297" s="430">
        <v>1</v>
      </c>
      <c r="H297" s="408" t="s">
        <v>797</v>
      </c>
      <c r="I297" s="408">
        <f t="shared" si="33"/>
        <v>256.79999999999995</v>
      </c>
      <c r="J297" s="400"/>
      <c r="K297" s="401"/>
      <c r="L297" s="401"/>
      <c r="M297" s="404"/>
      <c r="N297" s="404"/>
      <c r="O297" s="404"/>
      <c r="P297" s="404"/>
      <c r="Q297" s="404"/>
      <c r="R297" s="404"/>
      <c r="S297" s="404"/>
      <c r="T297" s="404"/>
      <c r="U297" s="404"/>
      <c r="V297" s="404"/>
      <c r="W297" s="404"/>
      <c r="X297" s="404"/>
      <c r="Y297" s="404"/>
      <c r="Z297" s="404"/>
      <c r="AA297" s="404"/>
      <c r="AB297" s="404"/>
      <c r="AC297" s="404"/>
      <c r="AD297" s="404"/>
      <c r="AE297" s="404"/>
      <c r="AF297" s="404"/>
      <c r="AG297" s="404"/>
      <c r="AH297" s="404"/>
      <c r="AI297" s="404"/>
      <c r="AJ297" s="404"/>
      <c r="AK297" s="404"/>
      <c r="AL297" s="404"/>
      <c r="AM297" s="404"/>
      <c r="AN297" s="404"/>
      <c r="AO297" s="404"/>
      <c r="AP297" s="404"/>
      <c r="AQ297" s="404"/>
      <c r="AR297" s="404"/>
      <c r="AS297" s="404"/>
      <c r="AT297" s="404"/>
      <c r="AU297" s="404"/>
      <c r="AV297" s="404"/>
      <c r="AW297" s="404"/>
      <c r="AX297" s="404"/>
      <c r="AY297" s="404"/>
      <c r="AZ297" s="404"/>
      <c r="BA297" s="404"/>
      <c r="BB297" s="404"/>
      <c r="BC297" s="404"/>
      <c r="BD297" s="404"/>
      <c r="BE297" s="404"/>
      <c r="BF297" s="404"/>
      <c r="BG297" s="404"/>
      <c r="BH297" s="404"/>
      <c r="BI297" s="404"/>
      <c r="BJ297" s="404"/>
      <c r="BK297" s="404"/>
      <c r="BL297" s="404"/>
    </row>
    <row r="298" spans="1:64" ht="13">
      <c r="A298" s="454"/>
      <c r="B298" s="454"/>
      <c r="C298" s="427" t="s">
        <v>828</v>
      </c>
      <c r="D298" s="408"/>
      <c r="E298" s="408"/>
      <c r="F298" s="408"/>
      <c r="G298" s="430"/>
      <c r="H298" s="408"/>
      <c r="I298" s="408"/>
      <c r="J298" s="400"/>
      <c r="K298" s="401"/>
      <c r="L298" s="401"/>
      <c r="M298" s="404"/>
      <c r="N298" s="404"/>
      <c r="O298" s="404"/>
      <c r="P298" s="404"/>
      <c r="Q298" s="404"/>
      <c r="R298" s="404"/>
      <c r="S298" s="404"/>
      <c r="T298" s="404"/>
      <c r="U298" s="404"/>
      <c r="V298" s="404"/>
      <c r="W298" s="404"/>
      <c r="X298" s="404"/>
      <c r="Y298" s="404"/>
      <c r="Z298" s="404"/>
      <c r="AA298" s="404"/>
      <c r="AB298" s="404"/>
      <c r="AC298" s="404"/>
      <c r="AD298" s="404"/>
      <c r="AE298" s="404"/>
      <c r="AF298" s="404"/>
      <c r="AG298" s="404"/>
      <c r="AH298" s="404"/>
      <c r="AI298" s="404"/>
      <c r="AJ298" s="404"/>
      <c r="AK298" s="404"/>
      <c r="AL298" s="404"/>
      <c r="AM298" s="404"/>
      <c r="AN298" s="404"/>
      <c r="AO298" s="404"/>
      <c r="AP298" s="404"/>
      <c r="AQ298" s="404"/>
      <c r="AR298" s="404"/>
      <c r="AS298" s="404"/>
      <c r="AT298" s="404"/>
      <c r="AU298" s="404"/>
      <c r="AV298" s="404"/>
      <c r="AW298" s="404"/>
      <c r="AX298" s="404"/>
      <c r="AY298" s="404"/>
      <c r="AZ298" s="404"/>
      <c r="BA298" s="404"/>
      <c r="BB298" s="404"/>
      <c r="BC298" s="404"/>
      <c r="BD298" s="404"/>
      <c r="BE298" s="404"/>
      <c r="BF298" s="404"/>
      <c r="BG298" s="404"/>
      <c r="BH298" s="404"/>
      <c r="BI298" s="404"/>
      <c r="BJ298" s="404"/>
      <c r="BK298" s="404"/>
      <c r="BL298" s="404"/>
    </row>
    <row r="299" spans="1:64">
      <c r="A299" s="454"/>
      <c r="B299" s="454"/>
      <c r="C299" s="417" t="s">
        <v>840</v>
      </c>
      <c r="D299" s="408">
        <v>6</v>
      </c>
      <c r="E299" s="408" t="s">
        <v>830</v>
      </c>
      <c r="F299" s="408">
        <f>'[161]Civil-SOR'!$J$328</f>
        <v>288.3</v>
      </c>
      <c r="G299" s="430">
        <v>1</v>
      </c>
      <c r="H299" s="408" t="s">
        <v>797</v>
      </c>
      <c r="I299" s="408">
        <f t="shared" ref="I299:I301" si="34">IF(G299="",D299*F299,(D299*F299/G299))</f>
        <v>1729.8000000000002</v>
      </c>
      <c r="J299" s="400"/>
      <c r="K299" s="401"/>
      <c r="L299" s="401"/>
      <c r="M299" s="404"/>
      <c r="N299" s="404"/>
      <c r="O299" s="404"/>
      <c r="P299" s="404"/>
      <c r="Q299" s="404"/>
      <c r="R299" s="404"/>
      <c r="S299" s="404"/>
      <c r="T299" s="404"/>
      <c r="U299" s="404"/>
      <c r="V299" s="404"/>
      <c r="W299" s="404"/>
      <c r="X299" s="404"/>
      <c r="Y299" s="404"/>
      <c r="Z299" s="404"/>
      <c r="AA299" s="404"/>
      <c r="AB299" s="404"/>
      <c r="AC299" s="404"/>
      <c r="AD299" s="404"/>
      <c r="AE299" s="404"/>
      <c r="AF299" s="404"/>
      <c r="AG299" s="404"/>
      <c r="AH299" s="404"/>
      <c r="AI299" s="404"/>
      <c r="AJ299" s="404"/>
      <c r="AK299" s="404"/>
      <c r="AL299" s="404"/>
      <c r="AM299" s="404"/>
      <c r="AN299" s="404"/>
      <c r="AO299" s="404"/>
      <c r="AP299" s="404"/>
      <c r="AQ299" s="404"/>
      <c r="AR299" s="404"/>
      <c r="AS299" s="404"/>
      <c r="AT299" s="404"/>
      <c r="AU299" s="404"/>
      <c r="AV299" s="404"/>
      <c r="AW299" s="404"/>
      <c r="AX299" s="404"/>
      <c r="AY299" s="404"/>
      <c r="AZ299" s="404"/>
      <c r="BA299" s="404"/>
      <c r="BB299" s="404"/>
      <c r="BC299" s="404"/>
      <c r="BD299" s="404"/>
      <c r="BE299" s="404"/>
      <c r="BF299" s="404"/>
      <c r="BG299" s="404"/>
      <c r="BH299" s="404"/>
      <c r="BI299" s="404"/>
      <c r="BJ299" s="404"/>
      <c r="BK299" s="404"/>
      <c r="BL299" s="404"/>
    </row>
    <row r="300" spans="1:64">
      <c r="A300" s="454"/>
      <c r="B300" s="454"/>
      <c r="C300" s="417" t="s">
        <v>827</v>
      </c>
      <c r="D300" s="408">
        <v>12</v>
      </c>
      <c r="E300" s="408" t="s">
        <v>830</v>
      </c>
      <c r="F300" s="408">
        <f>'[161]Civil-SOR'!$J$331</f>
        <v>450.5</v>
      </c>
      <c r="G300" s="430">
        <v>1</v>
      </c>
      <c r="H300" s="408" t="s">
        <v>797</v>
      </c>
      <c r="I300" s="408">
        <f t="shared" si="34"/>
        <v>5406</v>
      </c>
      <c r="J300" s="400"/>
      <c r="K300" s="401"/>
      <c r="L300" s="401"/>
      <c r="M300" s="404"/>
      <c r="N300" s="404"/>
      <c r="O300" s="404"/>
      <c r="P300" s="404"/>
      <c r="Q300" s="404"/>
      <c r="R300" s="404"/>
      <c r="S300" s="404"/>
      <c r="T300" s="404"/>
      <c r="U300" s="404"/>
      <c r="V300" s="404"/>
      <c r="W300" s="404"/>
      <c r="X300" s="404"/>
      <c r="Y300" s="404"/>
      <c r="Z300" s="404"/>
      <c r="AA300" s="404"/>
      <c r="AB300" s="404"/>
      <c r="AC300" s="404"/>
      <c r="AD300" s="404"/>
      <c r="AE300" s="404"/>
      <c r="AF300" s="404"/>
      <c r="AG300" s="404"/>
      <c r="AH300" s="404"/>
      <c r="AI300" s="404"/>
      <c r="AJ300" s="404"/>
      <c r="AK300" s="404"/>
      <c r="AL300" s="404"/>
      <c r="AM300" s="404"/>
      <c r="AN300" s="404"/>
      <c r="AO300" s="404"/>
      <c r="AP300" s="404"/>
      <c r="AQ300" s="404"/>
      <c r="AR300" s="404"/>
      <c r="AS300" s="404"/>
      <c r="AT300" s="404"/>
      <c r="AU300" s="404"/>
      <c r="AV300" s="404"/>
      <c r="AW300" s="404"/>
      <c r="AX300" s="404"/>
      <c r="AY300" s="404"/>
      <c r="AZ300" s="404"/>
      <c r="BA300" s="404"/>
      <c r="BB300" s="404"/>
      <c r="BC300" s="404"/>
      <c r="BD300" s="404"/>
      <c r="BE300" s="404"/>
      <c r="BF300" s="404"/>
      <c r="BG300" s="404"/>
      <c r="BH300" s="404"/>
      <c r="BI300" s="404"/>
      <c r="BJ300" s="404"/>
      <c r="BK300" s="404"/>
      <c r="BL300" s="404"/>
    </row>
    <row r="301" spans="1:64">
      <c r="A301" s="454"/>
      <c r="B301" s="454"/>
      <c r="C301" s="417" t="s">
        <v>799</v>
      </c>
      <c r="D301" s="408">
        <f>[161]Input!$D$47</f>
        <v>0.4</v>
      </c>
      <c r="E301" s="408"/>
      <c r="F301" s="408">
        <f>SUM(I299:I300)</f>
        <v>7135.8</v>
      </c>
      <c r="G301" s="430"/>
      <c r="H301" s="408"/>
      <c r="I301" s="408">
        <f t="shared" si="34"/>
        <v>2854.32</v>
      </c>
      <c r="J301" s="400"/>
      <c r="K301" s="401"/>
      <c r="L301" s="401"/>
      <c r="M301" s="404"/>
      <c r="N301" s="404"/>
      <c r="O301" s="404"/>
      <c r="P301" s="404"/>
      <c r="Q301" s="404"/>
      <c r="R301" s="404"/>
      <c r="S301" s="404"/>
      <c r="T301" s="404"/>
      <c r="U301" s="404"/>
      <c r="V301" s="404"/>
      <c r="W301" s="404"/>
      <c r="X301" s="404"/>
      <c r="Y301" s="404"/>
      <c r="Z301" s="404"/>
      <c r="AA301" s="404"/>
      <c r="AB301" s="404"/>
      <c r="AC301" s="404"/>
      <c r="AD301" s="404"/>
      <c r="AE301" s="404"/>
      <c r="AF301" s="404"/>
      <c r="AG301" s="404"/>
      <c r="AH301" s="404"/>
      <c r="AI301" s="404"/>
      <c r="AJ301" s="404"/>
      <c r="AK301" s="404"/>
      <c r="AL301" s="404"/>
      <c r="AM301" s="404"/>
      <c r="AN301" s="404"/>
      <c r="AO301" s="404"/>
      <c r="AP301" s="404"/>
      <c r="AQ301" s="404"/>
      <c r="AR301" s="404"/>
      <c r="AS301" s="404"/>
      <c r="AT301" s="404"/>
      <c r="AU301" s="404"/>
      <c r="AV301" s="404"/>
      <c r="AW301" s="404"/>
      <c r="AX301" s="404"/>
      <c r="AY301" s="404"/>
      <c r="AZ301" s="404"/>
      <c r="BA301" s="404"/>
      <c r="BB301" s="404"/>
      <c r="BC301" s="404"/>
      <c r="BD301" s="404"/>
      <c r="BE301" s="404"/>
      <c r="BF301" s="404"/>
      <c r="BG301" s="404"/>
      <c r="BH301" s="404"/>
      <c r="BI301" s="404"/>
      <c r="BJ301" s="404"/>
      <c r="BK301" s="404"/>
      <c r="BL301" s="404"/>
    </row>
    <row r="302" spans="1:64">
      <c r="A302" s="454"/>
      <c r="B302" s="454"/>
      <c r="C302" s="417" t="s">
        <v>800</v>
      </c>
      <c r="D302" s="408"/>
      <c r="E302" s="408"/>
      <c r="F302" s="408"/>
      <c r="G302" s="408"/>
      <c r="H302" s="408"/>
      <c r="I302" s="408">
        <f>SUM(I293:I301)</f>
        <v>22780.52</v>
      </c>
      <c r="J302" s="400"/>
      <c r="K302" s="401"/>
      <c r="L302" s="401"/>
      <c r="M302" s="404"/>
      <c r="N302" s="404"/>
      <c r="O302" s="404"/>
      <c r="P302" s="404"/>
      <c r="Q302" s="404"/>
      <c r="R302" s="404"/>
      <c r="S302" s="404"/>
      <c r="T302" s="404"/>
      <c r="U302" s="404"/>
      <c r="V302" s="404"/>
      <c r="W302" s="404"/>
      <c r="X302" s="404"/>
      <c r="Y302" s="404"/>
      <c r="Z302" s="404"/>
      <c r="AA302" s="404"/>
      <c r="AB302" s="404"/>
      <c r="AC302" s="404"/>
      <c r="AD302" s="404"/>
      <c r="AE302" s="404"/>
      <c r="AF302" s="404"/>
      <c r="AG302" s="404"/>
      <c r="AH302" s="404"/>
      <c r="AI302" s="404"/>
      <c r="AJ302" s="404"/>
      <c r="AK302" s="404"/>
      <c r="AL302" s="404"/>
      <c r="AM302" s="404"/>
      <c r="AN302" s="404"/>
      <c r="AO302" s="404"/>
      <c r="AP302" s="404"/>
      <c r="AQ302" s="404"/>
      <c r="AR302" s="404"/>
      <c r="AS302" s="404"/>
      <c r="AT302" s="404"/>
      <c r="AU302" s="404"/>
      <c r="AV302" s="404"/>
      <c r="AW302" s="404"/>
      <c r="AX302" s="404"/>
      <c r="AY302" s="404"/>
      <c r="AZ302" s="404"/>
      <c r="BA302" s="404"/>
      <c r="BB302" s="404"/>
      <c r="BC302" s="404"/>
      <c r="BD302" s="404"/>
      <c r="BE302" s="404"/>
      <c r="BF302" s="404"/>
      <c r="BG302" s="404"/>
      <c r="BH302" s="404"/>
      <c r="BI302" s="404"/>
      <c r="BJ302" s="404"/>
      <c r="BK302" s="404"/>
      <c r="BL302" s="404"/>
    </row>
    <row r="303" spans="1:64" ht="25">
      <c r="A303" s="454"/>
      <c r="B303" s="454"/>
      <c r="C303" s="468" t="str">
        <f>[161]Input!$C$48</f>
        <v>Overheads &amp; Contractors Profit @ 13.615%</v>
      </c>
      <c r="D303" s="467">
        <f>[161]Input!$D$48</f>
        <v>0.13614999999999999</v>
      </c>
      <c r="E303" s="408"/>
      <c r="F303" s="408">
        <f>I302</f>
        <v>22780.52</v>
      </c>
      <c r="G303" s="430"/>
      <c r="H303" s="414"/>
      <c r="I303" s="408">
        <f>IF(G303="",D303*F303,(D303*F303/G303))</f>
        <v>3101.567798</v>
      </c>
      <c r="J303" s="400"/>
      <c r="K303" s="401"/>
      <c r="L303" s="401"/>
      <c r="M303" s="404"/>
      <c r="N303" s="404"/>
      <c r="O303" s="404"/>
      <c r="P303" s="404"/>
      <c r="Q303" s="404"/>
      <c r="R303" s="404"/>
      <c r="S303" s="404"/>
      <c r="T303" s="404"/>
      <c r="U303" s="404"/>
      <c r="V303" s="404"/>
      <c r="W303" s="404"/>
      <c r="X303" s="404"/>
      <c r="Y303" s="404"/>
      <c r="Z303" s="404"/>
      <c r="AA303" s="404"/>
      <c r="AB303" s="404"/>
      <c r="AC303" s="404"/>
      <c r="AD303" s="404"/>
      <c r="AE303" s="404"/>
      <c r="AF303" s="404"/>
      <c r="AG303" s="404"/>
      <c r="AH303" s="404"/>
      <c r="AI303" s="404"/>
      <c r="AJ303" s="404"/>
      <c r="AK303" s="404"/>
      <c r="AL303" s="404"/>
      <c r="AM303" s="404"/>
      <c r="AN303" s="404"/>
      <c r="AO303" s="404"/>
      <c r="AP303" s="404"/>
      <c r="AQ303" s="404"/>
      <c r="AR303" s="404"/>
      <c r="AS303" s="404"/>
      <c r="AT303" s="404"/>
      <c r="AU303" s="404"/>
      <c r="AV303" s="404"/>
      <c r="AW303" s="404"/>
      <c r="AX303" s="404"/>
      <c r="AY303" s="404"/>
      <c r="AZ303" s="404"/>
      <c r="BA303" s="404"/>
      <c r="BB303" s="404"/>
      <c r="BC303" s="404"/>
      <c r="BD303" s="404"/>
      <c r="BE303" s="404"/>
      <c r="BF303" s="404"/>
      <c r="BG303" s="404"/>
      <c r="BH303" s="404"/>
      <c r="BI303" s="404"/>
      <c r="BJ303" s="404"/>
      <c r="BK303" s="404"/>
      <c r="BL303" s="404"/>
    </row>
    <row r="304" spans="1:64" ht="13">
      <c r="A304" s="454"/>
      <c r="B304" s="454"/>
      <c r="C304" s="417" t="s">
        <v>835</v>
      </c>
      <c r="D304" s="408"/>
      <c r="E304" s="408"/>
      <c r="F304" s="408"/>
      <c r="G304" s="430"/>
      <c r="H304" s="414"/>
      <c r="I304" s="408">
        <f>SUM(I302:I303)</f>
        <v>25882.087798</v>
      </c>
      <c r="J304" s="400"/>
      <c r="K304" s="401"/>
      <c r="L304" s="401"/>
      <c r="M304" s="404"/>
      <c r="N304" s="404"/>
      <c r="O304" s="404"/>
      <c r="P304" s="404"/>
      <c r="Q304" s="404"/>
      <c r="R304" s="404"/>
      <c r="S304" s="404"/>
      <c r="T304" s="404"/>
      <c r="U304" s="404"/>
      <c r="V304" s="404"/>
      <c r="W304" s="404"/>
      <c r="X304" s="404"/>
      <c r="Y304" s="404"/>
      <c r="Z304" s="404"/>
      <c r="AA304" s="404"/>
      <c r="AB304" s="404"/>
      <c r="AC304" s="404"/>
      <c r="AD304" s="404"/>
      <c r="AE304" s="404"/>
      <c r="AF304" s="404"/>
      <c r="AG304" s="404"/>
      <c r="AH304" s="404"/>
      <c r="AI304" s="404"/>
      <c r="AJ304" s="404"/>
      <c r="AK304" s="404"/>
      <c r="AL304" s="404"/>
      <c r="AM304" s="404"/>
      <c r="AN304" s="404"/>
      <c r="AO304" s="404"/>
      <c r="AP304" s="404"/>
      <c r="AQ304" s="404"/>
      <c r="AR304" s="404"/>
      <c r="AS304" s="404"/>
      <c r="AT304" s="404"/>
      <c r="AU304" s="404"/>
      <c r="AV304" s="404"/>
      <c r="AW304" s="404"/>
      <c r="AX304" s="404"/>
      <c r="AY304" s="404"/>
      <c r="AZ304" s="404"/>
      <c r="BA304" s="404"/>
      <c r="BB304" s="404"/>
      <c r="BC304" s="404"/>
      <c r="BD304" s="404"/>
      <c r="BE304" s="404"/>
      <c r="BF304" s="404"/>
      <c r="BG304" s="404"/>
      <c r="BH304" s="404"/>
      <c r="BI304" s="404"/>
      <c r="BJ304" s="404"/>
      <c r="BK304" s="404"/>
      <c r="BL304" s="404"/>
    </row>
    <row r="305" spans="1:64" ht="13">
      <c r="A305" s="454"/>
      <c r="B305" s="454"/>
      <c r="C305" s="427" t="s">
        <v>836</v>
      </c>
      <c r="D305" s="408"/>
      <c r="E305" s="408"/>
      <c r="F305" s="408"/>
      <c r="G305" s="430"/>
      <c r="H305" s="408" t="s">
        <v>725</v>
      </c>
      <c r="I305" s="408">
        <f>I304/D291</f>
        <v>2588.2087798000002</v>
      </c>
      <c r="J305" s="400"/>
      <c r="K305" s="401"/>
      <c r="L305" s="401"/>
      <c r="M305" s="404"/>
      <c r="N305" s="404"/>
      <c r="O305" s="404"/>
      <c r="P305" s="404"/>
      <c r="Q305" s="404"/>
      <c r="R305" s="404"/>
      <c r="S305" s="404"/>
      <c r="T305" s="404"/>
      <c r="U305" s="404"/>
      <c r="V305" s="404"/>
      <c r="W305" s="404"/>
      <c r="X305" s="404"/>
      <c r="Y305" s="404"/>
      <c r="Z305" s="404"/>
      <c r="AA305" s="404"/>
      <c r="AB305" s="404"/>
      <c r="AC305" s="404"/>
      <c r="AD305" s="404"/>
      <c r="AE305" s="404"/>
      <c r="AF305" s="404"/>
      <c r="AG305" s="404"/>
      <c r="AH305" s="404"/>
      <c r="AI305" s="404"/>
      <c r="AJ305" s="404"/>
      <c r="AK305" s="404"/>
      <c r="AL305" s="404"/>
      <c r="AM305" s="404"/>
      <c r="AN305" s="404"/>
      <c r="AO305" s="404"/>
      <c r="AP305" s="404"/>
      <c r="AQ305" s="404"/>
      <c r="AR305" s="404"/>
      <c r="AS305" s="404"/>
      <c r="AT305" s="404"/>
      <c r="AU305" s="404"/>
      <c r="AV305" s="404"/>
      <c r="AW305" s="404"/>
      <c r="AX305" s="404"/>
      <c r="AY305" s="404"/>
      <c r="AZ305" s="404"/>
      <c r="BA305" s="404"/>
      <c r="BB305" s="404"/>
      <c r="BC305" s="404"/>
      <c r="BD305" s="404"/>
      <c r="BE305" s="404"/>
      <c r="BF305" s="404"/>
      <c r="BG305" s="404"/>
      <c r="BH305" s="404"/>
      <c r="BI305" s="404"/>
      <c r="BJ305" s="404"/>
      <c r="BK305" s="404"/>
      <c r="BL305" s="404"/>
    </row>
    <row r="306" spans="1:64" ht="13">
      <c r="A306" s="454"/>
      <c r="B306" s="454"/>
      <c r="C306" s="427" t="s">
        <v>724</v>
      </c>
      <c r="D306" s="408"/>
      <c r="E306" s="408"/>
      <c r="F306" s="408"/>
      <c r="G306" s="430"/>
      <c r="H306" s="415" t="s">
        <v>687</v>
      </c>
      <c r="I306" s="414">
        <f>ROUND(I305,0)</f>
        <v>2588</v>
      </c>
      <c r="J306" s="400"/>
      <c r="K306" s="401"/>
      <c r="L306" s="401"/>
      <c r="M306" s="404"/>
      <c r="N306" s="404"/>
      <c r="O306" s="404"/>
      <c r="P306" s="404"/>
      <c r="Q306" s="404"/>
      <c r="R306" s="404"/>
      <c r="S306" s="404"/>
      <c r="T306" s="404"/>
      <c r="U306" s="404"/>
      <c r="V306" s="404"/>
      <c r="W306" s="404"/>
      <c r="X306" s="404"/>
      <c r="Y306" s="404"/>
      <c r="Z306" s="404"/>
      <c r="AA306" s="404"/>
      <c r="AB306" s="404"/>
      <c r="AC306" s="404"/>
      <c r="AD306" s="404"/>
      <c r="AE306" s="404"/>
      <c r="AF306" s="404"/>
      <c r="AG306" s="404"/>
      <c r="AH306" s="404"/>
      <c r="AI306" s="404"/>
      <c r="AJ306" s="404"/>
      <c r="AK306" s="404"/>
      <c r="AL306" s="404"/>
      <c r="AM306" s="404"/>
      <c r="AN306" s="404"/>
      <c r="AO306" s="404"/>
      <c r="AP306" s="404"/>
      <c r="AQ306" s="404"/>
      <c r="AR306" s="404"/>
      <c r="AS306" s="404"/>
      <c r="AT306" s="404"/>
      <c r="AU306" s="404"/>
      <c r="AV306" s="404"/>
      <c r="AW306" s="404"/>
      <c r="AX306" s="404"/>
      <c r="AY306" s="404"/>
      <c r="AZ306" s="404"/>
      <c r="BA306" s="404"/>
      <c r="BB306" s="404"/>
      <c r="BC306" s="404"/>
      <c r="BD306" s="404"/>
      <c r="BE306" s="404"/>
      <c r="BF306" s="404"/>
      <c r="BG306" s="404"/>
      <c r="BH306" s="404"/>
      <c r="BI306" s="404"/>
      <c r="BJ306" s="404"/>
      <c r="BK306" s="404"/>
      <c r="BL306" s="404"/>
    </row>
    <row r="307" spans="1:64" ht="13">
      <c r="A307" s="454"/>
      <c r="B307" s="454"/>
      <c r="C307" s="427"/>
      <c r="D307" s="408"/>
      <c r="E307" s="408"/>
      <c r="F307" s="408"/>
      <c r="G307" s="430"/>
      <c r="H307" s="415"/>
      <c r="I307" s="414"/>
      <c r="J307" s="400"/>
      <c r="K307" s="401"/>
      <c r="L307" s="401"/>
      <c r="M307" s="404"/>
      <c r="N307" s="404"/>
      <c r="O307" s="404"/>
      <c r="P307" s="404"/>
      <c r="Q307" s="404"/>
      <c r="R307" s="404"/>
      <c r="S307" s="404"/>
      <c r="T307" s="404"/>
      <c r="U307" s="404"/>
      <c r="V307" s="404"/>
      <c r="W307" s="404"/>
      <c r="X307" s="404"/>
      <c r="Y307" s="404"/>
      <c r="Z307" s="404"/>
      <c r="AA307" s="404"/>
      <c r="AB307" s="404"/>
      <c r="AC307" s="404"/>
      <c r="AD307" s="404"/>
      <c r="AE307" s="404"/>
      <c r="AF307" s="404"/>
      <c r="AG307" s="404"/>
      <c r="AH307" s="404"/>
      <c r="AI307" s="404"/>
      <c r="AJ307" s="404"/>
      <c r="AK307" s="404"/>
      <c r="AL307" s="404"/>
      <c r="AM307" s="404"/>
      <c r="AN307" s="404"/>
      <c r="AO307" s="404"/>
      <c r="AP307" s="404"/>
      <c r="AQ307" s="404"/>
      <c r="AR307" s="404"/>
      <c r="AS307" s="404"/>
      <c r="AT307" s="404"/>
      <c r="AU307" s="404"/>
      <c r="AV307" s="404"/>
      <c r="AW307" s="404"/>
      <c r="AX307" s="404"/>
      <c r="AY307" s="404"/>
      <c r="AZ307" s="404"/>
      <c r="BA307" s="404"/>
      <c r="BB307" s="404"/>
      <c r="BC307" s="404"/>
      <c r="BD307" s="404"/>
      <c r="BE307" s="404"/>
      <c r="BF307" s="404"/>
      <c r="BG307" s="404"/>
      <c r="BH307" s="404"/>
      <c r="BI307" s="404"/>
      <c r="BJ307" s="404"/>
      <c r="BK307" s="404"/>
      <c r="BL307" s="404"/>
    </row>
    <row r="308" spans="1:64" ht="25.75" customHeight="1">
      <c r="A308" s="1302">
        <f>+A288+1</f>
        <v>9</v>
      </c>
      <c r="B308" s="1302"/>
      <c r="C308" s="1297" t="s">
        <v>841</v>
      </c>
      <c r="D308" s="1297"/>
      <c r="E308" s="1297"/>
      <c r="F308" s="1297"/>
      <c r="G308" s="1297"/>
      <c r="H308" s="1297"/>
      <c r="I308" s="407"/>
      <c r="J308" s="400"/>
      <c r="K308" s="401"/>
      <c r="L308" s="401"/>
      <c r="M308" s="404"/>
      <c r="N308" s="404"/>
      <c r="O308" s="404"/>
      <c r="P308" s="404"/>
      <c r="Q308" s="404"/>
      <c r="R308" s="404"/>
      <c r="S308" s="404"/>
      <c r="T308" s="404"/>
      <c r="U308" s="404"/>
      <c r="V308" s="404"/>
      <c r="W308" s="404"/>
      <c r="X308" s="404"/>
      <c r="Y308" s="404"/>
      <c r="Z308" s="404"/>
      <c r="AA308" s="404"/>
      <c r="AB308" s="404"/>
      <c r="AC308" s="404"/>
      <c r="AD308" s="404"/>
      <c r="AE308" s="404"/>
      <c r="AF308" s="404"/>
      <c r="AG308" s="404"/>
      <c r="AH308" s="404"/>
      <c r="AI308" s="404"/>
      <c r="AJ308" s="404"/>
      <c r="AK308" s="404"/>
      <c r="AL308" s="404"/>
      <c r="AM308" s="404"/>
      <c r="AN308" s="404"/>
      <c r="AO308" s="404"/>
      <c r="AP308" s="404"/>
      <c r="AQ308" s="404"/>
      <c r="AR308" s="404"/>
      <c r="AS308" s="404"/>
      <c r="AT308" s="404"/>
      <c r="AU308" s="404"/>
      <c r="AV308" s="404"/>
      <c r="AW308" s="404"/>
      <c r="AX308" s="404"/>
      <c r="AY308" s="404"/>
      <c r="AZ308" s="404"/>
      <c r="BA308" s="404"/>
      <c r="BB308" s="404"/>
      <c r="BC308" s="404"/>
      <c r="BD308" s="404"/>
      <c r="BE308" s="404"/>
      <c r="BF308" s="404"/>
      <c r="BG308" s="404"/>
      <c r="BH308" s="404"/>
      <c r="BI308" s="404"/>
      <c r="BJ308" s="404"/>
      <c r="BK308" s="404"/>
      <c r="BL308" s="404"/>
    </row>
    <row r="309" spans="1:64">
      <c r="A309" s="454"/>
      <c r="B309" s="454"/>
      <c r="C309" s="417" t="s">
        <v>842</v>
      </c>
      <c r="D309" s="406">
        <v>1</v>
      </c>
      <c r="E309" s="406" t="s">
        <v>666</v>
      </c>
      <c r="F309" s="432">
        <f>[161]conveyance!D12</f>
        <v>113.6</v>
      </c>
      <c r="G309" s="406">
        <v>1</v>
      </c>
      <c r="H309" s="406" t="s">
        <v>666</v>
      </c>
      <c r="I309" s="432">
        <f>IF(G309="",D309*F309,(D309*F309/G309))</f>
        <v>113.6</v>
      </c>
      <c r="J309" s="400"/>
      <c r="K309" s="401"/>
      <c r="L309" s="401"/>
      <c r="M309" s="404"/>
      <c r="N309" s="404"/>
      <c r="O309" s="404"/>
      <c r="P309" s="404"/>
      <c r="Q309" s="404"/>
      <c r="R309" s="404"/>
      <c r="S309" s="404"/>
      <c r="T309" s="404"/>
      <c r="U309" s="404"/>
      <c r="V309" s="404"/>
      <c r="W309" s="404"/>
      <c r="X309" s="404"/>
      <c r="Y309" s="404"/>
      <c r="Z309" s="404"/>
      <c r="AA309" s="404"/>
      <c r="AB309" s="404"/>
      <c r="AC309" s="404"/>
      <c r="AD309" s="404"/>
      <c r="AE309" s="404"/>
      <c r="AF309" s="404"/>
      <c r="AG309" s="404"/>
      <c r="AH309" s="404"/>
      <c r="AI309" s="404"/>
      <c r="AJ309" s="404"/>
      <c r="AK309" s="404"/>
      <c r="AL309" s="404"/>
      <c r="AM309" s="404"/>
      <c r="AN309" s="404"/>
      <c r="AO309" s="404"/>
      <c r="AP309" s="404"/>
      <c r="AQ309" s="404"/>
      <c r="AR309" s="404"/>
      <c r="AS309" s="404"/>
      <c r="AT309" s="404"/>
      <c r="AU309" s="404"/>
      <c r="AV309" s="404"/>
      <c r="AW309" s="404"/>
      <c r="AX309" s="404"/>
      <c r="AY309" s="404"/>
      <c r="AZ309" s="404"/>
      <c r="BA309" s="404"/>
      <c r="BB309" s="404"/>
      <c r="BC309" s="404"/>
      <c r="BD309" s="404"/>
      <c r="BE309" s="404"/>
      <c r="BF309" s="404"/>
      <c r="BG309" s="404"/>
      <c r="BH309" s="404"/>
      <c r="BI309" s="404"/>
      <c r="BJ309" s="404"/>
      <c r="BK309" s="404"/>
      <c r="BL309" s="404"/>
    </row>
    <row r="310" spans="1:64" ht="13">
      <c r="A310" s="454"/>
      <c r="B310" s="454"/>
      <c r="C310" s="469"/>
      <c r="D310" s="467"/>
      <c r="E310" s="406"/>
      <c r="F310" s="432"/>
      <c r="G310" s="406"/>
      <c r="H310" s="414" t="s">
        <v>725</v>
      </c>
      <c r="I310" s="408">
        <f>SUM(I309:I309)</f>
        <v>113.6</v>
      </c>
      <c r="J310" s="400"/>
      <c r="K310" s="401"/>
      <c r="L310" s="401"/>
      <c r="M310" s="404"/>
      <c r="N310" s="404"/>
      <c r="O310" s="404"/>
      <c r="P310" s="404"/>
      <c r="Q310" s="404"/>
      <c r="R310" s="404"/>
      <c r="S310" s="404"/>
      <c r="T310" s="404"/>
      <c r="U310" s="404"/>
      <c r="V310" s="404"/>
      <c r="W310" s="404"/>
      <c r="X310" s="404"/>
      <c r="Y310" s="404"/>
      <c r="Z310" s="404"/>
      <c r="AA310" s="404"/>
      <c r="AB310" s="404"/>
      <c r="AC310" s="404"/>
      <c r="AD310" s="404"/>
      <c r="AE310" s="404"/>
      <c r="AF310" s="404"/>
      <c r="AG310" s="404"/>
      <c r="AH310" s="404"/>
      <c r="AI310" s="404"/>
      <c r="AJ310" s="404"/>
      <c r="AK310" s="404"/>
      <c r="AL310" s="404"/>
      <c r="AM310" s="404"/>
      <c r="AN310" s="404"/>
      <c r="AO310" s="404"/>
      <c r="AP310" s="404"/>
      <c r="AQ310" s="404"/>
      <c r="AR310" s="404"/>
      <c r="AS310" s="404"/>
      <c r="AT310" s="404"/>
      <c r="AU310" s="404"/>
      <c r="AV310" s="404"/>
      <c r="AW310" s="404"/>
      <c r="AX310" s="404"/>
      <c r="AY310" s="404"/>
      <c r="AZ310" s="404"/>
      <c r="BA310" s="404"/>
      <c r="BB310" s="404"/>
      <c r="BC310" s="404"/>
      <c r="BD310" s="404"/>
      <c r="BE310" s="404"/>
      <c r="BF310" s="404"/>
      <c r="BG310" s="404"/>
      <c r="BH310" s="404"/>
      <c r="BI310" s="404"/>
      <c r="BJ310" s="404"/>
      <c r="BK310" s="404"/>
      <c r="BL310" s="404"/>
    </row>
    <row r="311" spans="1:64" ht="13">
      <c r="A311" s="454"/>
      <c r="B311" s="454"/>
      <c r="C311" s="427" t="s">
        <v>724</v>
      </c>
      <c r="D311" s="406"/>
      <c r="E311" s="406"/>
      <c r="F311" s="406"/>
      <c r="G311" s="406"/>
      <c r="H311" s="415" t="s">
        <v>687</v>
      </c>
      <c r="I311" s="414">
        <f>ROUND(I310,0)</f>
        <v>114</v>
      </c>
      <c r="J311" s="400"/>
      <c r="K311" s="401"/>
      <c r="L311" s="401"/>
      <c r="M311" s="404"/>
      <c r="N311" s="404"/>
      <c r="O311" s="404"/>
      <c r="P311" s="404"/>
      <c r="Q311" s="404"/>
      <c r="R311" s="404"/>
      <c r="S311" s="404"/>
      <c r="T311" s="404"/>
      <c r="U311" s="404"/>
      <c r="V311" s="404"/>
      <c r="W311" s="404"/>
      <c r="X311" s="404"/>
      <c r="Y311" s="404"/>
      <c r="Z311" s="404"/>
      <c r="AA311" s="404"/>
      <c r="AB311" s="404"/>
      <c r="AC311" s="404"/>
      <c r="AD311" s="404"/>
      <c r="AE311" s="404"/>
      <c r="AF311" s="404"/>
      <c r="AG311" s="404"/>
      <c r="AH311" s="404"/>
      <c r="AI311" s="404"/>
      <c r="AJ311" s="404"/>
      <c r="AK311" s="404"/>
      <c r="AL311" s="404"/>
      <c r="AM311" s="404"/>
      <c r="AN311" s="404"/>
      <c r="AO311" s="404"/>
      <c r="AP311" s="404"/>
      <c r="AQ311" s="404"/>
      <c r="AR311" s="404"/>
      <c r="AS311" s="404"/>
      <c r="AT311" s="404"/>
      <c r="AU311" s="404"/>
      <c r="AV311" s="404"/>
      <c r="AW311" s="404"/>
      <c r="AX311" s="404"/>
      <c r="AY311" s="404"/>
      <c r="AZ311" s="404"/>
      <c r="BA311" s="404"/>
      <c r="BB311" s="404"/>
      <c r="BC311" s="404"/>
      <c r="BD311" s="404"/>
      <c r="BE311" s="404"/>
      <c r="BF311" s="404"/>
      <c r="BG311" s="404"/>
      <c r="BH311" s="404"/>
      <c r="BI311" s="404"/>
      <c r="BJ311" s="404"/>
      <c r="BK311" s="404"/>
      <c r="BL311" s="404"/>
    </row>
    <row r="312" spans="1:64" ht="13">
      <c r="A312" s="454"/>
      <c r="B312" s="454"/>
      <c r="C312" s="427"/>
      <c r="D312" s="408"/>
      <c r="E312" s="408"/>
      <c r="F312" s="408"/>
      <c r="G312" s="430"/>
      <c r="H312" s="415"/>
      <c r="I312" s="414"/>
      <c r="J312" s="400"/>
      <c r="K312" s="401"/>
      <c r="L312" s="401"/>
    </row>
    <row r="313" spans="1:64" ht="129.65" customHeight="1">
      <c r="A313" s="1292">
        <f>A308+1</f>
        <v>10</v>
      </c>
      <c r="B313" s="1292"/>
      <c r="C313" s="1276" t="s">
        <v>843</v>
      </c>
      <c r="D313" s="1276"/>
      <c r="E313" s="1276"/>
      <c r="F313" s="1276"/>
      <c r="G313" s="1276"/>
      <c r="H313" s="1276"/>
      <c r="I313" s="1276"/>
      <c r="J313" s="400"/>
      <c r="K313" s="401"/>
      <c r="L313" s="401"/>
    </row>
    <row r="314" spans="1:64">
      <c r="A314" s="426"/>
      <c r="B314" s="426"/>
      <c r="C314" s="435" t="s">
        <v>844</v>
      </c>
      <c r="D314" s="426">
        <v>1</v>
      </c>
      <c r="E314" s="426" t="s">
        <v>678</v>
      </c>
      <c r="F314" s="409">
        <f>'[161]Civil-SOR'!$G$182</f>
        <v>139</v>
      </c>
      <c r="G314" s="431">
        <v>1</v>
      </c>
      <c r="H314" s="406" t="s">
        <v>17</v>
      </c>
      <c r="I314" s="409">
        <f>F314*D314</f>
        <v>139</v>
      </c>
      <c r="J314" s="400"/>
      <c r="K314" s="401"/>
      <c r="L314" s="401"/>
    </row>
    <row r="315" spans="1:64" ht="13">
      <c r="A315" s="426"/>
      <c r="B315" s="426"/>
      <c r="C315" s="473" t="s">
        <v>845</v>
      </c>
      <c r="D315" s="426"/>
      <c r="E315" s="426"/>
      <c r="F315" s="426"/>
      <c r="G315" s="426"/>
      <c r="H315" s="434"/>
      <c r="I315" s="434">
        <f>SUM(I314:I314)</f>
        <v>139</v>
      </c>
      <c r="J315" s="400"/>
      <c r="K315" s="401"/>
      <c r="L315" s="401"/>
    </row>
    <row r="316" spans="1:64" ht="25">
      <c r="A316" s="406"/>
      <c r="B316" s="406"/>
      <c r="C316" s="468" t="str">
        <f>[161]Input!$C$48</f>
        <v>Overheads &amp; Contractors Profit @ 13.615%</v>
      </c>
      <c r="D316" s="467">
        <f>[161]Input!$D$48</f>
        <v>0.13614999999999999</v>
      </c>
      <c r="E316" s="459"/>
      <c r="F316" s="459">
        <f>I315</f>
        <v>139</v>
      </c>
      <c r="G316" s="460"/>
      <c r="H316" s="406"/>
      <c r="I316" s="459">
        <f>IF(G316="",D316*F316,(D316*F316/G316))</f>
        <v>18.924849999999999</v>
      </c>
      <c r="J316" s="400"/>
      <c r="K316" s="401"/>
      <c r="L316" s="401"/>
    </row>
    <row r="317" spans="1:64" ht="13">
      <c r="A317" s="426"/>
      <c r="B317" s="426"/>
      <c r="C317" s="417"/>
      <c r="D317" s="408"/>
      <c r="E317" s="408"/>
      <c r="F317" s="408"/>
      <c r="G317" s="430"/>
      <c r="H317" s="474"/>
      <c r="I317" s="414">
        <f>SUM(I315:I316)</f>
        <v>157.92484999999999</v>
      </c>
      <c r="J317" s="418"/>
      <c r="K317" s="419"/>
      <c r="L317" s="419"/>
      <c r="M317" s="475"/>
      <c r="N317" s="475"/>
      <c r="O317" s="475"/>
      <c r="P317" s="475"/>
      <c r="Q317" s="475"/>
      <c r="R317" s="475"/>
      <c r="S317" s="475"/>
      <c r="T317" s="475"/>
      <c r="U317" s="475"/>
      <c r="V317" s="475"/>
      <c r="W317" s="475"/>
      <c r="X317" s="475"/>
      <c r="Y317" s="475"/>
      <c r="Z317" s="475"/>
      <c r="AA317" s="475"/>
      <c r="AB317" s="475"/>
      <c r="AC317" s="475"/>
      <c r="AD317" s="475"/>
      <c r="AE317" s="475"/>
      <c r="AF317" s="475"/>
      <c r="AG317" s="475"/>
      <c r="AH317" s="475"/>
      <c r="AI317" s="475"/>
      <c r="AJ317" s="475"/>
      <c r="AK317" s="475"/>
      <c r="AL317" s="475"/>
      <c r="AM317" s="475"/>
      <c r="AN317" s="475"/>
      <c r="AO317" s="475"/>
      <c r="AP317" s="475"/>
      <c r="AQ317" s="475"/>
      <c r="AR317" s="475"/>
      <c r="AS317" s="475"/>
      <c r="AT317" s="475"/>
      <c r="AU317" s="475"/>
      <c r="AV317" s="475"/>
      <c r="AW317" s="475"/>
      <c r="AX317" s="475"/>
      <c r="AY317" s="475"/>
      <c r="AZ317" s="475"/>
      <c r="BA317" s="475"/>
      <c r="BB317" s="475"/>
      <c r="BC317" s="475"/>
      <c r="BD317" s="475"/>
      <c r="BE317" s="475"/>
      <c r="BF317" s="475"/>
      <c r="BG317" s="475"/>
      <c r="BH317" s="475"/>
      <c r="BI317" s="475"/>
      <c r="BJ317" s="475"/>
      <c r="BK317" s="475"/>
      <c r="BL317" s="475"/>
    </row>
    <row r="318" spans="1:64" ht="13">
      <c r="A318" s="426"/>
      <c r="B318" s="426"/>
      <c r="C318" s="417"/>
      <c r="D318" s="408"/>
      <c r="E318" s="408"/>
      <c r="F318" s="408"/>
      <c r="G318" s="430"/>
      <c r="H318" s="474" t="s">
        <v>774</v>
      </c>
      <c r="I318" s="414">
        <f>ROUND(I317,0)</f>
        <v>158</v>
      </c>
      <c r="J318" s="400"/>
      <c r="K318" s="401"/>
      <c r="L318" s="401"/>
    </row>
    <row r="319" spans="1:64" ht="13">
      <c r="A319" s="454"/>
      <c r="B319" s="454"/>
      <c r="C319" s="427"/>
      <c r="D319" s="408"/>
      <c r="E319" s="408"/>
      <c r="F319" s="408"/>
      <c r="G319" s="430"/>
      <c r="H319" s="415"/>
      <c r="I319" s="414"/>
      <c r="J319" s="400"/>
      <c r="K319" s="401"/>
      <c r="L319" s="401"/>
    </row>
    <row r="320" spans="1:64" ht="48.75" customHeight="1">
      <c r="A320" s="1302">
        <f>A313+1</f>
        <v>11</v>
      </c>
      <c r="B320" s="1302"/>
      <c r="C320" s="1276" t="s">
        <v>846</v>
      </c>
      <c r="D320" s="1276"/>
      <c r="E320" s="1276"/>
      <c r="F320" s="1276"/>
      <c r="G320" s="1276"/>
      <c r="H320" s="1276"/>
      <c r="I320" s="407"/>
      <c r="J320" s="400"/>
      <c r="K320" s="401"/>
      <c r="L320" s="401"/>
      <c r="M320" s="404"/>
      <c r="N320" s="404"/>
      <c r="O320" s="404"/>
      <c r="P320" s="404"/>
      <c r="Q320" s="404"/>
      <c r="R320" s="404"/>
      <c r="S320" s="404"/>
      <c r="T320" s="404"/>
      <c r="U320" s="404"/>
      <c r="V320" s="404"/>
      <c r="W320" s="404"/>
      <c r="X320" s="404"/>
      <c r="Y320" s="404"/>
      <c r="Z320" s="404"/>
      <c r="AA320" s="404"/>
      <c r="AB320" s="404"/>
      <c r="AC320" s="404"/>
      <c r="AD320" s="404"/>
      <c r="AE320" s="404"/>
      <c r="AF320" s="404"/>
      <c r="AG320" s="404"/>
      <c r="AH320" s="404"/>
      <c r="AI320" s="404"/>
      <c r="AJ320" s="404"/>
      <c r="AK320" s="404"/>
      <c r="AL320" s="404"/>
      <c r="AM320" s="404"/>
      <c r="AN320" s="404"/>
      <c r="AO320" s="404"/>
      <c r="AP320" s="404"/>
      <c r="AQ320" s="404"/>
      <c r="AR320" s="404"/>
      <c r="AS320" s="404"/>
      <c r="AT320" s="404"/>
      <c r="AU320" s="404"/>
      <c r="AV320" s="404"/>
      <c r="AW320" s="404"/>
      <c r="AX320" s="404"/>
      <c r="AY320" s="404"/>
      <c r="AZ320" s="404"/>
      <c r="BA320" s="404"/>
      <c r="BB320" s="404"/>
      <c r="BC320" s="404"/>
      <c r="BD320" s="404"/>
      <c r="BE320" s="404"/>
      <c r="BF320" s="404"/>
      <c r="BG320" s="404"/>
      <c r="BH320" s="404"/>
      <c r="BI320" s="404"/>
      <c r="BJ320" s="404"/>
      <c r="BK320" s="404"/>
      <c r="BL320" s="404"/>
    </row>
    <row r="321" spans="1:64" ht="13">
      <c r="A321" s="454"/>
      <c r="B321" s="454"/>
      <c r="C321" s="476" t="s">
        <v>847</v>
      </c>
      <c r="D321" s="408"/>
      <c r="E321" s="408"/>
      <c r="F321" s="408"/>
      <c r="G321" s="430"/>
      <c r="H321" s="414"/>
      <c r="I321" s="414"/>
      <c r="J321" s="418"/>
      <c r="K321" s="419"/>
      <c r="L321" s="419"/>
      <c r="M321" s="420"/>
      <c r="N321" s="420"/>
      <c r="O321" s="420"/>
      <c r="P321" s="420"/>
      <c r="Q321" s="420"/>
      <c r="R321" s="420"/>
      <c r="S321" s="420"/>
      <c r="T321" s="420"/>
      <c r="U321" s="420"/>
      <c r="V321" s="420"/>
      <c r="W321" s="420"/>
      <c r="X321" s="420"/>
      <c r="Y321" s="420"/>
      <c r="Z321" s="420"/>
      <c r="AA321" s="420"/>
      <c r="AB321" s="420"/>
      <c r="AC321" s="420"/>
      <c r="AD321" s="420"/>
      <c r="AE321" s="420"/>
      <c r="AF321" s="420"/>
      <c r="AG321" s="420"/>
      <c r="AH321" s="420"/>
      <c r="AI321" s="420"/>
      <c r="AJ321" s="420"/>
      <c r="AK321" s="420"/>
      <c r="AL321" s="420"/>
      <c r="AM321" s="420"/>
      <c r="AN321" s="420"/>
      <c r="AO321" s="420"/>
      <c r="AP321" s="420"/>
      <c r="AQ321" s="420"/>
      <c r="AR321" s="420"/>
      <c r="AS321" s="420"/>
      <c r="AT321" s="420"/>
      <c r="AU321" s="420"/>
      <c r="AV321" s="420"/>
      <c r="AW321" s="420"/>
      <c r="AX321" s="420"/>
      <c r="AY321" s="420"/>
      <c r="AZ321" s="420"/>
      <c r="BA321" s="420"/>
      <c r="BB321" s="420"/>
      <c r="BC321" s="420"/>
      <c r="BD321" s="420"/>
      <c r="BE321" s="420"/>
      <c r="BF321" s="420"/>
      <c r="BG321" s="420"/>
      <c r="BH321" s="420"/>
      <c r="BI321" s="420"/>
      <c r="BJ321" s="420"/>
      <c r="BK321" s="420"/>
      <c r="BL321" s="420"/>
    </row>
    <row r="322" spans="1:64" ht="26">
      <c r="A322" s="454"/>
      <c r="B322" s="454"/>
      <c r="C322" s="427" t="s">
        <v>848</v>
      </c>
      <c r="D322" s="408"/>
      <c r="E322" s="408"/>
      <c r="F322" s="408"/>
      <c r="G322" s="430"/>
      <c r="H322" s="414"/>
      <c r="I322" s="414"/>
      <c r="J322" s="418"/>
      <c r="K322" s="419"/>
      <c r="L322" s="419"/>
      <c r="M322" s="420"/>
      <c r="N322" s="420"/>
      <c r="O322" s="420"/>
      <c r="P322" s="420"/>
      <c r="Q322" s="420"/>
      <c r="R322" s="420"/>
      <c r="S322" s="420"/>
      <c r="T322" s="420"/>
      <c r="U322" s="420"/>
      <c r="V322" s="420"/>
      <c r="W322" s="420"/>
      <c r="X322" s="420"/>
      <c r="Y322" s="420"/>
      <c r="Z322" s="420"/>
      <c r="AA322" s="420"/>
      <c r="AB322" s="420"/>
      <c r="AC322" s="420"/>
      <c r="AD322" s="420"/>
      <c r="AE322" s="420"/>
      <c r="AF322" s="420"/>
      <c r="AG322" s="420"/>
      <c r="AH322" s="420"/>
      <c r="AI322" s="420"/>
      <c r="AJ322" s="420"/>
      <c r="AK322" s="420"/>
      <c r="AL322" s="420"/>
      <c r="AM322" s="420"/>
      <c r="AN322" s="420"/>
      <c r="AO322" s="420"/>
      <c r="AP322" s="420"/>
      <c r="AQ322" s="420"/>
      <c r="AR322" s="420"/>
      <c r="AS322" s="420"/>
      <c r="AT322" s="420"/>
      <c r="AU322" s="420"/>
      <c r="AV322" s="420"/>
      <c r="AW322" s="420"/>
      <c r="AX322" s="420"/>
      <c r="AY322" s="420"/>
      <c r="AZ322" s="420"/>
      <c r="BA322" s="420"/>
      <c r="BB322" s="420"/>
      <c r="BC322" s="420"/>
      <c r="BD322" s="420"/>
      <c r="BE322" s="420"/>
      <c r="BF322" s="420"/>
      <c r="BG322" s="420"/>
      <c r="BH322" s="420"/>
      <c r="BI322" s="420"/>
      <c r="BJ322" s="420"/>
      <c r="BK322" s="420"/>
      <c r="BL322" s="420"/>
    </row>
    <row r="323" spans="1:64" ht="13">
      <c r="A323" s="454"/>
      <c r="B323" s="454"/>
      <c r="C323" s="427" t="s">
        <v>781</v>
      </c>
      <c r="D323" s="408"/>
      <c r="E323" s="408"/>
      <c r="F323" s="408"/>
      <c r="G323" s="430"/>
      <c r="H323" s="414"/>
      <c r="I323" s="414"/>
      <c r="J323" s="418"/>
      <c r="K323" s="419"/>
      <c r="L323" s="419"/>
      <c r="M323" s="420"/>
      <c r="N323" s="420"/>
      <c r="O323" s="420"/>
      <c r="P323" s="420"/>
      <c r="Q323" s="420"/>
      <c r="R323" s="420"/>
      <c r="S323" s="420"/>
      <c r="T323" s="420"/>
      <c r="U323" s="420"/>
      <c r="V323" s="420"/>
      <c r="W323" s="420"/>
      <c r="X323" s="420"/>
      <c r="Y323" s="420"/>
      <c r="Z323" s="420"/>
      <c r="AA323" s="420"/>
      <c r="AB323" s="420"/>
      <c r="AC323" s="420"/>
      <c r="AD323" s="420"/>
      <c r="AE323" s="420"/>
      <c r="AF323" s="420"/>
      <c r="AG323" s="420"/>
      <c r="AH323" s="420"/>
      <c r="AI323" s="420"/>
      <c r="AJ323" s="420"/>
      <c r="AK323" s="420"/>
      <c r="AL323" s="420"/>
      <c r="AM323" s="420"/>
      <c r="AN323" s="420"/>
      <c r="AO323" s="420"/>
      <c r="AP323" s="420"/>
      <c r="AQ323" s="420"/>
      <c r="AR323" s="420"/>
      <c r="AS323" s="420"/>
      <c r="AT323" s="420"/>
      <c r="AU323" s="420"/>
      <c r="AV323" s="420"/>
      <c r="AW323" s="420"/>
      <c r="AX323" s="420"/>
      <c r="AY323" s="420"/>
      <c r="AZ323" s="420"/>
      <c r="BA323" s="420"/>
      <c r="BB323" s="420"/>
      <c r="BC323" s="420"/>
      <c r="BD323" s="420"/>
      <c r="BE323" s="420"/>
      <c r="BF323" s="420"/>
      <c r="BG323" s="420"/>
      <c r="BH323" s="420"/>
      <c r="BI323" s="420"/>
      <c r="BJ323" s="420"/>
      <c r="BK323" s="420"/>
      <c r="BL323" s="420"/>
    </row>
    <row r="324" spans="1:64">
      <c r="A324" s="454"/>
      <c r="B324" s="454"/>
      <c r="C324" s="417" t="s">
        <v>849</v>
      </c>
      <c r="D324" s="408">
        <v>0.31</v>
      </c>
      <c r="E324" s="408" t="s">
        <v>375</v>
      </c>
      <c r="F324" s="408">
        <f>'[161]Civil-SOR'!$G$307</f>
        <v>520</v>
      </c>
      <c r="G324" s="430">
        <v>1</v>
      </c>
      <c r="H324" s="408" t="s">
        <v>678</v>
      </c>
      <c r="I324" s="408">
        <f t="shared" ref="I324:I325" si="35">IF(G324="",D324*F324,(D324*F324/G324))</f>
        <v>161.19999999999999</v>
      </c>
      <c r="J324" s="418"/>
      <c r="K324" s="419"/>
      <c r="L324" s="419"/>
      <c r="M324" s="420"/>
      <c r="N324" s="420"/>
      <c r="O324" s="420"/>
      <c r="P324" s="420"/>
      <c r="Q324" s="420"/>
      <c r="R324" s="420"/>
      <c r="S324" s="420"/>
      <c r="T324" s="420"/>
      <c r="U324" s="420"/>
      <c r="V324" s="420"/>
      <c r="W324" s="420"/>
      <c r="X324" s="420"/>
      <c r="Y324" s="420"/>
      <c r="Z324" s="420"/>
      <c r="AA324" s="420"/>
      <c r="AB324" s="420"/>
      <c r="AC324" s="420"/>
      <c r="AD324" s="420"/>
      <c r="AE324" s="420"/>
      <c r="AF324" s="420"/>
      <c r="AG324" s="420"/>
      <c r="AH324" s="420"/>
      <c r="AI324" s="420"/>
      <c r="AJ324" s="420"/>
      <c r="AK324" s="420"/>
      <c r="AL324" s="420"/>
      <c r="AM324" s="420"/>
      <c r="AN324" s="420"/>
      <c r="AO324" s="420"/>
      <c r="AP324" s="420"/>
      <c r="AQ324" s="420"/>
      <c r="AR324" s="420"/>
      <c r="AS324" s="420"/>
      <c r="AT324" s="420"/>
      <c r="AU324" s="420"/>
      <c r="AV324" s="420"/>
      <c r="AW324" s="420"/>
      <c r="AX324" s="420"/>
      <c r="AY324" s="420"/>
      <c r="AZ324" s="420"/>
      <c r="BA324" s="420"/>
      <c r="BB324" s="420"/>
      <c r="BC324" s="420"/>
      <c r="BD324" s="420"/>
      <c r="BE324" s="420"/>
      <c r="BF324" s="420"/>
      <c r="BG324" s="420"/>
      <c r="BH324" s="420"/>
      <c r="BI324" s="420"/>
      <c r="BJ324" s="420"/>
      <c r="BK324" s="420"/>
      <c r="BL324" s="420"/>
    </row>
    <row r="325" spans="1:64">
      <c r="A325" s="454"/>
      <c r="B325" s="454"/>
      <c r="C325" s="417" t="str">
        <f>[161]Input!$C$47</f>
        <v>Add for MA @ 40%</v>
      </c>
      <c r="D325" s="408">
        <f>[161]Input!$D$47</f>
        <v>0.4</v>
      </c>
      <c r="E325" s="408"/>
      <c r="F325" s="408">
        <f>I324</f>
        <v>161.19999999999999</v>
      </c>
      <c r="G325" s="430"/>
      <c r="H325" s="408"/>
      <c r="I325" s="408">
        <f t="shared" si="35"/>
        <v>64.48</v>
      </c>
      <c r="J325" s="418"/>
      <c r="K325" s="419"/>
      <c r="L325" s="419"/>
      <c r="M325" s="420"/>
      <c r="N325" s="420"/>
      <c r="O325" s="420"/>
      <c r="P325" s="420"/>
      <c r="Q325" s="420"/>
      <c r="R325" s="420"/>
      <c r="S325" s="420"/>
      <c r="T325" s="420"/>
      <c r="U325" s="420"/>
      <c r="V325" s="420"/>
      <c r="W325" s="420"/>
      <c r="X325" s="420"/>
      <c r="Y325" s="420"/>
      <c r="Z325" s="420"/>
      <c r="AA325" s="420"/>
      <c r="AB325" s="420"/>
      <c r="AC325" s="420"/>
      <c r="AD325" s="420"/>
      <c r="AE325" s="420"/>
      <c r="AF325" s="420"/>
      <c r="AG325" s="420"/>
      <c r="AH325" s="420"/>
      <c r="AI325" s="420"/>
      <c r="AJ325" s="420"/>
      <c r="AK325" s="420"/>
      <c r="AL325" s="420"/>
      <c r="AM325" s="420"/>
      <c r="AN325" s="420"/>
      <c r="AO325" s="420"/>
      <c r="AP325" s="420"/>
      <c r="AQ325" s="420"/>
      <c r="AR325" s="420"/>
      <c r="AS325" s="420"/>
      <c r="AT325" s="420"/>
      <c r="AU325" s="420"/>
      <c r="AV325" s="420"/>
      <c r="AW325" s="420"/>
      <c r="AX325" s="420"/>
      <c r="AY325" s="420"/>
      <c r="AZ325" s="420"/>
      <c r="BA325" s="420"/>
      <c r="BB325" s="420"/>
      <c r="BC325" s="420"/>
      <c r="BD325" s="420"/>
      <c r="BE325" s="420"/>
      <c r="BF325" s="420"/>
      <c r="BG325" s="420"/>
      <c r="BH325" s="420"/>
      <c r="BI325" s="420"/>
      <c r="BJ325" s="420"/>
      <c r="BK325" s="420"/>
      <c r="BL325" s="420"/>
    </row>
    <row r="326" spans="1:64" ht="13">
      <c r="A326" s="454"/>
      <c r="B326" s="454"/>
      <c r="C326" s="427" t="s">
        <v>850</v>
      </c>
      <c r="D326" s="408"/>
      <c r="E326" s="408"/>
      <c r="F326" s="408"/>
      <c r="G326" s="430"/>
      <c r="H326" s="414"/>
      <c r="I326" s="414"/>
      <c r="J326" s="418"/>
      <c r="K326" s="419"/>
      <c r="L326" s="419"/>
      <c r="M326" s="420"/>
      <c r="N326" s="420"/>
      <c r="O326" s="420"/>
      <c r="P326" s="420"/>
      <c r="Q326" s="420"/>
      <c r="R326" s="420"/>
      <c r="S326" s="420"/>
      <c r="T326" s="420"/>
      <c r="U326" s="420"/>
      <c r="V326" s="420"/>
      <c r="W326" s="420"/>
      <c r="X326" s="420"/>
      <c r="Y326" s="420"/>
      <c r="Z326" s="420"/>
      <c r="AA326" s="420"/>
      <c r="AB326" s="420"/>
      <c r="AC326" s="420"/>
      <c r="AD326" s="420"/>
      <c r="AE326" s="420"/>
      <c r="AF326" s="420"/>
      <c r="AG326" s="420"/>
      <c r="AH326" s="420"/>
      <c r="AI326" s="420"/>
      <c r="AJ326" s="420"/>
      <c r="AK326" s="420"/>
      <c r="AL326" s="420"/>
      <c r="AM326" s="420"/>
      <c r="AN326" s="420"/>
      <c r="AO326" s="420"/>
      <c r="AP326" s="420"/>
      <c r="AQ326" s="420"/>
      <c r="AR326" s="420"/>
      <c r="AS326" s="420"/>
      <c r="AT326" s="420"/>
      <c r="AU326" s="420"/>
      <c r="AV326" s="420"/>
      <c r="AW326" s="420"/>
      <c r="AX326" s="420"/>
      <c r="AY326" s="420"/>
      <c r="AZ326" s="420"/>
      <c r="BA326" s="420"/>
      <c r="BB326" s="420"/>
      <c r="BC326" s="420"/>
      <c r="BD326" s="420"/>
      <c r="BE326" s="420"/>
      <c r="BF326" s="420"/>
      <c r="BG326" s="420"/>
      <c r="BH326" s="420"/>
      <c r="BI326" s="420"/>
      <c r="BJ326" s="420"/>
      <c r="BK326" s="420"/>
      <c r="BL326" s="420"/>
    </row>
    <row r="327" spans="1:64">
      <c r="A327" s="454"/>
      <c r="B327" s="454"/>
      <c r="C327" s="417" t="s">
        <v>851</v>
      </c>
      <c r="D327" s="408">
        <v>6</v>
      </c>
      <c r="E327" s="408" t="s">
        <v>666</v>
      </c>
      <c r="F327" s="408">
        <f>[161]LEAD!$N$14</f>
        <v>916.94</v>
      </c>
      <c r="G327" s="430">
        <v>1</v>
      </c>
      <c r="H327" s="408" t="s">
        <v>666</v>
      </c>
      <c r="I327" s="408">
        <f t="shared" ref="I327:I328" si="36">IF(G327="",D327*F327,(D327*F327/G327))</f>
        <v>5501.64</v>
      </c>
      <c r="J327" s="418"/>
      <c r="K327" s="419"/>
      <c r="L327" s="419"/>
      <c r="M327" s="420"/>
      <c r="N327" s="420"/>
      <c r="O327" s="420"/>
      <c r="P327" s="420"/>
      <c r="Q327" s="420"/>
      <c r="R327" s="420"/>
      <c r="S327" s="420"/>
      <c r="T327" s="420"/>
      <c r="U327" s="420"/>
      <c r="V327" s="420"/>
      <c r="W327" s="420"/>
      <c r="X327" s="420"/>
      <c r="Y327" s="420"/>
      <c r="Z327" s="420"/>
      <c r="AA327" s="420"/>
      <c r="AB327" s="420"/>
      <c r="AC327" s="420"/>
      <c r="AD327" s="420"/>
      <c r="AE327" s="420"/>
      <c r="AF327" s="420"/>
      <c r="AG327" s="420"/>
      <c r="AH327" s="420"/>
      <c r="AI327" s="420"/>
      <c r="AJ327" s="420"/>
      <c r="AK327" s="420"/>
      <c r="AL327" s="420"/>
      <c r="AM327" s="420"/>
      <c r="AN327" s="420"/>
      <c r="AO327" s="420"/>
      <c r="AP327" s="420"/>
      <c r="AQ327" s="420"/>
      <c r="AR327" s="420"/>
      <c r="AS327" s="420"/>
      <c r="AT327" s="420"/>
      <c r="AU327" s="420"/>
      <c r="AV327" s="420"/>
      <c r="AW327" s="420"/>
      <c r="AX327" s="420"/>
      <c r="AY327" s="420"/>
      <c r="AZ327" s="420"/>
      <c r="BA327" s="420"/>
      <c r="BB327" s="420"/>
      <c r="BC327" s="420"/>
      <c r="BD327" s="420"/>
      <c r="BE327" s="420"/>
      <c r="BF327" s="420"/>
      <c r="BG327" s="420"/>
      <c r="BH327" s="420"/>
      <c r="BI327" s="420"/>
      <c r="BJ327" s="420"/>
      <c r="BK327" s="420"/>
      <c r="BL327" s="420"/>
    </row>
    <row r="328" spans="1:64">
      <c r="A328" s="454"/>
      <c r="B328" s="454"/>
      <c r="C328" s="417" t="s">
        <v>852</v>
      </c>
      <c r="D328" s="408">
        <v>0.72</v>
      </c>
      <c r="E328" s="408" t="s">
        <v>853</v>
      </c>
      <c r="F328" s="408">
        <f>[161]Input!$D$53</f>
        <v>108</v>
      </c>
      <c r="G328" s="430">
        <v>1</v>
      </c>
      <c r="H328" s="408" t="str">
        <f>E328</f>
        <v>Kl</v>
      </c>
      <c r="I328" s="408">
        <f t="shared" si="36"/>
        <v>77.759999999999991</v>
      </c>
      <c r="J328" s="418"/>
      <c r="K328" s="419"/>
      <c r="L328" s="419"/>
      <c r="M328" s="420"/>
      <c r="N328" s="420"/>
      <c r="O328" s="420"/>
      <c r="P328" s="420"/>
      <c r="Q328" s="420"/>
      <c r="R328" s="420"/>
      <c r="S328" s="420"/>
      <c r="T328" s="420"/>
      <c r="U328" s="420"/>
      <c r="V328" s="420"/>
      <c r="W328" s="420"/>
      <c r="X328" s="420"/>
      <c r="Y328" s="420"/>
      <c r="Z328" s="420"/>
      <c r="AA328" s="420"/>
      <c r="AB328" s="420"/>
      <c r="AC328" s="420"/>
      <c r="AD328" s="420"/>
      <c r="AE328" s="420"/>
      <c r="AF328" s="420"/>
      <c r="AG328" s="420"/>
      <c r="AH328" s="420"/>
      <c r="AI328" s="420"/>
      <c r="AJ328" s="420"/>
      <c r="AK328" s="420"/>
      <c r="AL328" s="420"/>
      <c r="AM328" s="420"/>
      <c r="AN328" s="420"/>
      <c r="AO328" s="420"/>
      <c r="AP328" s="420"/>
      <c r="AQ328" s="420"/>
      <c r="AR328" s="420"/>
      <c r="AS328" s="420"/>
      <c r="AT328" s="420"/>
      <c r="AU328" s="420"/>
      <c r="AV328" s="420"/>
      <c r="AW328" s="420"/>
      <c r="AX328" s="420"/>
      <c r="AY328" s="420"/>
      <c r="AZ328" s="420"/>
      <c r="BA328" s="420"/>
      <c r="BB328" s="420"/>
      <c r="BC328" s="420"/>
      <c r="BD328" s="420"/>
      <c r="BE328" s="420"/>
      <c r="BF328" s="420"/>
      <c r="BG328" s="420"/>
      <c r="BH328" s="420"/>
      <c r="BI328" s="420"/>
      <c r="BJ328" s="420"/>
      <c r="BK328" s="420"/>
      <c r="BL328" s="420"/>
    </row>
    <row r="329" spans="1:64">
      <c r="A329" s="454"/>
      <c r="B329" s="454"/>
      <c r="C329" s="417"/>
      <c r="D329" s="408"/>
      <c r="E329" s="408"/>
      <c r="F329" s="408"/>
      <c r="G329" s="430"/>
      <c r="H329" s="408"/>
      <c r="I329" s="408">
        <f>SUM(I324:I328)</f>
        <v>5805.0800000000008</v>
      </c>
      <c r="J329" s="418"/>
      <c r="K329" s="419"/>
      <c r="L329" s="419"/>
      <c r="M329" s="420"/>
      <c r="N329" s="420"/>
      <c r="O329" s="420"/>
      <c r="P329" s="420"/>
      <c r="Q329" s="420"/>
      <c r="R329" s="420"/>
      <c r="S329" s="420"/>
      <c r="T329" s="420"/>
      <c r="U329" s="420"/>
      <c r="V329" s="420"/>
      <c r="W329" s="420"/>
      <c r="X329" s="420"/>
      <c r="Y329" s="420"/>
      <c r="Z329" s="420"/>
      <c r="AA329" s="420"/>
      <c r="AB329" s="420"/>
      <c r="AC329" s="420"/>
      <c r="AD329" s="420"/>
      <c r="AE329" s="420"/>
      <c r="AF329" s="420"/>
      <c r="AG329" s="420"/>
      <c r="AH329" s="420"/>
      <c r="AI329" s="420"/>
      <c r="AJ329" s="420"/>
      <c r="AK329" s="420"/>
      <c r="AL329" s="420"/>
      <c r="AM329" s="420"/>
      <c r="AN329" s="420"/>
      <c r="AO329" s="420"/>
      <c r="AP329" s="420"/>
      <c r="AQ329" s="420"/>
      <c r="AR329" s="420"/>
      <c r="AS329" s="420"/>
      <c r="AT329" s="420"/>
      <c r="AU329" s="420"/>
      <c r="AV329" s="420"/>
      <c r="AW329" s="420"/>
      <c r="AX329" s="420"/>
      <c r="AY329" s="420"/>
      <c r="AZ329" s="420"/>
      <c r="BA329" s="420"/>
      <c r="BB329" s="420"/>
      <c r="BC329" s="420"/>
      <c r="BD329" s="420"/>
      <c r="BE329" s="420"/>
      <c r="BF329" s="420"/>
      <c r="BG329" s="420"/>
      <c r="BH329" s="420"/>
      <c r="BI329" s="420"/>
      <c r="BJ329" s="420"/>
      <c r="BK329" s="420"/>
      <c r="BL329" s="420"/>
    </row>
    <row r="330" spans="1:64" ht="25">
      <c r="A330" s="454"/>
      <c r="B330" s="454"/>
      <c r="C330" s="417" t="str">
        <f>[161]Input!$C$48</f>
        <v>Overheads &amp; Contractors Profit @ 13.615%</v>
      </c>
      <c r="D330" s="444">
        <f>[161]Input!$D$48</f>
        <v>0.13614999999999999</v>
      </c>
      <c r="E330" s="408"/>
      <c r="F330" s="408">
        <f>I329</f>
        <v>5805.0800000000008</v>
      </c>
      <c r="G330" s="430"/>
      <c r="H330" s="414"/>
      <c r="I330" s="408">
        <f>IF(G330="",D330*F330,(D330*F330/G330))</f>
        <v>790.36164200000007</v>
      </c>
      <c r="J330" s="418"/>
      <c r="K330" s="419"/>
      <c r="L330" s="419"/>
      <c r="M330" s="420"/>
      <c r="N330" s="420"/>
      <c r="O330" s="420"/>
      <c r="P330" s="420"/>
      <c r="Q330" s="420"/>
      <c r="R330" s="420"/>
      <c r="S330" s="420"/>
      <c r="T330" s="420"/>
      <c r="U330" s="420"/>
      <c r="V330" s="420"/>
      <c r="W330" s="420"/>
      <c r="X330" s="420"/>
      <c r="Y330" s="420"/>
      <c r="Z330" s="420"/>
      <c r="AA330" s="420"/>
      <c r="AB330" s="420"/>
      <c r="AC330" s="420"/>
      <c r="AD330" s="420"/>
      <c r="AE330" s="420"/>
      <c r="AF330" s="420"/>
      <c r="AG330" s="420"/>
      <c r="AH330" s="420"/>
      <c r="AI330" s="420"/>
      <c r="AJ330" s="420"/>
      <c r="AK330" s="420"/>
      <c r="AL330" s="420"/>
      <c r="AM330" s="420"/>
      <c r="AN330" s="420"/>
      <c r="AO330" s="420"/>
      <c r="AP330" s="420"/>
      <c r="AQ330" s="420"/>
      <c r="AR330" s="420"/>
      <c r="AS330" s="420"/>
      <c r="AT330" s="420"/>
      <c r="AU330" s="420"/>
      <c r="AV330" s="420"/>
      <c r="AW330" s="420"/>
      <c r="AX330" s="420"/>
      <c r="AY330" s="420"/>
      <c r="AZ330" s="420"/>
      <c r="BA330" s="420"/>
      <c r="BB330" s="420"/>
      <c r="BC330" s="420"/>
      <c r="BD330" s="420"/>
      <c r="BE330" s="420"/>
      <c r="BF330" s="420"/>
      <c r="BG330" s="420"/>
      <c r="BH330" s="420"/>
      <c r="BI330" s="420"/>
      <c r="BJ330" s="420"/>
      <c r="BK330" s="420"/>
      <c r="BL330" s="420"/>
    </row>
    <row r="331" spans="1:64" ht="13">
      <c r="A331" s="454"/>
      <c r="B331" s="454"/>
      <c r="C331" s="427" t="s">
        <v>854</v>
      </c>
      <c r="D331" s="408"/>
      <c r="E331" s="408"/>
      <c r="F331" s="408"/>
      <c r="G331" s="430"/>
      <c r="H331" s="408" t="s">
        <v>725</v>
      </c>
      <c r="I331" s="408">
        <f>SUM(I329:I330)</f>
        <v>6595.4416420000007</v>
      </c>
      <c r="J331" s="418"/>
      <c r="K331" s="419"/>
      <c r="L331" s="419"/>
      <c r="M331" s="420"/>
      <c r="N331" s="420"/>
      <c r="O331" s="420"/>
      <c r="P331" s="420"/>
      <c r="Q331" s="420"/>
      <c r="R331" s="420"/>
      <c r="S331" s="420"/>
      <c r="T331" s="420"/>
      <c r="U331" s="420"/>
      <c r="V331" s="420"/>
      <c r="W331" s="420"/>
      <c r="X331" s="420"/>
      <c r="Y331" s="420"/>
      <c r="Z331" s="420"/>
      <c r="AA331" s="420"/>
      <c r="AB331" s="420"/>
      <c r="AC331" s="420"/>
      <c r="AD331" s="420"/>
      <c r="AE331" s="420"/>
      <c r="AF331" s="420"/>
      <c r="AG331" s="420"/>
      <c r="AH331" s="420"/>
      <c r="AI331" s="420"/>
      <c r="AJ331" s="420"/>
      <c r="AK331" s="420"/>
      <c r="AL331" s="420"/>
      <c r="AM331" s="420"/>
      <c r="AN331" s="420"/>
      <c r="AO331" s="420"/>
      <c r="AP331" s="420"/>
      <c r="AQ331" s="420"/>
      <c r="AR331" s="420"/>
      <c r="AS331" s="420"/>
      <c r="AT331" s="420"/>
      <c r="AU331" s="420"/>
      <c r="AV331" s="420"/>
      <c r="AW331" s="420"/>
      <c r="AX331" s="420"/>
      <c r="AY331" s="420"/>
      <c r="AZ331" s="420"/>
      <c r="BA331" s="420"/>
      <c r="BB331" s="420"/>
      <c r="BC331" s="420"/>
      <c r="BD331" s="420"/>
      <c r="BE331" s="420"/>
      <c r="BF331" s="420"/>
      <c r="BG331" s="420"/>
      <c r="BH331" s="420"/>
      <c r="BI331" s="420"/>
      <c r="BJ331" s="420"/>
      <c r="BK331" s="420"/>
      <c r="BL331" s="420"/>
    </row>
    <row r="332" spans="1:64" ht="13">
      <c r="A332" s="454"/>
      <c r="B332" s="454"/>
      <c r="C332" s="427" t="s">
        <v>724</v>
      </c>
      <c r="D332" s="408"/>
      <c r="E332" s="408"/>
      <c r="F332" s="408"/>
      <c r="G332" s="430"/>
      <c r="H332" s="415" t="s">
        <v>687</v>
      </c>
      <c r="I332" s="414">
        <f>ROUND(I331/6,0)</f>
        <v>1099</v>
      </c>
      <c r="J332" s="418"/>
      <c r="K332" s="419"/>
      <c r="L332" s="419"/>
      <c r="M332" s="420"/>
      <c r="N332" s="420"/>
      <c r="O332" s="420"/>
      <c r="P332" s="420"/>
      <c r="Q332" s="420"/>
      <c r="R332" s="420"/>
      <c r="S332" s="420"/>
      <c r="T332" s="420"/>
      <c r="U332" s="420"/>
      <c r="V332" s="420"/>
      <c r="W332" s="420"/>
      <c r="X332" s="420"/>
      <c r="Y332" s="420"/>
      <c r="Z332" s="420"/>
      <c r="AA332" s="420"/>
      <c r="AB332" s="420"/>
      <c r="AC332" s="420"/>
      <c r="AD332" s="420"/>
      <c r="AE332" s="420"/>
      <c r="AF332" s="420"/>
      <c r="AG332" s="420"/>
      <c r="AH332" s="420"/>
      <c r="AI332" s="420"/>
      <c r="AJ332" s="420"/>
      <c r="AK332" s="420"/>
      <c r="AL332" s="420"/>
      <c r="AM332" s="420"/>
      <c r="AN332" s="420"/>
      <c r="AO332" s="420"/>
      <c r="AP332" s="420"/>
      <c r="AQ332" s="420"/>
      <c r="AR332" s="420"/>
      <c r="AS332" s="420"/>
      <c r="AT332" s="420"/>
      <c r="AU332" s="420"/>
      <c r="AV332" s="420"/>
      <c r="AW332" s="420"/>
      <c r="AX332" s="420"/>
      <c r="AY332" s="420"/>
      <c r="AZ332" s="420"/>
      <c r="BA332" s="420"/>
      <c r="BB332" s="420"/>
      <c r="BC332" s="420"/>
      <c r="BD332" s="420"/>
      <c r="BE332" s="420"/>
      <c r="BF332" s="420"/>
      <c r="BG332" s="420"/>
      <c r="BH332" s="420"/>
      <c r="BI332" s="420"/>
      <c r="BJ332" s="420"/>
      <c r="BK332" s="420"/>
      <c r="BL332" s="420"/>
    </row>
    <row r="333" spans="1:64" ht="13">
      <c r="A333" s="454"/>
      <c r="B333" s="454"/>
      <c r="C333" s="427"/>
      <c r="D333" s="408"/>
      <c r="E333" s="408"/>
      <c r="F333" s="408"/>
      <c r="G333" s="430"/>
      <c r="H333" s="415"/>
      <c r="I333" s="414"/>
      <c r="J333" s="418"/>
      <c r="K333" s="419"/>
      <c r="L333" s="419"/>
      <c r="M333" s="475"/>
      <c r="N333" s="475"/>
      <c r="O333" s="475"/>
      <c r="P333" s="475"/>
      <c r="Q333" s="475"/>
      <c r="R333" s="475"/>
      <c r="S333" s="475"/>
      <c r="T333" s="475"/>
      <c r="U333" s="475"/>
      <c r="V333" s="475"/>
      <c r="W333" s="475"/>
      <c r="X333" s="475"/>
      <c r="Y333" s="475"/>
      <c r="Z333" s="475"/>
      <c r="AA333" s="475"/>
      <c r="AB333" s="475"/>
      <c r="AC333" s="475"/>
      <c r="AD333" s="475"/>
      <c r="AE333" s="475"/>
      <c r="AF333" s="475"/>
      <c r="AG333" s="475"/>
      <c r="AH333" s="475"/>
      <c r="AI333" s="475"/>
      <c r="AJ333" s="475"/>
      <c r="AK333" s="475"/>
      <c r="AL333" s="475"/>
      <c r="AM333" s="475"/>
      <c r="AN333" s="475"/>
      <c r="AO333" s="475"/>
      <c r="AP333" s="475"/>
      <c r="AQ333" s="475"/>
      <c r="AR333" s="475"/>
      <c r="AS333" s="475"/>
      <c r="AT333" s="475"/>
      <c r="AU333" s="475"/>
      <c r="AV333" s="475"/>
      <c r="AW333" s="475"/>
      <c r="AX333" s="475"/>
      <c r="AY333" s="475"/>
      <c r="AZ333" s="475"/>
      <c r="BA333" s="475"/>
      <c r="BB333" s="475"/>
      <c r="BC333" s="475"/>
      <c r="BD333" s="475"/>
      <c r="BE333" s="475"/>
      <c r="BF333" s="475"/>
      <c r="BG333" s="475"/>
      <c r="BH333" s="475"/>
      <c r="BI333" s="475"/>
      <c r="BJ333" s="475"/>
      <c r="BK333" s="475"/>
      <c r="BL333" s="475"/>
    </row>
    <row r="334" spans="1:64" ht="13">
      <c r="A334" s="1302">
        <f>1+A245</f>
        <v>7</v>
      </c>
      <c r="B334" s="1302"/>
      <c r="C334" s="1310" t="s">
        <v>855</v>
      </c>
      <c r="D334" s="1310"/>
      <c r="E334" s="1310"/>
      <c r="F334" s="1310"/>
      <c r="G334" s="1310"/>
      <c r="H334" s="1310"/>
      <c r="I334" s="407"/>
      <c r="J334" s="478"/>
      <c r="K334" s="479"/>
      <c r="L334" s="479"/>
      <c r="M334" s="480"/>
      <c r="N334" s="480"/>
      <c r="O334" s="480"/>
      <c r="P334" s="480"/>
      <c r="Q334" s="480"/>
      <c r="R334" s="480"/>
      <c r="S334" s="475"/>
      <c r="T334" s="475"/>
      <c r="U334" s="475"/>
      <c r="V334" s="475"/>
      <c r="W334" s="475"/>
      <c r="X334" s="475"/>
      <c r="Y334" s="475"/>
      <c r="Z334" s="475"/>
      <c r="AA334" s="475"/>
      <c r="AB334" s="475"/>
      <c r="AC334" s="475"/>
      <c r="AD334" s="475"/>
      <c r="AE334" s="475"/>
      <c r="AF334" s="475"/>
      <c r="AG334" s="475"/>
      <c r="AH334" s="475"/>
      <c r="AI334" s="475"/>
      <c r="AJ334" s="475"/>
      <c r="AK334" s="475"/>
      <c r="AL334" s="475"/>
      <c r="AM334" s="475"/>
      <c r="AN334" s="475"/>
      <c r="AO334" s="475"/>
      <c r="AP334" s="475"/>
      <c r="AQ334" s="475"/>
      <c r="AR334" s="475"/>
      <c r="AS334" s="475"/>
      <c r="AT334" s="475"/>
      <c r="AU334" s="475"/>
      <c r="AV334" s="475"/>
      <c r="AW334" s="475"/>
      <c r="AX334" s="475"/>
      <c r="AY334" s="475"/>
      <c r="AZ334" s="475"/>
      <c r="BA334" s="475"/>
      <c r="BB334" s="475"/>
      <c r="BC334" s="475"/>
      <c r="BD334" s="475"/>
      <c r="BE334" s="475"/>
      <c r="BF334" s="475"/>
      <c r="BG334" s="475"/>
      <c r="BH334" s="475"/>
      <c r="BI334" s="475"/>
      <c r="BJ334" s="475"/>
      <c r="BK334" s="475"/>
      <c r="BL334" s="475"/>
    </row>
    <row r="335" spans="1:64" ht="39">
      <c r="A335" s="454"/>
      <c r="B335" s="454"/>
      <c r="C335" s="473" t="s">
        <v>856</v>
      </c>
      <c r="D335" s="408"/>
      <c r="E335" s="408"/>
      <c r="F335" s="408"/>
      <c r="G335" s="430"/>
      <c r="H335" s="414"/>
      <c r="I335" s="414"/>
      <c r="J335" s="418"/>
      <c r="K335" s="419"/>
      <c r="L335" s="419"/>
      <c r="M335" s="475"/>
      <c r="N335" s="475"/>
      <c r="O335" s="475"/>
      <c r="P335" s="475"/>
      <c r="Q335" s="475"/>
      <c r="R335" s="475"/>
      <c r="S335" s="475"/>
      <c r="T335" s="475"/>
      <c r="U335" s="475"/>
      <c r="V335" s="475"/>
      <c r="W335" s="475"/>
      <c r="X335" s="475"/>
      <c r="Y335" s="475"/>
      <c r="Z335" s="475"/>
      <c r="AA335" s="475"/>
      <c r="AB335" s="475"/>
      <c r="AC335" s="475"/>
      <c r="AD335" s="475"/>
      <c r="AE335" s="475"/>
      <c r="AF335" s="475"/>
      <c r="AG335" s="475"/>
      <c r="AH335" s="475"/>
      <c r="AI335" s="475"/>
      <c r="AJ335" s="475"/>
      <c r="AK335" s="475"/>
      <c r="AL335" s="475"/>
      <c r="AM335" s="475"/>
      <c r="AN335" s="475"/>
      <c r="AO335" s="475"/>
      <c r="AP335" s="475"/>
      <c r="AQ335" s="475"/>
      <c r="AR335" s="475"/>
      <c r="AS335" s="475"/>
      <c r="AT335" s="475"/>
      <c r="AU335" s="475"/>
      <c r="AV335" s="475"/>
      <c r="AW335" s="475"/>
      <c r="AX335" s="475"/>
      <c r="AY335" s="475"/>
      <c r="AZ335" s="475"/>
      <c r="BA335" s="475"/>
      <c r="BB335" s="475"/>
      <c r="BC335" s="475"/>
      <c r="BD335" s="475"/>
      <c r="BE335" s="475"/>
      <c r="BF335" s="475"/>
      <c r="BG335" s="475"/>
      <c r="BH335" s="475"/>
      <c r="BI335" s="475"/>
      <c r="BJ335" s="475"/>
      <c r="BK335" s="475"/>
      <c r="BL335" s="475"/>
    </row>
    <row r="336" spans="1:64" ht="13">
      <c r="A336" s="454"/>
      <c r="B336" s="454"/>
      <c r="C336" s="427" t="s">
        <v>779</v>
      </c>
      <c r="D336" s="408"/>
      <c r="E336" s="408"/>
      <c r="F336" s="408"/>
      <c r="G336" s="430"/>
      <c r="H336" s="414"/>
      <c r="I336" s="414"/>
      <c r="J336" s="418"/>
      <c r="K336" s="419"/>
      <c r="L336" s="419"/>
      <c r="M336" s="475"/>
      <c r="N336" s="475"/>
      <c r="O336" s="475"/>
      <c r="P336" s="475"/>
      <c r="Q336" s="475"/>
      <c r="R336" s="475"/>
      <c r="S336" s="475"/>
      <c r="T336" s="475"/>
      <c r="U336" s="475"/>
      <c r="V336" s="475"/>
      <c r="W336" s="475"/>
      <c r="X336" s="475"/>
      <c r="Y336" s="475"/>
      <c r="Z336" s="475"/>
      <c r="AA336" s="475"/>
      <c r="AB336" s="475"/>
      <c r="AC336" s="475"/>
      <c r="AD336" s="475"/>
      <c r="AE336" s="475"/>
      <c r="AF336" s="475"/>
      <c r="AG336" s="475"/>
      <c r="AH336" s="475"/>
      <c r="AI336" s="475"/>
      <c r="AJ336" s="475"/>
      <c r="AK336" s="475"/>
      <c r="AL336" s="475"/>
      <c r="AM336" s="475"/>
      <c r="AN336" s="475"/>
      <c r="AO336" s="475"/>
      <c r="AP336" s="475"/>
      <c r="AQ336" s="475"/>
      <c r="AR336" s="475"/>
      <c r="AS336" s="475"/>
      <c r="AT336" s="475"/>
      <c r="AU336" s="475"/>
      <c r="AV336" s="475"/>
      <c r="AW336" s="475"/>
      <c r="AX336" s="475"/>
      <c r="AY336" s="475"/>
      <c r="AZ336" s="475"/>
      <c r="BA336" s="475"/>
      <c r="BB336" s="475"/>
      <c r="BC336" s="475"/>
      <c r="BD336" s="475"/>
      <c r="BE336" s="475"/>
      <c r="BF336" s="475"/>
      <c r="BG336" s="475"/>
      <c r="BH336" s="475"/>
      <c r="BI336" s="475"/>
      <c r="BJ336" s="475"/>
      <c r="BK336" s="475"/>
      <c r="BL336" s="475"/>
    </row>
    <row r="337" spans="1:64" ht="26">
      <c r="A337" s="454"/>
      <c r="B337" s="454"/>
      <c r="C337" s="473" t="s">
        <v>857</v>
      </c>
      <c r="D337" s="408"/>
      <c r="E337" s="408"/>
      <c r="F337" s="408"/>
      <c r="G337" s="430"/>
      <c r="H337" s="414"/>
      <c r="I337" s="414"/>
      <c r="J337" s="418"/>
      <c r="K337" s="419"/>
      <c r="L337" s="419"/>
      <c r="M337" s="475"/>
      <c r="N337" s="475"/>
      <c r="O337" s="475"/>
      <c r="P337" s="475"/>
      <c r="Q337" s="475"/>
      <c r="R337" s="475"/>
      <c r="S337" s="475"/>
      <c r="T337" s="475"/>
      <c r="U337" s="475"/>
      <c r="V337" s="475"/>
      <c r="W337" s="475"/>
      <c r="X337" s="475"/>
      <c r="Y337" s="475"/>
      <c r="Z337" s="475"/>
      <c r="AA337" s="475"/>
      <c r="AB337" s="475"/>
      <c r="AC337" s="475"/>
      <c r="AD337" s="475"/>
      <c r="AE337" s="475"/>
      <c r="AF337" s="475"/>
      <c r="AG337" s="475"/>
      <c r="AH337" s="475"/>
      <c r="AI337" s="475"/>
      <c r="AJ337" s="475"/>
      <c r="AK337" s="475"/>
      <c r="AL337" s="475"/>
      <c r="AM337" s="475"/>
      <c r="AN337" s="475"/>
      <c r="AO337" s="475"/>
      <c r="AP337" s="475"/>
      <c r="AQ337" s="475"/>
      <c r="AR337" s="475"/>
      <c r="AS337" s="475"/>
      <c r="AT337" s="475"/>
      <c r="AU337" s="475"/>
      <c r="AV337" s="475"/>
      <c r="AW337" s="475"/>
      <c r="AX337" s="475"/>
      <c r="AY337" s="475"/>
      <c r="AZ337" s="475"/>
      <c r="BA337" s="475"/>
      <c r="BB337" s="475"/>
      <c r="BC337" s="475"/>
      <c r="BD337" s="475"/>
      <c r="BE337" s="475"/>
      <c r="BF337" s="475"/>
      <c r="BG337" s="475"/>
      <c r="BH337" s="475"/>
      <c r="BI337" s="475"/>
      <c r="BJ337" s="475"/>
      <c r="BK337" s="475"/>
      <c r="BL337" s="475"/>
    </row>
    <row r="338" spans="1:64" ht="13">
      <c r="A338" s="454"/>
      <c r="B338" s="454"/>
      <c r="C338" s="427" t="s">
        <v>858</v>
      </c>
      <c r="D338" s="408"/>
      <c r="E338" s="408"/>
      <c r="F338" s="408"/>
      <c r="G338" s="430"/>
      <c r="H338" s="414"/>
      <c r="I338" s="414"/>
      <c r="J338" s="418"/>
      <c r="K338" s="419"/>
      <c r="L338" s="419"/>
      <c r="M338" s="475"/>
      <c r="N338" s="475"/>
      <c r="O338" s="475"/>
      <c r="P338" s="475"/>
      <c r="Q338" s="475"/>
      <c r="R338" s="475"/>
      <c r="S338" s="475"/>
      <c r="T338" s="475"/>
      <c r="U338" s="475"/>
      <c r="V338" s="475"/>
      <c r="W338" s="475"/>
      <c r="X338" s="475"/>
      <c r="Y338" s="475"/>
      <c r="Z338" s="475"/>
      <c r="AA338" s="475"/>
      <c r="AB338" s="475"/>
      <c r="AC338" s="475"/>
      <c r="AD338" s="475"/>
      <c r="AE338" s="475"/>
      <c r="AF338" s="475"/>
      <c r="AG338" s="475"/>
      <c r="AH338" s="475"/>
      <c r="AI338" s="475"/>
      <c r="AJ338" s="475"/>
      <c r="AK338" s="475"/>
      <c r="AL338" s="475"/>
      <c r="AM338" s="475"/>
      <c r="AN338" s="475"/>
      <c r="AO338" s="475"/>
      <c r="AP338" s="475"/>
      <c r="AQ338" s="475"/>
      <c r="AR338" s="475"/>
      <c r="AS338" s="475"/>
      <c r="AT338" s="475"/>
      <c r="AU338" s="475"/>
      <c r="AV338" s="475"/>
      <c r="AW338" s="475"/>
      <c r="AX338" s="475"/>
      <c r="AY338" s="475"/>
      <c r="AZ338" s="475"/>
      <c r="BA338" s="475"/>
      <c r="BB338" s="475"/>
      <c r="BC338" s="475"/>
      <c r="BD338" s="475"/>
      <c r="BE338" s="475"/>
      <c r="BF338" s="475"/>
      <c r="BG338" s="475"/>
      <c r="BH338" s="475"/>
      <c r="BI338" s="475"/>
      <c r="BJ338" s="475"/>
      <c r="BK338" s="475"/>
      <c r="BL338" s="475"/>
    </row>
    <row r="339" spans="1:64" ht="13">
      <c r="A339" s="454"/>
      <c r="B339" s="454"/>
      <c r="C339" s="427" t="s">
        <v>859</v>
      </c>
      <c r="D339" s="408"/>
      <c r="E339" s="408"/>
      <c r="F339" s="408"/>
      <c r="G339" s="430"/>
      <c r="H339" s="414"/>
      <c r="I339" s="414"/>
      <c r="J339" s="418"/>
      <c r="K339" s="419"/>
      <c r="L339" s="419"/>
      <c r="M339" s="475"/>
      <c r="N339" s="475"/>
      <c r="O339" s="475"/>
      <c r="P339" s="475"/>
      <c r="Q339" s="475"/>
      <c r="R339" s="475"/>
      <c r="S339" s="475"/>
      <c r="T339" s="475"/>
      <c r="U339" s="475"/>
      <c r="V339" s="475"/>
      <c r="W339" s="475"/>
      <c r="X339" s="475"/>
      <c r="Y339" s="475"/>
      <c r="Z339" s="475"/>
      <c r="AA339" s="475"/>
      <c r="AB339" s="475"/>
      <c r="AC339" s="475"/>
      <c r="AD339" s="475"/>
      <c r="AE339" s="475"/>
      <c r="AF339" s="475"/>
      <c r="AG339" s="475"/>
      <c r="AH339" s="475"/>
      <c r="AI339" s="475"/>
      <c r="AJ339" s="475"/>
      <c r="AK339" s="475"/>
      <c r="AL339" s="475"/>
      <c r="AM339" s="475"/>
      <c r="AN339" s="475"/>
      <c r="AO339" s="475"/>
      <c r="AP339" s="475"/>
      <c r="AQ339" s="475"/>
      <c r="AR339" s="475"/>
      <c r="AS339" s="475"/>
      <c r="AT339" s="475"/>
      <c r="AU339" s="475"/>
      <c r="AV339" s="475"/>
      <c r="AW339" s="475"/>
      <c r="AX339" s="475"/>
      <c r="AY339" s="475"/>
      <c r="AZ339" s="475"/>
      <c r="BA339" s="475"/>
      <c r="BB339" s="475"/>
      <c r="BC339" s="475"/>
      <c r="BD339" s="475"/>
      <c r="BE339" s="475"/>
      <c r="BF339" s="475"/>
      <c r="BG339" s="475"/>
      <c r="BH339" s="475"/>
      <c r="BI339" s="475"/>
      <c r="BJ339" s="475"/>
      <c r="BK339" s="475"/>
      <c r="BL339" s="475"/>
    </row>
    <row r="340" spans="1:64">
      <c r="A340" s="454"/>
      <c r="B340" s="454"/>
      <c r="C340" s="417" t="s">
        <v>860</v>
      </c>
      <c r="D340" s="408">
        <v>10</v>
      </c>
      <c r="E340" s="408" t="s">
        <v>666</v>
      </c>
      <c r="F340" s="408">
        <f>[161]LEAD!$N$25</f>
        <v>215.39</v>
      </c>
      <c r="G340" s="430">
        <v>1</v>
      </c>
      <c r="H340" s="408" t="s">
        <v>666</v>
      </c>
      <c r="I340" s="408">
        <f>IF(G340="",D340*F340,(D340*F340/G340))</f>
        <v>2153.8999999999996</v>
      </c>
      <c r="J340" s="418"/>
      <c r="K340" s="419"/>
      <c r="L340" s="419"/>
      <c r="M340" s="475"/>
      <c r="N340" s="475"/>
      <c r="O340" s="475"/>
      <c r="P340" s="475"/>
      <c r="Q340" s="475"/>
      <c r="R340" s="475"/>
      <c r="S340" s="475"/>
      <c r="T340" s="475"/>
      <c r="U340" s="475"/>
      <c r="V340" s="475"/>
      <c r="W340" s="475"/>
      <c r="X340" s="475"/>
      <c r="Y340" s="475"/>
      <c r="Z340" s="475"/>
      <c r="AA340" s="475"/>
      <c r="AB340" s="475"/>
      <c r="AC340" s="475"/>
      <c r="AD340" s="475"/>
      <c r="AE340" s="475"/>
      <c r="AF340" s="475"/>
      <c r="AG340" s="475"/>
      <c r="AH340" s="475"/>
      <c r="AI340" s="475"/>
      <c r="AJ340" s="475"/>
      <c r="AK340" s="475"/>
      <c r="AL340" s="475"/>
      <c r="AM340" s="475"/>
      <c r="AN340" s="475"/>
      <c r="AO340" s="475"/>
      <c r="AP340" s="475"/>
      <c r="AQ340" s="475"/>
      <c r="AR340" s="475"/>
      <c r="AS340" s="475"/>
      <c r="AT340" s="475"/>
      <c r="AU340" s="475"/>
      <c r="AV340" s="475"/>
      <c r="AW340" s="475"/>
      <c r="AX340" s="475"/>
      <c r="AY340" s="475"/>
      <c r="AZ340" s="475"/>
      <c r="BA340" s="475"/>
      <c r="BB340" s="475"/>
      <c r="BC340" s="475"/>
      <c r="BD340" s="475"/>
      <c r="BE340" s="475"/>
      <c r="BF340" s="475"/>
      <c r="BG340" s="475"/>
      <c r="BH340" s="475"/>
      <c r="BI340" s="475"/>
      <c r="BJ340" s="475"/>
      <c r="BK340" s="475"/>
      <c r="BL340" s="475"/>
    </row>
    <row r="341" spans="1:64">
      <c r="A341" s="454"/>
      <c r="B341" s="454"/>
      <c r="C341" s="417"/>
      <c r="D341" s="408"/>
      <c r="E341" s="408"/>
      <c r="F341" s="408"/>
      <c r="G341" s="430"/>
      <c r="H341" s="408"/>
      <c r="I341" s="408"/>
      <c r="J341" s="418"/>
      <c r="K341" s="419"/>
      <c r="L341" s="419"/>
      <c r="M341" s="475"/>
      <c r="N341" s="475"/>
      <c r="O341" s="475"/>
      <c r="P341" s="475"/>
      <c r="Q341" s="475"/>
      <c r="R341" s="475"/>
      <c r="S341" s="475"/>
      <c r="T341" s="475"/>
      <c r="U341" s="475"/>
      <c r="V341" s="475"/>
      <c r="W341" s="475"/>
      <c r="X341" s="475"/>
      <c r="Y341" s="475"/>
      <c r="Z341" s="475"/>
      <c r="AA341" s="475"/>
      <c r="AB341" s="475"/>
      <c r="AC341" s="475"/>
      <c r="AD341" s="475"/>
      <c r="AE341" s="475"/>
      <c r="AF341" s="475"/>
      <c r="AG341" s="475"/>
      <c r="AH341" s="475"/>
      <c r="AI341" s="475"/>
      <c r="AJ341" s="475"/>
      <c r="AK341" s="475"/>
      <c r="AL341" s="475"/>
      <c r="AM341" s="475"/>
      <c r="AN341" s="475"/>
      <c r="AO341" s="475"/>
      <c r="AP341" s="475"/>
      <c r="AQ341" s="475"/>
      <c r="AR341" s="475"/>
      <c r="AS341" s="475"/>
      <c r="AT341" s="475"/>
      <c r="AU341" s="475"/>
      <c r="AV341" s="475"/>
      <c r="AW341" s="475"/>
      <c r="AX341" s="475"/>
      <c r="AY341" s="475"/>
      <c r="AZ341" s="475"/>
      <c r="BA341" s="475"/>
      <c r="BB341" s="475"/>
      <c r="BC341" s="475"/>
      <c r="BD341" s="475"/>
      <c r="BE341" s="475"/>
      <c r="BF341" s="475"/>
      <c r="BG341" s="475"/>
      <c r="BH341" s="475"/>
      <c r="BI341" s="475"/>
      <c r="BJ341" s="475"/>
      <c r="BK341" s="475"/>
      <c r="BL341" s="475"/>
    </row>
    <row r="342" spans="1:64" ht="13">
      <c r="A342" s="454"/>
      <c r="B342" s="454"/>
      <c r="C342" s="427" t="s">
        <v>781</v>
      </c>
      <c r="D342" s="408"/>
      <c r="E342" s="408"/>
      <c r="F342" s="408"/>
      <c r="G342" s="430"/>
      <c r="H342" s="414"/>
      <c r="I342" s="414"/>
      <c r="J342" s="418"/>
      <c r="K342" s="419"/>
      <c r="L342" s="419"/>
      <c r="M342" s="475"/>
      <c r="N342" s="475"/>
      <c r="O342" s="475"/>
      <c r="P342" s="475"/>
      <c r="Q342" s="475"/>
      <c r="R342" s="475"/>
      <c r="S342" s="475"/>
      <c r="T342" s="475"/>
      <c r="U342" s="475"/>
      <c r="V342" s="475"/>
      <c r="W342" s="475"/>
      <c r="X342" s="475"/>
      <c r="Y342" s="475"/>
      <c r="Z342" s="475"/>
      <c r="AA342" s="475"/>
      <c r="AB342" s="475"/>
      <c r="AC342" s="475"/>
      <c r="AD342" s="475"/>
      <c r="AE342" s="475"/>
      <c r="AF342" s="475"/>
      <c r="AG342" s="475"/>
      <c r="AH342" s="475"/>
      <c r="AI342" s="475"/>
      <c r="AJ342" s="475"/>
      <c r="AK342" s="475"/>
      <c r="AL342" s="475"/>
      <c r="AM342" s="475"/>
      <c r="AN342" s="475"/>
      <c r="AO342" s="475"/>
      <c r="AP342" s="475"/>
      <c r="AQ342" s="475"/>
      <c r="AR342" s="475"/>
      <c r="AS342" s="475"/>
      <c r="AT342" s="475"/>
      <c r="AU342" s="475"/>
      <c r="AV342" s="475"/>
      <c r="AW342" s="475"/>
      <c r="AX342" s="475"/>
      <c r="AY342" s="475"/>
      <c r="AZ342" s="475"/>
      <c r="BA342" s="475"/>
      <c r="BB342" s="475"/>
      <c r="BC342" s="475"/>
      <c r="BD342" s="475"/>
      <c r="BE342" s="475"/>
      <c r="BF342" s="475"/>
      <c r="BG342" s="475"/>
      <c r="BH342" s="475"/>
      <c r="BI342" s="475"/>
      <c r="BJ342" s="475"/>
      <c r="BK342" s="475"/>
      <c r="BL342" s="475"/>
    </row>
    <row r="343" spans="1:64">
      <c r="A343" s="454"/>
      <c r="B343" s="454"/>
      <c r="C343" s="417" t="s">
        <v>861</v>
      </c>
      <c r="D343" s="408">
        <v>0.2</v>
      </c>
      <c r="E343" s="408" t="s">
        <v>375</v>
      </c>
      <c r="F343" s="408">
        <f>'[161]Civil-SOR'!$G$304</f>
        <v>550</v>
      </c>
      <c r="G343" s="430">
        <v>1</v>
      </c>
      <c r="H343" s="408" t="s">
        <v>678</v>
      </c>
      <c r="I343" s="408">
        <f t="shared" ref="I343:I347" si="37">IF(G343="",D343*F343,(D343*F343/G343))</f>
        <v>110</v>
      </c>
      <c r="J343" s="418"/>
      <c r="K343" s="419"/>
      <c r="L343" s="419"/>
      <c r="M343" s="475"/>
      <c r="N343" s="475"/>
      <c r="O343" s="475"/>
      <c r="P343" s="475"/>
      <c r="Q343" s="475"/>
      <c r="R343" s="475"/>
      <c r="S343" s="475"/>
      <c r="T343" s="475"/>
      <c r="U343" s="475"/>
      <c r="V343" s="475"/>
      <c r="W343" s="475"/>
      <c r="X343" s="475"/>
      <c r="Y343" s="475"/>
      <c r="Z343" s="475"/>
      <c r="AA343" s="475"/>
      <c r="AB343" s="475"/>
      <c r="AC343" s="475"/>
      <c r="AD343" s="475"/>
      <c r="AE343" s="475"/>
      <c r="AF343" s="475"/>
      <c r="AG343" s="475"/>
      <c r="AH343" s="475"/>
      <c r="AI343" s="475"/>
      <c r="AJ343" s="475"/>
      <c r="AK343" s="475"/>
      <c r="AL343" s="475"/>
      <c r="AM343" s="475"/>
      <c r="AN343" s="475"/>
      <c r="AO343" s="475"/>
      <c r="AP343" s="475"/>
      <c r="AQ343" s="475"/>
      <c r="AR343" s="475"/>
      <c r="AS343" s="475"/>
      <c r="AT343" s="475"/>
      <c r="AU343" s="475"/>
      <c r="AV343" s="475"/>
      <c r="AW343" s="475"/>
      <c r="AX343" s="475"/>
      <c r="AY343" s="475"/>
      <c r="AZ343" s="475"/>
      <c r="BA343" s="475"/>
      <c r="BB343" s="475"/>
      <c r="BC343" s="475"/>
      <c r="BD343" s="475"/>
      <c r="BE343" s="475"/>
      <c r="BF343" s="475"/>
      <c r="BG343" s="475"/>
      <c r="BH343" s="475"/>
      <c r="BI343" s="475"/>
      <c r="BJ343" s="475"/>
      <c r="BK343" s="475"/>
      <c r="BL343" s="475"/>
    </row>
    <row r="344" spans="1:64">
      <c r="A344" s="454"/>
      <c r="B344" s="454"/>
      <c r="C344" s="417" t="s">
        <v>849</v>
      </c>
      <c r="D344" s="408">
        <v>2.5</v>
      </c>
      <c r="E344" s="408" t="s">
        <v>375</v>
      </c>
      <c r="F344" s="408">
        <f>'[161]Civil-SOR'!$G$307</f>
        <v>520</v>
      </c>
      <c r="G344" s="430">
        <v>1</v>
      </c>
      <c r="H344" s="408" t="s">
        <v>678</v>
      </c>
      <c r="I344" s="408">
        <f t="shared" si="37"/>
        <v>1300</v>
      </c>
      <c r="J344" s="418"/>
      <c r="K344" s="419"/>
      <c r="L344" s="419"/>
      <c r="M344" s="475"/>
      <c r="N344" s="475"/>
      <c r="O344" s="475"/>
      <c r="P344" s="475"/>
      <c r="Q344" s="475"/>
      <c r="R344" s="475"/>
      <c r="S344" s="475"/>
      <c r="T344" s="475"/>
      <c r="U344" s="475"/>
      <c r="V344" s="475"/>
      <c r="W344" s="475"/>
      <c r="X344" s="475"/>
      <c r="Y344" s="475"/>
      <c r="Z344" s="475"/>
      <c r="AA344" s="475"/>
      <c r="AB344" s="475"/>
      <c r="AC344" s="475"/>
      <c r="AD344" s="475"/>
      <c r="AE344" s="475"/>
      <c r="AF344" s="475"/>
      <c r="AG344" s="475"/>
      <c r="AH344" s="475"/>
      <c r="AI344" s="475"/>
      <c r="AJ344" s="475"/>
      <c r="AK344" s="475"/>
      <c r="AL344" s="475"/>
      <c r="AM344" s="475"/>
      <c r="AN344" s="475"/>
      <c r="AO344" s="475"/>
      <c r="AP344" s="475"/>
      <c r="AQ344" s="475"/>
      <c r="AR344" s="475"/>
      <c r="AS344" s="475"/>
      <c r="AT344" s="475"/>
      <c r="AU344" s="475"/>
      <c r="AV344" s="475"/>
      <c r="AW344" s="475"/>
      <c r="AX344" s="475"/>
      <c r="AY344" s="475"/>
      <c r="AZ344" s="475"/>
      <c r="BA344" s="475"/>
      <c r="BB344" s="475"/>
      <c r="BC344" s="475"/>
      <c r="BD344" s="475"/>
      <c r="BE344" s="475"/>
      <c r="BF344" s="475"/>
      <c r="BG344" s="475"/>
      <c r="BH344" s="475"/>
      <c r="BI344" s="475"/>
      <c r="BJ344" s="475"/>
      <c r="BK344" s="475"/>
      <c r="BL344" s="475"/>
    </row>
    <row r="345" spans="1:64">
      <c r="A345" s="454"/>
      <c r="B345" s="454"/>
      <c r="C345" s="417" t="s">
        <v>862</v>
      </c>
      <c r="D345" s="408">
        <v>0.2</v>
      </c>
      <c r="E345" s="408" t="s">
        <v>375</v>
      </c>
      <c r="F345" s="408">
        <f>'[161]Civil-SOR'!$G$305</f>
        <v>550</v>
      </c>
      <c r="G345" s="430">
        <v>1</v>
      </c>
      <c r="H345" s="408" t="s">
        <v>678</v>
      </c>
      <c r="I345" s="408">
        <f t="shared" si="37"/>
        <v>110</v>
      </c>
      <c r="J345" s="418"/>
      <c r="K345" s="419"/>
      <c r="L345" s="419"/>
      <c r="M345" s="475"/>
      <c r="N345" s="475"/>
      <c r="O345" s="475"/>
      <c r="P345" s="475"/>
      <c r="Q345" s="475"/>
      <c r="R345" s="475"/>
      <c r="S345" s="475"/>
      <c r="T345" s="475"/>
      <c r="U345" s="475"/>
      <c r="V345" s="475"/>
      <c r="W345" s="475"/>
      <c r="X345" s="475"/>
      <c r="Y345" s="475"/>
      <c r="Z345" s="475"/>
      <c r="AA345" s="475"/>
      <c r="AB345" s="475"/>
      <c r="AC345" s="475"/>
      <c r="AD345" s="475"/>
      <c r="AE345" s="475"/>
      <c r="AF345" s="475"/>
      <c r="AG345" s="475"/>
      <c r="AH345" s="475"/>
      <c r="AI345" s="475"/>
      <c r="AJ345" s="475"/>
      <c r="AK345" s="475"/>
      <c r="AL345" s="475"/>
      <c r="AM345" s="475"/>
      <c r="AN345" s="475"/>
      <c r="AO345" s="475"/>
      <c r="AP345" s="475"/>
      <c r="AQ345" s="475"/>
      <c r="AR345" s="475"/>
      <c r="AS345" s="475"/>
      <c r="AT345" s="475"/>
      <c r="AU345" s="475"/>
      <c r="AV345" s="475"/>
      <c r="AW345" s="475"/>
      <c r="AX345" s="475"/>
      <c r="AY345" s="475"/>
      <c r="AZ345" s="475"/>
      <c r="BA345" s="475"/>
      <c r="BB345" s="475"/>
      <c r="BC345" s="475"/>
      <c r="BD345" s="475"/>
      <c r="BE345" s="475"/>
      <c r="BF345" s="475"/>
      <c r="BG345" s="475"/>
      <c r="BH345" s="475"/>
      <c r="BI345" s="475"/>
      <c r="BJ345" s="475"/>
      <c r="BK345" s="475"/>
      <c r="BL345" s="475"/>
    </row>
    <row r="346" spans="1:64">
      <c r="A346" s="454"/>
      <c r="B346" s="454"/>
      <c r="C346" s="417" t="str">
        <f>[161]Input!$C$47</f>
        <v>Add for MA @ 40%</v>
      </c>
      <c r="D346" s="408">
        <f>[161]Input!$D$47</f>
        <v>0.4</v>
      </c>
      <c r="E346" s="408"/>
      <c r="F346" s="408">
        <f>SUM(I343:I345)</f>
        <v>1520</v>
      </c>
      <c r="G346" s="430"/>
      <c r="H346" s="408"/>
      <c r="I346" s="408">
        <f t="shared" si="37"/>
        <v>608</v>
      </c>
      <c r="J346" s="418"/>
      <c r="K346" s="419"/>
      <c r="L346" s="419"/>
      <c r="M346" s="475"/>
      <c r="N346" s="475"/>
      <c r="O346" s="475"/>
      <c r="P346" s="475"/>
      <c r="Q346" s="475"/>
      <c r="R346" s="475"/>
      <c r="S346" s="475"/>
      <c r="T346" s="475"/>
      <c r="U346" s="475"/>
      <c r="V346" s="475"/>
      <c r="W346" s="475"/>
      <c r="X346" s="475"/>
      <c r="Y346" s="475"/>
      <c r="Z346" s="475"/>
      <c r="AA346" s="475"/>
      <c r="AB346" s="475"/>
      <c r="AC346" s="475"/>
      <c r="AD346" s="475"/>
      <c r="AE346" s="475"/>
      <c r="AF346" s="475"/>
      <c r="AG346" s="475"/>
      <c r="AH346" s="475"/>
      <c r="AI346" s="475"/>
      <c r="AJ346" s="475"/>
      <c r="AK346" s="475"/>
      <c r="AL346" s="475"/>
      <c r="AM346" s="475"/>
      <c r="AN346" s="475"/>
      <c r="AO346" s="475"/>
      <c r="AP346" s="475"/>
      <c r="AQ346" s="475"/>
      <c r="AR346" s="475"/>
      <c r="AS346" s="475"/>
      <c r="AT346" s="475"/>
      <c r="AU346" s="475"/>
      <c r="AV346" s="475"/>
      <c r="AW346" s="475"/>
      <c r="AX346" s="475"/>
      <c r="AY346" s="475"/>
      <c r="AZ346" s="475"/>
      <c r="BA346" s="475"/>
      <c r="BB346" s="475"/>
      <c r="BC346" s="475"/>
      <c r="BD346" s="475"/>
      <c r="BE346" s="475"/>
      <c r="BF346" s="475"/>
      <c r="BG346" s="475"/>
      <c r="BH346" s="475"/>
      <c r="BI346" s="475"/>
      <c r="BJ346" s="475"/>
      <c r="BK346" s="475"/>
      <c r="BL346" s="475"/>
    </row>
    <row r="347" spans="1:64">
      <c r="A347" s="454"/>
      <c r="B347" s="454"/>
      <c r="C347" s="417" t="s">
        <v>863</v>
      </c>
      <c r="D347" s="408">
        <f>1/100</f>
        <v>0.01</v>
      </c>
      <c r="E347" s="408"/>
      <c r="F347" s="408">
        <f>SUM(I340:I346)</f>
        <v>4281.8999999999996</v>
      </c>
      <c r="G347" s="430"/>
      <c r="H347" s="408"/>
      <c r="I347" s="408">
        <f t="shared" si="37"/>
        <v>42.818999999999996</v>
      </c>
      <c r="J347" s="418"/>
      <c r="K347" s="419"/>
      <c r="L347" s="419"/>
      <c r="M347" s="475"/>
      <c r="N347" s="475"/>
      <c r="O347" s="475"/>
      <c r="P347" s="475"/>
      <c r="Q347" s="475"/>
      <c r="R347" s="475"/>
      <c r="S347" s="475"/>
      <c r="T347" s="475"/>
      <c r="U347" s="475"/>
      <c r="V347" s="475"/>
      <c r="W347" s="475"/>
      <c r="X347" s="475"/>
      <c r="Y347" s="475"/>
      <c r="Z347" s="475"/>
      <c r="AA347" s="475"/>
      <c r="AB347" s="475"/>
      <c r="AC347" s="475"/>
      <c r="AD347" s="475"/>
      <c r="AE347" s="475"/>
      <c r="AF347" s="475"/>
      <c r="AG347" s="475"/>
      <c r="AH347" s="475"/>
      <c r="AI347" s="475"/>
      <c r="AJ347" s="475"/>
      <c r="AK347" s="475"/>
      <c r="AL347" s="475"/>
      <c r="AM347" s="475"/>
      <c r="AN347" s="475"/>
      <c r="AO347" s="475"/>
      <c r="AP347" s="475"/>
      <c r="AQ347" s="475"/>
      <c r="AR347" s="475"/>
      <c r="AS347" s="475"/>
      <c r="AT347" s="475"/>
      <c r="AU347" s="475"/>
      <c r="AV347" s="475"/>
      <c r="AW347" s="475"/>
      <c r="AX347" s="475"/>
      <c r="AY347" s="475"/>
      <c r="AZ347" s="475"/>
      <c r="BA347" s="475"/>
      <c r="BB347" s="475"/>
      <c r="BC347" s="475"/>
      <c r="BD347" s="475"/>
      <c r="BE347" s="475"/>
      <c r="BF347" s="475"/>
      <c r="BG347" s="475"/>
      <c r="BH347" s="475"/>
      <c r="BI347" s="475"/>
      <c r="BJ347" s="475"/>
      <c r="BK347" s="475"/>
      <c r="BL347" s="475"/>
    </row>
    <row r="348" spans="1:64" ht="13">
      <c r="A348" s="454"/>
      <c r="B348" s="454"/>
      <c r="C348" s="427" t="s">
        <v>864</v>
      </c>
      <c r="D348" s="408"/>
      <c r="E348" s="408"/>
      <c r="F348" s="408"/>
      <c r="G348" s="430"/>
      <c r="H348" s="408"/>
      <c r="I348" s="414">
        <f>SUM(I340:I347)</f>
        <v>4324.7190000000001</v>
      </c>
      <c r="J348" s="418"/>
      <c r="K348" s="419"/>
      <c r="L348" s="419"/>
      <c r="M348" s="475"/>
      <c r="N348" s="475"/>
      <c r="O348" s="475"/>
      <c r="P348" s="475"/>
      <c r="Q348" s="475"/>
      <c r="R348" s="475"/>
      <c r="S348" s="475"/>
      <c r="T348" s="475"/>
      <c r="U348" s="475"/>
      <c r="V348" s="475"/>
      <c r="W348" s="475"/>
      <c r="X348" s="475"/>
      <c r="Y348" s="475"/>
      <c r="Z348" s="475"/>
      <c r="AA348" s="475"/>
      <c r="AB348" s="475"/>
      <c r="AC348" s="475"/>
      <c r="AD348" s="475"/>
      <c r="AE348" s="475"/>
      <c r="AF348" s="475"/>
      <c r="AG348" s="475"/>
      <c r="AH348" s="475"/>
      <c r="AI348" s="475"/>
      <c r="AJ348" s="475"/>
      <c r="AK348" s="475"/>
      <c r="AL348" s="475"/>
      <c r="AM348" s="475"/>
      <c r="AN348" s="475"/>
      <c r="AO348" s="475"/>
      <c r="AP348" s="475"/>
      <c r="AQ348" s="475"/>
      <c r="AR348" s="475"/>
      <c r="AS348" s="475"/>
      <c r="AT348" s="475"/>
      <c r="AU348" s="475"/>
      <c r="AV348" s="475"/>
      <c r="AW348" s="475"/>
      <c r="AX348" s="475"/>
      <c r="AY348" s="475"/>
      <c r="AZ348" s="475"/>
      <c r="BA348" s="475"/>
      <c r="BB348" s="475"/>
      <c r="BC348" s="475"/>
      <c r="BD348" s="475"/>
      <c r="BE348" s="475"/>
      <c r="BF348" s="475"/>
      <c r="BG348" s="475"/>
      <c r="BH348" s="475"/>
      <c r="BI348" s="475"/>
      <c r="BJ348" s="475"/>
      <c r="BK348" s="475"/>
      <c r="BL348" s="475"/>
    </row>
    <row r="349" spans="1:64" ht="25">
      <c r="A349" s="454"/>
      <c r="B349" s="454"/>
      <c r="C349" s="417" t="str">
        <f>[161]Input!$C$48</f>
        <v>Overheads &amp; Contractors Profit @ 13.615%</v>
      </c>
      <c r="D349" s="444">
        <f>[161]Input!$D$48</f>
        <v>0.13614999999999999</v>
      </c>
      <c r="E349" s="408"/>
      <c r="F349" s="408">
        <f>I348</f>
        <v>4324.7190000000001</v>
      </c>
      <c r="G349" s="430"/>
      <c r="H349" s="414"/>
      <c r="I349" s="408">
        <f>IF(G349="",D349*F349,(D349*F349/G349))</f>
        <v>588.81049184999995</v>
      </c>
      <c r="J349" s="418"/>
      <c r="K349" s="419"/>
      <c r="L349" s="419"/>
      <c r="M349" s="475"/>
      <c r="N349" s="475"/>
      <c r="O349" s="475"/>
      <c r="P349" s="475"/>
      <c r="Q349" s="475"/>
      <c r="R349" s="475"/>
      <c r="S349" s="475"/>
      <c r="T349" s="475"/>
      <c r="U349" s="475"/>
      <c r="V349" s="475"/>
      <c r="W349" s="475"/>
      <c r="X349" s="475"/>
      <c r="Y349" s="475"/>
      <c r="Z349" s="475"/>
      <c r="AA349" s="475"/>
      <c r="AB349" s="475"/>
      <c r="AC349" s="475"/>
      <c r="AD349" s="475"/>
      <c r="AE349" s="475"/>
      <c r="AF349" s="475"/>
      <c r="AG349" s="475"/>
      <c r="AH349" s="475"/>
      <c r="AI349" s="475"/>
      <c r="AJ349" s="475"/>
      <c r="AK349" s="475"/>
      <c r="AL349" s="475"/>
      <c r="AM349" s="475"/>
      <c r="AN349" s="475"/>
      <c r="AO349" s="475"/>
      <c r="AP349" s="475"/>
      <c r="AQ349" s="475"/>
      <c r="AR349" s="475"/>
      <c r="AS349" s="475"/>
      <c r="AT349" s="475"/>
      <c r="AU349" s="475"/>
      <c r="AV349" s="475"/>
      <c r="AW349" s="475"/>
      <c r="AX349" s="475"/>
      <c r="AY349" s="475"/>
      <c r="AZ349" s="475"/>
      <c r="BA349" s="475"/>
      <c r="BB349" s="475"/>
      <c r="BC349" s="475"/>
      <c r="BD349" s="475"/>
      <c r="BE349" s="475"/>
      <c r="BF349" s="475"/>
      <c r="BG349" s="475"/>
      <c r="BH349" s="475"/>
      <c r="BI349" s="475"/>
      <c r="BJ349" s="475"/>
      <c r="BK349" s="475"/>
      <c r="BL349" s="475"/>
    </row>
    <row r="350" spans="1:64" ht="13">
      <c r="A350" s="454"/>
      <c r="B350" s="454"/>
      <c r="C350" s="427" t="s">
        <v>865</v>
      </c>
      <c r="D350" s="444"/>
      <c r="E350" s="408"/>
      <c r="F350" s="408"/>
      <c r="G350" s="430"/>
      <c r="H350" s="414"/>
      <c r="I350" s="408">
        <f>SUM(I348:I349)</f>
        <v>4913.5294918500003</v>
      </c>
      <c r="J350" s="418"/>
      <c r="K350" s="419"/>
      <c r="L350" s="419"/>
      <c r="M350" s="475"/>
      <c r="N350" s="475"/>
      <c r="O350" s="475"/>
      <c r="P350" s="475"/>
      <c r="Q350" s="475"/>
      <c r="R350" s="475"/>
      <c r="S350" s="475"/>
      <c r="T350" s="475"/>
      <c r="U350" s="475"/>
      <c r="V350" s="475"/>
      <c r="W350" s="475"/>
      <c r="X350" s="475"/>
      <c r="Y350" s="475"/>
      <c r="Z350" s="475"/>
      <c r="AA350" s="475"/>
      <c r="AB350" s="475"/>
      <c r="AC350" s="475"/>
      <c r="AD350" s="475"/>
      <c r="AE350" s="475"/>
      <c r="AF350" s="475"/>
      <c r="AG350" s="475"/>
      <c r="AH350" s="475"/>
      <c r="AI350" s="475"/>
      <c r="AJ350" s="475"/>
      <c r="AK350" s="475"/>
      <c r="AL350" s="475"/>
      <c r="AM350" s="475"/>
      <c r="AN350" s="475"/>
      <c r="AO350" s="475"/>
      <c r="AP350" s="475"/>
      <c r="AQ350" s="475"/>
      <c r="AR350" s="475"/>
      <c r="AS350" s="475"/>
      <c r="AT350" s="475"/>
      <c r="AU350" s="475"/>
      <c r="AV350" s="475"/>
      <c r="AW350" s="475"/>
      <c r="AX350" s="475"/>
      <c r="AY350" s="475"/>
      <c r="AZ350" s="475"/>
      <c r="BA350" s="475"/>
      <c r="BB350" s="475"/>
      <c r="BC350" s="475"/>
      <c r="BD350" s="475"/>
      <c r="BE350" s="475"/>
      <c r="BF350" s="475"/>
      <c r="BG350" s="475"/>
      <c r="BH350" s="475"/>
      <c r="BI350" s="475"/>
      <c r="BJ350" s="475"/>
      <c r="BK350" s="475"/>
      <c r="BL350" s="475"/>
    </row>
    <row r="351" spans="1:64" ht="13">
      <c r="A351" s="454"/>
      <c r="B351" s="454"/>
      <c r="C351" s="427" t="s">
        <v>724</v>
      </c>
      <c r="D351" s="408"/>
      <c r="E351" s="408"/>
      <c r="F351" s="408"/>
      <c r="G351" s="430"/>
      <c r="H351" s="408" t="s">
        <v>725</v>
      </c>
      <c r="I351" s="408">
        <f>I350/10</f>
        <v>491.35294918500006</v>
      </c>
      <c r="J351" s="418"/>
      <c r="K351" s="419"/>
      <c r="L351" s="419"/>
      <c r="M351" s="475"/>
      <c r="N351" s="475"/>
      <c r="O351" s="475"/>
      <c r="P351" s="475"/>
      <c r="Q351" s="475"/>
      <c r="R351" s="475"/>
      <c r="S351" s="475"/>
      <c r="T351" s="475"/>
      <c r="U351" s="475"/>
      <c r="V351" s="475"/>
      <c r="W351" s="475"/>
      <c r="X351" s="475"/>
      <c r="Y351" s="475"/>
      <c r="Z351" s="475"/>
      <c r="AA351" s="475"/>
      <c r="AB351" s="475"/>
      <c r="AC351" s="475"/>
      <c r="AD351" s="475"/>
      <c r="AE351" s="475"/>
      <c r="AF351" s="475"/>
      <c r="AG351" s="475"/>
      <c r="AH351" s="475"/>
      <c r="AI351" s="475"/>
      <c r="AJ351" s="475"/>
      <c r="AK351" s="475"/>
      <c r="AL351" s="475"/>
      <c r="AM351" s="475"/>
      <c r="AN351" s="475"/>
      <c r="AO351" s="475"/>
      <c r="AP351" s="475"/>
      <c r="AQ351" s="475"/>
      <c r="AR351" s="475"/>
      <c r="AS351" s="475"/>
      <c r="AT351" s="475"/>
      <c r="AU351" s="475"/>
      <c r="AV351" s="475"/>
      <c r="AW351" s="475"/>
      <c r="AX351" s="475"/>
      <c r="AY351" s="475"/>
      <c r="AZ351" s="475"/>
      <c r="BA351" s="475"/>
      <c r="BB351" s="475"/>
      <c r="BC351" s="475"/>
      <c r="BD351" s="475"/>
      <c r="BE351" s="475"/>
      <c r="BF351" s="475"/>
      <c r="BG351" s="475"/>
      <c r="BH351" s="475"/>
      <c r="BI351" s="475"/>
      <c r="BJ351" s="475"/>
      <c r="BK351" s="475"/>
      <c r="BL351" s="475"/>
    </row>
    <row r="352" spans="1:64" ht="13">
      <c r="A352" s="454"/>
      <c r="B352" s="454"/>
      <c r="C352" s="427"/>
      <c r="D352" s="408"/>
      <c r="E352" s="408"/>
      <c r="F352" s="408"/>
      <c r="G352" s="430"/>
      <c r="H352" s="415" t="s">
        <v>687</v>
      </c>
      <c r="I352" s="414">
        <f>ROUND(I351,0)</f>
        <v>491</v>
      </c>
      <c r="J352" s="418"/>
      <c r="K352" s="419"/>
      <c r="L352" s="419"/>
      <c r="M352" s="475"/>
      <c r="N352" s="475"/>
      <c r="O352" s="475"/>
      <c r="P352" s="475"/>
      <c r="Q352" s="475"/>
      <c r="R352" s="475"/>
      <c r="S352" s="475"/>
      <c r="T352" s="475"/>
      <c r="U352" s="475"/>
      <c r="V352" s="475"/>
      <c r="W352" s="475"/>
      <c r="X352" s="475"/>
      <c r="Y352" s="475"/>
      <c r="Z352" s="475"/>
      <c r="AA352" s="475"/>
      <c r="AB352" s="475"/>
      <c r="AC352" s="475"/>
      <c r="AD352" s="475"/>
      <c r="AE352" s="475"/>
      <c r="AF352" s="475"/>
      <c r="AG352" s="475"/>
      <c r="AH352" s="475"/>
      <c r="AI352" s="475"/>
      <c r="AJ352" s="475"/>
      <c r="AK352" s="475"/>
      <c r="AL352" s="475"/>
      <c r="AM352" s="475"/>
      <c r="AN352" s="475"/>
      <c r="AO352" s="475"/>
      <c r="AP352" s="475"/>
      <c r="AQ352" s="475"/>
      <c r="AR352" s="475"/>
      <c r="AS352" s="475"/>
      <c r="AT352" s="475"/>
      <c r="AU352" s="475"/>
      <c r="AV352" s="475"/>
      <c r="AW352" s="475"/>
      <c r="AX352" s="475"/>
      <c r="AY352" s="475"/>
      <c r="AZ352" s="475"/>
      <c r="BA352" s="475"/>
      <c r="BB352" s="475"/>
      <c r="BC352" s="475"/>
      <c r="BD352" s="475"/>
      <c r="BE352" s="475"/>
      <c r="BF352" s="475"/>
      <c r="BG352" s="475"/>
      <c r="BH352" s="475"/>
      <c r="BI352" s="475"/>
      <c r="BJ352" s="475"/>
      <c r="BK352" s="475"/>
      <c r="BL352" s="475"/>
    </row>
    <row r="353" spans="1:64" ht="13">
      <c r="A353" s="454"/>
      <c r="B353" s="454"/>
      <c r="C353" s="427"/>
      <c r="D353" s="408"/>
      <c r="E353" s="408"/>
      <c r="F353" s="408"/>
      <c r="G353" s="430"/>
      <c r="H353" s="415"/>
      <c r="I353" s="414"/>
      <c r="J353" s="418"/>
      <c r="K353" s="419"/>
      <c r="L353" s="419"/>
      <c r="M353" s="475"/>
      <c r="N353" s="475"/>
      <c r="O353" s="475"/>
      <c r="P353" s="475"/>
      <c r="Q353" s="475"/>
      <c r="R353" s="475"/>
      <c r="S353" s="475"/>
      <c r="T353" s="475"/>
      <c r="U353" s="475"/>
      <c r="V353" s="475"/>
      <c r="W353" s="475"/>
      <c r="X353" s="475"/>
      <c r="Y353" s="475"/>
      <c r="Z353" s="475"/>
      <c r="AA353" s="475"/>
      <c r="AB353" s="475"/>
      <c r="AC353" s="475"/>
      <c r="AD353" s="475"/>
      <c r="AE353" s="475"/>
      <c r="AF353" s="475"/>
      <c r="AG353" s="475"/>
      <c r="AH353" s="475"/>
      <c r="AI353" s="475"/>
      <c r="AJ353" s="475"/>
      <c r="AK353" s="475"/>
      <c r="AL353" s="475"/>
      <c r="AM353" s="475"/>
      <c r="AN353" s="475"/>
      <c r="AO353" s="475"/>
      <c r="AP353" s="475"/>
      <c r="AQ353" s="475"/>
      <c r="AR353" s="475"/>
      <c r="AS353" s="475"/>
      <c r="AT353" s="475"/>
      <c r="AU353" s="475"/>
      <c r="AV353" s="475"/>
      <c r="AW353" s="475"/>
      <c r="AX353" s="475"/>
      <c r="AY353" s="475"/>
      <c r="AZ353" s="475"/>
      <c r="BA353" s="475"/>
      <c r="BB353" s="475"/>
      <c r="BC353" s="475"/>
      <c r="BD353" s="475"/>
      <c r="BE353" s="475"/>
      <c r="BF353" s="475"/>
      <c r="BG353" s="475"/>
      <c r="BH353" s="475"/>
      <c r="BI353" s="475"/>
      <c r="BJ353" s="475"/>
      <c r="BK353" s="475"/>
      <c r="BL353" s="475"/>
    </row>
    <row r="354" spans="1:64" ht="60.4" customHeight="1">
      <c r="A354" s="1302">
        <f>A334+1</f>
        <v>8</v>
      </c>
      <c r="B354" s="1302"/>
      <c r="C354" s="1276" t="s">
        <v>866</v>
      </c>
      <c r="D354" s="1276"/>
      <c r="E354" s="1276"/>
      <c r="F354" s="1276"/>
      <c r="G354" s="1276"/>
      <c r="H354" s="1276"/>
      <c r="I354" s="406"/>
      <c r="J354" s="418"/>
      <c r="K354" s="419"/>
      <c r="L354" s="419"/>
      <c r="M354" s="475"/>
      <c r="N354" s="475"/>
      <c r="O354" s="475"/>
      <c r="P354" s="475"/>
      <c r="Q354" s="475"/>
      <c r="R354" s="475"/>
      <c r="S354" s="475"/>
      <c r="T354" s="475"/>
      <c r="U354" s="475"/>
      <c r="V354" s="475"/>
      <c r="W354" s="475"/>
      <c r="X354" s="475"/>
      <c r="Y354" s="475"/>
      <c r="Z354" s="475"/>
      <c r="AA354" s="475"/>
      <c r="AB354" s="475"/>
      <c r="AC354" s="475"/>
      <c r="AD354" s="475"/>
      <c r="AE354" s="475"/>
      <c r="AF354" s="475"/>
      <c r="AG354" s="475"/>
      <c r="AH354" s="475"/>
      <c r="AI354" s="475"/>
      <c r="AJ354" s="475"/>
      <c r="AK354" s="475"/>
      <c r="AL354" s="475"/>
      <c r="AM354" s="475"/>
      <c r="AN354" s="475"/>
      <c r="AO354" s="475"/>
      <c r="AP354" s="475"/>
      <c r="AQ354" s="475"/>
      <c r="AR354" s="475"/>
      <c r="AS354" s="475"/>
      <c r="AT354" s="475"/>
      <c r="AU354" s="475"/>
      <c r="AV354" s="475"/>
      <c r="AW354" s="475"/>
      <c r="AX354" s="475"/>
      <c r="AY354" s="475"/>
      <c r="AZ354" s="475"/>
      <c r="BA354" s="475"/>
      <c r="BB354" s="475"/>
      <c r="BC354" s="475"/>
      <c r="BD354" s="475"/>
      <c r="BE354" s="475"/>
      <c r="BF354" s="475"/>
      <c r="BG354" s="475"/>
      <c r="BH354" s="475"/>
      <c r="BI354" s="475"/>
      <c r="BJ354" s="475"/>
      <c r="BK354" s="475"/>
      <c r="BL354" s="475"/>
    </row>
    <row r="355" spans="1:64" ht="39">
      <c r="A355" s="454"/>
      <c r="B355" s="454"/>
      <c r="C355" s="473" t="s">
        <v>867</v>
      </c>
      <c r="D355" s="408"/>
      <c r="E355" s="408"/>
      <c r="F355" s="408"/>
      <c r="G355" s="430"/>
      <c r="H355" s="414"/>
      <c r="I355" s="414"/>
      <c r="J355" s="418"/>
      <c r="K355" s="419"/>
      <c r="L355" s="419"/>
      <c r="M355" s="475"/>
      <c r="N355" s="475"/>
      <c r="O355" s="475"/>
      <c r="P355" s="475"/>
      <c r="Q355" s="475"/>
      <c r="R355" s="475"/>
      <c r="S355" s="475"/>
      <c r="T355" s="475"/>
      <c r="U355" s="475"/>
      <c r="V355" s="475"/>
      <c r="W355" s="475"/>
      <c r="X355" s="475"/>
      <c r="Y355" s="475"/>
      <c r="Z355" s="475"/>
      <c r="AA355" s="475"/>
      <c r="AB355" s="475"/>
      <c r="AC355" s="475"/>
      <c r="AD355" s="475"/>
      <c r="AE355" s="475"/>
      <c r="AF355" s="475"/>
      <c r="AG355" s="475"/>
      <c r="AH355" s="475"/>
      <c r="AI355" s="475"/>
      <c r="AJ355" s="475"/>
      <c r="AK355" s="475"/>
      <c r="AL355" s="475"/>
      <c r="AM355" s="475"/>
      <c r="AN355" s="475"/>
      <c r="AO355" s="475"/>
      <c r="AP355" s="475"/>
      <c r="AQ355" s="475"/>
      <c r="AR355" s="475"/>
      <c r="AS355" s="475"/>
      <c r="AT355" s="475"/>
      <c r="AU355" s="475"/>
      <c r="AV355" s="475"/>
      <c r="AW355" s="475"/>
      <c r="AX355" s="475"/>
      <c r="AY355" s="475"/>
      <c r="AZ355" s="475"/>
      <c r="BA355" s="475"/>
      <c r="BB355" s="475"/>
      <c r="BC355" s="475"/>
      <c r="BD355" s="475"/>
      <c r="BE355" s="475"/>
      <c r="BF355" s="475"/>
      <c r="BG355" s="475"/>
      <c r="BH355" s="475"/>
      <c r="BI355" s="475"/>
      <c r="BJ355" s="475"/>
      <c r="BK355" s="475"/>
      <c r="BL355" s="475"/>
    </row>
    <row r="356" spans="1:64" ht="13">
      <c r="A356" s="454"/>
      <c r="B356" s="454"/>
      <c r="C356" s="427" t="s">
        <v>779</v>
      </c>
      <c r="D356" s="408"/>
      <c r="E356" s="408"/>
      <c r="F356" s="408"/>
      <c r="G356" s="430"/>
      <c r="H356" s="414"/>
      <c r="I356" s="414"/>
      <c r="J356" s="418"/>
      <c r="K356" s="419"/>
      <c r="L356" s="419"/>
      <c r="M356" s="475"/>
      <c r="N356" s="475"/>
      <c r="O356" s="475"/>
      <c r="P356" s="475"/>
      <c r="Q356" s="475"/>
      <c r="R356" s="475"/>
      <c r="S356" s="475"/>
      <c r="T356" s="475"/>
      <c r="U356" s="475"/>
      <c r="V356" s="475"/>
      <c r="W356" s="475"/>
      <c r="X356" s="475"/>
      <c r="Y356" s="475"/>
      <c r="Z356" s="475"/>
      <c r="AA356" s="475"/>
      <c r="AB356" s="475"/>
      <c r="AC356" s="475"/>
      <c r="AD356" s="475"/>
      <c r="AE356" s="475"/>
      <c r="AF356" s="475"/>
      <c r="AG356" s="475"/>
      <c r="AH356" s="475"/>
      <c r="AI356" s="475"/>
      <c r="AJ356" s="475"/>
      <c r="AK356" s="475"/>
      <c r="AL356" s="475"/>
      <c r="AM356" s="475"/>
      <c r="AN356" s="475"/>
      <c r="AO356" s="475"/>
      <c r="AP356" s="475"/>
      <c r="AQ356" s="475"/>
      <c r="AR356" s="475"/>
      <c r="AS356" s="475"/>
      <c r="AT356" s="475"/>
      <c r="AU356" s="475"/>
      <c r="AV356" s="475"/>
      <c r="AW356" s="475"/>
      <c r="AX356" s="475"/>
      <c r="AY356" s="475"/>
      <c r="AZ356" s="475"/>
      <c r="BA356" s="475"/>
      <c r="BB356" s="475"/>
      <c r="BC356" s="475"/>
      <c r="BD356" s="475"/>
      <c r="BE356" s="475"/>
      <c r="BF356" s="475"/>
      <c r="BG356" s="475"/>
      <c r="BH356" s="475"/>
      <c r="BI356" s="475"/>
      <c r="BJ356" s="475"/>
      <c r="BK356" s="475"/>
      <c r="BL356" s="475"/>
    </row>
    <row r="357" spans="1:64" ht="26">
      <c r="A357" s="454"/>
      <c r="B357" s="454"/>
      <c r="C357" s="473" t="s">
        <v>857</v>
      </c>
      <c r="D357" s="408"/>
      <c r="E357" s="408"/>
      <c r="F357" s="408"/>
      <c r="G357" s="430"/>
      <c r="H357" s="414"/>
      <c r="I357" s="414"/>
      <c r="J357" s="418"/>
      <c r="K357" s="419"/>
      <c r="L357" s="419"/>
      <c r="M357" s="475"/>
      <c r="N357" s="475"/>
      <c r="O357" s="475"/>
      <c r="P357" s="475"/>
      <c r="Q357" s="475"/>
      <c r="R357" s="475"/>
      <c r="S357" s="475"/>
      <c r="T357" s="475"/>
      <c r="U357" s="475"/>
      <c r="V357" s="475"/>
      <c r="W357" s="475"/>
      <c r="X357" s="475"/>
      <c r="Y357" s="475"/>
      <c r="Z357" s="475"/>
      <c r="AA357" s="475"/>
      <c r="AB357" s="475"/>
      <c r="AC357" s="475"/>
      <c r="AD357" s="475"/>
      <c r="AE357" s="475"/>
      <c r="AF357" s="475"/>
      <c r="AG357" s="475"/>
      <c r="AH357" s="475"/>
      <c r="AI357" s="475"/>
      <c r="AJ357" s="475"/>
      <c r="AK357" s="475"/>
      <c r="AL357" s="475"/>
      <c r="AM357" s="475"/>
      <c r="AN357" s="475"/>
      <c r="AO357" s="475"/>
      <c r="AP357" s="475"/>
      <c r="AQ357" s="475"/>
      <c r="AR357" s="475"/>
      <c r="AS357" s="475"/>
      <c r="AT357" s="475"/>
      <c r="AU357" s="475"/>
      <c r="AV357" s="475"/>
      <c r="AW357" s="475"/>
      <c r="AX357" s="475"/>
      <c r="AY357" s="475"/>
      <c r="AZ357" s="475"/>
      <c r="BA357" s="475"/>
      <c r="BB357" s="475"/>
      <c r="BC357" s="475"/>
      <c r="BD357" s="475"/>
      <c r="BE357" s="475"/>
      <c r="BF357" s="475"/>
      <c r="BG357" s="475"/>
      <c r="BH357" s="475"/>
      <c r="BI357" s="475"/>
      <c r="BJ357" s="475"/>
      <c r="BK357" s="475"/>
      <c r="BL357" s="475"/>
    </row>
    <row r="358" spans="1:64" ht="13">
      <c r="A358" s="454"/>
      <c r="B358" s="454"/>
      <c r="C358" s="427" t="s">
        <v>780</v>
      </c>
      <c r="D358" s="414"/>
      <c r="E358" s="414"/>
      <c r="F358" s="408"/>
      <c r="G358" s="430"/>
      <c r="H358" s="414"/>
      <c r="I358" s="414"/>
      <c r="J358" s="418"/>
      <c r="K358" s="419"/>
      <c r="L358" s="419"/>
      <c r="M358" s="475"/>
      <c r="N358" s="475"/>
      <c r="O358" s="475"/>
      <c r="P358" s="475"/>
      <c r="Q358" s="475"/>
      <c r="R358" s="475"/>
      <c r="S358" s="475"/>
      <c r="T358" s="475"/>
      <c r="U358" s="475"/>
      <c r="V358" s="475"/>
      <c r="W358" s="475"/>
      <c r="X358" s="475"/>
      <c r="Y358" s="475"/>
      <c r="Z358" s="475"/>
      <c r="AA358" s="475"/>
      <c r="AB358" s="475"/>
      <c r="AC358" s="475"/>
      <c r="AD358" s="475"/>
      <c r="AE358" s="475"/>
      <c r="AF358" s="475"/>
      <c r="AG358" s="475"/>
      <c r="AH358" s="475"/>
      <c r="AI358" s="475"/>
      <c r="AJ358" s="475"/>
      <c r="AK358" s="475"/>
      <c r="AL358" s="475"/>
      <c r="AM358" s="475"/>
      <c r="AN358" s="475"/>
      <c r="AO358" s="475"/>
      <c r="AP358" s="475"/>
      <c r="AQ358" s="475"/>
      <c r="AR358" s="475"/>
      <c r="AS358" s="475"/>
      <c r="AT358" s="475"/>
      <c r="AU358" s="475"/>
      <c r="AV358" s="475"/>
      <c r="AW358" s="475"/>
      <c r="AX358" s="475"/>
      <c r="AY358" s="475"/>
      <c r="AZ358" s="475"/>
      <c r="BA358" s="475"/>
      <c r="BB358" s="475"/>
      <c r="BC358" s="475"/>
      <c r="BD358" s="475"/>
      <c r="BE358" s="475"/>
      <c r="BF358" s="475"/>
      <c r="BG358" s="475"/>
      <c r="BH358" s="475"/>
      <c r="BI358" s="475"/>
      <c r="BJ358" s="475"/>
      <c r="BK358" s="475"/>
      <c r="BL358" s="475"/>
    </row>
    <row r="359" spans="1:64" ht="13">
      <c r="A359" s="454"/>
      <c r="B359" s="454"/>
      <c r="C359" s="427" t="s">
        <v>868</v>
      </c>
      <c r="D359" s="408"/>
      <c r="E359" s="408"/>
      <c r="F359" s="408"/>
      <c r="G359" s="430"/>
      <c r="H359" s="414"/>
      <c r="I359" s="414"/>
      <c r="J359" s="418"/>
      <c r="K359" s="419"/>
      <c r="L359" s="419"/>
      <c r="M359" s="475"/>
      <c r="N359" s="475"/>
      <c r="O359" s="475"/>
      <c r="P359" s="475"/>
      <c r="Q359" s="475"/>
      <c r="R359" s="475"/>
      <c r="S359" s="475"/>
      <c r="T359" s="475"/>
      <c r="U359" s="475"/>
      <c r="V359" s="475"/>
      <c r="W359" s="475"/>
      <c r="X359" s="475"/>
      <c r="Y359" s="475"/>
      <c r="Z359" s="475"/>
      <c r="AA359" s="475"/>
      <c r="AB359" s="475"/>
      <c r="AC359" s="475"/>
      <c r="AD359" s="475"/>
      <c r="AE359" s="475"/>
      <c r="AF359" s="475"/>
      <c r="AG359" s="475"/>
      <c r="AH359" s="475"/>
      <c r="AI359" s="475"/>
      <c r="AJ359" s="475"/>
      <c r="AK359" s="475"/>
      <c r="AL359" s="475"/>
      <c r="AM359" s="475"/>
      <c r="AN359" s="475"/>
      <c r="AO359" s="475"/>
      <c r="AP359" s="475"/>
      <c r="AQ359" s="475"/>
      <c r="AR359" s="475"/>
      <c r="AS359" s="475"/>
      <c r="AT359" s="475"/>
      <c r="AU359" s="475"/>
      <c r="AV359" s="475"/>
      <c r="AW359" s="475"/>
      <c r="AX359" s="475"/>
      <c r="AY359" s="475"/>
      <c r="AZ359" s="475"/>
      <c r="BA359" s="475"/>
      <c r="BB359" s="475"/>
      <c r="BC359" s="475"/>
      <c r="BD359" s="475"/>
      <c r="BE359" s="475"/>
      <c r="BF359" s="475"/>
      <c r="BG359" s="475"/>
      <c r="BH359" s="475"/>
      <c r="BI359" s="475"/>
      <c r="BJ359" s="475"/>
      <c r="BK359" s="475"/>
      <c r="BL359" s="475"/>
    </row>
    <row r="360" spans="1:64">
      <c r="A360" s="454"/>
      <c r="B360" s="454"/>
      <c r="C360" s="417" t="s">
        <v>869</v>
      </c>
      <c r="D360" s="408">
        <v>10</v>
      </c>
      <c r="E360" s="408" t="s">
        <v>666</v>
      </c>
      <c r="F360" s="408"/>
      <c r="G360" s="430">
        <v>1</v>
      </c>
      <c r="H360" s="408" t="s">
        <v>666</v>
      </c>
      <c r="I360" s="408">
        <f>IF(G360="",D360*F360,(D360*F360/G360))</f>
        <v>0</v>
      </c>
      <c r="J360" s="418"/>
      <c r="K360" s="419"/>
      <c r="L360" s="419"/>
      <c r="M360" s="475"/>
      <c r="N360" s="475"/>
      <c r="O360" s="475"/>
      <c r="P360" s="475"/>
      <c r="Q360" s="475"/>
      <c r="R360" s="475"/>
      <c r="S360" s="475"/>
      <c r="T360" s="475"/>
      <c r="U360" s="475"/>
      <c r="V360" s="475"/>
      <c r="W360" s="475"/>
      <c r="X360" s="475"/>
      <c r="Y360" s="475"/>
      <c r="Z360" s="475"/>
      <c r="AA360" s="475"/>
      <c r="AB360" s="475"/>
      <c r="AC360" s="475"/>
      <c r="AD360" s="475"/>
      <c r="AE360" s="475"/>
      <c r="AF360" s="475"/>
      <c r="AG360" s="475"/>
      <c r="AH360" s="475"/>
      <c r="AI360" s="475"/>
      <c r="AJ360" s="475"/>
      <c r="AK360" s="475"/>
      <c r="AL360" s="475"/>
      <c r="AM360" s="475"/>
      <c r="AN360" s="475"/>
      <c r="AO360" s="475"/>
      <c r="AP360" s="475"/>
      <c r="AQ360" s="475"/>
      <c r="AR360" s="475"/>
      <c r="AS360" s="475"/>
      <c r="AT360" s="475"/>
      <c r="AU360" s="475"/>
      <c r="AV360" s="475"/>
      <c r="AW360" s="475"/>
      <c r="AX360" s="475"/>
      <c r="AY360" s="475"/>
      <c r="AZ360" s="475"/>
      <c r="BA360" s="475"/>
      <c r="BB360" s="475"/>
      <c r="BC360" s="475"/>
      <c r="BD360" s="475"/>
      <c r="BE360" s="475"/>
      <c r="BF360" s="475"/>
      <c r="BG360" s="475"/>
      <c r="BH360" s="475"/>
      <c r="BI360" s="475"/>
      <c r="BJ360" s="475"/>
      <c r="BK360" s="475"/>
      <c r="BL360" s="475"/>
    </row>
    <row r="361" spans="1:64" ht="13">
      <c r="A361" s="454"/>
      <c r="B361" s="454"/>
      <c r="C361" s="427" t="s">
        <v>870</v>
      </c>
      <c r="D361" s="408"/>
      <c r="E361" s="408"/>
      <c r="F361" s="408"/>
      <c r="G361" s="430"/>
      <c r="H361" s="414"/>
      <c r="I361" s="414"/>
      <c r="J361" s="418"/>
      <c r="K361" s="419"/>
      <c r="L361" s="419"/>
      <c r="M361" s="475"/>
      <c r="N361" s="475"/>
      <c r="O361" s="475"/>
      <c r="P361" s="475"/>
      <c r="Q361" s="475"/>
      <c r="R361" s="475"/>
      <c r="S361" s="475"/>
      <c r="T361" s="475"/>
      <c r="U361" s="475"/>
      <c r="V361" s="475"/>
      <c r="W361" s="475"/>
      <c r="X361" s="475"/>
      <c r="Y361" s="475"/>
      <c r="Z361" s="475"/>
      <c r="AA361" s="475"/>
      <c r="AB361" s="475"/>
      <c r="AC361" s="475"/>
      <c r="AD361" s="475"/>
      <c r="AE361" s="475"/>
      <c r="AF361" s="475"/>
      <c r="AG361" s="475"/>
      <c r="AH361" s="475"/>
      <c r="AI361" s="475"/>
      <c r="AJ361" s="475"/>
      <c r="AK361" s="475"/>
      <c r="AL361" s="475"/>
      <c r="AM361" s="475"/>
      <c r="AN361" s="475"/>
      <c r="AO361" s="475"/>
      <c r="AP361" s="475"/>
      <c r="AQ361" s="475"/>
      <c r="AR361" s="475"/>
      <c r="AS361" s="475"/>
      <c r="AT361" s="475"/>
      <c r="AU361" s="475"/>
      <c r="AV361" s="475"/>
      <c r="AW361" s="475"/>
      <c r="AX361" s="475"/>
      <c r="AY361" s="475"/>
      <c r="AZ361" s="475"/>
      <c r="BA361" s="475"/>
      <c r="BB361" s="475"/>
      <c r="BC361" s="475"/>
      <c r="BD361" s="475"/>
      <c r="BE361" s="475"/>
      <c r="BF361" s="475"/>
      <c r="BG361" s="475"/>
      <c r="BH361" s="475"/>
      <c r="BI361" s="475"/>
      <c r="BJ361" s="475"/>
      <c r="BK361" s="475"/>
      <c r="BL361" s="475"/>
    </row>
    <row r="362" spans="1:64">
      <c r="A362" s="454"/>
      <c r="B362" s="454"/>
      <c r="C362" s="417" t="s">
        <v>861</v>
      </c>
      <c r="D362" s="408">
        <v>0.2</v>
      </c>
      <c r="E362" s="408" t="s">
        <v>375</v>
      </c>
      <c r="F362" s="408">
        <f>'[161]Civil-SOR'!$G$304</f>
        <v>550</v>
      </c>
      <c r="G362" s="430">
        <v>1</v>
      </c>
      <c r="H362" s="408" t="s">
        <v>678</v>
      </c>
      <c r="I362" s="408">
        <f t="shared" ref="I362:I365" si="38">IF(G362="",D362*F362,(D362*F362/G362))</f>
        <v>110</v>
      </c>
      <c r="J362" s="418"/>
      <c r="K362" s="419"/>
      <c r="L362" s="419"/>
      <c r="M362" s="475"/>
      <c r="N362" s="475"/>
      <c r="O362" s="475"/>
      <c r="P362" s="475"/>
      <c r="Q362" s="475"/>
      <c r="R362" s="475"/>
      <c r="S362" s="475"/>
      <c r="T362" s="475"/>
      <c r="U362" s="475"/>
      <c r="V362" s="475"/>
      <c r="W362" s="475"/>
      <c r="X362" s="475"/>
      <c r="Y362" s="475"/>
      <c r="Z362" s="475"/>
      <c r="AA362" s="475"/>
      <c r="AB362" s="475"/>
      <c r="AC362" s="475"/>
      <c r="AD362" s="475"/>
      <c r="AE362" s="475"/>
      <c r="AF362" s="475"/>
      <c r="AG362" s="475"/>
      <c r="AH362" s="475"/>
      <c r="AI362" s="475"/>
      <c r="AJ362" s="475"/>
      <c r="AK362" s="475"/>
      <c r="AL362" s="475"/>
      <c r="AM362" s="475"/>
      <c r="AN362" s="475"/>
      <c r="AO362" s="475"/>
      <c r="AP362" s="475"/>
      <c r="AQ362" s="475"/>
      <c r="AR362" s="475"/>
      <c r="AS362" s="475"/>
      <c r="AT362" s="475"/>
      <c r="AU362" s="475"/>
      <c r="AV362" s="475"/>
      <c r="AW362" s="475"/>
      <c r="AX362" s="475"/>
      <c r="AY362" s="475"/>
      <c r="AZ362" s="475"/>
      <c r="BA362" s="475"/>
      <c r="BB362" s="475"/>
      <c r="BC362" s="475"/>
      <c r="BD362" s="475"/>
      <c r="BE362" s="475"/>
      <c r="BF362" s="475"/>
      <c r="BG362" s="475"/>
      <c r="BH362" s="475"/>
      <c r="BI362" s="475"/>
      <c r="BJ362" s="475"/>
      <c r="BK362" s="475"/>
      <c r="BL362" s="475"/>
    </row>
    <row r="363" spans="1:64">
      <c r="A363" s="454"/>
      <c r="B363" s="454"/>
      <c r="C363" s="417" t="s">
        <v>849</v>
      </c>
      <c r="D363" s="408">
        <v>2.5</v>
      </c>
      <c r="E363" s="408" t="s">
        <v>375</v>
      </c>
      <c r="F363" s="408">
        <f>'[161]Civil-SOR'!$G$307</f>
        <v>520</v>
      </c>
      <c r="G363" s="430">
        <v>1</v>
      </c>
      <c r="H363" s="408" t="s">
        <v>678</v>
      </c>
      <c r="I363" s="408">
        <f t="shared" si="38"/>
        <v>1300</v>
      </c>
      <c r="J363" s="418"/>
      <c r="K363" s="419"/>
      <c r="L363" s="419"/>
      <c r="M363" s="475"/>
      <c r="N363" s="475"/>
      <c r="O363" s="475"/>
      <c r="P363" s="475"/>
      <c r="Q363" s="475"/>
      <c r="R363" s="475"/>
      <c r="S363" s="475"/>
      <c r="T363" s="475"/>
      <c r="U363" s="475"/>
      <c r="V363" s="475"/>
      <c r="W363" s="475"/>
      <c r="X363" s="475"/>
      <c r="Y363" s="475"/>
      <c r="Z363" s="475"/>
      <c r="AA363" s="475"/>
      <c r="AB363" s="475"/>
      <c r="AC363" s="475"/>
      <c r="AD363" s="475"/>
      <c r="AE363" s="475"/>
      <c r="AF363" s="475"/>
      <c r="AG363" s="475"/>
      <c r="AH363" s="475"/>
      <c r="AI363" s="475"/>
      <c r="AJ363" s="475"/>
      <c r="AK363" s="475"/>
      <c r="AL363" s="475"/>
      <c r="AM363" s="475"/>
      <c r="AN363" s="475"/>
      <c r="AO363" s="475"/>
      <c r="AP363" s="475"/>
      <c r="AQ363" s="475"/>
      <c r="AR363" s="475"/>
      <c r="AS363" s="475"/>
      <c r="AT363" s="475"/>
      <c r="AU363" s="475"/>
      <c r="AV363" s="475"/>
      <c r="AW363" s="475"/>
      <c r="AX363" s="475"/>
      <c r="AY363" s="475"/>
      <c r="AZ363" s="475"/>
      <c r="BA363" s="475"/>
      <c r="BB363" s="475"/>
      <c r="BC363" s="475"/>
      <c r="BD363" s="475"/>
      <c r="BE363" s="475"/>
      <c r="BF363" s="475"/>
      <c r="BG363" s="475"/>
      <c r="BH363" s="475"/>
      <c r="BI363" s="475"/>
      <c r="BJ363" s="475"/>
      <c r="BK363" s="475"/>
      <c r="BL363" s="475"/>
    </row>
    <row r="364" spans="1:64">
      <c r="A364" s="454"/>
      <c r="B364" s="454"/>
      <c r="C364" s="417" t="s">
        <v>862</v>
      </c>
      <c r="D364" s="408">
        <v>0.2</v>
      </c>
      <c r="E364" s="408" t="s">
        <v>375</v>
      </c>
      <c r="F364" s="408">
        <f>'[161]Civil-SOR'!$G$305</f>
        <v>550</v>
      </c>
      <c r="G364" s="430">
        <v>1</v>
      </c>
      <c r="H364" s="408" t="s">
        <v>678</v>
      </c>
      <c r="I364" s="408">
        <f t="shared" si="38"/>
        <v>110</v>
      </c>
      <c r="J364" s="418"/>
      <c r="K364" s="419"/>
      <c r="L364" s="419"/>
      <c r="M364" s="475"/>
      <c r="N364" s="475"/>
      <c r="O364" s="475"/>
      <c r="P364" s="475"/>
      <c r="Q364" s="475"/>
      <c r="R364" s="475"/>
      <c r="S364" s="475"/>
      <c r="T364" s="475"/>
      <c r="U364" s="475"/>
      <c r="V364" s="475"/>
      <c r="W364" s="475"/>
      <c r="X364" s="475"/>
      <c r="Y364" s="475"/>
      <c r="Z364" s="475"/>
      <c r="AA364" s="475"/>
      <c r="AB364" s="475"/>
      <c r="AC364" s="475"/>
      <c r="AD364" s="475"/>
      <c r="AE364" s="475"/>
      <c r="AF364" s="475"/>
      <c r="AG364" s="475"/>
      <c r="AH364" s="475"/>
      <c r="AI364" s="475"/>
      <c r="AJ364" s="475"/>
      <c r="AK364" s="475"/>
      <c r="AL364" s="475"/>
      <c r="AM364" s="475"/>
      <c r="AN364" s="475"/>
      <c r="AO364" s="475"/>
      <c r="AP364" s="475"/>
      <c r="AQ364" s="475"/>
      <c r="AR364" s="475"/>
      <c r="AS364" s="475"/>
      <c r="AT364" s="475"/>
      <c r="AU364" s="475"/>
      <c r="AV364" s="475"/>
      <c r="AW364" s="475"/>
      <c r="AX364" s="475"/>
      <c r="AY364" s="475"/>
      <c r="AZ364" s="475"/>
      <c r="BA364" s="475"/>
      <c r="BB364" s="475"/>
      <c r="BC364" s="475"/>
      <c r="BD364" s="475"/>
      <c r="BE364" s="475"/>
      <c r="BF364" s="475"/>
      <c r="BG364" s="475"/>
      <c r="BH364" s="475"/>
      <c r="BI364" s="475"/>
      <c r="BJ364" s="475"/>
      <c r="BK364" s="475"/>
      <c r="BL364" s="475"/>
    </row>
    <row r="365" spans="1:64">
      <c r="A365" s="454"/>
      <c r="B365" s="454"/>
      <c r="C365" s="417" t="str">
        <f>[161]Input!$C$47</f>
        <v>Add for MA @ 40%</v>
      </c>
      <c r="D365" s="408">
        <f>[161]Input!$D$47</f>
        <v>0.4</v>
      </c>
      <c r="E365" s="408"/>
      <c r="F365" s="408">
        <f>SUM(I362:I364)</f>
        <v>1520</v>
      </c>
      <c r="G365" s="430"/>
      <c r="H365" s="408"/>
      <c r="I365" s="408">
        <f t="shared" si="38"/>
        <v>608</v>
      </c>
      <c r="J365" s="418"/>
      <c r="K365" s="419"/>
      <c r="L365" s="419"/>
      <c r="M365" s="475"/>
      <c r="N365" s="475"/>
      <c r="O365" s="475"/>
      <c r="P365" s="475"/>
      <c r="Q365" s="475"/>
      <c r="R365" s="475"/>
      <c r="S365" s="475"/>
      <c r="T365" s="475"/>
      <c r="U365" s="475"/>
      <c r="V365" s="475"/>
      <c r="W365" s="475"/>
      <c r="X365" s="475"/>
      <c r="Y365" s="475"/>
      <c r="Z365" s="475"/>
      <c r="AA365" s="475"/>
      <c r="AB365" s="475"/>
      <c r="AC365" s="475"/>
      <c r="AD365" s="475"/>
      <c r="AE365" s="475"/>
      <c r="AF365" s="475"/>
      <c r="AG365" s="475"/>
      <c r="AH365" s="475"/>
      <c r="AI365" s="475"/>
      <c r="AJ365" s="475"/>
      <c r="AK365" s="475"/>
      <c r="AL365" s="475"/>
      <c r="AM365" s="475"/>
      <c r="AN365" s="475"/>
      <c r="AO365" s="475"/>
      <c r="AP365" s="475"/>
      <c r="AQ365" s="475"/>
      <c r="AR365" s="475"/>
      <c r="AS365" s="475"/>
      <c r="AT365" s="475"/>
      <c r="AU365" s="475"/>
      <c r="AV365" s="475"/>
      <c r="AW365" s="475"/>
      <c r="AX365" s="475"/>
      <c r="AY365" s="475"/>
      <c r="AZ365" s="475"/>
      <c r="BA365" s="475"/>
      <c r="BB365" s="475"/>
      <c r="BC365" s="475"/>
      <c r="BD365" s="475"/>
      <c r="BE365" s="475"/>
      <c r="BF365" s="475"/>
      <c r="BG365" s="475"/>
      <c r="BH365" s="475"/>
      <c r="BI365" s="475"/>
      <c r="BJ365" s="475"/>
      <c r="BK365" s="475"/>
      <c r="BL365" s="475"/>
    </row>
    <row r="366" spans="1:64">
      <c r="A366" s="454"/>
      <c r="B366" s="454"/>
      <c r="C366" s="417"/>
      <c r="D366" s="408"/>
      <c r="E366" s="408"/>
      <c r="F366" s="408"/>
      <c r="G366" s="430"/>
      <c r="H366" s="408"/>
      <c r="I366" s="408">
        <f>SUM(I360:I365)</f>
        <v>2128</v>
      </c>
      <c r="J366" s="418"/>
      <c r="K366" s="419"/>
      <c r="L366" s="419"/>
      <c r="M366" s="475"/>
      <c r="N366" s="475"/>
      <c r="O366" s="475"/>
      <c r="P366" s="475"/>
      <c r="Q366" s="475"/>
      <c r="R366" s="475"/>
      <c r="S366" s="475"/>
      <c r="T366" s="475"/>
      <c r="U366" s="475"/>
      <c r="V366" s="475"/>
      <c r="W366" s="475"/>
      <c r="X366" s="475"/>
      <c r="Y366" s="475"/>
      <c r="Z366" s="475"/>
      <c r="AA366" s="475"/>
      <c r="AB366" s="475"/>
      <c r="AC366" s="475"/>
      <c r="AD366" s="475"/>
      <c r="AE366" s="475"/>
      <c r="AF366" s="475"/>
      <c r="AG366" s="475"/>
      <c r="AH366" s="475"/>
      <c r="AI366" s="475"/>
      <c r="AJ366" s="475"/>
      <c r="AK366" s="475"/>
      <c r="AL366" s="475"/>
      <c r="AM366" s="475"/>
      <c r="AN366" s="475"/>
      <c r="AO366" s="475"/>
      <c r="AP366" s="475"/>
      <c r="AQ366" s="475"/>
      <c r="AR366" s="475"/>
      <c r="AS366" s="475"/>
      <c r="AT366" s="475"/>
      <c r="AU366" s="475"/>
      <c r="AV366" s="475"/>
      <c r="AW366" s="475"/>
      <c r="AX366" s="475"/>
      <c r="AY366" s="475"/>
      <c r="AZ366" s="475"/>
      <c r="BA366" s="475"/>
      <c r="BB366" s="475"/>
      <c r="BC366" s="475"/>
      <c r="BD366" s="475"/>
      <c r="BE366" s="475"/>
      <c r="BF366" s="475"/>
      <c r="BG366" s="475"/>
      <c r="BH366" s="475"/>
      <c r="BI366" s="475"/>
      <c r="BJ366" s="475"/>
      <c r="BK366" s="475"/>
      <c r="BL366" s="475"/>
    </row>
    <row r="367" spans="1:64">
      <c r="A367" s="454"/>
      <c r="B367" s="454"/>
      <c r="C367" s="417" t="s">
        <v>863</v>
      </c>
      <c r="D367" s="408">
        <f>1/100</f>
        <v>0.01</v>
      </c>
      <c r="E367" s="408"/>
      <c r="F367" s="408">
        <f>I366</f>
        <v>2128</v>
      </c>
      <c r="G367" s="430"/>
      <c r="H367" s="408"/>
      <c r="I367" s="408">
        <f>IF(G367="",D367*F367,(D367*F367/G367))</f>
        <v>21.28</v>
      </c>
      <c r="J367" s="418"/>
      <c r="K367" s="419"/>
      <c r="L367" s="419"/>
      <c r="M367" s="475"/>
      <c r="N367" s="475"/>
      <c r="O367" s="475"/>
      <c r="P367" s="475"/>
      <c r="Q367" s="475"/>
      <c r="R367" s="475"/>
      <c r="S367" s="475"/>
      <c r="T367" s="475"/>
      <c r="U367" s="475"/>
      <c r="V367" s="475"/>
      <c r="W367" s="475"/>
      <c r="X367" s="475"/>
      <c r="Y367" s="475"/>
      <c r="Z367" s="475"/>
      <c r="AA367" s="475"/>
      <c r="AB367" s="475"/>
      <c r="AC367" s="475"/>
      <c r="AD367" s="475"/>
      <c r="AE367" s="475"/>
      <c r="AF367" s="475"/>
      <c r="AG367" s="475"/>
      <c r="AH367" s="475"/>
      <c r="AI367" s="475"/>
      <c r="AJ367" s="475"/>
      <c r="AK367" s="475"/>
      <c r="AL367" s="475"/>
      <c r="AM367" s="475"/>
      <c r="AN367" s="475"/>
      <c r="AO367" s="475"/>
      <c r="AP367" s="475"/>
      <c r="AQ367" s="475"/>
      <c r="AR367" s="475"/>
      <c r="AS367" s="475"/>
      <c r="AT367" s="475"/>
      <c r="AU367" s="475"/>
      <c r="AV367" s="475"/>
      <c r="AW367" s="475"/>
      <c r="AX367" s="475"/>
      <c r="AY367" s="475"/>
      <c r="AZ367" s="475"/>
      <c r="BA367" s="475"/>
      <c r="BB367" s="475"/>
      <c r="BC367" s="475"/>
      <c r="BD367" s="475"/>
      <c r="BE367" s="475"/>
      <c r="BF367" s="475"/>
      <c r="BG367" s="475"/>
      <c r="BH367" s="475"/>
      <c r="BI367" s="475"/>
      <c r="BJ367" s="475"/>
      <c r="BK367" s="475"/>
      <c r="BL367" s="475"/>
    </row>
    <row r="368" spans="1:64" ht="13">
      <c r="A368" s="454"/>
      <c r="B368" s="454"/>
      <c r="C368" s="427" t="s">
        <v>865</v>
      </c>
      <c r="D368" s="408"/>
      <c r="E368" s="408"/>
      <c r="F368" s="408"/>
      <c r="G368" s="430"/>
      <c r="H368" s="408"/>
      <c r="I368" s="414">
        <f>SUM(I366:I367)</f>
        <v>2149.2800000000002</v>
      </c>
      <c r="J368" s="418"/>
      <c r="K368" s="419"/>
      <c r="L368" s="419"/>
      <c r="M368" s="475"/>
      <c r="N368" s="475"/>
      <c r="O368" s="475"/>
      <c r="P368" s="475"/>
      <c r="Q368" s="475"/>
      <c r="R368" s="475"/>
      <c r="S368" s="475"/>
      <c r="T368" s="475"/>
      <c r="U368" s="475"/>
      <c r="V368" s="475"/>
      <c r="W368" s="475"/>
      <c r="X368" s="475"/>
      <c r="Y368" s="475"/>
      <c r="Z368" s="475"/>
      <c r="AA368" s="475"/>
      <c r="AB368" s="475"/>
      <c r="AC368" s="475"/>
      <c r="AD368" s="475"/>
      <c r="AE368" s="475"/>
      <c r="AF368" s="475"/>
      <c r="AG368" s="475"/>
      <c r="AH368" s="475"/>
      <c r="AI368" s="475"/>
      <c r="AJ368" s="475"/>
      <c r="AK368" s="475"/>
      <c r="AL368" s="475"/>
      <c r="AM368" s="475"/>
      <c r="AN368" s="475"/>
      <c r="AO368" s="475"/>
      <c r="AP368" s="475"/>
      <c r="AQ368" s="475"/>
      <c r="AR368" s="475"/>
      <c r="AS368" s="475"/>
      <c r="AT368" s="475"/>
      <c r="AU368" s="475"/>
      <c r="AV368" s="475"/>
      <c r="AW368" s="475"/>
      <c r="AX368" s="475"/>
      <c r="AY368" s="475"/>
      <c r="AZ368" s="475"/>
      <c r="BA368" s="475"/>
      <c r="BB368" s="475"/>
      <c r="BC368" s="475"/>
      <c r="BD368" s="475"/>
      <c r="BE368" s="475"/>
      <c r="BF368" s="475"/>
      <c r="BG368" s="475"/>
      <c r="BH368" s="475"/>
      <c r="BI368" s="475"/>
      <c r="BJ368" s="475"/>
      <c r="BK368" s="475"/>
      <c r="BL368" s="475"/>
    </row>
    <row r="369" spans="1:64" ht="13">
      <c r="A369" s="454"/>
      <c r="B369" s="454"/>
      <c r="C369" s="427"/>
      <c r="D369" s="408"/>
      <c r="E369" s="408"/>
      <c r="F369" s="408"/>
      <c r="G369" s="430"/>
      <c r="H369" s="408"/>
      <c r="I369" s="408"/>
      <c r="J369" s="418"/>
      <c r="K369" s="419"/>
      <c r="L369" s="419"/>
      <c r="M369" s="475"/>
      <c r="N369" s="475"/>
      <c r="O369" s="475"/>
      <c r="P369" s="475"/>
      <c r="Q369" s="475"/>
      <c r="R369" s="475"/>
      <c r="S369" s="475"/>
      <c r="T369" s="475"/>
      <c r="U369" s="475"/>
      <c r="V369" s="475"/>
      <c r="W369" s="475"/>
      <c r="X369" s="475"/>
      <c r="Y369" s="475"/>
      <c r="Z369" s="475"/>
      <c r="AA369" s="475"/>
      <c r="AB369" s="475"/>
      <c r="AC369" s="475"/>
      <c r="AD369" s="475"/>
      <c r="AE369" s="475"/>
      <c r="AF369" s="475"/>
      <c r="AG369" s="475"/>
      <c r="AH369" s="475"/>
      <c r="AI369" s="475"/>
      <c r="AJ369" s="475"/>
      <c r="AK369" s="475"/>
      <c r="AL369" s="475"/>
      <c r="AM369" s="475"/>
      <c r="AN369" s="475"/>
      <c r="AO369" s="475"/>
      <c r="AP369" s="475"/>
      <c r="AQ369" s="475"/>
      <c r="AR369" s="475"/>
      <c r="AS369" s="475"/>
      <c r="AT369" s="475"/>
      <c r="AU369" s="475"/>
      <c r="AV369" s="475"/>
      <c r="AW369" s="475"/>
      <c r="AX369" s="475"/>
      <c r="AY369" s="475"/>
      <c r="AZ369" s="475"/>
      <c r="BA369" s="475"/>
      <c r="BB369" s="475"/>
      <c r="BC369" s="475"/>
      <c r="BD369" s="475"/>
      <c r="BE369" s="475"/>
      <c r="BF369" s="475"/>
      <c r="BG369" s="475"/>
      <c r="BH369" s="475"/>
      <c r="BI369" s="475"/>
      <c r="BJ369" s="475"/>
      <c r="BK369" s="475"/>
      <c r="BL369" s="475"/>
    </row>
    <row r="370" spans="1:64" ht="25">
      <c r="A370" s="454"/>
      <c r="B370" s="454"/>
      <c r="C370" s="417" t="str">
        <f>[161]Input!$C$48</f>
        <v>Overheads &amp; Contractors Profit @ 13.615%</v>
      </c>
      <c r="D370" s="444">
        <f>[161]Input!$D$48</f>
        <v>0.13614999999999999</v>
      </c>
      <c r="E370" s="408"/>
      <c r="F370" s="408">
        <f>I368</f>
        <v>2149.2800000000002</v>
      </c>
      <c r="G370" s="430"/>
      <c r="H370" s="414"/>
      <c r="I370" s="408">
        <f>IF(G370="",D370*F370,(D370*F370/G370))</f>
        <v>292.62447200000003</v>
      </c>
      <c r="J370" s="418"/>
      <c r="K370" s="419"/>
      <c r="L370" s="419"/>
      <c r="M370" s="475"/>
      <c r="N370" s="475"/>
      <c r="O370" s="475"/>
      <c r="P370" s="475"/>
      <c r="Q370" s="475"/>
      <c r="R370" s="475"/>
      <c r="S370" s="475"/>
      <c r="T370" s="475"/>
      <c r="U370" s="475"/>
      <c r="V370" s="475"/>
      <c r="W370" s="475"/>
      <c r="X370" s="475"/>
      <c r="Y370" s="475"/>
      <c r="Z370" s="475"/>
      <c r="AA370" s="475"/>
      <c r="AB370" s="475"/>
      <c r="AC370" s="475"/>
      <c r="AD370" s="475"/>
      <c r="AE370" s="475"/>
      <c r="AF370" s="475"/>
      <c r="AG370" s="475"/>
      <c r="AH370" s="475"/>
      <c r="AI370" s="475"/>
      <c r="AJ370" s="475"/>
      <c r="AK370" s="475"/>
      <c r="AL370" s="475"/>
      <c r="AM370" s="475"/>
      <c r="AN370" s="475"/>
      <c r="AO370" s="475"/>
      <c r="AP370" s="475"/>
      <c r="AQ370" s="475"/>
      <c r="AR370" s="475"/>
      <c r="AS370" s="475"/>
      <c r="AT370" s="475"/>
      <c r="AU370" s="475"/>
      <c r="AV370" s="475"/>
      <c r="AW370" s="475"/>
      <c r="AX370" s="475"/>
      <c r="AY370" s="475"/>
      <c r="AZ370" s="475"/>
      <c r="BA370" s="475"/>
      <c r="BB370" s="475"/>
      <c r="BC370" s="475"/>
      <c r="BD370" s="475"/>
      <c r="BE370" s="475"/>
      <c r="BF370" s="475"/>
      <c r="BG370" s="475"/>
      <c r="BH370" s="475"/>
      <c r="BI370" s="475"/>
      <c r="BJ370" s="475"/>
      <c r="BK370" s="475"/>
      <c r="BL370" s="475"/>
    </row>
    <row r="371" spans="1:64" ht="13">
      <c r="A371" s="454"/>
      <c r="B371" s="454"/>
      <c r="C371" s="435"/>
      <c r="D371" s="408"/>
      <c r="E371" s="408"/>
      <c r="F371" s="408"/>
      <c r="G371" s="430"/>
      <c r="H371" s="414"/>
      <c r="I371" s="408">
        <f>SUM(I368:I370)</f>
        <v>2441.9044720000002</v>
      </c>
      <c r="J371" s="418"/>
      <c r="K371" s="419"/>
      <c r="L371" s="419"/>
      <c r="M371" s="475"/>
      <c r="N371" s="475"/>
      <c r="O371" s="475"/>
      <c r="P371" s="475"/>
      <c r="Q371" s="475"/>
      <c r="R371" s="475"/>
      <c r="S371" s="475"/>
      <c r="T371" s="475"/>
      <c r="U371" s="475"/>
      <c r="V371" s="475"/>
      <c r="W371" s="475"/>
      <c r="X371" s="475"/>
      <c r="Y371" s="475"/>
      <c r="Z371" s="475"/>
      <c r="AA371" s="475"/>
      <c r="AB371" s="475"/>
      <c r="AC371" s="475"/>
      <c r="AD371" s="475"/>
      <c r="AE371" s="475"/>
      <c r="AF371" s="475"/>
      <c r="AG371" s="475"/>
      <c r="AH371" s="475"/>
      <c r="AI371" s="475"/>
      <c r="AJ371" s="475"/>
      <c r="AK371" s="475"/>
      <c r="AL371" s="475"/>
      <c r="AM371" s="475"/>
      <c r="AN371" s="475"/>
      <c r="AO371" s="475"/>
      <c r="AP371" s="475"/>
      <c r="AQ371" s="475"/>
      <c r="AR371" s="475"/>
      <c r="AS371" s="475"/>
      <c r="AT371" s="475"/>
      <c r="AU371" s="475"/>
      <c r="AV371" s="475"/>
      <c r="AW371" s="475"/>
      <c r="AX371" s="475"/>
      <c r="AY371" s="475"/>
      <c r="AZ371" s="475"/>
      <c r="BA371" s="475"/>
      <c r="BB371" s="475"/>
      <c r="BC371" s="475"/>
      <c r="BD371" s="475"/>
      <c r="BE371" s="475"/>
      <c r="BF371" s="475"/>
      <c r="BG371" s="475"/>
      <c r="BH371" s="475"/>
      <c r="BI371" s="475"/>
      <c r="BJ371" s="475"/>
      <c r="BK371" s="475"/>
      <c r="BL371" s="475"/>
    </row>
    <row r="372" spans="1:64" ht="13">
      <c r="A372" s="454"/>
      <c r="B372" s="454"/>
      <c r="C372" s="427" t="s">
        <v>724</v>
      </c>
      <c r="D372" s="408"/>
      <c r="E372" s="408"/>
      <c r="F372" s="408"/>
      <c r="G372" s="430"/>
      <c r="H372" s="408" t="s">
        <v>725</v>
      </c>
      <c r="I372" s="408">
        <f>I371/10</f>
        <v>244.19044720000002</v>
      </c>
      <c r="J372" s="418"/>
      <c r="K372" s="419"/>
      <c r="L372" s="419"/>
      <c r="M372" s="475"/>
      <c r="N372" s="475"/>
      <c r="O372" s="475"/>
      <c r="P372" s="475"/>
      <c r="Q372" s="475"/>
      <c r="R372" s="475"/>
      <c r="S372" s="475"/>
      <c r="T372" s="475"/>
      <c r="U372" s="475"/>
      <c r="V372" s="475"/>
      <c r="W372" s="475"/>
      <c r="X372" s="475"/>
      <c r="Y372" s="475"/>
      <c r="Z372" s="475"/>
      <c r="AA372" s="475"/>
      <c r="AB372" s="475"/>
      <c r="AC372" s="475"/>
      <c r="AD372" s="475"/>
      <c r="AE372" s="475"/>
      <c r="AF372" s="475"/>
      <c r="AG372" s="475"/>
      <c r="AH372" s="475"/>
      <c r="AI372" s="475"/>
      <c r="AJ372" s="475"/>
      <c r="AK372" s="475"/>
      <c r="AL372" s="475"/>
      <c r="AM372" s="475"/>
      <c r="AN372" s="475"/>
      <c r="AO372" s="475"/>
      <c r="AP372" s="475"/>
      <c r="AQ372" s="475"/>
      <c r="AR372" s="475"/>
      <c r="AS372" s="475"/>
      <c r="AT372" s="475"/>
      <c r="AU372" s="475"/>
      <c r="AV372" s="475"/>
      <c r="AW372" s="475"/>
      <c r="AX372" s="475"/>
      <c r="AY372" s="475"/>
      <c r="AZ372" s="475"/>
      <c r="BA372" s="475"/>
      <c r="BB372" s="475"/>
      <c r="BC372" s="475"/>
      <c r="BD372" s="475"/>
      <c r="BE372" s="475"/>
      <c r="BF372" s="475"/>
      <c r="BG372" s="475"/>
      <c r="BH372" s="475"/>
      <c r="BI372" s="475"/>
      <c r="BJ372" s="475"/>
      <c r="BK372" s="475"/>
      <c r="BL372" s="475"/>
    </row>
    <row r="373" spans="1:64" ht="13">
      <c r="A373" s="454"/>
      <c r="B373" s="454"/>
      <c r="C373" s="435"/>
      <c r="D373" s="408"/>
      <c r="E373" s="408"/>
      <c r="F373" s="408"/>
      <c r="G373" s="430"/>
      <c r="H373" s="415" t="s">
        <v>687</v>
      </c>
      <c r="I373" s="414">
        <f>ROUND(I372,0)</f>
        <v>244</v>
      </c>
      <c r="J373" s="418"/>
      <c r="K373" s="419"/>
      <c r="L373" s="419"/>
      <c r="M373" s="475"/>
      <c r="N373" s="475"/>
      <c r="O373" s="475"/>
      <c r="P373" s="475"/>
      <c r="Q373" s="475"/>
      <c r="R373" s="475"/>
      <c r="S373" s="475"/>
      <c r="T373" s="475"/>
      <c r="U373" s="475"/>
      <c r="V373" s="475"/>
      <c r="W373" s="475"/>
      <c r="X373" s="475"/>
      <c r="Y373" s="475"/>
      <c r="Z373" s="475"/>
      <c r="AA373" s="475"/>
      <c r="AB373" s="475"/>
      <c r="AC373" s="475"/>
      <c r="AD373" s="475"/>
      <c r="AE373" s="475"/>
      <c r="AF373" s="475"/>
      <c r="AG373" s="475"/>
      <c r="AH373" s="475"/>
      <c r="AI373" s="475"/>
      <c r="AJ373" s="475"/>
      <c r="AK373" s="475"/>
      <c r="AL373" s="475"/>
      <c r="AM373" s="475"/>
      <c r="AN373" s="475"/>
      <c r="AO373" s="475"/>
      <c r="AP373" s="475"/>
      <c r="AQ373" s="475"/>
      <c r="AR373" s="475"/>
      <c r="AS373" s="475"/>
      <c r="AT373" s="475"/>
      <c r="AU373" s="475"/>
      <c r="AV373" s="475"/>
      <c r="AW373" s="475"/>
      <c r="AX373" s="475"/>
      <c r="AY373" s="475"/>
      <c r="AZ373" s="475"/>
      <c r="BA373" s="475"/>
      <c r="BB373" s="475"/>
      <c r="BC373" s="475"/>
      <c r="BD373" s="475"/>
      <c r="BE373" s="475"/>
      <c r="BF373" s="475"/>
      <c r="BG373" s="475"/>
      <c r="BH373" s="475"/>
      <c r="BI373" s="475"/>
      <c r="BJ373" s="475"/>
      <c r="BK373" s="475"/>
      <c r="BL373" s="475"/>
    </row>
    <row r="374" spans="1:64" ht="13">
      <c r="A374" s="454"/>
      <c r="B374" s="454"/>
      <c r="C374" s="427"/>
      <c r="D374" s="408"/>
      <c r="E374" s="408"/>
      <c r="F374" s="408"/>
      <c r="G374" s="430"/>
      <c r="H374" s="414"/>
      <c r="I374" s="414"/>
      <c r="J374" s="400"/>
      <c r="K374" s="401"/>
      <c r="L374" s="401"/>
    </row>
    <row r="375" spans="1:64" ht="71.900000000000006" customHeight="1">
      <c r="A375" s="1302">
        <f>A354+1</f>
        <v>9</v>
      </c>
      <c r="B375" s="1302"/>
      <c r="C375" s="1276" t="s">
        <v>871</v>
      </c>
      <c r="D375" s="1276"/>
      <c r="E375" s="1276"/>
      <c r="F375" s="1276"/>
      <c r="G375" s="1276"/>
      <c r="H375" s="1276"/>
      <c r="I375" s="407"/>
      <c r="J375" s="400"/>
      <c r="K375" s="401"/>
      <c r="L375" s="401"/>
      <c r="M375" s="404"/>
      <c r="N375" s="404"/>
      <c r="O375" s="404"/>
      <c r="P375" s="404"/>
      <c r="Q375" s="404"/>
      <c r="R375" s="404"/>
      <c r="S375" s="404"/>
      <c r="T375" s="404"/>
      <c r="U375" s="404"/>
      <c r="V375" s="404"/>
      <c r="W375" s="404"/>
      <c r="X375" s="404"/>
      <c r="Y375" s="404"/>
      <c r="Z375" s="404"/>
      <c r="AA375" s="404"/>
      <c r="AB375" s="404"/>
      <c r="AC375" s="404"/>
      <c r="AD375" s="404"/>
      <c r="AE375" s="404"/>
      <c r="AF375" s="404"/>
      <c r="AG375" s="404"/>
      <c r="AH375" s="404"/>
      <c r="AI375" s="404"/>
      <c r="AJ375" s="404"/>
      <c r="AK375" s="404"/>
      <c r="AL375" s="404"/>
      <c r="AM375" s="404"/>
      <c r="AN375" s="404"/>
      <c r="AO375" s="404"/>
      <c r="AP375" s="404"/>
      <c r="AQ375" s="404"/>
      <c r="AR375" s="404"/>
      <c r="AS375" s="404"/>
      <c r="AT375" s="404"/>
      <c r="AU375" s="404"/>
      <c r="AV375" s="404"/>
      <c r="AW375" s="404"/>
      <c r="AX375" s="404"/>
      <c r="AY375" s="404"/>
      <c r="AZ375" s="404"/>
      <c r="BA375" s="404"/>
      <c r="BB375" s="404"/>
      <c r="BC375" s="404"/>
      <c r="BD375" s="404"/>
      <c r="BE375" s="404"/>
      <c r="BF375" s="404"/>
      <c r="BG375" s="404"/>
      <c r="BH375" s="404"/>
      <c r="BI375" s="404"/>
      <c r="BJ375" s="404"/>
      <c r="BK375" s="404"/>
      <c r="BL375" s="404"/>
    </row>
    <row r="376" spans="1:64" ht="13">
      <c r="A376" s="454"/>
      <c r="B376" s="454"/>
      <c r="C376" s="455" t="s">
        <v>872</v>
      </c>
      <c r="D376" s="408"/>
      <c r="E376" s="408"/>
      <c r="F376" s="408"/>
      <c r="G376" s="430"/>
      <c r="H376" s="456"/>
      <c r="I376" s="408"/>
      <c r="J376" s="400"/>
      <c r="K376" s="401"/>
      <c r="L376" s="401"/>
      <c r="M376" s="404"/>
      <c r="N376" s="404"/>
      <c r="O376" s="404"/>
      <c r="P376" s="404"/>
      <c r="Q376" s="404"/>
      <c r="R376" s="404"/>
      <c r="S376" s="404"/>
      <c r="T376" s="404"/>
      <c r="U376" s="404"/>
      <c r="V376" s="404"/>
      <c r="W376" s="404"/>
      <c r="X376" s="404"/>
      <c r="Y376" s="404"/>
      <c r="Z376" s="404"/>
      <c r="AA376" s="404"/>
      <c r="AB376" s="404"/>
      <c r="AC376" s="404"/>
      <c r="AD376" s="404"/>
      <c r="AE376" s="404"/>
      <c r="AF376" s="404"/>
      <c r="AG376" s="404"/>
      <c r="AH376" s="404"/>
      <c r="AI376" s="404"/>
      <c r="AJ376" s="404"/>
      <c r="AK376" s="404"/>
      <c r="AL376" s="404"/>
      <c r="AM376" s="404"/>
      <c r="AN376" s="404"/>
      <c r="AO376" s="404"/>
      <c r="AP376" s="404"/>
      <c r="AQ376" s="404"/>
      <c r="AR376" s="404"/>
      <c r="AS376" s="404"/>
      <c r="AT376" s="404"/>
      <c r="AU376" s="404"/>
      <c r="AV376" s="404"/>
      <c r="AW376" s="404"/>
      <c r="AX376" s="404"/>
      <c r="AY376" s="404"/>
      <c r="AZ376" s="404"/>
      <c r="BA376" s="404"/>
      <c r="BB376" s="404"/>
      <c r="BC376" s="404"/>
      <c r="BD376" s="404"/>
      <c r="BE376" s="404"/>
      <c r="BF376" s="404"/>
      <c r="BG376" s="404"/>
      <c r="BH376" s="404"/>
      <c r="BI376" s="404"/>
      <c r="BJ376" s="404"/>
      <c r="BK376" s="404"/>
      <c r="BL376" s="404"/>
    </row>
    <row r="377" spans="1:64">
      <c r="A377" s="454"/>
      <c r="B377" s="454"/>
      <c r="C377" s="417" t="s">
        <v>779</v>
      </c>
      <c r="D377" s="408"/>
      <c r="E377" s="408"/>
      <c r="F377" s="408"/>
      <c r="G377" s="430"/>
      <c r="H377" s="456"/>
      <c r="I377" s="408"/>
      <c r="J377" s="400"/>
      <c r="K377" s="401"/>
      <c r="L377" s="401"/>
      <c r="M377" s="404"/>
      <c r="N377" s="404"/>
      <c r="O377" s="404"/>
      <c r="P377" s="404"/>
      <c r="Q377" s="404"/>
      <c r="R377" s="404"/>
      <c r="S377" s="404"/>
      <c r="T377" s="404"/>
      <c r="U377" s="404"/>
      <c r="V377" s="404"/>
      <c r="W377" s="404"/>
      <c r="X377" s="404"/>
      <c r="Y377" s="404"/>
      <c r="Z377" s="404"/>
      <c r="AA377" s="404"/>
      <c r="AB377" s="404"/>
      <c r="AC377" s="404"/>
      <c r="AD377" s="404"/>
      <c r="AE377" s="404"/>
      <c r="AF377" s="404"/>
      <c r="AG377" s="404"/>
      <c r="AH377" s="404"/>
      <c r="AI377" s="404"/>
      <c r="AJ377" s="404"/>
      <c r="AK377" s="404"/>
      <c r="AL377" s="404"/>
      <c r="AM377" s="404"/>
      <c r="AN377" s="404"/>
      <c r="AO377" s="404"/>
      <c r="AP377" s="404"/>
      <c r="AQ377" s="404"/>
      <c r="AR377" s="404"/>
      <c r="AS377" s="404"/>
      <c r="AT377" s="404"/>
      <c r="AU377" s="404"/>
      <c r="AV377" s="404"/>
      <c r="AW377" s="404"/>
      <c r="AX377" s="404"/>
      <c r="AY377" s="404"/>
      <c r="AZ377" s="404"/>
      <c r="BA377" s="404"/>
      <c r="BB377" s="404"/>
      <c r="BC377" s="404"/>
      <c r="BD377" s="404"/>
      <c r="BE377" s="404"/>
      <c r="BF377" s="404"/>
      <c r="BG377" s="404"/>
      <c r="BH377" s="404"/>
      <c r="BI377" s="404"/>
      <c r="BJ377" s="404"/>
      <c r="BK377" s="404"/>
      <c r="BL377" s="404"/>
    </row>
    <row r="378" spans="1:64" ht="13">
      <c r="A378" s="454"/>
      <c r="B378" s="454"/>
      <c r="C378" s="427" t="s">
        <v>873</v>
      </c>
      <c r="D378" s="408"/>
      <c r="E378" s="408"/>
      <c r="F378" s="408"/>
      <c r="G378" s="430"/>
      <c r="H378" s="456"/>
      <c r="I378" s="408"/>
      <c r="J378" s="400"/>
      <c r="K378" s="401"/>
      <c r="L378" s="401"/>
      <c r="M378" s="404"/>
      <c r="N378" s="404"/>
      <c r="O378" s="404"/>
      <c r="P378" s="404"/>
      <c r="Q378" s="404"/>
      <c r="R378" s="404"/>
      <c r="S378" s="404"/>
      <c r="T378" s="404"/>
      <c r="U378" s="404"/>
      <c r="V378" s="404"/>
      <c r="W378" s="404"/>
      <c r="X378" s="404"/>
      <c r="Y378" s="404"/>
      <c r="Z378" s="404"/>
      <c r="AA378" s="404"/>
      <c r="AB378" s="404"/>
      <c r="AC378" s="404"/>
      <c r="AD378" s="404"/>
      <c r="AE378" s="404"/>
      <c r="AF378" s="404"/>
      <c r="AG378" s="404"/>
      <c r="AH378" s="404"/>
      <c r="AI378" s="404"/>
      <c r="AJ378" s="404"/>
      <c r="AK378" s="404"/>
      <c r="AL378" s="404"/>
      <c r="AM378" s="404"/>
      <c r="AN378" s="404"/>
      <c r="AO378" s="404"/>
      <c r="AP378" s="404"/>
      <c r="AQ378" s="404"/>
      <c r="AR378" s="404"/>
      <c r="AS378" s="404"/>
      <c r="AT378" s="404"/>
      <c r="AU378" s="404"/>
      <c r="AV378" s="404"/>
      <c r="AW378" s="404"/>
      <c r="AX378" s="404"/>
      <c r="AY378" s="404"/>
      <c r="AZ378" s="404"/>
      <c r="BA378" s="404"/>
      <c r="BB378" s="404"/>
      <c r="BC378" s="404"/>
      <c r="BD378" s="404"/>
      <c r="BE378" s="404"/>
      <c r="BF378" s="404"/>
      <c r="BG378" s="404"/>
      <c r="BH378" s="404"/>
      <c r="BI378" s="404"/>
      <c r="BJ378" s="404"/>
      <c r="BK378" s="404"/>
      <c r="BL378" s="404"/>
    </row>
    <row r="379" spans="1:64">
      <c r="A379" s="454"/>
      <c r="B379" s="454"/>
      <c r="C379" s="417" t="s">
        <v>504</v>
      </c>
      <c r="D379" s="408">
        <v>162</v>
      </c>
      <c r="E379" s="408" t="s">
        <v>833</v>
      </c>
      <c r="F379" s="408">
        <f>[161]LEAD!$N$6</f>
        <v>5200</v>
      </c>
      <c r="G379" s="430">
        <v>1000</v>
      </c>
      <c r="H379" s="456" t="str">
        <f t="shared" ref="H379:H382" si="39">IF(E379="","",IF(E379="No.","Each",IF(E379="Nos.","Each",E379)))</f>
        <v>Kgs</v>
      </c>
      <c r="I379" s="408">
        <f t="shared" ref="I379:I382" si="40">IF(G379="",D379*F379,(D379*F379/G379))</f>
        <v>842.4</v>
      </c>
      <c r="J379" s="418"/>
      <c r="K379" s="419"/>
      <c r="L379" s="419"/>
      <c r="M379" s="420"/>
      <c r="N379" s="420"/>
      <c r="O379" s="420"/>
      <c r="P379" s="420"/>
      <c r="Q379" s="420"/>
      <c r="R379" s="420"/>
      <c r="S379" s="420"/>
      <c r="T379" s="420"/>
      <c r="U379" s="420"/>
      <c r="V379" s="420"/>
      <c r="W379" s="420"/>
      <c r="X379" s="420"/>
      <c r="Y379" s="420"/>
      <c r="Z379" s="420"/>
      <c r="AA379" s="420"/>
      <c r="AB379" s="420"/>
      <c r="AC379" s="420"/>
      <c r="AD379" s="420"/>
      <c r="AE379" s="420"/>
      <c r="AF379" s="420"/>
      <c r="AG379" s="420"/>
      <c r="AH379" s="420"/>
      <c r="AI379" s="420"/>
      <c r="AJ379" s="420"/>
      <c r="AK379" s="420"/>
      <c r="AL379" s="420"/>
      <c r="AM379" s="420"/>
      <c r="AN379" s="420"/>
      <c r="AO379" s="420"/>
      <c r="AP379" s="420"/>
      <c r="AQ379" s="420"/>
      <c r="AR379" s="420"/>
      <c r="AS379" s="420"/>
      <c r="AT379" s="420"/>
      <c r="AU379" s="420"/>
      <c r="AV379" s="420"/>
      <c r="AW379" s="420"/>
      <c r="AX379" s="420"/>
      <c r="AY379" s="420"/>
      <c r="AZ379" s="420"/>
      <c r="BA379" s="420"/>
      <c r="BB379" s="420"/>
      <c r="BC379" s="420"/>
      <c r="BD379" s="420"/>
      <c r="BE379" s="420"/>
      <c r="BF379" s="420"/>
      <c r="BG379" s="420"/>
      <c r="BH379" s="420"/>
      <c r="BI379" s="420"/>
      <c r="BJ379" s="420"/>
      <c r="BK379" s="420"/>
      <c r="BL379" s="420"/>
    </row>
    <row r="380" spans="1:64">
      <c r="A380" s="454"/>
      <c r="B380" s="454"/>
      <c r="C380" s="417" t="s">
        <v>874</v>
      </c>
      <c r="D380" s="408">
        <v>0.9</v>
      </c>
      <c r="E380" s="408" t="s">
        <v>57</v>
      </c>
      <c r="F380" s="408">
        <f>[161]LEAD!$N$18</f>
        <v>1310.96</v>
      </c>
      <c r="G380" s="430">
        <v>1</v>
      </c>
      <c r="H380" s="456" t="str">
        <f t="shared" si="39"/>
        <v>Cum</v>
      </c>
      <c r="I380" s="408">
        <f t="shared" si="40"/>
        <v>1179.864</v>
      </c>
      <c r="J380" s="418"/>
      <c r="K380" s="419"/>
      <c r="L380" s="419"/>
      <c r="M380" s="420"/>
      <c r="N380" s="420"/>
      <c r="O380" s="420"/>
      <c r="P380" s="420"/>
      <c r="Q380" s="420"/>
      <c r="R380" s="420"/>
      <c r="S380" s="420"/>
      <c r="T380" s="420"/>
      <c r="U380" s="420"/>
      <c r="V380" s="420"/>
      <c r="W380" s="420"/>
      <c r="X380" s="420"/>
      <c r="Y380" s="420"/>
      <c r="Z380" s="420"/>
      <c r="AA380" s="420"/>
      <c r="AB380" s="420"/>
      <c r="AC380" s="420"/>
      <c r="AD380" s="420"/>
      <c r="AE380" s="420"/>
      <c r="AF380" s="420"/>
      <c r="AG380" s="420"/>
      <c r="AH380" s="420"/>
      <c r="AI380" s="420"/>
      <c r="AJ380" s="420"/>
      <c r="AK380" s="420"/>
      <c r="AL380" s="420"/>
      <c r="AM380" s="420"/>
      <c r="AN380" s="420"/>
      <c r="AO380" s="420"/>
      <c r="AP380" s="420"/>
      <c r="AQ380" s="420"/>
      <c r="AR380" s="420"/>
      <c r="AS380" s="420"/>
      <c r="AT380" s="420"/>
      <c r="AU380" s="420"/>
      <c r="AV380" s="420"/>
      <c r="AW380" s="420"/>
      <c r="AX380" s="420"/>
      <c r="AY380" s="420"/>
      <c r="AZ380" s="420"/>
      <c r="BA380" s="420"/>
      <c r="BB380" s="420"/>
      <c r="BC380" s="420"/>
      <c r="BD380" s="420"/>
      <c r="BE380" s="420"/>
      <c r="BF380" s="420"/>
      <c r="BG380" s="420"/>
      <c r="BH380" s="420"/>
      <c r="BI380" s="420"/>
      <c r="BJ380" s="420"/>
      <c r="BK380" s="420"/>
      <c r="BL380" s="420"/>
    </row>
    <row r="381" spans="1:64">
      <c r="A381" s="454"/>
      <c r="B381" s="454"/>
      <c r="C381" s="417" t="s">
        <v>875</v>
      </c>
      <c r="D381" s="408">
        <v>0.45</v>
      </c>
      <c r="E381" s="408" t="s">
        <v>57</v>
      </c>
      <c r="F381" s="408">
        <f>[161]LEAD!$N$12</f>
        <v>2253.91</v>
      </c>
      <c r="G381" s="430">
        <v>1</v>
      </c>
      <c r="H381" s="456" t="str">
        <f t="shared" si="39"/>
        <v>Cum</v>
      </c>
      <c r="I381" s="408">
        <f t="shared" si="40"/>
        <v>1014.2595</v>
      </c>
      <c r="J381" s="418"/>
      <c r="K381" s="419"/>
      <c r="L381" s="419"/>
      <c r="M381" s="420"/>
      <c r="N381" s="420"/>
      <c r="O381" s="420"/>
      <c r="P381" s="420"/>
      <c r="Q381" s="420"/>
      <c r="R381" s="420"/>
      <c r="S381" s="420"/>
      <c r="T381" s="420"/>
      <c r="U381" s="420"/>
      <c r="V381" s="420"/>
      <c r="W381" s="420"/>
      <c r="X381" s="420"/>
      <c r="Y381" s="420"/>
      <c r="Z381" s="420"/>
      <c r="AA381" s="420"/>
      <c r="AB381" s="420"/>
      <c r="AC381" s="420"/>
      <c r="AD381" s="420"/>
      <c r="AE381" s="420"/>
      <c r="AF381" s="420"/>
      <c r="AG381" s="420"/>
      <c r="AH381" s="420"/>
      <c r="AI381" s="420"/>
      <c r="AJ381" s="420"/>
      <c r="AK381" s="420"/>
      <c r="AL381" s="420"/>
      <c r="AM381" s="420"/>
      <c r="AN381" s="420"/>
      <c r="AO381" s="420"/>
      <c r="AP381" s="420"/>
      <c r="AQ381" s="420"/>
      <c r="AR381" s="420"/>
      <c r="AS381" s="420"/>
      <c r="AT381" s="420"/>
      <c r="AU381" s="420"/>
      <c r="AV381" s="420"/>
      <c r="AW381" s="420"/>
      <c r="AX381" s="420"/>
      <c r="AY381" s="420"/>
      <c r="AZ381" s="420"/>
      <c r="BA381" s="420"/>
      <c r="BB381" s="420"/>
      <c r="BC381" s="420"/>
      <c r="BD381" s="420"/>
      <c r="BE381" s="420"/>
      <c r="BF381" s="420"/>
      <c r="BG381" s="420"/>
      <c r="BH381" s="420"/>
      <c r="BI381" s="420"/>
      <c r="BJ381" s="420"/>
      <c r="BK381" s="420"/>
      <c r="BL381" s="420"/>
    </row>
    <row r="382" spans="1:64">
      <c r="A382" s="454"/>
      <c r="B382" s="454"/>
      <c r="C382" s="417" t="s">
        <v>876</v>
      </c>
      <c r="D382" s="408">
        <v>1.2</v>
      </c>
      <c r="E382" s="408" t="s">
        <v>877</v>
      </c>
      <c r="F382" s="408">
        <f>[161]Input!$D$53</f>
        <v>108</v>
      </c>
      <c r="G382" s="430">
        <v>1</v>
      </c>
      <c r="H382" s="456" t="str">
        <f t="shared" si="39"/>
        <v>kl</v>
      </c>
      <c r="I382" s="408">
        <f t="shared" si="40"/>
        <v>129.6</v>
      </c>
      <c r="J382" s="418"/>
      <c r="K382" s="419"/>
      <c r="L382" s="419"/>
      <c r="M382" s="420"/>
      <c r="N382" s="420"/>
      <c r="O382" s="420"/>
      <c r="P382" s="420"/>
      <c r="Q382" s="420"/>
      <c r="R382" s="420"/>
      <c r="S382" s="420"/>
      <c r="T382" s="420"/>
      <c r="U382" s="420"/>
      <c r="V382" s="420"/>
      <c r="W382" s="420"/>
      <c r="X382" s="420"/>
      <c r="Y382" s="420"/>
      <c r="Z382" s="420"/>
      <c r="AA382" s="420"/>
      <c r="AB382" s="420"/>
      <c r="AC382" s="420"/>
      <c r="AD382" s="420"/>
      <c r="AE382" s="420"/>
      <c r="AF382" s="420"/>
      <c r="AG382" s="420"/>
      <c r="AH382" s="420"/>
      <c r="AI382" s="420"/>
      <c r="AJ382" s="420"/>
      <c r="AK382" s="420"/>
      <c r="AL382" s="420"/>
      <c r="AM382" s="420"/>
      <c r="AN382" s="420"/>
      <c r="AO382" s="420"/>
      <c r="AP382" s="420"/>
      <c r="AQ382" s="420"/>
      <c r="AR382" s="420"/>
      <c r="AS382" s="420"/>
      <c r="AT382" s="420"/>
      <c r="AU382" s="420"/>
      <c r="AV382" s="420"/>
      <c r="AW382" s="420"/>
      <c r="AX382" s="420"/>
      <c r="AY382" s="420"/>
      <c r="AZ382" s="420"/>
      <c r="BA382" s="420"/>
      <c r="BB382" s="420"/>
      <c r="BC382" s="420"/>
      <c r="BD382" s="420"/>
      <c r="BE382" s="420"/>
      <c r="BF382" s="420"/>
      <c r="BG382" s="420"/>
      <c r="BH382" s="420"/>
      <c r="BI382" s="420"/>
      <c r="BJ382" s="420"/>
      <c r="BK382" s="420"/>
      <c r="BL382" s="420"/>
    </row>
    <row r="383" spans="1:64" ht="13">
      <c r="A383" s="454"/>
      <c r="B383" s="454"/>
      <c r="C383" s="427" t="s">
        <v>878</v>
      </c>
      <c r="D383" s="408"/>
      <c r="E383" s="408"/>
      <c r="F383" s="408"/>
      <c r="G383" s="430"/>
      <c r="H383" s="456"/>
      <c r="I383" s="408"/>
      <c r="J383" s="418"/>
      <c r="K383" s="419"/>
      <c r="L383" s="419"/>
      <c r="M383" s="420"/>
      <c r="N383" s="420"/>
      <c r="O383" s="420"/>
      <c r="P383" s="420"/>
      <c r="Q383" s="420"/>
      <c r="R383" s="420"/>
      <c r="S383" s="420"/>
      <c r="T383" s="420"/>
      <c r="U383" s="420"/>
      <c r="V383" s="420"/>
      <c r="W383" s="420"/>
      <c r="X383" s="420"/>
      <c r="Y383" s="420"/>
      <c r="Z383" s="420"/>
      <c r="AA383" s="420"/>
      <c r="AB383" s="420"/>
      <c r="AC383" s="420"/>
      <c r="AD383" s="420"/>
      <c r="AE383" s="420"/>
      <c r="AF383" s="420"/>
      <c r="AG383" s="420"/>
      <c r="AH383" s="420"/>
      <c r="AI383" s="420"/>
      <c r="AJ383" s="420"/>
      <c r="AK383" s="420"/>
      <c r="AL383" s="420"/>
      <c r="AM383" s="420"/>
      <c r="AN383" s="420"/>
      <c r="AO383" s="420"/>
      <c r="AP383" s="420"/>
      <c r="AQ383" s="420"/>
      <c r="AR383" s="420"/>
      <c r="AS383" s="420"/>
      <c r="AT383" s="420"/>
      <c r="AU383" s="420"/>
      <c r="AV383" s="420"/>
      <c r="AW383" s="420"/>
      <c r="AX383" s="420"/>
      <c r="AY383" s="420"/>
      <c r="AZ383" s="420"/>
      <c r="BA383" s="420"/>
      <c r="BB383" s="420"/>
      <c r="BC383" s="420"/>
      <c r="BD383" s="420"/>
      <c r="BE383" s="420"/>
      <c r="BF383" s="420"/>
      <c r="BG383" s="420"/>
      <c r="BH383" s="420"/>
      <c r="BI383" s="420"/>
      <c r="BJ383" s="420"/>
      <c r="BK383" s="420"/>
      <c r="BL383" s="420"/>
    </row>
    <row r="384" spans="1:64" ht="25">
      <c r="A384" s="454"/>
      <c r="B384" s="454"/>
      <c r="C384" s="417" t="s">
        <v>879</v>
      </c>
      <c r="D384" s="408">
        <v>1</v>
      </c>
      <c r="E384" s="408" t="s">
        <v>826</v>
      </c>
      <c r="F384" s="408">
        <f>'[161]Civil-SOR'!$G$330</f>
        <v>192.9</v>
      </c>
      <c r="G384" s="430">
        <v>1</v>
      </c>
      <c r="H384" s="430" t="str">
        <f t="shared" ref="H384:H385" si="41">IF(E384="","",IF(E384="No.","Each",IF(E384="Nos.","Each",E384)))</f>
        <v>hour</v>
      </c>
      <c r="I384" s="408">
        <f t="shared" ref="I384:I386" si="42">IF(G384="",D384*F384,(D384*F384/G384))</f>
        <v>192.9</v>
      </c>
      <c r="J384" s="418"/>
      <c r="K384" s="419"/>
      <c r="L384" s="419"/>
      <c r="M384" s="420"/>
      <c r="N384" s="420"/>
      <c r="O384" s="420"/>
      <c r="P384" s="420"/>
      <c r="Q384" s="420"/>
      <c r="R384" s="420"/>
      <c r="S384" s="420"/>
      <c r="T384" s="420"/>
      <c r="U384" s="420"/>
      <c r="V384" s="420"/>
      <c r="W384" s="420"/>
      <c r="X384" s="420"/>
      <c r="Y384" s="420"/>
      <c r="Z384" s="420"/>
      <c r="AA384" s="420"/>
      <c r="AB384" s="420"/>
      <c r="AC384" s="420"/>
      <c r="AD384" s="420"/>
      <c r="AE384" s="420"/>
      <c r="AF384" s="420"/>
      <c r="AG384" s="420"/>
      <c r="AH384" s="420"/>
      <c r="AI384" s="420"/>
      <c r="AJ384" s="420"/>
      <c r="AK384" s="420"/>
      <c r="AL384" s="420"/>
      <c r="AM384" s="420"/>
      <c r="AN384" s="420"/>
      <c r="AO384" s="420"/>
      <c r="AP384" s="420"/>
      <c r="AQ384" s="420"/>
      <c r="AR384" s="420"/>
      <c r="AS384" s="420"/>
      <c r="AT384" s="420"/>
      <c r="AU384" s="420"/>
      <c r="AV384" s="420"/>
      <c r="AW384" s="420"/>
      <c r="AX384" s="420"/>
      <c r="AY384" s="420"/>
      <c r="AZ384" s="420"/>
      <c r="BA384" s="420"/>
      <c r="BB384" s="420"/>
      <c r="BC384" s="420"/>
      <c r="BD384" s="420"/>
      <c r="BE384" s="420"/>
      <c r="BF384" s="420"/>
      <c r="BG384" s="420"/>
      <c r="BH384" s="420"/>
      <c r="BI384" s="420"/>
      <c r="BJ384" s="420"/>
      <c r="BK384" s="420"/>
      <c r="BL384" s="420"/>
    </row>
    <row r="385" spans="1:64">
      <c r="A385" s="454"/>
      <c r="B385" s="454"/>
      <c r="C385" s="417" t="s">
        <v>828</v>
      </c>
      <c r="D385" s="408">
        <v>1</v>
      </c>
      <c r="E385" s="408" t="s">
        <v>826</v>
      </c>
      <c r="F385" s="408">
        <f>'[161]Civil-SOR'!$J$330</f>
        <v>302.89999999999998</v>
      </c>
      <c r="G385" s="430">
        <v>1</v>
      </c>
      <c r="H385" s="430" t="str">
        <f t="shared" si="41"/>
        <v>hour</v>
      </c>
      <c r="I385" s="408">
        <f t="shared" si="42"/>
        <v>302.89999999999998</v>
      </c>
      <c r="J385" s="418"/>
      <c r="K385" s="419"/>
      <c r="L385" s="419"/>
      <c r="M385" s="420"/>
      <c r="N385" s="420"/>
      <c r="O385" s="420"/>
      <c r="P385" s="420"/>
      <c r="Q385" s="420"/>
      <c r="R385" s="420"/>
      <c r="S385" s="420"/>
      <c r="T385" s="420"/>
      <c r="U385" s="420"/>
      <c r="V385" s="420"/>
      <c r="W385" s="420"/>
      <c r="X385" s="420"/>
      <c r="Y385" s="420"/>
      <c r="Z385" s="420"/>
      <c r="AA385" s="420"/>
      <c r="AB385" s="420"/>
      <c r="AC385" s="420"/>
      <c r="AD385" s="420"/>
      <c r="AE385" s="420"/>
      <c r="AF385" s="420"/>
      <c r="AG385" s="420"/>
      <c r="AH385" s="420"/>
      <c r="AI385" s="420"/>
      <c r="AJ385" s="420"/>
      <c r="AK385" s="420"/>
      <c r="AL385" s="420"/>
      <c r="AM385" s="420"/>
      <c r="AN385" s="420"/>
      <c r="AO385" s="420"/>
      <c r="AP385" s="420"/>
      <c r="AQ385" s="420"/>
      <c r="AR385" s="420"/>
      <c r="AS385" s="420"/>
      <c r="AT385" s="420"/>
      <c r="AU385" s="420"/>
      <c r="AV385" s="420"/>
      <c r="AW385" s="420"/>
      <c r="AX385" s="420"/>
      <c r="AY385" s="420"/>
      <c r="AZ385" s="420"/>
      <c r="BA385" s="420"/>
      <c r="BB385" s="420"/>
      <c r="BC385" s="420"/>
      <c r="BD385" s="420"/>
      <c r="BE385" s="420"/>
      <c r="BF385" s="420"/>
      <c r="BG385" s="420"/>
      <c r="BH385" s="420"/>
      <c r="BI385" s="420"/>
      <c r="BJ385" s="420"/>
      <c r="BK385" s="420"/>
      <c r="BL385" s="420"/>
    </row>
    <row r="386" spans="1:64">
      <c r="A386" s="454"/>
      <c r="B386" s="454"/>
      <c r="C386" s="417" t="s">
        <v>799</v>
      </c>
      <c r="D386" s="408">
        <f>[161]Input!$D$47</f>
        <v>0.4</v>
      </c>
      <c r="E386" s="408"/>
      <c r="F386" s="408">
        <f>I385</f>
        <v>302.89999999999998</v>
      </c>
      <c r="G386" s="430"/>
      <c r="H386" s="408"/>
      <c r="I386" s="408">
        <f t="shared" si="42"/>
        <v>121.16</v>
      </c>
      <c r="J386" s="418"/>
      <c r="K386" s="419"/>
      <c r="L386" s="419"/>
      <c r="M386" s="420"/>
      <c r="N386" s="420"/>
      <c r="O386" s="420"/>
      <c r="P386" s="420"/>
      <c r="Q386" s="420"/>
      <c r="R386" s="420"/>
      <c r="S386" s="420"/>
      <c r="T386" s="420"/>
      <c r="U386" s="420"/>
      <c r="V386" s="420"/>
      <c r="W386" s="420"/>
      <c r="X386" s="420"/>
      <c r="Y386" s="420"/>
      <c r="Z386" s="420"/>
      <c r="AA386" s="420"/>
      <c r="AB386" s="420"/>
      <c r="AC386" s="420"/>
      <c r="AD386" s="420"/>
      <c r="AE386" s="420"/>
      <c r="AF386" s="420"/>
      <c r="AG386" s="420"/>
      <c r="AH386" s="420"/>
      <c r="AI386" s="420"/>
      <c r="AJ386" s="420"/>
      <c r="AK386" s="420"/>
      <c r="AL386" s="420"/>
      <c r="AM386" s="420"/>
      <c r="AN386" s="420"/>
      <c r="AO386" s="420"/>
      <c r="AP386" s="420"/>
      <c r="AQ386" s="420"/>
      <c r="AR386" s="420"/>
      <c r="AS386" s="420"/>
      <c r="AT386" s="420"/>
      <c r="AU386" s="420"/>
      <c r="AV386" s="420"/>
      <c r="AW386" s="420"/>
      <c r="AX386" s="420"/>
      <c r="AY386" s="420"/>
      <c r="AZ386" s="420"/>
      <c r="BA386" s="420"/>
      <c r="BB386" s="420"/>
      <c r="BC386" s="420"/>
      <c r="BD386" s="420"/>
      <c r="BE386" s="420"/>
      <c r="BF386" s="420"/>
      <c r="BG386" s="420"/>
      <c r="BH386" s="420"/>
      <c r="BI386" s="420"/>
      <c r="BJ386" s="420"/>
      <c r="BK386" s="420"/>
      <c r="BL386" s="420"/>
    </row>
    <row r="387" spans="1:64" ht="13">
      <c r="A387" s="454"/>
      <c r="B387" s="454"/>
      <c r="C387" s="427" t="s">
        <v>880</v>
      </c>
      <c r="D387" s="408"/>
      <c r="E387" s="408"/>
      <c r="F387" s="408"/>
      <c r="G387" s="430"/>
      <c r="H387" s="456"/>
      <c r="I387" s="408"/>
      <c r="J387" s="418"/>
      <c r="K387" s="419"/>
      <c r="L387" s="419"/>
      <c r="M387" s="420"/>
      <c r="N387" s="420"/>
      <c r="O387" s="420"/>
      <c r="P387" s="420"/>
      <c r="Q387" s="420"/>
      <c r="R387" s="420"/>
      <c r="S387" s="420"/>
      <c r="T387" s="420"/>
      <c r="U387" s="420"/>
      <c r="V387" s="420"/>
      <c r="W387" s="420"/>
      <c r="X387" s="420"/>
      <c r="Y387" s="420"/>
      <c r="Z387" s="420"/>
      <c r="AA387" s="420"/>
      <c r="AB387" s="420"/>
      <c r="AC387" s="420"/>
      <c r="AD387" s="420"/>
      <c r="AE387" s="420"/>
      <c r="AF387" s="420"/>
      <c r="AG387" s="420"/>
      <c r="AH387" s="420"/>
      <c r="AI387" s="420"/>
      <c r="AJ387" s="420"/>
      <c r="AK387" s="420"/>
      <c r="AL387" s="420"/>
      <c r="AM387" s="420"/>
      <c r="AN387" s="420"/>
      <c r="AO387" s="420"/>
      <c r="AP387" s="420"/>
      <c r="AQ387" s="420"/>
      <c r="AR387" s="420"/>
      <c r="AS387" s="420"/>
      <c r="AT387" s="420"/>
      <c r="AU387" s="420"/>
      <c r="AV387" s="420"/>
      <c r="AW387" s="420"/>
      <c r="AX387" s="420"/>
      <c r="AY387" s="420"/>
      <c r="AZ387" s="420"/>
      <c r="BA387" s="420"/>
      <c r="BB387" s="420"/>
      <c r="BC387" s="420"/>
      <c r="BD387" s="420"/>
      <c r="BE387" s="420"/>
      <c r="BF387" s="420"/>
      <c r="BG387" s="420"/>
      <c r="BH387" s="420"/>
      <c r="BI387" s="420"/>
      <c r="BJ387" s="420"/>
      <c r="BK387" s="420"/>
      <c r="BL387" s="420"/>
    </row>
    <row r="388" spans="1:64">
      <c r="A388" s="454"/>
      <c r="B388" s="454"/>
      <c r="C388" s="417" t="s">
        <v>881</v>
      </c>
      <c r="D388" s="408">
        <v>0.1</v>
      </c>
      <c r="E388" s="408" t="s">
        <v>375</v>
      </c>
      <c r="F388" s="408">
        <f>'[161]Civil-SOR'!$G$293</f>
        <v>580</v>
      </c>
      <c r="G388" s="430">
        <v>1</v>
      </c>
      <c r="H388" s="456" t="str">
        <f t="shared" ref="H388:H389" si="43">IF(E388="","",IF(E388="No.","Each",IF(E388="Nos.","Each",E388)))</f>
        <v>Each</v>
      </c>
      <c r="I388" s="408">
        <f t="shared" ref="I388:I390" si="44">IF(G388="",D388*F388,(D388*F388/G388))</f>
        <v>58</v>
      </c>
      <c r="J388" s="418"/>
      <c r="K388" s="419"/>
      <c r="L388" s="419"/>
      <c r="M388" s="420"/>
      <c r="N388" s="420"/>
      <c r="O388" s="420"/>
      <c r="P388" s="420"/>
      <c r="Q388" s="420"/>
      <c r="R388" s="420"/>
      <c r="S388" s="420"/>
      <c r="T388" s="420"/>
      <c r="U388" s="420"/>
      <c r="V388" s="420"/>
      <c r="W388" s="420"/>
      <c r="X388" s="420"/>
      <c r="Y388" s="420"/>
      <c r="Z388" s="420"/>
      <c r="AA388" s="420"/>
      <c r="AB388" s="420"/>
      <c r="AC388" s="420"/>
      <c r="AD388" s="420"/>
      <c r="AE388" s="420"/>
      <c r="AF388" s="420"/>
      <c r="AG388" s="420"/>
      <c r="AH388" s="420"/>
      <c r="AI388" s="420"/>
      <c r="AJ388" s="420"/>
      <c r="AK388" s="420"/>
      <c r="AL388" s="420"/>
      <c r="AM388" s="420"/>
      <c r="AN388" s="420"/>
      <c r="AO388" s="420"/>
      <c r="AP388" s="420"/>
      <c r="AQ388" s="420"/>
      <c r="AR388" s="420"/>
      <c r="AS388" s="420"/>
      <c r="AT388" s="420"/>
      <c r="AU388" s="420"/>
      <c r="AV388" s="420"/>
      <c r="AW388" s="420"/>
      <c r="AX388" s="420"/>
      <c r="AY388" s="420"/>
      <c r="AZ388" s="420"/>
      <c r="BA388" s="420"/>
      <c r="BB388" s="420"/>
      <c r="BC388" s="420"/>
      <c r="BD388" s="420"/>
      <c r="BE388" s="420"/>
      <c r="BF388" s="420"/>
      <c r="BG388" s="420"/>
      <c r="BH388" s="420"/>
      <c r="BI388" s="420"/>
      <c r="BJ388" s="420"/>
      <c r="BK388" s="420"/>
      <c r="BL388" s="420"/>
    </row>
    <row r="389" spans="1:64">
      <c r="A389" s="454"/>
      <c r="B389" s="454"/>
      <c r="C389" s="417" t="s">
        <v>882</v>
      </c>
      <c r="D389" s="408">
        <v>1.39</v>
      </c>
      <c r="E389" s="408" t="s">
        <v>375</v>
      </c>
      <c r="F389" s="408">
        <f>'[161]Civil-SOR'!$G$307</f>
        <v>520</v>
      </c>
      <c r="G389" s="430">
        <v>1</v>
      </c>
      <c r="H389" s="456" t="str">
        <f t="shared" si="43"/>
        <v>Each</v>
      </c>
      <c r="I389" s="408">
        <f t="shared" si="44"/>
        <v>722.8</v>
      </c>
      <c r="J389" s="418"/>
      <c r="K389" s="419"/>
      <c r="L389" s="419"/>
      <c r="M389" s="420"/>
      <c r="N389" s="420"/>
      <c r="O389" s="420"/>
      <c r="P389" s="420"/>
      <c r="Q389" s="420"/>
      <c r="R389" s="420"/>
      <c r="S389" s="420"/>
      <c r="T389" s="420"/>
      <c r="U389" s="420"/>
      <c r="V389" s="420"/>
      <c r="W389" s="420"/>
      <c r="X389" s="420"/>
      <c r="Y389" s="420"/>
      <c r="Z389" s="420"/>
      <c r="AA389" s="420"/>
      <c r="AB389" s="420"/>
      <c r="AC389" s="420"/>
      <c r="AD389" s="420"/>
      <c r="AE389" s="420"/>
      <c r="AF389" s="420"/>
      <c r="AG389" s="420"/>
      <c r="AH389" s="420"/>
      <c r="AI389" s="420"/>
      <c r="AJ389" s="420"/>
      <c r="AK389" s="420"/>
      <c r="AL389" s="420"/>
      <c r="AM389" s="420"/>
      <c r="AN389" s="420"/>
      <c r="AO389" s="420"/>
      <c r="AP389" s="420"/>
      <c r="AQ389" s="420"/>
      <c r="AR389" s="420"/>
      <c r="AS389" s="420"/>
      <c r="AT389" s="420"/>
      <c r="AU389" s="420"/>
      <c r="AV389" s="420"/>
      <c r="AW389" s="420"/>
      <c r="AX389" s="420"/>
      <c r="AY389" s="420"/>
      <c r="AZ389" s="420"/>
      <c r="BA389" s="420"/>
      <c r="BB389" s="420"/>
      <c r="BC389" s="420"/>
      <c r="BD389" s="420"/>
      <c r="BE389" s="420"/>
      <c r="BF389" s="420"/>
      <c r="BG389" s="420"/>
      <c r="BH389" s="420"/>
      <c r="BI389" s="420"/>
      <c r="BJ389" s="420"/>
      <c r="BK389" s="420"/>
      <c r="BL389" s="420"/>
    </row>
    <row r="390" spans="1:64">
      <c r="A390" s="454"/>
      <c r="B390" s="454"/>
      <c r="C390" s="417" t="str">
        <f>[161]Input!$C$47</f>
        <v>Add for MA @ 40%</v>
      </c>
      <c r="D390" s="408">
        <f>[161]Input!$D$47</f>
        <v>0.4</v>
      </c>
      <c r="E390" s="408"/>
      <c r="F390" s="408">
        <f>SUM(I388:I389)</f>
        <v>780.8</v>
      </c>
      <c r="G390" s="430"/>
      <c r="H390" s="456"/>
      <c r="I390" s="408">
        <f t="shared" si="44"/>
        <v>312.32</v>
      </c>
      <c r="J390" s="418"/>
      <c r="K390" s="419"/>
      <c r="L390" s="419"/>
      <c r="M390" s="420"/>
      <c r="N390" s="420"/>
      <c r="O390" s="420"/>
      <c r="P390" s="420"/>
      <c r="Q390" s="420"/>
      <c r="R390" s="420"/>
      <c r="S390" s="420"/>
      <c r="T390" s="420"/>
      <c r="U390" s="420"/>
      <c r="V390" s="420"/>
      <c r="W390" s="420"/>
      <c r="X390" s="420"/>
      <c r="Y390" s="420"/>
      <c r="Z390" s="420"/>
      <c r="AA390" s="420"/>
      <c r="AB390" s="420"/>
      <c r="AC390" s="420"/>
      <c r="AD390" s="420"/>
      <c r="AE390" s="420"/>
      <c r="AF390" s="420"/>
      <c r="AG390" s="420"/>
      <c r="AH390" s="420"/>
      <c r="AI390" s="420"/>
      <c r="AJ390" s="420"/>
      <c r="AK390" s="420"/>
      <c r="AL390" s="420"/>
      <c r="AM390" s="420"/>
      <c r="AN390" s="420"/>
      <c r="AO390" s="420"/>
      <c r="AP390" s="420"/>
      <c r="AQ390" s="420"/>
      <c r="AR390" s="420"/>
      <c r="AS390" s="420"/>
      <c r="AT390" s="420"/>
      <c r="AU390" s="420"/>
      <c r="AV390" s="420"/>
      <c r="AW390" s="420"/>
      <c r="AX390" s="420"/>
      <c r="AY390" s="420"/>
      <c r="AZ390" s="420"/>
      <c r="BA390" s="420"/>
      <c r="BB390" s="420"/>
      <c r="BC390" s="420"/>
      <c r="BD390" s="420"/>
      <c r="BE390" s="420"/>
      <c r="BF390" s="420"/>
      <c r="BG390" s="420"/>
      <c r="BH390" s="420"/>
      <c r="BI390" s="420"/>
      <c r="BJ390" s="420"/>
      <c r="BK390" s="420"/>
      <c r="BL390" s="420"/>
    </row>
    <row r="391" spans="1:64" ht="13">
      <c r="A391" s="454"/>
      <c r="B391" s="454"/>
      <c r="C391" s="417"/>
      <c r="D391" s="408"/>
      <c r="E391" s="408"/>
      <c r="F391" s="408"/>
      <c r="G391" s="430"/>
      <c r="H391" s="415"/>
      <c r="I391" s="408">
        <f>SUM(I379:I390)</f>
        <v>4876.2034999999996</v>
      </c>
      <c r="J391" s="418"/>
      <c r="K391" s="419"/>
      <c r="L391" s="419"/>
      <c r="M391" s="420"/>
      <c r="N391" s="420"/>
      <c r="O391" s="420"/>
      <c r="P391" s="420"/>
      <c r="Q391" s="420"/>
      <c r="R391" s="420"/>
      <c r="S391" s="420"/>
      <c r="T391" s="420"/>
      <c r="U391" s="420"/>
      <c r="V391" s="420"/>
      <c r="W391" s="420"/>
      <c r="X391" s="420"/>
      <c r="Y391" s="420"/>
      <c r="Z391" s="420"/>
      <c r="AA391" s="420"/>
      <c r="AB391" s="420"/>
      <c r="AC391" s="420"/>
      <c r="AD391" s="420"/>
      <c r="AE391" s="420"/>
      <c r="AF391" s="420"/>
      <c r="AG391" s="420"/>
      <c r="AH391" s="420"/>
      <c r="AI391" s="420"/>
      <c r="AJ391" s="420"/>
      <c r="AK391" s="420"/>
      <c r="AL391" s="420"/>
      <c r="AM391" s="420"/>
      <c r="AN391" s="420"/>
      <c r="AO391" s="420"/>
      <c r="AP391" s="420"/>
      <c r="AQ391" s="420"/>
      <c r="AR391" s="420"/>
      <c r="AS391" s="420"/>
      <c r="AT391" s="420"/>
      <c r="AU391" s="420"/>
      <c r="AV391" s="420"/>
      <c r="AW391" s="420"/>
      <c r="AX391" s="420"/>
      <c r="AY391" s="420"/>
      <c r="AZ391" s="420"/>
      <c r="BA391" s="420"/>
      <c r="BB391" s="420"/>
      <c r="BC391" s="420"/>
      <c r="BD391" s="420"/>
      <c r="BE391" s="420"/>
      <c r="BF391" s="420"/>
      <c r="BG391" s="420"/>
      <c r="BH391" s="420"/>
      <c r="BI391" s="420"/>
      <c r="BJ391" s="420"/>
      <c r="BK391" s="420"/>
      <c r="BL391" s="420"/>
    </row>
    <row r="392" spans="1:64" ht="25">
      <c r="A392" s="454"/>
      <c r="B392" s="454"/>
      <c r="C392" s="417" t="str">
        <f>[161]Input!$C$48</f>
        <v>Overheads &amp; Contractors Profit @ 13.615%</v>
      </c>
      <c r="D392" s="444">
        <f>[161]Input!$D$48</f>
        <v>0.13614999999999999</v>
      </c>
      <c r="E392" s="408"/>
      <c r="F392" s="408">
        <f>I391</f>
        <v>4876.2034999999996</v>
      </c>
      <c r="G392" s="430"/>
      <c r="H392" s="415"/>
      <c r="I392" s="408">
        <f>IF(G392="",D392*F392,(D392*F392/G392))</f>
        <v>663.89510652499996</v>
      </c>
      <c r="J392" s="418"/>
      <c r="K392" s="419"/>
      <c r="L392" s="419"/>
      <c r="M392" s="420"/>
      <c r="N392" s="420"/>
      <c r="O392" s="420"/>
      <c r="P392" s="420"/>
      <c r="Q392" s="420"/>
      <c r="R392" s="420"/>
      <c r="S392" s="420"/>
      <c r="T392" s="420"/>
      <c r="U392" s="420"/>
      <c r="V392" s="420"/>
      <c r="W392" s="420"/>
      <c r="X392" s="420"/>
      <c r="Y392" s="420"/>
      <c r="Z392" s="420"/>
      <c r="AA392" s="420"/>
      <c r="AB392" s="420"/>
      <c r="AC392" s="420"/>
      <c r="AD392" s="420"/>
      <c r="AE392" s="420"/>
      <c r="AF392" s="420"/>
      <c r="AG392" s="420"/>
      <c r="AH392" s="420"/>
      <c r="AI392" s="420"/>
      <c r="AJ392" s="420"/>
      <c r="AK392" s="420"/>
      <c r="AL392" s="420"/>
      <c r="AM392" s="420"/>
      <c r="AN392" s="420"/>
      <c r="AO392" s="420"/>
      <c r="AP392" s="420"/>
      <c r="AQ392" s="420"/>
      <c r="AR392" s="420"/>
      <c r="AS392" s="420"/>
      <c r="AT392" s="420"/>
      <c r="AU392" s="420"/>
      <c r="AV392" s="420"/>
      <c r="AW392" s="420"/>
      <c r="AX392" s="420"/>
      <c r="AY392" s="420"/>
      <c r="AZ392" s="420"/>
      <c r="BA392" s="420"/>
      <c r="BB392" s="420"/>
      <c r="BC392" s="420"/>
      <c r="BD392" s="420"/>
      <c r="BE392" s="420"/>
      <c r="BF392" s="420"/>
      <c r="BG392" s="420"/>
      <c r="BH392" s="420"/>
      <c r="BI392" s="420"/>
      <c r="BJ392" s="420"/>
      <c r="BK392" s="420"/>
      <c r="BL392" s="420"/>
    </row>
    <row r="393" spans="1:64" ht="13">
      <c r="A393" s="454"/>
      <c r="B393" s="454"/>
      <c r="C393" s="427" t="s">
        <v>724</v>
      </c>
      <c r="D393" s="408"/>
      <c r="E393" s="408"/>
      <c r="F393" s="408"/>
      <c r="G393" s="430"/>
      <c r="H393" s="408" t="s">
        <v>725</v>
      </c>
      <c r="I393" s="409">
        <f>SUM(I391:I392)</f>
        <v>5540.0986065249999</v>
      </c>
      <c r="J393" s="400"/>
      <c r="K393" s="401"/>
      <c r="L393" s="401"/>
      <c r="M393" s="404"/>
      <c r="N393" s="404"/>
      <c r="O393" s="404"/>
      <c r="P393" s="404"/>
      <c r="Q393" s="404"/>
      <c r="R393" s="404"/>
      <c r="S393" s="404"/>
      <c r="T393" s="404"/>
      <c r="U393" s="404"/>
      <c r="V393" s="404"/>
      <c r="W393" s="404"/>
      <c r="X393" s="404"/>
      <c r="Y393" s="404"/>
      <c r="Z393" s="404"/>
      <c r="AA393" s="404"/>
      <c r="AB393" s="404"/>
      <c r="AC393" s="404"/>
      <c r="AD393" s="404"/>
      <c r="AE393" s="404"/>
      <c r="AF393" s="404"/>
      <c r="AG393" s="404"/>
      <c r="AH393" s="404"/>
      <c r="AI393" s="404"/>
      <c r="AJ393" s="404"/>
      <c r="AK393" s="404"/>
      <c r="AL393" s="404"/>
      <c r="AM393" s="404"/>
      <c r="AN393" s="404"/>
      <c r="AO393" s="404"/>
      <c r="AP393" s="404"/>
      <c r="AQ393" s="404"/>
      <c r="AR393" s="404"/>
      <c r="AS393" s="404"/>
      <c r="AT393" s="404"/>
      <c r="AU393" s="404"/>
      <c r="AV393" s="404"/>
      <c r="AW393" s="404"/>
      <c r="AX393" s="404"/>
      <c r="AY393" s="404"/>
      <c r="AZ393" s="404"/>
      <c r="BA393" s="404"/>
      <c r="BB393" s="404"/>
      <c r="BC393" s="404"/>
      <c r="BD393" s="404"/>
      <c r="BE393" s="404"/>
      <c r="BF393" s="404"/>
      <c r="BG393" s="404"/>
      <c r="BH393" s="404"/>
      <c r="BI393" s="404"/>
      <c r="BJ393" s="404"/>
      <c r="BK393" s="404"/>
      <c r="BL393" s="404"/>
    </row>
    <row r="394" spans="1:64" ht="13">
      <c r="A394" s="454"/>
      <c r="B394" s="454"/>
      <c r="C394" s="481"/>
      <c r="D394" s="408"/>
      <c r="E394" s="408"/>
      <c r="F394" s="408"/>
      <c r="G394" s="430"/>
      <c r="H394" s="415" t="s">
        <v>687</v>
      </c>
      <c r="I394" s="414">
        <f>ROUND(I393,0)</f>
        <v>5540</v>
      </c>
      <c r="J394" s="411"/>
      <c r="K394" s="412"/>
      <c r="L394" s="412"/>
      <c r="M394" s="413"/>
      <c r="N394" s="413"/>
      <c r="O394" s="413"/>
      <c r="P394" s="413"/>
      <c r="Q394" s="413"/>
      <c r="R394" s="413"/>
      <c r="S394" s="413"/>
      <c r="T394" s="413"/>
      <c r="U394" s="413"/>
      <c r="V394" s="413"/>
      <c r="W394" s="413"/>
      <c r="X394" s="413"/>
      <c r="Y394" s="413"/>
      <c r="Z394" s="413"/>
      <c r="AA394" s="413"/>
      <c r="AB394" s="413"/>
      <c r="AC394" s="413"/>
      <c r="AD394" s="413"/>
      <c r="AE394" s="413"/>
      <c r="AF394" s="413"/>
      <c r="AG394" s="413"/>
      <c r="AH394" s="413"/>
      <c r="AI394" s="413"/>
      <c r="AJ394" s="413"/>
      <c r="AK394" s="413"/>
      <c r="AL394" s="413"/>
      <c r="AM394" s="413"/>
      <c r="AN394" s="413"/>
      <c r="AO394" s="413"/>
      <c r="AP394" s="413"/>
      <c r="AQ394" s="413"/>
      <c r="AR394" s="413"/>
      <c r="AS394" s="413"/>
      <c r="AT394" s="413"/>
      <c r="AU394" s="413"/>
      <c r="AV394" s="413"/>
      <c r="AW394" s="413"/>
      <c r="AX394" s="413"/>
      <c r="AY394" s="413"/>
      <c r="AZ394" s="413"/>
      <c r="BA394" s="413"/>
      <c r="BB394" s="413"/>
      <c r="BC394" s="413"/>
      <c r="BD394" s="413"/>
      <c r="BE394" s="413"/>
      <c r="BF394" s="413"/>
      <c r="BG394" s="413"/>
      <c r="BH394" s="413"/>
      <c r="BI394" s="413"/>
      <c r="BJ394" s="413"/>
      <c r="BK394" s="413"/>
      <c r="BL394" s="413"/>
    </row>
    <row r="395" spans="1:64" ht="13">
      <c r="A395" s="454"/>
      <c r="B395" s="454"/>
      <c r="C395" s="417"/>
      <c r="D395" s="406"/>
      <c r="E395" s="406"/>
      <c r="F395" s="406"/>
      <c r="G395" s="406"/>
      <c r="H395" s="406"/>
      <c r="I395" s="414"/>
      <c r="J395" s="400"/>
      <c r="K395" s="401"/>
      <c r="L395" s="401"/>
      <c r="M395" s="404"/>
      <c r="N395" s="404"/>
      <c r="O395" s="404"/>
      <c r="P395" s="404"/>
      <c r="Q395" s="404"/>
      <c r="R395" s="404"/>
      <c r="S395" s="404"/>
      <c r="T395" s="404"/>
      <c r="U395" s="404"/>
      <c r="V395" s="404"/>
      <c r="W395" s="404"/>
      <c r="X395" s="404"/>
      <c r="Y395" s="404"/>
      <c r="Z395" s="404"/>
      <c r="AA395" s="404"/>
      <c r="AB395" s="404"/>
      <c r="AC395" s="404"/>
      <c r="AD395" s="404"/>
      <c r="AE395" s="404"/>
      <c r="AF395" s="404"/>
      <c r="AG395" s="404"/>
      <c r="AH395" s="404"/>
      <c r="AI395" s="404"/>
      <c r="AJ395" s="404"/>
      <c r="AK395" s="404"/>
      <c r="AL395" s="404"/>
      <c r="AM395" s="404"/>
      <c r="AN395" s="404"/>
      <c r="AO395" s="404"/>
      <c r="AP395" s="404"/>
      <c r="AQ395" s="404"/>
      <c r="AR395" s="404"/>
      <c r="AS395" s="404"/>
      <c r="AT395" s="404"/>
      <c r="AU395" s="404"/>
      <c r="AV395" s="404"/>
      <c r="AW395" s="404"/>
      <c r="AX395" s="404"/>
      <c r="AY395" s="404"/>
      <c r="AZ395" s="404"/>
      <c r="BA395" s="404"/>
      <c r="BB395" s="404"/>
      <c r="BC395" s="404"/>
      <c r="BD395" s="404"/>
      <c r="BE395" s="404"/>
      <c r="BF395" s="404"/>
      <c r="BG395" s="404"/>
      <c r="BH395" s="404"/>
      <c r="BI395" s="404"/>
      <c r="BJ395" s="404"/>
      <c r="BK395" s="404"/>
      <c r="BL395" s="404"/>
    </row>
    <row r="396" spans="1:64" ht="71.900000000000006" customHeight="1">
      <c r="A396" s="1302">
        <f>A375+1</f>
        <v>10</v>
      </c>
      <c r="B396" s="1302"/>
      <c r="C396" s="1276" t="s">
        <v>883</v>
      </c>
      <c r="D396" s="1276"/>
      <c r="E396" s="1276"/>
      <c r="F396" s="1276"/>
      <c r="G396" s="1276"/>
      <c r="H396" s="1276"/>
      <c r="I396" s="407"/>
      <c r="J396" s="418"/>
      <c r="K396" s="401"/>
      <c r="L396" s="401"/>
      <c r="M396" s="404"/>
      <c r="N396" s="404"/>
      <c r="O396" s="404"/>
      <c r="P396" s="404"/>
      <c r="Q396" s="404"/>
      <c r="R396" s="404"/>
      <c r="S396" s="404"/>
      <c r="T396" s="404"/>
      <c r="U396" s="404"/>
      <c r="V396" s="404"/>
      <c r="W396" s="404"/>
      <c r="X396" s="404"/>
      <c r="Y396" s="404"/>
      <c r="Z396" s="404"/>
      <c r="AA396" s="404"/>
      <c r="AB396" s="404"/>
      <c r="AC396" s="404"/>
      <c r="AD396" s="404"/>
      <c r="AE396" s="404"/>
      <c r="AF396" s="404"/>
      <c r="AG396" s="404"/>
      <c r="AH396" s="404"/>
      <c r="AI396" s="404"/>
      <c r="AJ396" s="404"/>
      <c r="AK396" s="404"/>
      <c r="AL396" s="404"/>
      <c r="AM396" s="404"/>
      <c r="AN396" s="404"/>
      <c r="AO396" s="404"/>
      <c r="AP396" s="404"/>
      <c r="AQ396" s="404"/>
      <c r="AR396" s="404"/>
      <c r="AS396" s="404"/>
      <c r="AT396" s="404"/>
      <c r="AU396" s="404"/>
      <c r="AV396" s="404"/>
      <c r="AW396" s="404"/>
      <c r="AX396" s="404"/>
      <c r="AY396" s="404"/>
      <c r="AZ396" s="404"/>
      <c r="BA396" s="404"/>
      <c r="BB396" s="404"/>
      <c r="BC396" s="404"/>
      <c r="BD396" s="404"/>
      <c r="BE396" s="404"/>
      <c r="BF396" s="404"/>
      <c r="BG396" s="404"/>
      <c r="BH396" s="404"/>
      <c r="BI396" s="404"/>
      <c r="BJ396" s="404"/>
      <c r="BK396" s="404"/>
      <c r="BL396" s="404"/>
    </row>
    <row r="397" spans="1:64" ht="13">
      <c r="A397" s="454"/>
      <c r="B397" s="454"/>
      <c r="C397" s="455" t="s">
        <v>884</v>
      </c>
      <c r="D397" s="408"/>
      <c r="E397" s="408"/>
      <c r="F397" s="408"/>
      <c r="G397" s="430"/>
      <c r="H397" s="456"/>
      <c r="I397" s="408"/>
      <c r="J397" s="418"/>
      <c r="K397" s="401"/>
      <c r="L397" s="401"/>
      <c r="M397" s="404"/>
      <c r="N397" s="404"/>
      <c r="O397" s="404"/>
      <c r="P397" s="404"/>
      <c r="Q397" s="404"/>
      <c r="R397" s="404"/>
      <c r="S397" s="404"/>
      <c r="T397" s="404"/>
      <c r="U397" s="404"/>
      <c r="V397" s="404"/>
      <c r="W397" s="404"/>
      <c r="X397" s="404"/>
      <c r="Y397" s="404"/>
      <c r="Z397" s="404"/>
      <c r="AA397" s="404"/>
      <c r="AB397" s="404"/>
      <c r="AC397" s="404"/>
      <c r="AD397" s="404"/>
      <c r="AE397" s="404"/>
      <c r="AF397" s="404"/>
      <c r="AG397" s="404"/>
      <c r="AH397" s="404"/>
      <c r="AI397" s="404"/>
      <c r="AJ397" s="404"/>
      <c r="AK397" s="404"/>
      <c r="AL397" s="404"/>
      <c r="AM397" s="404"/>
      <c r="AN397" s="404"/>
      <c r="AO397" s="404"/>
      <c r="AP397" s="404"/>
      <c r="AQ397" s="404"/>
      <c r="AR397" s="404"/>
      <c r="AS397" s="404"/>
      <c r="AT397" s="404"/>
      <c r="AU397" s="404"/>
      <c r="AV397" s="404"/>
      <c r="AW397" s="404"/>
      <c r="AX397" s="404"/>
      <c r="AY397" s="404"/>
      <c r="AZ397" s="404"/>
      <c r="BA397" s="404"/>
      <c r="BB397" s="404"/>
      <c r="BC397" s="404"/>
      <c r="BD397" s="404"/>
      <c r="BE397" s="404"/>
      <c r="BF397" s="404"/>
      <c r="BG397" s="404"/>
      <c r="BH397" s="404"/>
      <c r="BI397" s="404"/>
      <c r="BJ397" s="404"/>
      <c r="BK397" s="404"/>
      <c r="BL397" s="404"/>
    </row>
    <row r="398" spans="1:64" ht="13">
      <c r="A398" s="454"/>
      <c r="B398" s="454"/>
      <c r="C398" s="427" t="s">
        <v>779</v>
      </c>
      <c r="D398" s="408"/>
      <c r="E398" s="408"/>
      <c r="F398" s="408"/>
      <c r="G398" s="430"/>
      <c r="H398" s="456"/>
      <c r="I398" s="408"/>
      <c r="J398" s="418"/>
      <c r="K398" s="401"/>
      <c r="L398" s="401"/>
      <c r="M398" s="404"/>
      <c r="N398" s="404"/>
      <c r="O398" s="404"/>
      <c r="P398" s="404"/>
      <c r="Q398" s="404"/>
      <c r="R398" s="404"/>
      <c r="S398" s="404"/>
      <c r="T398" s="404"/>
      <c r="U398" s="404"/>
      <c r="V398" s="404"/>
      <c r="W398" s="404"/>
      <c r="X398" s="404"/>
      <c r="Y398" s="404"/>
      <c r="Z398" s="404"/>
      <c r="AA398" s="404"/>
      <c r="AB398" s="404"/>
      <c r="AC398" s="404"/>
      <c r="AD398" s="404"/>
      <c r="AE398" s="404"/>
      <c r="AF398" s="404"/>
      <c r="AG398" s="404"/>
      <c r="AH398" s="404"/>
      <c r="AI398" s="404"/>
      <c r="AJ398" s="404"/>
      <c r="AK398" s="404"/>
      <c r="AL398" s="404"/>
      <c r="AM398" s="404"/>
      <c r="AN398" s="404"/>
      <c r="AO398" s="404"/>
      <c r="AP398" s="404"/>
      <c r="AQ398" s="404"/>
      <c r="AR398" s="404"/>
      <c r="AS398" s="404"/>
      <c r="AT398" s="404"/>
      <c r="AU398" s="404"/>
      <c r="AV398" s="404"/>
      <c r="AW398" s="404"/>
      <c r="AX398" s="404"/>
      <c r="AY398" s="404"/>
      <c r="AZ398" s="404"/>
      <c r="BA398" s="404"/>
      <c r="BB398" s="404"/>
      <c r="BC398" s="404"/>
      <c r="BD398" s="404"/>
      <c r="BE398" s="404"/>
      <c r="BF398" s="404"/>
      <c r="BG398" s="404"/>
      <c r="BH398" s="404"/>
      <c r="BI398" s="404"/>
      <c r="BJ398" s="404"/>
      <c r="BK398" s="404"/>
      <c r="BL398" s="404"/>
    </row>
    <row r="399" spans="1:64" ht="13">
      <c r="A399" s="454"/>
      <c r="B399" s="454"/>
      <c r="C399" s="427" t="s">
        <v>873</v>
      </c>
      <c r="D399" s="408"/>
      <c r="E399" s="408"/>
      <c r="F399" s="408"/>
      <c r="G399" s="430"/>
      <c r="H399" s="456"/>
      <c r="I399" s="408"/>
      <c r="J399" s="418"/>
      <c r="K399" s="401"/>
      <c r="L399" s="401"/>
      <c r="M399" s="404"/>
      <c r="N399" s="404"/>
      <c r="O399" s="404"/>
      <c r="P399" s="404"/>
      <c r="Q399" s="404"/>
      <c r="R399" s="404"/>
      <c r="S399" s="404"/>
      <c r="T399" s="404"/>
      <c r="U399" s="404"/>
      <c r="V399" s="404"/>
      <c r="W399" s="404"/>
      <c r="X399" s="404"/>
      <c r="Y399" s="404"/>
      <c r="Z399" s="404"/>
      <c r="AA399" s="404"/>
      <c r="AB399" s="404"/>
      <c r="AC399" s="404"/>
      <c r="AD399" s="404"/>
      <c r="AE399" s="404"/>
      <c r="AF399" s="404"/>
      <c r="AG399" s="404"/>
      <c r="AH399" s="404"/>
      <c r="AI399" s="404"/>
      <c r="AJ399" s="404"/>
      <c r="AK399" s="404"/>
      <c r="AL399" s="404"/>
      <c r="AM399" s="404"/>
      <c r="AN399" s="404"/>
      <c r="AO399" s="404"/>
      <c r="AP399" s="404"/>
      <c r="AQ399" s="404"/>
      <c r="AR399" s="404"/>
      <c r="AS399" s="404"/>
      <c r="AT399" s="404"/>
      <c r="AU399" s="404"/>
      <c r="AV399" s="404"/>
      <c r="AW399" s="404"/>
      <c r="AX399" s="404"/>
      <c r="AY399" s="404"/>
      <c r="AZ399" s="404"/>
      <c r="BA399" s="404"/>
      <c r="BB399" s="404"/>
      <c r="BC399" s="404"/>
      <c r="BD399" s="404"/>
      <c r="BE399" s="404"/>
      <c r="BF399" s="404"/>
      <c r="BG399" s="404"/>
      <c r="BH399" s="404"/>
      <c r="BI399" s="404"/>
      <c r="BJ399" s="404"/>
      <c r="BK399" s="404"/>
      <c r="BL399" s="404"/>
    </row>
    <row r="400" spans="1:64">
      <c r="A400" s="454"/>
      <c r="B400" s="454"/>
      <c r="C400" s="417" t="s">
        <v>504</v>
      </c>
      <c r="D400" s="408">
        <v>129.6</v>
      </c>
      <c r="E400" s="408" t="s">
        <v>833</v>
      </c>
      <c r="F400" s="408">
        <f>[161]LEAD!$N$6</f>
        <v>5200</v>
      </c>
      <c r="G400" s="430">
        <v>1000</v>
      </c>
      <c r="H400" s="456" t="str">
        <f t="shared" ref="H400:H403" si="45">IF(E400="","",IF(E400="No.","Each",IF(E400="Nos.","Each",E400)))</f>
        <v>Kgs</v>
      </c>
      <c r="I400" s="408">
        <f t="shared" ref="I400:I403" si="46">IF(G400="",D400*F400,(D400*F400/G400))</f>
        <v>673.92</v>
      </c>
      <c r="J400" s="418"/>
      <c r="K400" s="419"/>
      <c r="L400" s="419"/>
      <c r="M400" s="420"/>
      <c r="N400" s="420"/>
      <c r="O400" s="420"/>
      <c r="P400" s="420"/>
      <c r="Q400" s="420"/>
      <c r="R400" s="420"/>
      <c r="S400" s="420"/>
      <c r="T400" s="420"/>
      <c r="U400" s="420"/>
      <c r="V400" s="420"/>
      <c r="W400" s="420"/>
      <c r="X400" s="420"/>
      <c r="Y400" s="420"/>
      <c r="Z400" s="420"/>
      <c r="AA400" s="420"/>
      <c r="AB400" s="420"/>
      <c r="AC400" s="420"/>
      <c r="AD400" s="420"/>
      <c r="AE400" s="420"/>
      <c r="AF400" s="420"/>
      <c r="AG400" s="420"/>
      <c r="AH400" s="420"/>
      <c r="AI400" s="420"/>
      <c r="AJ400" s="420"/>
      <c r="AK400" s="420"/>
      <c r="AL400" s="420"/>
      <c r="AM400" s="420"/>
      <c r="AN400" s="420"/>
      <c r="AO400" s="420"/>
      <c r="AP400" s="420"/>
      <c r="AQ400" s="420"/>
      <c r="AR400" s="420"/>
      <c r="AS400" s="420"/>
      <c r="AT400" s="420"/>
      <c r="AU400" s="420"/>
      <c r="AV400" s="420"/>
      <c r="AW400" s="420"/>
      <c r="AX400" s="420"/>
      <c r="AY400" s="420"/>
      <c r="AZ400" s="420"/>
      <c r="BA400" s="420"/>
      <c r="BB400" s="420"/>
      <c r="BC400" s="420"/>
      <c r="BD400" s="420"/>
      <c r="BE400" s="420"/>
      <c r="BF400" s="420"/>
      <c r="BG400" s="420"/>
      <c r="BH400" s="420"/>
      <c r="BI400" s="420"/>
      <c r="BJ400" s="420"/>
      <c r="BK400" s="420"/>
      <c r="BL400" s="420"/>
    </row>
    <row r="401" spans="1:64">
      <c r="A401" s="454"/>
      <c r="B401" s="454"/>
      <c r="C401" s="417" t="s">
        <v>874</v>
      </c>
      <c r="D401" s="408">
        <v>0.9</v>
      </c>
      <c r="E401" s="408" t="s">
        <v>57</v>
      </c>
      <c r="F401" s="408">
        <f>[161]LEAD!$N$18</f>
        <v>1310.96</v>
      </c>
      <c r="G401" s="430">
        <v>1</v>
      </c>
      <c r="H401" s="456" t="str">
        <f t="shared" si="45"/>
        <v>Cum</v>
      </c>
      <c r="I401" s="408">
        <f t="shared" si="46"/>
        <v>1179.864</v>
      </c>
      <c r="J401" s="418"/>
      <c r="K401" s="419"/>
      <c r="L401" s="419"/>
      <c r="M401" s="420"/>
      <c r="N401" s="420"/>
      <c r="O401" s="420"/>
      <c r="P401" s="420"/>
      <c r="Q401" s="420"/>
      <c r="R401" s="420"/>
      <c r="S401" s="420"/>
      <c r="T401" s="420"/>
      <c r="U401" s="420"/>
      <c r="V401" s="420"/>
      <c r="W401" s="420"/>
      <c r="X401" s="420"/>
      <c r="Y401" s="420"/>
      <c r="Z401" s="420"/>
      <c r="AA401" s="420"/>
      <c r="AB401" s="420"/>
      <c r="AC401" s="420"/>
      <c r="AD401" s="420"/>
      <c r="AE401" s="420"/>
      <c r="AF401" s="420"/>
      <c r="AG401" s="420"/>
      <c r="AH401" s="420"/>
      <c r="AI401" s="420"/>
      <c r="AJ401" s="420"/>
      <c r="AK401" s="420"/>
      <c r="AL401" s="420"/>
      <c r="AM401" s="420"/>
      <c r="AN401" s="420"/>
      <c r="AO401" s="420"/>
      <c r="AP401" s="420"/>
      <c r="AQ401" s="420"/>
      <c r="AR401" s="420"/>
      <c r="AS401" s="420"/>
      <c r="AT401" s="420"/>
      <c r="AU401" s="420"/>
      <c r="AV401" s="420"/>
      <c r="AW401" s="420"/>
      <c r="AX401" s="420"/>
      <c r="AY401" s="420"/>
      <c r="AZ401" s="420"/>
      <c r="BA401" s="420"/>
      <c r="BB401" s="420"/>
      <c r="BC401" s="420"/>
      <c r="BD401" s="420"/>
      <c r="BE401" s="420"/>
      <c r="BF401" s="420"/>
      <c r="BG401" s="420"/>
      <c r="BH401" s="420"/>
      <c r="BI401" s="420"/>
      <c r="BJ401" s="420"/>
      <c r="BK401" s="420"/>
      <c r="BL401" s="420"/>
    </row>
    <row r="402" spans="1:64">
      <c r="A402" s="454"/>
      <c r="B402" s="454"/>
      <c r="C402" s="417" t="s">
        <v>875</v>
      </c>
      <c r="D402" s="408">
        <v>0.45</v>
      </c>
      <c r="E402" s="408" t="s">
        <v>57</v>
      </c>
      <c r="F402" s="408">
        <f>[161]LEAD!$N$12</f>
        <v>2253.91</v>
      </c>
      <c r="G402" s="430">
        <v>1</v>
      </c>
      <c r="H402" s="456" t="str">
        <f t="shared" si="45"/>
        <v>Cum</v>
      </c>
      <c r="I402" s="408">
        <f t="shared" si="46"/>
        <v>1014.2595</v>
      </c>
      <c r="J402" s="418"/>
      <c r="K402" s="419"/>
      <c r="L402" s="419"/>
      <c r="M402" s="420"/>
      <c r="N402" s="420"/>
      <c r="O402" s="420"/>
      <c r="P402" s="420"/>
      <c r="Q402" s="420"/>
      <c r="R402" s="420"/>
      <c r="S402" s="420"/>
      <c r="T402" s="420"/>
      <c r="U402" s="420"/>
      <c r="V402" s="420"/>
      <c r="W402" s="420"/>
      <c r="X402" s="420"/>
      <c r="Y402" s="420"/>
      <c r="Z402" s="420"/>
      <c r="AA402" s="420"/>
      <c r="AB402" s="420"/>
      <c r="AC402" s="420"/>
      <c r="AD402" s="420"/>
      <c r="AE402" s="420"/>
      <c r="AF402" s="420"/>
      <c r="AG402" s="420"/>
      <c r="AH402" s="420"/>
      <c r="AI402" s="420"/>
      <c r="AJ402" s="420"/>
      <c r="AK402" s="420"/>
      <c r="AL402" s="420"/>
      <c r="AM402" s="420"/>
      <c r="AN402" s="420"/>
      <c r="AO402" s="420"/>
      <c r="AP402" s="420"/>
      <c r="AQ402" s="420"/>
      <c r="AR402" s="420"/>
      <c r="AS402" s="420"/>
      <c r="AT402" s="420"/>
      <c r="AU402" s="420"/>
      <c r="AV402" s="420"/>
      <c r="AW402" s="420"/>
      <c r="AX402" s="420"/>
      <c r="AY402" s="420"/>
      <c r="AZ402" s="420"/>
      <c r="BA402" s="420"/>
      <c r="BB402" s="420"/>
      <c r="BC402" s="420"/>
      <c r="BD402" s="420"/>
      <c r="BE402" s="420"/>
      <c r="BF402" s="420"/>
      <c r="BG402" s="420"/>
      <c r="BH402" s="420"/>
      <c r="BI402" s="420"/>
      <c r="BJ402" s="420"/>
      <c r="BK402" s="420"/>
      <c r="BL402" s="420"/>
    </row>
    <row r="403" spans="1:64">
      <c r="A403" s="454"/>
      <c r="B403" s="454"/>
      <c r="C403" s="417" t="s">
        <v>876</v>
      </c>
      <c r="D403" s="408">
        <v>1.2</v>
      </c>
      <c r="E403" s="408" t="s">
        <v>877</v>
      </c>
      <c r="F403" s="408">
        <f>[161]Input!$D$53</f>
        <v>108</v>
      </c>
      <c r="G403" s="430">
        <v>1</v>
      </c>
      <c r="H403" s="456" t="str">
        <f t="shared" si="45"/>
        <v>kl</v>
      </c>
      <c r="I403" s="408">
        <f t="shared" si="46"/>
        <v>129.6</v>
      </c>
      <c r="J403" s="418"/>
      <c r="K403" s="419"/>
      <c r="L403" s="419"/>
      <c r="M403" s="420"/>
      <c r="N403" s="420"/>
      <c r="O403" s="420"/>
      <c r="P403" s="420"/>
      <c r="Q403" s="420"/>
      <c r="R403" s="420"/>
      <c r="S403" s="420"/>
      <c r="T403" s="420"/>
      <c r="U403" s="420"/>
      <c r="V403" s="420"/>
      <c r="W403" s="420"/>
      <c r="X403" s="420"/>
      <c r="Y403" s="420"/>
      <c r="Z403" s="420"/>
      <c r="AA403" s="420"/>
      <c r="AB403" s="420"/>
      <c r="AC403" s="420"/>
      <c r="AD403" s="420"/>
      <c r="AE403" s="420"/>
      <c r="AF403" s="420"/>
      <c r="AG403" s="420"/>
      <c r="AH403" s="420"/>
      <c r="AI403" s="420"/>
      <c r="AJ403" s="420"/>
      <c r="AK403" s="420"/>
      <c r="AL403" s="420"/>
      <c r="AM403" s="420"/>
      <c r="AN403" s="420"/>
      <c r="AO403" s="420"/>
      <c r="AP403" s="420"/>
      <c r="AQ403" s="420"/>
      <c r="AR403" s="420"/>
      <c r="AS403" s="420"/>
      <c r="AT403" s="420"/>
      <c r="AU403" s="420"/>
      <c r="AV403" s="420"/>
      <c r="AW403" s="420"/>
      <c r="AX403" s="420"/>
      <c r="AY403" s="420"/>
      <c r="AZ403" s="420"/>
      <c r="BA403" s="420"/>
      <c r="BB403" s="420"/>
      <c r="BC403" s="420"/>
      <c r="BD403" s="420"/>
      <c r="BE403" s="420"/>
      <c r="BF403" s="420"/>
      <c r="BG403" s="420"/>
      <c r="BH403" s="420"/>
      <c r="BI403" s="420"/>
      <c r="BJ403" s="420"/>
      <c r="BK403" s="420"/>
      <c r="BL403" s="420"/>
    </row>
    <row r="404" spans="1:64" ht="13">
      <c r="A404" s="454"/>
      <c r="B404" s="454"/>
      <c r="C404" s="427" t="s">
        <v>885</v>
      </c>
      <c r="D404" s="408"/>
      <c r="E404" s="408"/>
      <c r="F404" s="408"/>
      <c r="G404" s="430"/>
      <c r="H404" s="456"/>
      <c r="I404" s="408"/>
      <c r="J404" s="418"/>
      <c r="K404" s="419"/>
      <c r="L404" s="419"/>
      <c r="M404" s="420"/>
      <c r="N404" s="420"/>
      <c r="O404" s="420"/>
      <c r="P404" s="420"/>
      <c r="Q404" s="420"/>
      <c r="R404" s="420"/>
      <c r="S404" s="420"/>
      <c r="T404" s="420"/>
      <c r="U404" s="420"/>
      <c r="V404" s="420"/>
      <c r="W404" s="420"/>
      <c r="X404" s="420"/>
      <c r="Y404" s="420"/>
      <c r="Z404" s="420"/>
      <c r="AA404" s="420"/>
      <c r="AB404" s="420"/>
      <c r="AC404" s="420"/>
      <c r="AD404" s="420"/>
      <c r="AE404" s="420"/>
      <c r="AF404" s="420"/>
      <c r="AG404" s="420"/>
      <c r="AH404" s="420"/>
      <c r="AI404" s="420"/>
      <c r="AJ404" s="420"/>
      <c r="AK404" s="420"/>
      <c r="AL404" s="420"/>
      <c r="AM404" s="420"/>
      <c r="AN404" s="420"/>
      <c r="AO404" s="420"/>
      <c r="AP404" s="420"/>
      <c r="AQ404" s="420"/>
      <c r="AR404" s="420"/>
      <c r="AS404" s="420"/>
      <c r="AT404" s="420"/>
      <c r="AU404" s="420"/>
      <c r="AV404" s="420"/>
      <c r="AW404" s="420"/>
      <c r="AX404" s="420"/>
      <c r="AY404" s="420"/>
      <c r="AZ404" s="420"/>
      <c r="BA404" s="420"/>
      <c r="BB404" s="420"/>
      <c r="BC404" s="420"/>
      <c r="BD404" s="420"/>
      <c r="BE404" s="420"/>
      <c r="BF404" s="420"/>
      <c r="BG404" s="420"/>
      <c r="BH404" s="420"/>
      <c r="BI404" s="420"/>
      <c r="BJ404" s="420"/>
      <c r="BK404" s="420"/>
      <c r="BL404" s="420"/>
    </row>
    <row r="405" spans="1:64" ht="25">
      <c r="A405" s="454"/>
      <c r="B405" s="454"/>
      <c r="C405" s="445" t="s">
        <v>879</v>
      </c>
      <c r="D405" s="408">
        <v>1</v>
      </c>
      <c r="E405" s="408" t="s">
        <v>826</v>
      </c>
      <c r="F405" s="408">
        <f>'[161]Civil-SOR'!$G$330</f>
        <v>192.9</v>
      </c>
      <c r="G405" s="430">
        <v>1</v>
      </c>
      <c r="H405" s="430" t="str">
        <f t="shared" ref="H405:H406" si="47">IF(E405="","",IF(E405="No.","Each",IF(E405="Nos.","Each",E405)))</f>
        <v>hour</v>
      </c>
      <c r="I405" s="408">
        <f t="shared" ref="I405:I407" si="48">IF(G405="",D405*F405,(D405*F405/G405))</f>
        <v>192.9</v>
      </c>
      <c r="J405" s="418"/>
      <c r="K405" s="419"/>
      <c r="L405" s="419"/>
      <c r="M405" s="482"/>
      <c r="N405" s="482"/>
      <c r="O405" s="482"/>
      <c r="P405" s="482"/>
      <c r="Q405" s="482"/>
      <c r="R405" s="482"/>
      <c r="S405" s="482"/>
      <c r="T405" s="482"/>
      <c r="U405" s="482"/>
      <c r="V405" s="482"/>
      <c r="W405" s="482"/>
      <c r="X405" s="482"/>
      <c r="Y405" s="482"/>
      <c r="Z405" s="482"/>
      <c r="AA405" s="482"/>
      <c r="AB405" s="482"/>
      <c r="AC405" s="482"/>
      <c r="AD405" s="482"/>
      <c r="AE405" s="482"/>
      <c r="AF405" s="482"/>
      <c r="AG405" s="482"/>
      <c r="AH405" s="482"/>
      <c r="AI405" s="482"/>
      <c r="AJ405" s="482"/>
      <c r="AK405" s="482"/>
      <c r="AL405" s="482"/>
      <c r="AM405" s="482"/>
      <c r="AN405" s="482"/>
      <c r="AO405" s="482"/>
      <c r="AP405" s="482"/>
      <c r="AQ405" s="482"/>
      <c r="AR405" s="482"/>
      <c r="AS405" s="482"/>
      <c r="AT405" s="482"/>
      <c r="AU405" s="482"/>
      <c r="AV405" s="482"/>
      <c r="AW405" s="482"/>
      <c r="AX405" s="482"/>
      <c r="AY405" s="482"/>
      <c r="AZ405" s="482"/>
      <c r="BA405" s="482"/>
      <c r="BB405" s="482"/>
      <c r="BC405" s="482"/>
      <c r="BD405" s="482"/>
      <c r="BE405" s="482"/>
      <c r="BF405" s="482"/>
      <c r="BG405" s="482"/>
      <c r="BH405" s="482"/>
      <c r="BI405" s="482"/>
      <c r="BJ405" s="482"/>
      <c r="BK405" s="482"/>
      <c r="BL405" s="482"/>
    </row>
    <row r="406" spans="1:64">
      <c r="A406" s="454"/>
      <c r="B406" s="454"/>
      <c r="C406" s="417" t="s">
        <v>828</v>
      </c>
      <c r="D406" s="408">
        <v>1</v>
      </c>
      <c r="E406" s="408" t="s">
        <v>826</v>
      </c>
      <c r="F406" s="408">
        <f>'[161]Civil-SOR'!$J$330</f>
        <v>302.89999999999998</v>
      </c>
      <c r="G406" s="430">
        <v>1</v>
      </c>
      <c r="H406" s="430" t="str">
        <f t="shared" si="47"/>
        <v>hour</v>
      </c>
      <c r="I406" s="408">
        <f t="shared" si="48"/>
        <v>302.89999999999998</v>
      </c>
      <c r="J406" s="418"/>
      <c r="K406" s="419"/>
      <c r="L406" s="419"/>
      <c r="M406" s="420"/>
      <c r="N406" s="420"/>
      <c r="O406" s="420"/>
      <c r="P406" s="420"/>
      <c r="Q406" s="420"/>
      <c r="R406" s="420"/>
      <c r="S406" s="420"/>
      <c r="T406" s="420"/>
      <c r="U406" s="420"/>
      <c r="V406" s="420"/>
      <c r="W406" s="420"/>
      <c r="X406" s="420"/>
      <c r="Y406" s="420"/>
      <c r="Z406" s="420"/>
      <c r="AA406" s="420"/>
      <c r="AB406" s="420"/>
      <c r="AC406" s="420"/>
      <c r="AD406" s="420"/>
      <c r="AE406" s="420"/>
      <c r="AF406" s="420"/>
      <c r="AG406" s="420"/>
      <c r="AH406" s="420"/>
      <c r="AI406" s="420"/>
      <c r="AJ406" s="420"/>
      <c r="AK406" s="420"/>
      <c r="AL406" s="420"/>
      <c r="AM406" s="420"/>
      <c r="AN406" s="420"/>
      <c r="AO406" s="420"/>
      <c r="AP406" s="420"/>
      <c r="AQ406" s="420"/>
      <c r="AR406" s="420"/>
      <c r="AS406" s="420"/>
      <c r="AT406" s="420"/>
      <c r="AU406" s="420"/>
      <c r="AV406" s="420"/>
      <c r="AW406" s="420"/>
      <c r="AX406" s="420"/>
      <c r="AY406" s="420"/>
      <c r="AZ406" s="420"/>
      <c r="BA406" s="420"/>
      <c r="BB406" s="420"/>
      <c r="BC406" s="420"/>
      <c r="BD406" s="420"/>
      <c r="BE406" s="420"/>
      <c r="BF406" s="420"/>
      <c r="BG406" s="420"/>
      <c r="BH406" s="420"/>
      <c r="BI406" s="420"/>
      <c r="BJ406" s="420"/>
      <c r="BK406" s="420"/>
      <c r="BL406" s="420"/>
    </row>
    <row r="407" spans="1:64">
      <c r="A407" s="454"/>
      <c r="B407" s="454"/>
      <c r="C407" s="417" t="s">
        <v>799</v>
      </c>
      <c r="D407" s="408">
        <f>[161]Input!$D$47</f>
        <v>0.4</v>
      </c>
      <c r="E407" s="408"/>
      <c r="F407" s="408">
        <f>I406</f>
        <v>302.89999999999998</v>
      </c>
      <c r="G407" s="430"/>
      <c r="H407" s="408"/>
      <c r="I407" s="408">
        <f t="shared" si="48"/>
        <v>121.16</v>
      </c>
      <c r="J407" s="418"/>
      <c r="K407" s="419"/>
      <c r="L407" s="419"/>
      <c r="M407" s="420"/>
      <c r="N407" s="420"/>
      <c r="O407" s="420"/>
      <c r="P407" s="420"/>
      <c r="Q407" s="420"/>
      <c r="R407" s="420"/>
      <c r="S407" s="420"/>
      <c r="T407" s="420"/>
      <c r="U407" s="420"/>
      <c r="V407" s="420"/>
      <c r="W407" s="420"/>
      <c r="X407" s="420"/>
      <c r="Y407" s="420"/>
      <c r="Z407" s="420"/>
      <c r="AA407" s="420"/>
      <c r="AB407" s="420"/>
      <c r="AC407" s="420"/>
      <c r="AD407" s="420"/>
      <c r="AE407" s="420"/>
      <c r="AF407" s="420"/>
      <c r="AG407" s="420"/>
      <c r="AH407" s="420"/>
      <c r="AI407" s="420"/>
      <c r="AJ407" s="420"/>
      <c r="AK407" s="420"/>
      <c r="AL407" s="420"/>
      <c r="AM407" s="420"/>
      <c r="AN407" s="420"/>
      <c r="AO407" s="420"/>
      <c r="AP407" s="420"/>
      <c r="AQ407" s="420"/>
      <c r="AR407" s="420"/>
      <c r="AS407" s="420"/>
      <c r="AT407" s="420"/>
      <c r="AU407" s="420"/>
      <c r="AV407" s="420"/>
      <c r="AW407" s="420"/>
      <c r="AX407" s="420"/>
      <c r="AY407" s="420"/>
      <c r="AZ407" s="420"/>
      <c r="BA407" s="420"/>
      <c r="BB407" s="420"/>
      <c r="BC407" s="420"/>
      <c r="BD407" s="420"/>
      <c r="BE407" s="420"/>
      <c r="BF407" s="420"/>
      <c r="BG407" s="420"/>
      <c r="BH407" s="420"/>
      <c r="BI407" s="420"/>
      <c r="BJ407" s="420"/>
      <c r="BK407" s="420"/>
      <c r="BL407" s="420"/>
    </row>
    <row r="408" spans="1:64" ht="13">
      <c r="A408" s="454"/>
      <c r="B408" s="454"/>
      <c r="C408" s="427" t="s">
        <v>886</v>
      </c>
      <c r="D408" s="408"/>
      <c r="E408" s="408"/>
      <c r="F408" s="408"/>
      <c r="G408" s="430"/>
      <c r="H408" s="456"/>
      <c r="I408" s="408"/>
      <c r="J408" s="418"/>
      <c r="K408" s="419"/>
      <c r="L408" s="419"/>
      <c r="M408" s="420"/>
      <c r="N408" s="420"/>
      <c r="O408" s="420"/>
      <c r="P408" s="420"/>
      <c r="Q408" s="420"/>
      <c r="R408" s="420"/>
      <c r="S408" s="420"/>
      <c r="T408" s="420"/>
      <c r="U408" s="420"/>
      <c r="V408" s="420"/>
      <c r="W408" s="420"/>
      <c r="X408" s="420"/>
      <c r="Y408" s="420"/>
      <c r="Z408" s="420"/>
      <c r="AA408" s="420"/>
      <c r="AB408" s="420"/>
      <c r="AC408" s="420"/>
      <c r="AD408" s="420"/>
      <c r="AE408" s="420"/>
      <c r="AF408" s="420"/>
      <c r="AG408" s="420"/>
      <c r="AH408" s="420"/>
      <c r="AI408" s="420"/>
      <c r="AJ408" s="420"/>
      <c r="AK408" s="420"/>
      <c r="AL408" s="420"/>
      <c r="AM408" s="420"/>
      <c r="AN408" s="420"/>
      <c r="AO408" s="420"/>
      <c r="AP408" s="420"/>
      <c r="AQ408" s="420"/>
      <c r="AR408" s="420"/>
      <c r="AS408" s="420"/>
      <c r="AT408" s="420"/>
      <c r="AU408" s="420"/>
      <c r="AV408" s="420"/>
      <c r="AW408" s="420"/>
      <c r="AX408" s="420"/>
      <c r="AY408" s="420"/>
      <c r="AZ408" s="420"/>
      <c r="BA408" s="420"/>
      <c r="BB408" s="420"/>
      <c r="BC408" s="420"/>
      <c r="BD408" s="420"/>
      <c r="BE408" s="420"/>
      <c r="BF408" s="420"/>
      <c r="BG408" s="420"/>
      <c r="BH408" s="420"/>
      <c r="BI408" s="420"/>
      <c r="BJ408" s="420"/>
      <c r="BK408" s="420"/>
      <c r="BL408" s="420"/>
    </row>
    <row r="409" spans="1:64">
      <c r="A409" s="454"/>
      <c r="B409" s="454"/>
      <c r="C409" s="417" t="s">
        <v>881</v>
      </c>
      <c r="D409" s="408">
        <v>0.1</v>
      </c>
      <c r="E409" s="408" t="s">
        <v>375</v>
      </c>
      <c r="F409" s="408">
        <f>'[161]Civil-SOR'!$G$293</f>
        <v>580</v>
      </c>
      <c r="G409" s="430">
        <v>1</v>
      </c>
      <c r="H409" s="456" t="str">
        <f t="shared" ref="H409:H410" si="49">IF(E409="","",IF(E409="No.","Each",IF(E409="Nos.","Each",E409)))</f>
        <v>Each</v>
      </c>
      <c r="I409" s="408">
        <f t="shared" ref="I409:I411" si="50">IF(G409="",D409*F409,(D409*F409/G409))</f>
        <v>58</v>
      </c>
      <c r="J409" s="418"/>
      <c r="K409" s="419"/>
      <c r="L409" s="419"/>
      <c r="M409" s="420"/>
      <c r="N409" s="420"/>
      <c r="O409" s="420"/>
      <c r="P409" s="420"/>
      <c r="Q409" s="420"/>
      <c r="R409" s="420"/>
      <c r="S409" s="420"/>
      <c r="T409" s="420"/>
      <c r="U409" s="420"/>
      <c r="V409" s="420"/>
      <c r="W409" s="420"/>
      <c r="X409" s="420"/>
      <c r="Y409" s="420"/>
      <c r="Z409" s="420"/>
      <c r="AA409" s="420"/>
      <c r="AB409" s="420"/>
      <c r="AC409" s="420"/>
      <c r="AD409" s="420"/>
      <c r="AE409" s="420"/>
      <c r="AF409" s="420"/>
      <c r="AG409" s="420"/>
      <c r="AH409" s="420"/>
      <c r="AI409" s="420"/>
      <c r="AJ409" s="420"/>
      <c r="AK409" s="420"/>
      <c r="AL409" s="420"/>
      <c r="AM409" s="420"/>
      <c r="AN409" s="420"/>
      <c r="AO409" s="420"/>
      <c r="AP409" s="420"/>
      <c r="AQ409" s="420"/>
      <c r="AR409" s="420"/>
      <c r="AS409" s="420"/>
      <c r="AT409" s="420"/>
      <c r="AU409" s="420"/>
      <c r="AV409" s="420"/>
      <c r="AW409" s="420"/>
      <c r="AX409" s="420"/>
      <c r="AY409" s="420"/>
      <c r="AZ409" s="420"/>
      <c r="BA409" s="420"/>
      <c r="BB409" s="420"/>
      <c r="BC409" s="420"/>
      <c r="BD409" s="420"/>
      <c r="BE409" s="420"/>
      <c r="BF409" s="420"/>
      <c r="BG409" s="420"/>
      <c r="BH409" s="420"/>
      <c r="BI409" s="420"/>
      <c r="BJ409" s="420"/>
      <c r="BK409" s="420"/>
      <c r="BL409" s="420"/>
    </row>
    <row r="410" spans="1:64">
      <c r="A410" s="454"/>
      <c r="B410" s="454"/>
      <c r="C410" s="417" t="s">
        <v>882</v>
      </c>
      <c r="D410" s="408">
        <v>1.39</v>
      </c>
      <c r="E410" s="408" t="s">
        <v>375</v>
      </c>
      <c r="F410" s="408">
        <f>'[161]Civil-SOR'!$G$307</f>
        <v>520</v>
      </c>
      <c r="G410" s="430">
        <v>1</v>
      </c>
      <c r="H410" s="456" t="str">
        <f t="shared" si="49"/>
        <v>Each</v>
      </c>
      <c r="I410" s="408">
        <f t="shared" si="50"/>
        <v>722.8</v>
      </c>
      <c r="J410" s="418"/>
      <c r="K410" s="419"/>
      <c r="L410" s="419"/>
      <c r="M410" s="420"/>
      <c r="N410" s="420"/>
      <c r="O410" s="420"/>
      <c r="P410" s="420"/>
      <c r="Q410" s="420"/>
      <c r="R410" s="420"/>
      <c r="S410" s="420"/>
      <c r="T410" s="420"/>
      <c r="U410" s="420"/>
      <c r="V410" s="420"/>
      <c r="W410" s="420"/>
      <c r="X410" s="420"/>
      <c r="Y410" s="420"/>
      <c r="Z410" s="420"/>
      <c r="AA410" s="420"/>
      <c r="AB410" s="420"/>
      <c r="AC410" s="420"/>
      <c r="AD410" s="420"/>
      <c r="AE410" s="420"/>
      <c r="AF410" s="420"/>
      <c r="AG410" s="420"/>
      <c r="AH410" s="420"/>
      <c r="AI410" s="420"/>
      <c r="AJ410" s="420"/>
      <c r="AK410" s="420"/>
      <c r="AL410" s="420"/>
      <c r="AM410" s="420"/>
      <c r="AN410" s="420"/>
      <c r="AO410" s="420"/>
      <c r="AP410" s="420"/>
      <c r="AQ410" s="420"/>
      <c r="AR410" s="420"/>
      <c r="AS410" s="420"/>
      <c r="AT410" s="420"/>
      <c r="AU410" s="420"/>
      <c r="AV410" s="420"/>
      <c r="AW410" s="420"/>
      <c r="AX410" s="420"/>
      <c r="AY410" s="420"/>
      <c r="AZ410" s="420"/>
      <c r="BA410" s="420"/>
      <c r="BB410" s="420"/>
      <c r="BC410" s="420"/>
      <c r="BD410" s="420"/>
      <c r="BE410" s="420"/>
      <c r="BF410" s="420"/>
      <c r="BG410" s="420"/>
      <c r="BH410" s="420"/>
      <c r="BI410" s="420"/>
      <c r="BJ410" s="420"/>
      <c r="BK410" s="420"/>
      <c r="BL410" s="420"/>
    </row>
    <row r="411" spans="1:64">
      <c r="A411" s="454"/>
      <c r="B411" s="454"/>
      <c r="C411" s="417" t="str">
        <f>[161]Input!$C$47</f>
        <v>Add for MA @ 40%</v>
      </c>
      <c r="D411" s="408">
        <f>[161]Input!$D$47</f>
        <v>0.4</v>
      </c>
      <c r="E411" s="408"/>
      <c r="F411" s="408">
        <f>SUM(I409:I410)</f>
        <v>780.8</v>
      </c>
      <c r="G411" s="430"/>
      <c r="H411" s="456"/>
      <c r="I411" s="408">
        <f t="shared" si="50"/>
        <v>312.32</v>
      </c>
      <c r="J411" s="418"/>
      <c r="K411" s="419"/>
      <c r="L411" s="419"/>
      <c r="M411" s="420"/>
      <c r="N411" s="420"/>
      <c r="O411" s="420"/>
      <c r="P411" s="420"/>
      <c r="Q411" s="420"/>
      <c r="R411" s="420"/>
      <c r="S411" s="420"/>
      <c r="T411" s="420"/>
      <c r="U411" s="420"/>
      <c r="V411" s="420"/>
      <c r="W411" s="420"/>
      <c r="X411" s="420"/>
      <c r="Y411" s="420"/>
      <c r="Z411" s="420"/>
      <c r="AA411" s="420"/>
      <c r="AB411" s="420"/>
      <c r="AC411" s="420"/>
      <c r="AD411" s="420"/>
      <c r="AE411" s="420"/>
      <c r="AF411" s="420"/>
      <c r="AG411" s="420"/>
      <c r="AH411" s="420"/>
      <c r="AI411" s="420"/>
      <c r="AJ411" s="420"/>
      <c r="AK411" s="420"/>
      <c r="AL411" s="420"/>
      <c r="AM411" s="420"/>
      <c r="AN411" s="420"/>
      <c r="AO411" s="420"/>
      <c r="AP411" s="420"/>
      <c r="AQ411" s="420"/>
      <c r="AR411" s="420"/>
      <c r="AS411" s="420"/>
      <c r="AT411" s="420"/>
      <c r="AU411" s="420"/>
      <c r="AV411" s="420"/>
      <c r="AW411" s="420"/>
      <c r="AX411" s="420"/>
      <c r="AY411" s="420"/>
      <c r="AZ411" s="420"/>
      <c r="BA411" s="420"/>
      <c r="BB411" s="420"/>
      <c r="BC411" s="420"/>
      <c r="BD411" s="420"/>
      <c r="BE411" s="420"/>
      <c r="BF411" s="420"/>
      <c r="BG411" s="420"/>
      <c r="BH411" s="420"/>
      <c r="BI411" s="420"/>
      <c r="BJ411" s="420"/>
      <c r="BK411" s="420"/>
      <c r="BL411" s="420"/>
    </row>
    <row r="412" spans="1:64" ht="13">
      <c r="A412" s="454"/>
      <c r="B412" s="454"/>
      <c r="C412" s="417"/>
      <c r="D412" s="408"/>
      <c r="E412" s="408"/>
      <c r="F412" s="408"/>
      <c r="G412" s="430"/>
      <c r="H412" s="415"/>
      <c r="I412" s="408">
        <f>SUM(I400:I411)</f>
        <v>4707.7235000000001</v>
      </c>
      <c r="J412" s="418"/>
      <c r="K412" s="419"/>
      <c r="L412" s="419"/>
      <c r="M412" s="420"/>
      <c r="N412" s="420"/>
      <c r="O412" s="420"/>
      <c r="P412" s="420"/>
      <c r="Q412" s="420"/>
      <c r="R412" s="420"/>
      <c r="S412" s="420"/>
      <c r="T412" s="420"/>
      <c r="U412" s="420"/>
      <c r="V412" s="420"/>
      <c r="W412" s="420"/>
      <c r="X412" s="420"/>
      <c r="Y412" s="420"/>
      <c r="Z412" s="420"/>
      <c r="AA412" s="420"/>
      <c r="AB412" s="420"/>
      <c r="AC412" s="420"/>
      <c r="AD412" s="420"/>
      <c r="AE412" s="420"/>
      <c r="AF412" s="420"/>
      <c r="AG412" s="420"/>
      <c r="AH412" s="420"/>
      <c r="AI412" s="420"/>
      <c r="AJ412" s="420"/>
      <c r="AK412" s="420"/>
      <c r="AL412" s="420"/>
      <c r="AM412" s="420"/>
      <c r="AN412" s="420"/>
      <c r="AO412" s="420"/>
      <c r="AP412" s="420"/>
      <c r="AQ412" s="420"/>
      <c r="AR412" s="420"/>
      <c r="AS412" s="420"/>
      <c r="AT412" s="420"/>
      <c r="AU412" s="420"/>
      <c r="AV412" s="420"/>
      <c r="AW412" s="420"/>
      <c r="AX412" s="420"/>
      <c r="AY412" s="420"/>
      <c r="AZ412" s="420"/>
      <c r="BA412" s="420"/>
      <c r="BB412" s="420"/>
      <c r="BC412" s="420"/>
      <c r="BD412" s="420"/>
      <c r="BE412" s="420"/>
      <c r="BF412" s="420"/>
      <c r="BG412" s="420"/>
      <c r="BH412" s="420"/>
      <c r="BI412" s="420"/>
      <c r="BJ412" s="420"/>
      <c r="BK412" s="420"/>
      <c r="BL412" s="420"/>
    </row>
    <row r="413" spans="1:64" ht="25">
      <c r="A413" s="454"/>
      <c r="B413" s="454"/>
      <c r="C413" s="417" t="str">
        <f>[161]Input!$C$48</f>
        <v>Overheads &amp; Contractors Profit @ 13.615%</v>
      </c>
      <c r="D413" s="444">
        <f>[161]Input!$D$48</f>
        <v>0.13614999999999999</v>
      </c>
      <c r="E413" s="408"/>
      <c r="F413" s="408">
        <f>I412</f>
        <v>4707.7235000000001</v>
      </c>
      <c r="G413" s="430"/>
      <c r="H413" s="415"/>
      <c r="I413" s="408">
        <f>IF(G413="",D413*F413,(D413*F413/G413))</f>
        <v>640.956554525</v>
      </c>
      <c r="J413" s="418"/>
      <c r="K413" s="419"/>
      <c r="L413" s="419"/>
      <c r="M413" s="420"/>
      <c r="N413" s="420"/>
      <c r="O413" s="420"/>
      <c r="P413" s="420"/>
      <c r="Q413" s="420"/>
      <c r="R413" s="420"/>
      <c r="S413" s="420"/>
      <c r="T413" s="420"/>
      <c r="U413" s="420"/>
      <c r="V413" s="420"/>
      <c r="W413" s="420"/>
      <c r="X413" s="420"/>
      <c r="Y413" s="420"/>
      <c r="Z413" s="420"/>
      <c r="AA413" s="420"/>
      <c r="AB413" s="420"/>
      <c r="AC413" s="420"/>
      <c r="AD413" s="420"/>
      <c r="AE413" s="420"/>
      <c r="AF413" s="420"/>
      <c r="AG413" s="420"/>
      <c r="AH413" s="420"/>
      <c r="AI413" s="420"/>
      <c r="AJ413" s="420"/>
      <c r="AK413" s="420"/>
      <c r="AL413" s="420"/>
      <c r="AM413" s="420"/>
      <c r="AN413" s="420"/>
      <c r="AO413" s="420"/>
      <c r="AP413" s="420"/>
      <c r="AQ413" s="420"/>
      <c r="AR413" s="420"/>
      <c r="AS413" s="420"/>
      <c r="AT413" s="420"/>
      <c r="AU413" s="420"/>
      <c r="AV413" s="420"/>
      <c r="AW413" s="420"/>
      <c r="AX413" s="420"/>
      <c r="AY413" s="420"/>
      <c r="AZ413" s="420"/>
      <c r="BA413" s="420"/>
      <c r="BB413" s="420"/>
      <c r="BC413" s="420"/>
      <c r="BD413" s="420"/>
      <c r="BE413" s="420"/>
      <c r="BF413" s="420"/>
      <c r="BG413" s="420"/>
      <c r="BH413" s="420"/>
      <c r="BI413" s="420"/>
      <c r="BJ413" s="420"/>
      <c r="BK413" s="420"/>
      <c r="BL413" s="420"/>
    </row>
    <row r="414" spans="1:64" ht="13">
      <c r="A414" s="454"/>
      <c r="B414" s="454"/>
      <c r="C414" s="427" t="s">
        <v>724</v>
      </c>
      <c r="D414" s="408"/>
      <c r="E414" s="408"/>
      <c r="F414" s="408"/>
      <c r="G414" s="430"/>
      <c r="H414" s="408" t="s">
        <v>725</v>
      </c>
      <c r="I414" s="409">
        <f>SUM(I412:I413)</f>
        <v>5348.6800545249998</v>
      </c>
      <c r="J414" s="418"/>
      <c r="K414" s="419"/>
      <c r="L414" s="419"/>
      <c r="M414" s="420"/>
      <c r="N414" s="420"/>
      <c r="O414" s="420"/>
      <c r="P414" s="420"/>
      <c r="Q414" s="420"/>
      <c r="R414" s="420"/>
      <c r="S414" s="420"/>
      <c r="T414" s="420"/>
      <c r="U414" s="420"/>
      <c r="V414" s="420"/>
      <c r="W414" s="420"/>
      <c r="X414" s="420"/>
      <c r="Y414" s="420"/>
      <c r="Z414" s="420"/>
      <c r="AA414" s="420"/>
      <c r="AB414" s="420"/>
      <c r="AC414" s="420"/>
      <c r="AD414" s="420"/>
      <c r="AE414" s="420"/>
      <c r="AF414" s="420"/>
      <c r="AG414" s="420"/>
      <c r="AH414" s="420"/>
      <c r="AI414" s="420"/>
      <c r="AJ414" s="420"/>
      <c r="AK414" s="420"/>
      <c r="AL414" s="420"/>
      <c r="AM414" s="420"/>
      <c r="AN414" s="420"/>
      <c r="AO414" s="420"/>
      <c r="AP414" s="420"/>
      <c r="AQ414" s="420"/>
      <c r="AR414" s="420"/>
      <c r="AS414" s="420"/>
      <c r="AT414" s="420"/>
      <c r="AU414" s="420"/>
      <c r="AV414" s="420"/>
      <c r="AW414" s="420"/>
      <c r="AX414" s="420"/>
      <c r="AY414" s="420"/>
      <c r="AZ414" s="420"/>
      <c r="BA414" s="420"/>
      <c r="BB414" s="420"/>
      <c r="BC414" s="420"/>
      <c r="BD414" s="420"/>
      <c r="BE414" s="420"/>
      <c r="BF414" s="420"/>
      <c r="BG414" s="420"/>
      <c r="BH414" s="420"/>
      <c r="BI414" s="420"/>
      <c r="BJ414" s="420"/>
      <c r="BK414" s="420"/>
      <c r="BL414" s="420"/>
    </row>
    <row r="415" spans="1:64" ht="13">
      <c r="A415" s="454"/>
      <c r="B415" s="454"/>
      <c r="C415" s="427"/>
      <c r="D415" s="408"/>
      <c r="E415" s="408"/>
      <c r="F415" s="408"/>
      <c r="G415" s="430"/>
      <c r="H415" s="415" t="s">
        <v>687</v>
      </c>
      <c r="I415" s="414">
        <f>ROUND(I414,0)</f>
        <v>5349</v>
      </c>
      <c r="J415" s="400"/>
      <c r="K415" s="401"/>
      <c r="L415" s="401"/>
      <c r="M415" s="404"/>
      <c r="N415" s="404"/>
      <c r="O415" s="404"/>
      <c r="P415" s="404"/>
      <c r="Q415" s="404"/>
      <c r="R415" s="404"/>
      <c r="S415" s="404"/>
      <c r="T415" s="404"/>
      <c r="U415" s="404"/>
      <c r="V415" s="404"/>
      <c r="W415" s="404"/>
      <c r="X415" s="404"/>
      <c r="Y415" s="404"/>
      <c r="Z415" s="404"/>
      <c r="AA415" s="404"/>
      <c r="AB415" s="404"/>
      <c r="AC415" s="404"/>
      <c r="AD415" s="404"/>
      <c r="AE415" s="404"/>
      <c r="AF415" s="404"/>
      <c r="AG415" s="404"/>
      <c r="AH415" s="404"/>
      <c r="AI415" s="404"/>
      <c r="AJ415" s="404"/>
      <c r="AK415" s="404"/>
      <c r="AL415" s="404"/>
      <c r="AM415" s="404"/>
      <c r="AN415" s="404"/>
      <c r="AO415" s="404"/>
      <c r="AP415" s="404"/>
      <c r="AQ415" s="404"/>
      <c r="AR415" s="404"/>
      <c r="AS415" s="404"/>
      <c r="AT415" s="404"/>
      <c r="AU415" s="404"/>
      <c r="AV415" s="404"/>
      <c r="AW415" s="404"/>
      <c r="AX415" s="404"/>
      <c r="AY415" s="404"/>
      <c r="AZ415" s="404"/>
      <c r="BA415" s="404"/>
      <c r="BB415" s="404"/>
      <c r="BC415" s="404"/>
      <c r="BD415" s="404"/>
      <c r="BE415" s="404"/>
      <c r="BF415" s="404"/>
      <c r="BG415" s="404"/>
      <c r="BH415" s="404"/>
      <c r="BI415" s="404"/>
      <c r="BJ415" s="404"/>
      <c r="BK415" s="404"/>
      <c r="BL415" s="404"/>
    </row>
    <row r="416" spans="1:64" ht="13">
      <c r="A416" s="454"/>
      <c r="B416" s="454"/>
      <c r="C416" s="427"/>
      <c r="D416" s="408"/>
      <c r="E416" s="408"/>
      <c r="F416" s="408"/>
      <c r="G416" s="430"/>
      <c r="H416" s="415"/>
      <c r="I416" s="414"/>
      <c r="J416" s="400"/>
      <c r="K416" s="401"/>
      <c r="L416" s="401"/>
    </row>
    <row r="417" spans="1:12" ht="71.900000000000006" customHeight="1">
      <c r="A417" s="1302">
        <f>A396+1</f>
        <v>11</v>
      </c>
      <c r="B417" s="1302"/>
      <c r="C417" s="1276" t="s">
        <v>887</v>
      </c>
      <c r="D417" s="1276"/>
      <c r="E417" s="1276"/>
      <c r="F417" s="1276"/>
      <c r="G417" s="1276"/>
      <c r="H417" s="1276"/>
      <c r="I417" s="407"/>
      <c r="J417" s="400"/>
      <c r="K417" s="401"/>
      <c r="L417" s="401"/>
    </row>
    <row r="418" spans="1:12" ht="13">
      <c r="A418" s="454"/>
      <c r="B418" s="454"/>
      <c r="C418" s="455" t="s">
        <v>888</v>
      </c>
      <c r="D418" s="408"/>
      <c r="E418" s="454"/>
      <c r="F418" s="408"/>
      <c r="G418" s="430"/>
      <c r="H418" s="456"/>
      <c r="I418" s="408"/>
      <c r="J418" s="400"/>
      <c r="K418" s="401"/>
      <c r="L418" s="401"/>
    </row>
    <row r="419" spans="1:12">
      <c r="A419" s="454"/>
      <c r="B419" s="454"/>
      <c r="C419" s="483" t="s">
        <v>889</v>
      </c>
      <c r="D419" s="408"/>
      <c r="E419" s="454"/>
      <c r="F419" s="408"/>
      <c r="G419" s="430"/>
      <c r="H419" s="456"/>
      <c r="I419" s="408"/>
      <c r="J419" s="400"/>
      <c r="K419" s="401"/>
      <c r="L419" s="401"/>
    </row>
    <row r="420" spans="1:12" ht="13">
      <c r="A420" s="454"/>
      <c r="B420" s="454"/>
      <c r="C420" s="433" t="s">
        <v>890</v>
      </c>
      <c r="D420" s="408"/>
      <c r="E420" s="454"/>
      <c r="F420" s="408"/>
      <c r="G420" s="430"/>
      <c r="H420" s="456"/>
      <c r="I420" s="408"/>
      <c r="J420" s="400"/>
      <c r="K420" s="401"/>
      <c r="L420" s="401"/>
    </row>
    <row r="421" spans="1:12">
      <c r="A421" s="454"/>
      <c r="B421" s="454"/>
      <c r="C421" s="483" t="s">
        <v>504</v>
      </c>
      <c r="D421" s="408">
        <v>59.4</v>
      </c>
      <c r="E421" s="408" t="s">
        <v>833</v>
      </c>
      <c r="F421" s="408">
        <f>[161]LEAD!$N$6</f>
        <v>5200</v>
      </c>
      <c r="G421" s="430">
        <v>1000</v>
      </c>
      <c r="H421" s="456" t="str">
        <f t="shared" ref="H421:H423" si="51">IF(E421="","",IF(E421="No.","Each",IF(E421="Nos.","Each",E421)))</f>
        <v>Kgs</v>
      </c>
      <c r="I421" s="408">
        <f t="shared" ref="I421:I423" si="52">IF(G421="",D421*F421,(D421*F421/G421))</f>
        <v>308.88</v>
      </c>
      <c r="J421" s="400"/>
      <c r="K421" s="401"/>
      <c r="L421" s="401"/>
    </row>
    <row r="422" spans="1:12">
      <c r="A422" s="454"/>
      <c r="B422" s="454"/>
      <c r="C422" s="483" t="s">
        <v>891</v>
      </c>
      <c r="D422" s="408">
        <v>1.1000000000000001</v>
      </c>
      <c r="E422" s="408" t="s">
        <v>57</v>
      </c>
      <c r="F422" s="408">
        <f>[161]LEAD!$N$23</f>
        <v>574.96</v>
      </c>
      <c r="G422" s="430">
        <v>1</v>
      </c>
      <c r="H422" s="456" t="str">
        <f t="shared" si="51"/>
        <v>Cum</v>
      </c>
      <c r="I422" s="408">
        <f t="shared" si="52"/>
        <v>632.45600000000013</v>
      </c>
      <c r="J422" s="400"/>
      <c r="K422" s="401"/>
      <c r="L422" s="401"/>
    </row>
    <row r="423" spans="1:12">
      <c r="A423" s="454"/>
      <c r="B423" s="454"/>
      <c r="C423" s="483" t="s">
        <v>892</v>
      </c>
      <c r="D423" s="408">
        <v>0.33</v>
      </c>
      <c r="E423" s="408" t="s">
        <v>57</v>
      </c>
      <c r="F423" s="408">
        <f>[161]LEAD!$N$13</f>
        <v>2453.91</v>
      </c>
      <c r="G423" s="430">
        <v>1</v>
      </c>
      <c r="H423" s="456" t="str">
        <f t="shared" si="51"/>
        <v>Cum</v>
      </c>
      <c r="I423" s="408">
        <f t="shared" si="52"/>
        <v>809.7903</v>
      </c>
      <c r="J423" s="400"/>
      <c r="K423" s="401"/>
      <c r="L423" s="401"/>
    </row>
    <row r="424" spans="1:12" ht="13">
      <c r="A424" s="454"/>
      <c r="B424" s="454"/>
      <c r="C424" s="433" t="s">
        <v>893</v>
      </c>
      <c r="D424" s="408"/>
      <c r="E424" s="454"/>
      <c r="F424" s="408"/>
      <c r="G424" s="430"/>
      <c r="H424" s="415"/>
      <c r="I424" s="414"/>
      <c r="J424" s="400"/>
      <c r="K424" s="401"/>
      <c r="L424" s="401"/>
    </row>
    <row r="425" spans="1:12">
      <c r="A425" s="454"/>
      <c r="B425" s="454"/>
      <c r="C425" s="417" t="s">
        <v>881</v>
      </c>
      <c r="D425" s="408">
        <v>1.2</v>
      </c>
      <c r="E425" s="408" t="s">
        <v>375</v>
      </c>
      <c r="F425" s="408">
        <f>'[161]Civil-SOR'!$G$293</f>
        <v>580</v>
      </c>
      <c r="G425" s="430">
        <v>1</v>
      </c>
      <c r="H425" s="456" t="str">
        <f t="shared" ref="H425:H426" si="53">IF(E425="","",IF(E425="No.","Each",IF(E425="Nos.","Each",E425)))</f>
        <v>Each</v>
      </c>
      <c r="I425" s="408">
        <f t="shared" ref="I425:I427" si="54">IF(G425="",D425*F425,(D425*F425/G425))</f>
        <v>696</v>
      </c>
      <c r="J425" s="400"/>
      <c r="K425" s="401"/>
      <c r="L425" s="401"/>
    </row>
    <row r="426" spans="1:12">
      <c r="A426" s="454"/>
      <c r="B426" s="454"/>
      <c r="C426" s="417" t="s">
        <v>882</v>
      </c>
      <c r="D426" s="408">
        <v>2</v>
      </c>
      <c r="E426" s="408" t="s">
        <v>375</v>
      </c>
      <c r="F426" s="408">
        <f>'[161]Civil-SOR'!$G$307</f>
        <v>520</v>
      </c>
      <c r="G426" s="430">
        <v>1</v>
      </c>
      <c r="H426" s="456" t="str">
        <f t="shared" si="53"/>
        <v>Each</v>
      </c>
      <c r="I426" s="408">
        <f t="shared" si="54"/>
        <v>1040</v>
      </c>
      <c r="J426" s="400"/>
      <c r="K426" s="401"/>
      <c r="L426" s="401"/>
    </row>
    <row r="427" spans="1:12">
      <c r="A427" s="454"/>
      <c r="B427" s="454"/>
      <c r="C427" s="417" t="str">
        <f>[161]Input!$C$47</f>
        <v>Add for MA @ 40%</v>
      </c>
      <c r="D427" s="408">
        <f>[161]Input!$D$47</f>
        <v>0.4</v>
      </c>
      <c r="E427" s="408"/>
      <c r="F427" s="408">
        <f>SUM(I425:I426)</f>
        <v>1736</v>
      </c>
      <c r="G427" s="430"/>
      <c r="H427" s="456"/>
      <c r="I427" s="408">
        <f t="shared" si="54"/>
        <v>694.40000000000009</v>
      </c>
      <c r="J427" s="400"/>
      <c r="K427" s="401"/>
      <c r="L427" s="401"/>
    </row>
    <row r="428" spans="1:12">
      <c r="A428" s="454"/>
      <c r="B428" s="454"/>
      <c r="C428" s="417"/>
      <c r="D428" s="408"/>
      <c r="E428" s="408"/>
      <c r="F428" s="408"/>
      <c r="G428" s="430"/>
      <c r="H428" s="456"/>
      <c r="I428" s="408">
        <f>SUM(I421:I427)</f>
        <v>4181.5262999999995</v>
      </c>
      <c r="J428" s="400"/>
      <c r="K428" s="401"/>
      <c r="L428" s="401"/>
    </row>
    <row r="429" spans="1:12">
      <c r="A429" s="454"/>
      <c r="B429" s="454"/>
      <c r="C429" s="417" t="s">
        <v>894</v>
      </c>
      <c r="D429" s="408">
        <v>0.01</v>
      </c>
      <c r="E429" s="408"/>
      <c r="F429" s="408">
        <f>I428</f>
        <v>4181.5262999999995</v>
      </c>
      <c r="G429" s="430"/>
      <c r="H429" s="456"/>
      <c r="I429" s="408">
        <f>IF(G429="",D429*F429,(D429*F429/G429))</f>
        <v>41.815262999999995</v>
      </c>
      <c r="J429" s="400"/>
      <c r="K429" s="401"/>
      <c r="L429" s="401"/>
    </row>
    <row r="430" spans="1:12">
      <c r="A430" s="454"/>
      <c r="B430" s="454"/>
      <c r="C430" s="417"/>
      <c r="D430" s="408"/>
      <c r="E430" s="408"/>
      <c r="F430" s="408"/>
      <c r="G430" s="430"/>
      <c r="H430" s="456"/>
      <c r="I430" s="408">
        <f>SUM(I428:I429)</f>
        <v>4223.341563</v>
      </c>
      <c r="J430" s="400"/>
      <c r="K430" s="401"/>
      <c r="L430" s="401"/>
    </row>
    <row r="431" spans="1:12" ht="25">
      <c r="A431" s="454"/>
      <c r="B431" s="454"/>
      <c r="C431" s="417" t="str">
        <f>[161]Input!$C$48</f>
        <v>Overheads &amp; Contractors Profit @ 13.615%</v>
      </c>
      <c r="D431" s="467">
        <f>[161]Input!$D$48</f>
        <v>0.13614999999999999</v>
      </c>
      <c r="E431" s="454"/>
      <c r="F431" s="408">
        <f>I430</f>
        <v>4223.341563</v>
      </c>
      <c r="G431" s="430"/>
      <c r="H431" s="415"/>
      <c r="I431" s="408">
        <f>IF(G431="",D431*F431,(D431*F431/G431))</f>
        <v>575.00795380244995</v>
      </c>
      <c r="J431" s="400"/>
      <c r="K431" s="401"/>
      <c r="L431" s="401"/>
    </row>
    <row r="432" spans="1:12" ht="13">
      <c r="A432" s="454"/>
      <c r="B432" s="454"/>
      <c r="C432" s="427" t="s">
        <v>724</v>
      </c>
      <c r="D432" s="408"/>
      <c r="E432" s="454"/>
      <c r="F432" s="408"/>
      <c r="G432" s="430"/>
      <c r="H432" s="408" t="s">
        <v>725</v>
      </c>
      <c r="I432" s="408">
        <f>SUM(I430:I431)</f>
        <v>4798.3495168024501</v>
      </c>
      <c r="J432" s="400"/>
      <c r="K432" s="401"/>
      <c r="L432" s="401"/>
    </row>
    <row r="433" spans="1:18" ht="13">
      <c r="A433" s="454"/>
      <c r="B433" s="454"/>
      <c r="C433" s="427"/>
      <c r="D433" s="408"/>
      <c r="E433" s="454"/>
      <c r="F433" s="408"/>
      <c r="G433" s="430"/>
      <c r="H433" s="415" t="s">
        <v>687</v>
      </c>
      <c r="I433" s="414">
        <f>ROUND(I432,0)</f>
        <v>4798</v>
      </c>
      <c r="J433" s="400"/>
      <c r="K433" s="401"/>
      <c r="L433" s="401"/>
    </row>
    <row r="434" spans="1:18" ht="13">
      <c r="A434" s="454"/>
      <c r="B434" s="454"/>
      <c r="C434" s="427"/>
      <c r="D434" s="408"/>
      <c r="E434" s="454"/>
      <c r="F434" s="408"/>
      <c r="G434" s="430"/>
      <c r="H434" s="415"/>
      <c r="I434" s="414"/>
      <c r="J434" s="400"/>
      <c r="K434" s="401"/>
      <c r="L434" s="401"/>
    </row>
    <row r="435" spans="1:18" ht="71.900000000000006" customHeight="1">
      <c r="A435" s="1302">
        <f>1+A396</f>
        <v>11</v>
      </c>
      <c r="B435" s="1302"/>
      <c r="C435" s="1276" t="s">
        <v>895</v>
      </c>
      <c r="D435" s="1276"/>
      <c r="E435" s="1276"/>
      <c r="F435" s="1276"/>
      <c r="G435" s="1276"/>
      <c r="H435" s="1276"/>
      <c r="I435" s="407"/>
      <c r="J435" s="484"/>
      <c r="K435" s="485"/>
      <c r="L435" s="485"/>
      <c r="M435" s="486"/>
      <c r="N435" s="486"/>
      <c r="O435" s="486"/>
      <c r="P435" s="486"/>
      <c r="Q435" s="486"/>
      <c r="R435" s="486"/>
    </row>
    <row r="436" spans="1:18" ht="13">
      <c r="A436" s="454"/>
      <c r="B436" s="454"/>
      <c r="C436" s="455" t="s">
        <v>888</v>
      </c>
      <c r="D436" s="408"/>
      <c r="E436" s="454"/>
      <c r="F436" s="408"/>
      <c r="G436" s="430"/>
      <c r="H436" s="456"/>
      <c r="I436" s="408"/>
      <c r="J436" s="400"/>
      <c r="K436" s="401"/>
      <c r="L436" s="401"/>
    </row>
    <row r="437" spans="1:18">
      <c r="A437" s="454"/>
      <c r="B437" s="454"/>
      <c r="C437" s="483" t="s">
        <v>889</v>
      </c>
      <c r="D437" s="408"/>
      <c r="E437" s="454"/>
      <c r="F437" s="408"/>
      <c r="G437" s="430"/>
      <c r="H437" s="456"/>
      <c r="I437" s="408"/>
      <c r="J437" s="400"/>
      <c r="K437" s="401"/>
      <c r="L437" s="401"/>
    </row>
    <row r="438" spans="1:18" ht="13">
      <c r="A438" s="454"/>
      <c r="B438" s="454"/>
      <c r="C438" s="433" t="s">
        <v>890</v>
      </c>
      <c r="D438" s="408"/>
      <c r="E438" s="454"/>
      <c r="F438" s="408"/>
      <c r="G438" s="430"/>
      <c r="H438" s="456"/>
      <c r="I438" s="408"/>
      <c r="J438" s="400"/>
      <c r="K438" s="401"/>
      <c r="L438" s="401"/>
    </row>
    <row r="439" spans="1:18">
      <c r="A439" s="454"/>
      <c r="B439" s="454"/>
      <c r="C439" s="483" t="s">
        <v>504</v>
      </c>
      <c r="D439" s="408">
        <v>59.4</v>
      </c>
      <c r="E439" s="408" t="s">
        <v>833</v>
      </c>
      <c r="F439" s="408">
        <f>[161]LEAD!$N$6</f>
        <v>5200</v>
      </c>
      <c r="G439" s="430">
        <v>1000</v>
      </c>
      <c r="H439" s="456" t="str">
        <f t="shared" ref="H439:H441" si="55">IF(E439="","",IF(E439="No.","Each",IF(E439="Nos.","Each",E439)))</f>
        <v>Kgs</v>
      </c>
      <c r="I439" s="408">
        <f t="shared" ref="I439:I441" si="56">IF(G439="",D439*F439,(D439*F439/G439))</f>
        <v>308.88</v>
      </c>
      <c r="J439" s="487"/>
      <c r="K439" s="401"/>
      <c r="L439" s="401"/>
    </row>
    <row r="440" spans="1:18">
      <c r="A440" s="454"/>
      <c r="B440" s="454"/>
      <c r="C440" s="483" t="s">
        <v>896</v>
      </c>
      <c r="D440" s="408">
        <v>1.1000000000000001</v>
      </c>
      <c r="E440" s="408" t="s">
        <v>57</v>
      </c>
      <c r="F440" s="408">
        <f>[161]LEAD!$N$24</f>
        <v>760.96</v>
      </c>
      <c r="G440" s="430">
        <v>1</v>
      </c>
      <c r="H440" s="456" t="str">
        <f t="shared" si="55"/>
        <v>Cum</v>
      </c>
      <c r="I440" s="408">
        <f t="shared" si="56"/>
        <v>837.05600000000015</v>
      </c>
      <c r="J440" s="487"/>
      <c r="K440" s="401"/>
      <c r="L440" s="401"/>
    </row>
    <row r="441" spans="1:18">
      <c r="A441" s="454"/>
      <c r="B441" s="454"/>
      <c r="C441" s="483" t="s">
        <v>892</v>
      </c>
      <c r="D441" s="408">
        <v>0.33</v>
      </c>
      <c r="E441" s="408" t="s">
        <v>57</v>
      </c>
      <c r="F441" s="408">
        <f>[161]LEAD!$N$13</f>
        <v>2453.91</v>
      </c>
      <c r="G441" s="430">
        <v>1</v>
      </c>
      <c r="H441" s="456" t="str">
        <f t="shared" si="55"/>
        <v>Cum</v>
      </c>
      <c r="I441" s="408">
        <f t="shared" si="56"/>
        <v>809.7903</v>
      </c>
      <c r="J441" s="487"/>
      <c r="K441" s="401"/>
      <c r="L441" s="401"/>
    </row>
    <row r="442" spans="1:18" ht="13">
      <c r="A442" s="454"/>
      <c r="B442" s="454"/>
      <c r="C442" s="433" t="s">
        <v>893</v>
      </c>
      <c r="D442" s="408"/>
      <c r="E442" s="454"/>
      <c r="F442" s="408"/>
      <c r="G442" s="430"/>
      <c r="H442" s="415"/>
      <c r="I442" s="414"/>
      <c r="J442" s="487"/>
      <c r="K442" s="401"/>
      <c r="L442" s="401"/>
    </row>
    <row r="443" spans="1:18">
      <c r="A443" s="454"/>
      <c r="B443" s="454"/>
      <c r="C443" s="417" t="s">
        <v>881</v>
      </c>
      <c r="D443" s="408">
        <v>1.2</v>
      </c>
      <c r="E443" s="408" t="s">
        <v>375</v>
      </c>
      <c r="F443" s="408">
        <f>'[161]Civil-SOR'!$G$293</f>
        <v>580</v>
      </c>
      <c r="G443" s="430">
        <v>1</v>
      </c>
      <c r="H443" s="456" t="str">
        <f t="shared" ref="H443:H444" si="57">IF(E443="","",IF(E443="No.","Each",IF(E443="Nos.","Each",E443)))</f>
        <v>Each</v>
      </c>
      <c r="I443" s="408">
        <f t="shared" ref="I443:I445" si="58">IF(G443="",D443*F443,(D443*F443/G443))</f>
        <v>696</v>
      </c>
      <c r="J443" s="487"/>
      <c r="K443" s="401"/>
      <c r="L443" s="401"/>
    </row>
    <row r="444" spans="1:18">
      <c r="A444" s="454"/>
      <c r="B444" s="454"/>
      <c r="C444" s="417" t="s">
        <v>882</v>
      </c>
      <c r="D444" s="408">
        <v>2</v>
      </c>
      <c r="E444" s="408" t="s">
        <v>375</v>
      </c>
      <c r="F444" s="408">
        <f>'[161]Civil-SOR'!$G$307</f>
        <v>520</v>
      </c>
      <c r="G444" s="430">
        <v>1</v>
      </c>
      <c r="H444" s="456" t="str">
        <f t="shared" si="57"/>
        <v>Each</v>
      </c>
      <c r="I444" s="408">
        <f t="shared" si="58"/>
        <v>1040</v>
      </c>
      <c r="J444" s="487"/>
      <c r="K444" s="401"/>
      <c r="L444" s="401"/>
    </row>
    <row r="445" spans="1:18">
      <c r="A445" s="454"/>
      <c r="B445" s="454"/>
      <c r="C445" s="417" t="str">
        <f>[161]Input!$C$47</f>
        <v>Add for MA @ 40%</v>
      </c>
      <c r="D445" s="408">
        <f>[161]Input!$D$47</f>
        <v>0.4</v>
      </c>
      <c r="E445" s="408"/>
      <c r="F445" s="408">
        <f>SUM(I443:I444)</f>
        <v>1736</v>
      </c>
      <c r="G445" s="430"/>
      <c r="H445" s="456"/>
      <c r="I445" s="408">
        <f t="shared" si="58"/>
        <v>694.40000000000009</v>
      </c>
      <c r="J445" s="487"/>
      <c r="K445" s="401"/>
      <c r="L445" s="401"/>
    </row>
    <row r="446" spans="1:18">
      <c r="A446" s="454"/>
      <c r="B446" s="454"/>
      <c r="C446" s="417"/>
      <c r="D446" s="408"/>
      <c r="E446" s="408"/>
      <c r="F446" s="408"/>
      <c r="G446" s="430"/>
      <c r="H446" s="456"/>
      <c r="I446" s="408">
        <f>SUM(I439:I445)</f>
        <v>4386.1262999999999</v>
      </c>
      <c r="J446" s="487"/>
      <c r="K446" s="401"/>
      <c r="L446" s="401"/>
    </row>
    <row r="447" spans="1:18">
      <c r="A447" s="454"/>
      <c r="B447" s="454"/>
      <c r="C447" s="417" t="s">
        <v>894</v>
      </c>
      <c r="D447" s="408">
        <v>0.01</v>
      </c>
      <c r="E447" s="408"/>
      <c r="F447" s="408">
        <f>I446</f>
        <v>4386.1262999999999</v>
      </c>
      <c r="G447" s="430"/>
      <c r="H447" s="456"/>
      <c r="I447" s="408">
        <f>IF(G447="",D447*F447,(D447*F447/G447))</f>
        <v>43.861263000000001</v>
      </c>
      <c r="J447" s="487"/>
      <c r="K447" s="401"/>
      <c r="L447" s="401"/>
    </row>
    <row r="448" spans="1:18">
      <c r="A448" s="454"/>
      <c r="B448" s="454"/>
      <c r="C448" s="417"/>
      <c r="D448" s="408"/>
      <c r="E448" s="408"/>
      <c r="F448" s="408"/>
      <c r="G448" s="430"/>
      <c r="H448" s="456"/>
      <c r="I448" s="408">
        <f>SUM(I446:I447)</f>
        <v>4429.9875629999997</v>
      </c>
      <c r="J448" s="487"/>
      <c r="K448" s="401"/>
      <c r="L448" s="401"/>
    </row>
    <row r="449" spans="1:64" ht="25">
      <c r="A449" s="454"/>
      <c r="B449" s="454"/>
      <c r="C449" s="417" t="str">
        <f>[161]Input!$C$48</f>
        <v>Overheads &amp; Contractors Profit @ 13.615%</v>
      </c>
      <c r="D449" s="467">
        <f>[161]Input!$D$48</f>
        <v>0.13614999999999999</v>
      </c>
      <c r="E449" s="454"/>
      <c r="F449" s="408">
        <f>I448</f>
        <v>4429.9875629999997</v>
      </c>
      <c r="G449" s="430"/>
      <c r="H449" s="415"/>
      <c r="I449" s="408">
        <f>IF(G449="",D449*F449,(D449*F449/G449))</f>
        <v>603.14280670244989</v>
      </c>
      <c r="J449" s="487"/>
      <c r="K449" s="401"/>
      <c r="L449" s="401"/>
    </row>
    <row r="450" spans="1:64" ht="13">
      <c r="A450" s="454"/>
      <c r="B450" s="454"/>
      <c r="C450" s="427" t="s">
        <v>724</v>
      </c>
      <c r="D450" s="408"/>
      <c r="E450" s="454"/>
      <c r="F450" s="408"/>
      <c r="G450" s="430"/>
      <c r="H450" s="408" t="s">
        <v>725</v>
      </c>
      <c r="I450" s="408">
        <f>SUM(I448:I449)</f>
        <v>5033.1303697024496</v>
      </c>
      <c r="J450" s="487"/>
      <c r="K450" s="401"/>
      <c r="L450" s="401"/>
    </row>
    <row r="451" spans="1:64" ht="13">
      <c r="A451" s="454"/>
      <c r="B451" s="454"/>
      <c r="C451" s="427"/>
      <c r="D451" s="408"/>
      <c r="E451" s="454"/>
      <c r="F451" s="408"/>
      <c r="G451" s="430"/>
      <c r="H451" s="415" t="s">
        <v>687</v>
      </c>
      <c r="I451" s="414">
        <f>ROUND(I450,0)</f>
        <v>5033</v>
      </c>
      <c r="J451" s="487"/>
      <c r="K451" s="401"/>
      <c r="L451" s="401"/>
    </row>
    <row r="452" spans="1:64" ht="13">
      <c r="A452" s="454"/>
      <c r="B452" s="454"/>
      <c r="C452" s="427"/>
      <c r="D452" s="408"/>
      <c r="E452" s="454"/>
      <c r="F452" s="408"/>
      <c r="G452" s="430"/>
      <c r="H452" s="415"/>
      <c r="I452" s="414"/>
      <c r="J452" s="400"/>
      <c r="K452" s="401"/>
      <c r="L452" s="401"/>
    </row>
    <row r="453" spans="1:64" ht="71.900000000000006" customHeight="1">
      <c r="A453" s="1302">
        <f>+A435+1</f>
        <v>12</v>
      </c>
      <c r="B453" s="1302"/>
      <c r="C453" s="1276" t="s">
        <v>897</v>
      </c>
      <c r="D453" s="1276"/>
      <c r="E453" s="1276"/>
      <c r="F453" s="1276"/>
      <c r="G453" s="1276"/>
      <c r="H453" s="1276"/>
      <c r="I453" s="407"/>
      <c r="J453" s="400"/>
      <c r="K453" s="401"/>
      <c r="L453" s="401"/>
    </row>
    <row r="454" spans="1:64" ht="13">
      <c r="A454" s="454"/>
      <c r="B454" s="454"/>
      <c r="C454" s="455" t="s">
        <v>898</v>
      </c>
      <c r="D454" s="409"/>
      <c r="E454" s="426"/>
      <c r="F454" s="454"/>
      <c r="G454" s="454"/>
      <c r="H454" s="454"/>
      <c r="I454" s="408"/>
      <c r="J454" s="400"/>
      <c r="K454" s="401"/>
      <c r="L454" s="401"/>
    </row>
    <row r="455" spans="1:64" ht="13">
      <c r="A455" s="454"/>
      <c r="B455" s="454"/>
      <c r="C455" s="488" t="s">
        <v>899</v>
      </c>
      <c r="D455" s="454"/>
      <c r="E455" s="454"/>
      <c r="F455" s="454"/>
      <c r="G455" s="454"/>
      <c r="H455" s="454"/>
      <c r="I455" s="408"/>
      <c r="J455" s="400"/>
      <c r="K455" s="401"/>
      <c r="L455" s="401"/>
    </row>
    <row r="456" spans="1:64" ht="13">
      <c r="A456" s="454"/>
      <c r="B456" s="454"/>
      <c r="C456" s="488" t="s">
        <v>873</v>
      </c>
      <c r="D456" s="454"/>
      <c r="E456" s="454"/>
      <c r="F456" s="454"/>
      <c r="G456" s="454"/>
      <c r="H456" s="454"/>
      <c r="I456" s="408"/>
      <c r="J456" s="418"/>
      <c r="K456" s="419"/>
      <c r="L456" s="419"/>
      <c r="M456" s="475"/>
      <c r="N456" s="475"/>
      <c r="O456" s="475"/>
      <c r="P456" s="475"/>
      <c r="Q456" s="475"/>
      <c r="R456" s="475"/>
      <c r="S456" s="475"/>
      <c r="T456" s="475"/>
      <c r="U456" s="475"/>
      <c r="V456" s="475"/>
      <c r="W456" s="475"/>
      <c r="X456" s="475"/>
      <c r="Y456" s="475"/>
      <c r="Z456" s="475"/>
      <c r="AA456" s="475"/>
      <c r="AB456" s="475"/>
      <c r="AC456" s="475"/>
      <c r="AD456" s="475"/>
      <c r="AE456" s="475"/>
      <c r="AF456" s="475"/>
      <c r="AG456" s="475"/>
      <c r="AH456" s="475"/>
      <c r="AI456" s="475"/>
      <c r="AJ456" s="475"/>
      <c r="AK456" s="475"/>
      <c r="AL456" s="475"/>
      <c r="AM456" s="475"/>
      <c r="AN456" s="475"/>
      <c r="AO456" s="475"/>
      <c r="AP456" s="475"/>
      <c r="AQ456" s="475"/>
      <c r="AR456" s="475"/>
      <c r="AS456" s="475"/>
      <c r="AT456" s="475"/>
      <c r="AU456" s="475"/>
      <c r="AV456" s="475"/>
      <c r="AW456" s="475"/>
      <c r="AX456" s="475"/>
      <c r="AY456" s="475"/>
      <c r="AZ456" s="475"/>
      <c r="BA456" s="475"/>
      <c r="BB456" s="475"/>
      <c r="BC456" s="475"/>
      <c r="BD456" s="475"/>
      <c r="BE456" s="475"/>
      <c r="BF456" s="475"/>
      <c r="BG456" s="475"/>
      <c r="BH456" s="475"/>
      <c r="BI456" s="475"/>
      <c r="BJ456" s="475"/>
      <c r="BK456" s="475"/>
      <c r="BL456" s="475"/>
    </row>
    <row r="457" spans="1:64">
      <c r="A457" s="454"/>
      <c r="B457" s="454"/>
      <c r="C457" s="417" t="s">
        <v>900</v>
      </c>
      <c r="D457" s="408">
        <v>0.9</v>
      </c>
      <c r="E457" s="454" t="s">
        <v>57</v>
      </c>
      <c r="F457" s="408">
        <f>[161]LEAD!$N$18</f>
        <v>1310.96</v>
      </c>
      <c r="G457" s="430">
        <v>1</v>
      </c>
      <c r="H457" s="454" t="str">
        <f t="shared" ref="H457:H458" si="59">IF(E457="","",IF(E457="No.","Each",IF(E457="Nos.","Each",E457)))</f>
        <v>Cum</v>
      </c>
      <c r="I457" s="408">
        <f t="shared" ref="I457:I458" si="60">IF(G457="",D457*F457,(D457*F457/G457))</f>
        <v>1179.864</v>
      </c>
      <c r="J457" s="489"/>
      <c r="K457" s="419"/>
      <c r="L457" s="419"/>
      <c r="M457" s="475"/>
      <c r="N457" s="475"/>
      <c r="O457" s="475"/>
      <c r="P457" s="475"/>
      <c r="Q457" s="475"/>
      <c r="R457" s="475"/>
      <c r="S457" s="475"/>
      <c r="T457" s="475"/>
      <c r="U457" s="475"/>
      <c r="V457" s="475"/>
      <c r="W457" s="475"/>
      <c r="X457" s="475"/>
      <c r="Y457" s="475"/>
      <c r="Z457" s="475"/>
      <c r="AA457" s="475"/>
      <c r="AB457" s="475"/>
      <c r="AC457" s="475"/>
      <c r="AD457" s="475"/>
      <c r="AE457" s="475"/>
      <c r="AF457" s="475"/>
      <c r="AG457" s="475"/>
      <c r="AH457" s="475"/>
      <c r="AI457" s="475"/>
      <c r="AJ457" s="475"/>
      <c r="AK457" s="475"/>
      <c r="AL457" s="475"/>
      <c r="AM457" s="475"/>
      <c r="AN457" s="475"/>
      <c r="AO457" s="475"/>
      <c r="AP457" s="475"/>
      <c r="AQ457" s="475"/>
      <c r="AR457" s="475"/>
      <c r="AS457" s="475"/>
      <c r="AT457" s="475"/>
      <c r="AU457" s="475"/>
      <c r="AV457" s="475"/>
      <c r="AW457" s="475"/>
      <c r="AX457" s="475"/>
      <c r="AY457" s="475"/>
      <c r="AZ457" s="475"/>
      <c r="BA457" s="475"/>
      <c r="BB457" s="475"/>
      <c r="BC457" s="475"/>
      <c r="BD457" s="475"/>
      <c r="BE457" s="475"/>
      <c r="BF457" s="475"/>
      <c r="BG457" s="475"/>
      <c r="BH457" s="475"/>
      <c r="BI457" s="475"/>
      <c r="BJ457" s="475"/>
      <c r="BK457" s="475"/>
      <c r="BL457" s="475"/>
    </row>
    <row r="458" spans="1:64">
      <c r="A458" s="454"/>
      <c r="B458" s="454"/>
      <c r="C458" s="417" t="s">
        <v>481</v>
      </c>
      <c r="D458" s="408">
        <v>0.45</v>
      </c>
      <c r="E458" s="454" t="s">
        <v>57</v>
      </c>
      <c r="F458" s="408">
        <f>[161]LEAD!$N$12</f>
        <v>2253.91</v>
      </c>
      <c r="G458" s="430">
        <v>1</v>
      </c>
      <c r="H458" s="454" t="str">
        <f t="shared" si="59"/>
        <v>Cum</v>
      </c>
      <c r="I458" s="408">
        <f t="shared" si="60"/>
        <v>1014.2595</v>
      </c>
      <c r="J458" s="418"/>
      <c r="K458" s="419"/>
      <c r="L458" s="419"/>
      <c r="M458" s="475"/>
      <c r="N458" s="475"/>
      <c r="O458" s="475"/>
      <c r="P458" s="475"/>
      <c r="Q458" s="475"/>
      <c r="R458" s="475"/>
      <c r="S458" s="475"/>
      <c r="T458" s="475"/>
      <c r="U458" s="475"/>
      <c r="V458" s="475"/>
      <c r="W458" s="475"/>
      <c r="X458" s="475"/>
      <c r="Y458" s="475"/>
      <c r="Z458" s="475"/>
      <c r="AA458" s="475"/>
      <c r="AB458" s="475"/>
      <c r="AC458" s="475"/>
      <c r="AD458" s="475"/>
      <c r="AE458" s="475"/>
      <c r="AF458" s="475"/>
      <c r="AG458" s="475"/>
      <c r="AH458" s="475"/>
      <c r="AI458" s="475"/>
      <c r="AJ458" s="475"/>
      <c r="AK458" s="475"/>
      <c r="AL458" s="475"/>
      <c r="AM458" s="475"/>
      <c r="AN458" s="475"/>
      <c r="AO458" s="475"/>
      <c r="AP458" s="475"/>
      <c r="AQ458" s="475"/>
      <c r="AR458" s="475"/>
      <c r="AS458" s="475"/>
      <c r="AT458" s="475"/>
      <c r="AU458" s="475"/>
      <c r="AV458" s="475"/>
      <c r="AW458" s="475"/>
      <c r="AX458" s="475"/>
      <c r="AY458" s="475"/>
      <c r="AZ458" s="475"/>
      <c r="BA458" s="475"/>
      <c r="BB458" s="475"/>
      <c r="BC458" s="475"/>
      <c r="BD458" s="475"/>
      <c r="BE458" s="475"/>
      <c r="BF458" s="475"/>
      <c r="BG458" s="475"/>
      <c r="BH458" s="475"/>
      <c r="BI458" s="475"/>
      <c r="BJ458" s="475"/>
      <c r="BK458" s="475"/>
      <c r="BL458" s="475"/>
    </row>
    <row r="459" spans="1:64">
      <c r="A459" s="454"/>
      <c r="B459" s="454"/>
      <c r="C459" s="417" t="s">
        <v>504</v>
      </c>
      <c r="D459" s="408">
        <v>220</v>
      </c>
      <c r="E459" s="454" t="s">
        <v>833</v>
      </c>
      <c r="F459" s="408">
        <f>[161]LEAD!$N$6</f>
        <v>5200</v>
      </c>
      <c r="G459" s="430">
        <v>1</v>
      </c>
      <c r="H459" s="454" t="s">
        <v>122</v>
      </c>
      <c r="I459" s="408">
        <f>IF(G459="",D459*F459,(D459*F459/G459))/1000</f>
        <v>1144</v>
      </c>
      <c r="J459" s="418"/>
      <c r="K459" s="419"/>
      <c r="L459" s="419"/>
      <c r="M459" s="475"/>
      <c r="N459" s="475"/>
      <c r="O459" s="475"/>
      <c r="P459" s="475"/>
      <c r="Q459" s="475"/>
      <c r="R459" s="475"/>
      <c r="S459" s="475"/>
      <c r="T459" s="475"/>
      <c r="U459" s="475"/>
      <c r="V459" s="475"/>
      <c r="W459" s="475"/>
      <c r="X459" s="475"/>
      <c r="Y459" s="475"/>
      <c r="Z459" s="475"/>
      <c r="AA459" s="475"/>
      <c r="AB459" s="475"/>
      <c r="AC459" s="475"/>
      <c r="AD459" s="475"/>
      <c r="AE459" s="475"/>
      <c r="AF459" s="475"/>
      <c r="AG459" s="475"/>
      <c r="AH459" s="475"/>
      <c r="AI459" s="475"/>
      <c r="AJ459" s="475"/>
      <c r="AK459" s="475"/>
      <c r="AL459" s="475"/>
      <c r="AM459" s="475"/>
      <c r="AN459" s="475"/>
      <c r="AO459" s="475"/>
      <c r="AP459" s="475"/>
      <c r="AQ459" s="475"/>
      <c r="AR459" s="475"/>
      <c r="AS459" s="475"/>
      <c r="AT459" s="475"/>
      <c r="AU459" s="475"/>
      <c r="AV459" s="475"/>
      <c r="AW459" s="475"/>
      <c r="AX459" s="475"/>
      <c r="AY459" s="475"/>
      <c r="AZ459" s="475"/>
      <c r="BA459" s="475"/>
      <c r="BB459" s="475"/>
      <c r="BC459" s="475"/>
      <c r="BD459" s="475"/>
      <c r="BE459" s="475"/>
      <c r="BF459" s="475"/>
      <c r="BG459" s="475"/>
      <c r="BH459" s="475"/>
      <c r="BI459" s="475"/>
      <c r="BJ459" s="475"/>
      <c r="BK459" s="475"/>
      <c r="BL459" s="475"/>
    </row>
    <row r="460" spans="1:64">
      <c r="A460" s="454"/>
      <c r="B460" s="454"/>
      <c r="C460" s="417" t="s">
        <v>901</v>
      </c>
      <c r="D460" s="408">
        <v>1.2</v>
      </c>
      <c r="E460" s="454" t="s">
        <v>853</v>
      </c>
      <c r="F460" s="408">
        <f>[161]Input!$D$53</f>
        <v>108</v>
      </c>
      <c r="G460" s="430">
        <v>1</v>
      </c>
      <c r="H460" s="454" t="str">
        <f>IF(E460="","",IF(E460="No.","Each",IF(E460="Nos.","Each",E460)))</f>
        <v>Kl</v>
      </c>
      <c r="I460" s="408">
        <f>IF(G460="",D460*F460,(D460*F460/G460))</f>
        <v>129.6</v>
      </c>
      <c r="J460" s="418"/>
      <c r="K460" s="419"/>
      <c r="L460" s="419"/>
      <c r="M460" s="475"/>
      <c r="N460" s="475"/>
      <c r="O460" s="475"/>
      <c r="P460" s="475"/>
      <c r="Q460" s="475"/>
      <c r="R460" s="475"/>
      <c r="S460" s="475"/>
      <c r="T460" s="475"/>
      <c r="U460" s="475"/>
      <c r="V460" s="475"/>
      <c r="W460" s="475"/>
      <c r="X460" s="475"/>
      <c r="Y460" s="475"/>
      <c r="Z460" s="475"/>
      <c r="AA460" s="475"/>
      <c r="AB460" s="475"/>
      <c r="AC460" s="475"/>
      <c r="AD460" s="475"/>
      <c r="AE460" s="475"/>
      <c r="AF460" s="475"/>
      <c r="AG460" s="475"/>
      <c r="AH460" s="475"/>
      <c r="AI460" s="475"/>
      <c r="AJ460" s="475"/>
      <c r="AK460" s="475"/>
      <c r="AL460" s="475"/>
      <c r="AM460" s="475"/>
      <c r="AN460" s="475"/>
      <c r="AO460" s="475"/>
      <c r="AP460" s="475"/>
      <c r="AQ460" s="475"/>
      <c r="AR460" s="475"/>
      <c r="AS460" s="475"/>
      <c r="AT460" s="475"/>
      <c r="AU460" s="475"/>
      <c r="AV460" s="475"/>
      <c r="AW460" s="475"/>
      <c r="AX460" s="475"/>
      <c r="AY460" s="475"/>
      <c r="AZ460" s="475"/>
      <c r="BA460" s="475"/>
      <c r="BB460" s="475"/>
      <c r="BC460" s="475"/>
      <c r="BD460" s="475"/>
      <c r="BE460" s="475"/>
      <c r="BF460" s="475"/>
      <c r="BG460" s="475"/>
      <c r="BH460" s="475"/>
      <c r="BI460" s="475"/>
      <c r="BJ460" s="475"/>
      <c r="BK460" s="475"/>
      <c r="BL460" s="475"/>
    </row>
    <row r="461" spans="1:64" ht="13">
      <c r="A461" s="454"/>
      <c r="B461" s="454"/>
      <c r="C461" s="427" t="s">
        <v>878</v>
      </c>
      <c r="D461" s="408"/>
      <c r="E461" s="454"/>
      <c r="F461" s="408"/>
      <c r="G461" s="430"/>
      <c r="H461" s="454"/>
      <c r="I461" s="408"/>
      <c r="J461" s="418"/>
      <c r="K461" s="419"/>
      <c r="L461" s="419"/>
      <c r="M461" s="475"/>
      <c r="N461" s="475"/>
      <c r="O461" s="475"/>
      <c r="P461" s="475"/>
      <c r="Q461" s="475"/>
      <c r="R461" s="475"/>
      <c r="S461" s="475"/>
      <c r="T461" s="475"/>
      <c r="U461" s="475"/>
      <c r="V461" s="475"/>
      <c r="W461" s="475"/>
      <c r="X461" s="475"/>
      <c r="Y461" s="475"/>
      <c r="Z461" s="475"/>
      <c r="AA461" s="475"/>
      <c r="AB461" s="475"/>
      <c r="AC461" s="475"/>
      <c r="AD461" s="475"/>
      <c r="AE461" s="475"/>
      <c r="AF461" s="475"/>
      <c r="AG461" s="475"/>
      <c r="AH461" s="475"/>
      <c r="AI461" s="475"/>
      <c r="AJ461" s="475"/>
      <c r="AK461" s="475"/>
      <c r="AL461" s="475"/>
      <c r="AM461" s="475"/>
      <c r="AN461" s="475"/>
      <c r="AO461" s="475"/>
      <c r="AP461" s="475"/>
      <c r="AQ461" s="475"/>
      <c r="AR461" s="475"/>
      <c r="AS461" s="475"/>
      <c r="AT461" s="475"/>
      <c r="AU461" s="475"/>
      <c r="AV461" s="475"/>
      <c r="AW461" s="475"/>
      <c r="AX461" s="475"/>
      <c r="AY461" s="475"/>
      <c r="AZ461" s="475"/>
      <c r="BA461" s="475"/>
      <c r="BB461" s="475"/>
      <c r="BC461" s="475"/>
      <c r="BD461" s="475"/>
      <c r="BE461" s="475"/>
      <c r="BF461" s="475"/>
      <c r="BG461" s="475"/>
      <c r="BH461" s="475"/>
      <c r="BI461" s="475"/>
      <c r="BJ461" s="475"/>
      <c r="BK461" s="475"/>
      <c r="BL461" s="475"/>
    </row>
    <row r="462" spans="1:64" ht="25">
      <c r="A462" s="454"/>
      <c r="B462" s="454"/>
      <c r="C462" s="417" t="s">
        <v>879</v>
      </c>
      <c r="D462" s="408">
        <v>1</v>
      </c>
      <c r="E462" s="408" t="s">
        <v>826</v>
      </c>
      <c r="F462" s="408">
        <f>'[161]Civil-SOR'!$G$330</f>
        <v>192.9</v>
      </c>
      <c r="G462" s="430">
        <v>1</v>
      </c>
      <c r="H462" s="430" t="str">
        <f t="shared" ref="H462:H463" si="61">IF(E462="","",IF(E462="No.","Each",IF(E462="Nos.","Each",E462)))</f>
        <v>hour</v>
      </c>
      <c r="I462" s="408">
        <f t="shared" ref="I462:I464" si="62">IF(G462="",D462*F462,(D462*F462/G462))</f>
        <v>192.9</v>
      </c>
      <c r="J462" s="418"/>
      <c r="K462" s="419"/>
      <c r="L462" s="419"/>
      <c r="M462" s="475"/>
      <c r="N462" s="475"/>
      <c r="O462" s="475"/>
      <c r="P462" s="475"/>
      <c r="Q462" s="475"/>
      <c r="R462" s="475"/>
      <c r="S462" s="475"/>
      <c r="T462" s="475"/>
      <c r="U462" s="475"/>
      <c r="V462" s="475"/>
      <c r="W462" s="475"/>
      <c r="X462" s="475"/>
      <c r="Y462" s="475"/>
      <c r="Z462" s="475"/>
      <c r="AA462" s="475"/>
      <c r="AB462" s="475"/>
      <c r="AC462" s="475"/>
      <c r="AD462" s="475"/>
      <c r="AE462" s="475"/>
      <c r="AF462" s="475"/>
      <c r="AG462" s="475"/>
      <c r="AH462" s="475"/>
      <c r="AI462" s="475"/>
      <c r="AJ462" s="475"/>
      <c r="AK462" s="475"/>
      <c r="AL462" s="475"/>
      <c r="AM462" s="475"/>
      <c r="AN462" s="475"/>
      <c r="AO462" s="475"/>
      <c r="AP462" s="475"/>
      <c r="AQ462" s="475"/>
      <c r="AR462" s="475"/>
      <c r="AS462" s="475"/>
      <c r="AT462" s="475"/>
      <c r="AU462" s="475"/>
      <c r="AV462" s="475"/>
      <c r="AW462" s="475"/>
      <c r="AX462" s="475"/>
      <c r="AY462" s="475"/>
      <c r="AZ462" s="475"/>
      <c r="BA462" s="475"/>
      <c r="BB462" s="475"/>
      <c r="BC462" s="475"/>
      <c r="BD462" s="475"/>
      <c r="BE462" s="475"/>
      <c r="BF462" s="475"/>
      <c r="BG462" s="475"/>
      <c r="BH462" s="475"/>
      <c r="BI462" s="475"/>
      <c r="BJ462" s="475"/>
      <c r="BK462" s="475"/>
      <c r="BL462" s="475"/>
    </row>
    <row r="463" spans="1:64">
      <c r="A463" s="454"/>
      <c r="B463" s="454"/>
      <c r="C463" s="417" t="s">
        <v>902</v>
      </c>
      <c r="D463" s="408">
        <v>1</v>
      </c>
      <c r="E463" s="408" t="s">
        <v>826</v>
      </c>
      <c r="F463" s="408">
        <f>'[161]Civil-SOR'!$J$330</f>
        <v>302.89999999999998</v>
      </c>
      <c r="G463" s="430">
        <v>1</v>
      </c>
      <c r="H463" s="430" t="str">
        <f t="shared" si="61"/>
        <v>hour</v>
      </c>
      <c r="I463" s="408">
        <f t="shared" si="62"/>
        <v>302.89999999999998</v>
      </c>
      <c r="J463" s="418"/>
      <c r="K463" s="419"/>
      <c r="L463" s="419"/>
      <c r="M463" s="475"/>
      <c r="N463" s="475"/>
      <c r="O463" s="475"/>
      <c r="P463" s="475"/>
      <c r="Q463" s="475"/>
      <c r="R463" s="475"/>
      <c r="S463" s="475"/>
      <c r="T463" s="475"/>
      <c r="U463" s="475"/>
      <c r="V463" s="475"/>
      <c r="W463" s="475"/>
      <c r="X463" s="475"/>
      <c r="Y463" s="475"/>
      <c r="Z463" s="475"/>
      <c r="AA463" s="475"/>
      <c r="AB463" s="475"/>
      <c r="AC463" s="475"/>
      <c r="AD463" s="475"/>
      <c r="AE463" s="475"/>
      <c r="AF463" s="475"/>
      <c r="AG463" s="475"/>
      <c r="AH463" s="475"/>
      <c r="AI463" s="475"/>
      <c r="AJ463" s="475"/>
      <c r="AK463" s="475"/>
      <c r="AL463" s="475"/>
      <c r="AM463" s="475"/>
      <c r="AN463" s="475"/>
      <c r="AO463" s="475"/>
      <c r="AP463" s="475"/>
      <c r="AQ463" s="475"/>
      <c r="AR463" s="475"/>
      <c r="AS463" s="475"/>
      <c r="AT463" s="475"/>
      <c r="AU463" s="475"/>
      <c r="AV463" s="475"/>
      <c r="AW463" s="475"/>
      <c r="AX463" s="475"/>
      <c r="AY463" s="475"/>
      <c r="AZ463" s="475"/>
      <c r="BA463" s="475"/>
      <c r="BB463" s="475"/>
      <c r="BC463" s="475"/>
      <c r="BD463" s="475"/>
      <c r="BE463" s="475"/>
      <c r="BF463" s="475"/>
      <c r="BG463" s="475"/>
      <c r="BH463" s="475"/>
      <c r="BI463" s="475"/>
      <c r="BJ463" s="475"/>
      <c r="BK463" s="475"/>
      <c r="BL463" s="475"/>
    </row>
    <row r="464" spans="1:64">
      <c r="A464" s="454"/>
      <c r="B464" s="454"/>
      <c r="C464" s="417" t="s">
        <v>799</v>
      </c>
      <c r="D464" s="408">
        <f>[161]Input!$D$47</f>
        <v>0.4</v>
      </c>
      <c r="E464" s="408"/>
      <c r="F464" s="408">
        <f>'[161]Civil-SOR'!$J$330</f>
        <v>302.89999999999998</v>
      </c>
      <c r="G464" s="430"/>
      <c r="H464" s="408"/>
      <c r="I464" s="408">
        <f t="shared" si="62"/>
        <v>121.16</v>
      </c>
      <c r="J464" s="418"/>
      <c r="K464" s="419"/>
      <c r="L464" s="419"/>
      <c r="M464" s="475"/>
      <c r="N464" s="475"/>
      <c r="O464" s="475"/>
      <c r="P464" s="475"/>
      <c r="Q464" s="475"/>
      <c r="R464" s="475"/>
      <c r="S464" s="475"/>
      <c r="T464" s="475"/>
      <c r="U464" s="475"/>
      <c r="V464" s="475"/>
      <c r="W464" s="475"/>
      <c r="X464" s="475"/>
      <c r="Y464" s="475"/>
      <c r="Z464" s="475"/>
      <c r="AA464" s="475"/>
      <c r="AB464" s="475"/>
      <c r="AC464" s="475"/>
      <c r="AD464" s="475"/>
      <c r="AE464" s="475"/>
      <c r="AF464" s="475"/>
      <c r="AG464" s="475"/>
      <c r="AH464" s="475"/>
      <c r="AI464" s="475"/>
      <c r="AJ464" s="475"/>
      <c r="AK464" s="475"/>
      <c r="AL464" s="475"/>
      <c r="AM464" s="475"/>
      <c r="AN464" s="475"/>
      <c r="AO464" s="475"/>
      <c r="AP464" s="475"/>
      <c r="AQ464" s="475"/>
      <c r="AR464" s="475"/>
      <c r="AS464" s="475"/>
      <c r="AT464" s="475"/>
      <c r="AU464" s="475"/>
      <c r="AV464" s="475"/>
      <c r="AW464" s="475"/>
      <c r="AX464" s="475"/>
      <c r="AY464" s="475"/>
      <c r="AZ464" s="475"/>
      <c r="BA464" s="475"/>
      <c r="BB464" s="475"/>
      <c r="BC464" s="475"/>
      <c r="BD464" s="475"/>
      <c r="BE464" s="475"/>
      <c r="BF464" s="475"/>
      <c r="BG464" s="475"/>
      <c r="BH464" s="475"/>
      <c r="BI464" s="475"/>
      <c r="BJ464" s="475"/>
      <c r="BK464" s="475"/>
      <c r="BL464" s="475"/>
    </row>
    <row r="465" spans="1:64" ht="13">
      <c r="A465" s="454"/>
      <c r="B465" s="454"/>
      <c r="C465" s="427" t="s">
        <v>880</v>
      </c>
      <c r="D465" s="408"/>
      <c r="E465" s="454"/>
      <c r="F465" s="408"/>
      <c r="G465" s="430"/>
      <c r="H465" s="454"/>
      <c r="I465" s="408"/>
      <c r="J465" s="418"/>
      <c r="K465" s="419"/>
      <c r="L465" s="419"/>
      <c r="M465" s="475"/>
      <c r="N465" s="475"/>
      <c r="O465" s="475"/>
      <c r="P465" s="475"/>
      <c r="Q465" s="475"/>
      <c r="R465" s="475"/>
      <c r="S465" s="475"/>
      <c r="T465" s="475"/>
      <c r="U465" s="475"/>
      <c r="V465" s="475"/>
      <c r="W465" s="475"/>
      <c r="X465" s="475"/>
      <c r="Y465" s="475"/>
      <c r="Z465" s="475"/>
      <c r="AA465" s="475"/>
      <c r="AB465" s="475"/>
      <c r="AC465" s="475"/>
      <c r="AD465" s="475"/>
      <c r="AE465" s="475"/>
      <c r="AF465" s="475"/>
      <c r="AG465" s="475"/>
      <c r="AH465" s="475"/>
      <c r="AI465" s="475"/>
      <c r="AJ465" s="475"/>
      <c r="AK465" s="475"/>
      <c r="AL465" s="475"/>
      <c r="AM465" s="475"/>
      <c r="AN465" s="475"/>
      <c r="AO465" s="475"/>
      <c r="AP465" s="475"/>
      <c r="AQ465" s="475"/>
      <c r="AR465" s="475"/>
      <c r="AS465" s="475"/>
      <c r="AT465" s="475"/>
      <c r="AU465" s="475"/>
      <c r="AV465" s="475"/>
      <c r="AW465" s="475"/>
      <c r="AX465" s="475"/>
      <c r="AY465" s="475"/>
      <c r="AZ465" s="475"/>
      <c r="BA465" s="475"/>
      <c r="BB465" s="475"/>
      <c r="BC465" s="475"/>
      <c r="BD465" s="475"/>
      <c r="BE465" s="475"/>
      <c r="BF465" s="475"/>
      <c r="BG465" s="475"/>
      <c r="BH465" s="475"/>
      <c r="BI465" s="475"/>
      <c r="BJ465" s="475"/>
      <c r="BK465" s="475"/>
      <c r="BL465" s="475"/>
    </row>
    <row r="466" spans="1:64">
      <c r="A466" s="454"/>
      <c r="B466" s="454"/>
      <c r="C466" s="417" t="s">
        <v>881</v>
      </c>
      <c r="D466" s="408">
        <v>0.1</v>
      </c>
      <c r="E466" s="454" t="s">
        <v>375</v>
      </c>
      <c r="F466" s="408">
        <f>'[161]Civil-SOR'!$G$293</f>
        <v>580</v>
      </c>
      <c r="G466" s="430">
        <v>1</v>
      </c>
      <c r="H466" s="454" t="str">
        <f t="shared" ref="H466:H467" si="63">IF(E466="","",IF(E466="No.","Each",IF(E466="Nos.","Each",E466)))</f>
        <v>Each</v>
      </c>
      <c r="I466" s="408">
        <f t="shared" ref="I466:I468" si="64">IF(G466="",D466*F466,(D466*F466/G466))</f>
        <v>58</v>
      </c>
      <c r="J466" s="418"/>
      <c r="K466" s="419"/>
      <c r="L466" s="419"/>
      <c r="M466" s="475"/>
      <c r="N466" s="475"/>
      <c r="O466" s="475"/>
      <c r="P466" s="475"/>
      <c r="Q466" s="475"/>
      <c r="R466" s="475"/>
      <c r="S466" s="475"/>
      <c r="T466" s="475"/>
      <c r="U466" s="475"/>
      <c r="V466" s="475"/>
      <c r="W466" s="475"/>
      <c r="X466" s="475"/>
      <c r="Y466" s="475"/>
      <c r="Z466" s="475"/>
      <c r="AA466" s="475"/>
      <c r="AB466" s="475"/>
      <c r="AC466" s="475"/>
      <c r="AD466" s="475"/>
      <c r="AE466" s="475"/>
      <c r="AF466" s="475"/>
      <c r="AG466" s="475"/>
      <c r="AH466" s="475"/>
      <c r="AI466" s="475"/>
      <c r="AJ466" s="475"/>
      <c r="AK466" s="475"/>
      <c r="AL466" s="475"/>
      <c r="AM466" s="475"/>
      <c r="AN466" s="475"/>
      <c r="AO466" s="475"/>
      <c r="AP466" s="475"/>
      <c r="AQ466" s="475"/>
      <c r="AR466" s="475"/>
      <c r="AS466" s="475"/>
      <c r="AT466" s="475"/>
      <c r="AU466" s="475"/>
      <c r="AV466" s="475"/>
      <c r="AW466" s="475"/>
      <c r="AX466" s="475"/>
      <c r="AY466" s="475"/>
      <c r="AZ466" s="475"/>
      <c r="BA466" s="475"/>
      <c r="BB466" s="475"/>
      <c r="BC466" s="475"/>
      <c r="BD466" s="475"/>
      <c r="BE466" s="475"/>
      <c r="BF466" s="475"/>
      <c r="BG466" s="475"/>
      <c r="BH466" s="475"/>
      <c r="BI466" s="475"/>
      <c r="BJ466" s="475"/>
      <c r="BK466" s="475"/>
      <c r="BL466" s="475"/>
    </row>
    <row r="467" spans="1:64">
      <c r="A467" s="454"/>
      <c r="B467" s="454"/>
      <c r="C467" s="417" t="s">
        <v>903</v>
      </c>
      <c r="D467" s="408">
        <v>1.39</v>
      </c>
      <c r="E467" s="454" t="s">
        <v>375</v>
      </c>
      <c r="F467" s="408">
        <f>'[161]Civil-SOR'!$G$307</f>
        <v>520</v>
      </c>
      <c r="G467" s="430">
        <v>1</v>
      </c>
      <c r="H467" s="454" t="str">
        <f t="shared" si="63"/>
        <v>Each</v>
      </c>
      <c r="I467" s="408">
        <f t="shared" si="64"/>
        <v>722.8</v>
      </c>
      <c r="J467" s="418"/>
      <c r="K467" s="419"/>
      <c r="L467" s="419"/>
      <c r="M467" s="475"/>
      <c r="N467" s="475"/>
      <c r="O467" s="475"/>
      <c r="P467" s="475"/>
      <c r="Q467" s="475"/>
      <c r="R467" s="475"/>
      <c r="S467" s="475"/>
      <c r="T467" s="475"/>
      <c r="U467" s="475"/>
      <c r="V467" s="475"/>
      <c r="W467" s="475"/>
      <c r="X467" s="475"/>
      <c r="Y467" s="475"/>
      <c r="Z467" s="475"/>
      <c r="AA467" s="475"/>
      <c r="AB467" s="475"/>
      <c r="AC467" s="475"/>
      <c r="AD467" s="475"/>
      <c r="AE467" s="475"/>
      <c r="AF467" s="475"/>
      <c r="AG467" s="475"/>
      <c r="AH467" s="475"/>
      <c r="AI467" s="475"/>
      <c r="AJ467" s="475"/>
      <c r="AK467" s="475"/>
      <c r="AL467" s="475"/>
      <c r="AM467" s="475"/>
      <c r="AN467" s="475"/>
      <c r="AO467" s="475"/>
      <c r="AP467" s="475"/>
      <c r="AQ467" s="475"/>
      <c r="AR467" s="475"/>
      <c r="AS467" s="475"/>
      <c r="AT467" s="475"/>
      <c r="AU467" s="475"/>
      <c r="AV467" s="475"/>
      <c r="AW467" s="475"/>
      <c r="AX467" s="475"/>
      <c r="AY467" s="475"/>
      <c r="AZ467" s="475"/>
      <c r="BA467" s="475"/>
      <c r="BB467" s="475"/>
      <c r="BC467" s="475"/>
      <c r="BD467" s="475"/>
      <c r="BE467" s="475"/>
      <c r="BF467" s="475"/>
      <c r="BG467" s="475"/>
      <c r="BH467" s="475"/>
      <c r="BI467" s="475"/>
      <c r="BJ467" s="475"/>
      <c r="BK467" s="475"/>
      <c r="BL467" s="475"/>
    </row>
    <row r="468" spans="1:64">
      <c r="A468" s="454"/>
      <c r="B468" s="454"/>
      <c r="C468" s="417" t="str">
        <f>[161]Input!$C$47</f>
        <v>Add for MA @ 40%</v>
      </c>
      <c r="D468" s="408">
        <f>[161]Input!$D$47</f>
        <v>0.4</v>
      </c>
      <c r="E468" s="454"/>
      <c r="F468" s="408">
        <f>SUM(I466:I467)</f>
        <v>780.8</v>
      </c>
      <c r="G468" s="430"/>
      <c r="H468" s="454"/>
      <c r="I468" s="408">
        <f t="shared" si="64"/>
        <v>312.32</v>
      </c>
      <c r="J468" s="418"/>
      <c r="K468" s="419"/>
      <c r="L468" s="419"/>
      <c r="M468" s="475"/>
      <c r="N468" s="475"/>
      <c r="O468" s="475"/>
      <c r="P468" s="475"/>
      <c r="Q468" s="475"/>
      <c r="R468" s="475"/>
      <c r="S468" s="475"/>
      <c r="T468" s="475"/>
      <c r="U468" s="475"/>
      <c r="V468" s="475"/>
      <c r="W468" s="475"/>
      <c r="X468" s="475"/>
      <c r="Y468" s="475"/>
      <c r="Z468" s="475"/>
      <c r="AA468" s="475"/>
      <c r="AB468" s="475"/>
      <c r="AC468" s="475"/>
      <c r="AD468" s="475"/>
      <c r="AE468" s="475"/>
      <c r="AF468" s="475"/>
      <c r="AG468" s="475"/>
      <c r="AH468" s="475"/>
      <c r="AI468" s="475"/>
      <c r="AJ468" s="475"/>
      <c r="AK468" s="475"/>
      <c r="AL468" s="475"/>
      <c r="AM468" s="475"/>
      <c r="AN468" s="475"/>
      <c r="AO468" s="475"/>
      <c r="AP468" s="475"/>
      <c r="AQ468" s="475"/>
      <c r="AR468" s="475"/>
      <c r="AS468" s="475"/>
      <c r="AT468" s="475"/>
      <c r="AU468" s="475"/>
      <c r="AV468" s="475"/>
      <c r="AW468" s="475"/>
      <c r="AX468" s="475"/>
      <c r="AY468" s="475"/>
      <c r="AZ468" s="475"/>
      <c r="BA468" s="475"/>
      <c r="BB468" s="475"/>
      <c r="BC468" s="475"/>
      <c r="BD468" s="475"/>
      <c r="BE468" s="475"/>
      <c r="BF468" s="475"/>
      <c r="BG468" s="475"/>
      <c r="BH468" s="475"/>
      <c r="BI468" s="475"/>
      <c r="BJ468" s="475"/>
      <c r="BK468" s="475"/>
      <c r="BL468" s="475"/>
    </row>
    <row r="469" spans="1:64" ht="13">
      <c r="A469" s="454"/>
      <c r="B469" s="454"/>
      <c r="C469" s="427" t="s">
        <v>904</v>
      </c>
      <c r="D469" s="408"/>
      <c r="E469" s="454"/>
      <c r="F469" s="408"/>
      <c r="G469" s="430"/>
      <c r="H469" s="415"/>
      <c r="I469" s="408">
        <f>SUM(I457:I468)</f>
        <v>5177.8035</v>
      </c>
      <c r="J469" s="418"/>
      <c r="K469" s="419"/>
      <c r="L469" s="419"/>
      <c r="M469" s="475"/>
      <c r="N469" s="475"/>
      <c r="O469" s="475"/>
      <c r="P469" s="475"/>
      <c r="Q469" s="475"/>
      <c r="R469" s="475"/>
      <c r="S469" s="475"/>
      <c r="T469" s="475"/>
      <c r="U469" s="475"/>
      <c r="V469" s="475"/>
      <c r="W469" s="475"/>
      <c r="X469" s="475"/>
      <c r="Y469" s="475"/>
      <c r="Z469" s="475"/>
      <c r="AA469" s="475"/>
      <c r="AB469" s="475"/>
      <c r="AC469" s="475"/>
      <c r="AD469" s="475"/>
      <c r="AE469" s="475"/>
      <c r="AF469" s="475"/>
      <c r="AG469" s="475"/>
      <c r="AH469" s="475"/>
      <c r="AI469" s="475"/>
      <c r="AJ469" s="475"/>
      <c r="AK469" s="475"/>
      <c r="AL469" s="475"/>
      <c r="AM469" s="475"/>
      <c r="AN469" s="475"/>
      <c r="AO469" s="475"/>
      <c r="AP469" s="475"/>
      <c r="AQ469" s="475"/>
      <c r="AR469" s="475"/>
      <c r="AS469" s="475"/>
      <c r="AT469" s="475"/>
      <c r="AU469" s="475"/>
      <c r="AV469" s="475"/>
      <c r="AW469" s="475"/>
      <c r="AX469" s="475"/>
      <c r="AY469" s="475"/>
      <c r="AZ469" s="475"/>
      <c r="BA469" s="475"/>
      <c r="BB469" s="475"/>
      <c r="BC469" s="475"/>
      <c r="BD469" s="475"/>
      <c r="BE469" s="475"/>
      <c r="BF469" s="475"/>
      <c r="BG469" s="475"/>
      <c r="BH469" s="475"/>
      <c r="BI469" s="475"/>
      <c r="BJ469" s="475"/>
      <c r="BK469" s="475"/>
      <c r="BL469" s="475"/>
    </row>
    <row r="470" spans="1:64" ht="25">
      <c r="A470" s="454"/>
      <c r="B470" s="454"/>
      <c r="C470" s="417" t="str">
        <f>[161]Input!$C$48</f>
        <v>Overheads &amp; Contractors Profit @ 13.615%</v>
      </c>
      <c r="D470" s="467">
        <f>[161]Input!$D$48</f>
        <v>0.13614999999999999</v>
      </c>
      <c r="E470" s="454"/>
      <c r="F470" s="408">
        <f>I469</f>
        <v>5177.8035</v>
      </c>
      <c r="G470" s="430"/>
      <c r="H470" s="454"/>
      <c r="I470" s="408">
        <f>IF(G470="",D470*F470,(D470*F470/G470))</f>
        <v>704.95794652500001</v>
      </c>
      <c r="J470" s="418"/>
      <c r="K470" s="419"/>
      <c r="L470" s="419"/>
      <c r="M470" s="475"/>
      <c r="N470" s="475"/>
      <c r="O470" s="475"/>
      <c r="P470" s="475"/>
      <c r="Q470" s="475"/>
      <c r="R470" s="475"/>
      <c r="S470" s="475"/>
      <c r="T470" s="475"/>
      <c r="U470" s="475"/>
      <c r="V470" s="475"/>
      <c r="W470" s="475"/>
      <c r="X470" s="475"/>
      <c r="Y470" s="475"/>
      <c r="Z470" s="475"/>
      <c r="AA470" s="475"/>
      <c r="AB470" s="475"/>
      <c r="AC470" s="475"/>
      <c r="AD470" s="475"/>
      <c r="AE470" s="475"/>
      <c r="AF470" s="475"/>
      <c r="AG470" s="475"/>
      <c r="AH470" s="475"/>
      <c r="AI470" s="475"/>
      <c r="AJ470" s="475"/>
      <c r="AK470" s="475"/>
      <c r="AL470" s="475"/>
      <c r="AM470" s="475"/>
      <c r="AN470" s="475"/>
      <c r="AO470" s="475"/>
      <c r="AP470" s="475"/>
      <c r="AQ470" s="475"/>
      <c r="AR470" s="475"/>
      <c r="AS470" s="475"/>
      <c r="AT470" s="475"/>
      <c r="AU470" s="475"/>
      <c r="AV470" s="475"/>
      <c r="AW470" s="475"/>
      <c r="AX470" s="475"/>
      <c r="AY470" s="475"/>
      <c r="AZ470" s="475"/>
      <c r="BA470" s="475"/>
      <c r="BB470" s="475"/>
      <c r="BC470" s="475"/>
      <c r="BD470" s="475"/>
      <c r="BE470" s="475"/>
      <c r="BF470" s="475"/>
      <c r="BG470" s="475"/>
      <c r="BH470" s="475"/>
      <c r="BI470" s="475"/>
      <c r="BJ470" s="475"/>
      <c r="BK470" s="475"/>
      <c r="BL470" s="475"/>
    </row>
    <row r="471" spans="1:64" ht="13">
      <c r="A471" s="454"/>
      <c r="B471" s="454"/>
      <c r="C471" s="427" t="s">
        <v>724</v>
      </c>
      <c r="D471" s="408"/>
      <c r="E471" s="408"/>
      <c r="F471" s="408"/>
      <c r="G471" s="430"/>
      <c r="H471" s="456"/>
      <c r="I471" s="408">
        <f>SUM(I469:I470)</f>
        <v>5882.7614465249999</v>
      </c>
      <c r="J471" s="418"/>
      <c r="K471" s="419"/>
      <c r="L471" s="419"/>
      <c r="M471" s="475"/>
      <c r="N471" s="475"/>
      <c r="O471" s="475"/>
      <c r="P471" s="475"/>
      <c r="Q471" s="475"/>
      <c r="R471" s="475"/>
      <c r="S471" s="475"/>
      <c r="T471" s="475"/>
      <c r="U471" s="475"/>
      <c r="V471" s="475"/>
      <c r="W471" s="475"/>
      <c r="X471" s="475"/>
      <c r="Y471" s="475"/>
      <c r="Z471" s="475"/>
      <c r="AA471" s="475"/>
      <c r="AB471" s="475"/>
      <c r="AC471" s="475"/>
      <c r="AD471" s="475"/>
      <c r="AE471" s="475"/>
      <c r="AF471" s="475"/>
      <c r="AG471" s="475"/>
      <c r="AH471" s="475"/>
      <c r="AI471" s="475"/>
      <c r="AJ471" s="475"/>
      <c r="AK471" s="475"/>
      <c r="AL471" s="475"/>
      <c r="AM471" s="475"/>
      <c r="AN471" s="475"/>
      <c r="AO471" s="475"/>
      <c r="AP471" s="475"/>
      <c r="AQ471" s="475"/>
      <c r="AR471" s="475"/>
      <c r="AS471" s="475"/>
      <c r="AT471" s="475"/>
      <c r="AU471" s="475"/>
      <c r="AV471" s="475"/>
      <c r="AW471" s="475"/>
      <c r="AX471" s="475"/>
      <c r="AY471" s="475"/>
      <c r="AZ471" s="475"/>
      <c r="BA471" s="475"/>
      <c r="BB471" s="475"/>
      <c r="BC471" s="475"/>
      <c r="BD471" s="475"/>
      <c r="BE471" s="475"/>
      <c r="BF471" s="475"/>
      <c r="BG471" s="475"/>
      <c r="BH471" s="475"/>
      <c r="BI471" s="475"/>
      <c r="BJ471" s="475"/>
      <c r="BK471" s="475"/>
      <c r="BL471" s="475"/>
    </row>
    <row r="472" spans="1:64" ht="13">
      <c r="A472" s="454"/>
      <c r="B472" s="454"/>
      <c r="C472" s="427"/>
      <c r="D472" s="408"/>
      <c r="E472" s="454"/>
      <c r="F472" s="408"/>
      <c r="G472" s="430"/>
      <c r="H472" s="415" t="s">
        <v>774</v>
      </c>
      <c r="I472" s="414">
        <f>ROUND(I471,0)</f>
        <v>5883</v>
      </c>
      <c r="J472" s="400"/>
      <c r="K472" s="401"/>
      <c r="L472" s="401"/>
    </row>
    <row r="473" spans="1:64" ht="48.75" customHeight="1">
      <c r="A473" s="430">
        <f>1+A435</f>
        <v>12</v>
      </c>
      <c r="B473" s="454"/>
      <c r="C473" s="1276" t="s">
        <v>905</v>
      </c>
      <c r="D473" s="1276"/>
      <c r="E473" s="1276"/>
      <c r="F473" s="1276"/>
      <c r="G473" s="1276"/>
      <c r="H473" s="1276"/>
      <c r="I473" s="1276"/>
      <c r="J473" s="400"/>
      <c r="K473" s="401"/>
      <c r="L473" s="401"/>
    </row>
    <row r="474" spans="1:64" ht="13">
      <c r="A474" s="454"/>
      <c r="B474" s="454"/>
      <c r="C474" s="473" t="s">
        <v>898</v>
      </c>
      <c r="D474" s="409"/>
      <c r="E474" s="426"/>
      <c r="F474" s="454"/>
      <c r="G474" s="454"/>
      <c r="H474" s="454"/>
      <c r="I474" s="408"/>
      <c r="J474" s="400"/>
      <c r="K474" s="401"/>
      <c r="L474" s="401"/>
    </row>
    <row r="475" spans="1:64" ht="13">
      <c r="A475" s="454"/>
      <c r="B475" s="454"/>
      <c r="C475" s="490" t="s">
        <v>899</v>
      </c>
      <c r="D475" s="454"/>
      <c r="E475" s="454"/>
      <c r="F475" s="454"/>
      <c r="G475" s="454"/>
      <c r="H475" s="454"/>
      <c r="I475" s="408"/>
      <c r="J475" s="400"/>
      <c r="K475" s="401"/>
      <c r="L475" s="401"/>
    </row>
    <row r="476" spans="1:64" ht="13">
      <c r="A476" s="454"/>
      <c r="B476" s="454"/>
      <c r="C476" s="490" t="s">
        <v>873</v>
      </c>
      <c r="D476" s="454"/>
      <c r="E476" s="454"/>
      <c r="F476" s="454"/>
      <c r="G476" s="454"/>
      <c r="H476" s="454"/>
      <c r="I476" s="408"/>
      <c r="J476" s="400"/>
      <c r="K476" s="401"/>
      <c r="L476" s="401"/>
    </row>
    <row r="477" spans="1:64">
      <c r="A477" s="454"/>
      <c r="B477" s="454"/>
      <c r="C477" s="417" t="s">
        <v>906</v>
      </c>
      <c r="D477" s="408">
        <v>0.9</v>
      </c>
      <c r="E477" s="454" t="s">
        <v>57</v>
      </c>
      <c r="F477" s="408">
        <f>[161]LEAD!N19</f>
        <v>1507.96</v>
      </c>
      <c r="G477" s="430">
        <v>1</v>
      </c>
      <c r="H477" s="454" t="str">
        <f t="shared" ref="H477:H478" si="65">IF(E477="","",IF(E477="No.","Each",IF(E477="Nos.","Each",E477)))</f>
        <v>Cum</v>
      </c>
      <c r="I477" s="408">
        <f t="shared" ref="I477:I478" si="66">IF(G477="",D477*F477,(D477*F477/G477))</f>
        <v>1357.164</v>
      </c>
      <c r="J477" s="400"/>
      <c r="K477" s="401"/>
      <c r="L477" s="401"/>
    </row>
    <row r="478" spans="1:64">
      <c r="A478" s="454"/>
      <c r="B478" s="454"/>
      <c r="C478" s="417" t="s">
        <v>481</v>
      </c>
      <c r="D478" s="408">
        <v>0.45</v>
      </c>
      <c r="E478" s="454" t="s">
        <v>57</v>
      </c>
      <c r="F478" s="408">
        <f>[161]LEAD!$N$12</f>
        <v>2253.91</v>
      </c>
      <c r="G478" s="430">
        <v>1</v>
      </c>
      <c r="H478" s="454" t="str">
        <f t="shared" si="65"/>
        <v>Cum</v>
      </c>
      <c r="I478" s="408">
        <f t="shared" si="66"/>
        <v>1014.2595</v>
      </c>
      <c r="J478" s="400"/>
      <c r="K478" s="401"/>
      <c r="L478" s="401"/>
    </row>
    <row r="479" spans="1:64">
      <c r="A479" s="454"/>
      <c r="B479" s="454"/>
      <c r="C479" s="417" t="s">
        <v>504</v>
      </c>
      <c r="D479" s="408">
        <v>220</v>
      </c>
      <c r="E479" s="454" t="s">
        <v>833</v>
      </c>
      <c r="F479" s="408">
        <f>[161]LEAD!$N$6</f>
        <v>5200</v>
      </c>
      <c r="G479" s="430">
        <v>1</v>
      </c>
      <c r="H479" s="454" t="s">
        <v>122</v>
      </c>
      <c r="I479" s="408">
        <f>IF(G479="",D479*F479,(D479*F479/G479))/1000</f>
        <v>1144</v>
      </c>
      <c r="J479" s="400"/>
      <c r="K479" s="401"/>
      <c r="L479" s="401"/>
    </row>
    <row r="480" spans="1:64">
      <c r="A480" s="454"/>
      <c r="B480" s="454"/>
      <c r="C480" s="417" t="s">
        <v>901</v>
      </c>
      <c r="D480" s="408">
        <v>1.2</v>
      </c>
      <c r="E480" s="454" t="s">
        <v>853</v>
      </c>
      <c r="F480" s="408">
        <f>[161]Input!$D$53</f>
        <v>108</v>
      </c>
      <c r="G480" s="430">
        <v>1</v>
      </c>
      <c r="H480" s="454" t="str">
        <f>IF(E480="","",IF(E480="No.","Each",IF(E480="Nos.","Each",E480)))</f>
        <v>Kl</v>
      </c>
      <c r="I480" s="408">
        <f>IF(G480="",D480*F480,(D480*F480/G480))</f>
        <v>129.6</v>
      </c>
      <c r="J480" s="400"/>
      <c r="K480" s="401"/>
      <c r="L480" s="401"/>
    </row>
    <row r="481" spans="1:64" ht="13">
      <c r="A481" s="454"/>
      <c r="B481" s="454"/>
      <c r="C481" s="427" t="s">
        <v>878</v>
      </c>
      <c r="D481" s="408"/>
      <c r="E481" s="454"/>
      <c r="F481" s="408"/>
      <c r="G481" s="430"/>
      <c r="H481" s="454"/>
      <c r="I481" s="408"/>
      <c r="J481" s="400"/>
      <c r="K481" s="401"/>
      <c r="L481" s="401"/>
    </row>
    <row r="482" spans="1:64" ht="25">
      <c r="A482" s="454"/>
      <c r="B482" s="454"/>
      <c r="C482" s="417" t="s">
        <v>879</v>
      </c>
      <c r="D482" s="408">
        <v>1</v>
      </c>
      <c r="E482" s="408" t="s">
        <v>826</v>
      </c>
      <c r="F482" s="408">
        <f>'[161]Civil-SOR'!$G$330</f>
        <v>192.9</v>
      </c>
      <c r="G482" s="430">
        <v>1</v>
      </c>
      <c r="H482" s="430" t="str">
        <f t="shared" ref="H482:H483" si="67">IF(E482="","",IF(E482="No.","Each",IF(E482="Nos.","Each",E482)))</f>
        <v>hour</v>
      </c>
      <c r="I482" s="408">
        <f t="shared" ref="I482:I484" si="68">IF(G482="",D482*F482,(D482*F482/G482))</f>
        <v>192.9</v>
      </c>
      <c r="J482" s="400"/>
      <c r="K482" s="401"/>
      <c r="L482" s="401"/>
    </row>
    <row r="483" spans="1:64">
      <c r="A483" s="454"/>
      <c r="B483" s="454"/>
      <c r="C483" s="417" t="s">
        <v>902</v>
      </c>
      <c r="D483" s="408">
        <v>1</v>
      </c>
      <c r="E483" s="408" t="s">
        <v>826</v>
      </c>
      <c r="F483" s="408">
        <f>'[161]Civil-SOR'!$J$330</f>
        <v>302.89999999999998</v>
      </c>
      <c r="G483" s="430">
        <v>1</v>
      </c>
      <c r="H483" s="430" t="str">
        <f t="shared" si="67"/>
        <v>hour</v>
      </c>
      <c r="I483" s="408">
        <f t="shared" si="68"/>
        <v>302.89999999999998</v>
      </c>
      <c r="J483" s="400"/>
      <c r="K483" s="401"/>
      <c r="L483" s="401"/>
    </row>
    <row r="484" spans="1:64">
      <c r="A484" s="454"/>
      <c r="B484" s="454"/>
      <c r="C484" s="417" t="s">
        <v>799</v>
      </c>
      <c r="D484" s="408">
        <f>[161]Input!$D$47</f>
        <v>0.4</v>
      </c>
      <c r="E484" s="408"/>
      <c r="F484" s="408">
        <f>'[161]Civil-SOR'!$J$330</f>
        <v>302.89999999999998</v>
      </c>
      <c r="G484" s="430"/>
      <c r="H484" s="408"/>
      <c r="I484" s="408">
        <f t="shared" si="68"/>
        <v>121.16</v>
      </c>
      <c r="J484" s="400"/>
      <c r="K484" s="401"/>
      <c r="L484" s="401"/>
    </row>
    <row r="485" spans="1:64" ht="13">
      <c r="A485" s="454"/>
      <c r="B485" s="454"/>
      <c r="C485" s="427" t="s">
        <v>880</v>
      </c>
      <c r="D485" s="408"/>
      <c r="E485" s="454"/>
      <c r="F485" s="408"/>
      <c r="G485" s="430"/>
      <c r="H485" s="454"/>
      <c r="I485" s="408"/>
      <c r="J485" s="400"/>
      <c r="K485" s="401"/>
      <c r="L485" s="401"/>
    </row>
    <row r="486" spans="1:64">
      <c r="A486" s="454"/>
      <c r="B486" s="454"/>
      <c r="C486" s="417" t="s">
        <v>881</v>
      </c>
      <c r="D486" s="408">
        <v>0.1</v>
      </c>
      <c r="E486" s="454" t="s">
        <v>375</v>
      </c>
      <c r="F486" s="408">
        <f>'[161]Civil-SOR'!$G$293</f>
        <v>580</v>
      </c>
      <c r="G486" s="430">
        <v>1</v>
      </c>
      <c r="H486" s="454" t="str">
        <f t="shared" ref="H486:H487" si="69">IF(E486="","",IF(E486="No.","Each",IF(E486="Nos.","Each",E486)))</f>
        <v>Each</v>
      </c>
      <c r="I486" s="408">
        <f t="shared" ref="I486:I488" si="70">IF(G486="",D486*F486,(D486*F486/G486))</f>
        <v>58</v>
      </c>
      <c r="J486" s="400"/>
      <c r="K486" s="401"/>
      <c r="L486" s="401"/>
    </row>
    <row r="487" spans="1:64">
      <c r="A487" s="454"/>
      <c r="B487" s="454"/>
      <c r="C487" s="417" t="s">
        <v>903</v>
      </c>
      <c r="D487" s="408">
        <v>1.39</v>
      </c>
      <c r="E487" s="454" t="s">
        <v>375</v>
      </c>
      <c r="F487" s="408">
        <f>'[161]Civil-SOR'!$G$307</f>
        <v>520</v>
      </c>
      <c r="G487" s="430">
        <v>1</v>
      </c>
      <c r="H487" s="454" t="str">
        <f t="shared" si="69"/>
        <v>Each</v>
      </c>
      <c r="I487" s="408">
        <f t="shared" si="70"/>
        <v>722.8</v>
      </c>
      <c r="J487" s="400"/>
      <c r="K487" s="401"/>
      <c r="L487" s="401"/>
    </row>
    <row r="488" spans="1:64">
      <c r="A488" s="454"/>
      <c r="B488" s="454"/>
      <c r="C488" s="417" t="str">
        <f>[161]Input!$C$47</f>
        <v>Add for MA @ 40%</v>
      </c>
      <c r="D488" s="408">
        <f>[161]Input!$D$47</f>
        <v>0.4</v>
      </c>
      <c r="E488" s="454"/>
      <c r="F488" s="408">
        <f>SUM(I486:I487)</f>
        <v>780.8</v>
      </c>
      <c r="G488" s="430"/>
      <c r="H488" s="454"/>
      <c r="I488" s="408">
        <f t="shared" si="70"/>
        <v>312.32</v>
      </c>
      <c r="J488" s="400"/>
      <c r="K488" s="401"/>
      <c r="L488" s="401"/>
    </row>
    <row r="489" spans="1:64" ht="13">
      <c r="A489" s="454"/>
      <c r="B489" s="454"/>
      <c r="C489" s="427" t="s">
        <v>904</v>
      </c>
      <c r="D489" s="408"/>
      <c r="E489" s="454"/>
      <c r="F489" s="408"/>
      <c r="G489" s="430"/>
      <c r="H489" s="415"/>
      <c r="I489" s="408">
        <f>SUM(I477:I488)</f>
        <v>5355.1034999999993</v>
      </c>
      <c r="J489" s="400"/>
      <c r="K489" s="401"/>
      <c r="L489" s="401"/>
    </row>
    <row r="490" spans="1:64" ht="25">
      <c r="A490" s="454"/>
      <c r="B490" s="454"/>
      <c r="C490" s="417" t="str">
        <f>[161]Input!$C$48</f>
        <v>Overheads &amp; Contractors Profit @ 13.615%</v>
      </c>
      <c r="D490" s="467">
        <f>[161]Input!$D$48</f>
        <v>0.13614999999999999</v>
      </c>
      <c r="E490" s="454"/>
      <c r="F490" s="408">
        <f>I489</f>
        <v>5355.1034999999993</v>
      </c>
      <c r="G490" s="430"/>
      <c r="H490" s="454"/>
      <c r="I490" s="408">
        <f>IF(G490="",D490*F490,(D490*F490/G490))</f>
        <v>729.09734152499982</v>
      </c>
      <c r="J490" s="400"/>
      <c r="K490" s="401"/>
      <c r="L490" s="401"/>
    </row>
    <row r="491" spans="1:64" ht="13">
      <c r="A491" s="454"/>
      <c r="B491" s="454"/>
      <c r="C491" s="427" t="s">
        <v>724</v>
      </c>
      <c r="D491" s="408"/>
      <c r="E491" s="408"/>
      <c r="F491" s="408"/>
      <c r="G491" s="430"/>
      <c r="H491" s="456"/>
      <c r="I491" s="408">
        <f>SUM(I489:I490)</f>
        <v>6084.2008415249993</v>
      </c>
      <c r="J491" s="400"/>
      <c r="K491" s="401"/>
      <c r="L491" s="401"/>
    </row>
    <row r="492" spans="1:64" ht="13">
      <c r="A492" s="454"/>
      <c r="B492" s="454"/>
      <c r="C492" s="427"/>
      <c r="D492" s="408"/>
      <c r="E492" s="454"/>
      <c r="F492" s="408"/>
      <c r="G492" s="430"/>
      <c r="H492" s="415" t="s">
        <v>774</v>
      </c>
      <c r="I492" s="414">
        <f>ROUND(I491,0)</f>
        <v>6084</v>
      </c>
      <c r="J492" s="400"/>
      <c r="K492" s="401"/>
      <c r="L492" s="401"/>
    </row>
    <row r="493" spans="1:64" ht="13">
      <c r="A493" s="454"/>
      <c r="B493" s="454"/>
      <c r="C493" s="427"/>
      <c r="D493" s="408"/>
      <c r="E493" s="454"/>
      <c r="F493" s="408"/>
      <c r="G493" s="430"/>
      <c r="H493" s="415"/>
      <c r="I493" s="414"/>
      <c r="J493" s="400"/>
      <c r="K493" s="401"/>
      <c r="L493" s="401"/>
    </row>
    <row r="494" spans="1:64" ht="103.75" customHeight="1">
      <c r="A494" s="410">
        <f>A453+1</f>
        <v>13</v>
      </c>
      <c r="B494" s="410"/>
      <c r="C494" s="1276" t="s">
        <v>907</v>
      </c>
      <c r="D494" s="1276"/>
      <c r="E494" s="1276"/>
      <c r="F494" s="1276"/>
      <c r="G494" s="1276"/>
      <c r="H494" s="1276"/>
      <c r="I494" s="407"/>
      <c r="J494" s="400"/>
      <c r="K494" s="401"/>
      <c r="L494" s="401"/>
      <c r="M494" s="404"/>
      <c r="N494" s="404"/>
      <c r="O494" s="404"/>
      <c r="P494" s="404"/>
      <c r="Q494" s="404"/>
      <c r="R494" s="404"/>
      <c r="S494" s="404"/>
      <c r="T494" s="404"/>
      <c r="U494" s="404"/>
      <c r="V494" s="404"/>
      <c r="W494" s="404"/>
      <c r="X494" s="404"/>
      <c r="Y494" s="404"/>
      <c r="Z494" s="404"/>
      <c r="AA494" s="404"/>
      <c r="AB494" s="404"/>
      <c r="AC494" s="404"/>
      <c r="AD494" s="404"/>
      <c r="AE494" s="404"/>
      <c r="AF494" s="404"/>
      <c r="AG494" s="404"/>
      <c r="AH494" s="404"/>
      <c r="AI494" s="404"/>
      <c r="AJ494" s="404"/>
      <c r="AK494" s="404"/>
      <c r="AL494" s="404"/>
      <c r="AM494" s="404"/>
      <c r="AN494" s="404"/>
      <c r="AO494" s="404"/>
      <c r="AP494" s="404"/>
      <c r="AQ494" s="404"/>
      <c r="AR494" s="404"/>
      <c r="AS494" s="404"/>
      <c r="AT494" s="404"/>
      <c r="AU494" s="404"/>
      <c r="AV494" s="404"/>
      <c r="AW494" s="404"/>
      <c r="AX494" s="404"/>
      <c r="AY494" s="404"/>
      <c r="AZ494" s="404"/>
      <c r="BA494" s="404"/>
      <c r="BB494" s="404"/>
      <c r="BC494" s="404"/>
      <c r="BD494" s="404"/>
      <c r="BE494" s="404"/>
      <c r="BF494" s="404"/>
      <c r="BG494" s="404"/>
      <c r="BH494" s="404"/>
      <c r="BI494" s="404"/>
      <c r="BJ494" s="404"/>
      <c r="BK494" s="404"/>
      <c r="BL494" s="404"/>
    </row>
    <row r="495" spans="1:64" ht="13">
      <c r="A495" s="426"/>
      <c r="B495" s="426"/>
      <c r="C495" s="455" t="s">
        <v>908</v>
      </c>
      <c r="D495" s="426"/>
      <c r="E495" s="426"/>
      <c r="F495" s="426"/>
      <c r="G495" s="426"/>
      <c r="H495" s="406"/>
      <c r="I495" s="432"/>
      <c r="J495" s="400"/>
      <c r="K495" s="401"/>
      <c r="L495" s="401"/>
      <c r="M495" s="404"/>
      <c r="N495" s="404"/>
      <c r="O495" s="404"/>
      <c r="P495" s="404"/>
      <c r="Q495" s="404"/>
      <c r="R495" s="404"/>
      <c r="S495" s="404"/>
      <c r="T495" s="404"/>
      <c r="U495" s="404"/>
      <c r="V495" s="404"/>
      <c r="W495" s="404"/>
      <c r="X495" s="404"/>
      <c r="Y495" s="404"/>
      <c r="Z495" s="404"/>
      <c r="AA495" s="404"/>
      <c r="AB495" s="404"/>
      <c r="AC495" s="404"/>
      <c r="AD495" s="404"/>
      <c r="AE495" s="404"/>
      <c r="AF495" s="404"/>
      <c r="AG495" s="404"/>
      <c r="AH495" s="404"/>
      <c r="AI495" s="404"/>
      <c r="AJ495" s="404"/>
      <c r="AK495" s="404"/>
      <c r="AL495" s="404"/>
      <c r="AM495" s="404"/>
      <c r="AN495" s="404"/>
      <c r="AO495" s="404"/>
      <c r="AP495" s="404"/>
      <c r="AQ495" s="404"/>
      <c r="AR495" s="404"/>
      <c r="AS495" s="404"/>
      <c r="AT495" s="404"/>
      <c r="AU495" s="404"/>
      <c r="AV495" s="404"/>
      <c r="AW495" s="404"/>
      <c r="AX495" s="404"/>
      <c r="AY495" s="404"/>
      <c r="AZ495" s="404"/>
      <c r="BA495" s="404"/>
      <c r="BB495" s="404"/>
      <c r="BC495" s="404"/>
      <c r="BD495" s="404"/>
      <c r="BE495" s="404"/>
      <c r="BF495" s="404"/>
      <c r="BG495" s="404"/>
      <c r="BH495" s="404"/>
      <c r="BI495" s="404"/>
      <c r="BJ495" s="404"/>
      <c r="BK495" s="404"/>
      <c r="BL495" s="404"/>
    </row>
    <row r="496" spans="1:64" ht="12.75" customHeight="1">
      <c r="A496" s="426"/>
      <c r="B496" s="474"/>
      <c r="C496" s="1294" t="s">
        <v>909</v>
      </c>
      <c r="D496" s="1294"/>
      <c r="E496" s="1294"/>
      <c r="F496" s="1294"/>
      <c r="G496" s="1294"/>
      <c r="H496" s="406"/>
      <c r="I496" s="432"/>
      <c r="J496" s="400"/>
      <c r="K496" s="401"/>
      <c r="L496" s="401"/>
      <c r="M496" s="404"/>
      <c r="N496" s="404"/>
      <c r="O496" s="404"/>
      <c r="P496" s="404"/>
      <c r="Q496" s="404"/>
      <c r="R496" s="404"/>
      <c r="S496" s="404"/>
      <c r="T496" s="404"/>
      <c r="U496" s="404"/>
      <c r="V496" s="404"/>
      <c r="W496" s="404"/>
      <c r="X496" s="404"/>
      <c r="Y496" s="404"/>
      <c r="Z496" s="404"/>
      <c r="AA496" s="404"/>
      <c r="AB496" s="404"/>
      <c r="AC496" s="404"/>
      <c r="AD496" s="404"/>
      <c r="AE496" s="404"/>
      <c r="AF496" s="404"/>
      <c r="AG496" s="404"/>
      <c r="AH496" s="404"/>
      <c r="AI496" s="404"/>
      <c r="AJ496" s="404"/>
      <c r="AK496" s="404"/>
      <c r="AL496" s="404"/>
      <c r="AM496" s="404"/>
      <c r="AN496" s="404"/>
      <c r="AO496" s="404"/>
      <c r="AP496" s="404"/>
      <c r="AQ496" s="404"/>
      <c r="AR496" s="404"/>
      <c r="AS496" s="404"/>
      <c r="AT496" s="404"/>
      <c r="AU496" s="404"/>
      <c r="AV496" s="404"/>
      <c r="AW496" s="404"/>
      <c r="AX496" s="404"/>
      <c r="AY496" s="404"/>
      <c r="AZ496" s="404"/>
      <c r="BA496" s="404"/>
      <c r="BB496" s="404"/>
      <c r="BC496" s="404"/>
      <c r="BD496" s="404"/>
      <c r="BE496" s="404"/>
      <c r="BF496" s="404"/>
      <c r="BG496" s="404"/>
      <c r="BH496" s="404"/>
      <c r="BI496" s="404"/>
      <c r="BJ496" s="404"/>
      <c r="BK496" s="404"/>
      <c r="BL496" s="404"/>
    </row>
    <row r="497" spans="1:64" ht="13">
      <c r="A497" s="426"/>
      <c r="B497" s="474"/>
      <c r="C497" s="451" t="s">
        <v>873</v>
      </c>
      <c r="D497" s="406"/>
      <c r="E497" s="406"/>
      <c r="F497" s="406"/>
      <c r="G497" s="406"/>
      <c r="H497" s="406"/>
      <c r="I497" s="432"/>
      <c r="J497" s="400"/>
      <c r="K497" s="401"/>
      <c r="L497" s="401"/>
      <c r="M497" s="404"/>
      <c r="N497" s="404"/>
      <c r="O497" s="404"/>
      <c r="P497" s="404"/>
      <c r="Q497" s="404"/>
      <c r="R497" s="404"/>
      <c r="S497" s="404"/>
      <c r="T497" s="404"/>
      <c r="U497" s="404"/>
      <c r="V497" s="404"/>
      <c r="W497" s="404"/>
      <c r="X497" s="404"/>
      <c r="Y497" s="404"/>
      <c r="Z497" s="404"/>
      <c r="AA497" s="404"/>
      <c r="AB497" s="404"/>
      <c r="AC497" s="404"/>
      <c r="AD497" s="404"/>
      <c r="AE497" s="404"/>
      <c r="AF497" s="404"/>
      <c r="AG497" s="404"/>
      <c r="AH497" s="404"/>
      <c r="AI497" s="404"/>
      <c r="AJ497" s="404"/>
      <c r="AK497" s="404"/>
      <c r="AL497" s="404"/>
      <c r="AM497" s="404"/>
      <c r="AN497" s="404"/>
      <c r="AO497" s="404"/>
      <c r="AP497" s="404"/>
      <c r="AQ497" s="404"/>
      <c r="AR497" s="404"/>
      <c r="AS497" s="404"/>
      <c r="AT497" s="404"/>
      <c r="AU497" s="404"/>
      <c r="AV497" s="404"/>
      <c r="AW497" s="404"/>
      <c r="AX497" s="404"/>
      <c r="AY497" s="404"/>
      <c r="AZ497" s="404"/>
      <c r="BA497" s="404"/>
      <c r="BB497" s="404"/>
      <c r="BC497" s="404"/>
      <c r="BD497" s="404"/>
      <c r="BE497" s="404"/>
      <c r="BF497" s="404"/>
      <c r="BG497" s="404"/>
      <c r="BH497" s="404"/>
      <c r="BI497" s="404"/>
      <c r="BJ497" s="404"/>
      <c r="BK497" s="404"/>
      <c r="BL497" s="404"/>
    </row>
    <row r="498" spans="1:64">
      <c r="A498" s="426"/>
      <c r="B498" s="426"/>
      <c r="C498" s="417" t="s">
        <v>504</v>
      </c>
      <c r="D498" s="409">
        <v>380</v>
      </c>
      <c r="E498" s="426" t="s">
        <v>833</v>
      </c>
      <c r="F498" s="408">
        <f>[161]LEAD!$N$6</f>
        <v>5200</v>
      </c>
      <c r="G498" s="410">
        <v>1000</v>
      </c>
      <c r="H498" s="426" t="s">
        <v>833</v>
      </c>
      <c r="I498" s="408">
        <f t="shared" ref="I498:I500" si="71">IF(G498="",D498*F498,(D498*F498/G498))</f>
        <v>1976</v>
      </c>
      <c r="J498" s="418"/>
      <c r="K498" s="419"/>
      <c r="L498" s="419"/>
      <c r="M498" s="420"/>
      <c r="N498" s="420"/>
      <c r="O498" s="420"/>
      <c r="P498" s="420"/>
      <c r="Q498" s="420"/>
      <c r="R498" s="420"/>
      <c r="S498" s="420"/>
      <c r="T498" s="420"/>
      <c r="U498" s="420"/>
      <c r="V498" s="420"/>
      <c r="W498" s="420"/>
      <c r="X498" s="420"/>
      <c r="Y498" s="420"/>
      <c r="Z498" s="420"/>
      <c r="AA498" s="420"/>
      <c r="AB498" s="420"/>
      <c r="AC498" s="420"/>
      <c r="AD498" s="420"/>
      <c r="AE498" s="420"/>
      <c r="AF498" s="420"/>
      <c r="AG498" s="420"/>
      <c r="AH498" s="420"/>
      <c r="AI498" s="420"/>
      <c r="AJ498" s="420"/>
      <c r="AK498" s="420"/>
      <c r="AL498" s="420"/>
      <c r="AM498" s="420"/>
      <c r="AN498" s="420"/>
      <c r="AO498" s="420"/>
      <c r="AP498" s="420"/>
      <c r="AQ498" s="420"/>
      <c r="AR498" s="420"/>
      <c r="AS498" s="420"/>
      <c r="AT498" s="420"/>
      <c r="AU498" s="420"/>
      <c r="AV498" s="420"/>
      <c r="AW498" s="420"/>
      <c r="AX498" s="420"/>
      <c r="AY498" s="420"/>
      <c r="AZ498" s="420"/>
      <c r="BA498" s="420"/>
      <c r="BB498" s="420"/>
      <c r="BC498" s="420"/>
      <c r="BD498" s="420"/>
      <c r="BE498" s="420"/>
      <c r="BF498" s="420"/>
      <c r="BG498" s="420"/>
      <c r="BH498" s="420"/>
      <c r="BI498" s="420"/>
      <c r="BJ498" s="420"/>
      <c r="BK498" s="420"/>
      <c r="BL498" s="420"/>
    </row>
    <row r="499" spans="1:64">
      <c r="A499" s="426"/>
      <c r="B499" s="426"/>
      <c r="C499" s="417" t="s">
        <v>910</v>
      </c>
      <c r="D499" s="409">
        <v>0.8</v>
      </c>
      <c r="E499" s="426" t="s">
        <v>57</v>
      </c>
      <c r="F499" s="408">
        <f>$F$16</f>
        <v>1447.96</v>
      </c>
      <c r="G499" s="410">
        <v>1</v>
      </c>
      <c r="H499" s="426" t="s">
        <v>57</v>
      </c>
      <c r="I499" s="408">
        <f t="shared" si="71"/>
        <v>1158.3680000000002</v>
      </c>
      <c r="J499" s="418"/>
      <c r="K499" s="419"/>
      <c r="L499" s="419"/>
      <c r="M499" s="420"/>
      <c r="N499" s="420"/>
      <c r="O499" s="420"/>
      <c r="P499" s="420"/>
      <c r="Q499" s="420"/>
      <c r="R499" s="420"/>
      <c r="S499" s="420"/>
      <c r="T499" s="420"/>
      <c r="U499" s="420"/>
      <c r="V499" s="420"/>
      <c r="W499" s="420"/>
      <c r="X499" s="420"/>
      <c r="Y499" s="420"/>
      <c r="Z499" s="420"/>
      <c r="AA499" s="420"/>
      <c r="AB499" s="420"/>
      <c r="AC499" s="420"/>
      <c r="AD499" s="420"/>
      <c r="AE499" s="420"/>
      <c r="AF499" s="420"/>
      <c r="AG499" s="420"/>
      <c r="AH499" s="420"/>
      <c r="AI499" s="420"/>
      <c r="AJ499" s="420"/>
      <c r="AK499" s="420"/>
      <c r="AL499" s="420"/>
      <c r="AM499" s="420"/>
      <c r="AN499" s="420"/>
      <c r="AO499" s="420"/>
      <c r="AP499" s="420"/>
      <c r="AQ499" s="420"/>
      <c r="AR499" s="420"/>
      <c r="AS499" s="420"/>
      <c r="AT499" s="420"/>
      <c r="AU499" s="420"/>
      <c r="AV499" s="420"/>
      <c r="AW499" s="420"/>
      <c r="AX499" s="420"/>
      <c r="AY499" s="420"/>
      <c r="AZ499" s="420"/>
      <c r="BA499" s="420"/>
      <c r="BB499" s="420"/>
      <c r="BC499" s="420"/>
      <c r="BD499" s="420"/>
      <c r="BE499" s="420"/>
      <c r="BF499" s="420"/>
      <c r="BG499" s="420"/>
      <c r="BH499" s="420"/>
      <c r="BI499" s="420"/>
      <c r="BJ499" s="420"/>
      <c r="BK499" s="420"/>
      <c r="BL499" s="420"/>
    </row>
    <row r="500" spans="1:64">
      <c r="A500" s="426"/>
      <c r="B500" s="426"/>
      <c r="C500" s="417" t="s">
        <v>481</v>
      </c>
      <c r="D500" s="409">
        <v>0.4</v>
      </c>
      <c r="E500" s="426" t="s">
        <v>57</v>
      </c>
      <c r="F500" s="408">
        <f>[161]LEAD!$N$12</f>
        <v>2253.91</v>
      </c>
      <c r="G500" s="410">
        <v>1</v>
      </c>
      <c r="H500" s="426" t="s">
        <v>57</v>
      </c>
      <c r="I500" s="408">
        <f t="shared" si="71"/>
        <v>901.56399999999996</v>
      </c>
      <c r="J500" s="418"/>
      <c r="K500" s="419"/>
      <c r="L500" s="419"/>
      <c r="M500" s="420"/>
      <c r="N500" s="420"/>
      <c r="O500" s="420"/>
      <c r="P500" s="420"/>
      <c r="Q500" s="420"/>
      <c r="R500" s="420"/>
      <c r="S500" s="420"/>
      <c r="T500" s="420"/>
      <c r="U500" s="420"/>
      <c r="V500" s="420"/>
      <c r="W500" s="420"/>
      <c r="X500" s="420"/>
      <c r="Y500" s="420"/>
      <c r="Z500" s="420"/>
      <c r="AA500" s="420"/>
      <c r="AB500" s="420"/>
      <c r="AC500" s="420"/>
      <c r="AD500" s="420"/>
      <c r="AE500" s="420"/>
      <c r="AF500" s="420"/>
      <c r="AG500" s="420"/>
      <c r="AH500" s="420"/>
      <c r="AI500" s="420"/>
      <c r="AJ500" s="420"/>
      <c r="AK500" s="420"/>
      <c r="AL500" s="420"/>
      <c r="AM500" s="420"/>
      <c r="AN500" s="420"/>
      <c r="AO500" s="420"/>
      <c r="AP500" s="420"/>
      <c r="AQ500" s="420"/>
      <c r="AR500" s="420"/>
      <c r="AS500" s="420"/>
      <c r="AT500" s="420"/>
      <c r="AU500" s="420"/>
      <c r="AV500" s="420"/>
      <c r="AW500" s="420"/>
      <c r="AX500" s="420"/>
      <c r="AY500" s="420"/>
      <c r="AZ500" s="420"/>
      <c r="BA500" s="420"/>
      <c r="BB500" s="420"/>
      <c r="BC500" s="420"/>
      <c r="BD500" s="420"/>
      <c r="BE500" s="420"/>
      <c r="BF500" s="420"/>
      <c r="BG500" s="420"/>
      <c r="BH500" s="420"/>
      <c r="BI500" s="420"/>
      <c r="BJ500" s="420"/>
      <c r="BK500" s="420"/>
      <c r="BL500" s="420"/>
    </row>
    <row r="501" spans="1:64" ht="13">
      <c r="A501" s="426"/>
      <c r="B501" s="426"/>
      <c r="C501" s="427" t="s">
        <v>911</v>
      </c>
      <c r="D501" s="426"/>
      <c r="E501" s="426"/>
      <c r="F501" s="426"/>
      <c r="G501" s="426"/>
      <c r="H501" s="426"/>
      <c r="I501" s="409"/>
      <c r="J501" s="418"/>
      <c r="K501" s="419"/>
      <c r="L501" s="419"/>
      <c r="M501" s="420"/>
      <c r="N501" s="420"/>
      <c r="O501" s="420"/>
      <c r="P501" s="420"/>
      <c r="Q501" s="420"/>
      <c r="R501" s="420"/>
      <c r="S501" s="420"/>
      <c r="T501" s="420"/>
      <c r="U501" s="420"/>
      <c r="V501" s="420"/>
      <c r="W501" s="420"/>
      <c r="X501" s="420"/>
      <c r="Y501" s="420"/>
      <c r="Z501" s="420"/>
      <c r="AA501" s="420"/>
      <c r="AB501" s="420"/>
      <c r="AC501" s="420"/>
      <c r="AD501" s="420"/>
      <c r="AE501" s="420"/>
      <c r="AF501" s="420"/>
      <c r="AG501" s="420"/>
      <c r="AH501" s="420"/>
      <c r="AI501" s="420"/>
      <c r="AJ501" s="420"/>
      <c r="AK501" s="420"/>
      <c r="AL501" s="420"/>
      <c r="AM501" s="420"/>
      <c r="AN501" s="420"/>
      <c r="AO501" s="420"/>
      <c r="AP501" s="420"/>
      <c r="AQ501" s="420"/>
      <c r="AR501" s="420"/>
      <c r="AS501" s="420"/>
      <c r="AT501" s="420"/>
      <c r="AU501" s="420"/>
      <c r="AV501" s="420"/>
      <c r="AW501" s="420"/>
      <c r="AX501" s="420"/>
      <c r="AY501" s="420"/>
      <c r="AZ501" s="420"/>
      <c r="BA501" s="420"/>
      <c r="BB501" s="420"/>
      <c r="BC501" s="420"/>
      <c r="BD501" s="420"/>
      <c r="BE501" s="420"/>
      <c r="BF501" s="420"/>
      <c r="BG501" s="420"/>
      <c r="BH501" s="420"/>
      <c r="BI501" s="420"/>
      <c r="BJ501" s="420"/>
      <c r="BK501" s="420"/>
      <c r="BL501" s="420"/>
    </row>
    <row r="502" spans="1:64">
      <c r="A502" s="426"/>
      <c r="B502" s="426"/>
      <c r="C502" s="417" t="s">
        <v>912</v>
      </c>
      <c r="D502" s="491">
        <v>0.13300000000000001</v>
      </c>
      <c r="E502" s="426" t="s">
        <v>14</v>
      </c>
      <c r="F502" s="409">
        <f>'[161]Civil-SOR'!$G$293</f>
        <v>580</v>
      </c>
      <c r="G502" s="410">
        <v>1</v>
      </c>
      <c r="H502" s="426" t="s">
        <v>572</v>
      </c>
      <c r="I502" s="408">
        <f t="shared" ref="I502:I505" si="72">IF(G502="",D502*F502,(D502*F502/G502))</f>
        <v>77.14</v>
      </c>
      <c r="J502" s="418"/>
      <c r="K502" s="419"/>
      <c r="L502" s="419"/>
      <c r="M502" s="420"/>
      <c r="N502" s="420"/>
      <c r="O502" s="420"/>
      <c r="P502" s="420"/>
      <c r="Q502" s="420"/>
      <c r="R502" s="420"/>
      <c r="S502" s="420"/>
      <c r="T502" s="420"/>
      <c r="U502" s="420"/>
      <c r="V502" s="420"/>
      <c r="W502" s="420"/>
      <c r="X502" s="420"/>
      <c r="Y502" s="420"/>
      <c r="Z502" s="420"/>
      <c r="AA502" s="420"/>
      <c r="AB502" s="420"/>
      <c r="AC502" s="420"/>
      <c r="AD502" s="420"/>
      <c r="AE502" s="420"/>
      <c r="AF502" s="420"/>
      <c r="AG502" s="420"/>
      <c r="AH502" s="420"/>
      <c r="AI502" s="420"/>
      <c r="AJ502" s="420"/>
      <c r="AK502" s="420"/>
      <c r="AL502" s="420"/>
      <c r="AM502" s="420"/>
      <c r="AN502" s="420"/>
      <c r="AO502" s="420"/>
      <c r="AP502" s="420"/>
      <c r="AQ502" s="420"/>
      <c r="AR502" s="420"/>
      <c r="AS502" s="420"/>
      <c r="AT502" s="420"/>
      <c r="AU502" s="420"/>
      <c r="AV502" s="420"/>
      <c r="AW502" s="420"/>
      <c r="AX502" s="420"/>
      <c r="AY502" s="420"/>
      <c r="AZ502" s="420"/>
      <c r="BA502" s="420"/>
      <c r="BB502" s="420"/>
      <c r="BC502" s="420"/>
      <c r="BD502" s="420"/>
      <c r="BE502" s="420"/>
      <c r="BF502" s="420"/>
      <c r="BG502" s="420"/>
      <c r="BH502" s="420"/>
      <c r="BI502" s="420"/>
      <c r="BJ502" s="420"/>
      <c r="BK502" s="420"/>
      <c r="BL502" s="420"/>
    </row>
    <row r="503" spans="1:64">
      <c r="A503" s="426"/>
      <c r="B503" s="426"/>
      <c r="C503" s="417" t="s">
        <v>913</v>
      </c>
      <c r="D503" s="491">
        <v>0.26700000000000002</v>
      </c>
      <c r="E503" s="426" t="s">
        <v>14</v>
      </c>
      <c r="F503" s="409">
        <f>'[161]Civil-SOR'!$G$302</f>
        <v>550</v>
      </c>
      <c r="G503" s="410">
        <v>1</v>
      </c>
      <c r="H503" s="426" t="str">
        <f>H502</f>
        <v>Each</v>
      </c>
      <c r="I503" s="408">
        <f t="shared" si="72"/>
        <v>146.85</v>
      </c>
      <c r="J503" s="418"/>
      <c r="K503" s="419"/>
      <c r="L503" s="419"/>
      <c r="M503" s="420"/>
      <c r="N503" s="420"/>
      <c r="O503" s="420"/>
      <c r="P503" s="420"/>
      <c r="Q503" s="420"/>
      <c r="R503" s="420"/>
      <c r="S503" s="420"/>
      <c r="T503" s="420"/>
      <c r="U503" s="420"/>
      <c r="V503" s="420"/>
      <c r="W503" s="420"/>
      <c r="X503" s="420"/>
      <c r="Y503" s="420"/>
      <c r="Z503" s="420"/>
      <c r="AA503" s="420"/>
      <c r="AB503" s="420"/>
      <c r="AC503" s="420"/>
      <c r="AD503" s="420"/>
      <c r="AE503" s="420"/>
      <c r="AF503" s="420"/>
      <c r="AG503" s="420"/>
      <c r="AH503" s="420"/>
      <c r="AI503" s="420"/>
      <c r="AJ503" s="420"/>
      <c r="AK503" s="420"/>
      <c r="AL503" s="420"/>
      <c r="AM503" s="420"/>
      <c r="AN503" s="420"/>
      <c r="AO503" s="420"/>
      <c r="AP503" s="420"/>
      <c r="AQ503" s="420"/>
      <c r="AR503" s="420"/>
      <c r="AS503" s="420"/>
      <c r="AT503" s="420"/>
      <c r="AU503" s="420"/>
      <c r="AV503" s="420"/>
      <c r="AW503" s="420"/>
      <c r="AX503" s="420"/>
      <c r="AY503" s="420"/>
      <c r="AZ503" s="420"/>
      <c r="BA503" s="420"/>
      <c r="BB503" s="420"/>
      <c r="BC503" s="420"/>
      <c r="BD503" s="420"/>
      <c r="BE503" s="420"/>
      <c r="BF503" s="420"/>
      <c r="BG503" s="420"/>
      <c r="BH503" s="420"/>
      <c r="BI503" s="420"/>
      <c r="BJ503" s="420"/>
      <c r="BK503" s="420"/>
      <c r="BL503" s="420"/>
    </row>
    <row r="504" spans="1:64">
      <c r="A504" s="426"/>
      <c r="B504" s="426"/>
      <c r="C504" s="417" t="s">
        <v>914</v>
      </c>
      <c r="D504" s="409">
        <v>4.5999999999999996</v>
      </c>
      <c r="E504" s="426" t="s">
        <v>14</v>
      </c>
      <c r="F504" s="409">
        <f>'[161]Civil-SOR'!$G$307</f>
        <v>520</v>
      </c>
      <c r="G504" s="410">
        <v>1</v>
      </c>
      <c r="H504" s="426" t="str">
        <f>H502</f>
        <v>Each</v>
      </c>
      <c r="I504" s="408">
        <f t="shared" si="72"/>
        <v>2392</v>
      </c>
      <c r="J504" s="418"/>
      <c r="K504" s="419"/>
      <c r="L504" s="419"/>
      <c r="M504" s="420"/>
      <c r="N504" s="420"/>
      <c r="O504" s="420"/>
      <c r="P504" s="420"/>
      <c r="Q504" s="420"/>
      <c r="R504" s="420"/>
      <c r="S504" s="420"/>
      <c r="T504" s="420"/>
      <c r="U504" s="420"/>
      <c r="V504" s="420"/>
      <c r="W504" s="420"/>
      <c r="X504" s="420"/>
      <c r="Y504" s="420"/>
      <c r="Z504" s="420"/>
      <c r="AA504" s="420"/>
      <c r="AB504" s="420"/>
      <c r="AC504" s="420"/>
      <c r="AD504" s="420"/>
      <c r="AE504" s="420"/>
      <c r="AF504" s="420"/>
      <c r="AG504" s="420"/>
      <c r="AH504" s="420"/>
      <c r="AI504" s="420"/>
      <c r="AJ504" s="420"/>
      <c r="AK504" s="420"/>
      <c r="AL504" s="420"/>
      <c r="AM504" s="420"/>
      <c r="AN504" s="420"/>
      <c r="AO504" s="420"/>
      <c r="AP504" s="420"/>
      <c r="AQ504" s="420"/>
      <c r="AR504" s="420"/>
      <c r="AS504" s="420"/>
      <c r="AT504" s="420"/>
      <c r="AU504" s="420"/>
      <c r="AV504" s="420"/>
      <c r="AW504" s="420"/>
      <c r="AX504" s="420"/>
      <c r="AY504" s="420"/>
      <c r="AZ504" s="420"/>
      <c r="BA504" s="420"/>
      <c r="BB504" s="420"/>
      <c r="BC504" s="420"/>
      <c r="BD504" s="420"/>
      <c r="BE504" s="420"/>
      <c r="BF504" s="420"/>
      <c r="BG504" s="420"/>
      <c r="BH504" s="420"/>
      <c r="BI504" s="420"/>
      <c r="BJ504" s="420"/>
      <c r="BK504" s="420"/>
      <c r="BL504" s="420"/>
    </row>
    <row r="505" spans="1:64">
      <c r="A505" s="426"/>
      <c r="B505" s="426"/>
      <c r="C505" s="417" t="str">
        <f>[161]Input!$C$47</f>
        <v>Add for MA @ 40%</v>
      </c>
      <c r="D505" s="409">
        <f>[161]Input!$D$47</f>
        <v>0.4</v>
      </c>
      <c r="E505" s="426"/>
      <c r="F505" s="409">
        <f>SUM(I502:I504)</f>
        <v>2615.9899999999998</v>
      </c>
      <c r="G505" s="410"/>
      <c r="H505" s="426"/>
      <c r="I505" s="408">
        <f t="shared" si="72"/>
        <v>1046.396</v>
      </c>
      <c r="J505" s="418"/>
      <c r="K505" s="419"/>
      <c r="L505" s="419"/>
      <c r="M505" s="420"/>
      <c r="N505" s="420"/>
      <c r="O505" s="420"/>
      <c r="P505" s="420"/>
      <c r="Q505" s="420"/>
      <c r="R505" s="420"/>
      <c r="S505" s="420"/>
      <c r="T505" s="420"/>
      <c r="U505" s="420"/>
      <c r="V505" s="420"/>
      <c r="W505" s="420"/>
      <c r="X505" s="420"/>
      <c r="Y505" s="420"/>
      <c r="Z505" s="420"/>
      <c r="AA505" s="420"/>
      <c r="AB505" s="420"/>
      <c r="AC505" s="420"/>
      <c r="AD505" s="420"/>
      <c r="AE505" s="420"/>
      <c r="AF505" s="420"/>
      <c r="AG505" s="420"/>
      <c r="AH505" s="420"/>
      <c r="AI505" s="420"/>
      <c r="AJ505" s="420"/>
      <c r="AK505" s="420"/>
      <c r="AL505" s="420"/>
      <c r="AM505" s="420"/>
      <c r="AN505" s="420"/>
      <c r="AO505" s="420"/>
      <c r="AP505" s="420"/>
      <c r="AQ505" s="420"/>
      <c r="AR505" s="420"/>
      <c r="AS505" s="420"/>
      <c r="AT505" s="420"/>
      <c r="AU505" s="420"/>
      <c r="AV505" s="420"/>
      <c r="AW505" s="420"/>
      <c r="AX505" s="420"/>
      <c r="AY505" s="420"/>
      <c r="AZ505" s="420"/>
      <c r="BA505" s="420"/>
      <c r="BB505" s="420"/>
      <c r="BC505" s="420"/>
      <c r="BD505" s="420"/>
      <c r="BE505" s="420"/>
      <c r="BF505" s="420"/>
      <c r="BG505" s="420"/>
      <c r="BH505" s="420"/>
      <c r="BI505" s="420"/>
      <c r="BJ505" s="420"/>
      <c r="BK505" s="420"/>
      <c r="BL505" s="420"/>
    </row>
    <row r="506" spans="1:64" ht="13">
      <c r="A506" s="426"/>
      <c r="B506" s="426"/>
      <c r="C506" s="427" t="s">
        <v>915</v>
      </c>
      <c r="D506" s="409"/>
      <c r="E506" s="426"/>
      <c r="F506" s="409"/>
      <c r="G506" s="410"/>
      <c r="H506" s="426"/>
      <c r="I506" s="408"/>
      <c r="J506" s="418"/>
      <c r="K506" s="419"/>
      <c r="L506" s="419"/>
      <c r="M506" s="420"/>
      <c r="N506" s="420"/>
      <c r="O506" s="420"/>
      <c r="P506" s="420"/>
      <c r="Q506" s="420"/>
      <c r="R506" s="420"/>
      <c r="S506" s="420"/>
      <c r="T506" s="420"/>
      <c r="U506" s="420"/>
      <c r="V506" s="420"/>
      <c r="W506" s="420"/>
      <c r="X506" s="420"/>
      <c r="Y506" s="420"/>
      <c r="Z506" s="420"/>
      <c r="AA506" s="420"/>
      <c r="AB506" s="420"/>
      <c r="AC506" s="420"/>
      <c r="AD506" s="420"/>
      <c r="AE506" s="420"/>
      <c r="AF506" s="420"/>
      <c r="AG506" s="420"/>
      <c r="AH506" s="420"/>
      <c r="AI506" s="420"/>
      <c r="AJ506" s="420"/>
      <c r="AK506" s="420"/>
      <c r="AL506" s="420"/>
      <c r="AM506" s="420"/>
      <c r="AN506" s="420"/>
      <c r="AO506" s="420"/>
      <c r="AP506" s="420"/>
      <c r="AQ506" s="420"/>
      <c r="AR506" s="420"/>
      <c r="AS506" s="420"/>
      <c r="AT506" s="420"/>
      <c r="AU506" s="420"/>
      <c r="AV506" s="420"/>
      <c r="AW506" s="420"/>
      <c r="AX506" s="420"/>
      <c r="AY506" s="420"/>
      <c r="AZ506" s="420"/>
      <c r="BA506" s="420"/>
      <c r="BB506" s="420"/>
      <c r="BC506" s="420"/>
      <c r="BD506" s="420"/>
      <c r="BE506" s="420"/>
      <c r="BF506" s="420"/>
      <c r="BG506" s="420"/>
      <c r="BH506" s="420"/>
      <c r="BI506" s="420"/>
      <c r="BJ506" s="420"/>
      <c r="BK506" s="420"/>
      <c r="BL506" s="420"/>
    </row>
    <row r="507" spans="1:64">
      <c r="A507" s="426"/>
      <c r="B507" s="426"/>
      <c r="C507" s="417" t="s">
        <v>916</v>
      </c>
      <c r="D507" s="491">
        <v>1.333</v>
      </c>
      <c r="E507" s="426" t="s">
        <v>796</v>
      </c>
      <c r="F507" s="409">
        <f>'[161]Civil-SOR'!$G$329</f>
        <v>265.79999999999995</v>
      </c>
      <c r="G507" s="410">
        <v>1</v>
      </c>
      <c r="H507" s="426" t="s">
        <v>826</v>
      </c>
      <c r="I507" s="408">
        <f t="shared" ref="I507:I512" si="73">IF(G507="",D507*F507,(D507*F507/G507))</f>
        <v>354.31139999999994</v>
      </c>
      <c r="J507" s="418"/>
      <c r="K507" s="419"/>
      <c r="L507" s="419"/>
      <c r="M507" s="420"/>
      <c r="N507" s="420"/>
      <c r="O507" s="420"/>
      <c r="P507" s="420"/>
      <c r="Q507" s="420"/>
      <c r="R507" s="420"/>
      <c r="S507" s="420"/>
      <c r="T507" s="420"/>
      <c r="U507" s="420"/>
      <c r="V507" s="420"/>
      <c r="W507" s="420"/>
      <c r="X507" s="420"/>
      <c r="Y507" s="420"/>
      <c r="Z507" s="420"/>
      <c r="AA507" s="420"/>
      <c r="AB507" s="420"/>
      <c r="AC507" s="420"/>
      <c r="AD507" s="420"/>
      <c r="AE507" s="420"/>
      <c r="AF507" s="420"/>
      <c r="AG507" s="420"/>
      <c r="AH507" s="420"/>
      <c r="AI507" s="420"/>
      <c r="AJ507" s="420"/>
      <c r="AK507" s="420"/>
      <c r="AL507" s="420"/>
      <c r="AM507" s="420"/>
      <c r="AN507" s="420"/>
      <c r="AO507" s="420"/>
      <c r="AP507" s="420"/>
      <c r="AQ507" s="420"/>
      <c r="AR507" s="420"/>
      <c r="AS507" s="420"/>
      <c r="AT507" s="420"/>
      <c r="AU507" s="420"/>
      <c r="AV507" s="420"/>
      <c r="AW507" s="420"/>
      <c r="AX507" s="420"/>
      <c r="AY507" s="420"/>
      <c r="AZ507" s="420"/>
      <c r="BA507" s="420"/>
      <c r="BB507" s="420"/>
      <c r="BC507" s="420"/>
      <c r="BD507" s="420"/>
      <c r="BE507" s="420"/>
      <c r="BF507" s="420"/>
      <c r="BG507" s="420"/>
      <c r="BH507" s="420"/>
      <c r="BI507" s="420"/>
      <c r="BJ507" s="420"/>
      <c r="BK507" s="420"/>
      <c r="BL507" s="420"/>
    </row>
    <row r="508" spans="1:64">
      <c r="A508" s="426"/>
      <c r="B508" s="426"/>
      <c r="C508" s="417" t="s">
        <v>828</v>
      </c>
      <c r="D508" s="491">
        <v>1.333</v>
      </c>
      <c r="E508" s="426" t="s">
        <v>796</v>
      </c>
      <c r="F508" s="409">
        <f>'[161]Civil-SOR'!$J$329</f>
        <v>454.8</v>
      </c>
      <c r="G508" s="410">
        <v>1</v>
      </c>
      <c r="H508" s="426" t="s">
        <v>826</v>
      </c>
      <c r="I508" s="408">
        <f t="shared" si="73"/>
        <v>606.24839999999995</v>
      </c>
      <c r="J508" s="418"/>
      <c r="K508" s="419"/>
      <c r="L508" s="419"/>
      <c r="M508" s="420"/>
      <c r="N508" s="420"/>
      <c r="O508" s="420"/>
      <c r="P508" s="420"/>
      <c r="Q508" s="420"/>
      <c r="R508" s="420"/>
      <c r="S508" s="420"/>
      <c r="T508" s="420"/>
      <c r="U508" s="420"/>
      <c r="V508" s="420"/>
      <c r="W508" s="420"/>
      <c r="X508" s="420"/>
      <c r="Y508" s="420"/>
      <c r="Z508" s="420"/>
      <c r="AA508" s="420"/>
      <c r="AB508" s="420"/>
      <c r="AC508" s="420"/>
      <c r="AD508" s="420"/>
      <c r="AE508" s="420"/>
      <c r="AF508" s="420"/>
      <c r="AG508" s="420"/>
      <c r="AH508" s="420"/>
      <c r="AI508" s="420"/>
      <c r="AJ508" s="420"/>
      <c r="AK508" s="420"/>
      <c r="AL508" s="420"/>
      <c r="AM508" s="420"/>
      <c r="AN508" s="420"/>
      <c r="AO508" s="420"/>
      <c r="AP508" s="420"/>
      <c r="AQ508" s="420"/>
      <c r="AR508" s="420"/>
      <c r="AS508" s="420"/>
      <c r="AT508" s="420"/>
      <c r="AU508" s="420"/>
      <c r="AV508" s="420"/>
      <c r="AW508" s="420"/>
      <c r="AX508" s="420"/>
      <c r="AY508" s="420"/>
      <c r="AZ508" s="420"/>
      <c r="BA508" s="420"/>
      <c r="BB508" s="420"/>
      <c r="BC508" s="420"/>
      <c r="BD508" s="420"/>
      <c r="BE508" s="420"/>
      <c r="BF508" s="420"/>
      <c r="BG508" s="420"/>
      <c r="BH508" s="420"/>
      <c r="BI508" s="420"/>
      <c r="BJ508" s="420"/>
      <c r="BK508" s="420"/>
      <c r="BL508" s="420"/>
    </row>
    <row r="509" spans="1:64">
      <c r="A509" s="426"/>
      <c r="B509" s="426"/>
      <c r="C509" s="417" t="s">
        <v>917</v>
      </c>
      <c r="D509" s="491">
        <v>1.333</v>
      </c>
      <c r="E509" s="426" t="s">
        <v>796</v>
      </c>
      <c r="F509" s="409">
        <f>'[161]Civil-SOR'!$G$332</f>
        <v>36.5</v>
      </c>
      <c r="G509" s="410">
        <v>1</v>
      </c>
      <c r="H509" s="426" t="s">
        <v>826</v>
      </c>
      <c r="I509" s="408">
        <f t="shared" si="73"/>
        <v>48.654499999999999</v>
      </c>
      <c r="J509" s="418"/>
      <c r="K509" s="419"/>
      <c r="L509" s="419"/>
      <c r="M509" s="482"/>
      <c r="N509" s="482"/>
      <c r="O509" s="482"/>
      <c r="P509" s="482"/>
      <c r="Q509" s="482"/>
      <c r="R509" s="482"/>
      <c r="S509" s="482"/>
      <c r="T509" s="482"/>
      <c r="U509" s="482"/>
      <c r="V509" s="482"/>
      <c r="W509" s="482"/>
      <c r="X509" s="482"/>
      <c r="Y509" s="482"/>
      <c r="Z509" s="482"/>
      <c r="AA509" s="482"/>
      <c r="AB509" s="482"/>
      <c r="AC509" s="482"/>
      <c r="AD509" s="482"/>
      <c r="AE509" s="482"/>
      <c r="AF509" s="482"/>
      <c r="AG509" s="482"/>
      <c r="AH509" s="482"/>
      <c r="AI509" s="482"/>
      <c r="AJ509" s="482"/>
      <c r="AK509" s="482"/>
      <c r="AL509" s="482"/>
      <c r="AM509" s="482"/>
      <c r="AN509" s="482"/>
      <c r="AO509" s="482"/>
      <c r="AP509" s="482"/>
      <c r="AQ509" s="482"/>
      <c r="AR509" s="482"/>
      <c r="AS509" s="482"/>
      <c r="AT509" s="482"/>
      <c r="AU509" s="482"/>
      <c r="AV509" s="482"/>
      <c r="AW509" s="482"/>
      <c r="AX509" s="482"/>
      <c r="AY509" s="482"/>
      <c r="AZ509" s="482"/>
      <c r="BA509" s="482"/>
      <c r="BB509" s="482"/>
      <c r="BC509" s="482"/>
      <c r="BD509" s="482"/>
      <c r="BE509" s="482"/>
      <c r="BF509" s="482"/>
      <c r="BG509" s="482"/>
      <c r="BH509" s="482"/>
      <c r="BI509" s="482"/>
      <c r="BJ509" s="482"/>
      <c r="BK509" s="482"/>
      <c r="BL509" s="482"/>
    </row>
    <row r="510" spans="1:64">
      <c r="A510" s="426"/>
      <c r="B510" s="426"/>
      <c r="C510" s="417" t="s">
        <v>828</v>
      </c>
      <c r="D510" s="491">
        <v>1.333</v>
      </c>
      <c r="E510" s="426" t="s">
        <v>796</v>
      </c>
      <c r="F510" s="409">
        <f>'[161]Civil-SOR'!$J$332</f>
        <v>218</v>
      </c>
      <c r="G510" s="410">
        <v>1</v>
      </c>
      <c r="H510" s="426" t="s">
        <v>826</v>
      </c>
      <c r="I510" s="408">
        <f t="shared" si="73"/>
        <v>290.59399999999999</v>
      </c>
      <c r="J510" s="418"/>
      <c r="K510" s="419"/>
      <c r="L510" s="419"/>
      <c r="M510" s="420"/>
      <c r="N510" s="420"/>
      <c r="O510" s="420"/>
      <c r="P510" s="420"/>
      <c r="Q510" s="420"/>
      <c r="R510" s="420"/>
      <c r="S510" s="420"/>
      <c r="T510" s="420"/>
      <c r="U510" s="420"/>
      <c r="V510" s="420"/>
      <c r="W510" s="420"/>
      <c r="X510" s="420"/>
      <c r="Y510" s="420"/>
      <c r="Z510" s="420"/>
      <c r="AA510" s="420"/>
      <c r="AB510" s="420"/>
      <c r="AC510" s="420"/>
      <c r="AD510" s="420"/>
      <c r="AE510" s="420"/>
      <c r="AF510" s="420"/>
      <c r="AG510" s="420"/>
      <c r="AH510" s="420"/>
      <c r="AI510" s="420"/>
      <c r="AJ510" s="420"/>
      <c r="AK510" s="420"/>
      <c r="AL510" s="420"/>
      <c r="AM510" s="420"/>
      <c r="AN510" s="420"/>
      <c r="AO510" s="420"/>
      <c r="AP510" s="420"/>
      <c r="AQ510" s="420"/>
      <c r="AR510" s="420"/>
      <c r="AS510" s="420"/>
      <c r="AT510" s="420"/>
      <c r="AU510" s="420"/>
      <c r="AV510" s="420"/>
      <c r="AW510" s="420"/>
      <c r="AX510" s="420"/>
      <c r="AY510" s="420"/>
      <c r="AZ510" s="420"/>
      <c r="BA510" s="420"/>
      <c r="BB510" s="420"/>
      <c r="BC510" s="420"/>
      <c r="BD510" s="420"/>
      <c r="BE510" s="420"/>
      <c r="BF510" s="420"/>
      <c r="BG510" s="420"/>
      <c r="BH510" s="420"/>
      <c r="BI510" s="420"/>
      <c r="BJ510" s="420"/>
      <c r="BK510" s="420"/>
      <c r="BL510" s="420"/>
    </row>
    <row r="511" spans="1:64">
      <c r="A511" s="426"/>
      <c r="B511" s="426"/>
      <c r="C511" s="417" t="s">
        <v>799</v>
      </c>
      <c r="D511" s="409">
        <f>[161]Input!$D$47</f>
        <v>0.4</v>
      </c>
      <c r="E511" s="426"/>
      <c r="F511" s="409">
        <f>$I$508+$I$510</f>
        <v>896.8424</v>
      </c>
      <c r="G511" s="410"/>
      <c r="H511" s="426"/>
      <c r="I511" s="408">
        <f t="shared" si="73"/>
        <v>358.73696000000001</v>
      </c>
      <c r="J511" s="418"/>
      <c r="K511" s="419"/>
      <c r="L511" s="419"/>
      <c r="M511" s="420"/>
      <c r="N511" s="420"/>
      <c r="O511" s="420"/>
      <c r="P511" s="420"/>
      <c r="Q511" s="420"/>
      <c r="R511" s="420"/>
      <c r="S511" s="420"/>
      <c r="T511" s="420"/>
      <c r="U511" s="420"/>
      <c r="V511" s="420"/>
      <c r="W511" s="420"/>
      <c r="X511" s="420"/>
      <c r="Y511" s="420"/>
      <c r="Z511" s="420"/>
      <c r="AA511" s="420"/>
      <c r="AB511" s="420"/>
      <c r="AC511" s="420"/>
      <c r="AD511" s="420"/>
      <c r="AE511" s="420"/>
      <c r="AF511" s="420"/>
      <c r="AG511" s="420"/>
      <c r="AH511" s="420"/>
      <c r="AI511" s="420"/>
      <c r="AJ511" s="420"/>
      <c r="AK511" s="420"/>
      <c r="AL511" s="420"/>
      <c r="AM511" s="420"/>
      <c r="AN511" s="420"/>
      <c r="AO511" s="420"/>
      <c r="AP511" s="420"/>
      <c r="AQ511" s="420"/>
      <c r="AR511" s="420"/>
      <c r="AS511" s="420"/>
      <c r="AT511" s="420"/>
      <c r="AU511" s="420"/>
      <c r="AV511" s="420"/>
      <c r="AW511" s="420"/>
      <c r="AX511" s="420"/>
      <c r="AY511" s="420"/>
      <c r="AZ511" s="420"/>
      <c r="BA511" s="420"/>
      <c r="BB511" s="420"/>
      <c r="BC511" s="420"/>
      <c r="BD511" s="420"/>
      <c r="BE511" s="420"/>
      <c r="BF511" s="420"/>
      <c r="BG511" s="420"/>
      <c r="BH511" s="420"/>
      <c r="BI511" s="420"/>
      <c r="BJ511" s="420"/>
      <c r="BK511" s="420"/>
      <c r="BL511" s="420"/>
    </row>
    <row r="512" spans="1:64">
      <c r="A512" s="426"/>
      <c r="B512" s="426"/>
      <c r="C512" s="417" t="s">
        <v>918</v>
      </c>
      <c r="D512" s="408">
        <v>1.2</v>
      </c>
      <c r="E512" s="408" t="s">
        <v>877</v>
      </c>
      <c r="F512" s="408">
        <f>[161]Input!$D$53</f>
        <v>108</v>
      </c>
      <c r="G512" s="430">
        <v>1</v>
      </c>
      <c r="H512" s="456" t="str">
        <f>IF(E512="","",IF(E512="No.","Each",IF(E512="Nos.","Each",E512)))</f>
        <v>kl</v>
      </c>
      <c r="I512" s="408">
        <f t="shared" si="73"/>
        <v>129.6</v>
      </c>
      <c r="J512" s="418"/>
      <c r="K512" s="419"/>
      <c r="L512" s="419"/>
      <c r="M512" s="420"/>
      <c r="N512" s="420"/>
      <c r="O512" s="420"/>
      <c r="P512" s="420"/>
      <c r="Q512" s="420"/>
      <c r="R512" s="420"/>
      <c r="S512" s="420"/>
      <c r="T512" s="420"/>
      <c r="U512" s="420"/>
      <c r="V512" s="420"/>
      <c r="W512" s="420"/>
      <c r="X512" s="420"/>
      <c r="Y512" s="420"/>
      <c r="Z512" s="420"/>
      <c r="AA512" s="420"/>
      <c r="AB512" s="420"/>
      <c r="AC512" s="420"/>
      <c r="AD512" s="420"/>
      <c r="AE512" s="420"/>
      <c r="AF512" s="420"/>
      <c r="AG512" s="420"/>
      <c r="AH512" s="420"/>
      <c r="AI512" s="420"/>
      <c r="AJ512" s="420"/>
      <c r="AK512" s="420"/>
      <c r="AL512" s="420"/>
      <c r="AM512" s="420"/>
      <c r="AN512" s="420"/>
      <c r="AO512" s="420"/>
      <c r="AP512" s="420"/>
      <c r="AQ512" s="420"/>
      <c r="AR512" s="420"/>
      <c r="AS512" s="420"/>
      <c r="AT512" s="420"/>
      <c r="AU512" s="420"/>
      <c r="AV512" s="420"/>
      <c r="AW512" s="420"/>
      <c r="AX512" s="420"/>
      <c r="AY512" s="420"/>
      <c r="AZ512" s="420"/>
      <c r="BA512" s="420"/>
      <c r="BB512" s="420"/>
      <c r="BC512" s="420"/>
      <c r="BD512" s="420"/>
      <c r="BE512" s="420"/>
      <c r="BF512" s="420"/>
      <c r="BG512" s="420"/>
      <c r="BH512" s="420"/>
      <c r="BI512" s="420"/>
      <c r="BJ512" s="420"/>
      <c r="BK512" s="420"/>
      <c r="BL512" s="420"/>
    </row>
    <row r="513" spans="1:64" ht="13">
      <c r="A513" s="426"/>
      <c r="B513" s="426"/>
      <c r="C513" s="481" t="s">
        <v>724</v>
      </c>
      <c r="D513" s="426"/>
      <c r="E513" s="426"/>
      <c r="F513" s="426"/>
      <c r="G513" s="492"/>
      <c r="H513" s="426"/>
      <c r="I513" s="434">
        <f>SUM(I498:I512)</f>
        <v>9486.4632600000004</v>
      </c>
      <c r="J513" s="411"/>
      <c r="K513" s="412"/>
      <c r="L513" s="412"/>
      <c r="M513" s="413"/>
      <c r="N513" s="413"/>
      <c r="O513" s="413"/>
      <c r="P513" s="413"/>
      <c r="Q513" s="413"/>
      <c r="R513" s="413"/>
      <c r="S513" s="413"/>
      <c r="T513" s="413"/>
      <c r="U513" s="413"/>
      <c r="V513" s="413"/>
      <c r="W513" s="413"/>
      <c r="X513" s="413"/>
      <c r="Y513" s="413"/>
      <c r="Z513" s="413"/>
      <c r="AA513" s="413"/>
      <c r="AB513" s="413"/>
      <c r="AC513" s="413"/>
      <c r="AD513" s="413"/>
      <c r="AE513" s="413"/>
      <c r="AF513" s="413"/>
      <c r="AG513" s="413"/>
      <c r="AH513" s="413"/>
      <c r="AI513" s="413"/>
      <c r="AJ513" s="413"/>
      <c r="AK513" s="413"/>
      <c r="AL513" s="413"/>
      <c r="AM513" s="413"/>
      <c r="AN513" s="413"/>
      <c r="AO513" s="413"/>
      <c r="AP513" s="413"/>
      <c r="AQ513" s="413"/>
      <c r="AR513" s="413"/>
      <c r="AS513" s="413"/>
      <c r="AT513" s="413"/>
      <c r="AU513" s="413"/>
      <c r="AV513" s="413"/>
      <c r="AW513" s="413"/>
      <c r="AX513" s="413"/>
      <c r="AY513" s="413"/>
      <c r="AZ513" s="413"/>
      <c r="BA513" s="413"/>
      <c r="BB513" s="413"/>
      <c r="BC513" s="413"/>
      <c r="BD513" s="413"/>
      <c r="BE513" s="413"/>
      <c r="BF513" s="413"/>
      <c r="BG513" s="413"/>
      <c r="BH513" s="413"/>
      <c r="BI513" s="413"/>
      <c r="BJ513" s="413"/>
      <c r="BK513" s="413"/>
      <c r="BL513" s="413"/>
    </row>
    <row r="514" spans="1:64" ht="13">
      <c r="A514" s="426"/>
      <c r="B514" s="426"/>
      <c r="C514" s="483"/>
      <c r="D514" s="426"/>
      <c r="E514" s="426"/>
      <c r="F514" s="426"/>
      <c r="G514" s="492"/>
      <c r="H514" s="426"/>
      <c r="I514" s="409"/>
      <c r="J514" s="400"/>
      <c r="K514" s="401"/>
      <c r="L514" s="401"/>
      <c r="M514" s="404"/>
      <c r="N514" s="404"/>
      <c r="O514" s="404"/>
      <c r="P514" s="404"/>
      <c r="Q514" s="404"/>
      <c r="R514" s="404"/>
      <c r="S514" s="404"/>
      <c r="T514" s="404"/>
      <c r="U514" s="404"/>
      <c r="V514" s="404"/>
      <c r="W514" s="404"/>
      <c r="X514" s="404"/>
      <c r="Y514" s="404"/>
      <c r="Z514" s="404"/>
      <c r="AA514" s="404"/>
      <c r="AB514" s="404"/>
      <c r="AC514" s="404"/>
      <c r="AD514" s="404"/>
      <c r="AE514" s="404"/>
      <c r="AF514" s="404"/>
      <c r="AG514" s="404"/>
      <c r="AH514" s="404"/>
      <c r="AI514" s="404"/>
      <c r="AJ514" s="404"/>
      <c r="AK514" s="404"/>
      <c r="AL514" s="404"/>
      <c r="AM514" s="404"/>
      <c r="AN514" s="404"/>
      <c r="AO514" s="404"/>
      <c r="AP514" s="404"/>
      <c r="AQ514" s="404"/>
      <c r="AR514" s="404"/>
      <c r="AS514" s="404"/>
      <c r="AT514" s="404"/>
      <c r="AU514" s="404"/>
      <c r="AV514" s="404"/>
      <c r="AW514" s="404"/>
      <c r="AX514" s="404"/>
      <c r="AY514" s="404"/>
      <c r="AZ514" s="404"/>
      <c r="BA514" s="404"/>
      <c r="BB514" s="404"/>
      <c r="BC514" s="404"/>
      <c r="BD514" s="404"/>
      <c r="BE514" s="404"/>
      <c r="BF514" s="404"/>
      <c r="BG514" s="404"/>
      <c r="BH514" s="404"/>
      <c r="BI514" s="404"/>
      <c r="BJ514" s="404"/>
      <c r="BK514" s="404"/>
      <c r="BL514" s="404"/>
    </row>
    <row r="515" spans="1:64" ht="13">
      <c r="A515" s="426"/>
      <c r="B515" s="474" t="s">
        <v>565</v>
      </c>
      <c r="C515" s="427" t="s">
        <v>919</v>
      </c>
      <c r="D515" s="426"/>
      <c r="E515" s="426"/>
      <c r="F515" s="426"/>
      <c r="G515" s="492"/>
      <c r="H515" s="426"/>
      <c r="I515" s="409"/>
      <c r="J515" s="400"/>
      <c r="K515" s="401"/>
      <c r="L515" s="401"/>
      <c r="M515" s="404"/>
      <c r="N515" s="404"/>
      <c r="O515" s="404"/>
      <c r="P515" s="404"/>
      <c r="Q515" s="404"/>
      <c r="R515" s="404"/>
      <c r="S515" s="404"/>
      <c r="T515" s="404"/>
      <c r="U515" s="404"/>
      <c r="V515" s="404"/>
      <c r="W515" s="404"/>
      <c r="X515" s="404"/>
      <c r="Y515" s="404"/>
      <c r="Z515" s="404"/>
      <c r="AA515" s="404"/>
      <c r="AB515" s="404"/>
      <c r="AC515" s="404"/>
      <c r="AD515" s="404"/>
      <c r="AE515" s="404"/>
      <c r="AF515" s="404"/>
      <c r="AG515" s="404"/>
      <c r="AH515" s="404"/>
      <c r="AI515" s="404"/>
      <c r="AJ515" s="404"/>
      <c r="AK515" s="404"/>
      <c r="AL515" s="404"/>
      <c r="AM515" s="404"/>
      <c r="AN515" s="404"/>
      <c r="AO515" s="404"/>
      <c r="AP515" s="404"/>
      <c r="AQ515" s="404"/>
      <c r="AR515" s="404"/>
      <c r="AS515" s="404"/>
      <c r="AT515" s="404"/>
      <c r="AU515" s="404"/>
      <c r="AV515" s="404"/>
      <c r="AW515" s="404"/>
      <c r="AX515" s="404"/>
      <c r="AY515" s="404"/>
      <c r="AZ515" s="404"/>
      <c r="BA515" s="404"/>
      <c r="BB515" s="404"/>
      <c r="BC515" s="404"/>
      <c r="BD515" s="404"/>
      <c r="BE515" s="404"/>
      <c r="BF515" s="404"/>
      <c r="BG515" s="404"/>
      <c r="BH515" s="404"/>
      <c r="BI515" s="404"/>
      <c r="BJ515" s="404"/>
      <c r="BK515" s="404"/>
      <c r="BL515" s="404"/>
    </row>
    <row r="516" spans="1:64">
      <c r="A516" s="426"/>
      <c r="B516" s="426"/>
      <c r="C516" s="417" t="s">
        <v>920</v>
      </c>
      <c r="D516" s="409">
        <v>1</v>
      </c>
      <c r="E516" s="426" t="s">
        <v>57</v>
      </c>
      <c r="F516" s="409">
        <f>$I$513</f>
        <v>9486.4632600000004</v>
      </c>
      <c r="G516" s="410">
        <v>1</v>
      </c>
      <c r="H516" s="426" t="s">
        <v>57</v>
      </c>
      <c r="I516" s="408">
        <f t="shared" ref="I516:I519" si="74">IF(G516="",D516*F516,(D516*F516/G516))</f>
        <v>9486.4632600000004</v>
      </c>
      <c r="J516" s="418"/>
      <c r="K516" s="493"/>
      <c r="L516" s="419"/>
      <c r="M516" s="420"/>
      <c r="N516" s="420"/>
      <c r="O516" s="420"/>
      <c r="P516" s="420"/>
      <c r="Q516" s="420"/>
      <c r="R516" s="420"/>
      <c r="S516" s="420"/>
      <c r="T516" s="420"/>
      <c r="U516" s="420"/>
      <c r="V516" s="420"/>
      <c r="W516" s="420"/>
      <c r="X516" s="420"/>
      <c r="Y516" s="420"/>
      <c r="Z516" s="420"/>
      <c r="AA516" s="420"/>
      <c r="AB516" s="420"/>
      <c r="AC516" s="420"/>
      <c r="AD516" s="420"/>
      <c r="AE516" s="420"/>
      <c r="AF516" s="420"/>
      <c r="AG516" s="420"/>
      <c r="AH516" s="420"/>
      <c r="AI516" s="420"/>
      <c r="AJ516" s="420"/>
      <c r="AK516" s="420"/>
      <c r="AL516" s="420"/>
      <c r="AM516" s="420"/>
      <c r="AN516" s="420"/>
      <c r="AO516" s="420"/>
      <c r="AP516" s="420"/>
      <c r="AQ516" s="420"/>
      <c r="AR516" s="420"/>
      <c r="AS516" s="420"/>
      <c r="AT516" s="420"/>
      <c r="AU516" s="420"/>
      <c r="AV516" s="420"/>
      <c r="AW516" s="420"/>
      <c r="AX516" s="420"/>
      <c r="AY516" s="420"/>
      <c r="AZ516" s="420"/>
      <c r="BA516" s="420"/>
      <c r="BB516" s="420"/>
      <c r="BC516" s="420"/>
      <c r="BD516" s="420"/>
      <c r="BE516" s="420"/>
      <c r="BF516" s="420"/>
      <c r="BG516" s="420"/>
      <c r="BH516" s="420"/>
      <c r="BI516" s="420"/>
      <c r="BJ516" s="420"/>
      <c r="BK516" s="420"/>
      <c r="BL516" s="420"/>
    </row>
    <row r="517" spans="1:64">
      <c r="A517" s="426"/>
      <c r="B517" s="426"/>
      <c r="C517" s="417" t="s">
        <v>921</v>
      </c>
      <c r="D517" s="409">
        <v>1</v>
      </c>
      <c r="E517" s="426" t="s">
        <v>57</v>
      </c>
      <c r="F517" s="409">
        <f>'[161]Civil-SOR'!$F$257</f>
        <v>325</v>
      </c>
      <c r="G517" s="410">
        <v>1</v>
      </c>
      <c r="H517" s="426" t="s">
        <v>57</v>
      </c>
      <c r="I517" s="408">
        <f t="shared" si="74"/>
        <v>325</v>
      </c>
      <c r="J517" s="418"/>
      <c r="K517" s="493"/>
      <c r="L517" s="419"/>
      <c r="M517" s="420"/>
      <c r="N517" s="420"/>
      <c r="O517" s="420"/>
      <c r="P517" s="420"/>
      <c r="Q517" s="420"/>
      <c r="R517" s="420"/>
      <c r="S517" s="420"/>
      <c r="T517" s="420"/>
      <c r="U517" s="420"/>
      <c r="V517" s="420"/>
      <c r="W517" s="420"/>
      <c r="X517" s="420"/>
      <c r="Y517" s="420"/>
      <c r="Z517" s="420"/>
      <c r="AA517" s="420"/>
      <c r="AB517" s="420"/>
      <c r="AC517" s="420"/>
      <c r="AD517" s="420"/>
      <c r="AE517" s="420"/>
      <c r="AF517" s="420"/>
      <c r="AG517" s="420"/>
      <c r="AH517" s="420"/>
      <c r="AI517" s="420"/>
      <c r="AJ517" s="420"/>
      <c r="AK517" s="420"/>
      <c r="AL517" s="420"/>
      <c r="AM517" s="420"/>
      <c r="AN517" s="420"/>
      <c r="AO517" s="420"/>
      <c r="AP517" s="420"/>
      <c r="AQ517" s="420"/>
      <c r="AR517" s="420"/>
      <c r="AS517" s="420"/>
      <c r="AT517" s="420"/>
      <c r="AU517" s="420"/>
      <c r="AV517" s="420"/>
      <c r="AW517" s="420"/>
      <c r="AX517" s="420"/>
      <c r="AY517" s="420"/>
      <c r="AZ517" s="420"/>
      <c r="BA517" s="420"/>
      <c r="BB517" s="420"/>
      <c r="BC517" s="420"/>
      <c r="BD517" s="420"/>
      <c r="BE517" s="420"/>
      <c r="BF517" s="420"/>
      <c r="BG517" s="420"/>
      <c r="BH517" s="420"/>
      <c r="BI517" s="420"/>
      <c r="BJ517" s="420"/>
      <c r="BK517" s="420"/>
      <c r="BL517" s="420"/>
    </row>
    <row r="518" spans="1:64">
      <c r="A518" s="426"/>
      <c r="B518" s="426"/>
      <c r="C518" s="417" t="s">
        <v>922</v>
      </c>
      <c r="D518" s="409">
        <v>1</v>
      </c>
      <c r="E518" s="426" t="s">
        <v>57</v>
      </c>
      <c r="F518" s="409">
        <f>'[161]Civil-SOR'!$G$257</f>
        <v>760</v>
      </c>
      <c r="G518" s="410">
        <v>1</v>
      </c>
      <c r="H518" s="426" t="s">
        <v>57</v>
      </c>
      <c r="I518" s="408">
        <f t="shared" si="74"/>
        <v>760</v>
      </c>
      <c r="J518" s="418"/>
      <c r="K518" s="493"/>
      <c r="L518" s="419"/>
      <c r="M518" s="420"/>
      <c r="N518" s="420"/>
      <c r="O518" s="420"/>
      <c r="P518" s="420"/>
      <c r="Q518" s="420"/>
      <c r="R518" s="420"/>
      <c r="S518" s="420"/>
      <c r="T518" s="420"/>
      <c r="U518" s="420"/>
      <c r="V518" s="420"/>
      <c r="W518" s="420"/>
      <c r="X518" s="420"/>
      <c r="Y518" s="420"/>
      <c r="Z518" s="420"/>
      <c r="AA518" s="420"/>
      <c r="AB518" s="420"/>
      <c r="AC518" s="420"/>
      <c r="AD518" s="420"/>
      <c r="AE518" s="420"/>
      <c r="AF518" s="420"/>
      <c r="AG518" s="420"/>
      <c r="AH518" s="420"/>
      <c r="AI518" s="420"/>
      <c r="AJ518" s="420"/>
      <c r="AK518" s="420"/>
      <c r="AL518" s="420"/>
      <c r="AM518" s="420"/>
      <c r="AN518" s="420"/>
      <c r="AO518" s="420"/>
      <c r="AP518" s="420"/>
      <c r="AQ518" s="420"/>
      <c r="AR518" s="420"/>
      <c r="AS518" s="420"/>
      <c r="AT518" s="420"/>
      <c r="AU518" s="420"/>
      <c r="AV518" s="420"/>
      <c r="AW518" s="420"/>
      <c r="AX518" s="420"/>
      <c r="AY518" s="420"/>
      <c r="AZ518" s="420"/>
      <c r="BA518" s="420"/>
      <c r="BB518" s="420"/>
      <c r="BC518" s="420"/>
      <c r="BD518" s="420"/>
      <c r="BE518" s="420"/>
      <c r="BF518" s="420"/>
      <c r="BG518" s="420"/>
      <c r="BH518" s="420"/>
      <c r="BI518" s="420"/>
      <c r="BJ518" s="420"/>
      <c r="BK518" s="420"/>
      <c r="BL518" s="420"/>
    </row>
    <row r="519" spans="1:64">
      <c r="A519" s="426"/>
      <c r="B519" s="426"/>
      <c r="C519" s="417" t="str">
        <f>[161]Input!$C$47</f>
        <v>Add for MA @ 40%</v>
      </c>
      <c r="D519" s="409">
        <f>[161]Input!$D$47</f>
        <v>0.4</v>
      </c>
      <c r="E519" s="426"/>
      <c r="F519" s="409">
        <f>I518</f>
        <v>760</v>
      </c>
      <c r="G519" s="410"/>
      <c r="H519" s="426"/>
      <c r="I519" s="408">
        <f t="shared" si="74"/>
        <v>304</v>
      </c>
      <c r="J519" s="418"/>
      <c r="K519" s="493"/>
      <c r="L519" s="419"/>
      <c r="M519" s="420"/>
      <c r="N519" s="420"/>
      <c r="O519" s="420"/>
      <c r="P519" s="420"/>
      <c r="Q519" s="420"/>
      <c r="R519" s="420"/>
      <c r="S519" s="420"/>
      <c r="T519" s="420"/>
      <c r="U519" s="420"/>
      <c r="V519" s="420"/>
      <c r="W519" s="420"/>
      <c r="X519" s="420"/>
      <c r="Y519" s="420"/>
      <c r="Z519" s="420"/>
      <c r="AA519" s="420"/>
      <c r="AB519" s="420"/>
      <c r="AC519" s="420"/>
      <c r="AD519" s="420"/>
      <c r="AE519" s="420"/>
      <c r="AF519" s="420"/>
      <c r="AG519" s="420"/>
      <c r="AH519" s="420"/>
      <c r="AI519" s="420"/>
      <c r="AJ519" s="420"/>
      <c r="AK519" s="420"/>
      <c r="AL519" s="420"/>
      <c r="AM519" s="420"/>
      <c r="AN519" s="420"/>
      <c r="AO519" s="420"/>
      <c r="AP519" s="420"/>
      <c r="AQ519" s="420"/>
      <c r="AR519" s="420"/>
      <c r="AS519" s="420"/>
      <c r="AT519" s="420"/>
      <c r="AU519" s="420"/>
      <c r="AV519" s="420"/>
      <c r="AW519" s="420"/>
      <c r="AX519" s="420"/>
      <c r="AY519" s="420"/>
      <c r="AZ519" s="420"/>
      <c r="BA519" s="420"/>
      <c r="BB519" s="420"/>
      <c r="BC519" s="420"/>
      <c r="BD519" s="420"/>
      <c r="BE519" s="420"/>
      <c r="BF519" s="420"/>
      <c r="BG519" s="420"/>
      <c r="BH519" s="420"/>
      <c r="BI519" s="420"/>
      <c r="BJ519" s="420"/>
      <c r="BK519" s="420"/>
      <c r="BL519" s="420"/>
    </row>
    <row r="520" spans="1:64">
      <c r="A520" s="426"/>
      <c r="B520" s="426"/>
      <c r="C520" s="417"/>
      <c r="D520" s="409"/>
      <c r="E520" s="426"/>
      <c r="F520" s="409"/>
      <c r="G520" s="410"/>
      <c r="H520" s="426"/>
      <c r="I520" s="409">
        <f>SUM(I516:I519)</f>
        <v>10875.46326</v>
      </c>
      <c r="J520" s="418"/>
      <c r="K520" s="493"/>
      <c r="L520" s="419"/>
      <c r="M520" s="420"/>
      <c r="N520" s="420"/>
      <c r="O520" s="420"/>
      <c r="P520" s="420"/>
      <c r="Q520" s="420"/>
      <c r="R520" s="420"/>
      <c r="S520" s="420"/>
      <c r="T520" s="420"/>
      <c r="U520" s="420"/>
      <c r="V520" s="420"/>
      <c r="W520" s="420"/>
      <c r="X520" s="420"/>
      <c r="Y520" s="420"/>
      <c r="Z520" s="420"/>
      <c r="AA520" s="420"/>
      <c r="AB520" s="420"/>
      <c r="AC520" s="420"/>
      <c r="AD520" s="420"/>
      <c r="AE520" s="420"/>
      <c r="AF520" s="420"/>
      <c r="AG520" s="420"/>
      <c r="AH520" s="420"/>
      <c r="AI520" s="420"/>
      <c r="AJ520" s="420"/>
      <c r="AK520" s="420"/>
      <c r="AL520" s="420"/>
      <c r="AM520" s="420"/>
      <c r="AN520" s="420"/>
      <c r="AO520" s="420"/>
      <c r="AP520" s="420"/>
      <c r="AQ520" s="420"/>
      <c r="AR520" s="420"/>
      <c r="AS520" s="420"/>
      <c r="AT520" s="420"/>
      <c r="AU520" s="420"/>
      <c r="AV520" s="420"/>
      <c r="AW520" s="420"/>
      <c r="AX520" s="420"/>
      <c r="AY520" s="420"/>
      <c r="AZ520" s="420"/>
      <c r="BA520" s="420"/>
      <c r="BB520" s="420"/>
      <c r="BC520" s="420"/>
      <c r="BD520" s="420"/>
      <c r="BE520" s="420"/>
      <c r="BF520" s="420"/>
      <c r="BG520" s="420"/>
      <c r="BH520" s="420"/>
      <c r="BI520" s="420"/>
      <c r="BJ520" s="420"/>
      <c r="BK520" s="420"/>
      <c r="BL520" s="420"/>
    </row>
    <row r="521" spans="1:64" ht="25">
      <c r="A521" s="426"/>
      <c r="B521" s="426"/>
      <c r="C521" s="417" t="str">
        <f>[161]Input!$C$48</f>
        <v>Overheads &amp; Contractors Profit @ 13.615%</v>
      </c>
      <c r="D521" s="494">
        <f>[161]Input!$D$48</f>
        <v>0.13614999999999999</v>
      </c>
      <c r="E521" s="426"/>
      <c r="F521" s="409">
        <f>I520</f>
        <v>10875.46326</v>
      </c>
      <c r="G521" s="410"/>
      <c r="H521" s="434"/>
      <c r="I521" s="408">
        <f>IF(G521="",D521*F521,(D521*F521/G521))</f>
        <v>1480.6943228489999</v>
      </c>
      <c r="J521" s="418"/>
      <c r="K521" s="493"/>
      <c r="L521" s="419"/>
      <c r="M521" s="420"/>
      <c r="N521" s="420"/>
      <c r="O521" s="420"/>
      <c r="P521" s="420"/>
      <c r="Q521" s="420"/>
      <c r="R521" s="420"/>
      <c r="S521" s="420"/>
      <c r="T521" s="420"/>
      <c r="U521" s="420"/>
      <c r="V521" s="420"/>
      <c r="W521" s="420"/>
      <c r="X521" s="420"/>
      <c r="Y521" s="420"/>
      <c r="Z521" s="420"/>
      <c r="AA521" s="420"/>
      <c r="AB521" s="420"/>
      <c r="AC521" s="420"/>
      <c r="AD521" s="420"/>
      <c r="AE521" s="420"/>
      <c r="AF521" s="420"/>
      <c r="AG521" s="420"/>
      <c r="AH521" s="420"/>
      <c r="AI521" s="420"/>
      <c r="AJ521" s="420"/>
      <c r="AK521" s="420"/>
      <c r="AL521" s="420"/>
      <c r="AM521" s="420"/>
      <c r="AN521" s="420"/>
      <c r="AO521" s="420"/>
      <c r="AP521" s="420"/>
      <c r="AQ521" s="420"/>
      <c r="AR521" s="420"/>
      <c r="AS521" s="420"/>
      <c r="AT521" s="420"/>
      <c r="AU521" s="420"/>
      <c r="AV521" s="420"/>
      <c r="AW521" s="420"/>
      <c r="AX521" s="420"/>
      <c r="AY521" s="420"/>
      <c r="AZ521" s="420"/>
      <c r="BA521" s="420"/>
      <c r="BB521" s="420"/>
      <c r="BC521" s="420"/>
      <c r="BD521" s="420"/>
      <c r="BE521" s="420"/>
      <c r="BF521" s="420"/>
      <c r="BG521" s="420"/>
      <c r="BH521" s="420"/>
      <c r="BI521" s="420"/>
      <c r="BJ521" s="420"/>
      <c r="BK521" s="420"/>
      <c r="BL521" s="420"/>
    </row>
    <row r="522" spans="1:64" ht="13">
      <c r="A522" s="426"/>
      <c r="B522" s="426"/>
      <c r="C522" s="427" t="s">
        <v>724</v>
      </c>
      <c r="D522" s="426"/>
      <c r="E522" s="426"/>
      <c r="F522" s="426"/>
      <c r="G522" s="410"/>
      <c r="H522" s="434"/>
      <c r="I522" s="409">
        <f>SUM(I520:I521)</f>
        <v>12356.157582849</v>
      </c>
      <c r="J522" s="418"/>
      <c r="K522" s="493"/>
      <c r="L522" s="419"/>
      <c r="M522" s="420"/>
      <c r="N522" s="420"/>
      <c r="O522" s="420"/>
      <c r="P522" s="420"/>
      <c r="Q522" s="420"/>
      <c r="R522" s="420"/>
      <c r="S522" s="420"/>
      <c r="T522" s="420"/>
      <c r="U522" s="420"/>
      <c r="V522" s="420"/>
      <c r="W522" s="420"/>
      <c r="X522" s="420"/>
      <c r="Y522" s="420"/>
      <c r="Z522" s="420"/>
      <c r="AA522" s="420"/>
      <c r="AB522" s="420"/>
      <c r="AC522" s="420"/>
      <c r="AD522" s="420"/>
      <c r="AE522" s="420"/>
      <c r="AF522" s="420"/>
      <c r="AG522" s="420"/>
      <c r="AH522" s="420"/>
      <c r="AI522" s="420"/>
      <c r="AJ522" s="420"/>
      <c r="AK522" s="420"/>
      <c r="AL522" s="420"/>
      <c r="AM522" s="420"/>
      <c r="AN522" s="420"/>
      <c r="AO522" s="420"/>
      <c r="AP522" s="420"/>
      <c r="AQ522" s="420"/>
      <c r="AR522" s="420"/>
      <c r="AS522" s="420"/>
      <c r="AT522" s="420"/>
      <c r="AU522" s="420"/>
      <c r="AV522" s="420"/>
      <c r="AW522" s="420"/>
      <c r="AX522" s="420"/>
      <c r="AY522" s="420"/>
      <c r="AZ522" s="420"/>
      <c r="BA522" s="420"/>
      <c r="BB522" s="420"/>
      <c r="BC522" s="420"/>
      <c r="BD522" s="420"/>
      <c r="BE522" s="420"/>
      <c r="BF522" s="420"/>
      <c r="BG522" s="420"/>
      <c r="BH522" s="420"/>
      <c r="BI522" s="420"/>
      <c r="BJ522" s="420"/>
      <c r="BK522" s="420"/>
      <c r="BL522" s="420"/>
    </row>
    <row r="523" spans="1:64" ht="13">
      <c r="A523" s="426"/>
      <c r="B523" s="426"/>
      <c r="C523" s="469"/>
      <c r="D523" s="426"/>
      <c r="E523" s="426"/>
      <c r="F523" s="426"/>
      <c r="G523" s="410"/>
      <c r="H523" s="414" t="s">
        <v>774</v>
      </c>
      <c r="I523" s="414">
        <f>ROUND(I522,0)</f>
        <v>12356</v>
      </c>
      <c r="J523" s="400"/>
      <c r="K523" s="495"/>
      <c r="L523" s="401"/>
      <c r="M523" s="404"/>
      <c r="N523" s="404"/>
      <c r="O523" s="404"/>
      <c r="P523" s="404"/>
      <c r="Q523" s="404"/>
      <c r="R523" s="404"/>
      <c r="S523" s="404"/>
      <c r="T523" s="404"/>
      <c r="U523" s="404"/>
      <c r="V523" s="404"/>
      <c r="W523" s="404"/>
      <c r="X523" s="404"/>
      <c r="Y523" s="404"/>
      <c r="Z523" s="404"/>
      <c r="AA523" s="404"/>
      <c r="AB523" s="404"/>
      <c r="AC523" s="404"/>
      <c r="AD523" s="404"/>
      <c r="AE523" s="404"/>
      <c r="AF523" s="404"/>
      <c r="AG523" s="404"/>
      <c r="AH523" s="404"/>
      <c r="AI523" s="404"/>
      <c r="AJ523" s="404"/>
      <c r="AK523" s="404"/>
      <c r="AL523" s="404"/>
      <c r="AM523" s="404"/>
      <c r="AN523" s="404"/>
      <c r="AO523" s="404"/>
      <c r="AP523" s="404"/>
      <c r="AQ523" s="404"/>
      <c r="AR523" s="404"/>
      <c r="AS523" s="404"/>
      <c r="AT523" s="404"/>
      <c r="AU523" s="404"/>
      <c r="AV523" s="404"/>
      <c r="AW523" s="404"/>
      <c r="AX523" s="404"/>
      <c r="AY523" s="404"/>
      <c r="AZ523" s="404"/>
      <c r="BA523" s="404"/>
      <c r="BB523" s="404"/>
      <c r="BC523" s="404"/>
      <c r="BD523" s="404"/>
      <c r="BE523" s="404"/>
      <c r="BF523" s="404"/>
      <c r="BG523" s="404"/>
      <c r="BH523" s="404"/>
      <c r="BI523" s="404"/>
      <c r="BJ523" s="404"/>
      <c r="BK523" s="404"/>
      <c r="BL523" s="404"/>
    </row>
    <row r="524" spans="1:64" ht="13">
      <c r="A524" s="426"/>
      <c r="B524" s="426"/>
      <c r="C524" s="427"/>
      <c r="D524" s="426"/>
      <c r="E524" s="426"/>
      <c r="F524" s="426"/>
      <c r="G524" s="410"/>
      <c r="H524" s="434"/>
      <c r="I524" s="414"/>
      <c r="J524" s="400"/>
      <c r="K524" s="401"/>
      <c r="L524" s="401"/>
    </row>
    <row r="525" spans="1:64" ht="13">
      <c r="A525" s="426"/>
      <c r="B525" s="474" t="s">
        <v>590</v>
      </c>
      <c r="C525" s="427" t="s">
        <v>923</v>
      </c>
      <c r="D525" s="426"/>
      <c r="E525" s="426"/>
      <c r="F525" s="426"/>
      <c r="G525" s="492"/>
      <c r="H525" s="426"/>
      <c r="I525" s="409"/>
      <c r="J525" s="418"/>
      <c r="K525" s="419"/>
      <c r="L525" s="419"/>
      <c r="M525" s="420"/>
      <c r="N525" s="420"/>
      <c r="O525" s="420"/>
      <c r="P525" s="420"/>
      <c r="Q525" s="420"/>
      <c r="R525" s="420"/>
      <c r="S525" s="420"/>
      <c r="T525" s="420"/>
      <c r="U525" s="420"/>
      <c r="V525" s="420"/>
      <c r="W525" s="420"/>
      <c r="X525" s="420"/>
      <c r="Y525" s="420"/>
      <c r="Z525" s="420"/>
      <c r="AA525" s="420"/>
      <c r="AB525" s="420"/>
      <c r="AC525" s="420"/>
      <c r="AD525" s="420"/>
      <c r="AE525" s="420"/>
      <c r="AF525" s="420"/>
      <c r="AG525" s="420"/>
      <c r="AH525" s="420"/>
      <c r="AI525" s="420"/>
      <c r="AJ525" s="420"/>
      <c r="AK525" s="420"/>
      <c r="AL525" s="420"/>
      <c r="AM525" s="420"/>
      <c r="AN525" s="420"/>
      <c r="AO525" s="420"/>
      <c r="AP525" s="420"/>
      <c r="AQ525" s="420"/>
      <c r="AR525" s="420"/>
      <c r="AS525" s="420"/>
      <c r="AT525" s="420"/>
      <c r="AU525" s="420"/>
      <c r="AV525" s="420"/>
      <c r="AW525" s="420"/>
      <c r="AX525" s="420"/>
      <c r="AY525" s="420"/>
      <c r="AZ525" s="420"/>
      <c r="BA525" s="420"/>
      <c r="BB525" s="420"/>
      <c r="BC525" s="420"/>
      <c r="BD525" s="420"/>
      <c r="BE525" s="420"/>
      <c r="BF525" s="420"/>
      <c r="BG525" s="420"/>
      <c r="BH525" s="420"/>
      <c r="BI525" s="420"/>
      <c r="BJ525" s="420"/>
      <c r="BK525" s="420"/>
      <c r="BL525" s="420"/>
    </row>
    <row r="526" spans="1:64">
      <c r="A526" s="426"/>
      <c r="B526" s="426"/>
      <c r="C526" s="417" t="s">
        <v>920</v>
      </c>
      <c r="D526" s="409">
        <v>1</v>
      </c>
      <c r="E526" s="426" t="s">
        <v>57</v>
      </c>
      <c r="F526" s="409">
        <f>$I$513</f>
        <v>9486.4632600000004</v>
      </c>
      <c r="G526" s="410">
        <v>1</v>
      </c>
      <c r="H526" s="426" t="s">
        <v>57</v>
      </c>
      <c r="I526" s="408">
        <f t="shared" ref="I526:I529" si="75">IF(G526="",D526*F526,(D526*F526/G526))</f>
        <v>9486.4632600000004</v>
      </c>
      <c r="J526" s="418"/>
      <c r="K526" s="419"/>
      <c r="L526" s="419"/>
      <c r="M526" s="420"/>
      <c r="N526" s="420"/>
      <c r="O526" s="420"/>
      <c r="P526" s="420"/>
      <c r="Q526" s="420"/>
      <c r="R526" s="420"/>
      <c r="S526" s="420"/>
      <c r="T526" s="420"/>
      <c r="U526" s="420"/>
      <c r="V526" s="420"/>
      <c r="W526" s="420"/>
      <c r="X526" s="420"/>
      <c r="Y526" s="420"/>
      <c r="Z526" s="420"/>
      <c r="AA526" s="420"/>
      <c r="AB526" s="420"/>
      <c r="AC526" s="420"/>
      <c r="AD526" s="420"/>
      <c r="AE526" s="420"/>
      <c r="AF526" s="420"/>
      <c r="AG526" s="420"/>
      <c r="AH526" s="420"/>
      <c r="AI526" s="420"/>
      <c r="AJ526" s="420"/>
      <c r="AK526" s="420"/>
      <c r="AL526" s="420"/>
      <c r="AM526" s="420"/>
      <c r="AN526" s="420"/>
      <c r="AO526" s="420"/>
      <c r="AP526" s="420"/>
      <c r="AQ526" s="420"/>
      <c r="AR526" s="420"/>
      <c r="AS526" s="420"/>
      <c r="AT526" s="420"/>
      <c r="AU526" s="420"/>
      <c r="AV526" s="420"/>
      <c r="AW526" s="420"/>
      <c r="AX526" s="420"/>
      <c r="AY526" s="420"/>
      <c r="AZ526" s="420"/>
      <c r="BA526" s="420"/>
      <c r="BB526" s="420"/>
      <c r="BC526" s="420"/>
      <c r="BD526" s="420"/>
      <c r="BE526" s="420"/>
      <c r="BF526" s="420"/>
      <c r="BG526" s="420"/>
      <c r="BH526" s="420"/>
      <c r="BI526" s="420"/>
      <c r="BJ526" s="420"/>
      <c r="BK526" s="420"/>
      <c r="BL526" s="420"/>
    </row>
    <row r="527" spans="1:64">
      <c r="A527" s="426"/>
      <c r="B527" s="426"/>
      <c r="C527" s="417" t="s">
        <v>921</v>
      </c>
      <c r="D527" s="409">
        <v>1</v>
      </c>
      <c r="E527" s="426" t="s">
        <v>57</v>
      </c>
      <c r="F527" s="409">
        <f>'[161]Civil-SOR'!$F$259</f>
        <v>369</v>
      </c>
      <c r="G527" s="410">
        <v>1</v>
      </c>
      <c r="H527" s="426" t="s">
        <v>57</v>
      </c>
      <c r="I527" s="408">
        <f t="shared" si="75"/>
        <v>369</v>
      </c>
      <c r="J527" s="418"/>
      <c r="K527" s="419"/>
      <c r="L527" s="419"/>
      <c r="M527" s="420"/>
      <c r="N527" s="420"/>
      <c r="O527" s="420"/>
      <c r="P527" s="420"/>
      <c r="Q527" s="420"/>
      <c r="R527" s="420"/>
      <c r="S527" s="420"/>
      <c r="T527" s="420"/>
      <c r="U527" s="420"/>
      <c r="V527" s="420"/>
      <c r="W527" s="420"/>
      <c r="X527" s="420"/>
      <c r="Y527" s="420"/>
      <c r="Z527" s="420"/>
      <c r="AA527" s="420"/>
      <c r="AB527" s="420"/>
      <c r="AC527" s="420"/>
      <c r="AD527" s="420"/>
      <c r="AE527" s="420"/>
      <c r="AF527" s="420"/>
      <c r="AG527" s="420"/>
      <c r="AH527" s="420"/>
      <c r="AI527" s="420"/>
      <c r="AJ527" s="420"/>
      <c r="AK527" s="420"/>
      <c r="AL527" s="420"/>
      <c r="AM527" s="420"/>
      <c r="AN527" s="420"/>
      <c r="AO527" s="420"/>
      <c r="AP527" s="420"/>
      <c r="AQ527" s="420"/>
      <c r="AR527" s="420"/>
      <c r="AS527" s="420"/>
      <c r="AT527" s="420"/>
      <c r="AU527" s="420"/>
      <c r="AV527" s="420"/>
      <c r="AW527" s="420"/>
      <c r="AX527" s="420"/>
      <c r="AY527" s="420"/>
      <c r="AZ527" s="420"/>
      <c r="BA527" s="420"/>
      <c r="BB527" s="420"/>
      <c r="BC527" s="420"/>
      <c r="BD527" s="420"/>
      <c r="BE527" s="420"/>
      <c r="BF527" s="420"/>
      <c r="BG527" s="420"/>
      <c r="BH527" s="420"/>
      <c r="BI527" s="420"/>
      <c r="BJ527" s="420"/>
      <c r="BK527" s="420"/>
      <c r="BL527" s="420"/>
    </row>
    <row r="528" spans="1:64">
      <c r="A528" s="426"/>
      <c r="B528" s="426"/>
      <c r="C528" s="417" t="s">
        <v>922</v>
      </c>
      <c r="D528" s="409">
        <v>1</v>
      </c>
      <c r="E528" s="426" t="s">
        <v>57</v>
      </c>
      <c r="F528" s="409">
        <f>'[161]Civil-SOR'!$G$259</f>
        <v>1209</v>
      </c>
      <c r="G528" s="410">
        <v>1</v>
      </c>
      <c r="H528" s="426" t="s">
        <v>57</v>
      </c>
      <c r="I528" s="408">
        <f t="shared" si="75"/>
        <v>1209</v>
      </c>
      <c r="J528" s="418"/>
      <c r="K528" s="419"/>
      <c r="L528" s="419"/>
      <c r="M528" s="420"/>
      <c r="N528" s="420"/>
      <c r="O528" s="420"/>
      <c r="P528" s="420"/>
      <c r="Q528" s="420"/>
      <c r="R528" s="420"/>
      <c r="S528" s="420"/>
      <c r="T528" s="420"/>
      <c r="U528" s="420"/>
      <c r="V528" s="420"/>
      <c r="W528" s="420"/>
      <c r="X528" s="420"/>
      <c r="Y528" s="420"/>
      <c r="Z528" s="420"/>
      <c r="AA528" s="420"/>
      <c r="AB528" s="420"/>
      <c r="AC528" s="420"/>
      <c r="AD528" s="420"/>
      <c r="AE528" s="420"/>
      <c r="AF528" s="420"/>
      <c r="AG528" s="420"/>
      <c r="AH528" s="420"/>
      <c r="AI528" s="420"/>
      <c r="AJ528" s="420"/>
      <c r="AK528" s="420"/>
      <c r="AL528" s="420"/>
      <c r="AM528" s="420"/>
      <c r="AN528" s="420"/>
      <c r="AO528" s="420"/>
      <c r="AP528" s="420"/>
      <c r="AQ528" s="420"/>
      <c r="AR528" s="420"/>
      <c r="AS528" s="420"/>
      <c r="AT528" s="420"/>
      <c r="AU528" s="420"/>
      <c r="AV528" s="420"/>
      <c r="AW528" s="420"/>
      <c r="AX528" s="420"/>
      <c r="AY528" s="420"/>
      <c r="AZ528" s="420"/>
      <c r="BA528" s="420"/>
      <c r="BB528" s="420"/>
      <c r="BC528" s="420"/>
      <c r="BD528" s="420"/>
      <c r="BE528" s="420"/>
      <c r="BF528" s="420"/>
      <c r="BG528" s="420"/>
      <c r="BH528" s="420"/>
      <c r="BI528" s="420"/>
      <c r="BJ528" s="420"/>
      <c r="BK528" s="420"/>
      <c r="BL528" s="420"/>
    </row>
    <row r="529" spans="1:64">
      <c r="A529" s="426"/>
      <c r="B529" s="426"/>
      <c r="C529" s="417" t="str">
        <f>[161]Input!$C$47</f>
        <v>Add for MA @ 40%</v>
      </c>
      <c r="D529" s="409">
        <f>[161]Input!$D$47</f>
        <v>0.4</v>
      </c>
      <c r="E529" s="426"/>
      <c r="F529" s="409">
        <f>I528</f>
        <v>1209</v>
      </c>
      <c r="G529" s="410"/>
      <c r="H529" s="426"/>
      <c r="I529" s="408">
        <f t="shared" si="75"/>
        <v>483.6</v>
      </c>
      <c r="J529" s="418"/>
      <c r="K529" s="419"/>
      <c r="L529" s="419"/>
      <c r="M529" s="420"/>
      <c r="N529" s="420"/>
      <c r="O529" s="420"/>
      <c r="P529" s="420"/>
      <c r="Q529" s="420"/>
      <c r="R529" s="420"/>
      <c r="S529" s="420"/>
      <c r="T529" s="420"/>
      <c r="U529" s="420"/>
      <c r="V529" s="420"/>
      <c r="W529" s="420"/>
      <c r="X529" s="420"/>
      <c r="Y529" s="420"/>
      <c r="Z529" s="420"/>
      <c r="AA529" s="420"/>
      <c r="AB529" s="420"/>
      <c r="AC529" s="420"/>
      <c r="AD529" s="420"/>
      <c r="AE529" s="420"/>
      <c r="AF529" s="420"/>
      <c r="AG529" s="420"/>
      <c r="AH529" s="420"/>
      <c r="AI529" s="420"/>
      <c r="AJ529" s="420"/>
      <c r="AK529" s="420"/>
      <c r="AL529" s="420"/>
      <c r="AM529" s="420"/>
      <c r="AN529" s="420"/>
      <c r="AO529" s="420"/>
      <c r="AP529" s="420"/>
      <c r="AQ529" s="420"/>
      <c r="AR529" s="420"/>
      <c r="AS529" s="420"/>
      <c r="AT529" s="420"/>
      <c r="AU529" s="420"/>
      <c r="AV529" s="420"/>
      <c r="AW529" s="420"/>
      <c r="AX529" s="420"/>
      <c r="AY529" s="420"/>
      <c r="AZ529" s="420"/>
      <c r="BA529" s="420"/>
      <c r="BB529" s="420"/>
      <c r="BC529" s="420"/>
      <c r="BD529" s="420"/>
      <c r="BE529" s="420"/>
      <c r="BF529" s="420"/>
      <c r="BG529" s="420"/>
      <c r="BH529" s="420"/>
      <c r="BI529" s="420"/>
      <c r="BJ529" s="420"/>
      <c r="BK529" s="420"/>
      <c r="BL529" s="420"/>
    </row>
    <row r="530" spans="1:64">
      <c r="A530" s="426"/>
      <c r="B530" s="426"/>
      <c r="C530" s="417"/>
      <c r="D530" s="409"/>
      <c r="E530" s="426"/>
      <c r="F530" s="409"/>
      <c r="G530" s="410"/>
      <c r="H530" s="426"/>
      <c r="I530" s="408">
        <f>SUM(I526:I529)</f>
        <v>11548.063260000001</v>
      </c>
      <c r="J530" s="418"/>
      <c r="K530" s="419"/>
      <c r="L530" s="419"/>
      <c r="M530" s="420"/>
      <c r="N530" s="420"/>
      <c r="O530" s="420"/>
      <c r="P530" s="420"/>
      <c r="Q530" s="420"/>
      <c r="R530" s="420"/>
      <c r="S530" s="420"/>
      <c r="T530" s="420"/>
      <c r="U530" s="420"/>
      <c r="V530" s="420"/>
      <c r="W530" s="420"/>
      <c r="X530" s="420"/>
      <c r="Y530" s="420"/>
      <c r="Z530" s="420"/>
      <c r="AA530" s="420"/>
      <c r="AB530" s="420"/>
      <c r="AC530" s="420"/>
      <c r="AD530" s="420"/>
      <c r="AE530" s="420"/>
      <c r="AF530" s="420"/>
      <c r="AG530" s="420"/>
      <c r="AH530" s="420"/>
      <c r="AI530" s="420"/>
      <c r="AJ530" s="420"/>
      <c r="AK530" s="420"/>
      <c r="AL530" s="420"/>
      <c r="AM530" s="420"/>
      <c r="AN530" s="420"/>
      <c r="AO530" s="420"/>
      <c r="AP530" s="420"/>
      <c r="AQ530" s="420"/>
      <c r="AR530" s="420"/>
      <c r="AS530" s="420"/>
      <c r="AT530" s="420"/>
      <c r="AU530" s="420"/>
      <c r="AV530" s="420"/>
      <c r="AW530" s="420"/>
      <c r="AX530" s="420"/>
      <c r="AY530" s="420"/>
      <c r="AZ530" s="420"/>
      <c r="BA530" s="420"/>
      <c r="BB530" s="420"/>
      <c r="BC530" s="420"/>
      <c r="BD530" s="420"/>
      <c r="BE530" s="420"/>
      <c r="BF530" s="420"/>
      <c r="BG530" s="420"/>
      <c r="BH530" s="420"/>
      <c r="BI530" s="420"/>
      <c r="BJ530" s="420"/>
      <c r="BK530" s="420"/>
      <c r="BL530" s="420"/>
    </row>
    <row r="531" spans="1:64" ht="25">
      <c r="A531" s="426"/>
      <c r="B531" s="426"/>
      <c r="C531" s="417" t="str">
        <f>[161]Input!$C$48</f>
        <v>Overheads &amp; Contractors Profit @ 13.615%</v>
      </c>
      <c r="D531" s="494">
        <f>[161]Input!$D$48</f>
        <v>0.13614999999999999</v>
      </c>
      <c r="E531" s="426"/>
      <c r="F531" s="409">
        <f>I530</f>
        <v>11548.063260000001</v>
      </c>
      <c r="G531" s="410"/>
      <c r="H531" s="434"/>
      <c r="I531" s="408">
        <f>IF(G531="",D531*F531,(D531*F531/G531))</f>
        <v>1572.2688128490001</v>
      </c>
      <c r="J531" s="418"/>
      <c r="K531" s="419"/>
      <c r="L531" s="419"/>
      <c r="M531" s="420"/>
      <c r="N531" s="420"/>
      <c r="O531" s="420"/>
      <c r="P531" s="420"/>
      <c r="Q531" s="420"/>
      <c r="R531" s="420"/>
      <c r="S531" s="420"/>
      <c r="T531" s="420"/>
      <c r="U531" s="420"/>
      <c r="V531" s="420"/>
      <c r="W531" s="420"/>
      <c r="X531" s="420"/>
      <c r="Y531" s="420"/>
      <c r="Z531" s="420"/>
      <c r="AA531" s="420"/>
      <c r="AB531" s="420"/>
      <c r="AC531" s="420"/>
      <c r="AD531" s="420"/>
      <c r="AE531" s="420"/>
      <c r="AF531" s="420"/>
      <c r="AG531" s="420"/>
      <c r="AH531" s="420"/>
      <c r="AI531" s="420"/>
      <c r="AJ531" s="420"/>
      <c r="AK531" s="420"/>
      <c r="AL531" s="420"/>
      <c r="AM531" s="420"/>
      <c r="AN531" s="420"/>
      <c r="AO531" s="420"/>
      <c r="AP531" s="420"/>
      <c r="AQ531" s="420"/>
      <c r="AR531" s="420"/>
      <c r="AS531" s="420"/>
      <c r="AT531" s="420"/>
      <c r="AU531" s="420"/>
      <c r="AV531" s="420"/>
      <c r="AW531" s="420"/>
      <c r="AX531" s="420"/>
      <c r="AY531" s="420"/>
      <c r="AZ531" s="420"/>
      <c r="BA531" s="420"/>
      <c r="BB531" s="420"/>
      <c r="BC531" s="420"/>
      <c r="BD531" s="420"/>
      <c r="BE531" s="420"/>
      <c r="BF531" s="420"/>
      <c r="BG531" s="420"/>
      <c r="BH531" s="420"/>
      <c r="BI531" s="420"/>
      <c r="BJ531" s="420"/>
      <c r="BK531" s="420"/>
      <c r="BL531" s="420"/>
    </row>
    <row r="532" spans="1:64" ht="13">
      <c r="A532" s="426"/>
      <c r="B532" s="426"/>
      <c r="C532" s="427" t="s">
        <v>724</v>
      </c>
      <c r="D532" s="426"/>
      <c r="E532" s="426"/>
      <c r="F532" s="426"/>
      <c r="G532" s="410"/>
      <c r="H532" s="434"/>
      <c r="I532" s="409">
        <f>SUM(I530:I531)</f>
        <v>13120.332072849002</v>
      </c>
      <c r="J532" s="418"/>
      <c r="K532" s="419"/>
      <c r="L532" s="419"/>
      <c r="M532" s="420"/>
      <c r="N532" s="420"/>
      <c r="O532" s="420"/>
      <c r="P532" s="420"/>
      <c r="Q532" s="420"/>
      <c r="R532" s="420"/>
      <c r="S532" s="420"/>
      <c r="T532" s="420"/>
      <c r="U532" s="420"/>
      <c r="V532" s="420"/>
      <c r="W532" s="420"/>
      <c r="X532" s="420"/>
      <c r="Y532" s="420"/>
      <c r="Z532" s="420"/>
      <c r="AA532" s="420"/>
      <c r="AB532" s="420"/>
      <c r="AC532" s="420"/>
      <c r="AD532" s="420"/>
      <c r="AE532" s="420"/>
      <c r="AF532" s="420"/>
      <c r="AG532" s="420"/>
      <c r="AH532" s="420"/>
      <c r="AI532" s="420"/>
      <c r="AJ532" s="420"/>
      <c r="AK532" s="420"/>
      <c r="AL532" s="420"/>
      <c r="AM532" s="420"/>
      <c r="AN532" s="420"/>
      <c r="AO532" s="420"/>
      <c r="AP532" s="420"/>
      <c r="AQ532" s="420"/>
      <c r="AR532" s="420"/>
      <c r="AS532" s="420"/>
      <c r="AT532" s="420"/>
      <c r="AU532" s="420"/>
      <c r="AV532" s="420"/>
      <c r="AW532" s="420"/>
      <c r="AX532" s="420"/>
      <c r="AY532" s="420"/>
      <c r="AZ532" s="420"/>
      <c r="BA532" s="420"/>
      <c r="BB532" s="420"/>
      <c r="BC532" s="420"/>
      <c r="BD532" s="420"/>
      <c r="BE532" s="420"/>
      <c r="BF532" s="420"/>
      <c r="BG532" s="420"/>
      <c r="BH532" s="420"/>
      <c r="BI532" s="420"/>
      <c r="BJ532" s="420"/>
      <c r="BK532" s="420"/>
      <c r="BL532" s="420"/>
    </row>
    <row r="533" spans="1:64" ht="13">
      <c r="A533" s="426"/>
      <c r="B533" s="426"/>
      <c r="C533" s="469"/>
      <c r="D533" s="426"/>
      <c r="E533" s="426"/>
      <c r="F533" s="426"/>
      <c r="G533" s="410"/>
      <c r="H533" s="414" t="s">
        <v>774</v>
      </c>
      <c r="I533" s="414">
        <f>ROUND(I532,0)</f>
        <v>13120</v>
      </c>
      <c r="J533" s="400"/>
      <c r="K533" s="401"/>
      <c r="L533" s="401"/>
      <c r="M533" s="404"/>
      <c r="N533" s="404"/>
      <c r="O533" s="404"/>
      <c r="P533" s="404"/>
      <c r="Q533" s="404"/>
      <c r="R533" s="404"/>
      <c r="S533" s="404"/>
      <c r="T533" s="404"/>
      <c r="U533" s="404"/>
      <c r="V533" s="404"/>
      <c r="W533" s="404"/>
      <c r="X533" s="404"/>
      <c r="Y533" s="404"/>
      <c r="Z533" s="404"/>
      <c r="AA533" s="404"/>
      <c r="AB533" s="404"/>
      <c r="AC533" s="404"/>
      <c r="AD533" s="404"/>
      <c r="AE533" s="404"/>
      <c r="AF533" s="404"/>
      <c r="AG533" s="404"/>
      <c r="AH533" s="404"/>
      <c r="AI533" s="404"/>
      <c r="AJ533" s="404"/>
      <c r="AK533" s="404"/>
      <c r="AL533" s="404"/>
      <c r="AM533" s="404"/>
      <c r="AN533" s="404"/>
      <c r="AO533" s="404"/>
      <c r="AP533" s="404"/>
      <c r="AQ533" s="404"/>
      <c r="AR533" s="404"/>
      <c r="AS533" s="404"/>
      <c r="AT533" s="404"/>
      <c r="AU533" s="404"/>
      <c r="AV533" s="404"/>
      <c r="AW533" s="404"/>
      <c r="AX533" s="404"/>
      <c r="AY533" s="404"/>
      <c r="AZ533" s="404"/>
      <c r="BA533" s="404"/>
      <c r="BB533" s="404"/>
      <c r="BC533" s="404"/>
      <c r="BD533" s="404"/>
      <c r="BE533" s="404"/>
      <c r="BF533" s="404"/>
      <c r="BG533" s="404"/>
      <c r="BH533" s="404"/>
      <c r="BI533" s="404"/>
      <c r="BJ533" s="404"/>
      <c r="BK533" s="404"/>
      <c r="BL533" s="404"/>
    </row>
    <row r="534" spans="1:64" ht="13">
      <c r="A534" s="426"/>
      <c r="B534" s="426"/>
      <c r="C534" s="417"/>
      <c r="D534" s="426"/>
      <c r="E534" s="426"/>
      <c r="F534" s="426"/>
      <c r="G534" s="492"/>
      <c r="H534" s="426"/>
      <c r="I534" s="409"/>
      <c r="J534" s="400"/>
      <c r="K534" s="401"/>
      <c r="L534" s="401"/>
    </row>
    <row r="535" spans="1:64" ht="13">
      <c r="A535" s="426"/>
      <c r="B535" s="474" t="s">
        <v>652</v>
      </c>
      <c r="C535" s="427" t="s">
        <v>924</v>
      </c>
      <c r="D535" s="426"/>
      <c r="E535" s="426"/>
      <c r="F535" s="426"/>
      <c r="G535" s="492"/>
      <c r="H535" s="426"/>
      <c r="I535" s="409"/>
      <c r="J535" s="418"/>
      <c r="K535" s="419"/>
      <c r="L535" s="419"/>
      <c r="M535" s="420"/>
      <c r="N535" s="420"/>
      <c r="O535" s="420"/>
      <c r="P535" s="420"/>
      <c r="Q535" s="420"/>
      <c r="R535" s="420"/>
      <c r="S535" s="420"/>
      <c r="T535" s="420"/>
      <c r="U535" s="420"/>
      <c r="V535" s="420"/>
      <c r="W535" s="420"/>
      <c r="X535" s="420"/>
      <c r="Y535" s="420"/>
      <c r="Z535" s="420"/>
      <c r="AA535" s="420"/>
      <c r="AB535" s="420"/>
      <c r="AC535" s="420"/>
      <c r="AD535" s="420"/>
      <c r="AE535" s="420"/>
      <c r="AF535" s="420"/>
      <c r="AG535" s="420"/>
      <c r="AH535" s="420"/>
      <c r="AI535" s="420"/>
      <c r="AJ535" s="420"/>
      <c r="AK535" s="420"/>
      <c r="AL535" s="420"/>
      <c r="AM535" s="420"/>
      <c r="AN535" s="420"/>
      <c r="AO535" s="420"/>
      <c r="AP535" s="420"/>
      <c r="AQ535" s="420"/>
      <c r="AR535" s="420"/>
      <c r="AS535" s="420"/>
      <c r="AT535" s="420"/>
      <c r="AU535" s="420"/>
      <c r="AV535" s="420"/>
      <c r="AW535" s="420"/>
      <c r="AX535" s="420"/>
      <c r="AY535" s="420"/>
      <c r="AZ535" s="420"/>
      <c r="BA535" s="420"/>
      <c r="BB535" s="420"/>
      <c r="BC535" s="420"/>
      <c r="BD535" s="420"/>
      <c r="BE535" s="420"/>
      <c r="BF535" s="420"/>
      <c r="BG535" s="420"/>
      <c r="BH535" s="420"/>
      <c r="BI535" s="420"/>
      <c r="BJ535" s="420"/>
      <c r="BK535" s="420"/>
      <c r="BL535" s="420"/>
    </row>
    <row r="536" spans="1:64">
      <c r="A536" s="426"/>
      <c r="B536" s="426"/>
      <c r="C536" s="417" t="s">
        <v>920</v>
      </c>
      <c r="D536" s="409">
        <v>1</v>
      </c>
      <c r="E536" s="426" t="s">
        <v>57</v>
      </c>
      <c r="F536" s="409">
        <f>$I$513</f>
        <v>9486.4632600000004</v>
      </c>
      <c r="G536" s="410">
        <v>1</v>
      </c>
      <c r="H536" s="426" t="s">
        <v>57</v>
      </c>
      <c r="I536" s="408">
        <f t="shared" ref="I536:I539" si="76">IF(G536="",D536*F536,(D536*F536/G536))</f>
        <v>9486.4632600000004</v>
      </c>
      <c r="J536" s="418"/>
      <c r="K536" s="419"/>
      <c r="L536" s="419"/>
      <c r="M536" s="420"/>
      <c r="N536" s="420"/>
      <c r="O536" s="420"/>
      <c r="P536" s="420"/>
      <c r="Q536" s="420"/>
      <c r="R536" s="420"/>
      <c r="S536" s="420"/>
      <c r="T536" s="420"/>
      <c r="U536" s="420"/>
      <c r="V536" s="420"/>
      <c r="W536" s="420"/>
      <c r="X536" s="420"/>
      <c r="Y536" s="420"/>
      <c r="Z536" s="420"/>
      <c r="AA536" s="420"/>
      <c r="AB536" s="420"/>
      <c r="AC536" s="420"/>
      <c r="AD536" s="420"/>
      <c r="AE536" s="420"/>
      <c r="AF536" s="420"/>
      <c r="AG536" s="420"/>
      <c r="AH536" s="420"/>
      <c r="AI536" s="420"/>
      <c r="AJ536" s="420"/>
      <c r="AK536" s="420"/>
      <c r="AL536" s="420"/>
      <c r="AM536" s="420"/>
      <c r="AN536" s="420"/>
      <c r="AO536" s="420"/>
      <c r="AP536" s="420"/>
      <c r="AQ536" s="420"/>
      <c r="AR536" s="420"/>
      <c r="AS536" s="420"/>
      <c r="AT536" s="420"/>
      <c r="AU536" s="420"/>
      <c r="AV536" s="420"/>
      <c r="AW536" s="420"/>
      <c r="AX536" s="420"/>
      <c r="AY536" s="420"/>
      <c r="AZ536" s="420"/>
      <c r="BA536" s="420"/>
      <c r="BB536" s="420"/>
      <c r="BC536" s="420"/>
      <c r="BD536" s="420"/>
      <c r="BE536" s="420"/>
      <c r="BF536" s="420"/>
      <c r="BG536" s="420"/>
      <c r="BH536" s="420"/>
      <c r="BI536" s="420"/>
      <c r="BJ536" s="420"/>
      <c r="BK536" s="420"/>
      <c r="BL536" s="420"/>
    </row>
    <row r="537" spans="1:64">
      <c r="A537" s="426"/>
      <c r="B537" s="426"/>
      <c r="C537" s="417" t="s">
        <v>921</v>
      </c>
      <c r="D537" s="409">
        <v>1</v>
      </c>
      <c r="E537" s="426" t="s">
        <v>57</v>
      </c>
      <c r="F537" s="409">
        <f>'[161]Civil-SOR'!$F$260</f>
        <v>1566</v>
      </c>
      <c r="G537" s="410">
        <v>1</v>
      </c>
      <c r="H537" s="426" t="s">
        <v>57</v>
      </c>
      <c r="I537" s="408">
        <f t="shared" si="76"/>
        <v>1566</v>
      </c>
      <c r="J537" s="418"/>
      <c r="K537" s="419"/>
      <c r="L537" s="419"/>
      <c r="M537" s="420"/>
      <c r="N537" s="420"/>
      <c r="O537" s="420"/>
      <c r="P537" s="420"/>
      <c r="Q537" s="420"/>
      <c r="R537" s="420"/>
      <c r="S537" s="420"/>
      <c r="T537" s="420"/>
      <c r="U537" s="420"/>
      <c r="V537" s="420"/>
      <c r="W537" s="420"/>
      <c r="X537" s="420"/>
      <c r="Y537" s="420"/>
      <c r="Z537" s="420"/>
      <c r="AA537" s="420"/>
      <c r="AB537" s="420"/>
      <c r="AC537" s="420"/>
      <c r="AD537" s="420"/>
      <c r="AE537" s="420"/>
      <c r="AF537" s="420"/>
      <c r="AG537" s="420"/>
      <c r="AH537" s="420"/>
      <c r="AI537" s="420"/>
      <c r="AJ537" s="420"/>
      <c r="AK537" s="420"/>
      <c r="AL537" s="420"/>
      <c r="AM537" s="420"/>
      <c r="AN537" s="420"/>
      <c r="AO537" s="420"/>
      <c r="AP537" s="420"/>
      <c r="AQ537" s="420"/>
      <c r="AR537" s="420"/>
      <c r="AS537" s="420"/>
      <c r="AT537" s="420"/>
      <c r="AU537" s="420"/>
      <c r="AV537" s="420"/>
      <c r="AW537" s="420"/>
      <c r="AX537" s="420"/>
      <c r="AY537" s="420"/>
      <c r="AZ537" s="420"/>
      <c r="BA537" s="420"/>
      <c r="BB537" s="420"/>
      <c r="BC537" s="420"/>
      <c r="BD537" s="420"/>
      <c r="BE537" s="420"/>
      <c r="BF537" s="420"/>
      <c r="BG537" s="420"/>
      <c r="BH537" s="420"/>
      <c r="BI537" s="420"/>
      <c r="BJ537" s="420"/>
      <c r="BK537" s="420"/>
      <c r="BL537" s="420"/>
    </row>
    <row r="538" spans="1:64">
      <c r="A538" s="426"/>
      <c r="B538" s="426"/>
      <c r="C538" s="417" t="s">
        <v>922</v>
      </c>
      <c r="D538" s="409">
        <v>1</v>
      </c>
      <c r="E538" s="426" t="s">
        <v>57</v>
      </c>
      <c r="F538" s="409">
        <f>'[161]Civil-SOR'!$G$260</f>
        <v>1833</v>
      </c>
      <c r="G538" s="410">
        <v>1</v>
      </c>
      <c r="H538" s="426" t="s">
        <v>57</v>
      </c>
      <c r="I538" s="408">
        <f t="shared" si="76"/>
        <v>1833</v>
      </c>
      <c r="J538" s="418"/>
      <c r="K538" s="419"/>
      <c r="L538" s="419"/>
      <c r="M538" s="420"/>
      <c r="N538" s="420"/>
      <c r="O538" s="420"/>
      <c r="P538" s="420"/>
      <c r="Q538" s="420"/>
      <c r="R538" s="420"/>
      <c r="S538" s="420"/>
      <c r="T538" s="420"/>
      <c r="U538" s="420"/>
      <c r="V538" s="420"/>
      <c r="W538" s="420"/>
      <c r="X538" s="420"/>
      <c r="Y538" s="420"/>
      <c r="Z538" s="420"/>
      <c r="AA538" s="420"/>
      <c r="AB538" s="420"/>
      <c r="AC538" s="420"/>
      <c r="AD538" s="420"/>
      <c r="AE538" s="420"/>
      <c r="AF538" s="420"/>
      <c r="AG538" s="420"/>
      <c r="AH538" s="420"/>
      <c r="AI538" s="420"/>
      <c r="AJ538" s="420"/>
      <c r="AK538" s="420"/>
      <c r="AL538" s="420"/>
      <c r="AM538" s="420"/>
      <c r="AN538" s="420"/>
      <c r="AO538" s="420"/>
      <c r="AP538" s="420"/>
      <c r="AQ538" s="420"/>
      <c r="AR538" s="420"/>
      <c r="AS538" s="420"/>
      <c r="AT538" s="420"/>
      <c r="AU538" s="420"/>
      <c r="AV538" s="420"/>
      <c r="AW538" s="420"/>
      <c r="AX538" s="420"/>
      <c r="AY538" s="420"/>
      <c r="AZ538" s="420"/>
      <c r="BA538" s="420"/>
      <c r="BB538" s="420"/>
      <c r="BC538" s="420"/>
      <c r="BD538" s="420"/>
      <c r="BE538" s="420"/>
      <c r="BF538" s="420"/>
      <c r="BG538" s="420"/>
      <c r="BH538" s="420"/>
      <c r="BI538" s="420"/>
      <c r="BJ538" s="420"/>
      <c r="BK538" s="420"/>
      <c r="BL538" s="420"/>
    </row>
    <row r="539" spans="1:64">
      <c r="A539" s="426"/>
      <c r="B539" s="426"/>
      <c r="C539" s="417" t="str">
        <f>[161]Input!$C$47</f>
        <v>Add for MA @ 40%</v>
      </c>
      <c r="D539" s="409">
        <f>[161]Input!$D$47</f>
        <v>0.4</v>
      </c>
      <c r="E539" s="426"/>
      <c r="F539" s="409">
        <f>I538</f>
        <v>1833</v>
      </c>
      <c r="G539" s="410"/>
      <c r="H539" s="426"/>
      <c r="I539" s="408">
        <f t="shared" si="76"/>
        <v>733.2</v>
      </c>
      <c r="J539" s="418"/>
      <c r="K539" s="419"/>
      <c r="L539" s="419"/>
      <c r="M539" s="420"/>
      <c r="N539" s="420"/>
      <c r="O539" s="420"/>
      <c r="P539" s="420"/>
      <c r="Q539" s="420"/>
      <c r="R539" s="420"/>
      <c r="S539" s="420"/>
      <c r="T539" s="420"/>
      <c r="U539" s="420"/>
      <c r="V539" s="420"/>
      <c r="W539" s="420"/>
      <c r="X539" s="420"/>
      <c r="Y539" s="420"/>
      <c r="Z539" s="420"/>
      <c r="AA539" s="420"/>
      <c r="AB539" s="420"/>
      <c r="AC539" s="420"/>
      <c r="AD539" s="420"/>
      <c r="AE539" s="420"/>
      <c r="AF539" s="420"/>
      <c r="AG539" s="420"/>
      <c r="AH539" s="420"/>
      <c r="AI539" s="420"/>
      <c r="AJ539" s="420"/>
      <c r="AK539" s="420"/>
      <c r="AL539" s="420"/>
      <c r="AM539" s="420"/>
      <c r="AN539" s="420"/>
      <c r="AO539" s="420"/>
      <c r="AP539" s="420"/>
      <c r="AQ539" s="420"/>
      <c r="AR539" s="420"/>
      <c r="AS539" s="420"/>
      <c r="AT539" s="420"/>
      <c r="AU539" s="420"/>
      <c r="AV539" s="420"/>
      <c r="AW539" s="420"/>
      <c r="AX539" s="420"/>
      <c r="AY539" s="420"/>
      <c r="AZ539" s="420"/>
      <c r="BA539" s="420"/>
      <c r="BB539" s="420"/>
      <c r="BC539" s="420"/>
      <c r="BD539" s="420"/>
      <c r="BE539" s="420"/>
      <c r="BF539" s="420"/>
      <c r="BG539" s="420"/>
      <c r="BH539" s="420"/>
      <c r="BI539" s="420"/>
      <c r="BJ539" s="420"/>
      <c r="BK539" s="420"/>
      <c r="BL539" s="420"/>
    </row>
    <row r="540" spans="1:64">
      <c r="A540" s="426"/>
      <c r="B540" s="426"/>
      <c r="C540" s="417"/>
      <c r="D540" s="409"/>
      <c r="E540" s="426"/>
      <c r="F540" s="409"/>
      <c r="G540" s="410"/>
      <c r="H540" s="426"/>
      <c r="I540" s="408">
        <f>SUM(I536:I539)</f>
        <v>13618.663260000001</v>
      </c>
      <c r="J540" s="418"/>
      <c r="K540" s="419"/>
      <c r="L540" s="419"/>
      <c r="M540" s="420"/>
      <c r="N540" s="420"/>
      <c r="O540" s="420"/>
      <c r="P540" s="420"/>
      <c r="Q540" s="420"/>
      <c r="R540" s="420"/>
      <c r="S540" s="420"/>
      <c r="T540" s="420"/>
      <c r="U540" s="420"/>
      <c r="V540" s="420"/>
      <c r="W540" s="420"/>
      <c r="X540" s="420"/>
      <c r="Y540" s="420"/>
      <c r="Z540" s="420"/>
      <c r="AA540" s="420"/>
      <c r="AB540" s="420"/>
      <c r="AC540" s="420"/>
      <c r="AD540" s="420"/>
      <c r="AE540" s="420"/>
      <c r="AF540" s="420"/>
      <c r="AG540" s="420"/>
      <c r="AH540" s="420"/>
      <c r="AI540" s="420"/>
      <c r="AJ540" s="420"/>
      <c r="AK540" s="420"/>
      <c r="AL540" s="420"/>
      <c r="AM540" s="420"/>
      <c r="AN540" s="420"/>
      <c r="AO540" s="420"/>
      <c r="AP540" s="420"/>
      <c r="AQ540" s="420"/>
      <c r="AR540" s="420"/>
      <c r="AS540" s="420"/>
      <c r="AT540" s="420"/>
      <c r="AU540" s="420"/>
      <c r="AV540" s="420"/>
      <c r="AW540" s="420"/>
      <c r="AX540" s="420"/>
      <c r="AY540" s="420"/>
      <c r="AZ540" s="420"/>
      <c r="BA540" s="420"/>
      <c r="BB540" s="420"/>
      <c r="BC540" s="420"/>
      <c r="BD540" s="420"/>
      <c r="BE540" s="420"/>
      <c r="BF540" s="420"/>
      <c r="BG540" s="420"/>
      <c r="BH540" s="420"/>
      <c r="BI540" s="420"/>
      <c r="BJ540" s="420"/>
      <c r="BK540" s="420"/>
      <c r="BL540" s="420"/>
    </row>
    <row r="541" spans="1:64" ht="25">
      <c r="A541" s="426"/>
      <c r="B541" s="426"/>
      <c r="C541" s="417" t="str">
        <f>[161]Input!$C$48</f>
        <v>Overheads &amp; Contractors Profit @ 13.615%</v>
      </c>
      <c r="D541" s="494">
        <f>[161]Input!$D$48</f>
        <v>0.13614999999999999</v>
      </c>
      <c r="E541" s="426"/>
      <c r="F541" s="409">
        <f>I540</f>
        <v>13618.663260000001</v>
      </c>
      <c r="G541" s="410"/>
      <c r="H541" s="434"/>
      <c r="I541" s="408">
        <f>IF(G541="",D541*F541,(D541*F541/G541))</f>
        <v>1854.1810028490002</v>
      </c>
      <c r="J541" s="418"/>
      <c r="K541" s="419"/>
      <c r="L541" s="419"/>
      <c r="M541" s="420"/>
      <c r="N541" s="420"/>
      <c r="O541" s="420"/>
      <c r="P541" s="420"/>
      <c r="Q541" s="420"/>
      <c r="R541" s="420"/>
      <c r="S541" s="420"/>
      <c r="T541" s="420"/>
      <c r="U541" s="420"/>
      <c r="V541" s="420"/>
      <c r="W541" s="420"/>
      <c r="X541" s="420"/>
      <c r="Y541" s="420"/>
      <c r="Z541" s="420"/>
      <c r="AA541" s="420"/>
      <c r="AB541" s="420"/>
      <c r="AC541" s="420"/>
      <c r="AD541" s="420"/>
      <c r="AE541" s="420"/>
      <c r="AF541" s="420"/>
      <c r="AG541" s="420"/>
      <c r="AH541" s="420"/>
      <c r="AI541" s="420"/>
      <c r="AJ541" s="420"/>
      <c r="AK541" s="420"/>
      <c r="AL541" s="420"/>
      <c r="AM541" s="420"/>
      <c r="AN541" s="420"/>
      <c r="AO541" s="420"/>
      <c r="AP541" s="420"/>
      <c r="AQ541" s="420"/>
      <c r="AR541" s="420"/>
      <c r="AS541" s="420"/>
      <c r="AT541" s="420"/>
      <c r="AU541" s="420"/>
      <c r="AV541" s="420"/>
      <c r="AW541" s="420"/>
      <c r="AX541" s="420"/>
      <c r="AY541" s="420"/>
      <c r="AZ541" s="420"/>
      <c r="BA541" s="420"/>
      <c r="BB541" s="420"/>
      <c r="BC541" s="420"/>
      <c r="BD541" s="420"/>
      <c r="BE541" s="420"/>
      <c r="BF541" s="420"/>
      <c r="BG541" s="420"/>
      <c r="BH541" s="420"/>
      <c r="BI541" s="420"/>
      <c r="BJ541" s="420"/>
      <c r="BK541" s="420"/>
      <c r="BL541" s="420"/>
    </row>
    <row r="542" spans="1:64" ht="13">
      <c r="A542" s="426"/>
      <c r="B542" s="426"/>
      <c r="C542" s="427" t="s">
        <v>724</v>
      </c>
      <c r="D542" s="426"/>
      <c r="E542" s="426"/>
      <c r="F542" s="426"/>
      <c r="G542" s="410"/>
      <c r="H542" s="434"/>
      <c r="I542" s="409">
        <f>SUM(I540:I541)</f>
        <v>15472.844262849001</v>
      </c>
      <c r="J542" s="418"/>
      <c r="K542" s="419"/>
      <c r="L542" s="419"/>
      <c r="M542" s="420"/>
      <c r="N542" s="420"/>
      <c r="O542" s="420"/>
      <c r="P542" s="420"/>
      <c r="Q542" s="420"/>
      <c r="R542" s="420"/>
      <c r="S542" s="420"/>
      <c r="T542" s="420"/>
      <c r="U542" s="420"/>
      <c r="V542" s="420"/>
      <c r="W542" s="420"/>
      <c r="X542" s="420"/>
      <c r="Y542" s="420"/>
      <c r="Z542" s="420"/>
      <c r="AA542" s="420"/>
      <c r="AB542" s="420"/>
      <c r="AC542" s="420"/>
      <c r="AD542" s="420"/>
      <c r="AE542" s="420"/>
      <c r="AF542" s="420"/>
      <c r="AG542" s="420"/>
      <c r="AH542" s="420"/>
      <c r="AI542" s="420"/>
      <c r="AJ542" s="420"/>
      <c r="AK542" s="420"/>
      <c r="AL542" s="420"/>
      <c r="AM542" s="420"/>
      <c r="AN542" s="420"/>
      <c r="AO542" s="420"/>
      <c r="AP542" s="420"/>
      <c r="AQ542" s="420"/>
      <c r="AR542" s="420"/>
      <c r="AS542" s="420"/>
      <c r="AT542" s="420"/>
      <c r="AU542" s="420"/>
      <c r="AV542" s="420"/>
      <c r="AW542" s="420"/>
      <c r="AX542" s="420"/>
      <c r="AY542" s="420"/>
      <c r="AZ542" s="420"/>
      <c r="BA542" s="420"/>
      <c r="BB542" s="420"/>
      <c r="BC542" s="420"/>
      <c r="BD542" s="420"/>
      <c r="BE542" s="420"/>
      <c r="BF542" s="420"/>
      <c r="BG542" s="420"/>
      <c r="BH542" s="420"/>
      <c r="BI542" s="420"/>
      <c r="BJ542" s="420"/>
      <c r="BK542" s="420"/>
      <c r="BL542" s="420"/>
    </row>
    <row r="543" spans="1:64" ht="13">
      <c r="A543" s="426"/>
      <c r="B543" s="426"/>
      <c r="C543" s="466"/>
      <c r="D543" s="426"/>
      <c r="E543" s="426"/>
      <c r="F543" s="426"/>
      <c r="G543" s="410"/>
      <c r="H543" s="414" t="s">
        <v>774</v>
      </c>
      <c r="I543" s="414">
        <f>ROUND(I542,0)</f>
        <v>15473</v>
      </c>
      <c r="J543" s="418"/>
      <c r="K543" s="419"/>
      <c r="L543" s="419"/>
      <c r="M543" s="420"/>
      <c r="N543" s="420"/>
      <c r="O543" s="420"/>
      <c r="P543" s="420"/>
      <c r="Q543" s="420"/>
      <c r="R543" s="420"/>
      <c r="S543" s="420"/>
      <c r="T543" s="420"/>
      <c r="U543" s="420"/>
      <c r="V543" s="420"/>
      <c r="W543" s="420"/>
      <c r="X543" s="420"/>
      <c r="Y543" s="420"/>
      <c r="Z543" s="420"/>
      <c r="AA543" s="420"/>
      <c r="AB543" s="420"/>
      <c r="AC543" s="420"/>
      <c r="AD543" s="420"/>
      <c r="AE543" s="420"/>
      <c r="AF543" s="420"/>
      <c r="AG543" s="420"/>
      <c r="AH543" s="420"/>
      <c r="AI543" s="420"/>
      <c r="AJ543" s="420"/>
      <c r="AK543" s="420"/>
      <c r="AL543" s="420"/>
      <c r="AM543" s="420"/>
      <c r="AN543" s="420"/>
      <c r="AO543" s="420"/>
      <c r="AP543" s="420"/>
      <c r="AQ543" s="420"/>
      <c r="AR543" s="420"/>
      <c r="AS543" s="420"/>
      <c r="AT543" s="420"/>
      <c r="AU543" s="420"/>
      <c r="AV543" s="420"/>
      <c r="AW543" s="420"/>
      <c r="AX543" s="420"/>
      <c r="AY543" s="420"/>
      <c r="AZ543" s="420"/>
      <c r="BA543" s="420"/>
      <c r="BB543" s="420"/>
      <c r="BC543" s="420"/>
      <c r="BD543" s="420"/>
      <c r="BE543" s="420"/>
      <c r="BF543" s="420"/>
      <c r="BG543" s="420"/>
      <c r="BH543" s="420"/>
      <c r="BI543" s="420"/>
      <c r="BJ543" s="420"/>
      <c r="BK543" s="420"/>
      <c r="BL543" s="420"/>
    </row>
    <row r="544" spans="1:64" ht="13">
      <c r="A544" s="454"/>
      <c r="B544" s="454"/>
      <c r="C544" s="427"/>
      <c r="D544" s="408"/>
      <c r="E544" s="454"/>
      <c r="F544" s="408"/>
      <c r="G544" s="430"/>
      <c r="H544" s="415"/>
      <c r="I544" s="414"/>
      <c r="J544" s="400"/>
      <c r="K544" s="401"/>
      <c r="L544" s="401"/>
    </row>
    <row r="545" spans="1:12" ht="12.75" customHeight="1">
      <c r="A545" s="454"/>
      <c r="B545" s="415" t="s">
        <v>581</v>
      </c>
      <c r="C545" s="1294" t="s">
        <v>925</v>
      </c>
      <c r="D545" s="1294"/>
      <c r="E545" s="426"/>
      <c r="F545" s="426"/>
      <c r="G545" s="492"/>
      <c r="H545" s="426"/>
      <c r="I545" s="409"/>
      <c r="J545" s="400"/>
      <c r="K545" s="401"/>
      <c r="L545" s="401"/>
    </row>
    <row r="546" spans="1:12">
      <c r="A546" s="454"/>
      <c r="B546" s="454"/>
      <c r="C546" s="417" t="s">
        <v>920</v>
      </c>
      <c r="D546" s="409">
        <v>0.1</v>
      </c>
      <c r="E546" s="426" t="s">
        <v>57</v>
      </c>
      <c r="F546" s="409">
        <f>$I$513</f>
        <v>9486.4632600000004</v>
      </c>
      <c r="G546" s="410">
        <v>1</v>
      </c>
      <c r="H546" s="426" t="s">
        <v>57</v>
      </c>
      <c r="I546" s="408">
        <f t="shared" ref="I546:I549" si="77">IF(G546="",D546*F546,(D546*F546/G546))</f>
        <v>948.64632600000004</v>
      </c>
      <c r="J546" s="400"/>
      <c r="K546" s="401"/>
      <c r="L546" s="401"/>
    </row>
    <row r="547" spans="1:12">
      <c r="A547" s="454"/>
      <c r="B547" s="454"/>
      <c r="C547" s="417" t="s">
        <v>921</v>
      </c>
      <c r="D547" s="409">
        <f>D546</f>
        <v>0.1</v>
      </c>
      <c r="E547" s="426" t="s">
        <v>57</v>
      </c>
      <c r="F547" s="409">
        <f>'[161]Civil-SOR'!$F$257</f>
        <v>325</v>
      </c>
      <c r="G547" s="410">
        <v>1</v>
      </c>
      <c r="H547" s="426" t="s">
        <v>57</v>
      </c>
      <c r="I547" s="408">
        <f t="shared" si="77"/>
        <v>32.5</v>
      </c>
      <c r="J547" s="400"/>
      <c r="K547" s="401"/>
      <c r="L547" s="401"/>
    </row>
    <row r="548" spans="1:12">
      <c r="A548" s="454"/>
      <c r="B548" s="454"/>
      <c r="C548" s="417" t="s">
        <v>926</v>
      </c>
      <c r="D548" s="409">
        <f>D546</f>
        <v>0.1</v>
      </c>
      <c r="E548" s="426" t="s">
        <v>57</v>
      </c>
      <c r="F548" s="409">
        <f>'[161]Civil-SOR'!$G$257</f>
        <v>760</v>
      </c>
      <c r="G548" s="410">
        <v>1</v>
      </c>
      <c r="H548" s="426" t="s">
        <v>57</v>
      </c>
      <c r="I548" s="408">
        <f t="shared" si="77"/>
        <v>76</v>
      </c>
      <c r="J548" s="400"/>
      <c r="K548" s="401"/>
      <c r="L548" s="401"/>
    </row>
    <row r="549" spans="1:12">
      <c r="A549" s="454"/>
      <c r="B549" s="454"/>
      <c r="C549" s="417" t="str">
        <f>[161]Input!$C$47</f>
        <v>Add for MA @ 40%</v>
      </c>
      <c r="D549" s="409">
        <f>[161]Input!$D$47</f>
        <v>0.4</v>
      </c>
      <c r="E549" s="426"/>
      <c r="F549" s="409">
        <f>I548</f>
        <v>76</v>
      </c>
      <c r="G549" s="410"/>
      <c r="H549" s="426"/>
      <c r="I549" s="408">
        <f t="shared" si="77"/>
        <v>30.400000000000002</v>
      </c>
      <c r="J549" s="400"/>
      <c r="K549" s="401"/>
      <c r="L549" s="401"/>
    </row>
    <row r="550" spans="1:12">
      <c r="A550" s="454"/>
      <c r="B550" s="454"/>
      <c r="C550" s="417"/>
      <c r="D550" s="409"/>
      <c r="E550" s="426"/>
      <c r="F550" s="409"/>
      <c r="G550" s="410"/>
      <c r="H550" s="426"/>
      <c r="I550" s="408">
        <f>SUM(I546:I549)</f>
        <v>1087.5463260000001</v>
      </c>
      <c r="J550" s="400"/>
      <c r="K550" s="401"/>
      <c r="L550" s="401"/>
    </row>
    <row r="551" spans="1:12" ht="25">
      <c r="A551" s="454"/>
      <c r="B551" s="454"/>
      <c r="C551" s="417" t="str">
        <f>[161]Input!$C$48</f>
        <v>Overheads &amp; Contractors Profit @ 13.615%</v>
      </c>
      <c r="D551" s="494">
        <f>[161]Input!$D$48</f>
        <v>0.13614999999999999</v>
      </c>
      <c r="E551" s="426"/>
      <c r="F551" s="409">
        <f>I550</f>
        <v>1087.5463260000001</v>
      </c>
      <c r="G551" s="410"/>
      <c r="H551" s="434"/>
      <c r="I551" s="408">
        <f>IF(G551="",D551*F551,(D551*F551/G551))</f>
        <v>148.06943228490002</v>
      </c>
      <c r="J551" s="400"/>
      <c r="K551" s="401"/>
      <c r="L551" s="401"/>
    </row>
    <row r="552" spans="1:12" ht="13">
      <c r="A552" s="454"/>
      <c r="B552" s="454"/>
      <c r="C552" s="427" t="s">
        <v>742</v>
      </c>
      <c r="D552" s="426"/>
      <c r="E552" s="426"/>
      <c r="F552" s="426"/>
      <c r="G552" s="410"/>
      <c r="H552" s="434"/>
      <c r="I552" s="409">
        <f>SUM(I550:I551)</f>
        <v>1235.6157582849</v>
      </c>
      <c r="J552" s="400"/>
      <c r="K552" s="401"/>
      <c r="L552" s="401"/>
    </row>
    <row r="553" spans="1:12" ht="13">
      <c r="A553" s="454"/>
      <c r="B553" s="454"/>
      <c r="C553" s="417"/>
      <c r="D553" s="426"/>
      <c r="E553" s="426"/>
      <c r="F553" s="426"/>
      <c r="G553" s="410"/>
      <c r="H553" s="414" t="s">
        <v>774</v>
      </c>
      <c r="I553" s="414">
        <f>ROUND(I552,0)</f>
        <v>1236</v>
      </c>
      <c r="J553" s="400"/>
      <c r="K553" s="401"/>
      <c r="L553" s="401"/>
    </row>
    <row r="554" spans="1:12" ht="13">
      <c r="A554" s="454"/>
      <c r="B554" s="454"/>
      <c r="C554" s="417"/>
      <c r="D554" s="426"/>
      <c r="E554" s="426"/>
      <c r="F554" s="426"/>
      <c r="G554" s="410"/>
      <c r="H554" s="414"/>
      <c r="I554" s="414"/>
      <c r="J554" s="400"/>
      <c r="K554" s="401"/>
      <c r="L554" s="401"/>
    </row>
    <row r="555" spans="1:12" ht="12.75" customHeight="1">
      <c r="A555" s="454"/>
      <c r="B555" s="415" t="s">
        <v>581</v>
      </c>
      <c r="C555" s="1294" t="s">
        <v>927</v>
      </c>
      <c r="D555" s="1294"/>
      <c r="E555" s="426"/>
      <c r="F555" s="426"/>
      <c r="G555" s="492"/>
      <c r="H555" s="426"/>
      <c r="I555" s="409"/>
      <c r="J555" s="400"/>
      <c r="K555" s="401"/>
      <c r="L555" s="401"/>
    </row>
    <row r="556" spans="1:12">
      <c r="A556" s="454"/>
      <c r="B556" s="454"/>
      <c r="C556" s="417" t="s">
        <v>920</v>
      </c>
      <c r="D556" s="491">
        <v>0.125</v>
      </c>
      <c r="E556" s="426" t="s">
        <v>57</v>
      </c>
      <c r="F556" s="409">
        <f>$I$513</f>
        <v>9486.4632600000004</v>
      </c>
      <c r="G556" s="410">
        <v>1</v>
      </c>
      <c r="H556" s="426" t="s">
        <v>57</v>
      </c>
      <c r="I556" s="408">
        <f t="shared" ref="I556:I559" si="78">IF(G556="",D556*F556,(D556*F556/G556))</f>
        <v>1185.8079075000001</v>
      </c>
      <c r="J556" s="400"/>
      <c r="K556" s="401"/>
      <c r="L556" s="401"/>
    </row>
    <row r="557" spans="1:12">
      <c r="A557" s="454"/>
      <c r="B557" s="454"/>
      <c r="C557" s="417" t="s">
        <v>921</v>
      </c>
      <c r="D557" s="491">
        <f>D556</f>
        <v>0.125</v>
      </c>
      <c r="E557" s="426" t="s">
        <v>57</v>
      </c>
      <c r="F557" s="409">
        <f>'[161]Civil-SOR'!$F$257</f>
        <v>325</v>
      </c>
      <c r="G557" s="410">
        <v>1</v>
      </c>
      <c r="H557" s="426" t="s">
        <v>57</v>
      </c>
      <c r="I557" s="408">
        <f t="shared" si="78"/>
        <v>40.625</v>
      </c>
      <c r="J557" s="400"/>
      <c r="K557" s="401"/>
      <c r="L557" s="401"/>
    </row>
    <row r="558" spans="1:12">
      <c r="A558" s="454"/>
      <c r="B558" s="454"/>
      <c r="C558" s="417" t="s">
        <v>926</v>
      </c>
      <c r="D558" s="491">
        <f>D556</f>
        <v>0.125</v>
      </c>
      <c r="E558" s="426" t="s">
        <v>57</v>
      </c>
      <c r="F558" s="409">
        <f>'[161]Civil-SOR'!$G$257</f>
        <v>760</v>
      </c>
      <c r="G558" s="410">
        <v>1</v>
      </c>
      <c r="H558" s="426" t="s">
        <v>57</v>
      </c>
      <c r="I558" s="408">
        <f t="shared" si="78"/>
        <v>95</v>
      </c>
      <c r="J558" s="400"/>
      <c r="K558" s="401"/>
      <c r="L558" s="401"/>
    </row>
    <row r="559" spans="1:12">
      <c r="A559" s="454"/>
      <c r="B559" s="454"/>
      <c r="C559" s="417" t="str">
        <f>[161]Input!$C$47</f>
        <v>Add for MA @ 40%</v>
      </c>
      <c r="D559" s="409">
        <f>[161]Input!$D$47</f>
        <v>0.4</v>
      </c>
      <c r="E559" s="426"/>
      <c r="F559" s="409">
        <f>I558</f>
        <v>95</v>
      </c>
      <c r="G559" s="410"/>
      <c r="H559" s="426"/>
      <c r="I559" s="408">
        <f t="shared" si="78"/>
        <v>38</v>
      </c>
      <c r="J559" s="400"/>
      <c r="K559" s="401"/>
      <c r="L559" s="401"/>
    </row>
    <row r="560" spans="1:12">
      <c r="A560" s="454"/>
      <c r="B560" s="454"/>
      <c r="C560" s="417"/>
      <c r="D560" s="409"/>
      <c r="E560" s="426"/>
      <c r="F560" s="409"/>
      <c r="G560" s="410"/>
      <c r="H560" s="426"/>
      <c r="I560" s="408">
        <f>SUM(I556:I559)</f>
        <v>1359.4329075000001</v>
      </c>
      <c r="J560" s="400"/>
      <c r="K560" s="401"/>
      <c r="L560" s="401"/>
    </row>
    <row r="561" spans="1:12" ht="25">
      <c r="A561" s="454"/>
      <c r="B561" s="454"/>
      <c r="C561" s="417" t="str">
        <f>[161]Input!$C$48</f>
        <v>Overheads &amp; Contractors Profit @ 13.615%</v>
      </c>
      <c r="D561" s="494">
        <f>[161]Input!$D$48</f>
        <v>0.13614999999999999</v>
      </c>
      <c r="E561" s="426"/>
      <c r="F561" s="409">
        <f>I560</f>
        <v>1359.4329075000001</v>
      </c>
      <c r="G561" s="410"/>
      <c r="H561" s="434"/>
      <c r="I561" s="408">
        <f>IF(G561="",D561*F561,(D561*F561/G561))</f>
        <v>185.08679035612499</v>
      </c>
      <c r="J561" s="400"/>
      <c r="K561" s="401"/>
      <c r="L561" s="401"/>
    </row>
    <row r="562" spans="1:12" ht="13">
      <c r="A562" s="454"/>
      <c r="B562" s="454"/>
      <c r="C562" s="427" t="s">
        <v>742</v>
      </c>
      <c r="D562" s="426"/>
      <c r="E562" s="426"/>
      <c r="F562" s="426"/>
      <c r="G562" s="410"/>
      <c r="H562" s="434"/>
      <c r="I562" s="409">
        <f>SUM(I560:I561)</f>
        <v>1544.519697856125</v>
      </c>
      <c r="J562" s="400"/>
      <c r="K562" s="401"/>
      <c r="L562" s="401"/>
    </row>
    <row r="563" spans="1:12" ht="13">
      <c r="A563" s="454"/>
      <c r="B563" s="454"/>
      <c r="C563" s="417"/>
      <c r="D563" s="426"/>
      <c r="E563" s="426"/>
      <c r="F563" s="426"/>
      <c r="G563" s="410"/>
      <c r="H563" s="414" t="s">
        <v>774</v>
      </c>
      <c r="I563" s="414">
        <f>ROUND(I562,0)</f>
        <v>1545</v>
      </c>
      <c r="J563" s="400"/>
      <c r="K563" s="401"/>
      <c r="L563" s="401"/>
    </row>
    <row r="564" spans="1:12" ht="13">
      <c r="A564" s="454"/>
      <c r="B564" s="454"/>
      <c r="C564" s="417"/>
      <c r="D564" s="426"/>
      <c r="E564" s="426"/>
      <c r="F564" s="426"/>
      <c r="G564" s="410"/>
      <c r="H564" s="414"/>
      <c r="I564" s="414"/>
      <c r="J564" s="400"/>
      <c r="K564" s="401"/>
      <c r="L564" s="401"/>
    </row>
    <row r="565" spans="1:12" ht="12.75" customHeight="1">
      <c r="A565" s="454"/>
      <c r="B565" s="415" t="s">
        <v>581</v>
      </c>
      <c r="C565" s="1294" t="s">
        <v>928</v>
      </c>
      <c r="D565" s="1294"/>
      <c r="E565" s="426"/>
      <c r="F565" s="426"/>
      <c r="G565" s="492"/>
      <c r="H565" s="426"/>
      <c r="I565" s="409"/>
      <c r="J565" s="400"/>
      <c r="K565" s="401"/>
      <c r="L565" s="401"/>
    </row>
    <row r="566" spans="1:12">
      <c r="A566" s="454"/>
      <c r="B566" s="454"/>
      <c r="C566" s="417" t="s">
        <v>920</v>
      </c>
      <c r="D566" s="409">
        <v>0.15</v>
      </c>
      <c r="E566" s="426" t="s">
        <v>57</v>
      </c>
      <c r="F566" s="409">
        <f>$I$513</f>
        <v>9486.4632600000004</v>
      </c>
      <c r="G566" s="410">
        <v>1</v>
      </c>
      <c r="H566" s="426" t="s">
        <v>57</v>
      </c>
      <c r="I566" s="408">
        <f t="shared" ref="I566:I569" si="79">IF(G566="",D566*F566,(D566*F566/G566))</f>
        <v>1422.9694890000001</v>
      </c>
      <c r="J566" s="400"/>
      <c r="K566" s="401"/>
      <c r="L566" s="401"/>
    </row>
    <row r="567" spans="1:12">
      <c r="A567" s="454"/>
      <c r="B567" s="454"/>
      <c r="C567" s="417" t="s">
        <v>921</v>
      </c>
      <c r="D567" s="409">
        <f>D566</f>
        <v>0.15</v>
      </c>
      <c r="E567" s="426" t="s">
        <v>57</v>
      </c>
      <c r="F567" s="409">
        <f>'[161]Civil-SOR'!$F$257</f>
        <v>325</v>
      </c>
      <c r="G567" s="410">
        <v>1</v>
      </c>
      <c r="H567" s="426" t="s">
        <v>57</v>
      </c>
      <c r="I567" s="408">
        <f t="shared" si="79"/>
        <v>48.75</v>
      </c>
      <c r="J567" s="400"/>
      <c r="K567" s="401"/>
      <c r="L567" s="401"/>
    </row>
    <row r="568" spans="1:12">
      <c r="A568" s="454"/>
      <c r="B568" s="454"/>
      <c r="C568" s="417" t="s">
        <v>926</v>
      </c>
      <c r="D568" s="409">
        <f>D566</f>
        <v>0.15</v>
      </c>
      <c r="E568" s="426" t="s">
        <v>57</v>
      </c>
      <c r="F568" s="409">
        <f>'[161]Civil-SOR'!$G$257</f>
        <v>760</v>
      </c>
      <c r="G568" s="410">
        <v>1</v>
      </c>
      <c r="H568" s="426" t="s">
        <v>57</v>
      </c>
      <c r="I568" s="408">
        <f t="shared" si="79"/>
        <v>114</v>
      </c>
      <c r="J568" s="400"/>
      <c r="K568" s="401"/>
      <c r="L568" s="401"/>
    </row>
    <row r="569" spans="1:12">
      <c r="A569" s="454"/>
      <c r="B569" s="454"/>
      <c r="C569" s="417" t="str">
        <f>[161]Input!$C$47</f>
        <v>Add for MA @ 40%</v>
      </c>
      <c r="D569" s="409">
        <f>[161]Input!$D$47</f>
        <v>0.4</v>
      </c>
      <c r="E569" s="426"/>
      <c r="F569" s="409">
        <f>I568</f>
        <v>114</v>
      </c>
      <c r="G569" s="410"/>
      <c r="H569" s="426"/>
      <c r="I569" s="408">
        <f t="shared" si="79"/>
        <v>45.6</v>
      </c>
      <c r="J569" s="400"/>
      <c r="K569" s="401"/>
      <c r="L569" s="401"/>
    </row>
    <row r="570" spans="1:12">
      <c r="A570" s="454"/>
      <c r="B570" s="454"/>
      <c r="C570" s="417"/>
      <c r="D570" s="409"/>
      <c r="E570" s="426"/>
      <c r="F570" s="409"/>
      <c r="G570" s="410"/>
      <c r="H570" s="426"/>
      <c r="I570" s="408">
        <f>SUM(I566:I569)</f>
        <v>1631.319489</v>
      </c>
      <c r="J570" s="400"/>
      <c r="K570" s="401"/>
      <c r="L570" s="401"/>
    </row>
    <row r="571" spans="1:12" ht="25">
      <c r="A571" s="454"/>
      <c r="B571" s="454"/>
      <c r="C571" s="417" t="str">
        <f>[161]Input!$C$48</f>
        <v>Overheads &amp; Contractors Profit @ 13.615%</v>
      </c>
      <c r="D571" s="494">
        <f>[161]Input!$D$48</f>
        <v>0.13614999999999999</v>
      </c>
      <c r="E571" s="426"/>
      <c r="F571" s="409">
        <f>I570</f>
        <v>1631.319489</v>
      </c>
      <c r="G571" s="410"/>
      <c r="H571" s="434"/>
      <c r="I571" s="408">
        <f>IF(G571="",D571*F571,(D571*F571/G571))</f>
        <v>222.10414842735</v>
      </c>
      <c r="J571" s="400"/>
      <c r="K571" s="401"/>
      <c r="L571" s="401"/>
    </row>
    <row r="572" spans="1:12" ht="13">
      <c r="A572" s="454"/>
      <c r="B572" s="454"/>
      <c r="C572" s="427" t="s">
        <v>742</v>
      </c>
      <c r="D572" s="426"/>
      <c r="E572" s="426"/>
      <c r="F572" s="426"/>
      <c r="G572" s="410"/>
      <c r="H572" s="434"/>
      <c r="I572" s="409">
        <f>SUM(I570:I571)</f>
        <v>1853.4236374273501</v>
      </c>
      <c r="J572" s="400"/>
      <c r="K572" s="401"/>
      <c r="L572" s="401"/>
    </row>
    <row r="573" spans="1:12" ht="13">
      <c r="A573" s="454"/>
      <c r="B573" s="454"/>
      <c r="C573" s="417"/>
      <c r="D573" s="426"/>
      <c r="E573" s="426"/>
      <c r="F573" s="426"/>
      <c r="G573" s="410"/>
      <c r="H573" s="414" t="s">
        <v>774</v>
      </c>
      <c r="I573" s="414">
        <f>ROUND(I572,0)</f>
        <v>1853</v>
      </c>
      <c r="J573" s="400"/>
      <c r="K573" s="401"/>
      <c r="L573" s="401"/>
    </row>
    <row r="574" spans="1:12" ht="13">
      <c r="A574" s="454"/>
      <c r="B574" s="426"/>
      <c r="C574" s="435"/>
      <c r="D574" s="426"/>
      <c r="E574" s="426"/>
      <c r="F574" s="426"/>
      <c r="G574" s="410"/>
      <c r="H574" s="414"/>
      <c r="I574" s="414"/>
      <c r="J574" s="400"/>
      <c r="K574" s="401"/>
      <c r="L574" s="401"/>
    </row>
    <row r="575" spans="1:12" ht="12.75" customHeight="1">
      <c r="A575" s="454"/>
      <c r="B575" s="415" t="s">
        <v>929</v>
      </c>
      <c r="C575" s="1294" t="s">
        <v>930</v>
      </c>
      <c r="D575" s="1294"/>
      <c r="E575" s="426"/>
      <c r="F575" s="426"/>
      <c r="G575" s="492"/>
      <c r="H575" s="426"/>
      <c r="I575" s="409"/>
      <c r="J575" s="400"/>
      <c r="K575" s="401"/>
      <c r="L575" s="401"/>
    </row>
    <row r="576" spans="1:12">
      <c r="A576" s="454"/>
      <c r="B576" s="454"/>
      <c r="C576" s="417" t="s">
        <v>920</v>
      </c>
      <c r="D576" s="409">
        <v>0.2</v>
      </c>
      <c r="E576" s="426" t="s">
        <v>57</v>
      </c>
      <c r="F576" s="409">
        <f>$I$513</f>
        <v>9486.4632600000004</v>
      </c>
      <c r="G576" s="410">
        <v>1</v>
      </c>
      <c r="H576" s="426" t="s">
        <v>57</v>
      </c>
      <c r="I576" s="408">
        <f t="shared" ref="I576:I579" si="80">IF(G576="",D576*F576,(D576*F576/G576))</f>
        <v>1897.2926520000001</v>
      </c>
      <c r="J576" s="400"/>
      <c r="K576" s="401"/>
      <c r="L576" s="401"/>
    </row>
    <row r="577" spans="1:12">
      <c r="A577" s="454"/>
      <c r="B577" s="454"/>
      <c r="C577" s="417" t="s">
        <v>921</v>
      </c>
      <c r="D577" s="409">
        <f>D576</f>
        <v>0.2</v>
      </c>
      <c r="E577" s="426" t="s">
        <v>57</v>
      </c>
      <c r="F577" s="409">
        <f>'[161]Civil-SOR'!$F$257</f>
        <v>325</v>
      </c>
      <c r="G577" s="410">
        <v>1</v>
      </c>
      <c r="H577" s="426" t="s">
        <v>57</v>
      </c>
      <c r="I577" s="408">
        <f t="shared" si="80"/>
        <v>65</v>
      </c>
      <c r="J577" s="400"/>
      <c r="K577" s="401"/>
      <c r="L577" s="401"/>
    </row>
    <row r="578" spans="1:12">
      <c r="A578" s="454"/>
      <c r="B578" s="454"/>
      <c r="C578" s="417" t="s">
        <v>926</v>
      </c>
      <c r="D578" s="409">
        <f>D576</f>
        <v>0.2</v>
      </c>
      <c r="E578" s="426" t="s">
        <v>57</v>
      </c>
      <c r="F578" s="409">
        <f>'[161]Civil-SOR'!$G$257</f>
        <v>760</v>
      </c>
      <c r="G578" s="410">
        <v>1</v>
      </c>
      <c r="H578" s="426" t="s">
        <v>57</v>
      </c>
      <c r="I578" s="408">
        <f t="shared" si="80"/>
        <v>152</v>
      </c>
      <c r="J578" s="400"/>
      <c r="K578" s="401"/>
      <c r="L578" s="401"/>
    </row>
    <row r="579" spans="1:12">
      <c r="A579" s="454"/>
      <c r="B579" s="454"/>
      <c r="C579" s="417" t="str">
        <f>[161]Input!$C$47</f>
        <v>Add for MA @ 40%</v>
      </c>
      <c r="D579" s="409">
        <f>[161]Input!$D$47</f>
        <v>0.4</v>
      </c>
      <c r="E579" s="426"/>
      <c r="F579" s="409">
        <f>I578</f>
        <v>152</v>
      </c>
      <c r="G579" s="410"/>
      <c r="H579" s="426"/>
      <c r="I579" s="408">
        <f t="shared" si="80"/>
        <v>60.800000000000004</v>
      </c>
      <c r="J579" s="400"/>
      <c r="K579" s="401"/>
      <c r="L579" s="401"/>
    </row>
    <row r="580" spans="1:12">
      <c r="A580" s="454"/>
      <c r="B580" s="454"/>
      <c r="C580" s="417"/>
      <c r="D580" s="409"/>
      <c r="E580" s="426"/>
      <c r="F580" s="409"/>
      <c r="G580" s="410"/>
      <c r="H580" s="426"/>
      <c r="I580" s="408">
        <f>SUM(I576:I579)</f>
        <v>2175.0926520000003</v>
      </c>
      <c r="J580" s="400"/>
      <c r="K580" s="401"/>
      <c r="L580" s="401"/>
    </row>
    <row r="581" spans="1:12" ht="25">
      <c r="A581" s="454"/>
      <c r="B581" s="454"/>
      <c r="C581" s="417" t="str">
        <f>[161]Input!$C$48</f>
        <v>Overheads &amp; Contractors Profit @ 13.615%</v>
      </c>
      <c r="D581" s="494">
        <f>[161]Input!$D$48</f>
        <v>0.13614999999999999</v>
      </c>
      <c r="E581" s="426"/>
      <c r="F581" s="409">
        <f>I580</f>
        <v>2175.0926520000003</v>
      </c>
      <c r="G581" s="410"/>
      <c r="H581" s="434"/>
      <c r="I581" s="408">
        <f>IF(G581="",D581*F581,(D581*F581/G581))</f>
        <v>296.13886456980003</v>
      </c>
      <c r="J581" s="400"/>
      <c r="K581" s="401"/>
      <c r="L581" s="401"/>
    </row>
    <row r="582" spans="1:12" ht="13">
      <c r="A582" s="454"/>
      <c r="B582" s="454"/>
      <c r="C582" s="427" t="s">
        <v>742</v>
      </c>
      <c r="D582" s="426"/>
      <c r="E582" s="426"/>
      <c r="F582" s="426"/>
      <c r="G582" s="410"/>
      <c r="H582" s="434"/>
      <c r="I582" s="409">
        <f>SUM(I580:I581)</f>
        <v>2471.2315165698001</v>
      </c>
      <c r="J582" s="400"/>
      <c r="K582" s="401"/>
      <c r="L582" s="401"/>
    </row>
    <row r="583" spans="1:12" ht="13">
      <c r="A583" s="454"/>
      <c r="B583" s="454"/>
      <c r="C583" s="417"/>
      <c r="D583" s="426"/>
      <c r="E583" s="426"/>
      <c r="F583" s="426"/>
      <c r="G583" s="410"/>
      <c r="H583" s="414" t="s">
        <v>774</v>
      </c>
      <c r="I583" s="414">
        <f>ROUND(I582,0)</f>
        <v>2471</v>
      </c>
      <c r="J583" s="400"/>
      <c r="K583" s="401"/>
      <c r="L583" s="401"/>
    </row>
    <row r="584" spans="1:12" ht="12.75" customHeight="1">
      <c r="A584" s="454"/>
      <c r="B584" s="415" t="s">
        <v>929</v>
      </c>
      <c r="C584" s="1294" t="s">
        <v>931</v>
      </c>
      <c r="D584" s="1294"/>
      <c r="E584" s="426"/>
      <c r="F584" s="426"/>
      <c r="G584" s="492"/>
      <c r="H584" s="426"/>
      <c r="I584" s="409"/>
      <c r="J584" s="400"/>
      <c r="K584" s="401"/>
      <c r="L584" s="401"/>
    </row>
    <row r="585" spans="1:12">
      <c r="A585" s="454"/>
      <c r="B585" s="454"/>
      <c r="C585" s="417" t="s">
        <v>920</v>
      </c>
      <c r="D585" s="409">
        <v>0.23</v>
      </c>
      <c r="E585" s="426" t="s">
        <v>57</v>
      </c>
      <c r="F585" s="409">
        <f>$I$513</f>
        <v>9486.4632600000004</v>
      </c>
      <c r="G585" s="410">
        <v>1</v>
      </c>
      <c r="H585" s="426" t="s">
        <v>57</v>
      </c>
      <c r="I585" s="408">
        <f t="shared" ref="I585:I588" si="81">IF(G585="",D585*F585,(D585*F585/G585))</f>
        <v>2181.8865498</v>
      </c>
      <c r="J585" s="400"/>
      <c r="K585" s="401"/>
      <c r="L585" s="401"/>
    </row>
    <row r="586" spans="1:12">
      <c r="A586" s="454"/>
      <c r="B586" s="454"/>
      <c r="C586" s="417" t="s">
        <v>921</v>
      </c>
      <c r="D586" s="409">
        <f>D585</f>
        <v>0.23</v>
      </c>
      <c r="E586" s="426" t="s">
        <v>57</v>
      </c>
      <c r="F586" s="409">
        <f>'[161]Civil-SOR'!$F$257</f>
        <v>325</v>
      </c>
      <c r="G586" s="410">
        <v>1</v>
      </c>
      <c r="H586" s="426" t="s">
        <v>57</v>
      </c>
      <c r="I586" s="408">
        <f t="shared" si="81"/>
        <v>74.75</v>
      </c>
      <c r="J586" s="400"/>
      <c r="K586" s="401"/>
      <c r="L586" s="401"/>
    </row>
    <row r="587" spans="1:12">
      <c r="A587" s="454"/>
      <c r="B587" s="454"/>
      <c r="C587" s="417" t="s">
        <v>926</v>
      </c>
      <c r="D587" s="409">
        <f>D585</f>
        <v>0.23</v>
      </c>
      <c r="E587" s="426" t="s">
        <v>57</v>
      </c>
      <c r="F587" s="409">
        <f>'[161]Civil-SOR'!$G$257</f>
        <v>760</v>
      </c>
      <c r="G587" s="410">
        <v>1</v>
      </c>
      <c r="H587" s="426" t="s">
        <v>57</v>
      </c>
      <c r="I587" s="408">
        <f t="shared" si="81"/>
        <v>174.8</v>
      </c>
      <c r="J587" s="400"/>
      <c r="K587" s="401"/>
      <c r="L587" s="401"/>
    </row>
    <row r="588" spans="1:12">
      <c r="A588" s="454"/>
      <c r="B588" s="454"/>
      <c r="C588" s="417" t="str">
        <f>[161]Input!$C$47</f>
        <v>Add for MA @ 40%</v>
      </c>
      <c r="D588" s="409">
        <f>[161]Input!$D$47</f>
        <v>0.4</v>
      </c>
      <c r="E588" s="426"/>
      <c r="F588" s="409">
        <f>I587</f>
        <v>174.8</v>
      </c>
      <c r="G588" s="410"/>
      <c r="H588" s="426"/>
      <c r="I588" s="408">
        <f t="shared" si="81"/>
        <v>69.92</v>
      </c>
      <c r="J588" s="400"/>
      <c r="K588" s="401"/>
      <c r="L588" s="401"/>
    </row>
    <row r="589" spans="1:12">
      <c r="A589" s="454"/>
      <c r="B589" s="454"/>
      <c r="C589" s="417"/>
      <c r="D589" s="409"/>
      <c r="E589" s="426"/>
      <c r="F589" s="409"/>
      <c r="G589" s="410"/>
      <c r="H589" s="426"/>
      <c r="I589" s="408">
        <f>SUM(I585:I588)</f>
        <v>2501.3565498000003</v>
      </c>
      <c r="J589" s="400"/>
      <c r="K589" s="401"/>
      <c r="L589" s="401"/>
    </row>
    <row r="590" spans="1:12" ht="25">
      <c r="A590" s="454"/>
      <c r="B590" s="454"/>
      <c r="C590" s="417" t="str">
        <f>[161]Input!$C$48</f>
        <v>Overheads &amp; Contractors Profit @ 13.615%</v>
      </c>
      <c r="D590" s="494">
        <f>[161]Input!$D$48</f>
        <v>0.13614999999999999</v>
      </c>
      <c r="E590" s="426"/>
      <c r="F590" s="409">
        <f>I589</f>
        <v>2501.3565498000003</v>
      </c>
      <c r="G590" s="410"/>
      <c r="H590" s="434"/>
      <c r="I590" s="408">
        <f>IF(G590="",D590*F590,(D590*F590/G590))</f>
        <v>340.55969425527002</v>
      </c>
      <c r="J590" s="400"/>
      <c r="K590" s="401"/>
      <c r="L590" s="401"/>
    </row>
    <row r="591" spans="1:12" ht="13">
      <c r="A591" s="454"/>
      <c r="B591" s="454"/>
      <c r="C591" s="427" t="s">
        <v>742</v>
      </c>
      <c r="D591" s="426"/>
      <c r="E591" s="426"/>
      <c r="F591" s="426"/>
      <c r="G591" s="410"/>
      <c r="H591" s="434"/>
      <c r="I591" s="409">
        <f>SUM(I589:I590)</f>
        <v>2841.9162440552705</v>
      </c>
      <c r="J591" s="400"/>
      <c r="K591" s="401"/>
      <c r="L591" s="401"/>
    </row>
    <row r="592" spans="1:12" ht="13">
      <c r="A592" s="454"/>
      <c r="B592" s="454"/>
      <c r="C592" s="417"/>
      <c r="D592" s="426"/>
      <c r="E592" s="426"/>
      <c r="F592" s="426"/>
      <c r="G592" s="410"/>
      <c r="H592" s="414" t="s">
        <v>774</v>
      </c>
      <c r="I592" s="414">
        <f>ROUND(I591,0)</f>
        <v>2842</v>
      </c>
      <c r="J592" s="400"/>
      <c r="K592" s="401"/>
      <c r="L592" s="401"/>
    </row>
    <row r="593" spans="1:64" ht="13">
      <c r="A593" s="454"/>
      <c r="B593" s="454"/>
      <c r="C593" s="427"/>
      <c r="D593" s="408"/>
      <c r="E593" s="454"/>
      <c r="F593" s="408"/>
      <c r="G593" s="430"/>
      <c r="H593" s="415"/>
      <c r="I593" s="414"/>
      <c r="J593" s="400"/>
      <c r="K593" s="401"/>
      <c r="L593" s="401"/>
    </row>
    <row r="594" spans="1:64" ht="12.75" customHeight="1">
      <c r="A594" s="454"/>
      <c r="B594" s="415" t="s">
        <v>581</v>
      </c>
      <c r="C594" s="1294" t="s">
        <v>932</v>
      </c>
      <c r="D594" s="1294"/>
      <c r="E594" s="426"/>
      <c r="F594" s="426"/>
      <c r="G594" s="492"/>
      <c r="H594" s="426"/>
      <c r="I594" s="409"/>
      <c r="J594" s="400"/>
      <c r="K594" s="401"/>
      <c r="L594" s="401"/>
    </row>
    <row r="595" spans="1:64">
      <c r="A595" s="454"/>
      <c r="B595" s="454"/>
      <c r="C595" s="417" t="s">
        <v>920</v>
      </c>
      <c r="D595" s="409">
        <v>0.25</v>
      </c>
      <c r="E595" s="426" t="s">
        <v>57</v>
      </c>
      <c r="F595" s="409">
        <f>$I$513</f>
        <v>9486.4632600000004</v>
      </c>
      <c r="G595" s="410">
        <v>1</v>
      </c>
      <c r="H595" s="426" t="s">
        <v>57</v>
      </c>
      <c r="I595" s="408">
        <f t="shared" ref="I595:I598" si="82">IF(G595="",D595*F595,(D595*F595/G595))</f>
        <v>2371.6158150000001</v>
      </c>
      <c r="J595" s="400"/>
      <c r="K595" s="401"/>
      <c r="L595" s="401"/>
    </row>
    <row r="596" spans="1:64">
      <c r="A596" s="454"/>
      <c r="B596" s="454"/>
      <c r="C596" s="417" t="s">
        <v>921</v>
      </c>
      <c r="D596" s="409">
        <f>D595</f>
        <v>0.25</v>
      </c>
      <c r="E596" s="426" t="s">
        <v>57</v>
      </c>
      <c r="F596" s="409">
        <f>'[161]Civil-SOR'!$F$257</f>
        <v>325</v>
      </c>
      <c r="G596" s="410">
        <v>1</v>
      </c>
      <c r="H596" s="426" t="s">
        <v>57</v>
      </c>
      <c r="I596" s="408">
        <f t="shared" si="82"/>
        <v>81.25</v>
      </c>
      <c r="J596" s="400"/>
      <c r="K596" s="401"/>
      <c r="L596" s="401"/>
    </row>
    <row r="597" spans="1:64">
      <c r="A597" s="454"/>
      <c r="B597" s="454"/>
      <c r="C597" s="417" t="s">
        <v>926</v>
      </c>
      <c r="D597" s="409">
        <f>D595</f>
        <v>0.25</v>
      </c>
      <c r="E597" s="426" t="s">
        <v>57</v>
      </c>
      <c r="F597" s="409">
        <f>'[161]Civil-SOR'!$G$257</f>
        <v>760</v>
      </c>
      <c r="G597" s="410">
        <v>1</v>
      </c>
      <c r="H597" s="426" t="s">
        <v>57</v>
      </c>
      <c r="I597" s="408">
        <f t="shared" si="82"/>
        <v>190</v>
      </c>
      <c r="J597" s="400"/>
      <c r="K597" s="401"/>
      <c r="L597" s="401"/>
    </row>
    <row r="598" spans="1:64">
      <c r="A598" s="454"/>
      <c r="B598" s="454"/>
      <c r="C598" s="417" t="str">
        <f>[161]Input!$C$47</f>
        <v>Add for MA @ 40%</v>
      </c>
      <c r="D598" s="409">
        <f>[161]Input!$D$47</f>
        <v>0.4</v>
      </c>
      <c r="E598" s="426"/>
      <c r="F598" s="409">
        <f>I597</f>
        <v>190</v>
      </c>
      <c r="G598" s="410"/>
      <c r="H598" s="426"/>
      <c r="I598" s="408">
        <f t="shared" si="82"/>
        <v>76</v>
      </c>
      <c r="J598" s="400"/>
      <c r="K598" s="401"/>
      <c r="L598" s="401"/>
    </row>
    <row r="599" spans="1:64">
      <c r="A599" s="454"/>
      <c r="B599" s="454"/>
      <c r="C599" s="417"/>
      <c r="D599" s="409"/>
      <c r="E599" s="426"/>
      <c r="F599" s="409"/>
      <c r="G599" s="410"/>
      <c r="H599" s="426"/>
      <c r="I599" s="408">
        <f>SUM(I595:I598)</f>
        <v>2718.8658150000001</v>
      </c>
      <c r="J599" s="400"/>
      <c r="K599" s="401"/>
      <c r="L599" s="401"/>
    </row>
    <row r="600" spans="1:64" ht="25">
      <c r="A600" s="454"/>
      <c r="B600" s="454"/>
      <c r="C600" s="417" t="str">
        <f>[161]Input!$C$48</f>
        <v>Overheads &amp; Contractors Profit @ 13.615%</v>
      </c>
      <c r="D600" s="494">
        <f>[161]Input!$D$48</f>
        <v>0.13614999999999999</v>
      </c>
      <c r="E600" s="426"/>
      <c r="F600" s="409">
        <f>I599</f>
        <v>2718.8658150000001</v>
      </c>
      <c r="G600" s="410"/>
      <c r="H600" s="434"/>
      <c r="I600" s="408">
        <f>IF(G600="",D600*F600,(D600*F600/G600))</f>
        <v>370.17358071224999</v>
      </c>
      <c r="J600" s="400"/>
      <c r="K600" s="401"/>
      <c r="L600" s="401"/>
    </row>
    <row r="601" spans="1:64" ht="13">
      <c r="A601" s="454"/>
      <c r="B601" s="454"/>
      <c r="C601" s="427" t="s">
        <v>742</v>
      </c>
      <c r="D601" s="426"/>
      <c r="E601" s="426"/>
      <c r="F601" s="426"/>
      <c r="G601" s="410"/>
      <c r="H601" s="434"/>
      <c r="I601" s="409">
        <f>SUM(I599:I600)</f>
        <v>3089.0393957122501</v>
      </c>
      <c r="J601" s="400"/>
      <c r="K601" s="401"/>
      <c r="L601" s="401"/>
    </row>
    <row r="602" spans="1:64" ht="13">
      <c r="A602" s="454"/>
      <c r="B602" s="454"/>
      <c r="C602" s="417"/>
      <c r="D602" s="426"/>
      <c r="E602" s="426"/>
      <c r="F602" s="426"/>
      <c r="G602" s="410"/>
      <c r="H602" s="414" t="s">
        <v>774</v>
      </c>
      <c r="I602" s="414">
        <f>ROUND(I601,0)</f>
        <v>3089</v>
      </c>
      <c r="J602" s="400"/>
      <c r="K602" s="401"/>
      <c r="L602" s="401"/>
    </row>
    <row r="603" spans="1:64" ht="13">
      <c r="A603" s="454"/>
      <c r="B603" s="454"/>
      <c r="C603" s="427"/>
      <c r="D603" s="408"/>
      <c r="E603" s="454"/>
      <c r="F603" s="408"/>
      <c r="G603" s="430"/>
      <c r="H603" s="415"/>
      <c r="I603" s="414"/>
      <c r="J603" s="400"/>
      <c r="K603" s="401"/>
      <c r="L603" s="401"/>
    </row>
    <row r="604" spans="1:64" ht="12.75" customHeight="1">
      <c r="A604" s="454"/>
      <c r="B604" s="415" t="s">
        <v>581</v>
      </c>
      <c r="C604" s="1294" t="s">
        <v>933</v>
      </c>
      <c r="D604" s="1294"/>
      <c r="E604" s="426"/>
      <c r="F604" s="426"/>
      <c r="G604" s="492"/>
      <c r="H604" s="426"/>
      <c r="I604" s="409"/>
      <c r="J604" s="400"/>
      <c r="K604" s="401"/>
      <c r="L604" s="401"/>
      <c r="M604" s="404"/>
      <c r="N604" s="404"/>
      <c r="O604" s="404"/>
      <c r="P604" s="404"/>
      <c r="Q604" s="404"/>
      <c r="R604" s="404"/>
      <c r="S604" s="404"/>
      <c r="T604" s="404"/>
      <c r="U604" s="404"/>
      <c r="V604" s="404"/>
      <c r="W604" s="404"/>
      <c r="X604" s="404"/>
      <c r="Y604" s="404"/>
      <c r="Z604" s="404"/>
      <c r="AA604" s="404"/>
      <c r="AB604" s="404"/>
      <c r="AC604" s="404"/>
      <c r="AD604" s="404"/>
      <c r="AE604" s="404"/>
      <c r="AF604" s="404"/>
      <c r="AG604" s="404"/>
      <c r="AH604" s="404"/>
      <c r="AI604" s="404"/>
      <c r="AJ604" s="404"/>
      <c r="AK604" s="404"/>
      <c r="AL604" s="404"/>
      <c r="AM604" s="404"/>
      <c r="AN604" s="404"/>
      <c r="AO604" s="404"/>
      <c r="AP604" s="404"/>
      <c r="AQ604" s="404"/>
      <c r="AR604" s="404"/>
      <c r="AS604" s="404"/>
      <c r="AT604" s="404"/>
      <c r="AU604" s="404"/>
      <c r="AV604" s="404"/>
      <c r="AW604" s="404"/>
      <c r="AX604" s="404"/>
      <c r="AY604" s="404"/>
      <c r="AZ604" s="404"/>
      <c r="BA604" s="404"/>
      <c r="BB604" s="404"/>
      <c r="BC604" s="404"/>
      <c r="BD604" s="404"/>
      <c r="BE604" s="404"/>
      <c r="BF604" s="404"/>
      <c r="BG604" s="404"/>
      <c r="BH604" s="404"/>
      <c r="BI604" s="404"/>
      <c r="BJ604" s="404"/>
      <c r="BK604" s="404"/>
      <c r="BL604" s="404"/>
    </row>
    <row r="605" spans="1:64">
      <c r="A605" s="454"/>
      <c r="B605" s="454"/>
      <c r="C605" s="417" t="s">
        <v>920</v>
      </c>
      <c r="D605" s="409">
        <v>0.3</v>
      </c>
      <c r="E605" s="426" t="s">
        <v>57</v>
      </c>
      <c r="F605" s="409">
        <f>$I$513</f>
        <v>9486.4632600000004</v>
      </c>
      <c r="G605" s="410">
        <v>1</v>
      </c>
      <c r="H605" s="426" t="s">
        <v>57</v>
      </c>
      <c r="I605" s="408">
        <f t="shared" ref="I605:I608" si="83">IF(G605="",D605*F605,(D605*F605/G605))</f>
        <v>2845.9389780000001</v>
      </c>
      <c r="J605" s="418"/>
      <c r="K605" s="419"/>
      <c r="L605" s="419"/>
      <c r="M605" s="420"/>
      <c r="N605" s="420"/>
      <c r="O605" s="420"/>
      <c r="P605" s="420"/>
      <c r="Q605" s="420"/>
      <c r="R605" s="420"/>
      <c r="S605" s="420"/>
      <c r="T605" s="420"/>
      <c r="U605" s="420"/>
      <c r="V605" s="420"/>
      <c r="W605" s="420"/>
      <c r="X605" s="420"/>
      <c r="Y605" s="420"/>
      <c r="Z605" s="420"/>
      <c r="AA605" s="420"/>
      <c r="AB605" s="420"/>
      <c r="AC605" s="420"/>
      <c r="AD605" s="420"/>
      <c r="AE605" s="420"/>
      <c r="AF605" s="420"/>
      <c r="AG605" s="420"/>
      <c r="AH605" s="420"/>
      <c r="AI605" s="420"/>
      <c r="AJ605" s="420"/>
      <c r="AK605" s="420"/>
      <c r="AL605" s="420"/>
      <c r="AM605" s="420"/>
      <c r="AN605" s="420"/>
      <c r="AO605" s="420"/>
      <c r="AP605" s="420"/>
      <c r="AQ605" s="420"/>
      <c r="AR605" s="420"/>
      <c r="AS605" s="420"/>
      <c r="AT605" s="420"/>
      <c r="AU605" s="420"/>
      <c r="AV605" s="420"/>
      <c r="AW605" s="420"/>
      <c r="AX605" s="420"/>
      <c r="AY605" s="420"/>
      <c r="AZ605" s="420"/>
      <c r="BA605" s="420"/>
      <c r="BB605" s="420"/>
      <c r="BC605" s="420"/>
      <c r="BD605" s="420"/>
      <c r="BE605" s="420"/>
      <c r="BF605" s="420"/>
      <c r="BG605" s="420"/>
      <c r="BH605" s="420"/>
      <c r="BI605" s="420"/>
      <c r="BJ605" s="420"/>
      <c r="BK605" s="420"/>
      <c r="BL605" s="420"/>
    </row>
    <row r="606" spans="1:64">
      <c r="A606" s="454"/>
      <c r="B606" s="454"/>
      <c r="C606" s="417" t="s">
        <v>921</v>
      </c>
      <c r="D606" s="409">
        <f>D605</f>
        <v>0.3</v>
      </c>
      <c r="E606" s="426" t="s">
        <v>57</v>
      </c>
      <c r="F606" s="409">
        <f>'[161]Civil-SOR'!$F$257</f>
        <v>325</v>
      </c>
      <c r="G606" s="410">
        <v>1</v>
      </c>
      <c r="H606" s="426" t="s">
        <v>57</v>
      </c>
      <c r="I606" s="408">
        <f t="shared" si="83"/>
        <v>97.5</v>
      </c>
      <c r="J606" s="418"/>
      <c r="K606" s="419"/>
      <c r="L606" s="419"/>
      <c r="M606" s="420"/>
      <c r="N606" s="420"/>
      <c r="O606" s="420"/>
      <c r="P606" s="420"/>
      <c r="Q606" s="420"/>
      <c r="R606" s="420"/>
      <c r="S606" s="420"/>
      <c r="T606" s="420"/>
      <c r="U606" s="420"/>
      <c r="V606" s="420"/>
      <c r="W606" s="420"/>
      <c r="X606" s="420"/>
      <c r="Y606" s="420"/>
      <c r="Z606" s="420"/>
      <c r="AA606" s="420"/>
      <c r="AB606" s="420"/>
      <c r="AC606" s="420"/>
      <c r="AD606" s="420"/>
      <c r="AE606" s="420"/>
      <c r="AF606" s="420"/>
      <c r="AG606" s="420"/>
      <c r="AH606" s="420"/>
      <c r="AI606" s="420"/>
      <c r="AJ606" s="420"/>
      <c r="AK606" s="420"/>
      <c r="AL606" s="420"/>
      <c r="AM606" s="420"/>
      <c r="AN606" s="420"/>
      <c r="AO606" s="420"/>
      <c r="AP606" s="420"/>
      <c r="AQ606" s="420"/>
      <c r="AR606" s="420"/>
      <c r="AS606" s="420"/>
      <c r="AT606" s="420"/>
      <c r="AU606" s="420"/>
      <c r="AV606" s="420"/>
      <c r="AW606" s="420"/>
      <c r="AX606" s="420"/>
      <c r="AY606" s="420"/>
      <c r="AZ606" s="420"/>
      <c r="BA606" s="420"/>
      <c r="BB606" s="420"/>
      <c r="BC606" s="420"/>
      <c r="BD606" s="420"/>
      <c r="BE606" s="420"/>
      <c r="BF606" s="420"/>
      <c r="BG606" s="420"/>
      <c r="BH606" s="420"/>
      <c r="BI606" s="420"/>
      <c r="BJ606" s="420"/>
      <c r="BK606" s="420"/>
      <c r="BL606" s="420"/>
    </row>
    <row r="607" spans="1:64">
      <c r="A607" s="454"/>
      <c r="B607" s="454"/>
      <c r="C607" s="417" t="s">
        <v>926</v>
      </c>
      <c r="D607" s="409">
        <f>D605</f>
        <v>0.3</v>
      </c>
      <c r="E607" s="426" t="s">
        <v>57</v>
      </c>
      <c r="F607" s="409">
        <f>'[161]Civil-SOR'!$G$257</f>
        <v>760</v>
      </c>
      <c r="G607" s="410">
        <v>1</v>
      </c>
      <c r="H607" s="426" t="s">
        <v>57</v>
      </c>
      <c r="I607" s="408">
        <f t="shared" si="83"/>
        <v>228</v>
      </c>
      <c r="J607" s="418"/>
      <c r="K607" s="419"/>
      <c r="L607" s="419"/>
      <c r="M607" s="420"/>
      <c r="N607" s="420"/>
      <c r="O607" s="420"/>
      <c r="P607" s="420"/>
      <c r="Q607" s="420"/>
      <c r="R607" s="420"/>
      <c r="S607" s="420"/>
      <c r="T607" s="420"/>
      <c r="U607" s="420"/>
      <c r="V607" s="420"/>
      <c r="W607" s="420"/>
      <c r="X607" s="420"/>
      <c r="Y607" s="420"/>
      <c r="Z607" s="420"/>
      <c r="AA607" s="420"/>
      <c r="AB607" s="420"/>
      <c r="AC607" s="420"/>
      <c r="AD607" s="420"/>
      <c r="AE607" s="420"/>
      <c r="AF607" s="420"/>
      <c r="AG607" s="420"/>
      <c r="AH607" s="420"/>
      <c r="AI607" s="420"/>
      <c r="AJ607" s="420"/>
      <c r="AK607" s="420"/>
      <c r="AL607" s="420"/>
      <c r="AM607" s="420"/>
      <c r="AN607" s="420"/>
      <c r="AO607" s="420"/>
      <c r="AP607" s="420"/>
      <c r="AQ607" s="420"/>
      <c r="AR607" s="420"/>
      <c r="AS607" s="420"/>
      <c r="AT607" s="420"/>
      <c r="AU607" s="420"/>
      <c r="AV607" s="420"/>
      <c r="AW607" s="420"/>
      <c r="AX607" s="420"/>
      <c r="AY607" s="420"/>
      <c r="AZ607" s="420"/>
      <c r="BA607" s="420"/>
      <c r="BB607" s="420"/>
      <c r="BC607" s="420"/>
      <c r="BD607" s="420"/>
      <c r="BE607" s="420"/>
      <c r="BF607" s="420"/>
      <c r="BG607" s="420"/>
      <c r="BH607" s="420"/>
      <c r="BI607" s="420"/>
      <c r="BJ607" s="420"/>
      <c r="BK607" s="420"/>
      <c r="BL607" s="420"/>
    </row>
    <row r="608" spans="1:64">
      <c r="A608" s="454"/>
      <c r="B608" s="454"/>
      <c r="C608" s="417" t="str">
        <f>[161]Input!$C$47</f>
        <v>Add for MA @ 40%</v>
      </c>
      <c r="D608" s="409">
        <f>[161]Input!$D$47</f>
        <v>0.4</v>
      </c>
      <c r="E608" s="426"/>
      <c r="F608" s="409">
        <f>I607</f>
        <v>228</v>
      </c>
      <c r="G608" s="410"/>
      <c r="H608" s="426"/>
      <c r="I608" s="408">
        <f t="shared" si="83"/>
        <v>91.2</v>
      </c>
      <c r="J608" s="418"/>
      <c r="K608" s="419"/>
      <c r="L608" s="419"/>
      <c r="M608" s="420"/>
      <c r="N608" s="420"/>
      <c r="O608" s="420"/>
      <c r="P608" s="420"/>
      <c r="Q608" s="420"/>
      <c r="R608" s="420"/>
      <c r="S608" s="420"/>
      <c r="T608" s="420"/>
      <c r="U608" s="420"/>
      <c r="V608" s="420"/>
      <c r="W608" s="420"/>
      <c r="X608" s="420"/>
      <c r="Y608" s="420"/>
      <c r="Z608" s="420"/>
      <c r="AA608" s="420"/>
      <c r="AB608" s="420"/>
      <c r="AC608" s="420"/>
      <c r="AD608" s="420"/>
      <c r="AE608" s="420"/>
      <c r="AF608" s="420"/>
      <c r="AG608" s="420"/>
      <c r="AH608" s="420"/>
      <c r="AI608" s="420"/>
      <c r="AJ608" s="420"/>
      <c r="AK608" s="420"/>
      <c r="AL608" s="420"/>
      <c r="AM608" s="420"/>
      <c r="AN608" s="420"/>
      <c r="AO608" s="420"/>
      <c r="AP608" s="420"/>
      <c r="AQ608" s="420"/>
      <c r="AR608" s="420"/>
      <c r="AS608" s="420"/>
      <c r="AT608" s="420"/>
      <c r="AU608" s="420"/>
      <c r="AV608" s="420"/>
      <c r="AW608" s="420"/>
      <c r="AX608" s="420"/>
      <c r="AY608" s="420"/>
      <c r="AZ608" s="420"/>
      <c r="BA608" s="420"/>
      <c r="BB608" s="420"/>
      <c r="BC608" s="420"/>
      <c r="BD608" s="420"/>
      <c r="BE608" s="420"/>
      <c r="BF608" s="420"/>
      <c r="BG608" s="420"/>
      <c r="BH608" s="420"/>
      <c r="BI608" s="420"/>
      <c r="BJ608" s="420"/>
      <c r="BK608" s="420"/>
      <c r="BL608" s="420"/>
    </row>
    <row r="609" spans="1:64">
      <c r="A609" s="454"/>
      <c r="B609" s="454"/>
      <c r="C609" s="417"/>
      <c r="D609" s="409"/>
      <c r="E609" s="426"/>
      <c r="F609" s="409"/>
      <c r="G609" s="410"/>
      <c r="H609" s="426"/>
      <c r="I609" s="408">
        <f>SUM(I605:I608)</f>
        <v>3262.638978</v>
      </c>
      <c r="J609" s="418"/>
      <c r="K609" s="419"/>
      <c r="L609" s="419"/>
      <c r="M609" s="420"/>
      <c r="N609" s="420"/>
      <c r="O609" s="420"/>
      <c r="P609" s="420"/>
      <c r="Q609" s="420"/>
      <c r="R609" s="420"/>
      <c r="S609" s="420"/>
      <c r="T609" s="420"/>
      <c r="U609" s="420"/>
      <c r="V609" s="420"/>
      <c r="W609" s="420"/>
      <c r="X609" s="420"/>
      <c r="Y609" s="420"/>
      <c r="Z609" s="420"/>
      <c r="AA609" s="420"/>
      <c r="AB609" s="420"/>
      <c r="AC609" s="420"/>
      <c r="AD609" s="420"/>
      <c r="AE609" s="420"/>
      <c r="AF609" s="420"/>
      <c r="AG609" s="420"/>
      <c r="AH609" s="420"/>
      <c r="AI609" s="420"/>
      <c r="AJ609" s="420"/>
      <c r="AK609" s="420"/>
      <c r="AL609" s="420"/>
      <c r="AM609" s="420"/>
      <c r="AN609" s="420"/>
      <c r="AO609" s="420"/>
      <c r="AP609" s="420"/>
      <c r="AQ609" s="420"/>
      <c r="AR609" s="420"/>
      <c r="AS609" s="420"/>
      <c r="AT609" s="420"/>
      <c r="AU609" s="420"/>
      <c r="AV609" s="420"/>
      <c r="AW609" s="420"/>
      <c r="AX609" s="420"/>
      <c r="AY609" s="420"/>
      <c r="AZ609" s="420"/>
      <c r="BA609" s="420"/>
      <c r="BB609" s="420"/>
      <c r="BC609" s="420"/>
      <c r="BD609" s="420"/>
      <c r="BE609" s="420"/>
      <c r="BF609" s="420"/>
      <c r="BG609" s="420"/>
      <c r="BH609" s="420"/>
      <c r="BI609" s="420"/>
      <c r="BJ609" s="420"/>
      <c r="BK609" s="420"/>
      <c r="BL609" s="420"/>
    </row>
    <row r="610" spans="1:64" ht="25">
      <c r="A610" s="454"/>
      <c r="B610" s="454"/>
      <c r="C610" s="417" t="str">
        <f>[161]Input!$C$48</f>
        <v>Overheads &amp; Contractors Profit @ 13.615%</v>
      </c>
      <c r="D610" s="494">
        <f>[161]Input!$D$48</f>
        <v>0.13614999999999999</v>
      </c>
      <c r="E610" s="426"/>
      <c r="F610" s="409">
        <f>I609</f>
        <v>3262.638978</v>
      </c>
      <c r="G610" s="410"/>
      <c r="H610" s="434"/>
      <c r="I610" s="408">
        <f>IF(G610="",D610*F610,(D610*F610/G610))</f>
        <v>444.2082968547</v>
      </c>
      <c r="J610" s="418"/>
      <c r="K610" s="419"/>
      <c r="L610" s="419"/>
      <c r="M610" s="420"/>
      <c r="N610" s="420"/>
      <c r="O610" s="420"/>
      <c r="P610" s="420"/>
      <c r="Q610" s="420"/>
      <c r="R610" s="420"/>
      <c r="S610" s="420"/>
      <c r="T610" s="420"/>
      <c r="U610" s="420"/>
      <c r="V610" s="420"/>
      <c r="W610" s="420"/>
      <c r="X610" s="420"/>
      <c r="Y610" s="420"/>
      <c r="Z610" s="420"/>
      <c r="AA610" s="420"/>
      <c r="AB610" s="420"/>
      <c r="AC610" s="420"/>
      <c r="AD610" s="420"/>
      <c r="AE610" s="420"/>
      <c r="AF610" s="420"/>
      <c r="AG610" s="420"/>
      <c r="AH610" s="420"/>
      <c r="AI610" s="420"/>
      <c r="AJ610" s="420"/>
      <c r="AK610" s="420"/>
      <c r="AL610" s="420"/>
      <c r="AM610" s="420"/>
      <c r="AN610" s="420"/>
      <c r="AO610" s="420"/>
      <c r="AP610" s="420"/>
      <c r="AQ610" s="420"/>
      <c r="AR610" s="420"/>
      <c r="AS610" s="420"/>
      <c r="AT610" s="420"/>
      <c r="AU610" s="420"/>
      <c r="AV610" s="420"/>
      <c r="AW610" s="420"/>
      <c r="AX610" s="420"/>
      <c r="AY610" s="420"/>
      <c r="AZ610" s="420"/>
      <c r="BA610" s="420"/>
      <c r="BB610" s="420"/>
      <c r="BC610" s="420"/>
      <c r="BD610" s="420"/>
      <c r="BE610" s="420"/>
      <c r="BF610" s="420"/>
      <c r="BG610" s="420"/>
      <c r="BH610" s="420"/>
      <c r="BI610" s="420"/>
      <c r="BJ610" s="420"/>
      <c r="BK610" s="420"/>
      <c r="BL610" s="420"/>
    </row>
    <row r="611" spans="1:64" ht="13">
      <c r="A611" s="454"/>
      <c r="B611" s="454"/>
      <c r="C611" s="427" t="s">
        <v>742</v>
      </c>
      <c r="D611" s="426"/>
      <c r="E611" s="426"/>
      <c r="F611" s="426"/>
      <c r="G611" s="410"/>
      <c r="H611" s="434"/>
      <c r="I611" s="409">
        <f>SUM(I609:I610)</f>
        <v>3706.8472748547001</v>
      </c>
      <c r="J611" s="418"/>
      <c r="K611" s="419"/>
      <c r="L611" s="419"/>
      <c r="M611" s="420"/>
      <c r="N611" s="420"/>
      <c r="O611" s="420"/>
      <c r="P611" s="420"/>
      <c r="Q611" s="420"/>
      <c r="R611" s="420"/>
      <c r="S611" s="420"/>
      <c r="T611" s="420"/>
      <c r="U611" s="420"/>
      <c r="V611" s="420"/>
      <c r="W611" s="420"/>
      <c r="X611" s="420"/>
      <c r="Y611" s="420"/>
      <c r="Z611" s="420"/>
      <c r="AA611" s="420"/>
      <c r="AB611" s="420"/>
      <c r="AC611" s="420"/>
      <c r="AD611" s="420"/>
      <c r="AE611" s="420"/>
      <c r="AF611" s="420"/>
      <c r="AG611" s="420"/>
      <c r="AH611" s="420"/>
      <c r="AI611" s="420"/>
      <c r="AJ611" s="420"/>
      <c r="AK611" s="420"/>
      <c r="AL611" s="420"/>
      <c r="AM611" s="420"/>
      <c r="AN611" s="420"/>
      <c r="AO611" s="420"/>
      <c r="AP611" s="420"/>
      <c r="AQ611" s="420"/>
      <c r="AR611" s="420"/>
      <c r="AS611" s="420"/>
      <c r="AT611" s="420"/>
      <c r="AU611" s="420"/>
      <c r="AV611" s="420"/>
      <c r="AW611" s="420"/>
      <c r="AX611" s="420"/>
      <c r="AY611" s="420"/>
      <c r="AZ611" s="420"/>
      <c r="BA611" s="420"/>
      <c r="BB611" s="420"/>
      <c r="BC611" s="420"/>
      <c r="BD611" s="420"/>
      <c r="BE611" s="420"/>
      <c r="BF611" s="420"/>
      <c r="BG611" s="420"/>
      <c r="BH611" s="420"/>
      <c r="BI611" s="420"/>
      <c r="BJ611" s="420"/>
      <c r="BK611" s="420"/>
      <c r="BL611" s="420"/>
    </row>
    <row r="612" spans="1:64" ht="13">
      <c r="A612" s="454"/>
      <c r="B612" s="454"/>
      <c r="C612" s="496"/>
      <c r="D612" s="426"/>
      <c r="E612" s="426"/>
      <c r="F612" s="426"/>
      <c r="G612" s="410"/>
      <c r="H612" s="414" t="s">
        <v>774</v>
      </c>
      <c r="I612" s="414">
        <f>ROUND(I611,0)</f>
        <v>3707</v>
      </c>
      <c r="J612" s="411"/>
      <c r="K612" s="412"/>
      <c r="L612" s="412"/>
      <c r="M612" s="413"/>
      <c r="N612" s="413"/>
      <c r="O612" s="413"/>
      <c r="P612" s="413"/>
      <c r="Q612" s="413"/>
      <c r="R612" s="413"/>
      <c r="S612" s="413"/>
      <c r="T612" s="413"/>
      <c r="U612" s="413"/>
      <c r="V612" s="413"/>
      <c r="W612" s="413"/>
      <c r="X612" s="413"/>
      <c r="Y612" s="413"/>
      <c r="Z612" s="413"/>
      <c r="AA612" s="413"/>
      <c r="AB612" s="413"/>
      <c r="AC612" s="413"/>
      <c r="AD612" s="413"/>
      <c r="AE612" s="413"/>
      <c r="AF612" s="413"/>
      <c r="AG612" s="413"/>
      <c r="AH612" s="413"/>
      <c r="AI612" s="413"/>
      <c r="AJ612" s="413"/>
      <c r="AK612" s="413"/>
      <c r="AL612" s="413"/>
      <c r="AM612" s="413"/>
      <c r="AN612" s="413"/>
      <c r="AO612" s="413"/>
      <c r="AP612" s="413"/>
      <c r="AQ612" s="413"/>
      <c r="AR612" s="413"/>
      <c r="AS612" s="413"/>
      <c r="AT612" s="413"/>
      <c r="AU612" s="413"/>
      <c r="AV612" s="413"/>
      <c r="AW612" s="413"/>
      <c r="AX612" s="413"/>
      <c r="AY612" s="413"/>
      <c r="AZ612" s="413"/>
      <c r="BA612" s="413"/>
      <c r="BB612" s="413"/>
      <c r="BC612" s="413"/>
      <c r="BD612" s="413"/>
      <c r="BE612" s="413"/>
      <c r="BF612" s="413"/>
      <c r="BG612" s="413"/>
      <c r="BH612" s="413"/>
      <c r="BI612" s="413"/>
      <c r="BJ612" s="413"/>
      <c r="BK612" s="413"/>
      <c r="BL612" s="413"/>
    </row>
    <row r="613" spans="1:64" ht="13">
      <c r="A613" s="454"/>
      <c r="B613" s="454"/>
      <c r="C613" s="417"/>
      <c r="D613" s="426"/>
      <c r="E613" s="426"/>
      <c r="F613" s="426"/>
      <c r="G613" s="410"/>
      <c r="H613" s="434"/>
      <c r="I613" s="414"/>
      <c r="J613" s="400"/>
      <c r="K613" s="401"/>
      <c r="L613" s="401"/>
    </row>
    <row r="614" spans="1:64" ht="12.75" customHeight="1">
      <c r="A614" s="454"/>
      <c r="B614" s="415" t="s">
        <v>604</v>
      </c>
      <c r="C614" s="1294" t="s">
        <v>934</v>
      </c>
      <c r="D614" s="1294"/>
      <c r="E614" s="426"/>
      <c r="F614" s="426"/>
      <c r="G614" s="492"/>
      <c r="H614" s="426"/>
      <c r="I614" s="409"/>
      <c r="J614" s="400"/>
      <c r="K614" s="401"/>
      <c r="L614" s="401"/>
    </row>
    <row r="615" spans="1:64">
      <c r="A615" s="454"/>
      <c r="B615" s="454"/>
      <c r="C615" s="417" t="s">
        <v>920</v>
      </c>
      <c r="D615" s="409">
        <v>0.4</v>
      </c>
      <c r="E615" s="426" t="s">
        <v>57</v>
      </c>
      <c r="F615" s="409">
        <f>$I$513</f>
        <v>9486.4632600000004</v>
      </c>
      <c r="G615" s="410">
        <v>1</v>
      </c>
      <c r="H615" s="426" t="s">
        <v>57</v>
      </c>
      <c r="I615" s="408">
        <f t="shared" ref="I615:I618" si="84">IF(G615="",D615*F615,(D615*F615/G615))</f>
        <v>3794.5853040000002</v>
      </c>
      <c r="J615" s="400"/>
      <c r="K615" s="401"/>
      <c r="L615" s="401"/>
    </row>
    <row r="616" spans="1:64">
      <c r="A616" s="454"/>
      <c r="B616" s="454"/>
      <c r="C616" s="417" t="s">
        <v>921</v>
      </c>
      <c r="D616" s="409">
        <f>D615</f>
        <v>0.4</v>
      </c>
      <c r="E616" s="426" t="s">
        <v>57</v>
      </c>
      <c r="F616" s="409">
        <f>'[161]Civil-SOR'!$F$257</f>
        <v>325</v>
      </c>
      <c r="G616" s="410">
        <v>1</v>
      </c>
      <c r="H616" s="426" t="s">
        <v>57</v>
      </c>
      <c r="I616" s="408">
        <f t="shared" si="84"/>
        <v>130</v>
      </c>
      <c r="J616" s="400"/>
      <c r="K616" s="401"/>
      <c r="L616" s="401"/>
    </row>
    <row r="617" spans="1:64">
      <c r="A617" s="454"/>
      <c r="B617" s="454"/>
      <c r="C617" s="417" t="s">
        <v>926</v>
      </c>
      <c r="D617" s="409">
        <f>D615</f>
        <v>0.4</v>
      </c>
      <c r="E617" s="426" t="s">
        <v>57</v>
      </c>
      <c r="F617" s="409">
        <f>'[161]Civil-SOR'!$G$257</f>
        <v>760</v>
      </c>
      <c r="G617" s="410">
        <v>1</v>
      </c>
      <c r="H617" s="426" t="s">
        <v>57</v>
      </c>
      <c r="I617" s="408">
        <f t="shared" si="84"/>
        <v>304</v>
      </c>
      <c r="J617" s="400"/>
      <c r="K617" s="401"/>
      <c r="L617" s="401"/>
    </row>
    <row r="618" spans="1:64">
      <c r="A618" s="454"/>
      <c r="B618" s="454"/>
      <c r="C618" s="417" t="str">
        <f>[161]Input!$C$47</f>
        <v>Add for MA @ 40%</v>
      </c>
      <c r="D618" s="409">
        <f>[161]Input!$D$47</f>
        <v>0.4</v>
      </c>
      <c r="E618" s="426"/>
      <c r="F618" s="409">
        <f>I617</f>
        <v>304</v>
      </c>
      <c r="G618" s="410"/>
      <c r="H618" s="426"/>
      <c r="I618" s="408">
        <f t="shared" si="84"/>
        <v>121.60000000000001</v>
      </c>
      <c r="J618" s="400"/>
      <c r="K618" s="401"/>
      <c r="L618" s="401"/>
    </row>
    <row r="619" spans="1:64">
      <c r="A619" s="454"/>
      <c r="B619" s="454"/>
      <c r="C619" s="417"/>
      <c r="D619" s="409"/>
      <c r="E619" s="426"/>
      <c r="F619" s="409"/>
      <c r="G619" s="410"/>
      <c r="H619" s="426"/>
      <c r="I619" s="408">
        <f>SUM(I615:I618)</f>
        <v>4350.1853040000005</v>
      </c>
      <c r="J619" s="400"/>
      <c r="K619" s="401"/>
      <c r="L619" s="401"/>
    </row>
    <row r="620" spans="1:64" ht="25">
      <c r="A620" s="454"/>
      <c r="B620" s="454"/>
      <c r="C620" s="417" t="str">
        <f>[161]Input!$C$48</f>
        <v>Overheads &amp; Contractors Profit @ 13.615%</v>
      </c>
      <c r="D620" s="494">
        <f>[161]Input!$D$48</f>
        <v>0.13614999999999999</v>
      </c>
      <c r="E620" s="426"/>
      <c r="F620" s="409">
        <f>I619</f>
        <v>4350.1853040000005</v>
      </c>
      <c r="G620" s="410"/>
      <c r="H620" s="434"/>
      <c r="I620" s="408">
        <f>IF(G620="",D620*F620,(D620*F620/G620))</f>
        <v>592.27772913960007</v>
      </c>
      <c r="J620" s="400"/>
      <c r="K620" s="401"/>
      <c r="L620" s="401"/>
    </row>
    <row r="621" spans="1:64" ht="13">
      <c r="A621" s="454"/>
      <c r="B621" s="454"/>
      <c r="C621" s="427" t="s">
        <v>742</v>
      </c>
      <c r="D621" s="426"/>
      <c r="E621" s="426"/>
      <c r="F621" s="426"/>
      <c r="G621" s="410"/>
      <c r="H621" s="434"/>
      <c r="I621" s="409">
        <f>SUM(I619:I620)</f>
        <v>4942.4630331396002</v>
      </c>
      <c r="J621" s="400"/>
      <c r="K621" s="401"/>
      <c r="L621" s="401"/>
    </row>
    <row r="622" spans="1:64" ht="13">
      <c r="A622" s="454"/>
      <c r="B622" s="454"/>
      <c r="C622" s="417"/>
      <c r="D622" s="426"/>
      <c r="E622" s="426"/>
      <c r="F622" s="426"/>
      <c r="G622" s="410"/>
      <c r="H622" s="414" t="s">
        <v>774</v>
      </c>
      <c r="I622" s="414">
        <f>ROUND(I621,0)</f>
        <v>4942</v>
      </c>
      <c r="J622" s="400"/>
      <c r="K622" s="401"/>
      <c r="L622" s="401"/>
    </row>
    <row r="623" spans="1:64" ht="12.75" customHeight="1">
      <c r="A623" s="454"/>
      <c r="B623" s="415" t="s">
        <v>629</v>
      </c>
      <c r="C623" s="1294" t="s">
        <v>935</v>
      </c>
      <c r="D623" s="1294"/>
      <c r="E623" s="426"/>
      <c r="F623" s="426"/>
      <c r="G623" s="492"/>
      <c r="H623" s="426"/>
      <c r="I623" s="409"/>
      <c r="J623" s="400"/>
      <c r="K623" s="401"/>
      <c r="L623" s="401"/>
    </row>
    <row r="624" spans="1:64">
      <c r="A624" s="454"/>
      <c r="B624" s="454"/>
      <c r="C624" s="417" t="s">
        <v>920</v>
      </c>
      <c r="D624" s="409">
        <v>0.5</v>
      </c>
      <c r="E624" s="426" t="s">
        <v>57</v>
      </c>
      <c r="F624" s="409">
        <f>$I$513</f>
        <v>9486.4632600000004</v>
      </c>
      <c r="G624" s="410">
        <v>1</v>
      </c>
      <c r="H624" s="426" t="s">
        <v>57</v>
      </c>
      <c r="I624" s="408">
        <f t="shared" ref="I624:I627" si="85">IF(G624="",D624*F624,(D624*F624/G624))</f>
        <v>4743.2316300000002</v>
      </c>
      <c r="J624" s="400"/>
      <c r="K624" s="401"/>
      <c r="L624" s="401"/>
    </row>
    <row r="625" spans="1:12">
      <c r="A625" s="454"/>
      <c r="B625" s="454"/>
      <c r="C625" s="417" t="s">
        <v>921</v>
      </c>
      <c r="D625" s="409">
        <f>D624</f>
        <v>0.5</v>
      </c>
      <c r="E625" s="426" t="s">
        <v>57</v>
      </c>
      <c r="F625" s="409">
        <f>'[161]Civil-SOR'!$F$257</f>
        <v>325</v>
      </c>
      <c r="G625" s="410">
        <v>1</v>
      </c>
      <c r="H625" s="426" t="s">
        <v>57</v>
      </c>
      <c r="I625" s="408">
        <f t="shared" si="85"/>
        <v>162.5</v>
      </c>
      <c r="J625" s="400"/>
      <c r="K625" s="401"/>
      <c r="L625" s="401"/>
    </row>
    <row r="626" spans="1:12">
      <c r="A626" s="454"/>
      <c r="B626" s="454"/>
      <c r="C626" s="417" t="s">
        <v>926</v>
      </c>
      <c r="D626" s="409">
        <f>D624</f>
        <v>0.5</v>
      </c>
      <c r="E626" s="426" t="s">
        <v>57</v>
      </c>
      <c r="F626" s="409">
        <f>'[161]Civil-SOR'!$G$257</f>
        <v>760</v>
      </c>
      <c r="G626" s="410">
        <v>1</v>
      </c>
      <c r="H626" s="426" t="s">
        <v>57</v>
      </c>
      <c r="I626" s="408">
        <f t="shared" si="85"/>
        <v>380</v>
      </c>
      <c r="J626" s="400"/>
      <c r="K626" s="401"/>
      <c r="L626" s="401"/>
    </row>
    <row r="627" spans="1:12">
      <c r="A627" s="454"/>
      <c r="B627" s="454"/>
      <c r="C627" s="417" t="str">
        <f>[161]Input!$C$47</f>
        <v>Add for MA @ 40%</v>
      </c>
      <c r="D627" s="409">
        <f>[161]Input!$D$47</f>
        <v>0.4</v>
      </c>
      <c r="E627" s="426"/>
      <c r="F627" s="409">
        <f>I626</f>
        <v>380</v>
      </c>
      <c r="G627" s="410"/>
      <c r="H627" s="426"/>
      <c r="I627" s="408">
        <f t="shared" si="85"/>
        <v>152</v>
      </c>
      <c r="J627" s="400"/>
      <c r="K627" s="401"/>
      <c r="L627" s="401"/>
    </row>
    <row r="628" spans="1:12">
      <c r="A628" s="454"/>
      <c r="B628" s="454"/>
      <c r="C628" s="417"/>
      <c r="D628" s="409"/>
      <c r="E628" s="426"/>
      <c r="F628" s="409"/>
      <c r="G628" s="410"/>
      <c r="H628" s="426"/>
      <c r="I628" s="408">
        <f>SUM(I624:I627)</f>
        <v>5437.7316300000002</v>
      </c>
      <c r="J628" s="400"/>
      <c r="K628" s="401"/>
      <c r="L628" s="401"/>
    </row>
    <row r="629" spans="1:12" ht="25">
      <c r="A629" s="454"/>
      <c r="B629" s="454"/>
      <c r="C629" s="417" t="str">
        <f>[161]Input!$C$48</f>
        <v>Overheads &amp; Contractors Profit @ 13.615%</v>
      </c>
      <c r="D629" s="494">
        <f>[161]Input!$D$48</f>
        <v>0.13614999999999999</v>
      </c>
      <c r="E629" s="426"/>
      <c r="F629" s="409">
        <f>I628</f>
        <v>5437.7316300000002</v>
      </c>
      <c r="G629" s="410"/>
      <c r="H629" s="434"/>
      <c r="I629" s="408">
        <f>IF(G629="",D629*F629,(D629*F629/G629))</f>
        <v>740.34716142449997</v>
      </c>
      <c r="J629" s="400"/>
      <c r="K629" s="401"/>
      <c r="L629" s="401"/>
    </row>
    <row r="630" spans="1:12" ht="13">
      <c r="A630" s="454"/>
      <c r="B630" s="454"/>
      <c r="C630" s="427" t="s">
        <v>742</v>
      </c>
      <c r="D630" s="426"/>
      <c r="E630" s="426"/>
      <c r="F630" s="426"/>
      <c r="G630" s="410"/>
      <c r="H630" s="434"/>
      <c r="I630" s="409">
        <f>SUM(I628:I629)</f>
        <v>6178.0787914245002</v>
      </c>
      <c r="J630" s="400"/>
      <c r="K630" s="401"/>
      <c r="L630" s="401"/>
    </row>
    <row r="631" spans="1:12" ht="13">
      <c r="A631" s="454"/>
      <c r="B631" s="454"/>
      <c r="C631" s="417"/>
      <c r="D631" s="426"/>
      <c r="E631" s="426"/>
      <c r="F631" s="426"/>
      <c r="G631" s="410"/>
      <c r="H631" s="414" t="s">
        <v>774</v>
      </c>
      <c r="I631" s="414">
        <f>ROUND(I630,0)</f>
        <v>6178</v>
      </c>
      <c r="J631" s="400"/>
      <c r="K631" s="401"/>
      <c r="L631" s="401"/>
    </row>
    <row r="632" spans="1:12" ht="13">
      <c r="A632" s="454"/>
      <c r="B632" s="454"/>
      <c r="C632" s="417"/>
      <c r="D632" s="426"/>
      <c r="E632" s="426"/>
      <c r="F632" s="426"/>
      <c r="G632" s="410"/>
      <c r="H632" s="434"/>
      <c r="I632" s="414"/>
      <c r="J632" s="400"/>
      <c r="K632" s="401"/>
      <c r="L632" s="401"/>
    </row>
    <row r="633" spans="1:12" ht="12.75" customHeight="1">
      <c r="A633" s="454"/>
      <c r="B633" s="415" t="s">
        <v>629</v>
      </c>
      <c r="C633" s="1294" t="s">
        <v>936</v>
      </c>
      <c r="D633" s="1294"/>
      <c r="E633" s="426"/>
      <c r="F633" s="426"/>
      <c r="G633" s="492"/>
      <c r="H633" s="426"/>
      <c r="I633" s="409"/>
      <c r="J633" s="400"/>
      <c r="K633" s="401"/>
      <c r="L633" s="401"/>
    </row>
    <row r="634" spans="1:12">
      <c r="A634" s="454"/>
      <c r="B634" s="454"/>
      <c r="C634" s="417" t="s">
        <v>920</v>
      </c>
      <c r="D634" s="409">
        <v>0.6</v>
      </c>
      <c r="E634" s="426" t="s">
        <v>57</v>
      </c>
      <c r="F634" s="409">
        <f>$I$513</f>
        <v>9486.4632600000004</v>
      </c>
      <c r="G634" s="410">
        <v>1</v>
      </c>
      <c r="H634" s="426" t="s">
        <v>57</v>
      </c>
      <c r="I634" s="408">
        <f t="shared" ref="I634:I637" si="86">IF(G634="",D634*F634,(D634*F634/G634))</f>
        <v>5691.8779560000003</v>
      </c>
      <c r="J634" s="400"/>
      <c r="K634" s="401"/>
      <c r="L634" s="401"/>
    </row>
    <row r="635" spans="1:12">
      <c r="A635" s="454"/>
      <c r="B635" s="454"/>
      <c r="C635" s="417" t="s">
        <v>921</v>
      </c>
      <c r="D635" s="409">
        <f>D634</f>
        <v>0.6</v>
      </c>
      <c r="E635" s="426" t="s">
        <v>57</v>
      </c>
      <c r="F635" s="409">
        <f>'[161]Civil-SOR'!$F$257</f>
        <v>325</v>
      </c>
      <c r="G635" s="410">
        <v>1</v>
      </c>
      <c r="H635" s="426" t="s">
        <v>57</v>
      </c>
      <c r="I635" s="408">
        <f t="shared" si="86"/>
        <v>195</v>
      </c>
      <c r="J635" s="400"/>
      <c r="K635" s="401"/>
      <c r="L635" s="401"/>
    </row>
    <row r="636" spans="1:12">
      <c r="A636" s="454"/>
      <c r="B636" s="454"/>
      <c r="C636" s="417" t="s">
        <v>926</v>
      </c>
      <c r="D636" s="409">
        <f>D634</f>
        <v>0.6</v>
      </c>
      <c r="E636" s="426" t="s">
        <v>57</v>
      </c>
      <c r="F636" s="409">
        <f>'[161]Civil-SOR'!$G$257</f>
        <v>760</v>
      </c>
      <c r="G636" s="410">
        <v>1</v>
      </c>
      <c r="H636" s="426" t="s">
        <v>57</v>
      </c>
      <c r="I636" s="408">
        <f t="shared" si="86"/>
        <v>456</v>
      </c>
      <c r="J636" s="400"/>
      <c r="K636" s="401"/>
      <c r="L636" s="401"/>
    </row>
    <row r="637" spans="1:12">
      <c r="A637" s="454"/>
      <c r="B637" s="454"/>
      <c r="C637" s="417" t="str">
        <f>[161]Input!$C$47</f>
        <v>Add for MA @ 40%</v>
      </c>
      <c r="D637" s="409">
        <f>[161]Input!$D$47</f>
        <v>0.4</v>
      </c>
      <c r="E637" s="426"/>
      <c r="F637" s="409">
        <f>I636</f>
        <v>456</v>
      </c>
      <c r="G637" s="410"/>
      <c r="H637" s="426"/>
      <c r="I637" s="408">
        <f t="shared" si="86"/>
        <v>182.4</v>
      </c>
      <c r="J637" s="400"/>
      <c r="K637" s="401"/>
      <c r="L637" s="401"/>
    </row>
    <row r="638" spans="1:12">
      <c r="A638" s="454"/>
      <c r="B638" s="454"/>
      <c r="C638" s="417"/>
      <c r="D638" s="409"/>
      <c r="E638" s="426"/>
      <c r="F638" s="409"/>
      <c r="G638" s="410"/>
      <c r="H638" s="426"/>
      <c r="I638" s="408">
        <f>SUM(I634:I637)</f>
        <v>6525.2779559999999</v>
      </c>
      <c r="J638" s="400"/>
      <c r="K638" s="401"/>
      <c r="L638" s="401"/>
    </row>
    <row r="639" spans="1:12" ht="25">
      <c r="A639" s="454"/>
      <c r="B639" s="454"/>
      <c r="C639" s="417" t="str">
        <f>[161]Input!$C$48</f>
        <v>Overheads &amp; Contractors Profit @ 13.615%</v>
      </c>
      <c r="D639" s="494">
        <f>[161]Input!$D$48</f>
        <v>0.13614999999999999</v>
      </c>
      <c r="E639" s="426"/>
      <c r="F639" s="409">
        <f>I638</f>
        <v>6525.2779559999999</v>
      </c>
      <c r="G639" s="410"/>
      <c r="H639" s="434"/>
      <c r="I639" s="408">
        <f>IF(G639="",D639*F639,(D639*F639/G639))</f>
        <v>888.41659370939999</v>
      </c>
      <c r="J639" s="400"/>
      <c r="K639" s="401"/>
      <c r="L639" s="401"/>
    </row>
    <row r="640" spans="1:12" ht="13">
      <c r="A640" s="454"/>
      <c r="B640" s="454"/>
      <c r="C640" s="427" t="s">
        <v>742</v>
      </c>
      <c r="D640" s="426"/>
      <c r="E640" s="426"/>
      <c r="F640" s="426"/>
      <c r="G640" s="410"/>
      <c r="H640" s="434"/>
      <c r="I640" s="409">
        <f>SUM(I638:I639)</f>
        <v>7413.6945497094002</v>
      </c>
      <c r="J640" s="400"/>
      <c r="K640" s="401"/>
      <c r="L640" s="401"/>
    </row>
    <row r="641" spans="1:64" ht="13">
      <c r="A641" s="454"/>
      <c r="B641" s="454"/>
      <c r="C641" s="417"/>
      <c r="D641" s="426"/>
      <c r="E641" s="426"/>
      <c r="F641" s="426"/>
      <c r="G641" s="410"/>
      <c r="H641" s="414" t="s">
        <v>774</v>
      </c>
      <c r="I641" s="414">
        <f>ROUND(I640,0)</f>
        <v>7414</v>
      </c>
      <c r="J641" s="400"/>
      <c r="K641" s="401"/>
      <c r="L641" s="401"/>
    </row>
    <row r="642" spans="1:64" ht="13">
      <c r="A642" s="458"/>
      <c r="B642" s="471" t="s">
        <v>604</v>
      </c>
      <c r="C642" s="427" t="s">
        <v>937</v>
      </c>
      <c r="D642" s="426"/>
      <c r="E642" s="426"/>
      <c r="F642" s="426"/>
      <c r="G642" s="410"/>
      <c r="H642" s="434"/>
      <c r="I642" s="414"/>
      <c r="J642" s="400"/>
      <c r="K642" s="401"/>
      <c r="L642" s="401"/>
      <c r="M642" s="404"/>
      <c r="N642" s="404"/>
      <c r="O642" s="404"/>
      <c r="P642" s="404"/>
      <c r="Q642" s="404"/>
      <c r="R642" s="404"/>
      <c r="S642" s="404"/>
      <c r="T642" s="404"/>
      <c r="U642" s="404"/>
      <c r="V642" s="404"/>
      <c r="W642" s="404"/>
      <c r="X642" s="404"/>
      <c r="Y642" s="404"/>
      <c r="Z642" s="404"/>
      <c r="AA642" s="404"/>
      <c r="AB642" s="404"/>
      <c r="AC642" s="404"/>
      <c r="AD642" s="404"/>
      <c r="AE642" s="404"/>
      <c r="AF642" s="404"/>
      <c r="AG642" s="404"/>
      <c r="AH642" s="404"/>
      <c r="AI642" s="404"/>
      <c r="AJ642" s="404"/>
      <c r="AK642" s="404"/>
      <c r="AL642" s="404"/>
      <c r="AM642" s="404"/>
      <c r="AN642" s="404"/>
      <c r="AO642" s="404"/>
      <c r="AP642" s="404"/>
      <c r="AQ642" s="404"/>
      <c r="AR642" s="404"/>
      <c r="AS642" s="404"/>
      <c r="AT642" s="404"/>
      <c r="AU642" s="404"/>
      <c r="AV642" s="404"/>
      <c r="AW642" s="404"/>
      <c r="AX642" s="404"/>
      <c r="AY642" s="404"/>
      <c r="AZ642" s="404"/>
      <c r="BA642" s="404"/>
      <c r="BB642" s="404"/>
      <c r="BC642" s="404"/>
      <c r="BD642" s="404"/>
      <c r="BE642" s="404"/>
      <c r="BF642" s="404"/>
      <c r="BG642" s="404"/>
      <c r="BH642" s="404"/>
      <c r="BI642" s="404"/>
      <c r="BJ642" s="404"/>
      <c r="BK642" s="404"/>
      <c r="BL642" s="404"/>
    </row>
    <row r="643" spans="1:64">
      <c r="A643" s="458"/>
      <c r="B643" s="458"/>
      <c r="C643" s="417" t="s">
        <v>920</v>
      </c>
      <c r="D643" s="409">
        <v>1</v>
      </c>
      <c r="E643" s="426" t="s">
        <v>57</v>
      </c>
      <c r="F643" s="409">
        <f>$I$513</f>
        <v>9486.4632600000004</v>
      </c>
      <c r="G643" s="410">
        <v>1</v>
      </c>
      <c r="H643" s="426" t="s">
        <v>57</v>
      </c>
      <c r="I643" s="408">
        <f t="shared" ref="I643:I644" si="87">IF(G643="",D643*F643,(D643*F643/G643))</f>
        <v>9486.4632600000004</v>
      </c>
      <c r="J643" s="400"/>
      <c r="K643" s="401"/>
      <c r="L643" s="401"/>
      <c r="M643" s="404"/>
      <c r="N643" s="404"/>
      <c r="O643" s="404"/>
      <c r="P643" s="404"/>
      <c r="Q643" s="404"/>
      <c r="R643" s="404"/>
      <c r="S643" s="404"/>
      <c r="T643" s="404"/>
      <c r="U643" s="404"/>
      <c r="V643" s="404"/>
      <c r="W643" s="404"/>
      <c r="X643" s="404"/>
      <c r="Y643" s="404"/>
      <c r="Z643" s="404"/>
      <c r="AA643" s="404"/>
      <c r="AB643" s="404"/>
      <c r="AC643" s="404"/>
      <c r="AD643" s="404"/>
      <c r="AE643" s="404"/>
      <c r="AF643" s="404"/>
      <c r="AG643" s="404"/>
      <c r="AH643" s="404"/>
      <c r="AI643" s="404"/>
      <c r="AJ643" s="404"/>
      <c r="AK643" s="404"/>
      <c r="AL643" s="404"/>
      <c r="AM643" s="404"/>
      <c r="AN643" s="404"/>
      <c r="AO643" s="404"/>
      <c r="AP643" s="404"/>
      <c r="AQ643" s="404"/>
      <c r="AR643" s="404"/>
      <c r="AS643" s="404"/>
      <c r="AT643" s="404"/>
      <c r="AU643" s="404"/>
      <c r="AV643" s="404"/>
      <c r="AW643" s="404"/>
      <c r="AX643" s="404"/>
      <c r="AY643" s="404"/>
      <c r="AZ643" s="404"/>
      <c r="BA643" s="404"/>
      <c r="BB643" s="404"/>
      <c r="BC643" s="404"/>
      <c r="BD643" s="404"/>
      <c r="BE643" s="404"/>
      <c r="BF643" s="404"/>
      <c r="BG643" s="404"/>
      <c r="BH643" s="404"/>
      <c r="BI643" s="404"/>
      <c r="BJ643" s="404"/>
      <c r="BK643" s="404"/>
      <c r="BL643" s="404"/>
    </row>
    <row r="644" spans="1:64" ht="25">
      <c r="A644" s="458"/>
      <c r="B644" s="458"/>
      <c r="C644" s="417" t="str">
        <f>[161]Input!$C$48</f>
        <v>Overheads &amp; Contractors Profit @ 13.615%</v>
      </c>
      <c r="D644" s="494">
        <f>[161]Input!$D$48</f>
        <v>0.13614999999999999</v>
      </c>
      <c r="E644" s="426"/>
      <c r="F644" s="409">
        <f>I643</f>
        <v>9486.4632600000004</v>
      </c>
      <c r="G644" s="410"/>
      <c r="H644" s="434"/>
      <c r="I644" s="408">
        <f t="shared" si="87"/>
        <v>1291.5819728490001</v>
      </c>
      <c r="J644" s="400"/>
      <c r="K644" s="401"/>
      <c r="L644" s="401"/>
      <c r="M644" s="404"/>
      <c r="N644" s="404"/>
      <c r="O644" s="404"/>
      <c r="P644" s="404"/>
      <c r="Q644" s="404"/>
      <c r="R644" s="404"/>
      <c r="S644" s="404"/>
      <c r="T644" s="404"/>
      <c r="U644" s="404"/>
      <c r="V644" s="404"/>
      <c r="W644" s="404"/>
      <c r="X644" s="404"/>
      <c r="Y644" s="404"/>
      <c r="Z644" s="404"/>
      <c r="AA644" s="404"/>
      <c r="AB644" s="404"/>
      <c r="AC644" s="404"/>
      <c r="AD644" s="404"/>
      <c r="AE644" s="404"/>
      <c r="AF644" s="404"/>
      <c r="AG644" s="404"/>
      <c r="AH644" s="404"/>
      <c r="AI644" s="404"/>
      <c r="AJ644" s="404"/>
      <c r="AK644" s="404"/>
      <c r="AL644" s="404"/>
      <c r="AM644" s="404"/>
      <c r="AN644" s="404"/>
      <c r="AO644" s="404"/>
      <c r="AP644" s="404"/>
      <c r="AQ644" s="404"/>
      <c r="AR644" s="404"/>
      <c r="AS644" s="404"/>
      <c r="AT644" s="404"/>
      <c r="AU644" s="404"/>
      <c r="AV644" s="404"/>
      <c r="AW644" s="404"/>
      <c r="AX644" s="404"/>
      <c r="AY644" s="404"/>
      <c r="AZ644" s="404"/>
      <c r="BA644" s="404"/>
      <c r="BB644" s="404"/>
      <c r="BC644" s="404"/>
      <c r="BD644" s="404"/>
      <c r="BE644" s="404"/>
      <c r="BF644" s="404"/>
      <c r="BG644" s="404"/>
      <c r="BH644" s="404"/>
      <c r="BI644" s="404"/>
      <c r="BJ644" s="404"/>
      <c r="BK644" s="404"/>
      <c r="BL644" s="404"/>
    </row>
    <row r="645" spans="1:64" ht="13">
      <c r="A645" s="458"/>
      <c r="B645" s="458"/>
      <c r="C645" s="427" t="s">
        <v>724</v>
      </c>
      <c r="D645" s="426"/>
      <c r="E645" s="426"/>
      <c r="F645" s="426"/>
      <c r="G645" s="410"/>
      <c r="H645" s="434"/>
      <c r="I645" s="409">
        <f>SUM(I643:I644)</f>
        <v>10778.045232849001</v>
      </c>
      <c r="J645" s="400"/>
      <c r="K645" s="401"/>
      <c r="L645" s="401"/>
      <c r="M645" s="404"/>
      <c r="N645" s="404"/>
      <c r="O645" s="404"/>
      <c r="P645" s="404"/>
      <c r="Q645" s="404"/>
      <c r="R645" s="404"/>
      <c r="S645" s="404"/>
      <c r="T645" s="404"/>
      <c r="U645" s="404"/>
      <c r="V645" s="404"/>
      <c r="W645" s="404"/>
      <c r="X645" s="404"/>
      <c r="Y645" s="404"/>
      <c r="Z645" s="404"/>
      <c r="AA645" s="404"/>
      <c r="AB645" s="404"/>
      <c r="AC645" s="404"/>
      <c r="AD645" s="404"/>
      <c r="AE645" s="404"/>
      <c r="AF645" s="404"/>
      <c r="AG645" s="404"/>
      <c r="AH645" s="404"/>
      <c r="AI645" s="404"/>
      <c r="AJ645" s="404"/>
      <c r="AK645" s="404"/>
      <c r="AL645" s="404"/>
      <c r="AM645" s="404"/>
      <c r="AN645" s="404"/>
      <c r="AO645" s="404"/>
      <c r="AP645" s="404"/>
      <c r="AQ645" s="404"/>
      <c r="AR645" s="404"/>
      <c r="AS645" s="404"/>
      <c r="AT645" s="404"/>
      <c r="AU645" s="404"/>
      <c r="AV645" s="404"/>
      <c r="AW645" s="404"/>
      <c r="AX645" s="404"/>
      <c r="AY645" s="404"/>
      <c r="AZ645" s="404"/>
      <c r="BA645" s="404"/>
      <c r="BB645" s="404"/>
      <c r="BC645" s="404"/>
      <c r="BD645" s="404"/>
      <c r="BE645" s="404"/>
      <c r="BF645" s="404"/>
      <c r="BG645" s="404"/>
      <c r="BH645" s="404"/>
      <c r="BI645" s="404"/>
      <c r="BJ645" s="404"/>
      <c r="BK645" s="404"/>
      <c r="BL645" s="404"/>
    </row>
    <row r="646" spans="1:64" ht="13">
      <c r="A646" s="458"/>
      <c r="B646" s="458"/>
      <c r="C646" s="417"/>
      <c r="D646" s="426"/>
      <c r="E646" s="426"/>
      <c r="F646" s="426"/>
      <c r="G646" s="410"/>
      <c r="H646" s="414" t="s">
        <v>774</v>
      </c>
      <c r="I646" s="414">
        <f>ROUND(I645,0)</f>
        <v>10778</v>
      </c>
      <c r="J646" s="400"/>
      <c r="K646" s="401"/>
      <c r="L646" s="401"/>
      <c r="M646" s="404"/>
      <c r="N646" s="404"/>
      <c r="O646" s="404"/>
      <c r="P646" s="404"/>
      <c r="Q646" s="404"/>
      <c r="R646" s="404"/>
      <c r="S646" s="404"/>
      <c r="T646" s="404"/>
      <c r="U646" s="404"/>
      <c r="V646" s="404"/>
      <c r="W646" s="404"/>
      <c r="X646" s="404"/>
      <c r="Y646" s="404"/>
      <c r="Z646" s="404"/>
      <c r="AA646" s="404"/>
      <c r="AB646" s="404"/>
      <c r="AC646" s="404"/>
      <c r="AD646" s="404"/>
      <c r="AE646" s="404"/>
      <c r="AF646" s="404"/>
      <c r="AG646" s="404"/>
      <c r="AH646" s="404"/>
      <c r="AI646" s="404"/>
      <c r="AJ646" s="404"/>
      <c r="AK646" s="404"/>
      <c r="AL646" s="404"/>
      <c r="AM646" s="404"/>
      <c r="AN646" s="404"/>
      <c r="AO646" s="404"/>
      <c r="AP646" s="404"/>
      <c r="AQ646" s="404"/>
      <c r="AR646" s="404"/>
      <c r="AS646" s="404"/>
      <c r="AT646" s="404"/>
      <c r="AU646" s="404"/>
      <c r="AV646" s="404"/>
      <c r="AW646" s="404"/>
      <c r="AX646" s="404"/>
      <c r="AY646" s="404"/>
      <c r="AZ646" s="404"/>
      <c r="BA646" s="404"/>
      <c r="BB646" s="404"/>
      <c r="BC646" s="404"/>
      <c r="BD646" s="404"/>
      <c r="BE646" s="404"/>
      <c r="BF646" s="404"/>
      <c r="BG646" s="404"/>
      <c r="BH646" s="404"/>
      <c r="BI646" s="404"/>
      <c r="BJ646" s="404"/>
      <c r="BK646" s="404"/>
      <c r="BL646" s="404"/>
    </row>
    <row r="647" spans="1:64" ht="13">
      <c r="A647" s="454"/>
      <c r="B647" s="454"/>
      <c r="C647" s="427"/>
      <c r="D647" s="408"/>
      <c r="E647" s="454"/>
      <c r="F647" s="408"/>
      <c r="G647" s="430"/>
      <c r="H647" s="415"/>
      <c r="I647" s="414"/>
      <c r="J647" s="400"/>
      <c r="K647" s="401"/>
      <c r="L647" s="401"/>
    </row>
    <row r="648" spans="1:64" ht="116.15" customHeight="1">
      <c r="A648" s="410">
        <f>1+A494</f>
        <v>14</v>
      </c>
      <c r="B648" s="410"/>
      <c r="C648" s="1276" t="s">
        <v>938</v>
      </c>
      <c r="D648" s="1276"/>
      <c r="E648" s="1276"/>
      <c r="F648" s="1276"/>
      <c r="G648" s="1276"/>
      <c r="H648" s="1276"/>
      <c r="I648" s="1276"/>
      <c r="J648" s="472"/>
      <c r="K648" s="497"/>
      <c r="L648" s="497"/>
      <c r="M648" s="498"/>
      <c r="N648" s="498"/>
      <c r="O648" s="498"/>
      <c r="P648" s="498"/>
      <c r="Q648" s="498"/>
      <c r="R648" s="498"/>
      <c r="S648" s="498"/>
      <c r="T648" s="498"/>
    </row>
    <row r="649" spans="1:64" ht="13">
      <c r="A649" s="426"/>
      <c r="B649" s="426"/>
      <c r="C649" s="473" t="s">
        <v>939</v>
      </c>
      <c r="D649" s="426"/>
      <c r="E649" s="426"/>
      <c r="F649" s="426"/>
      <c r="G649" s="426"/>
      <c r="H649" s="406"/>
      <c r="I649" s="432"/>
      <c r="J649" s="472"/>
      <c r="K649" s="497"/>
      <c r="L649" s="497"/>
      <c r="M649" s="498"/>
      <c r="N649" s="498"/>
      <c r="O649" s="498"/>
      <c r="P649" s="498"/>
      <c r="Q649" s="498"/>
      <c r="R649" s="498"/>
      <c r="S649" s="498"/>
      <c r="T649" s="498"/>
    </row>
    <row r="650" spans="1:64" ht="12.75" customHeight="1">
      <c r="A650" s="426"/>
      <c r="B650" s="474"/>
      <c r="C650" s="1294" t="s">
        <v>940</v>
      </c>
      <c r="D650" s="1294"/>
      <c r="E650" s="1294"/>
      <c r="F650" s="1294"/>
      <c r="G650" s="1294"/>
      <c r="H650" s="406"/>
      <c r="I650" s="432"/>
      <c r="J650" s="472"/>
      <c r="K650" s="497"/>
      <c r="L650" s="497"/>
      <c r="M650" s="498"/>
      <c r="N650" s="498"/>
      <c r="O650" s="498"/>
      <c r="P650" s="498"/>
      <c r="Q650" s="498"/>
      <c r="R650" s="498"/>
      <c r="S650" s="498"/>
      <c r="T650" s="498"/>
    </row>
    <row r="651" spans="1:64" ht="13">
      <c r="A651" s="426"/>
      <c r="B651" s="474"/>
      <c r="C651" s="451" t="s">
        <v>873</v>
      </c>
      <c r="D651" s="406"/>
      <c r="E651" s="406"/>
      <c r="F651" s="406"/>
      <c r="G651" s="406"/>
      <c r="H651" s="406"/>
      <c r="I651" s="432"/>
      <c r="J651" s="472"/>
      <c r="K651" s="497"/>
      <c r="L651" s="497"/>
      <c r="M651" s="498"/>
      <c r="N651" s="498"/>
      <c r="O651" s="498"/>
      <c r="P651" s="498"/>
      <c r="Q651" s="498"/>
      <c r="R651" s="498"/>
      <c r="S651" s="498"/>
      <c r="T651" s="498"/>
    </row>
    <row r="652" spans="1:64">
      <c r="A652" s="426"/>
      <c r="B652" s="426"/>
      <c r="C652" s="417" t="s">
        <v>504</v>
      </c>
      <c r="D652" s="409">
        <v>380</v>
      </c>
      <c r="E652" s="426" t="s">
        <v>833</v>
      </c>
      <c r="F652" s="409">
        <f>[161]LEAD!$N$6</f>
        <v>5200</v>
      </c>
      <c r="G652" s="410">
        <v>1000</v>
      </c>
      <c r="H652" s="426" t="s">
        <v>833</v>
      </c>
      <c r="I652" s="408">
        <f t="shared" ref="I652:I654" si="88">IF(G652="",D652*F652,(D652*F652/G652))</f>
        <v>1976</v>
      </c>
      <c r="J652" s="499"/>
      <c r="K652" s="500"/>
      <c r="L652" s="500"/>
      <c r="M652" s="501"/>
      <c r="N652" s="501"/>
      <c r="O652" s="501"/>
      <c r="P652" s="501"/>
      <c r="Q652" s="501"/>
      <c r="R652" s="501"/>
      <c r="S652" s="501"/>
      <c r="T652" s="501"/>
    </row>
    <row r="653" spans="1:64">
      <c r="A653" s="426"/>
      <c r="B653" s="426"/>
      <c r="C653" s="417" t="s">
        <v>910</v>
      </c>
      <c r="D653" s="409">
        <v>0.8</v>
      </c>
      <c r="E653" s="426" t="s">
        <v>57</v>
      </c>
      <c r="F653" s="408">
        <f>$F$16</f>
        <v>1447.96</v>
      </c>
      <c r="G653" s="410">
        <v>1</v>
      </c>
      <c r="H653" s="426" t="s">
        <v>57</v>
      </c>
      <c r="I653" s="408">
        <f t="shared" si="88"/>
        <v>1158.3680000000002</v>
      </c>
      <c r="J653" s="499"/>
      <c r="K653" s="500"/>
      <c r="L653" s="500"/>
      <c r="M653" s="501"/>
      <c r="N653" s="501"/>
      <c r="O653" s="501"/>
      <c r="P653" s="501"/>
      <c r="Q653" s="501"/>
      <c r="R653" s="501"/>
      <c r="S653" s="501"/>
      <c r="T653" s="501"/>
    </row>
    <row r="654" spans="1:64">
      <c r="A654" s="426"/>
      <c r="B654" s="426"/>
      <c r="C654" s="417" t="s">
        <v>481</v>
      </c>
      <c r="D654" s="409">
        <v>0.4</v>
      </c>
      <c r="E654" s="426" t="s">
        <v>57</v>
      </c>
      <c r="F654" s="409">
        <f>[161]LEAD!$N$12</f>
        <v>2253.91</v>
      </c>
      <c r="G654" s="410">
        <v>1</v>
      </c>
      <c r="H654" s="426" t="s">
        <v>57</v>
      </c>
      <c r="I654" s="408">
        <f t="shared" si="88"/>
        <v>901.56399999999996</v>
      </c>
      <c r="J654" s="499"/>
      <c r="K654" s="500"/>
      <c r="L654" s="500"/>
      <c r="M654" s="501"/>
      <c r="N654" s="501"/>
      <c r="O654" s="501"/>
      <c r="P654" s="501"/>
      <c r="Q654" s="501"/>
      <c r="R654" s="501"/>
      <c r="S654" s="501"/>
      <c r="T654" s="501"/>
    </row>
    <row r="655" spans="1:64" ht="13">
      <c r="A655" s="426"/>
      <c r="B655" s="426"/>
      <c r="C655" s="427" t="s">
        <v>911</v>
      </c>
      <c r="D655" s="426"/>
      <c r="E655" s="426"/>
      <c r="F655" s="426"/>
      <c r="G655" s="426"/>
      <c r="H655" s="426"/>
      <c r="I655" s="409"/>
      <c r="J655" s="499"/>
      <c r="K655" s="500"/>
      <c r="L655" s="500"/>
      <c r="M655" s="501"/>
      <c r="N655" s="501"/>
      <c r="O655" s="501"/>
      <c r="P655" s="501"/>
      <c r="Q655" s="501"/>
      <c r="R655" s="501"/>
      <c r="S655" s="501"/>
      <c r="T655" s="501"/>
    </row>
    <row r="656" spans="1:64">
      <c r="A656" s="426"/>
      <c r="B656" s="426"/>
      <c r="C656" s="417" t="s">
        <v>912</v>
      </c>
      <c r="D656" s="491">
        <v>0.16700000000000001</v>
      </c>
      <c r="E656" s="426" t="s">
        <v>14</v>
      </c>
      <c r="F656" s="409">
        <f>'[161]Civil-SOR'!$G$293</f>
        <v>580</v>
      </c>
      <c r="G656" s="410">
        <v>1</v>
      </c>
      <c r="H656" s="426" t="s">
        <v>572</v>
      </c>
      <c r="I656" s="408">
        <f t="shared" ref="I656:I659" si="89">IF(G656="",D656*F656,(D656*F656/G656))</f>
        <v>96.86</v>
      </c>
      <c r="J656" s="499"/>
      <c r="K656" s="500"/>
      <c r="L656" s="500"/>
      <c r="M656" s="501"/>
      <c r="N656" s="501"/>
      <c r="O656" s="501"/>
      <c r="P656" s="501"/>
      <c r="Q656" s="501"/>
      <c r="R656" s="501"/>
      <c r="S656" s="501"/>
      <c r="T656" s="501"/>
    </row>
    <row r="657" spans="1:20">
      <c r="A657" s="426"/>
      <c r="B657" s="426"/>
      <c r="C657" s="417" t="s">
        <v>913</v>
      </c>
      <c r="D657" s="491">
        <v>0.16700000000000001</v>
      </c>
      <c r="E657" s="426" t="s">
        <v>14</v>
      </c>
      <c r="F657" s="409">
        <f>'[161]Civil-SOR'!$G$302</f>
        <v>550</v>
      </c>
      <c r="G657" s="410">
        <v>1</v>
      </c>
      <c r="H657" s="426" t="str">
        <f>H656</f>
        <v>Each</v>
      </c>
      <c r="I657" s="408">
        <f t="shared" si="89"/>
        <v>91.850000000000009</v>
      </c>
      <c r="J657" s="499"/>
      <c r="K657" s="500"/>
      <c r="L657" s="500"/>
      <c r="M657" s="501"/>
      <c r="N657" s="501"/>
      <c r="O657" s="501"/>
      <c r="P657" s="501"/>
      <c r="Q657" s="501"/>
      <c r="R657" s="501"/>
      <c r="S657" s="501"/>
      <c r="T657" s="501"/>
    </row>
    <row r="658" spans="1:20">
      <c r="A658" s="426"/>
      <c r="B658" s="426"/>
      <c r="C658" s="417" t="s">
        <v>914</v>
      </c>
      <c r="D658" s="409">
        <v>5.6</v>
      </c>
      <c r="E658" s="426" t="s">
        <v>14</v>
      </c>
      <c r="F658" s="409">
        <f>'[161]Civil-SOR'!$G$307</f>
        <v>520</v>
      </c>
      <c r="G658" s="410">
        <v>1</v>
      </c>
      <c r="H658" s="426" t="str">
        <f>H656</f>
        <v>Each</v>
      </c>
      <c r="I658" s="408">
        <f t="shared" si="89"/>
        <v>2912</v>
      </c>
      <c r="J658" s="499"/>
      <c r="K658" s="500"/>
      <c r="L658" s="500"/>
      <c r="M658" s="501"/>
      <c r="N658" s="501"/>
      <c r="O658" s="501"/>
      <c r="P658" s="501"/>
      <c r="Q658" s="501"/>
      <c r="R658" s="501"/>
      <c r="S658" s="501"/>
      <c r="T658" s="501"/>
    </row>
    <row r="659" spans="1:20" ht="13">
      <c r="A659" s="426"/>
      <c r="B659" s="426"/>
      <c r="C659" s="417" t="str">
        <f>[161]Input!$C$47</f>
        <v>Add for MA @ 40%</v>
      </c>
      <c r="D659" s="409">
        <f>[161]Input!$D$47</f>
        <v>0.4</v>
      </c>
      <c r="E659" s="426"/>
      <c r="F659" s="434">
        <f>SUM(I656:I658)</f>
        <v>3100.71</v>
      </c>
      <c r="G659" s="410"/>
      <c r="H659" s="426"/>
      <c r="I659" s="408">
        <f t="shared" si="89"/>
        <v>1240.2840000000001</v>
      </c>
      <c r="J659" s="499"/>
      <c r="K659" s="500"/>
      <c r="L659" s="500"/>
      <c r="M659" s="501"/>
      <c r="N659" s="501"/>
      <c r="O659" s="501"/>
      <c r="P659" s="501"/>
      <c r="Q659" s="501"/>
      <c r="R659" s="501"/>
      <c r="S659" s="501"/>
      <c r="T659" s="501"/>
    </row>
    <row r="660" spans="1:20" ht="13">
      <c r="A660" s="426"/>
      <c r="B660" s="426"/>
      <c r="C660" s="427" t="s">
        <v>915</v>
      </c>
      <c r="D660" s="409"/>
      <c r="E660" s="426"/>
      <c r="F660" s="409"/>
      <c r="G660" s="410"/>
      <c r="H660" s="426"/>
      <c r="I660" s="408"/>
      <c r="J660" s="499"/>
      <c r="K660" s="500"/>
      <c r="L660" s="500"/>
      <c r="M660" s="501"/>
      <c r="N660" s="501"/>
      <c r="O660" s="501"/>
      <c r="P660" s="501"/>
      <c r="Q660" s="501"/>
      <c r="R660" s="501"/>
      <c r="S660" s="501"/>
      <c r="T660" s="501"/>
    </row>
    <row r="661" spans="1:20">
      <c r="A661" s="426"/>
      <c r="B661" s="426"/>
      <c r="C661" s="417" t="s">
        <v>916</v>
      </c>
      <c r="D661" s="491">
        <v>1.333</v>
      </c>
      <c r="E661" s="426" t="s">
        <v>796</v>
      </c>
      <c r="F661" s="409">
        <f>'[161]Civil-SOR'!$G$329</f>
        <v>265.79999999999995</v>
      </c>
      <c r="G661" s="410">
        <v>1</v>
      </c>
      <c r="H661" s="426" t="s">
        <v>826</v>
      </c>
      <c r="I661" s="408">
        <f t="shared" ref="I661:I666" si="90">IF(G661="",D661*F661,(D661*F661/G661))</f>
        <v>354.31139999999994</v>
      </c>
      <c r="J661" s="499"/>
      <c r="K661" s="500"/>
      <c r="L661" s="500"/>
      <c r="M661" s="501"/>
      <c r="N661" s="501"/>
      <c r="O661" s="501"/>
      <c r="P661" s="501"/>
      <c r="Q661" s="501"/>
      <c r="R661" s="501"/>
      <c r="S661" s="501"/>
      <c r="T661" s="501"/>
    </row>
    <row r="662" spans="1:20">
      <c r="A662" s="426"/>
      <c r="B662" s="426"/>
      <c r="C662" s="417" t="s">
        <v>828</v>
      </c>
      <c r="D662" s="491">
        <v>1.333</v>
      </c>
      <c r="E662" s="426" t="s">
        <v>796</v>
      </c>
      <c r="F662" s="409">
        <f>'[161]Civil-SOR'!$J$329</f>
        <v>454.8</v>
      </c>
      <c r="G662" s="410">
        <v>1</v>
      </c>
      <c r="H662" s="426" t="s">
        <v>826</v>
      </c>
      <c r="I662" s="408">
        <f t="shared" si="90"/>
        <v>606.24839999999995</v>
      </c>
      <c r="J662" s="499"/>
      <c r="K662" s="500"/>
      <c r="L662" s="500"/>
      <c r="M662" s="501"/>
      <c r="N662" s="501"/>
      <c r="O662" s="501"/>
      <c r="P662" s="501"/>
      <c r="Q662" s="501"/>
      <c r="R662" s="501"/>
      <c r="S662" s="501"/>
      <c r="T662" s="501"/>
    </row>
    <row r="663" spans="1:20">
      <c r="A663" s="426"/>
      <c r="B663" s="426"/>
      <c r="C663" s="417" t="s">
        <v>917</v>
      </c>
      <c r="D663" s="491">
        <v>1.333</v>
      </c>
      <c r="E663" s="426" t="s">
        <v>796</v>
      </c>
      <c r="F663" s="409">
        <f>'[161]Civil-SOR'!$G$332</f>
        <v>36.5</v>
      </c>
      <c r="G663" s="410">
        <v>1</v>
      </c>
      <c r="H663" s="426" t="s">
        <v>826</v>
      </c>
      <c r="I663" s="408">
        <f t="shared" si="90"/>
        <v>48.654499999999999</v>
      </c>
      <c r="J663" s="499"/>
      <c r="K663" s="500"/>
      <c r="L663" s="500"/>
      <c r="M663" s="501"/>
      <c r="N663" s="501"/>
      <c r="O663" s="501"/>
      <c r="P663" s="501"/>
      <c r="Q663" s="501"/>
      <c r="R663" s="501"/>
      <c r="S663" s="501"/>
      <c r="T663" s="501"/>
    </row>
    <row r="664" spans="1:20">
      <c r="A664" s="426"/>
      <c r="B664" s="426"/>
      <c r="C664" s="417" t="s">
        <v>828</v>
      </c>
      <c r="D664" s="491">
        <v>1.333</v>
      </c>
      <c r="E664" s="426" t="s">
        <v>796</v>
      </c>
      <c r="F664" s="409">
        <f>'[161]Civil-SOR'!$J$332</f>
        <v>218</v>
      </c>
      <c r="G664" s="410">
        <v>1</v>
      </c>
      <c r="H664" s="426" t="s">
        <v>826</v>
      </c>
      <c r="I664" s="408">
        <f t="shared" si="90"/>
        <v>290.59399999999999</v>
      </c>
      <c r="J664" s="499"/>
      <c r="K664" s="500"/>
      <c r="L664" s="500"/>
      <c r="M664" s="501"/>
      <c r="N664" s="501"/>
      <c r="O664" s="501"/>
      <c r="P664" s="501"/>
      <c r="Q664" s="501"/>
      <c r="R664" s="501"/>
      <c r="S664" s="501"/>
      <c r="T664" s="501"/>
    </row>
    <row r="665" spans="1:20">
      <c r="A665" s="426"/>
      <c r="B665" s="426"/>
      <c r="C665" s="417" t="s">
        <v>799</v>
      </c>
      <c r="D665" s="409">
        <f>[161]Input!$D$47</f>
        <v>0.4</v>
      </c>
      <c r="E665" s="426"/>
      <c r="F665" s="409">
        <f>I662+I664</f>
        <v>896.8424</v>
      </c>
      <c r="G665" s="410"/>
      <c r="H665" s="426"/>
      <c r="I665" s="408">
        <f t="shared" si="90"/>
        <v>358.73696000000001</v>
      </c>
      <c r="J665" s="499"/>
      <c r="K665" s="500"/>
      <c r="L665" s="500"/>
      <c r="M665" s="501"/>
      <c r="N665" s="501"/>
      <c r="O665" s="501"/>
      <c r="P665" s="501"/>
      <c r="Q665" s="501"/>
      <c r="R665" s="501"/>
      <c r="S665" s="501"/>
      <c r="T665" s="501"/>
    </row>
    <row r="666" spans="1:20">
      <c r="A666" s="426"/>
      <c r="B666" s="426"/>
      <c r="C666" s="417" t="s">
        <v>918</v>
      </c>
      <c r="D666" s="408">
        <v>1.2</v>
      </c>
      <c r="E666" s="408" t="s">
        <v>877</v>
      </c>
      <c r="F666" s="408">
        <f>[161]Input!$D$53</f>
        <v>108</v>
      </c>
      <c r="G666" s="430">
        <v>1</v>
      </c>
      <c r="H666" s="456" t="str">
        <f>IF(E666="","",IF(E666="No.","Each",IF(E666="Nos.","Each",E666)))</f>
        <v>kl</v>
      </c>
      <c r="I666" s="408">
        <f t="shared" si="90"/>
        <v>129.6</v>
      </c>
      <c r="J666" s="499"/>
      <c r="K666" s="500"/>
      <c r="L666" s="500"/>
      <c r="M666" s="501"/>
      <c r="N666" s="501"/>
      <c r="O666" s="501"/>
      <c r="P666" s="501"/>
      <c r="Q666" s="501"/>
      <c r="R666" s="501"/>
      <c r="S666" s="501"/>
      <c r="T666" s="501"/>
    </row>
    <row r="667" spans="1:20" ht="13">
      <c r="A667" s="426"/>
      <c r="B667" s="426"/>
      <c r="C667" s="427" t="s">
        <v>724</v>
      </c>
      <c r="D667" s="426"/>
      <c r="E667" s="426"/>
      <c r="F667" s="426"/>
      <c r="G667" s="492"/>
      <c r="H667" s="426"/>
      <c r="I667" s="434">
        <f>SUM(I652:I666)</f>
        <v>10165.071260000002</v>
      </c>
      <c r="J667" s="502"/>
      <c r="K667" s="503"/>
      <c r="L667" s="503"/>
      <c r="M667" s="504"/>
      <c r="N667" s="504"/>
      <c r="O667" s="504"/>
      <c r="P667" s="504"/>
      <c r="Q667" s="504"/>
      <c r="R667" s="504"/>
      <c r="S667" s="504"/>
      <c r="T667" s="504"/>
    </row>
    <row r="668" spans="1:20" ht="13">
      <c r="A668" s="426"/>
      <c r="B668" s="426"/>
      <c r="C668" s="451"/>
      <c r="D668" s="426"/>
      <c r="E668" s="426"/>
      <c r="F668" s="426"/>
      <c r="G668" s="410"/>
      <c r="H668" s="474"/>
      <c r="I668" s="434"/>
      <c r="J668" s="472"/>
      <c r="K668" s="497"/>
      <c r="L668" s="497"/>
      <c r="M668" s="498"/>
      <c r="N668" s="498"/>
      <c r="O668" s="498"/>
      <c r="P668" s="498"/>
      <c r="Q668" s="498"/>
      <c r="R668" s="498"/>
      <c r="S668" s="498"/>
      <c r="T668" s="498"/>
    </row>
    <row r="669" spans="1:20" ht="26">
      <c r="A669" s="426"/>
      <c r="B669" s="474" t="s">
        <v>720</v>
      </c>
      <c r="C669" s="451" t="s">
        <v>941</v>
      </c>
      <c r="D669" s="409"/>
      <c r="E669" s="426"/>
      <c r="F669" s="409"/>
      <c r="G669" s="410"/>
      <c r="H669" s="426"/>
      <c r="I669" s="409"/>
      <c r="J669" s="472"/>
      <c r="K669" s="497"/>
      <c r="L669" s="497"/>
      <c r="M669" s="498"/>
      <c r="N669" s="498"/>
      <c r="O669" s="498"/>
      <c r="P669" s="498"/>
      <c r="Q669" s="498"/>
      <c r="R669" s="498"/>
      <c r="S669" s="498"/>
      <c r="T669" s="498"/>
    </row>
    <row r="670" spans="1:20" ht="13">
      <c r="A670" s="426"/>
      <c r="B670" s="426"/>
      <c r="C670" s="451"/>
      <c r="D670" s="474" t="s">
        <v>942</v>
      </c>
      <c r="E670" s="474" t="s">
        <v>943</v>
      </c>
      <c r="F670" s="492" t="s">
        <v>944</v>
      </c>
      <c r="G670" s="492" t="s">
        <v>945</v>
      </c>
      <c r="H670" s="492" t="s">
        <v>946</v>
      </c>
      <c r="I670" s="434" t="s">
        <v>947</v>
      </c>
      <c r="J670" s="505" t="s">
        <v>948</v>
      </c>
      <c r="K670" s="506" t="s">
        <v>949</v>
      </c>
      <c r="L670" s="507" t="s">
        <v>950</v>
      </c>
      <c r="M670" s="498"/>
      <c r="N670" s="498"/>
      <c r="O670" s="498"/>
      <c r="P670" s="498"/>
      <c r="Q670" s="498"/>
      <c r="R670" s="498"/>
      <c r="S670" s="498"/>
      <c r="T670" s="498"/>
    </row>
    <row r="671" spans="1:20" ht="13">
      <c r="A671" s="426"/>
      <c r="B671" s="474" t="s">
        <v>951</v>
      </c>
      <c r="C671" s="451" t="s">
        <v>952</v>
      </c>
      <c r="D671" s="474"/>
      <c r="E671" s="474"/>
      <c r="F671" s="492"/>
      <c r="G671" s="492"/>
      <c r="H671" s="492"/>
      <c r="I671" s="434"/>
      <c r="J671" s="505"/>
      <c r="K671" s="506"/>
      <c r="L671" s="507"/>
      <c r="M671" s="498"/>
      <c r="N671" s="498"/>
      <c r="O671" s="498"/>
      <c r="P671" s="498"/>
      <c r="Q671" s="498"/>
      <c r="R671" s="498"/>
      <c r="S671" s="498"/>
      <c r="T671" s="498"/>
    </row>
    <row r="672" spans="1:20" ht="13">
      <c r="A672" s="426"/>
      <c r="B672" s="426"/>
      <c r="C672" s="427" t="s">
        <v>953</v>
      </c>
      <c r="D672" s="474"/>
      <c r="E672" s="474"/>
      <c r="F672" s="492"/>
      <c r="G672" s="492"/>
      <c r="H672" s="492"/>
      <c r="I672" s="434"/>
      <c r="J672" s="505"/>
      <c r="K672" s="506"/>
      <c r="L672" s="507"/>
      <c r="M672" s="498"/>
      <c r="N672" s="498"/>
      <c r="O672" s="498"/>
      <c r="P672" s="498"/>
      <c r="Q672" s="498"/>
      <c r="R672" s="498"/>
      <c r="S672" s="498"/>
      <c r="T672" s="498"/>
    </row>
    <row r="673" spans="1:20">
      <c r="A673" s="426"/>
      <c r="B673" s="426"/>
      <c r="C673" s="417" t="s">
        <v>954</v>
      </c>
      <c r="D673" s="409">
        <f t="shared" ref="D673:L673" si="91">$I$667</f>
        <v>10165.071260000002</v>
      </c>
      <c r="E673" s="409">
        <f t="shared" si="91"/>
        <v>10165.071260000002</v>
      </c>
      <c r="F673" s="409">
        <f t="shared" si="91"/>
        <v>10165.071260000002</v>
      </c>
      <c r="G673" s="409">
        <f t="shared" si="91"/>
        <v>10165.071260000002</v>
      </c>
      <c r="H673" s="409">
        <f t="shared" si="91"/>
        <v>10165.071260000002</v>
      </c>
      <c r="I673" s="409">
        <f t="shared" si="91"/>
        <v>10165.071260000002</v>
      </c>
      <c r="J673" s="508">
        <f t="shared" si="91"/>
        <v>10165.071260000002</v>
      </c>
      <c r="K673" s="509">
        <f t="shared" si="91"/>
        <v>10165.071260000002</v>
      </c>
      <c r="L673" s="509">
        <f t="shared" si="91"/>
        <v>10165.071260000002</v>
      </c>
      <c r="M673" s="501"/>
      <c r="N673" s="501"/>
      <c r="O673" s="501"/>
      <c r="P673" s="501"/>
      <c r="Q673" s="501"/>
      <c r="R673" s="501"/>
      <c r="S673" s="501"/>
      <c r="T673" s="501"/>
    </row>
    <row r="674" spans="1:20">
      <c r="A674" s="426"/>
      <c r="B674" s="426"/>
      <c r="C674" s="417" t="s">
        <v>921</v>
      </c>
      <c r="D674" s="409">
        <f>'[161]Civil-SOR'!$F$278</f>
        <v>267</v>
      </c>
      <c r="E674" s="409">
        <f>'[161]Civil-SOR'!$F$278</f>
        <v>267</v>
      </c>
      <c r="F674" s="409">
        <f>'[161]Civil-SOR'!$F$278</f>
        <v>267</v>
      </c>
      <c r="G674" s="409">
        <f>'[161]Civil-SOR'!$F$278</f>
        <v>267</v>
      </c>
      <c r="H674" s="409">
        <f>'[161]Civil-SOR'!$F$278</f>
        <v>267</v>
      </c>
      <c r="I674" s="409">
        <f>'[161]Civil-SOR'!$F$278</f>
        <v>267</v>
      </c>
      <c r="J674" s="508">
        <f>'[161]Civil-SOR'!$F$278</f>
        <v>267</v>
      </c>
      <c r="K674" s="509">
        <f>'[161]Civil-SOR'!$F$278</f>
        <v>267</v>
      </c>
      <c r="L674" s="509">
        <f>'[161]Civil-SOR'!$F$278</f>
        <v>267</v>
      </c>
      <c r="M674" s="501"/>
      <c r="N674" s="501"/>
      <c r="O674" s="501"/>
      <c r="P674" s="501"/>
      <c r="Q674" s="501"/>
      <c r="R674" s="501"/>
      <c r="S674" s="501"/>
      <c r="T674" s="501"/>
    </row>
    <row r="675" spans="1:20">
      <c r="A675" s="426"/>
      <c r="B675" s="426"/>
      <c r="C675" s="417" t="s">
        <v>955</v>
      </c>
      <c r="D675" s="408">
        <f>'[161]Civil-SOR'!$G$278</f>
        <v>2091</v>
      </c>
      <c r="E675" s="408">
        <f>'[161]Civil-SOR'!$H$278</f>
        <v>2300</v>
      </c>
      <c r="F675" s="408">
        <f>'[161]Civil-SOR'!$I$278</f>
        <v>2509</v>
      </c>
      <c r="G675" s="408">
        <f>'[161]Civil-SOR'!$J$278</f>
        <v>2718</v>
      </c>
      <c r="H675" s="408">
        <f>'[161]Civil-SOR'!$K$278</f>
        <v>2927</v>
      </c>
      <c r="I675" s="408">
        <f>'[161]Civil-SOR'!$L$278</f>
        <v>3137</v>
      </c>
      <c r="J675" s="510">
        <f>'[161]Civil-SOR'!$M$278</f>
        <v>3346</v>
      </c>
      <c r="K675" s="511">
        <f>'[161]Civil-SOR'!$N$278</f>
        <v>3555</v>
      </c>
      <c r="L675" s="511">
        <f>'[161]Civil-SOR'!$O$278</f>
        <v>3764</v>
      </c>
      <c r="M675" s="501"/>
      <c r="N675" s="501"/>
      <c r="O675" s="501"/>
      <c r="P675" s="501"/>
      <c r="Q675" s="501"/>
      <c r="R675" s="501"/>
      <c r="S675" s="501"/>
      <c r="T675" s="501"/>
    </row>
    <row r="676" spans="1:20">
      <c r="A676" s="426"/>
      <c r="B676" s="426"/>
      <c r="C676" s="417" t="str">
        <f>[161]Input!$C$47</f>
        <v>Add for MA @ 40%</v>
      </c>
      <c r="D676" s="408">
        <f>D675*[161]Input!$D$47</f>
        <v>836.40000000000009</v>
      </c>
      <c r="E676" s="408">
        <f>E675*[161]Input!$D$47</f>
        <v>920</v>
      </c>
      <c r="F676" s="408">
        <f>F675*[161]Input!$D$47</f>
        <v>1003.6</v>
      </c>
      <c r="G676" s="408">
        <f>G675*[161]Input!$D$47</f>
        <v>1087.2</v>
      </c>
      <c r="H676" s="408">
        <f>H675*[161]Input!$D$47</f>
        <v>1170.8</v>
      </c>
      <c r="I676" s="408">
        <f>I675*[161]Input!$D$47</f>
        <v>1254.8000000000002</v>
      </c>
      <c r="J676" s="510">
        <f>J675*[161]Input!$D$47</f>
        <v>1338.4</v>
      </c>
      <c r="K676" s="511">
        <f>K675*[161]Input!$D$47</f>
        <v>1422</v>
      </c>
      <c r="L676" s="511">
        <f>L675*[161]Input!$D$47</f>
        <v>1505.6000000000001</v>
      </c>
      <c r="M676" s="501"/>
      <c r="N676" s="501"/>
      <c r="O676" s="501"/>
      <c r="P676" s="501"/>
      <c r="Q676" s="501"/>
      <c r="R676" s="501"/>
      <c r="S676" s="501"/>
      <c r="T676" s="501"/>
    </row>
    <row r="677" spans="1:20">
      <c r="A677" s="426"/>
      <c r="B677" s="426"/>
      <c r="C677" s="417" t="s">
        <v>956</v>
      </c>
      <c r="D677" s="409">
        <v>0</v>
      </c>
      <c r="E677" s="409">
        <f>$F$659*10%</f>
        <v>310.07100000000003</v>
      </c>
      <c r="F677" s="409">
        <f>$F$659*20%</f>
        <v>620.14200000000005</v>
      </c>
      <c r="G677" s="409">
        <f>$F$659*30%</f>
        <v>930.21299999999997</v>
      </c>
      <c r="H677" s="409">
        <f>$F$659*40%</f>
        <v>1240.2840000000001</v>
      </c>
      <c r="I677" s="409">
        <f>$F$659*50%</f>
        <v>1550.355</v>
      </c>
      <c r="J677" s="508">
        <f>$F$659*60%</f>
        <v>1860.4259999999999</v>
      </c>
      <c r="K677" s="509">
        <f>$F$659*70%</f>
        <v>2170.4969999999998</v>
      </c>
      <c r="L677" s="509">
        <f>$F$659*80%</f>
        <v>2480.5680000000002</v>
      </c>
      <c r="M677" s="501"/>
      <c r="N677" s="501"/>
      <c r="O677" s="501"/>
      <c r="P677" s="501"/>
      <c r="Q677" s="501"/>
      <c r="R677" s="501"/>
      <c r="S677" s="501"/>
      <c r="T677" s="501"/>
    </row>
    <row r="678" spans="1:20">
      <c r="A678" s="426"/>
      <c r="B678" s="426"/>
      <c r="C678" s="417" t="str">
        <f>[161]Input!$C$47</f>
        <v>Add for MA @ 40%</v>
      </c>
      <c r="D678" s="409">
        <v>0</v>
      </c>
      <c r="E678" s="409">
        <f>ROUND(E677*[161]Input!$D$47,2)</f>
        <v>124.03</v>
      </c>
      <c r="F678" s="409">
        <f>ROUND(F677*[161]Input!$D$47,2)</f>
        <v>248.06</v>
      </c>
      <c r="G678" s="409">
        <f>ROUND(G677*[161]Input!$D$47,2)</f>
        <v>372.09</v>
      </c>
      <c r="H678" s="409">
        <f>ROUND(H677*[161]Input!$D$47,2)</f>
        <v>496.11</v>
      </c>
      <c r="I678" s="409">
        <f>ROUND(I677*[161]Input!$D$47,2)</f>
        <v>620.14</v>
      </c>
      <c r="J678" s="508">
        <f>ROUND(J677*[161]Input!$D$47,2)</f>
        <v>744.17</v>
      </c>
      <c r="K678" s="509">
        <f>ROUND(K677*[161]Input!$D$47,2)</f>
        <v>868.2</v>
      </c>
      <c r="L678" s="509">
        <f>ROUND(L677*[161]Input!$D$47,2)</f>
        <v>992.23</v>
      </c>
      <c r="M678" s="501"/>
      <c r="N678" s="501"/>
      <c r="O678" s="501"/>
      <c r="P678" s="501"/>
      <c r="Q678" s="501"/>
      <c r="R678" s="501"/>
      <c r="S678" s="501"/>
      <c r="T678" s="501"/>
    </row>
    <row r="679" spans="1:20" ht="13">
      <c r="A679" s="426"/>
      <c r="B679" s="426"/>
      <c r="C679" s="427" t="s">
        <v>724</v>
      </c>
      <c r="D679" s="409">
        <f t="shared" ref="D679:L679" si="92">SUM(D673:D678)</f>
        <v>13359.471260000002</v>
      </c>
      <c r="E679" s="409">
        <f t="shared" si="92"/>
        <v>14086.172260000003</v>
      </c>
      <c r="F679" s="409">
        <f t="shared" si="92"/>
        <v>14812.873260000002</v>
      </c>
      <c r="G679" s="409">
        <f t="shared" si="92"/>
        <v>15539.574260000003</v>
      </c>
      <c r="H679" s="409">
        <f t="shared" si="92"/>
        <v>16266.265260000002</v>
      </c>
      <c r="I679" s="409">
        <f t="shared" si="92"/>
        <v>16994.366260000003</v>
      </c>
      <c r="J679" s="512">
        <f t="shared" si="92"/>
        <v>17721.06726</v>
      </c>
      <c r="K679" s="513">
        <f t="shared" si="92"/>
        <v>18447.768260000004</v>
      </c>
      <c r="L679" s="513">
        <f t="shared" si="92"/>
        <v>19174.469260000002</v>
      </c>
      <c r="M679" s="504"/>
      <c r="N679" s="504"/>
      <c r="O679" s="504"/>
      <c r="P679" s="504"/>
      <c r="Q679" s="504"/>
      <c r="R679" s="504"/>
      <c r="S679" s="504"/>
      <c r="T679" s="504"/>
    </row>
    <row r="680" spans="1:20" ht="25">
      <c r="A680" s="426"/>
      <c r="B680" s="426"/>
      <c r="C680" s="417" t="str">
        <f>[161]Input!$C$48</f>
        <v>Overheads &amp; Contractors Profit @ 13.615%</v>
      </c>
      <c r="D680" s="409">
        <f>ROUND(D679*[161]Input!$D$48,2)</f>
        <v>1818.89</v>
      </c>
      <c r="E680" s="409">
        <f>ROUND(E679*[161]Input!$D$48,2)</f>
        <v>1917.83</v>
      </c>
      <c r="F680" s="409">
        <f>ROUND(F679*[161]Input!$D$48,2)</f>
        <v>2016.77</v>
      </c>
      <c r="G680" s="409">
        <f>ROUND(G679*[161]Input!$D$48,2)</f>
        <v>2115.71</v>
      </c>
      <c r="H680" s="409">
        <f>ROUND(H679*[161]Input!$D$48,2)</f>
        <v>2214.65</v>
      </c>
      <c r="I680" s="409">
        <f>ROUND(I679*[161]Input!$D$48,2)</f>
        <v>2313.7800000000002</v>
      </c>
      <c r="J680" s="508">
        <f>ROUND(J679*[161]Input!$D$48,2)</f>
        <v>2412.7199999999998</v>
      </c>
      <c r="K680" s="509">
        <f>ROUND(K679*[161]Input!$D$48,2)</f>
        <v>2511.66</v>
      </c>
      <c r="L680" s="509">
        <f>ROUND(L679*[161]Input!$D$48,2)</f>
        <v>2610.6</v>
      </c>
      <c r="M680" s="501"/>
      <c r="N680" s="501"/>
      <c r="O680" s="501"/>
      <c r="P680" s="501"/>
      <c r="Q680" s="501"/>
      <c r="R680" s="501"/>
      <c r="S680" s="501"/>
      <c r="T680" s="501"/>
    </row>
    <row r="681" spans="1:20" ht="13">
      <c r="A681" s="426"/>
      <c r="B681" s="426"/>
      <c r="C681" s="427" t="s">
        <v>724</v>
      </c>
      <c r="D681" s="409">
        <f t="shared" ref="D681:L681" si="93">SUM(D679:D680)</f>
        <v>15178.361260000001</v>
      </c>
      <c r="E681" s="409">
        <f t="shared" si="93"/>
        <v>16004.002260000003</v>
      </c>
      <c r="F681" s="409">
        <f t="shared" si="93"/>
        <v>16829.643260000001</v>
      </c>
      <c r="G681" s="409">
        <f t="shared" si="93"/>
        <v>17655.284260000004</v>
      </c>
      <c r="H681" s="409">
        <f t="shared" si="93"/>
        <v>18480.915260000002</v>
      </c>
      <c r="I681" s="409">
        <f t="shared" si="93"/>
        <v>19308.146260000001</v>
      </c>
      <c r="J681" s="512">
        <f t="shared" si="93"/>
        <v>20133.787260000001</v>
      </c>
      <c r="K681" s="513">
        <f t="shared" si="93"/>
        <v>20959.428260000004</v>
      </c>
      <c r="L681" s="513">
        <f t="shared" si="93"/>
        <v>21785.06926</v>
      </c>
      <c r="M681" s="504"/>
      <c r="N681" s="504"/>
      <c r="O681" s="504"/>
      <c r="P681" s="504"/>
      <c r="Q681" s="504"/>
      <c r="R681" s="504"/>
      <c r="S681" s="504"/>
      <c r="T681" s="504"/>
    </row>
    <row r="682" spans="1:20" ht="13">
      <c r="A682" s="426"/>
      <c r="B682" s="426"/>
      <c r="C682" s="514" t="s">
        <v>726</v>
      </c>
      <c r="D682" s="416">
        <f t="shared" ref="D682:L682" si="94">ROUND(D681,0)</f>
        <v>15178</v>
      </c>
      <c r="E682" s="416">
        <f t="shared" si="94"/>
        <v>16004</v>
      </c>
      <c r="F682" s="416">
        <f t="shared" si="94"/>
        <v>16830</v>
      </c>
      <c r="G682" s="416">
        <f t="shared" si="94"/>
        <v>17655</v>
      </c>
      <c r="H682" s="416">
        <f t="shared" si="94"/>
        <v>18481</v>
      </c>
      <c r="I682" s="416">
        <f t="shared" si="94"/>
        <v>19308</v>
      </c>
      <c r="J682" s="515">
        <f t="shared" si="94"/>
        <v>20134</v>
      </c>
      <c r="K682" s="516">
        <f t="shared" si="94"/>
        <v>20959</v>
      </c>
      <c r="L682" s="516">
        <f t="shared" si="94"/>
        <v>21785</v>
      </c>
      <c r="M682" s="504"/>
      <c r="N682" s="504"/>
      <c r="O682" s="504"/>
      <c r="P682" s="504"/>
      <c r="Q682" s="504"/>
      <c r="R682" s="504"/>
      <c r="S682" s="504"/>
      <c r="T682" s="504"/>
    </row>
    <row r="683" spans="1:20" ht="13">
      <c r="A683" s="426"/>
      <c r="B683" s="426"/>
      <c r="C683" s="417"/>
      <c r="D683" s="416"/>
      <c r="E683" s="416"/>
      <c r="F683" s="416"/>
      <c r="G683" s="416"/>
      <c r="H683" s="416"/>
      <c r="I683" s="414"/>
      <c r="J683" s="472"/>
      <c r="K683" s="497"/>
      <c r="L683" s="497"/>
      <c r="M683" s="498"/>
      <c r="N683" s="498"/>
      <c r="O683" s="498"/>
      <c r="P683" s="498"/>
      <c r="Q683" s="498"/>
      <c r="R683" s="498"/>
      <c r="S683" s="498"/>
      <c r="T683" s="498"/>
    </row>
    <row r="684" spans="1:20" ht="13">
      <c r="A684" s="426"/>
      <c r="B684" s="474" t="s">
        <v>957</v>
      </c>
      <c r="C684" s="451" t="s">
        <v>958</v>
      </c>
      <c r="D684" s="1303" t="s">
        <v>959</v>
      </c>
      <c r="E684" s="1283" t="s">
        <v>943</v>
      </c>
      <c r="F684" s="1308" t="s">
        <v>944</v>
      </c>
      <c r="G684" s="1308" t="s">
        <v>945</v>
      </c>
      <c r="H684" s="1308" t="s">
        <v>946</v>
      </c>
      <c r="I684" s="1309" t="s">
        <v>947</v>
      </c>
      <c r="J684" s="472"/>
      <c r="K684" s="497"/>
      <c r="L684" s="497"/>
      <c r="M684" s="498"/>
      <c r="N684" s="498"/>
      <c r="O684" s="498"/>
      <c r="P684" s="498"/>
      <c r="Q684" s="498"/>
      <c r="R684" s="498"/>
      <c r="S684" s="498"/>
      <c r="T684" s="498"/>
    </row>
    <row r="685" spans="1:20" ht="13">
      <c r="A685" s="426"/>
      <c r="B685" s="426"/>
      <c r="C685" s="427" t="s">
        <v>953</v>
      </c>
      <c r="D685" s="1303"/>
      <c r="E685" s="1283"/>
      <c r="F685" s="1308"/>
      <c r="G685" s="1308"/>
      <c r="H685" s="1308"/>
      <c r="I685" s="1309"/>
      <c r="J685" s="472"/>
      <c r="K685" s="497"/>
      <c r="L685" s="497"/>
      <c r="M685" s="498"/>
      <c r="N685" s="498"/>
      <c r="O685" s="498"/>
      <c r="P685" s="498"/>
      <c r="Q685" s="498"/>
      <c r="R685" s="498"/>
      <c r="S685" s="498"/>
      <c r="T685" s="498"/>
    </row>
    <row r="686" spans="1:20">
      <c r="A686" s="426"/>
      <c r="B686" s="426"/>
      <c r="C686" s="417" t="s">
        <v>954</v>
      </c>
      <c r="D686" s="409">
        <f t="shared" ref="D686:I686" si="95">$I$667</f>
        <v>10165.071260000002</v>
      </c>
      <c r="E686" s="409">
        <f t="shared" si="95"/>
        <v>10165.071260000002</v>
      </c>
      <c r="F686" s="409">
        <f t="shared" si="95"/>
        <v>10165.071260000002</v>
      </c>
      <c r="G686" s="409">
        <f t="shared" si="95"/>
        <v>10165.071260000002</v>
      </c>
      <c r="H686" s="409">
        <f t="shared" si="95"/>
        <v>10165.071260000002</v>
      </c>
      <c r="I686" s="409">
        <f t="shared" si="95"/>
        <v>10165.071260000002</v>
      </c>
      <c r="J686" s="499"/>
      <c r="K686" s="500"/>
      <c r="L686" s="500"/>
      <c r="M686" s="501"/>
      <c r="N686" s="501"/>
      <c r="O686" s="501"/>
      <c r="P686" s="501"/>
      <c r="Q686" s="501"/>
      <c r="R686" s="501"/>
      <c r="S686" s="501"/>
      <c r="T686" s="501"/>
    </row>
    <row r="687" spans="1:20">
      <c r="A687" s="426"/>
      <c r="B687" s="426"/>
      <c r="C687" s="417" t="s">
        <v>921</v>
      </c>
      <c r="D687" s="409">
        <f>'[161]Civil-SOR'!$F$278</f>
        <v>267</v>
      </c>
      <c r="E687" s="409">
        <f>'[161]Civil-SOR'!$F$278</f>
        <v>267</v>
      </c>
      <c r="F687" s="409">
        <f>'[161]Civil-SOR'!$F$278</f>
        <v>267</v>
      </c>
      <c r="G687" s="409">
        <f>'[161]Civil-SOR'!$F$278</f>
        <v>267</v>
      </c>
      <c r="H687" s="409">
        <f>'[161]Civil-SOR'!$F$278</f>
        <v>267</v>
      </c>
      <c r="I687" s="409">
        <f>'[161]Civil-SOR'!$F$278</f>
        <v>267</v>
      </c>
      <c r="J687" s="499"/>
      <c r="K687" s="500"/>
      <c r="L687" s="500"/>
      <c r="M687" s="501"/>
      <c r="N687" s="501"/>
      <c r="O687" s="501"/>
      <c r="P687" s="501"/>
      <c r="Q687" s="501"/>
      <c r="R687" s="501"/>
      <c r="S687" s="501"/>
      <c r="T687" s="501"/>
    </row>
    <row r="688" spans="1:20">
      <c r="A688" s="426"/>
      <c r="B688" s="426"/>
      <c r="C688" s="417" t="s">
        <v>926</v>
      </c>
      <c r="D688" s="408">
        <f>'[161]Civil-SOR'!$G$278</f>
        <v>2091</v>
      </c>
      <c r="E688" s="408">
        <f>'[161]Civil-SOR'!$H$278</f>
        <v>2300</v>
      </c>
      <c r="F688" s="408">
        <f>'[161]Civil-SOR'!$I$278</f>
        <v>2509</v>
      </c>
      <c r="G688" s="408">
        <f>'[161]Civil-SOR'!$J$278</f>
        <v>2718</v>
      </c>
      <c r="H688" s="408">
        <f>'[161]Civil-SOR'!$K$278</f>
        <v>2927</v>
      </c>
      <c r="I688" s="408">
        <f>'[161]Civil-SOR'!$L$278</f>
        <v>3137</v>
      </c>
      <c r="J688" s="499"/>
      <c r="K688" s="500"/>
      <c r="L688" s="500"/>
      <c r="M688" s="501"/>
      <c r="N688" s="501"/>
      <c r="O688" s="501"/>
      <c r="P688" s="501"/>
      <c r="Q688" s="501"/>
      <c r="R688" s="501"/>
      <c r="S688" s="501"/>
      <c r="T688" s="501"/>
    </row>
    <row r="689" spans="1:20">
      <c r="A689" s="426"/>
      <c r="B689" s="426"/>
      <c r="C689" s="417" t="str">
        <f>[161]Input!$C$47</f>
        <v>Add for MA @ 40%</v>
      </c>
      <c r="D689" s="408">
        <f>D688*[161]Input!$D$47</f>
        <v>836.40000000000009</v>
      </c>
      <c r="E689" s="408">
        <f>E688*[161]Input!$D$47</f>
        <v>920</v>
      </c>
      <c r="F689" s="408">
        <f>F688*[161]Input!$D$47</f>
        <v>1003.6</v>
      </c>
      <c r="G689" s="408">
        <f>G688*[161]Input!$D$47</f>
        <v>1087.2</v>
      </c>
      <c r="H689" s="408">
        <f>H688*[161]Input!$D$47</f>
        <v>1170.8</v>
      </c>
      <c r="I689" s="408">
        <f>I688*[161]Input!$D$47</f>
        <v>1254.8000000000002</v>
      </c>
      <c r="J689" s="499"/>
      <c r="K689" s="500"/>
      <c r="L689" s="500"/>
      <c r="M689" s="501"/>
      <c r="N689" s="501"/>
      <c r="O689" s="501"/>
      <c r="P689" s="501"/>
      <c r="Q689" s="501"/>
      <c r="R689" s="501"/>
      <c r="S689" s="501"/>
      <c r="T689" s="501"/>
    </row>
    <row r="690" spans="1:20" ht="37.5">
      <c r="A690" s="426"/>
      <c r="B690" s="426"/>
      <c r="C690" s="417" t="s">
        <v>960</v>
      </c>
      <c r="D690" s="409">
        <v>0</v>
      </c>
      <c r="E690" s="409">
        <f>1.333*'[161]Civil-SOR'!$G$334</f>
        <v>504.80710000000005</v>
      </c>
      <c r="F690" s="409">
        <f t="shared" ref="F690:F691" si="96">E690*1.1</f>
        <v>555.28781000000015</v>
      </c>
      <c r="G690" s="409">
        <f t="shared" ref="G690:G691" si="97">E690*1.2</f>
        <v>605.76852000000008</v>
      </c>
      <c r="H690" s="409">
        <f t="shared" ref="H690:H691" si="98">E690*1.3</f>
        <v>656.24923000000013</v>
      </c>
      <c r="I690" s="409">
        <f t="shared" ref="I690:I691" si="99">E690*1.4</f>
        <v>706.72994000000006</v>
      </c>
      <c r="J690" s="499"/>
      <c r="K690" s="500"/>
      <c r="L690" s="500"/>
      <c r="M690" s="501"/>
      <c r="N690" s="501"/>
      <c r="O690" s="501"/>
      <c r="P690" s="501"/>
      <c r="Q690" s="501"/>
      <c r="R690" s="501"/>
      <c r="S690" s="501"/>
      <c r="T690" s="501"/>
    </row>
    <row r="691" spans="1:20" ht="25">
      <c r="A691" s="426"/>
      <c r="B691" s="426"/>
      <c r="C691" s="417" t="s">
        <v>961</v>
      </c>
      <c r="D691" s="409">
        <v>0</v>
      </c>
      <c r="E691" s="409">
        <f>1.333*'[161]Civil-SOR'!$J$334</f>
        <v>480.41319999999996</v>
      </c>
      <c r="F691" s="409">
        <f t="shared" si="96"/>
        <v>528.45452</v>
      </c>
      <c r="G691" s="409">
        <f t="shared" si="97"/>
        <v>576.49583999999993</v>
      </c>
      <c r="H691" s="409">
        <f t="shared" si="98"/>
        <v>624.53715999999997</v>
      </c>
      <c r="I691" s="409">
        <f t="shared" si="99"/>
        <v>672.5784799999999</v>
      </c>
      <c r="J691" s="499"/>
      <c r="K691" s="500"/>
      <c r="L691" s="500"/>
      <c r="M691" s="501"/>
      <c r="N691" s="501"/>
      <c r="O691" s="501"/>
      <c r="P691" s="501"/>
      <c r="Q691" s="501"/>
      <c r="R691" s="501"/>
      <c r="S691" s="501"/>
      <c r="T691" s="501"/>
    </row>
    <row r="692" spans="1:20">
      <c r="A692" s="426"/>
      <c r="B692" s="426"/>
      <c r="C692" s="417" t="str">
        <f>[161]Input!$C$47</f>
        <v>Add for MA @ 40%</v>
      </c>
      <c r="D692" s="409">
        <v>0</v>
      </c>
      <c r="E692" s="409">
        <f>ROUND(E691*[161]Input!$D$47,2)</f>
        <v>192.17</v>
      </c>
      <c r="F692" s="409">
        <f>ROUND(F691*[161]Input!$D$47,2)</f>
        <v>211.38</v>
      </c>
      <c r="G692" s="409">
        <f>ROUND(G691*[161]Input!$D$47,2)</f>
        <v>230.6</v>
      </c>
      <c r="H692" s="409">
        <f>ROUND(H691*[161]Input!$D$47,2)</f>
        <v>249.81</v>
      </c>
      <c r="I692" s="409">
        <f>ROUND(I691*[161]Input!$D$47,2)</f>
        <v>269.02999999999997</v>
      </c>
      <c r="J692" s="499"/>
      <c r="K692" s="500"/>
      <c r="L692" s="500"/>
      <c r="M692" s="501"/>
      <c r="N692" s="501"/>
      <c r="O692" s="501"/>
      <c r="P692" s="501"/>
      <c r="Q692" s="501"/>
      <c r="R692" s="501"/>
      <c r="S692" s="501"/>
      <c r="T692" s="501"/>
    </row>
    <row r="693" spans="1:20" ht="13">
      <c r="A693" s="426"/>
      <c r="B693" s="426"/>
      <c r="C693" s="427" t="s">
        <v>724</v>
      </c>
      <c r="D693" s="409">
        <f t="shared" ref="D693:I693" si="100">SUM(D686:D692)</f>
        <v>13359.471260000002</v>
      </c>
      <c r="E693" s="409">
        <f t="shared" si="100"/>
        <v>14829.461560000002</v>
      </c>
      <c r="F693" s="409">
        <f t="shared" si="100"/>
        <v>15239.793590000001</v>
      </c>
      <c r="G693" s="409">
        <f t="shared" si="100"/>
        <v>15650.135620000003</v>
      </c>
      <c r="H693" s="409">
        <f t="shared" si="100"/>
        <v>16060.467650000001</v>
      </c>
      <c r="I693" s="409">
        <f t="shared" si="100"/>
        <v>16472.209680000004</v>
      </c>
      <c r="J693" s="502"/>
      <c r="K693" s="503"/>
      <c r="L693" s="503"/>
      <c r="M693" s="504"/>
      <c r="N693" s="504"/>
      <c r="O693" s="504"/>
      <c r="P693" s="504"/>
      <c r="Q693" s="504"/>
      <c r="R693" s="504"/>
      <c r="S693" s="504"/>
      <c r="T693" s="504"/>
    </row>
    <row r="694" spans="1:20" ht="25">
      <c r="A694" s="426"/>
      <c r="B694" s="426"/>
      <c r="C694" s="417" t="str">
        <f>[161]Input!$C$48</f>
        <v>Overheads &amp; Contractors Profit @ 13.615%</v>
      </c>
      <c r="D694" s="409">
        <f>ROUND(D693*[161]Input!$D$48,2)</f>
        <v>1818.89</v>
      </c>
      <c r="E694" s="409">
        <f>ROUND(E693*[161]Input!$D$48,2)</f>
        <v>2019.03</v>
      </c>
      <c r="F694" s="409">
        <f>ROUND(F693*[161]Input!$D$48,2)</f>
        <v>2074.9</v>
      </c>
      <c r="G694" s="409">
        <f>ROUND(G693*[161]Input!$D$48,2)</f>
        <v>2130.77</v>
      </c>
      <c r="H694" s="409">
        <f>ROUND(H693*[161]Input!$D$48,2)</f>
        <v>2186.63</v>
      </c>
      <c r="I694" s="409">
        <f>ROUND(I693*[161]Input!$D$48,2)</f>
        <v>2242.69</v>
      </c>
      <c r="J694" s="499"/>
      <c r="K694" s="500"/>
      <c r="L694" s="500"/>
      <c r="M694" s="501"/>
      <c r="N694" s="501"/>
      <c r="O694" s="501"/>
      <c r="P694" s="501"/>
      <c r="Q694" s="501"/>
      <c r="R694" s="501"/>
      <c r="S694" s="501"/>
      <c r="T694" s="501"/>
    </row>
    <row r="695" spans="1:20" ht="13">
      <c r="A695" s="426"/>
      <c r="B695" s="426"/>
      <c r="C695" s="451" t="s">
        <v>724</v>
      </c>
      <c r="D695" s="409">
        <f t="shared" ref="D695:I695" si="101">SUM(D693:D694)</f>
        <v>15178.361260000001</v>
      </c>
      <c r="E695" s="409">
        <f t="shared" si="101"/>
        <v>16848.491560000002</v>
      </c>
      <c r="F695" s="409">
        <f t="shared" si="101"/>
        <v>17314.693590000003</v>
      </c>
      <c r="G695" s="409">
        <f t="shared" si="101"/>
        <v>17780.905620000001</v>
      </c>
      <c r="H695" s="409">
        <f t="shared" si="101"/>
        <v>18247.09765</v>
      </c>
      <c r="I695" s="409">
        <f t="shared" si="101"/>
        <v>18714.899680000002</v>
      </c>
      <c r="J695" s="517"/>
      <c r="K695" s="518"/>
      <c r="L695" s="518"/>
      <c r="M695" s="519"/>
      <c r="N695" s="519"/>
      <c r="O695" s="519"/>
      <c r="P695" s="519"/>
      <c r="Q695" s="519"/>
      <c r="R695" s="519"/>
      <c r="S695" s="519"/>
      <c r="T695" s="519"/>
    </row>
    <row r="696" spans="1:20" ht="13">
      <c r="A696" s="426"/>
      <c r="B696" s="426"/>
      <c r="C696" s="514" t="s">
        <v>726</v>
      </c>
      <c r="D696" s="416">
        <f t="shared" ref="D696:I696" si="102">ROUND(D695,0)</f>
        <v>15178</v>
      </c>
      <c r="E696" s="416">
        <f t="shared" si="102"/>
        <v>16848</v>
      </c>
      <c r="F696" s="416">
        <f t="shared" si="102"/>
        <v>17315</v>
      </c>
      <c r="G696" s="416">
        <f t="shared" si="102"/>
        <v>17781</v>
      </c>
      <c r="H696" s="416">
        <f t="shared" si="102"/>
        <v>18247</v>
      </c>
      <c r="I696" s="416">
        <f t="shared" si="102"/>
        <v>18715</v>
      </c>
      <c r="J696" s="517"/>
      <c r="K696" s="518"/>
      <c r="L696" s="518"/>
      <c r="M696" s="519"/>
      <c r="N696" s="520">
        <f>E696-D696</f>
        <v>1670</v>
      </c>
      <c r="O696" s="520">
        <f>F696-E696</f>
        <v>467</v>
      </c>
      <c r="P696" s="520">
        <f>G696-F696</f>
        <v>466</v>
      </c>
      <c r="Q696" s="519"/>
      <c r="R696" s="519"/>
      <c r="S696" s="519"/>
      <c r="T696" s="519"/>
    </row>
    <row r="697" spans="1:20" ht="13">
      <c r="A697" s="426"/>
      <c r="B697" s="426"/>
      <c r="C697" s="514"/>
      <c r="D697" s="416"/>
      <c r="E697" s="416"/>
      <c r="F697" s="416"/>
      <c r="G697" s="416"/>
      <c r="H697" s="416"/>
      <c r="I697" s="416"/>
      <c r="J697" s="515"/>
      <c r="K697" s="516"/>
      <c r="L697" s="516"/>
      <c r="M697" s="519"/>
      <c r="N697" s="520"/>
      <c r="O697" s="520"/>
      <c r="P697" s="520"/>
      <c r="Q697" s="519"/>
      <c r="R697" s="519"/>
      <c r="S697" s="519"/>
      <c r="T697" s="519"/>
    </row>
    <row r="698" spans="1:20" ht="13">
      <c r="A698" s="426"/>
      <c r="B698" s="426"/>
      <c r="C698" s="427" t="s">
        <v>953</v>
      </c>
      <c r="D698" s="492" t="s">
        <v>948</v>
      </c>
      <c r="E698" s="492" t="s">
        <v>949</v>
      </c>
      <c r="F698" s="434" t="s">
        <v>950</v>
      </c>
      <c r="G698" s="416"/>
      <c r="H698" s="416"/>
      <c r="I698" s="416"/>
      <c r="J698" s="515"/>
      <c r="K698" s="516"/>
      <c r="L698" s="516"/>
      <c r="M698" s="519"/>
      <c r="N698" s="520"/>
      <c r="O698" s="520"/>
      <c r="P698" s="520"/>
      <c r="Q698" s="519"/>
      <c r="R698" s="519"/>
      <c r="S698" s="519"/>
      <c r="T698" s="519"/>
    </row>
    <row r="699" spans="1:20" ht="13">
      <c r="A699" s="426"/>
      <c r="B699" s="426"/>
      <c r="C699" s="417" t="s">
        <v>954</v>
      </c>
      <c r="D699" s="409">
        <f>$I$667</f>
        <v>10165.071260000002</v>
      </c>
      <c r="E699" s="409">
        <f>$I$667</f>
        <v>10165.071260000002</v>
      </c>
      <c r="F699" s="409">
        <f>$I$667</f>
        <v>10165.071260000002</v>
      </c>
      <c r="G699" s="416"/>
      <c r="H699" s="416"/>
      <c r="I699" s="416"/>
      <c r="J699" s="515"/>
      <c r="K699" s="516"/>
      <c r="L699" s="516"/>
      <c r="M699" s="519"/>
      <c r="N699" s="520"/>
      <c r="O699" s="520"/>
      <c r="P699" s="520"/>
      <c r="Q699" s="519"/>
      <c r="R699" s="519"/>
      <c r="S699" s="519"/>
      <c r="T699" s="519"/>
    </row>
    <row r="700" spans="1:20" ht="13">
      <c r="A700" s="426"/>
      <c r="B700" s="426"/>
      <c r="C700" s="417" t="s">
        <v>921</v>
      </c>
      <c r="D700" s="409">
        <f>'[161]Civil-SOR'!$F$278</f>
        <v>267</v>
      </c>
      <c r="E700" s="409">
        <f>'[161]Civil-SOR'!$F$278</f>
        <v>267</v>
      </c>
      <c r="F700" s="409">
        <f>'[161]Civil-SOR'!$F$278</f>
        <v>267</v>
      </c>
      <c r="G700" s="416"/>
      <c r="H700" s="416"/>
      <c r="I700" s="416"/>
      <c r="J700" s="515"/>
      <c r="K700" s="516"/>
      <c r="L700" s="516"/>
      <c r="M700" s="519"/>
      <c r="N700" s="520"/>
      <c r="O700" s="520"/>
      <c r="P700" s="520"/>
      <c r="Q700" s="519"/>
      <c r="R700" s="519"/>
      <c r="S700" s="519"/>
      <c r="T700" s="519"/>
    </row>
    <row r="701" spans="1:20" ht="13">
      <c r="A701" s="426"/>
      <c r="B701" s="426"/>
      <c r="C701" s="417" t="s">
        <v>926</v>
      </c>
      <c r="D701" s="408">
        <f>'[161]Civil-SOR'!$M$278</f>
        <v>3346</v>
      </c>
      <c r="E701" s="408">
        <f>'[161]Civil-SOR'!$N$278</f>
        <v>3555</v>
      </c>
      <c r="F701" s="408">
        <f>'[161]Civil-SOR'!$O$278</f>
        <v>3764</v>
      </c>
      <c r="G701" s="416"/>
      <c r="H701" s="416"/>
      <c r="I701" s="416"/>
      <c r="J701" s="515"/>
      <c r="K701" s="516"/>
      <c r="L701" s="516"/>
      <c r="M701" s="519"/>
      <c r="N701" s="520"/>
      <c r="O701" s="520"/>
      <c r="P701" s="520"/>
      <c r="Q701" s="519"/>
      <c r="R701" s="519"/>
      <c r="S701" s="519"/>
      <c r="T701" s="519"/>
    </row>
    <row r="702" spans="1:20" ht="13">
      <c r="A702" s="426"/>
      <c r="B702" s="426"/>
      <c r="C702" s="417" t="str">
        <f>[161]Input!$C$47</f>
        <v>Add for MA @ 40%</v>
      </c>
      <c r="D702" s="408">
        <f>D701*[161]Input!$D$47</f>
        <v>1338.4</v>
      </c>
      <c r="E702" s="408">
        <f>E701*[161]Input!$D$47</f>
        <v>1422</v>
      </c>
      <c r="F702" s="408">
        <f>F701*[161]Input!$D$47</f>
        <v>1505.6000000000001</v>
      </c>
      <c r="G702" s="416"/>
      <c r="H702" s="416"/>
      <c r="I702" s="416"/>
      <c r="J702" s="515"/>
      <c r="K702" s="516"/>
      <c r="L702" s="516"/>
      <c r="M702" s="519"/>
      <c r="N702" s="520"/>
      <c r="O702" s="520"/>
      <c r="P702" s="520"/>
      <c r="Q702" s="519"/>
      <c r="R702" s="519"/>
      <c r="S702" s="519"/>
      <c r="T702" s="519"/>
    </row>
    <row r="703" spans="1:20" ht="37.5">
      <c r="A703" s="426"/>
      <c r="B703" s="426"/>
      <c r="C703" s="417" t="s">
        <v>960</v>
      </c>
      <c r="D703" s="409">
        <f t="shared" ref="D703:D704" si="103">E690*1.5</f>
        <v>757.2106500000001</v>
      </c>
      <c r="E703" s="409">
        <f t="shared" ref="E703:E704" si="104">E690*1.6</f>
        <v>807.69136000000015</v>
      </c>
      <c r="F703" s="409">
        <f t="shared" ref="F703:F704" si="105">E690*1.7</f>
        <v>858.17207000000008</v>
      </c>
      <c r="G703" s="416"/>
      <c r="H703" s="416"/>
      <c r="I703" s="416"/>
      <c r="J703" s="515"/>
      <c r="K703" s="516"/>
      <c r="L703" s="516"/>
      <c r="M703" s="519"/>
      <c r="N703" s="520"/>
      <c r="O703" s="520"/>
      <c r="P703" s="520"/>
      <c r="Q703" s="519"/>
      <c r="R703" s="519"/>
      <c r="S703" s="519"/>
      <c r="T703" s="519"/>
    </row>
    <row r="704" spans="1:20" ht="25">
      <c r="A704" s="426"/>
      <c r="B704" s="426"/>
      <c r="C704" s="417" t="s">
        <v>961</v>
      </c>
      <c r="D704" s="409">
        <f t="shared" si="103"/>
        <v>720.61979999999994</v>
      </c>
      <c r="E704" s="409">
        <f t="shared" si="104"/>
        <v>768.66111999999998</v>
      </c>
      <c r="F704" s="409">
        <f t="shared" si="105"/>
        <v>816.70243999999991</v>
      </c>
      <c r="G704" s="416"/>
      <c r="H704" s="416"/>
      <c r="I704" s="416"/>
      <c r="J704" s="515"/>
      <c r="K704" s="516"/>
      <c r="L704" s="516"/>
      <c r="M704" s="519"/>
      <c r="N704" s="520"/>
      <c r="O704" s="520"/>
      <c r="P704" s="520"/>
      <c r="Q704" s="519"/>
      <c r="R704" s="519"/>
      <c r="S704" s="519"/>
      <c r="T704" s="519"/>
    </row>
    <row r="705" spans="1:20" ht="13">
      <c r="A705" s="426"/>
      <c r="B705" s="426"/>
      <c r="C705" s="417" t="str">
        <f>[161]Input!$C$47</f>
        <v>Add for MA @ 40%</v>
      </c>
      <c r="D705" s="409">
        <f>ROUND(D704*[161]Input!$D$47,2)</f>
        <v>288.25</v>
      </c>
      <c r="E705" s="409">
        <f>ROUND(E704*[161]Input!$D$47,2)</f>
        <v>307.45999999999998</v>
      </c>
      <c r="F705" s="409">
        <f>ROUND(F704*[161]Input!$D$47,2)</f>
        <v>326.68</v>
      </c>
      <c r="G705" s="416"/>
      <c r="H705" s="416"/>
      <c r="I705" s="416"/>
      <c r="J705" s="515"/>
      <c r="K705" s="516"/>
      <c r="L705" s="516"/>
      <c r="M705" s="519"/>
      <c r="N705" s="520"/>
      <c r="O705" s="520"/>
      <c r="P705" s="520"/>
      <c r="Q705" s="519"/>
      <c r="R705" s="519"/>
      <c r="S705" s="519"/>
      <c r="T705" s="519"/>
    </row>
    <row r="706" spans="1:20" ht="13">
      <c r="A706" s="426"/>
      <c r="B706" s="426"/>
      <c r="C706" s="427" t="s">
        <v>724</v>
      </c>
      <c r="D706" s="409">
        <f>SUM(D699:D705)</f>
        <v>16882.551710000003</v>
      </c>
      <c r="E706" s="409">
        <f>SUM(E699:E705)</f>
        <v>17292.883740000001</v>
      </c>
      <c r="F706" s="409">
        <f>SUM(F699:F705)</f>
        <v>17703.225770000005</v>
      </c>
      <c r="G706" s="416"/>
      <c r="H706" s="416"/>
      <c r="I706" s="416"/>
      <c r="J706" s="515"/>
      <c r="K706" s="516"/>
      <c r="L706" s="516"/>
      <c r="M706" s="519"/>
      <c r="N706" s="520"/>
      <c r="O706" s="520"/>
      <c r="P706" s="520"/>
      <c r="Q706" s="519"/>
      <c r="R706" s="519"/>
      <c r="S706" s="519"/>
      <c r="T706" s="519"/>
    </row>
    <row r="707" spans="1:20" ht="25">
      <c r="A707" s="426"/>
      <c r="B707" s="426"/>
      <c r="C707" s="417" t="str">
        <f>[161]Input!$C$48</f>
        <v>Overheads &amp; Contractors Profit @ 13.615%</v>
      </c>
      <c r="D707" s="409">
        <f>ROUND(D706*[161]Input!$D$48,2)</f>
        <v>2298.56</v>
      </c>
      <c r="E707" s="409">
        <f>ROUND(E706*[161]Input!$D$48,2)</f>
        <v>2354.4299999999998</v>
      </c>
      <c r="F707" s="409">
        <f>ROUND(F706*[161]Input!$D$48,2)</f>
        <v>2410.29</v>
      </c>
      <c r="G707" s="416"/>
      <c r="H707" s="416"/>
      <c r="I707" s="416"/>
      <c r="J707" s="515"/>
      <c r="K707" s="516"/>
      <c r="L707" s="516"/>
      <c r="M707" s="519"/>
      <c r="N707" s="520"/>
      <c r="O707" s="520"/>
      <c r="P707" s="520"/>
      <c r="Q707" s="519"/>
      <c r="R707" s="519"/>
      <c r="S707" s="519"/>
      <c r="T707" s="519"/>
    </row>
    <row r="708" spans="1:20" ht="13">
      <c r="A708" s="426"/>
      <c r="B708" s="426"/>
      <c r="C708" s="451" t="s">
        <v>724</v>
      </c>
      <c r="D708" s="409">
        <f>SUM(D706:D707)</f>
        <v>19181.111710000005</v>
      </c>
      <c r="E708" s="409">
        <f>SUM(E706:E707)</f>
        <v>19647.313740000001</v>
      </c>
      <c r="F708" s="409">
        <f>SUM(F706:F707)</f>
        <v>20113.515770000005</v>
      </c>
      <c r="G708" s="416"/>
      <c r="H708" s="416"/>
      <c r="I708" s="416"/>
      <c r="J708" s="515"/>
      <c r="K708" s="516"/>
      <c r="L708" s="516"/>
      <c r="M708" s="519"/>
      <c r="N708" s="520"/>
      <c r="O708" s="520"/>
      <c r="P708" s="520"/>
      <c r="Q708" s="519"/>
      <c r="R708" s="519"/>
      <c r="S708" s="519"/>
      <c r="T708" s="519"/>
    </row>
    <row r="709" spans="1:20" ht="13">
      <c r="A709" s="426"/>
      <c r="B709" s="426"/>
      <c r="C709" s="514" t="s">
        <v>726</v>
      </c>
      <c r="D709" s="416">
        <f>ROUND(D708,0)</f>
        <v>19181</v>
      </c>
      <c r="E709" s="416">
        <f>ROUND(E708,0)</f>
        <v>19647</v>
      </c>
      <c r="F709" s="416">
        <f>ROUND(F708,0)</f>
        <v>20114</v>
      </c>
      <c r="G709" s="416"/>
      <c r="H709" s="416"/>
      <c r="I709" s="416"/>
      <c r="J709" s="515"/>
      <c r="K709" s="516"/>
      <c r="L709" s="516"/>
      <c r="M709" s="519"/>
      <c r="N709" s="520"/>
      <c r="O709" s="520"/>
      <c r="P709" s="520"/>
      <c r="Q709" s="519"/>
      <c r="R709" s="519"/>
      <c r="S709" s="519"/>
      <c r="T709" s="519"/>
    </row>
    <row r="710" spans="1:20" ht="13">
      <c r="A710" s="426"/>
      <c r="B710" s="426"/>
      <c r="C710" s="514"/>
      <c r="D710" s="416"/>
      <c r="E710" s="416"/>
      <c r="F710" s="416"/>
      <c r="G710" s="416"/>
      <c r="H710" s="416"/>
      <c r="I710" s="416"/>
      <c r="J710" s="515"/>
      <c r="K710" s="516"/>
      <c r="L710" s="516"/>
      <c r="M710" s="519"/>
      <c r="N710" s="520"/>
      <c r="O710" s="520"/>
      <c r="P710" s="520"/>
      <c r="Q710" s="519"/>
      <c r="R710" s="519"/>
      <c r="S710" s="519"/>
      <c r="T710" s="519"/>
    </row>
    <row r="711" spans="1:20" ht="13">
      <c r="A711" s="426"/>
      <c r="B711" s="474" t="s">
        <v>727</v>
      </c>
      <c r="C711" s="427" t="s">
        <v>962</v>
      </c>
      <c r="D711" s="1303" t="s">
        <v>959</v>
      </c>
      <c r="E711" s="1283" t="s">
        <v>943</v>
      </c>
      <c r="F711" s="1308" t="s">
        <v>944</v>
      </c>
      <c r="G711" s="1308" t="s">
        <v>945</v>
      </c>
      <c r="H711" s="1308" t="s">
        <v>946</v>
      </c>
      <c r="I711" s="1308" t="s">
        <v>947</v>
      </c>
      <c r="J711" s="400"/>
      <c r="K711" s="401"/>
      <c r="L711" s="516"/>
      <c r="M711" s="519"/>
      <c r="N711" s="520"/>
      <c r="O711" s="520"/>
      <c r="P711" s="520"/>
      <c r="Q711" s="519"/>
      <c r="R711" s="519"/>
      <c r="S711" s="519"/>
      <c r="T711" s="519"/>
    </row>
    <row r="712" spans="1:20" ht="13">
      <c r="A712" s="426"/>
      <c r="B712" s="474" t="s">
        <v>951</v>
      </c>
      <c r="C712" s="521" t="s">
        <v>952</v>
      </c>
      <c r="D712" s="1303"/>
      <c r="E712" s="1283"/>
      <c r="F712" s="1308"/>
      <c r="G712" s="1308"/>
      <c r="H712" s="1308"/>
      <c r="I712" s="1308"/>
      <c r="J712" s="400"/>
      <c r="K712" s="401"/>
      <c r="L712" s="516"/>
      <c r="M712" s="519"/>
      <c r="N712" s="520"/>
      <c r="O712" s="520"/>
      <c r="P712" s="520"/>
      <c r="Q712" s="519"/>
      <c r="R712" s="519"/>
      <c r="S712" s="519"/>
      <c r="T712" s="519"/>
    </row>
    <row r="713" spans="1:20" ht="13">
      <c r="A713" s="426"/>
      <c r="B713" s="426"/>
      <c r="C713" s="427" t="s">
        <v>953</v>
      </c>
      <c r="D713" s="1303"/>
      <c r="E713" s="1283"/>
      <c r="F713" s="1308"/>
      <c r="G713" s="1308"/>
      <c r="H713" s="1308"/>
      <c r="I713" s="1308"/>
      <c r="J713" s="400"/>
      <c r="K713" s="401"/>
      <c r="L713" s="516"/>
      <c r="M713" s="519"/>
      <c r="N713" s="520"/>
      <c r="O713" s="520"/>
      <c r="P713" s="520"/>
      <c r="Q713" s="519"/>
      <c r="R713" s="519"/>
      <c r="S713" s="519"/>
      <c r="T713" s="519"/>
    </row>
    <row r="714" spans="1:20" ht="13">
      <c r="A714" s="426"/>
      <c r="B714" s="426"/>
      <c r="C714" s="417" t="s">
        <v>954</v>
      </c>
      <c r="D714" s="409">
        <f t="shared" ref="D714:I714" si="106">+$I$667</f>
        <v>10165.071260000002</v>
      </c>
      <c r="E714" s="409">
        <f t="shared" si="106"/>
        <v>10165.071260000002</v>
      </c>
      <c r="F714" s="409">
        <f t="shared" si="106"/>
        <v>10165.071260000002</v>
      </c>
      <c r="G714" s="409">
        <f t="shared" si="106"/>
        <v>10165.071260000002</v>
      </c>
      <c r="H714" s="409">
        <f t="shared" si="106"/>
        <v>10165.071260000002</v>
      </c>
      <c r="I714" s="409">
        <f t="shared" si="106"/>
        <v>10165.071260000002</v>
      </c>
      <c r="J714" s="400"/>
      <c r="K714" s="401"/>
      <c r="L714" s="516"/>
      <c r="M714" s="519"/>
      <c r="N714" s="520"/>
      <c r="O714" s="520"/>
      <c r="P714" s="520"/>
      <c r="Q714" s="519"/>
      <c r="R714" s="519"/>
      <c r="S714" s="519"/>
      <c r="T714" s="519"/>
    </row>
    <row r="715" spans="1:20" ht="13">
      <c r="A715" s="426"/>
      <c r="B715" s="426"/>
      <c r="C715" s="417" t="s">
        <v>921</v>
      </c>
      <c r="D715" s="409">
        <f>'[161]Civil-SOR'!$F$276</f>
        <v>886</v>
      </c>
      <c r="E715" s="409">
        <f>'[161]Civil-SOR'!$F$276</f>
        <v>886</v>
      </c>
      <c r="F715" s="409">
        <f>'[161]Civil-SOR'!$F$276</f>
        <v>886</v>
      </c>
      <c r="G715" s="409">
        <f>'[161]Civil-SOR'!$F$276</f>
        <v>886</v>
      </c>
      <c r="H715" s="409">
        <f>'[161]Civil-SOR'!$F$276</f>
        <v>886</v>
      </c>
      <c r="I715" s="409">
        <f>'[161]Civil-SOR'!$F$276</f>
        <v>886</v>
      </c>
      <c r="J715" s="400"/>
      <c r="K715" s="401"/>
      <c r="L715" s="516"/>
      <c r="M715" s="519"/>
      <c r="N715" s="520"/>
      <c r="O715" s="520"/>
      <c r="P715" s="520"/>
      <c r="Q715" s="519"/>
      <c r="R715" s="519"/>
      <c r="S715" s="519"/>
      <c r="T715" s="519"/>
    </row>
    <row r="716" spans="1:20" ht="13">
      <c r="A716" s="426"/>
      <c r="B716" s="426"/>
      <c r="C716" s="417" t="s">
        <v>926</v>
      </c>
      <c r="D716" s="408">
        <f>'[161]Civil-SOR'!$G$276</f>
        <v>1489</v>
      </c>
      <c r="E716" s="408">
        <f>'[161]Civil-SOR'!$H$276</f>
        <v>1638</v>
      </c>
      <c r="F716" s="408">
        <f>'[161]Civil-SOR'!$I$276</f>
        <v>1787</v>
      </c>
      <c r="G716" s="408">
        <f>'[161]Civil-SOR'!$J$276</f>
        <v>1936</v>
      </c>
      <c r="H716" s="408">
        <f>'[161]Civil-SOR'!$K$276</f>
        <v>2085</v>
      </c>
      <c r="I716" s="408">
        <f>'[161]Civil-SOR'!$L$276</f>
        <v>2234</v>
      </c>
      <c r="J716" s="400"/>
      <c r="K716" s="401"/>
      <c r="L716" s="516"/>
      <c r="M716" s="519"/>
      <c r="N716" s="520"/>
      <c r="O716" s="520"/>
      <c r="P716" s="520"/>
      <c r="Q716" s="519"/>
      <c r="R716" s="519"/>
      <c r="S716" s="519"/>
      <c r="T716" s="519"/>
    </row>
    <row r="717" spans="1:20" ht="13">
      <c r="A717" s="426"/>
      <c r="B717" s="426"/>
      <c r="C717" s="417" t="str">
        <f>[161]Input!$C$47</f>
        <v>Add for MA @ 40%</v>
      </c>
      <c r="D717" s="408">
        <f>D716*[161]Input!$D$47</f>
        <v>595.6</v>
      </c>
      <c r="E717" s="408">
        <f>E716*[161]Input!$D$47</f>
        <v>655.20000000000005</v>
      </c>
      <c r="F717" s="408">
        <f>F716*[161]Input!$D$47</f>
        <v>714.80000000000007</v>
      </c>
      <c r="G717" s="408">
        <f>G716*[161]Input!$D$47</f>
        <v>774.40000000000009</v>
      </c>
      <c r="H717" s="408">
        <f>H716*[161]Input!$D$47</f>
        <v>834</v>
      </c>
      <c r="I717" s="408">
        <f>I716*[161]Input!$D$47</f>
        <v>893.6</v>
      </c>
      <c r="J717" s="400"/>
      <c r="K717" s="401"/>
      <c r="L717" s="516"/>
      <c r="M717" s="519"/>
      <c r="N717" s="520"/>
      <c r="O717" s="520"/>
      <c r="P717" s="520"/>
      <c r="Q717" s="519"/>
      <c r="R717" s="519"/>
      <c r="S717" s="519"/>
      <c r="T717" s="519"/>
    </row>
    <row r="718" spans="1:20" ht="13">
      <c r="A718" s="426"/>
      <c r="B718" s="426"/>
      <c r="C718" s="417" t="s">
        <v>963</v>
      </c>
      <c r="D718" s="409">
        <v>0</v>
      </c>
      <c r="E718" s="409">
        <f>$F$748*10%</f>
        <v>310.07100000000003</v>
      </c>
      <c r="F718" s="409">
        <f>$F$748*20%</f>
        <v>620.14200000000005</v>
      </c>
      <c r="G718" s="409">
        <f>$F$748*30%</f>
        <v>930.21299999999997</v>
      </c>
      <c r="H718" s="409">
        <f>$F$748*40%</f>
        <v>1240.2840000000001</v>
      </c>
      <c r="I718" s="409">
        <f>$F$748*50%</f>
        <v>1550.355</v>
      </c>
      <c r="J718" s="400"/>
      <c r="K718" s="401"/>
      <c r="L718" s="516"/>
      <c r="M718" s="519"/>
      <c r="N718" s="520"/>
      <c r="O718" s="520"/>
      <c r="P718" s="520"/>
      <c r="Q718" s="519"/>
      <c r="R718" s="519"/>
      <c r="S718" s="519"/>
      <c r="T718" s="519"/>
    </row>
    <row r="719" spans="1:20" ht="13">
      <c r="A719" s="426"/>
      <c r="B719" s="426"/>
      <c r="C719" s="417" t="str">
        <f>[161]Input!$C$47</f>
        <v>Add for MA @ 40%</v>
      </c>
      <c r="D719" s="409">
        <v>0</v>
      </c>
      <c r="E719" s="409">
        <f>ROUND(E718*[161]Input!$D$47,2)</f>
        <v>124.03</v>
      </c>
      <c r="F719" s="409">
        <f>ROUND(F718*[161]Input!$D$47,2)</f>
        <v>248.06</v>
      </c>
      <c r="G719" s="409">
        <f>ROUND(G718*[161]Input!$D$47,2)</f>
        <v>372.09</v>
      </c>
      <c r="H719" s="409">
        <f>ROUND(H718*[161]Input!$D$47,2)</f>
        <v>496.11</v>
      </c>
      <c r="I719" s="409">
        <f>ROUND(I718*[161]Input!$D$47,2)</f>
        <v>620.14</v>
      </c>
      <c r="J719" s="400"/>
      <c r="K719" s="401"/>
      <c r="L719" s="516"/>
      <c r="M719" s="519"/>
      <c r="N719" s="520"/>
      <c r="O719" s="520"/>
      <c r="P719" s="520"/>
      <c r="Q719" s="519"/>
      <c r="R719" s="519"/>
      <c r="S719" s="519"/>
      <c r="T719" s="519"/>
    </row>
    <row r="720" spans="1:20" ht="13">
      <c r="A720" s="426"/>
      <c r="B720" s="426"/>
      <c r="C720" s="427" t="s">
        <v>724</v>
      </c>
      <c r="D720" s="409">
        <f t="shared" ref="D720:I720" si="107">SUM(D714:D719)</f>
        <v>13135.671260000003</v>
      </c>
      <c r="E720" s="409">
        <f t="shared" si="107"/>
        <v>13778.372260000004</v>
      </c>
      <c r="F720" s="409">
        <f t="shared" si="107"/>
        <v>14421.073260000001</v>
      </c>
      <c r="G720" s="409">
        <f t="shared" si="107"/>
        <v>15063.774260000002</v>
      </c>
      <c r="H720" s="409">
        <f t="shared" si="107"/>
        <v>15706.465260000003</v>
      </c>
      <c r="I720" s="409">
        <f t="shared" si="107"/>
        <v>16349.166260000002</v>
      </c>
      <c r="J720" s="400"/>
      <c r="K720" s="401"/>
      <c r="L720" s="516"/>
      <c r="M720" s="519"/>
      <c r="N720" s="520"/>
      <c r="O720" s="520"/>
      <c r="P720" s="520"/>
      <c r="Q720" s="519"/>
      <c r="R720" s="519"/>
      <c r="S720" s="519"/>
      <c r="T720" s="519"/>
    </row>
    <row r="721" spans="1:20" ht="25">
      <c r="A721" s="426"/>
      <c r="B721" s="426"/>
      <c r="C721" s="417" t="str">
        <f>[161]Input!$C$48</f>
        <v>Overheads &amp; Contractors Profit @ 13.615%</v>
      </c>
      <c r="D721" s="409">
        <f>ROUND(D720*[161]Input!$D$48,2)</f>
        <v>1788.42</v>
      </c>
      <c r="E721" s="409">
        <f>ROUND(E720*[161]Input!$D$48,2)</f>
        <v>1875.93</v>
      </c>
      <c r="F721" s="409">
        <f>ROUND(F720*[161]Input!$D$48,2)</f>
        <v>1963.43</v>
      </c>
      <c r="G721" s="409">
        <f>ROUND(G720*[161]Input!$D$48,2)</f>
        <v>2050.9299999999998</v>
      </c>
      <c r="H721" s="409">
        <f>ROUND(H720*[161]Input!$D$48,2)</f>
        <v>2138.44</v>
      </c>
      <c r="I721" s="409">
        <f>ROUND(I720*[161]Input!$D$48,2)</f>
        <v>2225.94</v>
      </c>
      <c r="J721" s="400"/>
      <c r="K721" s="401"/>
      <c r="L721" s="516"/>
      <c r="M721" s="519"/>
      <c r="N721" s="520"/>
      <c r="O721" s="520"/>
      <c r="P721" s="520"/>
      <c r="Q721" s="519"/>
      <c r="R721" s="519"/>
      <c r="S721" s="519"/>
      <c r="T721" s="519"/>
    </row>
    <row r="722" spans="1:20" ht="13">
      <c r="A722" s="426"/>
      <c r="B722" s="426"/>
      <c r="C722" s="481" t="s">
        <v>724</v>
      </c>
      <c r="D722" s="409">
        <f t="shared" ref="D722:I722" si="108">SUM(D720:D721)</f>
        <v>14924.091260000003</v>
      </c>
      <c r="E722" s="409">
        <f t="shared" si="108"/>
        <v>15654.302260000004</v>
      </c>
      <c r="F722" s="409">
        <f t="shared" si="108"/>
        <v>16384.503260000001</v>
      </c>
      <c r="G722" s="409">
        <f t="shared" si="108"/>
        <v>17114.704260000002</v>
      </c>
      <c r="H722" s="409">
        <f t="shared" si="108"/>
        <v>17844.905260000003</v>
      </c>
      <c r="I722" s="409">
        <f t="shared" si="108"/>
        <v>18575.10626</v>
      </c>
      <c r="J722" s="400"/>
      <c r="K722" s="401"/>
      <c r="L722" s="516"/>
      <c r="M722" s="519"/>
      <c r="N722" s="520"/>
      <c r="O722" s="520"/>
      <c r="P722" s="520"/>
      <c r="Q722" s="519"/>
      <c r="R722" s="519"/>
      <c r="S722" s="519"/>
      <c r="T722" s="519"/>
    </row>
    <row r="723" spans="1:20" ht="13">
      <c r="A723" s="426"/>
      <c r="B723" s="426"/>
      <c r="C723" s="522" t="s">
        <v>726</v>
      </c>
      <c r="D723" s="416">
        <f t="shared" ref="D723:I723" si="109">ROUND(D722,0)</f>
        <v>14924</v>
      </c>
      <c r="E723" s="416">
        <f t="shared" si="109"/>
        <v>15654</v>
      </c>
      <c r="F723" s="416">
        <f t="shared" si="109"/>
        <v>16385</v>
      </c>
      <c r="G723" s="416">
        <f t="shared" si="109"/>
        <v>17115</v>
      </c>
      <c r="H723" s="416">
        <f t="shared" si="109"/>
        <v>17845</v>
      </c>
      <c r="I723" s="416">
        <f t="shared" si="109"/>
        <v>18575</v>
      </c>
      <c r="J723" s="400"/>
      <c r="K723" s="401"/>
      <c r="L723" s="516"/>
      <c r="M723" s="519"/>
      <c r="N723" s="520"/>
      <c r="O723" s="520"/>
      <c r="P723" s="520"/>
      <c r="Q723" s="519"/>
      <c r="R723" s="519"/>
      <c r="S723" s="519"/>
      <c r="T723" s="519"/>
    </row>
    <row r="724" spans="1:20" ht="13">
      <c r="A724" s="426"/>
      <c r="B724" s="426"/>
      <c r="C724" s="417"/>
      <c r="D724" s="416"/>
      <c r="E724" s="416"/>
      <c r="F724" s="416"/>
      <c r="G724" s="416"/>
      <c r="H724" s="416"/>
      <c r="I724" s="414"/>
      <c r="J724" s="400"/>
      <c r="K724" s="401"/>
      <c r="L724" s="516"/>
      <c r="M724" s="519"/>
      <c r="N724" s="520"/>
      <c r="O724" s="520"/>
      <c r="P724" s="520"/>
      <c r="Q724" s="519"/>
      <c r="R724" s="519"/>
      <c r="S724" s="519"/>
      <c r="T724" s="519"/>
    </row>
    <row r="725" spans="1:20" ht="13">
      <c r="A725" s="426"/>
      <c r="B725" s="426"/>
      <c r="C725" s="427" t="s">
        <v>962</v>
      </c>
      <c r="D725" s="492" t="s">
        <v>948</v>
      </c>
      <c r="E725" s="492" t="s">
        <v>949</v>
      </c>
      <c r="F725" s="492" t="s">
        <v>950</v>
      </c>
      <c r="G725" s="416"/>
      <c r="H725" s="416"/>
      <c r="I725" s="414"/>
      <c r="J725" s="400"/>
      <c r="K725" s="401"/>
      <c r="L725" s="516"/>
      <c r="M725" s="519"/>
      <c r="N725" s="520"/>
      <c r="O725" s="520"/>
      <c r="P725" s="520"/>
      <c r="Q725" s="519"/>
      <c r="R725" s="519"/>
      <c r="S725" s="519"/>
      <c r="T725" s="519"/>
    </row>
    <row r="726" spans="1:20" ht="13">
      <c r="A726" s="426"/>
      <c r="B726" s="426"/>
      <c r="C726" s="417" t="s">
        <v>954</v>
      </c>
      <c r="D726" s="409">
        <f>$I$667</f>
        <v>10165.071260000002</v>
      </c>
      <c r="E726" s="409">
        <f>$I$667</f>
        <v>10165.071260000002</v>
      </c>
      <c r="F726" s="409">
        <f>$I$667</f>
        <v>10165.071260000002</v>
      </c>
      <c r="G726" s="416"/>
      <c r="H726" s="416"/>
      <c r="I726" s="414"/>
      <c r="J726" s="400"/>
      <c r="K726" s="401"/>
      <c r="L726" s="516"/>
      <c r="M726" s="519"/>
      <c r="N726" s="520"/>
      <c r="O726" s="520"/>
      <c r="P726" s="520"/>
      <c r="Q726" s="519"/>
      <c r="R726" s="519"/>
      <c r="S726" s="519"/>
      <c r="T726" s="519"/>
    </row>
    <row r="727" spans="1:20" ht="13">
      <c r="A727" s="426"/>
      <c r="B727" s="426"/>
      <c r="C727" s="417" t="s">
        <v>921</v>
      </c>
      <c r="D727" s="409">
        <f>'[161]Civil-SOR'!$F$276</f>
        <v>886</v>
      </c>
      <c r="E727" s="409">
        <f>'[161]Civil-SOR'!$F$276</f>
        <v>886</v>
      </c>
      <c r="F727" s="409">
        <f>'[161]Civil-SOR'!$F$276</f>
        <v>886</v>
      </c>
      <c r="G727" s="416"/>
      <c r="H727" s="416"/>
      <c r="I727" s="414"/>
      <c r="J727" s="400"/>
      <c r="K727" s="401"/>
      <c r="L727" s="516"/>
      <c r="M727" s="519"/>
      <c r="N727" s="520"/>
      <c r="O727" s="520"/>
      <c r="P727" s="520"/>
      <c r="Q727" s="519"/>
      <c r="R727" s="519"/>
      <c r="S727" s="519"/>
      <c r="T727" s="519"/>
    </row>
    <row r="728" spans="1:20" ht="13">
      <c r="A728" s="426"/>
      <c r="B728" s="426"/>
      <c r="C728" s="417" t="s">
        <v>926</v>
      </c>
      <c r="D728" s="408">
        <f>'[161]Civil-SOR'!$M$276</f>
        <v>2382</v>
      </c>
      <c r="E728" s="408">
        <f>'[161]Civil-SOR'!$N$276</f>
        <v>2531</v>
      </c>
      <c r="F728" s="408">
        <f>'[161]Civil-SOR'!$O$276</f>
        <v>2680</v>
      </c>
      <c r="G728" s="416"/>
      <c r="H728" s="416"/>
      <c r="I728" s="414"/>
      <c r="J728" s="400"/>
      <c r="K728" s="401"/>
      <c r="L728" s="516"/>
      <c r="M728" s="519"/>
      <c r="N728" s="520"/>
      <c r="O728" s="520"/>
      <c r="P728" s="520"/>
      <c r="Q728" s="519"/>
      <c r="R728" s="519"/>
      <c r="S728" s="519"/>
      <c r="T728" s="519"/>
    </row>
    <row r="729" spans="1:20" ht="13">
      <c r="A729" s="426"/>
      <c r="B729" s="426"/>
      <c r="C729" s="417" t="str">
        <f>[161]Input!$C$47</f>
        <v>Add for MA @ 40%</v>
      </c>
      <c r="D729" s="408">
        <f>D728*[161]Input!$D$47</f>
        <v>952.80000000000007</v>
      </c>
      <c r="E729" s="408">
        <f>E728*[161]Input!$D$47</f>
        <v>1012.4000000000001</v>
      </c>
      <c r="F729" s="408">
        <f>F728*[161]Input!$D$47</f>
        <v>1072</v>
      </c>
      <c r="G729" s="416"/>
      <c r="H729" s="416"/>
      <c r="I729" s="414"/>
      <c r="J729" s="400"/>
      <c r="K729" s="401"/>
      <c r="L729" s="516"/>
      <c r="M729" s="519"/>
      <c r="N729" s="520"/>
      <c r="O729" s="520"/>
      <c r="P729" s="520"/>
      <c r="Q729" s="519"/>
      <c r="R729" s="519"/>
      <c r="S729" s="519"/>
      <c r="T729" s="519"/>
    </row>
    <row r="730" spans="1:20" ht="13">
      <c r="A730" s="426"/>
      <c r="B730" s="426"/>
      <c r="C730" s="417" t="s">
        <v>963</v>
      </c>
      <c r="D730" s="409">
        <f>$F$659*60%</f>
        <v>1860.4259999999999</v>
      </c>
      <c r="E730" s="409">
        <f>$F$659*70%</f>
        <v>2170.4969999999998</v>
      </c>
      <c r="F730" s="409">
        <f>$F$659*80%</f>
        <v>2480.5680000000002</v>
      </c>
      <c r="G730" s="416"/>
      <c r="H730" s="416"/>
      <c r="I730" s="414"/>
      <c r="J730" s="400"/>
      <c r="K730" s="401"/>
      <c r="L730" s="516"/>
      <c r="M730" s="519"/>
      <c r="N730" s="520"/>
      <c r="O730" s="520"/>
      <c r="P730" s="520"/>
      <c r="Q730" s="519"/>
      <c r="R730" s="519"/>
      <c r="S730" s="519"/>
      <c r="T730" s="519"/>
    </row>
    <row r="731" spans="1:20" ht="13">
      <c r="A731" s="426"/>
      <c r="B731" s="426"/>
      <c r="C731" s="417" t="str">
        <f>[161]Input!$C$47</f>
        <v>Add for MA @ 40%</v>
      </c>
      <c r="D731" s="409">
        <f>ROUND(D730*[161]Input!$D$47,2)</f>
        <v>744.17</v>
      </c>
      <c r="E731" s="409">
        <f>ROUND(E730*[161]Input!$D$47,2)</f>
        <v>868.2</v>
      </c>
      <c r="F731" s="409">
        <f>ROUND(F730*[161]Input!$D$47,2)</f>
        <v>992.23</v>
      </c>
      <c r="G731" s="416"/>
      <c r="H731" s="416"/>
      <c r="I731" s="414"/>
      <c r="J731" s="400"/>
      <c r="K731" s="401"/>
      <c r="L731" s="516"/>
      <c r="M731" s="519"/>
      <c r="N731" s="520"/>
      <c r="O731" s="520"/>
      <c r="P731" s="520"/>
      <c r="Q731" s="519"/>
      <c r="R731" s="519"/>
      <c r="S731" s="519"/>
      <c r="T731" s="519"/>
    </row>
    <row r="732" spans="1:20" ht="13">
      <c r="A732" s="426"/>
      <c r="B732" s="426"/>
      <c r="C732" s="427" t="s">
        <v>724</v>
      </c>
      <c r="D732" s="409">
        <f>SUM(D726:D731)</f>
        <v>16990.467260000001</v>
      </c>
      <c r="E732" s="409">
        <f>SUM(E726:E731)</f>
        <v>17633.168260000002</v>
      </c>
      <c r="F732" s="409">
        <f>SUM(F726:F731)</f>
        <v>18275.869260000003</v>
      </c>
      <c r="G732" s="416"/>
      <c r="H732" s="416"/>
      <c r="I732" s="414"/>
      <c r="J732" s="400"/>
      <c r="K732" s="401"/>
      <c r="L732" s="516"/>
      <c r="M732" s="519"/>
      <c r="N732" s="520"/>
      <c r="O732" s="520"/>
      <c r="P732" s="520"/>
      <c r="Q732" s="519"/>
      <c r="R732" s="519"/>
      <c r="S732" s="519"/>
      <c r="T732" s="519"/>
    </row>
    <row r="733" spans="1:20" ht="25">
      <c r="A733" s="426"/>
      <c r="B733" s="426"/>
      <c r="C733" s="417" t="str">
        <f>[161]Input!$C$48</f>
        <v>Overheads &amp; Contractors Profit @ 13.615%</v>
      </c>
      <c r="D733" s="409">
        <f>ROUND(D732*[161]Input!$D$48,2)</f>
        <v>2313.25</v>
      </c>
      <c r="E733" s="409">
        <f>ROUND(E732*[161]Input!$D$48,2)</f>
        <v>2400.7600000000002</v>
      </c>
      <c r="F733" s="409">
        <f>ROUND(F732*[161]Input!$D$48,2)</f>
        <v>2488.2600000000002</v>
      </c>
      <c r="G733" s="416"/>
      <c r="H733" s="416"/>
      <c r="I733" s="414"/>
      <c r="J733" s="400"/>
      <c r="K733" s="401"/>
      <c r="L733" s="516"/>
      <c r="M733" s="519"/>
      <c r="N733" s="520"/>
      <c r="O733" s="520"/>
      <c r="P733" s="520"/>
      <c r="Q733" s="519"/>
      <c r="R733" s="519"/>
      <c r="S733" s="519"/>
      <c r="T733" s="519"/>
    </row>
    <row r="734" spans="1:20" ht="13">
      <c r="A734" s="426"/>
      <c r="B734" s="426"/>
      <c r="C734" s="427" t="s">
        <v>724</v>
      </c>
      <c r="D734" s="409">
        <f>SUM(D732:D733)</f>
        <v>19303.717260000001</v>
      </c>
      <c r="E734" s="409">
        <f>SUM(E732:E733)</f>
        <v>20033.928260000001</v>
      </c>
      <c r="F734" s="409">
        <f>SUM(F732:F733)</f>
        <v>20764.129260000002</v>
      </c>
      <c r="G734" s="416"/>
      <c r="H734" s="416"/>
      <c r="I734" s="414"/>
      <c r="J734" s="400"/>
      <c r="K734" s="401"/>
      <c r="L734" s="516"/>
      <c r="M734" s="519"/>
      <c r="N734" s="520"/>
      <c r="O734" s="520"/>
      <c r="P734" s="520"/>
      <c r="Q734" s="519"/>
      <c r="R734" s="519"/>
      <c r="S734" s="519"/>
      <c r="T734" s="519"/>
    </row>
    <row r="735" spans="1:20" ht="13">
      <c r="A735" s="426"/>
      <c r="B735" s="426"/>
      <c r="C735" s="514" t="s">
        <v>726</v>
      </c>
      <c r="D735" s="416">
        <f>ROUND(D734,0)</f>
        <v>19304</v>
      </c>
      <c r="E735" s="416">
        <f>ROUND(E734,0)</f>
        <v>20034</v>
      </c>
      <c r="F735" s="416">
        <f>ROUND(F734,0)</f>
        <v>20764</v>
      </c>
      <c r="G735" s="416"/>
      <c r="H735" s="416"/>
      <c r="I735" s="414"/>
      <c r="J735" s="400"/>
      <c r="K735" s="401"/>
      <c r="L735" s="516"/>
      <c r="M735" s="519"/>
      <c r="N735" s="520"/>
      <c r="O735" s="520"/>
      <c r="P735" s="520"/>
      <c r="Q735" s="519"/>
      <c r="R735" s="519"/>
      <c r="S735" s="519"/>
      <c r="T735" s="519"/>
    </row>
    <row r="736" spans="1:20" ht="13">
      <c r="A736" s="426"/>
      <c r="B736" s="426"/>
      <c r="C736" s="514"/>
      <c r="D736" s="416"/>
      <c r="E736" s="416"/>
      <c r="F736" s="416"/>
      <c r="G736" s="416"/>
      <c r="H736" s="416"/>
      <c r="I736" s="416"/>
      <c r="J736" s="515"/>
      <c r="K736" s="516"/>
      <c r="L736" s="516"/>
      <c r="M736" s="519"/>
      <c r="N736" s="520"/>
      <c r="O736" s="520"/>
      <c r="P736" s="520"/>
      <c r="Q736" s="519"/>
      <c r="R736" s="519"/>
      <c r="S736" s="519"/>
      <c r="T736" s="519"/>
    </row>
    <row r="737" spans="1:16" ht="94.9" customHeight="1">
      <c r="A737" s="430">
        <f>1+A648</f>
        <v>15</v>
      </c>
      <c r="B737" s="430"/>
      <c r="C737" s="1276" t="s">
        <v>964</v>
      </c>
      <c r="D737" s="1276"/>
      <c r="E737" s="1276"/>
      <c r="F737" s="1276"/>
      <c r="G737" s="1276"/>
      <c r="H737" s="1276"/>
      <c r="I737" s="1276"/>
      <c r="J737" s="515"/>
      <c r="K737" s="516"/>
      <c r="L737" s="516"/>
      <c r="M737" s="519"/>
      <c r="N737" s="520"/>
      <c r="O737" s="520"/>
      <c r="P737" s="520"/>
    </row>
    <row r="738" spans="1:16" ht="13">
      <c r="A738" s="426"/>
      <c r="B738" s="426"/>
      <c r="C738" s="473" t="s">
        <v>939</v>
      </c>
      <c r="D738" s="426"/>
      <c r="E738" s="426"/>
      <c r="F738" s="426"/>
      <c r="G738" s="426"/>
      <c r="H738" s="406"/>
      <c r="I738" s="432"/>
      <c r="J738" s="515"/>
      <c r="K738" s="516"/>
      <c r="L738" s="516"/>
      <c r="M738" s="519"/>
      <c r="N738" s="520"/>
      <c r="O738" s="520"/>
      <c r="P738" s="520"/>
    </row>
    <row r="739" spans="1:16" ht="12.75" customHeight="1">
      <c r="A739" s="426"/>
      <c r="B739" s="474"/>
      <c r="C739" s="1294" t="s">
        <v>940</v>
      </c>
      <c r="D739" s="1294"/>
      <c r="E739" s="1294"/>
      <c r="F739" s="1294"/>
      <c r="G739" s="1294"/>
      <c r="H739" s="406"/>
      <c r="I739" s="432"/>
      <c r="J739" s="515"/>
      <c r="K739" s="516"/>
      <c r="L739" s="516"/>
      <c r="M739" s="519"/>
      <c r="N739" s="520"/>
      <c r="O739" s="520"/>
      <c r="P739" s="520"/>
    </row>
    <row r="740" spans="1:16" ht="13">
      <c r="A740" s="426"/>
      <c r="B740" s="474"/>
      <c r="C740" s="451" t="s">
        <v>873</v>
      </c>
      <c r="D740" s="406"/>
      <c r="E740" s="406"/>
      <c r="F740" s="406"/>
      <c r="G740" s="406"/>
      <c r="H740" s="406"/>
      <c r="I740" s="432"/>
      <c r="J740" s="515"/>
      <c r="K740" s="516"/>
      <c r="L740" s="516"/>
      <c r="M740" s="519"/>
      <c r="N740" s="520"/>
      <c r="O740" s="520"/>
      <c r="P740" s="520"/>
    </row>
    <row r="741" spans="1:16" ht="13">
      <c r="A741" s="426"/>
      <c r="B741" s="426"/>
      <c r="C741" s="417" t="s">
        <v>504</v>
      </c>
      <c r="D741" s="409">
        <v>380</v>
      </c>
      <c r="E741" s="426" t="s">
        <v>833</v>
      </c>
      <c r="F741" s="409">
        <f>[161]LEAD!$N$6</f>
        <v>5200</v>
      </c>
      <c r="G741" s="410">
        <v>1000</v>
      </c>
      <c r="H741" s="426" t="s">
        <v>833</v>
      </c>
      <c r="I741" s="408">
        <f t="shared" ref="I741:I743" si="110">IF(G741="",D741*F741,(D741*F741/G741))</f>
        <v>1976</v>
      </c>
      <c r="J741" s="515"/>
      <c r="K741" s="516"/>
      <c r="L741" s="516"/>
      <c r="M741" s="519"/>
      <c r="N741" s="520"/>
      <c r="O741" s="520"/>
      <c r="P741" s="520"/>
    </row>
    <row r="742" spans="1:16" ht="13">
      <c r="A742" s="426"/>
      <c r="B742" s="426"/>
      <c r="C742" s="417" t="s">
        <v>910</v>
      </c>
      <c r="D742" s="409">
        <v>0.8</v>
      </c>
      <c r="E742" s="426" t="s">
        <v>57</v>
      </c>
      <c r="F742" s="408">
        <f>$F$16</f>
        <v>1447.96</v>
      </c>
      <c r="G742" s="410">
        <v>1</v>
      </c>
      <c r="H742" s="426" t="s">
        <v>57</v>
      </c>
      <c r="I742" s="408">
        <f t="shared" si="110"/>
        <v>1158.3680000000002</v>
      </c>
      <c r="J742" s="515"/>
      <c r="K742" s="516"/>
      <c r="L742" s="516"/>
      <c r="M742" s="519"/>
      <c r="N742" s="520"/>
      <c r="O742" s="520"/>
      <c r="P742" s="520"/>
    </row>
    <row r="743" spans="1:16" ht="13">
      <c r="A743" s="426"/>
      <c r="B743" s="426"/>
      <c r="C743" s="417" t="s">
        <v>481</v>
      </c>
      <c r="D743" s="409">
        <v>0.4</v>
      </c>
      <c r="E743" s="426" t="s">
        <v>57</v>
      </c>
      <c r="F743" s="409">
        <f>[161]LEAD!$N$12</f>
        <v>2253.91</v>
      </c>
      <c r="G743" s="410">
        <v>1</v>
      </c>
      <c r="H743" s="426" t="s">
        <v>57</v>
      </c>
      <c r="I743" s="408">
        <f t="shared" si="110"/>
        <v>901.56399999999996</v>
      </c>
      <c r="J743" s="515"/>
      <c r="K743" s="516"/>
      <c r="L743" s="516"/>
      <c r="M743" s="519"/>
      <c r="N743" s="520"/>
      <c r="O743" s="520"/>
      <c r="P743" s="520"/>
    </row>
    <row r="744" spans="1:16" ht="13">
      <c r="A744" s="426"/>
      <c r="B744" s="426"/>
      <c r="C744" s="427" t="s">
        <v>911</v>
      </c>
      <c r="D744" s="426"/>
      <c r="E744" s="426"/>
      <c r="F744" s="426"/>
      <c r="G744" s="426"/>
      <c r="H744" s="426"/>
      <c r="I744" s="409"/>
      <c r="J744" s="515"/>
      <c r="K744" s="516"/>
      <c r="L744" s="516"/>
      <c r="M744" s="519"/>
      <c r="N744" s="520"/>
      <c r="O744" s="520"/>
      <c r="P744" s="520"/>
    </row>
    <row r="745" spans="1:16" ht="13">
      <c r="A745" s="426"/>
      <c r="B745" s="426"/>
      <c r="C745" s="417" t="s">
        <v>912</v>
      </c>
      <c r="D745" s="491">
        <v>0.16700000000000001</v>
      </c>
      <c r="E745" s="426" t="s">
        <v>14</v>
      </c>
      <c r="F745" s="409">
        <f>'[161]Civil-SOR'!$G$293</f>
        <v>580</v>
      </c>
      <c r="G745" s="410">
        <v>1</v>
      </c>
      <c r="H745" s="426" t="s">
        <v>572</v>
      </c>
      <c r="I745" s="408">
        <f t="shared" ref="I745:I748" si="111">IF(G745="",D745*F745,(D745*F745/G745))</f>
        <v>96.86</v>
      </c>
      <c r="J745" s="515"/>
      <c r="K745" s="516"/>
      <c r="L745" s="516"/>
      <c r="M745" s="519"/>
      <c r="N745" s="520"/>
      <c r="O745" s="520"/>
      <c r="P745" s="520"/>
    </row>
    <row r="746" spans="1:16" ht="13">
      <c r="A746" s="426"/>
      <c r="B746" s="426"/>
      <c r="C746" s="417" t="s">
        <v>913</v>
      </c>
      <c r="D746" s="491">
        <v>0.16700000000000001</v>
      </c>
      <c r="E746" s="426" t="s">
        <v>14</v>
      </c>
      <c r="F746" s="409">
        <f>'[161]Civil-SOR'!$G$302</f>
        <v>550</v>
      </c>
      <c r="G746" s="410">
        <v>1</v>
      </c>
      <c r="H746" s="426" t="str">
        <f>H745</f>
        <v>Each</v>
      </c>
      <c r="I746" s="408">
        <f t="shared" si="111"/>
        <v>91.850000000000009</v>
      </c>
      <c r="J746" s="515"/>
      <c r="K746" s="516"/>
      <c r="L746" s="516"/>
      <c r="M746" s="519"/>
      <c r="N746" s="520"/>
      <c r="O746" s="520"/>
      <c r="P746" s="520"/>
    </row>
    <row r="747" spans="1:16" ht="13">
      <c r="A747" s="426"/>
      <c r="B747" s="426"/>
      <c r="C747" s="417" t="s">
        <v>914</v>
      </c>
      <c r="D747" s="409">
        <v>5.6</v>
      </c>
      <c r="E747" s="426" t="s">
        <v>14</v>
      </c>
      <c r="F747" s="409">
        <f>'[161]Civil-SOR'!$G$307</f>
        <v>520</v>
      </c>
      <c r="G747" s="410">
        <v>1</v>
      </c>
      <c r="H747" s="426" t="str">
        <f>H745</f>
        <v>Each</v>
      </c>
      <c r="I747" s="408">
        <f t="shared" si="111"/>
        <v>2912</v>
      </c>
      <c r="J747" s="515"/>
      <c r="K747" s="516"/>
      <c r="L747" s="516"/>
      <c r="M747" s="519"/>
      <c r="N747" s="520"/>
      <c r="O747" s="520"/>
      <c r="P747" s="520"/>
    </row>
    <row r="748" spans="1:16" ht="13">
      <c r="A748" s="426"/>
      <c r="B748" s="426"/>
      <c r="C748" s="417" t="str">
        <f>[161]Input!$C$47</f>
        <v>Add for MA @ 40%</v>
      </c>
      <c r="D748" s="409">
        <f>[161]Input!$D$47</f>
        <v>0.4</v>
      </c>
      <c r="E748" s="426"/>
      <c r="F748" s="434">
        <f>SUM(I745:I747)</f>
        <v>3100.71</v>
      </c>
      <c r="G748" s="410"/>
      <c r="H748" s="426"/>
      <c r="I748" s="408">
        <f t="shared" si="111"/>
        <v>1240.2840000000001</v>
      </c>
      <c r="J748" s="515"/>
      <c r="K748" s="516"/>
      <c r="L748" s="516"/>
      <c r="M748" s="519"/>
      <c r="N748" s="520"/>
      <c r="O748" s="520"/>
      <c r="P748" s="520"/>
    </row>
    <row r="749" spans="1:16" ht="13">
      <c r="A749" s="426"/>
      <c r="B749" s="426"/>
      <c r="C749" s="427" t="s">
        <v>915</v>
      </c>
      <c r="D749" s="409"/>
      <c r="E749" s="426"/>
      <c r="F749" s="409"/>
      <c r="G749" s="410"/>
      <c r="H749" s="426"/>
      <c r="I749" s="408"/>
      <c r="J749" s="515"/>
      <c r="K749" s="516"/>
      <c r="L749" s="516"/>
      <c r="M749" s="519"/>
      <c r="N749" s="520"/>
      <c r="O749" s="520"/>
      <c r="P749" s="520"/>
    </row>
    <row r="750" spans="1:16" ht="13">
      <c r="A750" s="426"/>
      <c r="B750" s="426"/>
      <c r="C750" s="417" t="s">
        <v>916</v>
      </c>
      <c r="D750" s="491">
        <v>1.333</v>
      </c>
      <c r="E750" s="426" t="s">
        <v>796</v>
      </c>
      <c r="F750" s="409">
        <f>'[161]Civil-SOR'!$G$329</f>
        <v>265.79999999999995</v>
      </c>
      <c r="G750" s="410">
        <v>1</v>
      </c>
      <c r="H750" s="426" t="s">
        <v>826</v>
      </c>
      <c r="I750" s="408">
        <f t="shared" ref="I750:I755" si="112">IF(G750="",D750*F750,(D750*F750/G750))</f>
        <v>354.31139999999994</v>
      </c>
      <c r="J750" s="515"/>
      <c r="K750" s="516"/>
      <c r="L750" s="516"/>
      <c r="M750" s="519"/>
      <c r="N750" s="520"/>
      <c r="O750" s="520"/>
      <c r="P750" s="520"/>
    </row>
    <row r="751" spans="1:16" ht="13">
      <c r="A751" s="426"/>
      <c r="B751" s="426"/>
      <c r="C751" s="417" t="s">
        <v>828</v>
      </c>
      <c r="D751" s="491">
        <v>1.333</v>
      </c>
      <c r="E751" s="426" t="s">
        <v>796</v>
      </c>
      <c r="F751" s="409">
        <f>'[161]Civil-SOR'!$J$329</f>
        <v>454.8</v>
      </c>
      <c r="G751" s="410">
        <v>1</v>
      </c>
      <c r="H751" s="426" t="s">
        <v>826</v>
      </c>
      <c r="I751" s="408">
        <f t="shared" si="112"/>
        <v>606.24839999999995</v>
      </c>
      <c r="J751" s="515"/>
      <c r="K751" s="516"/>
      <c r="L751" s="516"/>
      <c r="M751" s="519"/>
      <c r="N751" s="520"/>
      <c r="O751" s="520"/>
      <c r="P751" s="520"/>
    </row>
    <row r="752" spans="1:16" ht="13">
      <c r="A752" s="426"/>
      <c r="B752" s="426"/>
      <c r="C752" s="417" t="s">
        <v>917</v>
      </c>
      <c r="D752" s="491">
        <v>1.333</v>
      </c>
      <c r="E752" s="426" t="s">
        <v>796</v>
      </c>
      <c r="F752" s="409">
        <f>'[161]Civil-SOR'!$G$332</f>
        <v>36.5</v>
      </c>
      <c r="G752" s="410">
        <v>1</v>
      </c>
      <c r="H752" s="426" t="s">
        <v>826</v>
      </c>
      <c r="I752" s="408">
        <f t="shared" si="112"/>
        <v>48.654499999999999</v>
      </c>
      <c r="J752" s="515"/>
      <c r="K752" s="516"/>
      <c r="L752" s="516"/>
      <c r="M752" s="519"/>
      <c r="N752" s="520"/>
      <c r="O752" s="520"/>
      <c r="P752" s="520"/>
    </row>
    <row r="753" spans="1:16" ht="13">
      <c r="A753" s="426"/>
      <c r="B753" s="426"/>
      <c r="C753" s="417" t="s">
        <v>828</v>
      </c>
      <c r="D753" s="491">
        <v>1.333</v>
      </c>
      <c r="E753" s="426" t="s">
        <v>796</v>
      </c>
      <c r="F753" s="409">
        <f>'[161]Civil-SOR'!$J$332</f>
        <v>218</v>
      </c>
      <c r="G753" s="410">
        <v>1</v>
      </c>
      <c r="H753" s="426" t="s">
        <v>826</v>
      </c>
      <c r="I753" s="408">
        <f t="shared" si="112"/>
        <v>290.59399999999999</v>
      </c>
      <c r="J753" s="515"/>
      <c r="K753" s="516"/>
      <c r="L753" s="516"/>
      <c r="M753" s="519"/>
      <c r="N753" s="520"/>
      <c r="O753" s="520"/>
      <c r="P753" s="520"/>
    </row>
    <row r="754" spans="1:16" ht="13">
      <c r="A754" s="426"/>
      <c r="B754" s="426"/>
      <c r="C754" s="417" t="s">
        <v>799</v>
      </c>
      <c r="D754" s="409">
        <f>[161]Input!$D$47</f>
        <v>0.4</v>
      </c>
      <c r="E754" s="426"/>
      <c r="F754" s="409">
        <f>I751+I753</f>
        <v>896.8424</v>
      </c>
      <c r="G754" s="410"/>
      <c r="H754" s="426"/>
      <c r="I754" s="408">
        <f t="shared" si="112"/>
        <v>358.73696000000001</v>
      </c>
      <c r="J754" s="515"/>
      <c r="K754" s="516"/>
      <c r="L754" s="516"/>
      <c r="M754" s="519"/>
      <c r="N754" s="520"/>
      <c r="O754" s="520"/>
      <c r="P754" s="520"/>
    </row>
    <row r="755" spans="1:16" ht="13">
      <c r="A755" s="426"/>
      <c r="B755" s="426"/>
      <c r="C755" s="417" t="s">
        <v>918</v>
      </c>
      <c r="D755" s="408">
        <v>1.2</v>
      </c>
      <c r="E755" s="408" t="s">
        <v>877</v>
      </c>
      <c r="F755" s="408">
        <f>[161]Input!$D$53</f>
        <v>108</v>
      </c>
      <c r="G755" s="430">
        <v>1</v>
      </c>
      <c r="H755" s="456" t="str">
        <f>IF(E755="","",IF(E755="No.","Each",IF(E755="Nos.","Each",E755)))</f>
        <v>kl</v>
      </c>
      <c r="I755" s="408">
        <f t="shared" si="112"/>
        <v>129.6</v>
      </c>
      <c r="J755" s="515"/>
      <c r="K755" s="516"/>
      <c r="L755" s="516"/>
      <c r="M755" s="519"/>
      <c r="N755" s="520"/>
      <c r="O755" s="520"/>
      <c r="P755" s="520"/>
    </row>
    <row r="756" spans="1:16" ht="13">
      <c r="A756" s="426"/>
      <c r="B756" s="426"/>
      <c r="C756" s="427" t="s">
        <v>724</v>
      </c>
      <c r="D756" s="426"/>
      <c r="E756" s="426"/>
      <c r="F756" s="426"/>
      <c r="G756" s="492"/>
      <c r="H756" s="426"/>
      <c r="I756" s="434">
        <f>SUM(I741:I755)</f>
        <v>10165.071260000002</v>
      </c>
      <c r="J756" s="515"/>
      <c r="K756" s="516"/>
      <c r="L756" s="516"/>
      <c r="M756" s="519"/>
      <c r="N756" s="520"/>
      <c r="O756" s="520"/>
      <c r="P756" s="520"/>
    </row>
    <row r="757" spans="1:16" ht="13">
      <c r="A757" s="426"/>
      <c r="B757" s="426"/>
      <c r="C757" s="427"/>
      <c r="D757" s="426"/>
      <c r="E757" s="426"/>
      <c r="F757" s="426"/>
      <c r="G757" s="492"/>
      <c r="H757" s="426"/>
      <c r="I757" s="434"/>
      <c r="J757" s="515"/>
      <c r="K757" s="516"/>
      <c r="L757" s="516"/>
      <c r="M757" s="519"/>
      <c r="N757" s="520"/>
      <c r="O757" s="520"/>
      <c r="P757" s="520"/>
    </row>
    <row r="758" spans="1:16" ht="13">
      <c r="A758" s="426"/>
      <c r="B758" s="474" t="s">
        <v>965</v>
      </c>
      <c r="C758" s="427" t="s">
        <v>966</v>
      </c>
      <c r="D758" s="426"/>
      <c r="E758" s="426"/>
      <c r="F758" s="426"/>
      <c r="G758" s="492"/>
      <c r="H758" s="426"/>
      <c r="I758" s="434"/>
      <c r="J758" s="515"/>
      <c r="K758" s="516"/>
      <c r="L758" s="516"/>
      <c r="M758" s="519"/>
      <c r="N758" s="520"/>
      <c r="O758" s="520"/>
      <c r="P758" s="520"/>
    </row>
    <row r="759" spans="1:16" ht="26">
      <c r="A759" s="426"/>
      <c r="B759" s="426"/>
      <c r="C759" s="427" t="s">
        <v>967</v>
      </c>
      <c r="D759" s="426"/>
      <c r="E759" s="426"/>
      <c r="F759" s="426"/>
      <c r="G759" s="492"/>
      <c r="H759" s="426"/>
      <c r="I759" s="434"/>
      <c r="J759" s="515"/>
      <c r="K759" s="516"/>
      <c r="L759" s="516"/>
      <c r="M759" s="519"/>
      <c r="N759" s="520"/>
      <c r="O759" s="520"/>
      <c r="P759" s="520"/>
    </row>
    <row r="760" spans="1:16" ht="13">
      <c r="A760" s="426"/>
      <c r="B760" s="474" t="s">
        <v>752</v>
      </c>
      <c r="C760" s="451" t="s">
        <v>952</v>
      </c>
      <c r="D760" s="1303" t="s">
        <v>959</v>
      </c>
      <c r="E760" s="1283" t="s">
        <v>943</v>
      </c>
      <c r="F760" s="1308" t="s">
        <v>944</v>
      </c>
      <c r="G760" s="1308" t="s">
        <v>945</v>
      </c>
      <c r="H760" s="1308" t="s">
        <v>946</v>
      </c>
      <c r="I760" s="1309" t="s">
        <v>947</v>
      </c>
      <c r="J760" s="515"/>
      <c r="K760" s="516"/>
      <c r="L760" s="516"/>
      <c r="M760" s="519"/>
      <c r="N760" s="520"/>
      <c r="O760" s="520"/>
      <c r="P760" s="520"/>
    </row>
    <row r="761" spans="1:16" ht="13">
      <c r="A761" s="426"/>
      <c r="B761" s="426"/>
      <c r="C761" s="427" t="s">
        <v>953</v>
      </c>
      <c r="D761" s="1303"/>
      <c r="E761" s="1283"/>
      <c r="F761" s="1308"/>
      <c r="G761" s="1308"/>
      <c r="H761" s="1308"/>
      <c r="I761" s="1309"/>
      <c r="J761" s="515"/>
      <c r="K761" s="516"/>
      <c r="L761" s="516"/>
      <c r="M761" s="519"/>
      <c r="N761" s="520"/>
      <c r="O761" s="520"/>
      <c r="P761" s="520"/>
    </row>
    <row r="762" spans="1:16" ht="13">
      <c r="A762" s="426"/>
      <c r="B762" s="426"/>
      <c r="C762" s="417" t="s">
        <v>954</v>
      </c>
      <c r="D762" s="409">
        <f t="shared" ref="D762:I762" si="113">$I$756</f>
        <v>10165.071260000002</v>
      </c>
      <c r="E762" s="409">
        <f t="shared" si="113"/>
        <v>10165.071260000002</v>
      </c>
      <c r="F762" s="409">
        <f t="shared" si="113"/>
        <v>10165.071260000002</v>
      </c>
      <c r="G762" s="409">
        <f t="shared" si="113"/>
        <v>10165.071260000002</v>
      </c>
      <c r="H762" s="409">
        <f t="shared" si="113"/>
        <v>10165.071260000002</v>
      </c>
      <c r="I762" s="409">
        <f t="shared" si="113"/>
        <v>10165.071260000002</v>
      </c>
      <c r="J762" s="515"/>
      <c r="K762" s="516"/>
      <c r="L762" s="516"/>
      <c r="M762" s="519"/>
      <c r="N762" s="520"/>
      <c r="O762" s="520"/>
      <c r="P762" s="520"/>
    </row>
    <row r="763" spans="1:16" ht="13">
      <c r="A763" s="426"/>
      <c r="B763" s="426"/>
      <c r="C763" s="417" t="s">
        <v>921</v>
      </c>
      <c r="D763" s="409">
        <f>'[161]Civil-SOR'!$F$267</f>
        <v>400</v>
      </c>
      <c r="E763" s="409">
        <f>'[161]Civil-SOR'!$F$267</f>
        <v>400</v>
      </c>
      <c r="F763" s="409">
        <f>'[161]Civil-SOR'!$F$267</f>
        <v>400</v>
      </c>
      <c r="G763" s="409">
        <f>'[161]Civil-SOR'!$F$267</f>
        <v>400</v>
      </c>
      <c r="H763" s="409">
        <f>'[161]Civil-SOR'!$F$267</f>
        <v>400</v>
      </c>
      <c r="I763" s="409">
        <f>'[161]Civil-SOR'!$F$267</f>
        <v>400</v>
      </c>
      <c r="J763" s="515"/>
      <c r="K763" s="516"/>
      <c r="L763" s="516"/>
      <c r="M763" s="519"/>
      <c r="N763" s="520"/>
      <c r="O763" s="520"/>
      <c r="P763" s="520"/>
    </row>
    <row r="764" spans="1:16" ht="13">
      <c r="A764" s="426"/>
      <c r="B764" s="426"/>
      <c r="C764" s="417" t="s">
        <v>926</v>
      </c>
      <c r="D764" s="408">
        <f>'[161]Civil-SOR'!$G$267</f>
        <v>2732</v>
      </c>
      <c r="E764" s="408">
        <f>'[161]Civil-SOR'!$H$267</f>
        <v>3005</v>
      </c>
      <c r="F764" s="408">
        <f>'[161]Civil-SOR'!$I$267</f>
        <v>3278</v>
      </c>
      <c r="G764" s="408">
        <f>'[161]Civil-SOR'!$J$267</f>
        <v>3552</v>
      </c>
      <c r="H764" s="408">
        <f>'[161]Civil-SOR'!$K$267</f>
        <v>3825</v>
      </c>
      <c r="I764" s="408">
        <f>'[161]Civil-SOR'!$L$267</f>
        <v>4098</v>
      </c>
      <c r="J764" s="515"/>
      <c r="K764" s="516"/>
      <c r="L764" s="516"/>
      <c r="M764" s="519"/>
      <c r="N764" s="520"/>
      <c r="O764" s="520"/>
      <c r="P764" s="520"/>
    </row>
    <row r="765" spans="1:16" ht="13">
      <c r="A765" s="426"/>
      <c r="B765" s="426"/>
      <c r="C765" s="417" t="str">
        <f>[161]Input!$C$47</f>
        <v>Add for MA @ 40%</v>
      </c>
      <c r="D765" s="408">
        <f>D764*[161]Input!$D$47</f>
        <v>1092.8</v>
      </c>
      <c r="E765" s="408">
        <f>E764*[161]Input!$D$47</f>
        <v>1202</v>
      </c>
      <c r="F765" s="408">
        <f>F764*[161]Input!$D$47</f>
        <v>1311.2</v>
      </c>
      <c r="G765" s="408">
        <f>G764*[161]Input!$D$47</f>
        <v>1420.8000000000002</v>
      </c>
      <c r="H765" s="408">
        <f>H764*[161]Input!$D$47</f>
        <v>1530</v>
      </c>
      <c r="I765" s="408">
        <f>I764*[161]Input!$D$47</f>
        <v>1639.2</v>
      </c>
      <c r="J765" s="515"/>
      <c r="K765" s="516"/>
      <c r="L765" s="516"/>
      <c r="M765" s="519"/>
      <c r="N765" s="520"/>
      <c r="O765" s="520"/>
      <c r="P765" s="520"/>
    </row>
    <row r="766" spans="1:16" ht="13">
      <c r="A766" s="426"/>
      <c r="B766" s="426"/>
      <c r="C766" s="417" t="s">
        <v>956</v>
      </c>
      <c r="D766" s="409">
        <v>0</v>
      </c>
      <c r="E766" s="409">
        <f>$F$748*0.1</f>
        <v>310.07100000000003</v>
      </c>
      <c r="F766" s="409">
        <f>$F$748*0.2</f>
        <v>620.14200000000005</v>
      </c>
      <c r="G766" s="409">
        <f>$F$748*0.3</f>
        <v>930.21299999999997</v>
      </c>
      <c r="H766" s="409">
        <f>$F$748*0.4</f>
        <v>1240.2840000000001</v>
      </c>
      <c r="I766" s="409">
        <f>$F$748*0.5</f>
        <v>1550.355</v>
      </c>
      <c r="J766" s="515"/>
      <c r="K766" s="516"/>
      <c r="L766" s="516"/>
      <c r="M766" s="519"/>
      <c r="N766" s="520"/>
      <c r="O766" s="520"/>
      <c r="P766" s="520"/>
    </row>
    <row r="767" spans="1:16" ht="13">
      <c r="A767" s="426"/>
      <c r="B767" s="426"/>
      <c r="C767" s="417" t="str">
        <f>[161]Input!$C$47</f>
        <v>Add for MA @ 40%</v>
      </c>
      <c r="D767" s="409">
        <v>0</v>
      </c>
      <c r="E767" s="409">
        <f>ROUND(E766*[161]Input!$D$47,2)</f>
        <v>124.03</v>
      </c>
      <c r="F767" s="409">
        <f>ROUND(F766*[161]Input!$D$47,2)</f>
        <v>248.06</v>
      </c>
      <c r="G767" s="409">
        <f>ROUND(G766*[161]Input!$D$47,2)</f>
        <v>372.09</v>
      </c>
      <c r="H767" s="409">
        <f>ROUND(H766*[161]Input!$D$47,2)</f>
        <v>496.11</v>
      </c>
      <c r="I767" s="409">
        <f>ROUND(I766*[161]Input!$D$47,2)</f>
        <v>620.14</v>
      </c>
      <c r="J767" s="515"/>
      <c r="K767" s="516"/>
      <c r="L767" s="516"/>
      <c r="M767" s="519"/>
      <c r="N767" s="520"/>
      <c r="O767" s="520"/>
      <c r="P767" s="520"/>
    </row>
    <row r="768" spans="1:16" ht="13">
      <c r="A768" s="426"/>
      <c r="B768" s="426"/>
      <c r="C768" s="427" t="s">
        <v>724</v>
      </c>
      <c r="D768" s="409">
        <f t="shared" ref="D768:I768" si="114">SUM(D762:D767)</f>
        <v>14389.871260000002</v>
      </c>
      <c r="E768" s="409">
        <f t="shared" si="114"/>
        <v>15206.172260000003</v>
      </c>
      <c r="F768" s="409">
        <f t="shared" si="114"/>
        <v>16022.473260000002</v>
      </c>
      <c r="G768" s="409">
        <f t="shared" si="114"/>
        <v>16840.174260000003</v>
      </c>
      <c r="H768" s="409">
        <f t="shared" si="114"/>
        <v>17656.465260000004</v>
      </c>
      <c r="I768" s="409">
        <f t="shared" si="114"/>
        <v>18472.766260000004</v>
      </c>
      <c r="J768" s="515"/>
      <c r="K768" s="516"/>
      <c r="L768" s="516"/>
      <c r="M768" s="519"/>
      <c r="N768" s="520"/>
      <c r="O768" s="520"/>
      <c r="P768" s="520"/>
    </row>
    <row r="769" spans="1:16" ht="25">
      <c r="A769" s="426"/>
      <c r="B769" s="426"/>
      <c r="C769" s="417" t="str">
        <f>[161]Input!$C$48</f>
        <v>Overheads &amp; Contractors Profit @ 13.615%</v>
      </c>
      <c r="D769" s="409">
        <f>ROUND(D768*[161]Input!$D$48,2)</f>
        <v>1959.18</v>
      </c>
      <c r="E769" s="409">
        <f>ROUND(E768*[161]Input!$D$48,2)</f>
        <v>2070.3200000000002</v>
      </c>
      <c r="F769" s="409">
        <f>ROUND(F768*[161]Input!$D$48,2)</f>
        <v>2181.46</v>
      </c>
      <c r="G769" s="409">
        <f>ROUND(G768*[161]Input!$D$48,2)</f>
        <v>2292.79</v>
      </c>
      <c r="H769" s="409">
        <f>ROUND(H768*[161]Input!$D$48,2)</f>
        <v>2403.9299999999998</v>
      </c>
      <c r="I769" s="409">
        <f>ROUND(I768*[161]Input!$D$48,2)</f>
        <v>2515.0700000000002</v>
      </c>
      <c r="J769" s="515"/>
      <c r="K769" s="516"/>
      <c r="L769" s="516"/>
      <c r="M769" s="519"/>
      <c r="N769" s="520"/>
      <c r="O769" s="520"/>
      <c r="P769" s="520"/>
    </row>
    <row r="770" spans="1:16" ht="13">
      <c r="A770" s="426"/>
      <c r="B770" s="426"/>
      <c r="C770" s="451" t="s">
        <v>724</v>
      </c>
      <c r="D770" s="409">
        <f t="shared" ref="D770:I770" si="115">SUM(D768:D769)</f>
        <v>16349.051260000002</v>
      </c>
      <c r="E770" s="409">
        <f t="shared" si="115"/>
        <v>17276.492260000003</v>
      </c>
      <c r="F770" s="409">
        <f t="shared" si="115"/>
        <v>18203.933260000002</v>
      </c>
      <c r="G770" s="409">
        <f t="shared" si="115"/>
        <v>19132.964260000004</v>
      </c>
      <c r="H770" s="409">
        <f t="shared" si="115"/>
        <v>20060.395260000005</v>
      </c>
      <c r="I770" s="409">
        <f t="shared" si="115"/>
        <v>20987.836260000004</v>
      </c>
      <c r="J770" s="515"/>
      <c r="K770" s="516"/>
      <c r="L770" s="516"/>
      <c r="M770" s="519"/>
      <c r="N770" s="520"/>
      <c r="O770" s="520"/>
      <c r="P770" s="520"/>
    </row>
    <row r="771" spans="1:16" ht="13">
      <c r="A771" s="426"/>
      <c r="B771" s="426"/>
      <c r="C771" s="514" t="s">
        <v>726</v>
      </c>
      <c r="D771" s="416">
        <f t="shared" ref="D771:I771" si="116">ROUND(D770,0)</f>
        <v>16349</v>
      </c>
      <c r="E771" s="416">
        <f t="shared" si="116"/>
        <v>17276</v>
      </c>
      <c r="F771" s="416">
        <f t="shared" si="116"/>
        <v>18204</v>
      </c>
      <c r="G771" s="416">
        <f t="shared" si="116"/>
        <v>19133</v>
      </c>
      <c r="H771" s="416">
        <f t="shared" si="116"/>
        <v>20060</v>
      </c>
      <c r="I771" s="416">
        <f t="shared" si="116"/>
        <v>20988</v>
      </c>
      <c r="J771" s="515"/>
      <c r="K771" s="516"/>
      <c r="L771" s="516"/>
      <c r="M771" s="519"/>
      <c r="N771" s="520"/>
      <c r="O771" s="520"/>
      <c r="P771" s="520"/>
    </row>
    <row r="772" spans="1:16" ht="13">
      <c r="A772" s="426"/>
      <c r="B772" s="426"/>
      <c r="C772" s="427"/>
      <c r="D772" s="426"/>
      <c r="E772" s="426"/>
      <c r="F772" s="426"/>
      <c r="G772" s="492"/>
      <c r="H772" s="426"/>
      <c r="I772" s="434"/>
      <c r="J772" s="515"/>
      <c r="K772" s="516"/>
      <c r="L772" s="516"/>
      <c r="M772" s="519"/>
      <c r="N772" s="520"/>
      <c r="O772" s="520"/>
      <c r="P772" s="520"/>
    </row>
    <row r="773" spans="1:16" ht="13">
      <c r="A773" s="426"/>
      <c r="B773" s="474" t="s">
        <v>968</v>
      </c>
      <c r="C773" s="451" t="s">
        <v>958</v>
      </c>
      <c r="D773" s="1303" t="s">
        <v>959</v>
      </c>
      <c r="E773" s="1283" t="s">
        <v>943</v>
      </c>
      <c r="F773" s="1308" t="s">
        <v>944</v>
      </c>
      <c r="G773" s="1308" t="s">
        <v>945</v>
      </c>
      <c r="H773" s="1308" t="s">
        <v>946</v>
      </c>
      <c r="I773" s="1309" t="s">
        <v>947</v>
      </c>
      <c r="J773" s="517"/>
      <c r="K773" s="518"/>
      <c r="L773" s="516"/>
      <c r="M773" s="519"/>
      <c r="N773" s="520"/>
      <c r="O773" s="520"/>
      <c r="P773" s="520"/>
    </row>
    <row r="774" spans="1:16" ht="13">
      <c r="A774" s="426"/>
      <c r="B774" s="426"/>
      <c r="C774" s="427" t="s">
        <v>953</v>
      </c>
      <c r="D774" s="1303"/>
      <c r="E774" s="1283"/>
      <c r="F774" s="1308"/>
      <c r="G774" s="1308"/>
      <c r="H774" s="1308"/>
      <c r="I774" s="1309"/>
      <c r="J774" s="517"/>
      <c r="K774" s="518"/>
      <c r="L774" s="516"/>
      <c r="M774" s="519"/>
      <c r="N774" s="520"/>
      <c r="O774" s="520"/>
      <c r="P774" s="520"/>
    </row>
    <row r="775" spans="1:16" ht="13">
      <c r="A775" s="426"/>
      <c r="B775" s="426"/>
      <c r="C775" s="417" t="s">
        <v>954</v>
      </c>
      <c r="D775" s="409">
        <f t="shared" ref="D775:I775" si="117">$I$667</f>
        <v>10165.071260000002</v>
      </c>
      <c r="E775" s="409">
        <f t="shared" si="117"/>
        <v>10165.071260000002</v>
      </c>
      <c r="F775" s="409">
        <f t="shared" si="117"/>
        <v>10165.071260000002</v>
      </c>
      <c r="G775" s="409">
        <f t="shared" si="117"/>
        <v>10165.071260000002</v>
      </c>
      <c r="H775" s="409">
        <f t="shared" si="117"/>
        <v>10165.071260000002</v>
      </c>
      <c r="I775" s="409">
        <f t="shared" si="117"/>
        <v>10165.071260000002</v>
      </c>
      <c r="J775" s="517"/>
      <c r="K775" s="518"/>
      <c r="L775" s="516"/>
      <c r="M775" s="519"/>
      <c r="N775" s="520"/>
      <c r="O775" s="520"/>
      <c r="P775" s="520"/>
    </row>
    <row r="776" spans="1:16" ht="13">
      <c r="A776" s="426"/>
      <c r="B776" s="426"/>
      <c r="C776" s="417" t="s">
        <v>921</v>
      </c>
      <c r="D776" s="409">
        <f>'[161]Civil-SOR'!$F$267</f>
        <v>400</v>
      </c>
      <c r="E776" s="409">
        <f>+D776</f>
        <v>400</v>
      </c>
      <c r="F776" s="409">
        <f>+E776</f>
        <v>400</v>
      </c>
      <c r="G776" s="409">
        <f>+F776</f>
        <v>400</v>
      </c>
      <c r="H776" s="409">
        <f>+G776</f>
        <v>400</v>
      </c>
      <c r="I776" s="409">
        <f>+H776</f>
        <v>400</v>
      </c>
      <c r="J776" s="517"/>
      <c r="K776" s="518"/>
      <c r="L776" s="516"/>
      <c r="M776" s="519"/>
      <c r="N776" s="520"/>
      <c r="O776" s="520"/>
      <c r="P776" s="520"/>
    </row>
    <row r="777" spans="1:16" ht="13">
      <c r="A777" s="426"/>
      <c r="B777" s="426"/>
      <c r="C777" s="417" t="s">
        <v>926</v>
      </c>
      <c r="D777" s="408">
        <f>'[161]Civil-SOR'!$G$267</f>
        <v>2732</v>
      </c>
      <c r="E777" s="408">
        <f>'[161]Civil-SOR'!$H$267</f>
        <v>3005</v>
      </c>
      <c r="F777" s="408">
        <f>'[161]Civil-SOR'!$I$267</f>
        <v>3278</v>
      </c>
      <c r="G777" s="408">
        <f>'[161]Civil-SOR'!$J$267</f>
        <v>3552</v>
      </c>
      <c r="H777" s="408">
        <f>'[161]Civil-SOR'!$K$267</f>
        <v>3825</v>
      </c>
      <c r="I777" s="408">
        <f>'[161]Civil-SOR'!$L$267</f>
        <v>4098</v>
      </c>
      <c r="J777" s="517"/>
      <c r="K777" s="518"/>
      <c r="L777" s="516"/>
      <c r="M777" s="519"/>
      <c r="N777" s="520"/>
      <c r="O777" s="520"/>
      <c r="P777" s="520"/>
    </row>
    <row r="778" spans="1:16" ht="13">
      <c r="A778" s="426"/>
      <c r="B778" s="426"/>
      <c r="C778" s="417" t="str">
        <f>[161]Input!$C$47</f>
        <v>Add for MA @ 40%</v>
      </c>
      <c r="D778" s="408">
        <f>D777*[161]Input!$D$47</f>
        <v>1092.8</v>
      </c>
      <c r="E778" s="408">
        <f>E777*[161]Input!$D$47</f>
        <v>1202</v>
      </c>
      <c r="F778" s="408">
        <f>F777*[161]Input!$D$47</f>
        <v>1311.2</v>
      </c>
      <c r="G778" s="408">
        <f>G777*[161]Input!$D$47</f>
        <v>1420.8000000000002</v>
      </c>
      <c r="H778" s="408">
        <f>H777*[161]Input!$D$47</f>
        <v>1530</v>
      </c>
      <c r="I778" s="408">
        <f>I777*[161]Input!$D$47</f>
        <v>1639.2</v>
      </c>
      <c r="J778" s="517"/>
      <c r="K778" s="518"/>
      <c r="L778" s="516"/>
      <c r="M778" s="519"/>
      <c r="N778" s="520"/>
      <c r="O778" s="520"/>
      <c r="P778" s="520"/>
    </row>
    <row r="779" spans="1:16" ht="37.5">
      <c r="A779" s="426"/>
      <c r="B779" s="426"/>
      <c r="C779" s="417" t="s">
        <v>969</v>
      </c>
      <c r="D779" s="409">
        <v>0</v>
      </c>
      <c r="E779" s="409">
        <f>1.333*'[161]Civil-SOR'!$G$334</f>
        <v>504.80710000000005</v>
      </c>
      <c r="F779" s="409">
        <f t="shared" ref="F779:F780" si="118">E779*1.1</f>
        <v>555.28781000000015</v>
      </c>
      <c r="G779" s="409">
        <f t="shared" ref="G779:G780" si="119">E779*1.2</f>
        <v>605.76852000000008</v>
      </c>
      <c r="H779" s="409">
        <f t="shared" ref="H779:H780" si="120">E779*1.3</f>
        <v>656.24923000000013</v>
      </c>
      <c r="I779" s="409">
        <f t="shared" ref="I779:I780" si="121">E779*1.4</f>
        <v>706.72994000000006</v>
      </c>
      <c r="J779" s="517"/>
      <c r="K779" s="518"/>
      <c r="L779" s="516"/>
      <c r="M779" s="519"/>
      <c r="N779" s="520"/>
      <c r="O779" s="520"/>
      <c r="P779" s="520"/>
    </row>
    <row r="780" spans="1:16" ht="25">
      <c r="A780" s="426"/>
      <c r="B780" s="426"/>
      <c r="C780" s="417" t="s">
        <v>961</v>
      </c>
      <c r="D780" s="409">
        <v>0</v>
      </c>
      <c r="E780" s="409">
        <f>1.333*'[161]Civil-SOR'!$J$334</f>
        <v>480.41319999999996</v>
      </c>
      <c r="F780" s="409">
        <f t="shared" si="118"/>
        <v>528.45452</v>
      </c>
      <c r="G780" s="409">
        <f t="shared" si="119"/>
        <v>576.49583999999993</v>
      </c>
      <c r="H780" s="409">
        <f t="shared" si="120"/>
        <v>624.53715999999997</v>
      </c>
      <c r="I780" s="409">
        <f t="shared" si="121"/>
        <v>672.5784799999999</v>
      </c>
      <c r="J780" s="517"/>
      <c r="K780" s="518"/>
      <c r="L780" s="516"/>
      <c r="M780" s="519"/>
      <c r="N780" s="520"/>
      <c r="O780" s="520"/>
      <c r="P780" s="520"/>
    </row>
    <row r="781" spans="1:16" ht="13">
      <c r="A781" s="426"/>
      <c r="B781" s="426"/>
      <c r="C781" s="417" t="str">
        <f>[161]Input!$C$47</f>
        <v>Add for MA @ 40%</v>
      </c>
      <c r="D781" s="409">
        <v>0</v>
      </c>
      <c r="E781" s="409">
        <f>ROUND(E780*[161]Input!$D$47,2)</f>
        <v>192.17</v>
      </c>
      <c r="F781" s="409">
        <f>ROUND(F780*[161]Input!$D$47,2)</f>
        <v>211.38</v>
      </c>
      <c r="G781" s="409">
        <f>ROUND(G780*[161]Input!$D$47,2)</f>
        <v>230.6</v>
      </c>
      <c r="H781" s="409">
        <f>ROUND(H780*[161]Input!$D$47,2)</f>
        <v>249.81</v>
      </c>
      <c r="I781" s="409">
        <f>ROUND(I780*[161]Input!$D$47,2)</f>
        <v>269.02999999999997</v>
      </c>
      <c r="J781" s="517"/>
      <c r="K781" s="518"/>
      <c r="L781" s="516"/>
      <c r="M781" s="519"/>
      <c r="N781" s="520"/>
      <c r="O781" s="520"/>
      <c r="P781" s="520"/>
    </row>
    <row r="782" spans="1:16" ht="13">
      <c r="A782" s="426"/>
      <c r="B782" s="426"/>
      <c r="C782" s="427" t="s">
        <v>724</v>
      </c>
      <c r="D782" s="409">
        <f t="shared" ref="D782:I782" si="122">SUM(D775:D781)</f>
        <v>14389.871260000002</v>
      </c>
      <c r="E782" s="409">
        <f t="shared" si="122"/>
        <v>15949.461560000002</v>
      </c>
      <c r="F782" s="409">
        <f t="shared" si="122"/>
        <v>16449.393590000003</v>
      </c>
      <c r="G782" s="409">
        <f t="shared" si="122"/>
        <v>16950.735620000003</v>
      </c>
      <c r="H782" s="409">
        <f t="shared" si="122"/>
        <v>17450.667650000003</v>
      </c>
      <c r="I782" s="409">
        <f t="shared" si="122"/>
        <v>17950.609680000001</v>
      </c>
      <c r="J782" s="517"/>
      <c r="K782" s="518"/>
      <c r="L782" s="516"/>
      <c r="M782" s="519"/>
      <c r="N782" s="520"/>
      <c r="O782" s="520"/>
      <c r="P782" s="520"/>
    </row>
    <row r="783" spans="1:16" ht="25">
      <c r="A783" s="426"/>
      <c r="B783" s="426"/>
      <c r="C783" s="417" t="str">
        <f>[161]Input!$C$48</f>
        <v>Overheads &amp; Contractors Profit @ 13.615%</v>
      </c>
      <c r="D783" s="409">
        <f>ROUND(D782*[161]Input!$D$48,2)</f>
        <v>1959.18</v>
      </c>
      <c r="E783" s="409">
        <f>ROUND(E782*[161]Input!$D$48,2)</f>
        <v>2171.52</v>
      </c>
      <c r="F783" s="409">
        <f>ROUND(F782*[161]Input!$D$48,2)</f>
        <v>2239.58</v>
      </c>
      <c r="G783" s="409">
        <f>ROUND(G782*[161]Input!$D$48,2)</f>
        <v>2307.84</v>
      </c>
      <c r="H783" s="409">
        <f>ROUND(H782*[161]Input!$D$48,2)</f>
        <v>2375.91</v>
      </c>
      <c r="I783" s="409">
        <f>ROUND(I782*[161]Input!$D$48,2)</f>
        <v>2443.98</v>
      </c>
      <c r="J783" s="517"/>
      <c r="K783" s="518"/>
      <c r="L783" s="516"/>
      <c r="M783" s="519"/>
      <c r="N783" s="520"/>
      <c r="O783" s="520"/>
      <c r="P783" s="520"/>
    </row>
    <row r="784" spans="1:16" ht="13">
      <c r="A784" s="426"/>
      <c r="B784" s="426"/>
      <c r="C784" s="451" t="s">
        <v>724</v>
      </c>
      <c r="D784" s="409">
        <f t="shared" ref="D784:I784" si="123">SUM(D782:D783)</f>
        <v>16349.051260000002</v>
      </c>
      <c r="E784" s="409">
        <f t="shared" si="123"/>
        <v>18120.98156</v>
      </c>
      <c r="F784" s="409">
        <f t="shared" si="123"/>
        <v>18688.973590000001</v>
      </c>
      <c r="G784" s="409">
        <f t="shared" si="123"/>
        <v>19258.575620000003</v>
      </c>
      <c r="H784" s="409">
        <f t="shared" si="123"/>
        <v>19826.577650000003</v>
      </c>
      <c r="I784" s="409">
        <f t="shared" si="123"/>
        <v>20394.589680000001</v>
      </c>
      <c r="J784" s="517"/>
      <c r="K784" s="518"/>
      <c r="L784" s="516"/>
      <c r="M784" s="519"/>
      <c r="N784" s="520"/>
      <c r="O784" s="520"/>
      <c r="P784" s="520"/>
    </row>
    <row r="785" spans="1:16" ht="13">
      <c r="A785" s="426"/>
      <c r="B785" s="426"/>
      <c r="C785" s="514" t="s">
        <v>726</v>
      </c>
      <c r="D785" s="416">
        <f t="shared" ref="D785:I785" si="124">ROUND(D784,0)</f>
        <v>16349</v>
      </c>
      <c r="E785" s="416">
        <f t="shared" si="124"/>
        <v>18121</v>
      </c>
      <c r="F785" s="416">
        <f t="shared" si="124"/>
        <v>18689</v>
      </c>
      <c r="G785" s="416">
        <f t="shared" si="124"/>
        <v>19259</v>
      </c>
      <c r="H785" s="416">
        <f t="shared" si="124"/>
        <v>19827</v>
      </c>
      <c r="I785" s="416">
        <f t="shared" si="124"/>
        <v>20395</v>
      </c>
      <c r="J785" s="517"/>
      <c r="K785" s="518"/>
      <c r="L785" s="516"/>
      <c r="M785" s="519"/>
      <c r="N785" s="520"/>
      <c r="O785" s="520"/>
      <c r="P785" s="520"/>
    </row>
    <row r="786" spans="1:16" ht="13">
      <c r="A786" s="426"/>
      <c r="B786" s="426"/>
      <c r="C786" s="427"/>
      <c r="D786" s="426"/>
      <c r="E786" s="426"/>
      <c r="F786" s="426"/>
      <c r="G786" s="492"/>
      <c r="H786" s="426"/>
      <c r="I786" s="434"/>
      <c r="J786" s="515"/>
      <c r="K786" s="516"/>
      <c r="L786" s="516"/>
      <c r="M786" s="519"/>
      <c r="N786" s="520"/>
      <c r="O786" s="520"/>
      <c r="P786" s="520"/>
    </row>
    <row r="787" spans="1:16" ht="26">
      <c r="A787" s="426"/>
      <c r="B787" s="426"/>
      <c r="C787" s="427" t="s">
        <v>970</v>
      </c>
      <c r="D787" s="426"/>
      <c r="E787" s="426"/>
      <c r="F787" s="426"/>
      <c r="G787" s="492"/>
      <c r="H787" s="426"/>
      <c r="I787" s="434"/>
      <c r="J787" s="515"/>
      <c r="K787" s="516"/>
      <c r="L787" s="516"/>
      <c r="M787" s="519"/>
      <c r="N787" s="520"/>
      <c r="O787" s="520"/>
      <c r="P787" s="520"/>
    </row>
    <row r="788" spans="1:16" ht="13">
      <c r="A788" s="426"/>
      <c r="B788" s="474" t="s">
        <v>968</v>
      </c>
      <c r="C788" s="451" t="s">
        <v>952</v>
      </c>
      <c r="D788" s="1303" t="s">
        <v>959</v>
      </c>
      <c r="E788" s="1283" t="s">
        <v>943</v>
      </c>
      <c r="F788" s="1308" t="s">
        <v>944</v>
      </c>
      <c r="G788" s="1308" t="s">
        <v>945</v>
      </c>
      <c r="H788" s="1308" t="s">
        <v>946</v>
      </c>
      <c r="I788" s="1309" t="s">
        <v>947</v>
      </c>
      <c r="J788" s="515"/>
      <c r="K788" s="516"/>
      <c r="L788" s="516"/>
      <c r="M788" s="519"/>
      <c r="N788" s="520"/>
      <c r="O788" s="520"/>
      <c r="P788" s="520"/>
    </row>
    <row r="789" spans="1:16" ht="13">
      <c r="A789" s="426"/>
      <c r="B789" s="426"/>
      <c r="C789" s="427" t="s">
        <v>953</v>
      </c>
      <c r="D789" s="1303"/>
      <c r="E789" s="1283"/>
      <c r="F789" s="1308"/>
      <c r="G789" s="1308"/>
      <c r="H789" s="1308"/>
      <c r="I789" s="1309"/>
      <c r="J789" s="515"/>
      <c r="K789" s="516"/>
      <c r="L789" s="516"/>
      <c r="M789" s="519"/>
      <c r="N789" s="520"/>
      <c r="O789" s="520"/>
      <c r="P789" s="520"/>
    </row>
    <row r="790" spans="1:16" ht="13">
      <c r="A790" s="426"/>
      <c r="B790" s="426"/>
      <c r="C790" s="417" t="s">
        <v>954</v>
      </c>
      <c r="D790" s="409">
        <f t="shared" ref="D790:I790" si="125">$I$756</f>
        <v>10165.071260000002</v>
      </c>
      <c r="E790" s="409">
        <f t="shared" si="125"/>
        <v>10165.071260000002</v>
      </c>
      <c r="F790" s="409">
        <f t="shared" si="125"/>
        <v>10165.071260000002</v>
      </c>
      <c r="G790" s="409">
        <f t="shared" si="125"/>
        <v>10165.071260000002</v>
      </c>
      <c r="H790" s="409">
        <f t="shared" si="125"/>
        <v>10165.071260000002</v>
      </c>
      <c r="I790" s="409">
        <f t="shared" si="125"/>
        <v>10165.071260000002</v>
      </c>
      <c r="J790" s="515"/>
      <c r="K790" s="516"/>
      <c r="L790" s="516"/>
      <c r="M790" s="519"/>
      <c r="N790" s="520"/>
      <c r="O790" s="520"/>
      <c r="P790" s="520"/>
    </row>
    <row r="791" spans="1:16" ht="13">
      <c r="A791" s="426"/>
      <c r="B791" s="426"/>
      <c r="C791" s="417" t="s">
        <v>921</v>
      </c>
      <c r="D791" s="409">
        <f>'[161]Civil-SOR'!$F$267+('[161]Civil-SOR'!$F$267*16.66%)</f>
        <v>466.64</v>
      </c>
      <c r="E791" s="409">
        <f>'[161]Civil-SOR'!$F$267+('[161]Civil-SOR'!$F$267*16.66%)</f>
        <v>466.64</v>
      </c>
      <c r="F791" s="409">
        <f>'[161]Civil-SOR'!$F$267+('[161]Civil-SOR'!$F$267*16.66%)</f>
        <v>466.64</v>
      </c>
      <c r="G791" s="409">
        <f>'[161]Civil-SOR'!$F$267+('[161]Civil-SOR'!$F$267*16.66%)</f>
        <v>466.64</v>
      </c>
      <c r="H791" s="409">
        <f>'[161]Civil-SOR'!$F$267+('[161]Civil-SOR'!$F$267*16.66%)</f>
        <v>466.64</v>
      </c>
      <c r="I791" s="409">
        <f>'[161]Civil-SOR'!$F$267+('[161]Civil-SOR'!$F$267*16.66%)</f>
        <v>466.64</v>
      </c>
      <c r="J791" s="515"/>
      <c r="K791" s="516"/>
      <c r="L791" s="516"/>
      <c r="M791" s="519"/>
      <c r="N791" s="520"/>
      <c r="O791" s="520"/>
      <c r="P791" s="520"/>
    </row>
    <row r="792" spans="1:16" ht="13">
      <c r="A792" s="426"/>
      <c r="B792" s="426"/>
      <c r="C792" s="417" t="s">
        <v>926</v>
      </c>
      <c r="D792" s="408">
        <f>'[161]Civil-SOR'!$G$267+('[161]Civil-SOR'!$G$267*16.66%)</f>
        <v>3187.1512000000002</v>
      </c>
      <c r="E792" s="408">
        <f>'[161]Civil-SOR'!$H$267+('[161]Civil-SOR'!$H$267*16.66%)</f>
        <v>3505.6329999999998</v>
      </c>
      <c r="F792" s="408">
        <f>'[161]Civil-SOR'!$I$267+('[161]Civil-SOR'!$I$267*16.66%)</f>
        <v>3824.1147999999998</v>
      </c>
      <c r="G792" s="408">
        <f>'[161]Civil-SOR'!$J$267+('[161]Civil-SOR'!$J$267*16.66%)</f>
        <v>4143.7632000000003</v>
      </c>
      <c r="H792" s="408">
        <f>'[161]Civil-SOR'!$K$267+('[161]Civil-SOR'!$K$267*16.66%)</f>
        <v>4462.2449999999999</v>
      </c>
      <c r="I792" s="408">
        <f>'[161]Civil-SOR'!$L$267+('[161]Civil-SOR'!$L$267*16.66%)</f>
        <v>4780.7268000000004</v>
      </c>
      <c r="J792" s="515"/>
      <c r="K792" s="516"/>
      <c r="L792" s="516"/>
      <c r="M792" s="519"/>
      <c r="N792" s="520"/>
      <c r="O792" s="520"/>
      <c r="P792" s="520"/>
    </row>
    <row r="793" spans="1:16" ht="13">
      <c r="A793" s="426"/>
      <c r="B793" s="426"/>
      <c r="C793" s="417" t="str">
        <f>[161]Input!$C$47</f>
        <v>Add for MA @ 40%</v>
      </c>
      <c r="D793" s="408">
        <f>D792*[161]Input!$D$47</f>
        <v>1274.8604800000003</v>
      </c>
      <c r="E793" s="408">
        <f>E792*[161]Input!$D$47</f>
        <v>1402.2532000000001</v>
      </c>
      <c r="F793" s="408">
        <f>F792*[161]Input!$D$47</f>
        <v>1529.6459199999999</v>
      </c>
      <c r="G793" s="408">
        <f>G792*[161]Input!$D$47</f>
        <v>1657.5052800000003</v>
      </c>
      <c r="H793" s="408">
        <f>H792*[161]Input!$D$47</f>
        <v>1784.8980000000001</v>
      </c>
      <c r="I793" s="408">
        <f>I792*[161]Input!$D$47</f>
        <v>1912.2907200000002</v>
      </c>
      <c r="J793" s="515"/>
      <c r="K793" s="516"/>
      <c r="L793" s="516"/>
      <c r="M793" s="519"/>
      <c r="N793" s="520"/>
      <c r="O793" s="520"/>
      <c r="P793" s="520"/>
    </row>
    <row r="794" spans="1:16" ht="13">
      <c r="A794" s="426"/>
      <c r="B794" s="426"/>
      <c r="C794" s="417" t="s">
        <v>956</v>
      </c>
      <c r="D794" s="409">
        <v>0</v>
      </c>
      <c r="E794" s="409">
        <f>$F$748*0.1</f>
        <v>310.07100000000003</v>
      </c>
      <c r="F794" s="409">
        <f>$F$748*0.2</f>
        <v>620.14200000000005</v>
      </c>
      <c r="G794" s="409">
        <f>$F$748*0.3</f>
        <v>930.21299999999997</v>
      </c>
      <c r="H794" s="409">
        <f>$F$748*0.4</f>
        <v>1240.2840000000001</v>
      </c>
      <c r="I794" s="409">
        <f>$F$748*0.5</f>
        <v>1550.355</v>
      </c>
      <c r="J794" s="515"/>
      <c r="K794" s="516"/>
      <c r="L794" s="516"/>
      <c r="M794" s="519"/>
      <c r="N794" s="520"/>
      <c r="O794" s="520"/>
      <c r="P794" s="520"/>
    </row>
    <row r="795" spans="1:16" ht="13">
      <c r="A795" s="426"/>
      <c r="B795" s="426"/>
      <c r="C795" s="417" t="str">
        <f>[161]Input!$C$47</f>
        <v>Add for MA @ 40%</v>
      </c>
      <c r="D795" s="409">
        <v>0</v>
      </c>
      <c r="E795" s="409">
        <f>ROUND(E794*[161]Input!$D$47,2)</f>
        <v>124.03</v>
      </c>
      <c r="F795" s="409">
        <f>ROUND(F794*[161]Input!$D$47,2)</f>
        <v>248.06</v>
      </c>
      <c r="G795" s="409">
        <f>ROUND(G794*[161]Input!$D$47,2)</f>
        <v>372.09</v>
      </c>
      <c r="H795" s="409">
        <f>ROUND(H794*[161]Input!$D$47,2)</f>
        <v>496.11</v>
      </c>
      <c r="I795" s="409">
        <f>ROUND(I794*[161]Input!$D$47,2)</f>
        <v>620.14</v>
      </c>
      <c r="J795" s="515"/>
      <c r="K795" s="516"/>
      <c r="L795" s="516"/>
      <c r="M795" s="519"/>
      <c r="N795" s="520"/>
      <c r="O795" s="520"/>
      <c r="P795" s="520"/>
    </row>
    <row r="796" spans="1:16" ht="13">
      <c r="A796" s="426"/>
      <c r="B796" s="426"/>
      <c r="C796" s="427" t="s">
        <v>724</v>
      </c>
      <c r="D796" s="409">
        <f t="shared" ref="D796:I796" si="126">SUM(D790:D795)</f>
        <v>15093.722940000003</v>
      </c>
      <c r="E796" s="409">
        <f t="shared" si="126"/>
        <v>15973.698460000001</v>
      </c>
      <c r="F796" s="409">
        <f t="shared" si="126"/>
        <v>16853.673980000003</v>
      </c>
      <c r="G796" s="409">
        <f t="shared" si="126"/>
        <v>17735.282740000002</v>
      </c>
      <c r="H796" s="409">
        <f t="shared" si="126"/>
        <v>18615.248260000004</v>
      </c>
      <c r="I796" s="409">
        <f t="shared" si="126"/>
        <v>19495.22378</v>
      </c>
      <c r="J796" s="515"/>
      <c r="K796" s="516"/>
      <c r="L796" s="516"/>
      <c r="M796" s="519"/>
      <c r="N796" s="520"/>
      <c r="O796" s="520"/>
      <c r="P796" s="520"/>
    </row>
    <row r="797" spans="1:16" ht="25">
      <c r="A797" s="426"/>
      <c r="B797" s="426"/>
      <c r="C797" s="417" t="str">
        <f>[161]Input!$C$48</f>
        <v>Overheads &amp; Contractors Profit @ 13.615%</v>
      </c>
      <c r="D797" s="409">
        <f>ROUND(D796*[161]Input!$D$48,2)</f>
        <v>2055.0100000000002</v>
      </c>
      <c r="E797" s="409">
        <f>ROUND(E796*[161]Input!$D$48,2)</f>
        <v>2174.8200000000002</v>
      </c>
      <c r="F797" s="409">
        <f>ROUND(F796*[161]Input!$D$48,2)</f>
        <v>2294.63</v>
      </c>
      <c r="G797" s="409">
        <f>ROUND(G796*[161]Input!$D$48,2)</f>
        <v>2414.66</v>
      </c>
      <c r="H797" s="409">
        <f>ROUND(H796*[161]Input!$D$48,2)</f>
        <v>2534.4699999999998</v>
      </c>
      <c r="I797" s="409">
        <f>ROUND(I796*[161]Input!$D$48,2)</f>
        <v>2654.27</v>
      </c>
      <c r="J797" s="515"/>
      <c r="K797" s="516"/>
      <c r="L797" s="516"/>
      <c r="M797" s="519"/>
      <c r="N797" s="520"/>
      <c r="O797" s="520"/>
      <c r="P797" s="520"/>
    </row>
    <row r="798" spans="1:16" ht="13">
      <c r="A798" s="426"/>
      <c r="B798" s="426"/>
      <c r="C798" s="451" t="s">
        <v>724</v>
      </c>
      <c r="D798" s="409">
        <f t="shared" ref="D798:I798" si="127">SUM(D796:D797)</f>
        <v>17148.732940000002</v>
      </c>
      <c r="E798" s="409">
        <f t="shared" si="127"/>
        <v>18148.518460000003</v>
      </c>
      <c r="F798" s="409">
        <f t="shared" si="127"/>
        <v>19148.303980000004</v>
      </c>
      <c r="G798" s="409">
        <f t="shared" si="127"/>
        <v>20149.942740000002</v>
      </c>
      <c r="H798" s="409">
        <f t="shared" si="127"/>
        <v>21149.718260000005</v>
      </c>
      <c r="I798" s="409">
        <f t="shared" si="127"/>
        <v>22149.493780000001</v>
      </c>
      <c r="J798" s="515"/>
      <c r="K798" s="516"/>
      <c r="L798" s="516"/>
      <c r="M798" s="519"/>
      <c r="N798" s="520"/>
      <c r="O798" s="520"/>
      <c r="P798" s="520"/>
    </row>
    <row r="799" spans="1:16" ht="13">
      <c r="A799" s="426"/>
      <c r="B799" s="426"/>
      <c r="C799" s="514" t="s">
        <v>726</v>
      </c>
      <c r="D799" s="416">
        <f t="shared" ref="D799:I799" si="128">ROUND(D798,0)</f>
        <v>17149</v>
      </c>
      <c r="E799" s="416">
        <f t="shared" si="128"/>
        <v>18149</v>
      </c>
      <c r="F799" s="416">
        <f t="shared" si="128"/>
        <v>19148</v>
      </c>
      <c r="G799" s="416">
        <f t="shared" si="128"/>
        <v>20150</v>
      </c>
      <c r="H799" s="416">
        <f t="shared" si="128"/>
        <v>21150</v>
      </c>
      <c r="I799" s="416">
        <f t="shared" si="128"/>
        <v>22149</v>
      </c>
      <c r="J799" s="515"/>
      <c r="K799" s="516"/>
      <c r="L799" s="516"/>
      <c r="M799" s="519"/>
      <c r="N799" s="520"/>
      <c r="O799" s="520"/>
      <c r="P799" s="520"/>
    </row>
    <row r="800" spans="1:16" ht="13">
      <c r="A800" s="426"/>
      <c r="B800" s="426"/>
      <c r="C800" s="514"/>
      <c r="D800" s="416"/>
      <c r="E800" s="416"/>
      <c r="F800" s="416"/>
      <c r="G800" s="416"/>
      <c r="H800" s="416"/>
      <c r="I800" s="416"/>
      <c r="J800" s="515"/>
      <c r="K800" s="516"/>
      <c r="L800" s="516"/>
      <c r="M800" s="519"/>
      <c r="N800" s="520"/>
      <c r="O800" s="520"/>
      <c r="P800" s="520"/>
    </row>
    <row r="801" spans="1:16" ht="13">
      <c r="A801" s="426"/>
      <c r="B801" s="474" t="s">
        <v>968</v>
      </c>
      <c r="C801" s="451" t="s">
        <v>958</v>
      </c>
      <c r="D801" s="1303" t="s">
        <v>959</v>
      </c>
      <c r="E801" s="1283" t="s">
        <v>943</v>
      </c>
      <c r="F801" s="1308" t="s">
        <v>944</v>
      </c>
      <c r="G801" s="1308" t="s">
        <v>945</v>
      </c>
      <c r="H801" s="1308" t="s">
        <v>946</v>
      </c>
      <c r="I801" s="1309" t="s">
        <v>947</v>
      </c>
      <c r="J801" s="517"/>
      <c r="K801" s="518"/>
      <c r="L801" s="497"/>
      <c r="M801" s="498"/>
      <c r="N801" s="498"/>
      <c r="O801" s="498"/>
      <c r="P801" s="498"/>
    </row>
    <row r="802" spans="1:16" ht="13">
      <c r="A802" s="426"/>
      <c r="B802" s="426"/>
      <c r="C802" s="427" t="s">
        <v>953</v>
      </c>
      <c r="D802" s="1303"/>
      <c r="E802" s="1283"/>
      <c r="F802" s="1308"/>
      <c r="G802" s="1308"/>
      <c r="H802" s="1308"/>
      <c r="I802" s="1309"/>
      <c r="J802" s="517"/>
      <c r="K802" s="518"/>
      <c r="L802" s="497"/>
      <c r="M802" s="498"/>
      <c r="N802" s="498"/>
      <c r="O802" s="498"/>
      <c r="P802" s="498"/>
    </row>
    <row r="803" spans="1:16">
      <c r="A803" s="426"/>
      <c r="B803" s="426"/>
      <c r="C803" s="417" t="s">
        <v>954</v>
      </c>
      <c r="D803" s="409">
        <f t="shared" ref="D803:I803" si="129">$I$667</f>
        <v>10165.071260000002</v>
      </c>
      <c r="E803" s="409">
        <f t="shared" si="129"/>
        <v>10165.071260000002</v>
      </c>
      <c r="F803" s="409">
        <f t="shared" si="129"/>
        <v>10165.071260000002</v>
      </c>
      <c r="G803" s="409">
        <f t="shared" si="129"/>
        <v>10165.071260000002</v>
      </c>
      <c r="H803" s="409">
        <f t="shared" si="129"/>
        <v>10165.071260000002</v>
      </c>
      <c r="I803" s="409">
        <f t="shared" si="129"/>
        <v>10165.071260000002</v>
      </c>
      <c r="J803" s="517"/>
      <c r="K803" s="518"/>
      <c r="L803" s="497"/>
      <c r="M803" s="498"/>
      <c r="N803" s="498"/>
      <c r="O803" s="498"/>
      <c r="P803" s="498"/>
    </row>
    <row r="804" spans="1:16">
      <c r="A804" s="426"/>
      <c r="B804" s="426"/>
      <c r="C804" s="417" t="s">
        <v>921</v>
      </c>
      <c r="D804" s="409">
        <f>'[161]Civil-SOR'!$F$267+('[161]Civil-SOR'!$F$267*16.66%)</f>
        <v>466.64</v>
      </c>
      <c r="E804" s="409">
        <f>'[161]Civil-SOR'!$F$267+('[161]Civil-SOR'!$F$267*16.66%)</f>
        <v>466.64</v>
      </c>
      <c r="F804" s="409">
        <f>'[161]Civil-SOR'!$F$267+('[161]Civil-SOR'!$F$267*16.66%)</f>
        <v>466.64</v>
      </c>
      <c r="G804" s="409">
        <f>'[161]Civil-SOR'!$F$267+('[161]Civil-SOR'!$F$267*16.66%)</f>
        <v>466.64</v>
      </c>
      <c r="H804" s="409">
        <f>'[161]Civil-SOR'!$F$267+('[161]Civil-SOR'!$F$267*16.66%)</f>
        <v>466.64</v>
      </c>
      <c r="I804" s="409">
        <f>'[161]Civil-SOR'!$F$267+('[161]Civil-SOR'!$F$267*16.66%)</f>
        <v>466.64</v>
      </c>
      <c r="J804" s="517"/>
      <c r="K804" s="518"/>
      <c r="L804" s="497"/>
      <c r="M804" s="498"/>
      <c r="N804" s="498"/>
      <c r="O804" s="498"/>
      <c r="P804" s="498"/>
    </row>
    <row r="805" spans="1:16">
      <c r="A805" s="426"/>
      <c r="B805" s="426"/>
      <c r="C805" s="417" t="s">
        <v>926</v>
      </c>
      <c r="D805" s="408">
        <f>'[161]Civil-SOR'!$G$267+('[161]Civil-SOR'!$G$267*16.66%)</f>
        <v>3187.1512000000002</v>
      </c>
      <c r="E805" s="408">
        <f>'[161]Civil-SOR'!$H$267+('[161]Civil-SOR'!$H$267*16.66%)</f>
        <v>3505.6329999999998</v>
      </c>
      <c r="F805" s="408">
        <f>'[161]Civil-SOR'!$I$267+('[161]Civil-SOR'!$I$267*16.66%)</f>
        <v>3824.1147999999998</v>
      </c>
      <c r="G805" s="408">
        <f>'[161]Civil-SOR'!$J$267+('[161]Civil-SOR'!$J$267*16.66%)</f>
        <v>4143.7632000000003</v>
      </c>
      <c r="H805" s="408">
        <f>'[161]Civil-SOR'!$K$267+('[161]Civil-SOR'!$K$267*16.66%)</f>
        <v>4462.2449999999999</v>
      </c>
      <c r="I805" s="408">
        <f>'[161]Civil-SOR'!$L$267+('[161]Civil-SOR'!$L$267*16.66%)</f>
        <v>4780.7268000000004</v>
      </c>
      <c r="J805" s="517"/>
      <c r="K805" s="518"/>
      <c r="L805" s="497"/>
      <c r="M805" s="498"/>
      <c r="N805" s="498"/>
      <c r="O805" s="498"/>
      <c r="P805" s="498"/>
    </row>
    <row r="806" spans="1:16">
      <c r="A806" s="426"/>
      <c r="B806" s="426"/>
      <c r="C806" s="417" t="str">
        <f>[161]Input!$C$47</f>
        <v>Add for MA @ 40%</v>
      </c>
      <c r="D806" s="408">
        <f>D805*[161]Input!$D$47</f>
        <v>1274.8604800000003</v>
      </c>
      <c r="E806" s="408">
        <f>E805*[161]Input!$D$47</f>
        <v>1402.2532000000001</v>
      </c>
      <c r="F806" s="408">
        <f>F805*[161]Input!$D$47</f>
        <v>1529.6459199999999</v>
      </c>
      <c r="G806" s="408">
        <f>G805*[161]Input!$D$47</f>
        <v>1657.5052800000003</v>
      </c>
      <c r="H806" s="408">
        <f>H805*[161]Input!$D$47</f>
        <v>1784.8980000000001</v>
      </c>
      <c r="I806" s="408">
        <f>I805*[161]Input!$D$47</f>
        <v>1912.2907200000002</v>
      </c>
      <c r="J806" s="517"/>
      <c r="K806" s="518"/>
      <c r="L806" s="497"/>
      <c r="M806" s="498"/>
      <c r="N806" s="498"/>
      <c r="O806" s="498"/>
      <c r="P806" s="498"/>
    </row>
    <row r="807" spans="1:16" ht="37.5">
      <c r="A807" s="426"/>
      <c r="B807" s="426"/>
      <c r="C807" s="417" t="s">
        <v>969</v>
      </c>
      <c r="D807" s="409">
        <v>0</v>
      </c>
      <c r="E807" s="409">
        <f>1.333*'[161]Civil-SOR'!$G$334</f>
        <v>504.80710000000005</v>
      </c>
      <c r="F807" s="409">
        <f t="shared" ref="F807:F808" si="130">E807*1.1</f>
        <v>555.28781000000015</v>
      </c>
      <c r="G807" s="409">
        <f t="shared" ref="G807:G808" si="131">E807*1.2</f>
        <v>605.76852000000008</v>
      </c>
      <c r="H807" s="409">
        <f t="shared" ref="H807:H808" si="132">E807*1.3</f>
        <v>656.24923000000013</v>
      </c>
      <c r="I807" s="409">
        <f t="shared" ref="I807:I808" si="133">E807*1.4</f>
        <v>706.72994000000006</v>
      </c>
      <c r="J807" s="517"/>
      <c r="K807" s="518"/>
      <c r="L807" s="497"/>
      <c r="M807" s="498"/>
      <c r="N807" s="498"/>
      <c r="O807" s="498"/>
      <c r="P807" s="498"/>
    </row>
    <row r="808" spans="1:16" ht="25">
      <c r="A808" s="426"/>
      <c r="B808" s="426"/>
      <c r="C808" s="417" t="s">
        <v>961</v>
      </c>
      <c r="D808" s="409">
        <v>0</v>
      </c>
      <c r="E808" s="409">
        <f>1.333*'[161]Civil-SOR'!$J$334</f>
        <v>480.41319999999996</v>
      </c>
      <c r="F808" s="409">
        <f t="shared" si="130"/>
        <v>528.45452</v>
      </c>
      <c r="G808" s="409">
        <f t="shared" si="131"/>
        <v>576.49583999999993</v>
      </c>
      <c r="H808" s="409">
        <f t="shared" si="132"/>
        <v>624.53715999999997</v>
      </c>
      <c r="I808" s="409">
        <f t="shared" si="133"/>
        <v>672.5784799999999</v>
      </c>
      <c r="J808" s="517"/>
      <c r="K808" s="518"/>
      <c r="L808" s="497"/>
      <c r="M808" s="498"/>
      <c r="N808" s="498"/>
      <c r="O808" s="498"/>
      <c r="P808" s="498"/>
    </row>
    <row r="809" spans="1:16">
      <c r="A809" s="426"/>
      <c r="B809" s="426"/>
      <c r="C809" s="417" t="str">
        <f>[161]Input!$C$47</f>
        <v>Add for MA @ 40%</v>
      </c>
      <c r="D809" s="409">
        <v>0</v>
      </c>
      <c r="E809" s="409">
        <f>ROUND(E808*[161]Input!$D$47,2)</f>
        <v>192.17</v>
      </c>
      <c r="F809" s="409">
        <f>ROUND(F808*[161]Input!$D$47,2)</f>
        <v>211.38</v>
      </c>
      <c r="G809" s="409">
        <f>ROUND(G808*[161]Input!$D$47,2)</f>
        <v>230.6</v>
      </c>
      <c r="H809" s="409">
        <f>ROUND(H808*[161]Input!$D$47,2)</f>
        <v>249.81</v>
      </c>
      <c r="I809" s="409">
        <f>ROUND(I808*[161]Input!$D$47,2)</f>
        <v>269.02999999999997</v>
      </c>
      <c r="J809" s="517"/>
      <c r="K809" s="518"/>
      <c r="L809" s="497"/>
      <c r="M809" s="498"/>
      <c r="N809" s="498"/>
      <c r="O809" s="498"/>
      <c r="P809" s="498"/>
    </row>
    <row r="810" spans="1:16" ht="13">
      <c r="A810" s="426"/>
      <c r="B810" s="426"/>
      <c r="C810" s="427" t="s">
        <v>724</v>
      </c>
      <c r="D810" s="409">
        <f t="shared" ref="D810:I810" si="134">SUM(D803:D809)</f>
        <v>15093.722940000003</v>
      </c>
      <c r="E810" s="409">
        <f t="shared" si="134"/>
        <v>16716.98776</v>
      </c>
      <c r="F810" s="409">
        <f t="shared" si="134"/>
        <v>17280.594310000004</v>
      </c>
      <c r="G810" s="409">
        <f t="shared" si="134"/>
        <v>17845.844100000002</v>
      </c>
      <c r="H810" s="409">
        <f t="shared" si="134"/>
        <v>18409.450650000006</v>
      </c>
      <c r="I810" s="409">
        <f t="shared" si="134"/>
        <v>18973.067200000001</v>
      </c>
      <c r="J810" s="517"/>
      <c r="K810" s="518"/>
      <c r="L810" s="497"/>
      <c r="M810" s="498"/>
      <c r="N810" s="498"/>
      <c r="O810" s="498"/>
      <c r="P810" s="498"/>
    </row>
    <row r="811" spans="1:16" ht="25">
      <c r="A811" s="426"/>
      <c r="B811" s="426"/>
      <c r="C811" s="417" t="str">
        <f>[161]Input!$C$48</f>
        <v>Overheads &amp; Contractors Profit @ 13.615%</v>
      </c>
      <c r="D811" s="409">
        <f>ROUND(D810*[161]Input!$D$48,2)</f>
        <v>2055.0100000000002</v>
      </c>
      <c r="E811" s="409">
        <f>ROUND(E810*[161]Input!$D$48,2)</f>
        <v>2276.02</v>
      </c>
      <c r="F811" s="409">
        <f>ROUND(F810*[161]Input!$D$48,2)</f>
        <v>2352.75</v>
      </c>
      <c r="G811" s="409">
        <f>ROUND(G810*[161]Input!$D$48,2)</f>
        <v>2429.71</v>
      </c>
      <c r="H811" s="409">
        <f>ROUND(H810*[161]Input!$D$48,2)</f>
        <v>2506.4499999999998</v>
      </c>
      <c r="I811" s="409">
        <f>ROUND(I810*[161]Input!$D$48,2)</f>
        <v>2583.1799999999998</v>
      </c>
      <c r="J811" s="517"/>
      <c r="K811" s="518"/>
      <c r="L811" s="497"/>
      <c r="M811" s="498"/>
      <c r="N811" s="498"/>
      <c r="O811" s="498"/>
      <c r="P811" s="498"/>
    </row>
    <row r="812" spans="1:16" ht="13">
      <c r="A812" s="426"/>
      <c r="B812" s="426"/>
      <c r="C812" s="451" t="s">
        <v>724</v>
      </c>
      <c r="D812" s="409">
        <f t="shared" ref="D812:I812" si="135">SUM(D810:D811)</f>
        <v>17148.732940000002</v>
      </c>
      <c r="E812" s="409">
        <f t="shared" si="135"/>
        <v>18993.00776</v>
      </c>
      <c r="F812" s="409">
        <f t="shared" si="135"/>
        <v>19633.344310000004</v>
      </c>
      <c r="G812" s="409">
        <f t="shared" si="135"/>
        <v>20275.554100000001</v>
      </c>
      <c r="H812" s="409">
        <f t="shared" si="135"/>
        <v>20915.900650000007</v>
      </c>
      <c r="I812" s="409">
        <f t="shared" si="135"/>
        <v>21556.247200000002</v>
      </c>
      <c r="J812" s="517"/>
      <c r="K812" s="518"/>
      <c r="L812" s="497"/>
      <c r="M812" s="498"/>
      <c r="N812" s="498"/>
      <c r="O812" s="498"/>
      <c r="P812" s="498"/>
    </row>
    <row r="813" spans="1:16" ht="13">
      <c r="A813" s="426"/>
      <c r="B813" s="426"/>
      <c r="C813" s="514" t="s">
        <v>726</v>
      </c>
      <c r="D813" s="416">
        <f t="shared" ref="D813:I813" si="136">ROUND(D812,0)</f>
        <v>17149</v>
      </c>
      <c r="E813" s="416">
        <f t="shared" si="136"/>
        <v>18993</v>
      </c>
      <c r="F813" s="416">
        <f t="shared" si="136"/>
        <v>19633</v>
      </c>
      <c r="G813" s="416">
        <f t="shared" si="136"/>
        <v>20276</v>
      </c>
      <c r="H813" s="416">
        <f t="shared" si="136"/>
        <v>20916</v>
      </c>
      <c r="I813" s="416">
        <f t="shared" si="136"/>
        <v>21556</v>
      </c>
      <c r="J813" s="517"/>
      <c r="K813" s="518"/>
      <c r="L813" s="497"/>
      <c r="M813" s="498"/>
      <c r="N813" s="498"/>
      <c r="O813" s="498"/>
      <c r="P813" s="498"/>
    </row>
    <row r="814" spans="1:16" ht="13">
      <c r="A814" s="426"/>
      <c r="B814" s="426"/>
      <c r="C814" s="417"/>
      <c r="D814" s="416"/>
      <c r="E814" s="416"/>
      <c r="F814" s="416"/>
      <c r="G814" s="416"/>
      <c r="H814" s="416"/>
      <c r="I814" s="414"/>
      <c r="J814" s="472"/>
      <c r="K814" s="497"/>
      <c r="L814" s="497"/>
      <c r="M814" s="498"/>
      <c r="N814" s="498"/>
      <c r="O814" s="498"/>
      <c r="P814" s="498"/>
    </row>
    <row r="815" spans="1:16" ht="26">
      <c r="A815" s="426"/>
      <c r="B815" s="426"/>
      <c r="C815" s="427" t="s">
        <v>971</v>
      </c>
      <c r="D815" s="426"/>
      <c r="E815" s="426"/>
      <c r="F815" s="426"/>
      <c r="G815" s="492"/>
      <c r="H815" s="426"/>
      <c r="I815" s="434"/>
      <c r="J815" s="515"/>
      <c r="K815" s="516"/>
      <c r="L815" s="516"/>
      <c r="M815" s="519"/>
      <c r="N815" s="520"/>
      <c r="O815" s="520"/>
      <c r="P815" s="520"/>
    </row>
    <row r="816" spans="1:16" ht="13">
      <c r="A816" s="426"/>
      <c r="B816" s="474" t="s">
        <v>951</v>
      </c>
      <c r="C816" s="451" t="s">
        <v>958</v>
      </c>
      <c r="D816" s="1303" t="s">
        <v>959</v>
      </c>
      <c r="E816" s="1283" t="s">
        <v>943</v>
      </c>
      <c r="F816" s="1308"/>
      <c r="G816" s="1308"/>
      <c r="H816" s="1308"/>
      <c r="I816" s="1309"/>
      <c r="J816" s="517"/>
      <c r="K816" s="518"/>
      <c r="L816" s="518"/>
      <c r="M816" s="519"/>
      <c r="N816" s="520"/>
      <c r="O816" s="520"/>
      <c r="P816" s="520"/>
    </row>
    <row r="817" spans="1:16" ht="13">
      <c r="A817" s="426"/>
      <c r="B817" s="426"/>
      <c r="C817" s="427" t="s">
        <v>953</v>
      </c>
      <c r="D817" s="1303"/>
      <c r="E817" s="1283"/>
      <c r="F817" s="1308"/>
      <c r="G817" s="1308"/>
      <c r="H817" s="1308"/>
      <c r="I817" s="1309"/>
      <c r="J817" s="517"/>
      <c r="K817" s="518"/>
      <c r="L817" s="518"/>
      <c r="M817" s="519"/>
      <c r="N817" s="520"/>
      <c r="O817" s="520"/>
      <c r="P817" s="520"/>
    </row>
    <row r="818" spans="1:16">
      <c r="A818" s="426"/>
      <c r="B818" s="426"/>
      <c r="C818" s="417" t="s">
        <v>954</v>
      </c>
      <c r="D818" s="409">
        <f>$I$667</f>
        <v>10165.071260000002</v>
      </c>
      <c r="E818" s="409">
        <f>$I$667</f>
        <v>10165.071260000002</v>
      </c>
      <c r="F818" s="409"/>
      <c r="G818" s="409"/>
      <c r="H818" s="409"/>
      <c r="I818" s="409"/>
      <c r="J818" s="517"/>
      <c r="K818" s="518"/>
      <c r="L818" s="518"/>
      <c r="M818" s="519"/>
      <c r="N818" s="520"/>
      <c r="O818" s="520"/>
      <c r="P818" s="520"/>
    </row>
    <row r="819" spans="1:16">
      <c r="A819" s="426"/>
      <c r="B819" s="426"/>
      <c r="C819" s="417" t="s">
        <v>921</v>
      </c>
      <c r="D819" s="409">
        <f>'[161]Civil-SOR'!$F$267+('[161]Civil-SOR'!$F$267*33.332%)</f>
        <v>533.32799999999997</v>
      </c>
      <c r="E819" s="409">
        <f>'[161]Civil-SOR'!$F$267+('[161]Civil-SOR'!$F$267*33.332%)</f>
        <v>533.32799999999997</v>
      </c>
      <c r="F819" s="409"/>
      <c r="G819" s="409"/>
      <c r="H819" s="409"/>
      <c r="I819" s="409"/>
      <c r="J819" s="517">
        <f>3.66+0.61+0.61</f>
        <v>4.8800000000000008</v>
      </c>
      <c r="K819" s="518"/>
      <c r="L819" s="518"/>
      <c r="M819" s="498">
        <f>((4.27-3.66)/0.61)*16.66</f>
        <v>16.659999999999986</v>
      </c>
      <c r="N819" s="523">
        <f>0.61/0.61</f>
        <v>1</v>
      </c>
      <c r="O819" s="524">
        <f>16.66*N819</f>
        <v>16.66</v>
      </c>
      <c r="P819" s="520"/>
    </row>
    <row r="820" spans="1:16">
      <c r="A820" s="426"/>
      <c r="B820" s="426"/>
      <c r="C820" s="417" t="s">
        <v>926</v>
      </c>
      <c r="D820" s="408">
        <f>'[161]Civil-SOR'!$G$267+('[161]Civil-SOR'!$G$267*33.332%)</f>
        <v>3642.63024</v>
      </c>
      <c r="E820" s="408">
        <f>'[161]Civil-SOR'!$H$267+('[161]Civil-SOR'!$H$267*33.332%)</f>
        <v>4006.6266000000001</v>
      </c>
      <c r="F820" s="408"/>
      <c r="G820" s="408"/>
      <c r="H820" s="408"/>
      <c r="I820" s="408"/>
      <c r="J820" s="517"/>
      <c r="K820" s="518"/>
      <c r="L820" s="518"/>
      <c r="M820" s="519"/>
      <c r="N820" s="520"/>
      <c r="O820" s="520"/>
      <c r="P820" s="520"/>
    </row>
    <row r="821" spans="1:16">
      <c r="A821" s="426"/>
      <c r="B821" s="426"/>
      <c r="C821" s="417" t="str">
        <f>[161]Input!$C$47</f>
        <v>Add for MA @ 40%</v>
      </c>
      <c r="D821" s="408">
        <f>D820*[161]Input!$D$47</f>
        <v>1457.0520960000001</v>
      </c>
      <c r="E821" s="408">
        <f>E820*[161]Input!$D$47</f>
        <v>1602.6506400000001</v>
      </c>
      <c r="F821" s="408"/>
      <c r="G821" s="408"/>
      <c r="H821" s="408"/>
      <c r="I821" s="408"/>
      <c r="J821" s="517">
        <f>16.666*2</f>
        <v>33.332000000000001</v>
      </c>
      <c r="K821" s="518"/>
      <c r="L821" s="518"/>
      <c r="M821" s="519"/>
      <c r="N821" s="520"/>
      <c r="O821" s="520"/>
      <c r="P821" s="520"/>
    </row>
    <row r="822" spans="1:16" ht="37.5">
      <c r="A822" s="426"/>
      <c r="B822" s="426"/>
      <c r="C822" s="417" t="s">
        <v>969</v>
      </c>
      <c r="D822" s="409">
        <v>0</v>
      </c>
      <c r="E822" s="409">
        <f>1.333*'[161]Civil-SOR'!$G$334</f>
        <v>504.80710000000005</v>
      </c>
      <c r="F822" s="409"/>
      <c r="G822" s="409"/>
      <c r="H822" s="409"/>
      <c r="I822" s="409"/>
      <c r="J822" s="517"/>
      <c r="K822" s="518"/>
      <c r="L822" s="518"/>
      <c r="M822" s="519"/>
      <c r="N822" s="520"/>
      <c r="O822" s="520"/>
      <c r="P822" s="520"/>
    </row>
    <row r="823" spans="1:16" ht="25">
      <c r="A823" s="426"/>
      <c r="B823" s="426"/>
      <c r="C823" s="417" t="s">
        <v>961</v>
      </c>
      <c r="D823" s="409">
        <v>0</v>
      </c>
      <c r="E823" s="409">
        <f>1.333*'[161]Civil-SOR'!$J$334</f>
        <v>480.41319999999996</v>
      </c>
      <c r="F823" s="409"/>
      <c r="G823" s="409"/>
      <c r="H823" s="409"/>
      <c r="I823" s="409"/>
      <c r="J823" s="517"/>
      <c r="K823" s="518"/>
      <c r="L823" s="518"/>
      <c r="M823" s="519"/>
      <c r="N823" s="520"/>
      <c r="O823" s="520"/>
      <c r="P823" s="520"/>
    </row>
    <row r="824" spans="1:16">
      <c r="A824" s="426"/>
      <c r="B824" s="426"/>
      <c r="C824" s="417" t="str">
        <f>[161]Input!$C$47</f>
        <v>Add for MA @ 40%</v>
      </c>
      <c r="D824" s="409">
        <v>0</v>
      </c>
      <c r="E824" s="409">
        <f>ROUND(E823*[161]Input!$D$47,2)</f>
        <v>192.17</v>
      </c>
      <c r="F824" s="409"/>
      <c r="G824" s="409"/>
      <c r="H824" s="409"/>
      <c r="I824" s="409"/>
      <c r="J824" s="517"/>
      <c r="K824" s="518"/>
      <c r="L824" s="518"/>
      <c r="M824" s="519"/>
      <c r="N824" s="520"/>
      <c r="O824" s="520"/>
      <c r="P824" s="520"/>
    </row>
    <row r="825" spans="1:16" ht="13">
      <c r="A825" s="426"/>
      <c r="B825" s="426"/>
      <c r="C825" s="427" t="s">
        <v>724</v>
      </c>
      <c r="D825" s="409">
        <f>SUM(D818:D824)</f>
        <v>15798.081596000002</v>
      </c>
      <c r="E825" s="409">
        <f>SUM(E818:E824)</f>
        <v>17485.066800000001</v>
      </c>
      <c r="F825" s="409"/>
      <c r="G825" s="409"/>
      <c r="H825" s="409"/>
      <c r="I825" s="409"/>
      <c r="J825" s="517"/>
      <c r="K825" s="518"/>
      <c r="L825" s="518"/>
      <c r="M825" s="519"/>
      <c r="N825" s="520"/>
      <c r="O825" s="520"/>
      <c r="P825" s="520"/>
    </row>
    <row r="826" spans="1:16" ht="25">
      <c r="A826" s="426"/>
      <c r="B826" s="426"/>
      <c r="C826" s="417" t="str">
        <f>[161]Input!$C$48</f>
        <v>Overheads &amp; Contractors Profit @ 13.615%</v>
      </c>
      <c r="D826" s="409">
        <f>ROUND(D825*[161]Input!$D$48,2)</f>
        <v>2150.91</v>
      </c>
      <c r="E826" s="409">
        <f>ROUND(E825*[161]Input!$D$48,2)</f>
        <v>2380.59</v>
      </c>
      <c r="F826" s="409"/>
      <c r="G826" s="409"/>
      <c r="H826" s="409"/>
      <c r="I826" s="409"/>
      <c r="J826" s="517"/>
      <c r="K826" s="518"/>
      <c r="L826" s="518"/>
      <c r="M826" s="519"/>
      <c r="N826" s="520"/>
      <c r="O826" s="520"/>
      <c r="P826" s="520"/>
    </row>
    <row r="827" spans="1:16" ht="13">
      <c r="A827" s="426"/>
      <c r="B827" s="426"/>
      <c r="C827" s="451" t="s">
        <v>724</v>
      </c>
      <c r="D827" s="409">
        <f>SUM(D825:D826)</f>
        <v>17948.991596</v>
      </c>
      <c r="E827" s="409">
        <f>SUM(E825:E826)</f>
        <v>19865.656800000001</v>
      </c>
      <c r="F827" s="409"/>
      <c r="G827" s="409"/>
      <c r="H827" s="409"/>
      <c r="I827" s="409"/>
      <c r="J827" s="517"/>
      <c r="K827" s="518"/>
      <c r="L827" s="518"/>
      <c r="M827" s="519"/>
      <c r="N827" s="520"/>
      <c r="O827" s="520"/>
      <c r="P827" s="520"/>
    </row>
    <row r="828" spans="1:16" ht="13">
      <c r="A828" s="426"/>
      <c r="B828" s="426"/>
      <c r="C828" s="514" t="s">
        <v>726</v>
      </c>
      <c r="D828" s="416">
        <f>ROUND(D827,0)</f>
        <v>17949</v>
      </c>
      <c r="E828" s="416">
        <f>ROUND(E827,0)</f>
        <v>19866</v>
      </c>
      <c r="F828" s="416"/>
      <c r="G828" s="416"/>
      <c r="H828" s="416"/>
      <c r="I828" s="416"/>
      <c r="J828" s="517"/>
      <c r="K828" s="518"/>
      <c r="L828" s="518"/>
      <c r="M828" s="519"/>
      <c r="N828" s="520"/>
      <c r="O828" s="520"/>
      <c r="P828" s="520"/>
    </row>
    <row r="829" spans="1:16" ht="13">
      <c r="A829" s="426"/>
      <c r="B829" s="426"/>
      <c r="C829" s="514"/>
      <c r="D829" s="416"/>
      <c r="E829" s="416"/>
      <c r="F829" s="416"/>
      <c r="G829" s="416"/>
      <c r="H829" s="416"/>
      <c r="I829" s="416"/>
      <c r="J829" s="517"/>
      <c r="K829" s="518"/>
      <c r="L829" s="518"/>
      <c r="M829" s="519"/>
      <c r="N829" s="520"/>
      <c r="O829" s="520"/>
      <c r="P829" s="520"/>
    </row>
    <row r="830" spans="1:16" ht="26">
      <c r="A830" s="426"/>
      <c r="B830" s="426"/>
      <c r="C830" s="427" t="s">
        <v>972</v>
      </c>
      <c r="D830" s="426"/>
      <c r="E830" s="426"/>
      <c r="F830" s="426"/>
      <c r="G830" s="492"/>
      <c r="H830" s="426"/>
      <c r="I830" s="434"/>
      <c r="J830" s="525">
        <f>3.66+0.61+0.61+0.61</f>
        <v>5.4900000000000011</v>
      </c>
      <c r="K830" s="516"/>
      <c r="L830" s="516"/>
      <c r="M830" s="519"/>
      <c r="N830" s="520"/>
      <c r="O830" s="520"/>
      <c r="P830" s="520"/>
    </row>
    <row r="831" spans="1:16" ht="13">
      <c r="A831" s="426"/>
      <c r="B831" s="474" t="s">
        <v>951</v>
      </c>
      <c r="C831" s="451" t="s">
        <v>958</v>
      </c>
      <c r="D831" s="1303" t="s">
        <v>959</v>
      </c>
      <c r="E831" s="1283" t="s">
        <v>943</v>
      </c>
      <c r="F831" s="1308" t="s">
        <v>944</v>
      </c>
      <c r="G831" s="1308" t="s">
        <v>945</v>
      </c>
      <c r="H831" s="1308" t="s">
        <v>946</v>
      </c>
      <c r="I831" s="1309" t="s">
        <v>947</v>
      </c>
      <c r="J831" s="517"/>
      <c r="K831" s="518"/>
      <c r="L831" s="518"/>
      <c r="M831" s="519"/>
      <c r="N831" s="520"/>
      <c r="O831" s="520"/>
      <c r="P831" s="520"/>
    </row>
    <row r="832" spans="1:16" ht="13">
      <c r="A832" s="426"/>
      <c r="B832" s="426"/>
      <c r="C832" s="427" t="s">
        <v>953</v>
      </c>
      <c r="D832" s="1303"/>
      <c r="E832" s="1283"/>
      <c r="F832" s="1308"/>
      <c r="G832" s="1308"/>
      <c r="H832" s="1308"/>
      <c r="I832" s="1309"/>
      <c r="J832" s="517"/>
      <c r="K832" s="518"/>
      <c r="L832" s="518"/>
      <c r="M832" s="519"/>
      <c r="N832" s="520"/>
      <c r="O832" s="520"/>
      <c r="P832" s="520"/>
    </row>
    <row r="833" spans="1:64">
      <c r="A833" s="426"/>
      <c r="B833" s="426"/>
      <c r="C833" s="417" t="s">
        <v>954</v>
      </c>
      <c r="D833" s="409">
        <f t="shared" ref="D833:I833" si="137">$I$667</f>
        <v>10165.071260000002</v>
      </c>
      <c r="E833" s="409">
        <f t="shared" si="137"/>
        <v>10165.071260000002</v>
      </c>
      <c r="F833" s="409">
        <f t="shared" si="137"/>
        <v>10165.071260000002</v>
      </c>
      <c r="G833" s="409">
        <f t="shared" si="137"/>
        <v>10165.071260000002</v>
      </c>
      <c r="H833" s="409">
        <f t="shared" si="137"/>
        <v>10165.071260000002</v>
      </c>
      <c r="I833" s="409">
        <f t="shared" si="137"/>
        <v>10165.071260000002</v>
      </c>
      <c r="J833" s="517"/>
      <c r="K833" s="518"/>
      <c r="L833" s="518"/>
      <c r="M833" s="519"/>
      <c r="N833" s="520"/>
      <c r="O833" s="520"/>
      <c r="P833" s="520"/>
    </row>
    <row r="834" spans="1:64">
      <c r="A834" s="426"/>
      <c r="B834" s="426"/>
      <c r="C834" s="417" t="s">
        <v>921</v>
      </c>
      <c r="D834" s="409">
        <f>'[161]Civil-SOR'!$F$267+('[161]Civil-SOR'!$F$267*49.998%)</f>
        <v>599.99199999999996</v>
      </c>
      <c r="E834" s="409">
        <f>'[161]Civil-SOR'!$F$267+('[161]Civil-SOR'!$F$267*49.998%)</f>
        <v>599.99199999999996</v>
      </c>
      <c r="F834" s="409">
        <f>'[161]Civil-SOR'!$F$267+('[161]Civil-SOR'!$F$267*49.998%)</f>
        <v>599.99199999999996</v>
      </c>
      <c r="G834" s="409">
        <f>'[161]Civil-SOR'!$F$267+('[161]Civil-SOR'!$F$267*49.998%)</f>
        <v>599.99199999999996</v>
      </c>
      <c r="H834" s="409">
        <f>'[161]Civil-SOR'!$F$267+('[161]Civil-SOR'!$F$267*49.998%)</f>
        <v>599.99199999999996</v>
      </c>
      <c r="I834" s="409">
        <f>'[161]Civil-SOR'!$F$267+('[161]Civil-SOR'!$F$267*49.998%)</f>
        <v>599.99199999999996</v>
      </c>
      <c r="J834" s="517"/>
      <c r="K834" s="518"/>
      <c r="L834" s="518"/>
      <c r="M834" s="498">
        <f>((4.27-3.66)/0.61)*16.66</f>
        <v>16.659999999999986</v>
      </c>
      <c r="N834" s="523">
        <f>0.61/0.61</f>
        <v>1</v>
      </c>
      <c r="O834" s="524">
        <f>16.66*N834</f>
        <v>16.66</v>
      </c>
      <c r="P834" s="520"/>
    </row>
    <row r="835" spans="1:64">
      <c r="A835" s="426"/>
      <c r="B835" s="426"/>
      <c r="C835" s="417" t="s">
        <v>926</v>
      </c>
      <c r="D835" s="408">
        <f>'[161]Civil-SOR'!$G$267+('[161]Civil-SOR'!$G$267*49.998%)</f>
        <v>4097.9453599999997</v>
      </c>
      <c r="E835" s="408">
        <f>'[161]Civil-SOR'!$H$267+('[161]Civil-SOR'!$H$267*49.998%)</f>
        <v>4507.4398999999994</v>
      </c>
      <c r="F835" s="408">
        <f>'[161]Civil-SOR'!$I$267+('[161]Civil-SOR'!$I$267*49.998%)</f>
        <v>4916.93444</v>
      </c>
      <c r="G835" s="408">
        <f>'[161]Civil-SOR'!$J$267+('[161]Civil-SOR'!$J$267*49.998%)</f>
        <v>5327.9289600000002</v>
      </c>
      <c r="H835" s="408">
        <f>'[161]Civil-SOR'!$K$267+('[161]Civil-SOR'!$K$267*49.998%)</f>
        <v>5737.4234999999999</v>
      </c>
      <c r="I835" s="408">
        <f>'[161]Civil-SOR'!$L$267+('[161]Civil-SOR'!$L$267*49.998%)</f>
        <v>6146.9180400000005</v>
      </c>
      <c r="J835" s="517"/>
      <c r="K835" s="518"/>
      <c r="L835" s="518"/>
      <c r="M835" s="519"/>
      <c r="N835" s="520"/>
      <c r="O835" s="520"/>
      <c r="P835" s="520"/>
    </row>
    <row r="836" spans="1:64">
      <c r="A836" s="426"/>
      <c r="B836" s="426"/>
      <c r="C836" s="417" t="str">
        <f>[161]Input!$C$47</f>
        <v>Add for MA @ 40%</v>
      </c>
      <c r="D836" s="408">
        <f>D835*[161]Input!$D$47</f>
        <v>1639.178144</v>
      </c>
      <c r="E836" s="408">
        <f>E835*[161]Input!$D$47</f>
        <v>1802.9759599999998</v>
      </c>
      <c r="F836" s="408">
        <f>F835*[161]Input!$D$47</f>
        <v>1966.773776</v>
      </c>
      <c r="G836" s="408">
        <f>G835*[161]Input!$D$47</f>
        <v>2131.1715840000002</v>
      </c>
      <c r="H836" s="408">
        <f>H835*[161]Input!$D$47</f>
        <v>2294.9694</v>
      </c>
      <c r="I836" s="408">
        <f>I835*[161]Input!$D$47</f>
        <v>2458.7672160000002</v>
      </c>
      <c r="J836" s="517"/>
      <c r="K836" s="518"/>
      <c r="L836" s="518"/>
      <c r="M836" s="519"/>
      <c r="N836" s="520"/>
      <c r="O836" s="520"/>
      <c r="P836" s="520"/>
    </row>
    <row r="837" spans="1:64" ht="37.5">
      <c r="A837" s="426"/>
      <c r="B837" s="426"/>
      <c r="C837" s="417" t="s">
        <v>969</v>
      </c>
      <c r="D837" s="409">
        <v>0</v>
      </c>
      <c r="E837" s="409">
        <f>1.333*'[161]Civil-SOR'!$G$334</f>
        <v>504.80710000000005</v>
      </c>
      <c r="F837" s="409">
        <f t="shared" ref="F837:F838" si="138">E837*1.1</f>
        <v>555.28781000000015</v>
      </c>
      <c r="G837" s="409">
        <f t="shared" ref="G837:G838" si="139">E837*1.2</f>
        <v>605.76852000000008</v>
      </c>
      <c r="H837" s="409">
        <f t="shared" ref="H837:H838" si="140">E837*1.3</f>
        <v>656.24923000000013</v>
      </c>
      <c r="I837" s="409">
        <f t="shared" ref="I837:I838" si="141">E837*1.4</f>
        <v>706.72994000000006</v>
      </c>
      <c r="J837" s="517"/>
      <c r="K837" s="518"/>
      <c r="L837" s="518"/>
      <c r="M837" s="519"/>
      <c r="N837" s="520"/>
      <c r="O837" s="520"/>
      <c r="P837" s="520"/>
    </row>
    <row r="838" spans="1:64" ht="25">
      <c r="A838" s="426"/>
      <c r="B838" s="426"/>
      <c r="C838" s="417" t="s">
        <v>961</v>
      </c>
      <c r="D838" s="409">
        <v>0</v>
      </c>
      <c r="E838" s="409">
        <f>1.333*'[161]Civil-SOR'!$J$334</f>
        <v>480.41319999999996</v>
      </c>
      <c r="F838" s="409">
        <f t="shared" si="138"/>
        <v>528.45452</v>
      </c>
      <c r="G838" s="409">
        <f t="shared" si="139"/>
        <v>576.49583999999993</v>
      </c>
      <c r="H838" s="409">
        <f t="shared" si="140"/>
        <v>624.53715999999997</v>
      </c>
      <c r="I838" s="409">
        <f t="shared" si="141"/>
        <v>672.5784799999999</v>
      </c>
      <c r="J838" s="517"/>
      <c r="K838" s="518"/>
      <c r="L838" s="518"/>
      <c r="M838" s="519"/>
      <c r="N838" s="520"/>
      <c r="O838" s="520"/>
      <c r="P838" s="520"/>
    </row>
    <row r="839" spans="1:64">
      <c r="A839" s="426"/>
      <c r="B839" s="426"/>
      <c r="C839" s="417" t="str">
        <f>[161]Input!$C$47</f>
        <v>Add for MA @ 40%</v>
      </c>
      <c r="D839" s="409">
        <v>0</v>
      </c>
      <c r="E839" s="409">
        <f>ROUND(E838*[161]Input!$D$47,2)</f>
        <v>192.17</v>
      </c>
      <c r="F839" s="409">
        <f>ROUND(F838*[161]Input!$D$47,2)</f>
        <v>211.38</v>
      </c>
      <c r="G839" s="409">
        <f>ROUND(G838*[161]Input!$D$47,2)</f>
        <v>230.6</v>
      </c>
      <c r="H839" s="409">
        <f>ROUND(H838*[161]Input!$D$47,2)</f>
        <v>249.81</v>
      </c>
      <c r="I839" s="409">
        <f>ROUND(I838*[161]Input!$D$47,2)</f>
        <v>269.02999999999997</v>
      </c>
      <c r="J839" s="517"/>
      <c r="K839" s="518"/>
      <c r="L839" s="518"/>
      <c r="M839" s="519"/>
      <c r="N839" s="520"/>
      <c r="O839" s="520"/>
      <c r="P839" s="520"/>
    </row>
    <row r="840" spans="1:64" ht="13">
      <c r="A840" s="426"/>
      <c r="B840" s="426"/>
      <c r="C840" s="427" t="s">
        <v>724</v>
      </c>
      <c r="D840" s="409">
        <f t="shared" ref="D840:I840" si="142">SUM(D833:D839)</f>
        <v>16502.186764000002</v>
      </c>
      <c r="E840" s="409">
        <f t="shared" si="142"/>
        <v>18252.869420000003</v>
      </c>
      <c r="F840" s="409">
        <f t="shared" si="142"/>
        <v>18943.893806000004</v>
      </c>
      <c r="G840" s="409">
        <f t="shared" si="142"/>
        <v>19637.028164000003</v>
      </c>
      <c r="H840" s="409">
        <f t="shared" si="142"/>
        <v>20328.052550000004</v>
      </c>
      <c r="I840" s="409">
        <f t="shared" si="142"/>
        <v>21019.086936000003</v>
      </c>
      <c r="J840" s="517"/>
      <c r="K840" s="518"/>
      <c r="L840" s="518"/>
      <c r="M840" s="519"/>
      <c r="N840" s="520"/>
      <c r="O840" s="520"/>
      <c r="P840" s="520"/>
    </row>
    <row r="841" spans="1:64" ht="25">
      <c r="A841" s="426"/>
      <c r="B841" s="426"/>
      <c r="C841" s="417" t="str">
        <f>[161]Input!$C$48</f>
        <v>Overheads &amp; Contractors Profit @ 13.615%</v>
      </c>
      <c r="D841" s="409">
        <f>ROUND(D840*[161]Input!$D$48,2)</f>
        <v>2246.77</v>
      </c>
      <c r="E841" s="409">
        <f>ROUND(E840*[161]Input!$D$48,2)</f>
        <v>2485.13</v>
      </c>
      <c r="F841" s="409">
        <f>ROUND(F840*[161]Input!$D$48,2)</f>
        <v>2579.21</v>
      </c>
      <c r="G841" s="409">
        <f>ROUND(G840*[161]Input!$D$48,2)</f>
        <v>2673.58</v>
      </c>
      <c r="H841" s="409">
        <f>ROUND(H840*[161]Input!$D$48,2)</f>
        <v>2767.66</v>
      </c>
      <c r="I841" s="409">
        <f>ROUND(I840*[161]Input!$D$48,2)</f>
        <v>2861.75</v>
      </c>
      <c r="J841" s="517"/>
      <c r="K841" s="518"/>
      <c r="L841" s="518"/>
      <c r="M841" s="519"/>
      <c r="N841" s="520"/>
      <c r="O841" s="520"/>
      <c r="P841" s="520"/>
    </row>
    <row r="842" spans="1:64" ht="13">
      <c r="A842" s="426"/>
      <c r="B842" s="426"/>
      <c r="C842" s="451" t="s">
        <v>724</v>
      </c>
      <c r="D842" s="409">
        <f t="shared" ref="D842:I842" si="143">SUM(D840:D841)</f>
        <v>18748.956764000002</v>
      </c>
      <c r="E842" s="409">
        <f t="shared" si="143"/>
        <v>20737.999420000004</v>
      </c>
      <c r="F842" s="409">
        <f t="shared" si="143"/>
        <v>21523.103806000003</v>
      </c>
      <c r="G842" s="409">
        <f t="shared" si="143"/>
        <v>22310.608164000005</v>
      </c>
      <c r="H842" s="409">
        <f t="shared" si="143"/>
        <v>23095.712550000004</v>
      </c>
      <c r="I842" s="409">
        <f t="shared" si="143"/>
        <v>23880.836936000003</v>
      </c>
      <c r="J842" s="517"/>
      <c r="K842" s="518"/>
      <c r="L842" s="518"/>
      <c r="M842" s="519"/>
      <c r="N842" s="520"/>
      <c r="O842" s="520"/>
      <c r="P842" s="520"/>
    </row>
    <row r="843" spans="1:64" ht="13">
      <c r="A843" s="426"/>
      <c r="B843" s="426"/>
      <c r="C843" s="514" t="s">
        <v>726</v>
      </c>
      <c r="D843" s="416">
        <f t="shared" ref="D843:I843" si="144">ROUND(D842,0)</f>
        <v>18749</v>
      </c>
      <c r="E843" s="416">
        <f t="shared" si="144"/>
        <v>20738</v>
      </c>
      <c r="F843" s="416">
        <f t="shared" si="144"/>
        <v>21523</v>
      </c>
      <c r="G843" s="416">
        <f t="shared" si="144"/>
        <v>22311</v>
      </c>
      <c r="H843" s="416">
        <f t="shared" si="144"/>
        <v>23096</v>
      </c>
      <c r="I843" s="416">
        <f t="shared" si="144"/>
        <v>23881</v>
      </c>
      <c r="J843" s="517"/>
      <c r="K843" s="518"/>
      <c r="L843" s="518"/>
      <c r="M843" s="519"/>
      <c r="N843" s="520"/>
      <c r="O843" s="520"/>
      <c r="P843" s="520"/>
    </row>
    <row r="844" spans="1:64" ht="13">
      <c r="A844" s="426"/>
      <c r="B844" s="426"/>
      <c r="C844" s="514"/>
      <c r="D844" s="416"/>
      <c r="E844" s="416"/>
      <c r="F844" s="416"/>
      <c r="G844" s="416"/>
      <c r="H844" s="416"/>
      <c r="I844" s="416"/>
      <c r="J844" s="517"/>
      <c r="K844" s="518"/>
      <c r="L844" s="518"/>
      <c r="M844" s="519"/>
      <c r="N844" s="520"/>
      <c r="O844" s="520"/>
      <c r="P844" s="520"/>
    </row>
    <row r="845" spans="1:64" ht="13">
      <c r="A845" s="426"/>
      <c r="B845" s="474" t="s">
        <v>730</v>
      </c>
      <c r="C845" s="526" t="s">
        <v>973</v>
      </c>
      <c r="D845" s="416"/>
      <c r="E845" s="416"/>
      <c r="F845" s="416"/>
      <c r="G845" s="416"/>
      <c r="H845" s="416"/>
      <c r="I845" s="414"/>
      <c r="J845" s="400"/>
      <c r="K845" s="401"/>
      <c r="L845" s="401"/>
      <c r="M845" s="404"/>
      <c r="N845" s="404"/>
      <c r="O845" s="404"/>
      <c r="P845" s="404"/>
      <c r="Q845" s="404"/>
      <c r="R845" s="404"/>
      <c r="S845" s="404"/>
      <c r="T845" s="404"/>
      <c r="U845" s="404"/>
      <c r="V845" s="404"/>
      <c r="W845" s="404"/>
      <c r="X845" s="404"/>
      <c r="Y845" s="404"/>
      <c r="Z845" s="404"/>
      <c r="AA845" s="404"/>
      <c r="AB845" s="404"/>
      <c r="AC845" s="404"/>
      <c r="AD845" s="404"/>
      <c r="AE845" s="404"/>
      <c r="AF845" s="404"/>
      <c r="AG845" s="404"/>
      <c r="AH845" s="404"/>
      <c r="AI845" s="404"/>
      <c r="AJ845" s="404"/>
      <c r="AK845" s="404"/>
      <c r="AL845" s="404"/>
      <c r="AM845" s="404"/>
      <c r="AN845" s="404"/>
      <c r="AO845" s="404"/>
      <c r="AP845" s="404"/>
      <c r="AQ845" s="404"/>
      <c r="AR845" s="404"/>
      <c r="AS845" s="404"/>
      <c r="AT845" s="404"/>
      <c r="AU845" s="404"/>
      <c r="AV845" s="404"/>
      <c r="AW845" s="404"/>
      <c r="AX845" s="404"/>
      <c r="AY845" s="404"/>
      <c r="AZ845" s="404"/>
      <c r="BA845" s="404"/>
      <c r="BB845" s="404"/>
      <c r="BC845" s="404"/>
      <c r="BD845" s="404"/>
      <c r="BE845" s="404"/>
      <c r="BF845" s="404"/>
      <c r="BG845" s="404"/>
      <c r="BH845" s="404"/>
      <c r="BI845" s="404"/>
      <c r="BJ845" s="404"/>
      <c r="BK845" s="404"/>
      <c r="BL845" s="404"/>
    </row>
    <row r="846" spans="1:64" ht="13">
      <c r="A846" s="426"/>
      <c r="B846" s="426"/>
      <c r="C846" s="427" t="s">
        <v>974</v>
      </c>
      <c r="D846" s="416"/>
      <c r="E846" s="416"/>
      <c r="F846" s="416"/>
      <c r="G846" s="416"/>
      <c r="H846" s="416"/>
      <c r="I846" s="414"/>
      <c r="J846" s="472"/>
      <c r="K846" s="497"/>
      <c r="L846" s="497"/>
      <c r="M846" s="498"/>
      <c r="N846" s="498"/>
      <c r="O846" s="498"/>
      <c r="P846" s="498"/>
      <c r="Q846" s="404"/>
      <c r="R846" s="404"/>
      <c r="S846" s="404"/>
      <c r="T846" s="404"/>
      <c r="U846" s="404"/>
      <c r="V846" s="404"/>
      <c r="W846" s="404"/>
      <c r="X846" s="404"/>
      <c r="Y846" s="404"/>
      <c r="Z846" s="404"/>
      <c r="AA846" s="404"/>
      <c r="AB846" s="404"/>
      <c r="AC846" s="404"/>
      <c r="AD846" s="404"/>
      <c r="AE846" s="404"/>
      <c r="AF846" s="404"/>
      <c r="AG846" s="404"/>
      <c r="AH846" s="404"/>
      <c r="AI846" s="404"/>
      <c r="AJ846" s="404"/>
      <c r="AK846" s="404"/>
      <c r="AL846" s="404"/>
      <c r="AM846" s="404"/>
      <c r="AN846" s="404"/>
      <c r="AO846" s="404"/>
      <c r="AP846" s="404"/>
      <c r="AQ846" s="404"/>
      <c r="AR846" s="404"/>
      <c r="AS846" s="404"/>
      <c r="AT846" s="404"/>
      <c r="AU846" s="404"/>
      <c r="AV846" s="404"/>
      <c r="AW846" s="404"/>
      <c r="AX846" s="404"/>
      <c r="AY846" s="404"/>
      <c r="AZ846" s="404"/>
      <c r="BA846" s="404"/>
      <c r="BB846" s="404"/>
      <c r="BC846" s="404"/>
      <c r="BD846" s="404"/>
      <c r="BE846" s="404"/>
      <c r="BF846" s="404"/>
      <c r="BG846" s="404"/>
      <c r="BH846" s="404"/>
      <c r="BI846" s="404"/>
      <c r="BJ846" s="404"/>
      <c r="BK846" s="404"/>
      <c r="BL846" s="404"/>
    </row>
    <row r="847" spans="1:64" ht="13">
      <c r="A847" s="426"/>
      <c r="B847" s="426"/>
      <c r="C847" s="417" t="s">
        <v>975</v>
      </c>
      <c r="D847" s="408">
        <v>0.35</v>
      </c>
      <c r="E847" s="430" t="s">
        <v>666</v>
      </c>
      <c r="F847" s="408">
        <f>$I$756</f>
        <v>10165.071260000002</v>
      </c>
      <c r="G847" s="408">
        <v>1</v>
      </c>
      <c r="H847" s="430" t="s">
        <v>666</v>
      </c>
      <c r="I847" s="414">
        <f>IF(G847="",D847*F847,(D847*F847/G847))</f>
        <v>3557.7749410000006</v>
      </c>
      <c r="J847" s="472"/>
      <c r="K847" s="497"/>
      <c r="L847" s="497"/>
      <c r="M847" s="498"/>
      <c r="N847" s="498"/>
      <c r="O847" s="498"/>
      <c r="P847" s="498"/>
      <c r="Q847" s="404"/>
      <c r="R847" s="404"/>
      <c r="S847" s="404"/>
      <c r="T847" s="404"/>
      <c r="U847" s="404"/>
      <c r="V847" s="404"/>
      <c r="W847" s="404"/>
      <c r="X847" s="404"/>
      <c r="Y847" s="404"/>
      <c r="Z847" s="404"/>
      <c r="AA847" s="404"/>
      <c r="AB847" s="404"/>
      <c r="AC847" s="404"/>
      <c r="AD847" s="404"/>
      <c r="AE847" s="404"/>
      <c r="AF847" s="404"/>
      <c r="AG847" s="404"/>
      <c r="AH847" s="404"/>
      <c r="AI847" s="404"/>
      <c r="AJ847" s="404"/>
      <c r="AK847" s="404"/>
      <c r="AL847" s="404"/>
      <c r="AM847" s="404"/>
      <c r="AN847" s="404"/>
      <c r="AO847" s="404"/>
      <c r="AP847" s="404"/>
      <c r="AQ847" s="404"/>
      <c r="AR847" s="404"/>
      <c r="AS847" s="404"/>
      <c r="AT847" s="404"/>
      <c r="AU847" s="404"/>
      <c r="AV847" s="404"/>
      <c r="AW847" s="404"/>
      <c r="AX847" s="404"/>
      <c r="AY847" s="404"/>
      <c r="AZ847" s="404"/>
      <c r="BA847" s="404"/>
      <c r="BB847" s="404"/>
      <c r="BC847" s="404"/>
      <c r="BD847" s="404"/>
      <c r="BE847" s="404"/>
      <c r="BF847" s="404"/>
      <c r="BG847" s="404"/>
      <c r="BH847" s="404"/>
      <c r="BI847" s="404"/>
      <c r="BJ847" s="404"/>
      <c r="BK847" s="404"/>
      <c r="BL847" s="404"/>
    </row>
    <row r="848" spans="1:64" ht="13">
      <c r="A848" s="426"/>
      <c r="B848" s="426"/>
      <c r="C848" s="427"/>
      <c r="D848" s="416"/>
      <c r="E848" s="416"/>
      <c r="F848" s="416"/>
      <c r="G848" s="416"/>
      <c r="H848" s="416"/>
      <c r="I848" s="414"/>
      <c r="J848" s="472"/>
      <c r="K848" s="497"/>
      <c r="L848" s="497"/>
      <c r="M848" s="498"/>
      <c r="N848" s="498"/>
      <c r="O848" s="498"/>
      <c r="P848" s="498"/>
      <c r="Q848" s="404"/>
      <c r="R848" s="404"/>
      <c r="S848" s="404"/>
      <c r="T848" s="404"/>
      <c r="U848" s="404"/>
      <c r="V848" s="404"/>
      <c r="W848" s="404"/>
      <c r="X848" s="404"/>
      <c r="Y848" s="404"/>
      <c r="Z848" s="404"/>
      <c r="AA848" s="404"/>
      <c r="AB848" s="404"/>
      <c r="AC848" s="404"/>
      <c r="AD848" s="404"/>
      <c r="AE848" s="404"/>
      <c r="AF848" s="404"/>
      <c r="AG848" s="404"/>
      <c r="AH848" s="404"/>
      <c r="AI848" s="404"/>
      <c r="AJ848" s="404"/>
      <c r="AK848" s="404"/>
      <c r="AL848" s="404"/>
      <c r="AM848" s="404"/>
      <c r="AN848" s="404"/>
      <c r="AO848" s="404"/>
      <c r="AP848" s="404"/>
      <c r="AQ848" s="404"/>
      <c r="AR848" s="404"/>
      <c r="AS848" s="404"/>
      <c r="AT848" s="404"/>
      <c r="AU848" s="404"/>
      <c r="AV848" s="404"/>
      <c r="AW848" s="404"/>
      <c r="AX848" s="404"/>
      <c r="AY848" s="404"/>
      <c r="AZ848" s="404"/>
      <c r="BA848" s="404"/>
      <c r="BB848" s="404"/>
      <c r="BC848" s="404"/>
      <c r="BD848" s="404"/>
      <c r="BE848" s="404"/>
      <c r="BF848" s="404"/>
      <c r="BG848" s="404"/>
      <c r="BH848" s="404"/>
      <c r="BI848" s="404"/>
      <c r="BJ848" s="404"/>
      <c r="BK848" s="404"/>
      <c r="BL848" s="404"/>
    </row>
    <row r="849" spans="1:64" ht="13">
      <c r="A849" s="426"/>
      <c r="B849" s="426" t="s">
        <v>951</v>
      </c>
      <c r="C849" s="451" t="s">
        <v>952</v>
      </c>
      <c r="D849" s="1303" t="s">
        <v>959</v>
      </c>
      <c r="E849" s="416"/>
      <c r="F849" s="416"/>
      <c r="G849" s="416"/>
      <c r="H849" s="416"/>
      <c r="I849" s="414"/>
      <c r="J849" s="472"/>
      <c r="K849" s="497"/>
      <c r="L849" s="497"/>
      <c r="M849" s="498"/>
      <c r="N849" s="498"/>
      <c r="O849" s="498"/>
      <c r="P849" s="498"/>
      <c r="Q849" s="404"/>
      <c r="R849" s="404"/>
      <c r="S849" s="404"/>
      <c r="T849" s="404"/>
      <c r="U849" s="404"/>
      <c r="V849" s="404"/>
      <c r="W849" s="404"/>
      <c r="X849" s="404"/>
      <c r="Y849" s="404"/>
      <c r="Z849" s="404"/>
      <c r="AA849" s="404"/>
      <c r="AB849" s="404"/>
      <c r="AC849" s="404"/>
      <c r="AD849" s="404"/>
      <c r="AE849" s="404"/>
      <c r="AF849" s="404"/>
      <c r="AG849" s="404"/>
      <c r="AH849" s="404"/>
      <c r="AI849" s="404"/>
      <c r="AJ849" s="404"/>
      <c r="AK849" s="404"/>
      <c r="AL849" s="404"/>
      <c r="AM849" s="404"/>
      <c r="AN849" s="404"/>
      <c r="AO849" s="404"/>
      <c r="AP849" s="404"/>
      <c r="AQ849" s="404"/>
      <c r="AR849" s="404"/>
      <c r="AS849" s="404"/>
      <c r="AT849" s="404"/>
      <c r="AU849" s="404"/>
      <c r="AV849" s="404"/>
      <c r="AW849" s="404"/>
      <c r="AX849" s="404"/>
      <c r="AY849" s="404"/>
      <c r="AZ849" s="404"/>
      <c r="BA849" s="404"/>
      <c r="BB849" s="404"/>
      <c r="BC849" s="404"/>
      <c r="BD849" s="404"/>
      <c r="BE849" s="404"/>
      <c r="BF849" s="404"/>
      <c r="BG849" s="404"/>
      <c r="BH849" s="404"/>
      <c r="BI849" s="404"/>
      <c r="BJ849" s="404"/>
      <c r="BK849" s="404"/>
      <c r="BL849" s="404"/>
    </row>
    <row r="850" spans="1:64" ht="13">
      <c r="A850" s="426"/>
      <c r="B850" s="426"/>
      <c r="C850" s="427" t="s">
        <v>953</v>
      </c>
      <c r="D850" s="1303"/>
      <c r="E850" s="416"/>
      <c r="F850" s="416"/>
      <c r="G850" s="416"/>
      <c r="H850" s="416"/>
      <c r="I850" s="414"/>
      <c r="J850" s="472"/>
      <c r="K850" s="497"/>
      <c r="L850" s="497"/>
      <c r="M850" s="498"/>
      <c r="N850" s="498"/>
      <c r="O850" s="498"/>
      <c r="P850" s="498"/>
      <c r="Q850" s="404"/>
      <c r="R850" s="404"/>
      <c r="S850" s="404"/>
      <c r="T850" s="404"/>
      <c r="U850" s="404"/>
      <c r="V850" s="404"/>
      <c r="W850" s="404"/>
      <c r="X850" s="404"/>
      <c r="Y850" s="404"/>
      <c r="Z850" s="404"/>
      <c r="AA850" s="404"/>
      <c r="AB850" s="404"/>
      <c r="AC850" s="404"/>
      <c r="AD850" s="404"/>
      <c r="AE850" s="404"/>
      <c r="AF850" s="404"/>
      <c r="AG850" s="404"/>
      <c r="AH850" s="404"/>
      <c r="AI850" s="404"/>
      <c r="AJ850" s="404"/>
      <c r="AK850" s="404"/>
      <c r="AL850" s="404"/>
      <c r="AM850" s="404"/>
      <c r="AN850" s="404"/>
      <c r="AO850" s="404"/>
      <c r="AP850" s="404"/>
      <c r="AQ850" s="404"/>
      <c r="AR850" s="404"/>
      <c r="AS850" s="404"/>
      <c r="AT850" s="404"/>
      <c r="AU850" s="404"/>
      <c r="AV850" s="404"/>
      <c r="AW850" s="404"/>
      <c r="AX850" s="404"/>
      <c r="AY850" s="404"/>
      <c r="AZ850" s="404"/>
      <c r="BA850" s="404"/>
      <c r="BB850" s="404"/>
      <c r="BC850" s="404"/>
      <c r="BD850" s="404"/>
      <c r="BE850" s="404"/>
      <c r="BF850" s="404"/>
      <c r="BG850" s="404"/>
      <c r="BH850" s="404"/>
      <c r="BI850" s="404"/>
      <c r="BJ850" s="404"/>
      <c r="BK850" s="404"/>
      <c r="BL850" s="404"/>
    </row>
    <row r="851" spans="1:64" ht="13">
      <c r="A851" s="426"/>
      <c r="B851" s="426"/>
      <c r="C851" s="417" t="s">
        <v>954</v>
      </c>
      <c r="D851" s="409">
        <f>+I847</f>
        <v>3557.7749410000006</v>
      </c>
      <c r="E851" s="416"/>
      <c r="F851" s="416"/>
      <c r="G851" s="416"/>
      <c r="H851" s="416"/>
      <c r="I851" s="414"/>
      <c r="J851" s="472"/>
      <c r="K851" s="497"/>
      <c r="L851" s="497"/>
      <c r="M851" s="498"/>
      <c r="N851" s="498"/>
      <c r="O851" s="498"/>
      <c r="P851" s="498"/>
      <c r="Q851" s="404"/>
      <c r="R851" s="404"/>
      <c r="S851" s="404"/>
      <c r="T851" s="404"/>
      <c r="U851" s="404"/>
      <c r="V851" s="404"/>
      <c r="W851" s="404"/>
      <c r="X851" s="404"/>
      <c r="Y851" s="404"/>
      <c r="Z851" s="404"/>
      <c r="AA851" s="404"/>
      <c r="AB851" s="404"/>
      <c r="AC851" s="404"/>
      <c r="AD851" s="404"/>
      <c r="AE851" s="404"/>
      <c r="AF851" s="404"/>
      <c r="AG851" s="404"/>
      <c r="AH851" s="404"/>
      <c r="AI851" s="404"/>
      <c r="AJ851" s="404"/>
      <c r="AK851" s="404"/>
      <c r="AL851" s="404"/>
      <c r="AM851" s="404"/>
      <c r="AN851" s="404"/>
      <c r="AO851" s="404"/>
      <c r="AP851" s="404"/>
      <c r="AQ851" s="404"/>
      <c r="AR851" s="404"/>
      <c r="AS851" s="404"/>
      <c r="AT851" s="404"/>
      <c r="AU851" s="404"/>
      <c r="AV851" s="404"/>
      <c r="AW851" s="404"/>
      <c r="AX851" s="404"/>
      <c r="AY851" s="404"/>
      <c r="AZ851" s="404"/>
      <c r="BA851" s="404"/>
      <c r="BB851" s="404"/>
      <c r="BC851" s="404"/>
      <c r="BD851" s="404"/>
      <c r="BE851" s="404"/>
      <c r="BF851" s="404"/>
      <c r="BG851" s="404"/>
      <c r="BH851" s="404"/>
      <c r="BI851" s="404"/>
      <c r="BJ851" s="404"/>
      <c r="BK851" s="404"/>
      <c r="BL851" s="404"/>
    </row>
    <row r="852" spans="1:64" ht="13">
      <c r="A852" s="426"/>
      <c r="B852" s="426"/>
      <c r="C852" s="417" t="s">
        <v>921</v>
      </c>
      <c r="D852" s="409">
        <f>'[161]Civil-SOR'!$F$282</f>
        <v>1183</v>
      </c>
      <c r="E852" s="416"/>
      <c r="F852" s="416"/>
      <c r="G852" s="416"/>
      <c r="H852" s="416"/>
      <c r="I852" s="414"/>
      <c r="J852" s="472"/>
      <c r="K852" s="497"/>
      <c r="L852" s="497"/>
      <c r="M852" s="498"/>
      <c r="N852" s="498"/>
      <c r="O852" s="498"/>
      <c r="P852" s="498"/>
      <c r="Q852" s="404"/>
      <c r="R852" s="404"/>
      <c r="S852" s="404"/>
      <c r="T852" s="404"/>
      <c r="U852" s="404"/>
      <c r="V852" s="404"/>
      <c r="W852" s="404"/>
      <c r="X852" s="404"/>
      <c r="Y852" s="404"/>
      <c r="Z852" s="404"/>
      <c r="AA852" s="404"/>
      <c r="AB852" s="404"/>
      <c r="AC852" s="404"/>
      <c r="AD852" s="404"/>
      <c r="AE852" s="404"/>
      <c r="AF852" s="404"/>
      <c r="AG852" s="404"/>
      <c r="AH852" s="404"/>
      <c r="AI852" s="404"/>
      <c r="AJ852" s="404"/>
      <c r="AK852" s="404"/>
      <c r="AL852" s="404"/>
      <c r="AM852" s="404"/>
      <c r="AN852" s="404"/>
      <c r="AO852" s="404"/>
      <c r="AP852" s="404"/>
      <c r="AQ852" s="404"/>
      <c r="AR852" s="404"/>
      <c r="AS852" s="404"/>
      <c r="AT852" s="404"/>
      <c r="AU852" s="404"/>
      <c r="AV852" s="404"/>
      <c r="AW852" s="404"/>
      <c r="AX852" s="404"/>
      <c r="AY852" s="404"/>
      <c r="AZ852" s="404"/>
      <c r="BA852" s="404"/>
      <c r="BB852" s="404"/>
      <c r="BC852" s="404"/>
      <c r="BD852" s="404"/>
      <c r="BE852" s="404"/>
      <c r="BF852" s="404"/>
      <c r="BG852" s="404"/>
      <c r="BH852" s="404"/>
      <c r="BI852" s="404"/>
      <c r="BJ852" s="404"/>
      <c r="BK852" s="404"/>
      <c r="BL852" s="404"/>
    </row>
    <row r="853" spans="1:64" ht="13">
      <c r="A853" s="426"/>
      <c r="B853" s="426"/>
      <c r="C853" s="417" t="s">
        <v>956</v>
      </c>
      <c r="D853" s="409">
        <v>0</v>
      </c>
      <c r="E853" s="416"/>
      <c r="F853" s="416"/>
      <c r="G853" s="416"/>
      <c r="H853" s="416"/>
      <c r="I853" s="414"/>
      <c r="J853" s="472"/>
      <c r="K853" s="497"/>
      <c r="L853" s="497"/>
      <c r="M853" s="498"/>
      <c r="N853" s="498"/>
      <c r="O853" s="498"/>
      <c r="P853" s="498"/>
      <c r="Q853" s="404"/>
      <c r="R853" s="404"/>
      <c r="S853" s="404"/>
      <c r="T853" s="404"/>
      <c r="U853" s="404"/>
      <c r="V853" s="404"/>
      <c r="W853" s="404"/>
      <c r="X853" s="404"/>
      <c r="Y853" s="404"/>
      <c r="Z853" s="404"/>
      <c r="AA853" s="404"/>
      <c r="AB853" s="404"/>
      <c r="AC853" s="404"/>
      <c r="AD853" s="404"/>
      <c r="AE853" s="404"/>
      <c r="AF853" s="404"/>
      <c r="AG853" s="404"/>
      <c r="AH853" s="404"/>
      <c r="AI853" s="404"/>
      <c r="AJ853" s="404"/>
      <c r="AK853" s="404"/>
      <c r="AL853" s="404"/>
      <c r="AM853" s="404"/>
      <c r="AN853" s="404"/>
      <c r="AO853" s="404"/>
      <c r="AP853" s="404"/>
      <c r="AQ853" s="404"/>
      <c r="AR853" s="404"/>
      <c r="AS853" s="404"/>
      <c r="AT853" s="404"/>
      <c r="AU853" s="404"/>
      <c r="AV853" s="404"/>
      <c r="AW853" s="404"/>
      <c r="AX853" s="404"/>
      <c r="AY853" s="404"/>
      <c r="AZ853" s="404"/>
      <c r="BA853" s="404"/>
      <c r="BB853" s="404"/>
      <c r="BC853" s="404"/>
      <c r="BD853" s="404"/>
      <c r="BE853" s="404"/>
      <c r="BF853" s="404"/>
      <c r="BG853" s="404"/>
      <c r="BH853" s="404"/>
      <c r="BI853" s="404"/>
      <c r="BJ853" s="404"/>
      <c r="BK853" s="404"/>
      <c r="BL853" s="404"/>
    </row>
    <row r="854" spans="1:64" ht="13">
      <c r="A854" s="426"/>
      <c r="B854" s="426"/>
      <c r="C854" s="417" t="str">
        <f>[161]Input!$C$47</f>
        <v>Add for MA @ 40%</v>
      </c>
      <c r="D854" s="409">
        <v>0</v>
      </c>
      <c r="E854" s="416"/>
      <c r="F854" s="416"/>
      <c r="G854" s="416"/>
      <c r="H854" s="416"/>
      <c r="I854" s="414"/>
      <c r="J854" s="472"/>
      <c r="K854" s="497"/>
      <c r="L854" s="497"/>
      <c r="M854" s="498"/>
      <c r="N854" s="527"/>
      <c r="O854" s="527"/>
      <c r="P854" s="527"/>
      <c r="Q854" s="404"/>
      <c r="R854" s="404"/>
      <c r="S854" s="404"/>
      <c r="T854" s="404"/>
      <c r="U854" s="404"/>
      <c r="V854" s="404"/>
      <c r="W854" s="404"/>
      <c r="X854" s="404"/>
      <c r="Y854" s="404"/>
      <c r="Z854" s="404"/>
      <c r="AA854" s="404"/>
      <c r="AB854" s="404"/>
      <c r="AC854" s="404"/>
      <c r="AD854" s="404"/>
      <c r="AE854" s="404"/>
      <c r="AF854" s="404"/>
      <c r="AG854" s="404"/>
      <c r="AH854" s="404"/>
      <c r="AI854" s="404"/>
      <c r="AJ854" s="404"/>
      <c r="AK854" s="404"/>
      <c r="AL854" s="404"/>
      <c r="AM854" s="404"/>
      <c r="AN854" s="404"/>
      <c r="AO854" s="404"/>
      <c r="AP854" s="404"/>
      <c r="AQ854" s="404"/>
      <c r="AR854" s="404"/>
      <c r="AS854" s="404"/>
      <c r="AT854" s="404"/>
      <c r="AU854" s="404"/>
      <c r="AV854" s="404"/>
      <c r="AW854" s="404"/>
      <c r="AX854" s="404"/>
      <c r="AY854" s="404"/>
      <c r="AZ854" s="404"/>
      <c r="BA854" s="404"/>
      <c r="BB854" s="404"/>
      <c r="BC854" s="404"/>
      <c r="BD854" s="404"/>
      <c r="BE854" s="404"/>
      <c r="BF854" s="404"/>
      <c r="BG854" s="404"/>
      <c r="BH854" s="404"/>
      <c r="BI854" s="404"/>
      <c r="BJ854" s="404"/>
      <c r="BK854" s="404"/>
      <c r="BL854" s="404"/>
    </row>
    <row r="855" spans="1:64" ht="13">
      <c r="A855" s="426"/>
      <c r="B855" s="426"/>
      <c r="C855" s="427" t="s">
        <v>741</v>
      </c>
      <c r="D855" s="409">
        <f>SUM(D851:D854)</f>
        <v>4740.7749410000006</v>
      </c>
      <c r="E855" s="416"/>
      <c r="F855" s="416"/>
      <c r="G855" s="416"/>
      <c r="H855" s="416"/>
      <c r="I855" s="414"/>
      <c r="J855" s="472"/>
      <c r="K855" s="497"/>
      <c r="L855" s="497"/>
      <c r="M855" s="498"/>
      <c r="N855" s="498"/>
      <c r="O855" s="498"/>
      <c r="P855" s="498"/>
      <c r="Q855" s="404"/>
      <c r="R855" s="404"/>
      <c r="S855" s="404"/>
      <c r="T855" s="404"/>
      <c r="U855" s="404"/>
      <c r="V855" s="404"/>
      <c r="W855" s="404"/>
      <c r="X855" s="404"/>
      <c r="Y855" s="404"/>
      <c r="Z855" s="404"/>
      <c r="AA855" s="404"/>
      <c r="AB855" s="404"/>
      <c r="AC855" s="404"/>
      <c r="AD855" s="404"/>
      <c r="AE855" s="404"/>
      <c r="AF855" s="404"/>
      <c r="AG855" s="404"/>
      <c r="AH855" s="404"/>
      <c r="AI855" s="404"/>
      <c r="AJ855" s="404"/>
      <c r="AK855" s="404"/>
      <c r="AL855" s="404"/>
      <c r="AM855" s="404"/>
      <c r="AN855" s="404"/>
      <c r="AO855" s="404"/>
      <c r="AP855" s="404"/>
      <c r="AQ855" s="404"/>
      <c r="AR855" s="404"/>
      <c r="AS855" s="404"/>
      <c r="AT855" s="404"/>
      <c r="AU855" s="404"/>
      <c r="AV855" s="404"/>
      <c r="AW855" s="404"/>
      <c r="AX855" s="404"/>
      <c r="AY855" s="404"/>
      <c r="AZ855" s="404"/>
      <c r="BA855" s="404"/>
      <c r="BB855" s="404"/>
      <c r="BC855" s="404"/>
      <c r="BD855" s="404"/>
      <c r="BE855" s="404"/>
      <c r="BF855" s="404"/>
      <c r="BG855" s="404"/>
      <c r="BH855" s="404"/>
      <c r="BI855" s="404"/>
      <c r="BJ855" s="404"/>
      <c r="BK855" s="404"/>
      <c r="BL855" s="404"/>
    </row>
    <row r="856" spans="1:64" ht="25">
      <c r="A856" s="426"/>
      <c r="B856" s="426"/>
      <c r="C856" s="417" t="str">
        <f>[161]Input!$C$48</f>
        <v>Overheads &amp; Contractors Profit @ 13.615%</v>
      </c>
      <c r="D856" s="426">
        <f>ROUND(D855*[161]Input!$D$48,2)</f>
        <v>645.46</v>
      </c>
      <c r="E856" s="416"/>
      <c r="F856" s="416"/>
      <c r="G856" s="416"/>
      <c r="H856" s="416"/>
      <c r="I856" s="414"/>
      <c r="J856" s="472"/>
      <c r="K856" s="497"/>
      <c r="L856" s="497"/>
      <c r="M856" s="498"/>
      <c r="N856" s="498"/>
      <c r="O856" s="498"/>
      <c r="P856" s="498"/>
      <c r="Q856" s="404"/>
      <c r="R856" s="404"/>
      <c r="S856" s="404"/>
      <c r="T856" s="404"/>
      <c r="U856" s="404"/>
      <c r="V856" s="404"/>
      <c r="W856" s="404"/>
      <c r="X856" s="404"/>
      <c r="Y856" s="404"/>
      <c r="Z856" s="404"/>
      <c r="AA856" s="404"/>
      <c r="AB856" s="404"/>
      <c r="AC856" s="404"/>
      <c r="AD856" s="404"/>
      <c r="AE856" s="404"/>
      <c r="AF856" s="404"/>
      <c r="AG856" s="404"/>
      <c r="AH856" s="404"/>
      <c r="AI856" s="404"/>
      <c r="AJ856" s="404"/>
      <c r="AK856" s="404"/>
      <c r="AL856" s="404"/>
      <c r="AM856" s="404"/>
      <c r="AN856" s="404"/>
      <c r="AO856" s="404"/>
      <c r="AP856" s="404"/>
      <c r="AQ856" s="404"/>
      <c r="AR856" s="404"/>
      <c r="AS856" s="404"/>
      <c r="AT856" s="404"/>
      <c r="AU856" s="404"/>
      <c r="AV856" s="404"/>
      <c r="AW856" s="404"/>
      <c r="AX856" s="404"/>
      <c r="AY856" s="404"/>
      <c r="AZ856" s="404"/>
      <c r="BA856" s="404"/>
      <c r="BB856" s="404"/>
      <c r="BC856" s="404"/>
      <c r="BD856" s="404"/>
      <c r="BE856" s="404"/>
      <c r="BF856" s="404"/>
      <c r="BG856" s="404"/>
      <c r="BH856" s="404"/>
      <c r="BI856" s="404"/>
      <c r="BJ856" s="404"/>
      <c r="BK856" s="404"/>
      <c r="BL856" s="404"/>
    </row>
    <row r="857" spans="1:64" ht="13">
      <c r="A857" s="426"/>
      <c r="B857" s="426"/>
      <c r="C857" s="427" t="s">
        <v>742</v>
      </c>
      <c r="D857" s="409">
        <f>SUM(D855:D856)</f>
        <v>5386.2349410000006</v>
      </c>
      <c r="E857" s="416"/>
      <c r="F857" s="416"/>
      <c r="G857" s="416"/>
      <c r="H857" s="416"/>
      <c r="I857" s="414"/>
      <c r="J857" s="472"/>
      <c r="K857" s="497"/>
      <c r="L857" s="497"/>
      <c r="M857" s="498"/>
      <c r="N857" s="504"/>
      <c r="O857" s="504"/>
      <c r="P857" s="504"/>
      <c r="Q857" s="404"/>
      <c r="R857" s="404"/>
      <c r="S857" s="404"/>
      <c r="T857" s="404"/>
      <c r="U857" s="404"/>
      <c r="V857" s="404"/>
      <c r="W857" s="404"/>
      <c r="X857" s="404"/>
      <c r="Y857" s="404"/>
      <c r="Z857" s="404"/>
      <c r="AA857" s="404"/>
      <c r="AB857" s="404"/>
      <c r="AC857" s="404"/>
      <c r="AD857" s="404"/>
      <c r="AE857" s="404"/>
      <c r="AF857" s="404"/>
      <c r="AG857" s="404"/>
      <c r="AH857" s="404"/>
      <c r="AI857" s="404"/>
      <c r="AJ857" s="404"/>
      <c r="AK857" s="404"/>
      <c r="AL857" s="404"/>
      <c r="AM857" s="404"/>
      <c r="AN857" s="404"/>
      <c r="AO857" s="404"/>
      <c r="AP857" s="404"/>
      <c r="AQ857" s="404"/>
      <c r="AR857" s="404"/>
      <c r="AS857" s="404"/>
      <c r="AT857" s="404"/>
      <c r="AU857" s="404"/>
      <c r="AV857" s="404"/>
      <c r="AW857" s="404"/>
      <c r="AX857" s="404"/>
      <c r="AY857" s="404"/>
      <c r="AZ857" s="404"/>
      <c r="BA857" s="404"/>
      <c r="BB857" s="404"/>
      <c r="BC857" s="404"/>
      <c r="BD857" s="404"/>
      <c r="BE857" s="404"/>
      <c r="BF857" s="404"/>
      <c r="BG857" s="404"/>
      <c r="BH857" s="404"/>
      <c r="BI857" s="404"/>
      <c r="BJ857" s="404"/>
      <c r="BK857" s="404"/>
      <c r="BL857" s="404"/>
    </row>
    <row r="858" spans="1:64" ht="13">
      <c r="A858" s="426"/>
      <c r="B858" s="426"/>
      <c r="C858" s="514" t="s">
        <v>726</v>
      </c>
      <c r="D858" s="416">
        <f>ROUND(D857,0)</f>
        <v>5386</v>
      </c>
      <c r="E858" s="416"/>
      <c r="F858" s="416"/>
      <c r="G858" s="416"/>
      <c r="H858" s="416"/>
      <c r="I858" s="414"/>
      <c r="J858" s="472"/>
      <c r="K858" s="497"/>
      <c r="L858" s="497"/>
      <c r="M858" s="498"/>
      <c r="N858" s="504"/>
      <c r="O858" s="504"/>
      <c r="P858" s="504"/>
      <c r="Q858" s="404"/>
      <c r="R858" s="404"/>
      <c r="S858" s="404"/>
      <c r="T858" s="404"/>
      <c r="U858" s="404"/>
      <c r="V858" s="404"/>
      <c r="W858" s="404"/>
      <c r="X858" s="404"/>
      <c r="Y858" s="404"/>
      <c r="Z858" s="404"/>
      <c r="AA858" s="404"/>
      <c r="AB858" s="404"/>
      <c r="AC858" s="404"/>
      <c r="AD858" s="404"/>
      <c r="AE858" s="404"/>
      <c r="AF858" s="404"/>
      <c r="AG858" s="404"/>
      <c r="AH858" s="404"/>
      <c r="AI858" s="404"/>
      <c r="AJ858" s="404"/>
      <c r="AK858" s="404"/>
      <c r="AL858" s="404"/>
      <c r="AM858" s="404"/>
      <c r="AN858" s="404"/>
      <c r="AO858" s="404"/>
      <c r="AP858" s="404"/>
      <c r="AQ858" s="404"/>
      <c r="AR858" s="404"/>
      <c r="AS858" s="404"/>
      <c r="AT858" s="404"/>
      <c r="AU858" s="404"/>
      <c r="AV858" s="404"/>
      <c r="AW858" s="404"/>
      <c r="AX858" s="404"/>
      <c r="AY858" s="404"/>
      <c r="AZ858" s="404"/>
      <c r="BA858" s="404"/>
      <c r="BB858" s="404"/>
      <c r="BC858" s="404"/>
      <c r="BD858" s="404"/>
      <c r="BE858" s="404"/>
      <c r="BF858" s="404"/>
      <c r="BG858" s="404"/>
      <c r="BH858" s="404"/>
      <c r="BI858" s="404"/>
      <c r="BJ858" s="404"/>
      <c r="BK858" s="404"/>
      <c r="BL858" s="404"/>
    </row>
    <row r="859" spans="1:64" ht="13">
      <c r="A859" s="426"/>
      <c r="B859" s="426"/>
      <c r="C859" s="417"/>
      <c r="D859" s="416"/>
      <c r="E859" s="416"/>
      <c r="F859" s="416"/>
      <c r="G859" s="416"/>
      <c r="H859" s="416"/>
      <c r="I859" s="414"/>
      <c r="J859" s="472"/>
      <c r="K859" s="497"/>
      <c r="L859" s="497"/>
      <c r="M859" s="498"/>
      <c r="N859" s="498"/>
      <c r="O859" s="498"/>
      <c r="P859" s="498"/>
      <c r="Q859" s="404"/>
      <c r="R859" s="404"/>
      <c r="S859" s="404"/>
      <c r="T859" s="404"/>
      <c r="U859" s="404"/>
      <c r="V859" s="404"/>
      <c r="W859" s="404"/>
      <c r="X859" s="404"/>
      <c r="Y859" s="404"/>
      <c r="Z859" s="404"/>
      <c r="AA859" s="404"/>
      <c r="AB859" s="404"/>
      <c r="AC859" s="404"/>
      <c r="AD859" s="404"/>
      <c r="AE859" s="404"/>
      <c r="AF859" s="404"/>
      <c r="AG859" s="404"/>
      <c r="AH859" s="404"/>
      <c r="AI859" s="404"/>
      <c r="AJ859" s="404"/>
      <c r="AK859" s="404"/>
      <c r="AL859" s="404"/>
      <c r="AM859" s="404"/>
      <c r="AN859" s="404"/>
      <c r="AO859" s="404"/>
      <c r="AP859" s="404"/>
      <c r="AQ859" s="404"/>
      <c r="AR859" s="404"/>
      <c r="AS859" s="404"/>
      <c r="AT859" s="404"/>
      <c r="AU859" s="404"/>
      <c r="AV859" s="404"/>
      <c r="AW859" s="404"/>
      <c r="AX859" s="404"/>
      <c r="AY859" s="404"/>
      <c r="AZ859" s="404"/>
      <c r="BA859" s="404"/>
      <c r="BB859" s="404"/>
      <c r="BC859" s="404"/>
      <c r="BD859" s="404"/>
      <c r="BE859" s="404"/>
      <c r="BF859" s="404"/>
      <c r="BG859" s="404"/>
      <c r="BH859" s="404"/>
      <c r="BI859" s="404"/>
      <c r="BJ859" s="404"/>
      <c r="BK859" s="404"/>
      <c r="BL859" s="404"/>
    </row>
    <row r="860" spans="1:64" ht="13">
      <c r="A860" s="426"/>
      <c r="B860" s="426"/>
      <c r="C860" s="427" t="s">
        <v>976</v>
      </c>
      <c r="D860" s="416"/>
      <c r="E860" s="416"/>
      <c r="F860" s="416"/>
      <c r="G860" s="416"/>
      <c r="H860" s="416"/>
      <c r="I860" s="414"/>
      <c r="J860" s="400"/>
      <c r="K860" s="401"/>
      <c r="L860" s="401"/>
      <c r="M860" s="404"/>
      <c r="N860" s="404"/>
      <c r="O860" s="404"/>
      <c r="P860" s="404"/>
      <c r="Q860" s="404"/>
      <c r="R860" s="404"/>
      <c r="S860" s="404"/>
      <c r="T860" s="404"/>
      <c r="U860" s="404"/>
      <c r="V860" s="404"/>
      <c r="W860" s="404"/>
      <c r="X860" s="404"/>
      <c r="Y860" s="404"/>
      <c r="Z860" s="404"/>
      <c r="AA860" s="404"/>
      <c r="AB860" s="404"/>
      <c r="AC860" s="404"/>
      <c r="AD860" s="404"/>
      <c r="AE860" s="404"/>
      <c r="AF860" s="404"/>
      <c r="AG860" s="404"/>
      <c r="AH860" s="404"/>
      <c r="AI860" s="404"/>
      <c r="AJ860" s="404"/>
      <c r="AK860" s="404"/>
      <c r="AL860" s="404"/>
      <c r="AM860" s="404"/>
      <c r="AN860" s="404"/>
      <c r="AO860" s="404"/>
      <c r="AP860" s="404"/>
      <c r="AQ860" s="404"/>
      <c r="AR860" s="404"/>
      <c r="AS860" s="404"/>
      <c r="AT860" s="404"/>
      <c r="AU860" s="404"/>
      <c r="AV860" s="404"/>
      <c r="AW860" s="404"/>
      <c r="AX860" s="404"/>
      <c r="AY860" s="404"/>
      <c r="AZ860" s="404"/>
      <c r="BA860" s="404"/>
      <c r="BB860" s="404"/>
      <c r="BC860" s="404"/>
      <c r="BD860" s="404"/>
      <c r="BE860" s="404"/>
      <c r="BF860" s="404"/>
      <c r="BG860" s="404"/>
      <c r="BH860" s="404"/>
      <c r="BI860" s="404"/>
      <c r="BJ860" s="404"/>
      <c r="BK860" s="404"/>
      <c r="BL860" s="404"/>
    </row>
    <row r="861" spans="1:64" ht="13">
      <c r="A861" s="426"/>
      <c r="B861" s="426"/>
      <c r="C861" s="417" t="s">
        <v>975</v>
      </c>
      <c r="D861" s="408">
        <v>0.15</v>
      </c>
      <c r="E861" s="430" t="s">
        <v>666</v>
      </c>
      <c r="F861" s="409">
        <f>$I$756</f>
        <v>10165.071260000002</v>
      </c>
      <c r="G861" s="408">
        <v>1</v>
      </c>
      <c r="H861" s="430" t="s">
        <v>666</v>
      </c>
      <c r="I861" s="414">
        <f>IF(G861="",D861*F861,(D861*F861/G861))</f>
        <v>1524.7606890000004</v>
      </c>
      <c r="J861" s="400"/>
      <c r="K861" s="401"/>
      <c r="L861" s="401"/>
      <c r="M861" s="404"/>
      <c r="N861" s="404"/>
      <c r="O861" s="404"/>
      <c r="P861" s="404"/>
      <c r="Q861" s="404"/>
      <c r="R861" s="404"/>
      <c r="S861" s="404"/>
      <c r="T861" s="404"/>
      <c r="U861" s="404"/>
      <c r="V861" s="404"/>
      <c r="W861" s="404"/>
      <c r="X861" s="404"/>
      <c r="Y861" s="404"/>
      <c r="Z861" s="404"/>
      <c r="AA861" s="404"/>
      <c r="AB861" s="404"/>
      <c r="AC861" s="404"/>
      <c r="AD861" s="404"/>
      <c r="AE861" s="404"/>
      <c r="AF861" s="404"/>
      <c r="AG861" s="404"/>
      <c r="AH861" s="404"/>
      <c r="AI861" s="404"/>
      <c r="AJ861" s="404"/>
      <c r="AK861" s="404"/>
      <c r="AL861" s="404"/>
      <c r="AM861" s="404"/>
      <c r="AN861" s="404"/>
      <c r="AO861" s="404"/>
      <c r="AP861" s="404"/>
      <c r="AQ861" s="404"/>
      <c r="AR861" s="404"/>
      <c r="AS861" s="404"/>
      <c r="AT861" s="404"/>
      <c r="AU861" s="404"/>
      <c r="AV861" s="404"/>
      <c r="AW861" s="404"/>
      <c r="AX861" s="404"/>
      <c r="AY861" s="404"/>
      <c r="AZ861" s="404"/>
      <c r="BA861" s="404"/>
      <c r="BB861" s="404"/>
      <c r="BC861" s="404"/>
      <c r="BD861" s="404"/>
      <c r="BE861" s="404"/>
      <c r="BF861" s="404"/>
      <c r="BG861" s="404"/>
      <c r="BH861" s="404"/>
      <c r="BI861" s="404"/>
      <c r="BJ861" s="404"/>
      <c r="BK861" s="404"/>
      <c r="BL861" s="404"/>
    </row>
    <row r="862" spans="1:64" ht="13">
      <c r="A862" s="426"/>
      <c r="B862" s="426"/>
      <c r="C862" s="427"/>
      <c r="D862" s="416"/>
      <c r="E862" s="416"/>
      <c r="F862" s="416"/>
      <c r="G862" s="416"/>
      <c r="H862" s="416"/>
      <c r="I862" s="414"/>
      <c r="J862" s="400"/>
      <c r="K862" s="401"/>
      <c r="L862" s="401"/>
      <c r="M862" s="404"/>
      <c r="N862" s="404"/>
      <c r="O862" s="404"/>
      <c r="P862" s="404"/>
      <c r="Q862" s="404"/>
      <c r="R862" s="404"/>
      <c r="S862" s="404"/>
      <c r="T862" s="404"/>
      <c r="U862" s="404"/>
      <c r="V862" s="404"/>
      <c r="W862" s="404"/>
      <c r="X862" s="404"/>
      <c r="Y862" s="404"/>
      <c r="Z862" s="404"/>
      <c r="AA862" s="404"/>
      <c r="AB862" s="404"/>
      <c r="AC862" s="404"/>
      <c r="AD862" s="404"/>
      <c r="AE862" s="404"/>
      <c r="AF862" s="404"/>
      <c r="AG862" s="404"/>
      <c r="AH862" s="404"/>
      <c r="AI862" s="404"/>
      <c r="AJ862" s="404"/>
      <c r="AK862" s="404"/>
      <c r="AL862" s="404"/>
      <c r="AM862" s="404"/>
      <c r="AN862" s="404"/>
      <c r="AO862" s="404"/>
      <c r="AP862" s="404"/>
      <c r="AQ862" s="404"/>
      <c r="AR862" s="404"/>
      <c r="AS862" s="404"/>
      <c r="AT862" s="404"/>
      <c r="AU862" s="404"/>
      <c r="AV862" s="404"/>
      <c r="AW862" s="404"/>
      <c r="AX862" s="404"/>
      <c r="AY862" s="404"/>
      <c r="AZ862" s="404"/>
      <c r="BA862" s="404"/>
      <c r="BB862" s="404"/>
      <c r="BC862" s="404"/>
      <c r="BD862" s="404"/>
      <c r="BE862" s="404"/>
      <c r="BF862" s="404"/>
      <c r="BG862" s="404"/>
      <c r="BH862" s="404"/>
      <c r="BI862" s="404"/>
      <c r="BJ862" s="404"/>
      <c r="BK862" s="404"/>
      <c r="BL862" s="404"/>
    </row>
    <row r="863" spans="1:64" ht="13">
      <c r="A863" s="426"/>
      <c r="B863" s="426" t="s">
        <v>951</v>
      </c>
      <c r="C863" s="521" t="s">
        <v>952</v>
      </c>
      <c r="D863" s="1303" t="s">
        <v>959</v>
      </c>
      <c r="E863" s="1283" t="s">
        <v>943</v>
      </c>
      <c r="F863" s="1308" t="s">
        <v>944</v>
      </c>
      <c r="G863" s="1308" t="s">
        <v>945</v>
      </c>
      <c r="H863" s="1308" t="s">
        <v>946</v>
      </c>
      <c r="I863" s="1308" t="s">
        <v>947</v>
      </c>
      <c r="J863" s="400"/>
      <c r="K863" s="401"/>
      <c r="L863" s="401"/>
      <c r="M863" s="404"/>
      <c r="N863" s="404"/>
      <c r="O863" s="404"/>
      <c r="P863" s="404"/>
      <c r="Q863" s="404"/>
      <c r="R863" s="404"/>
      <c r="S863" s="404"/>
      <c r="T863" s="404"/>
      <c r="U863" s="404"/>
      <c r="V863" s="404"/>
      <c r="W863" s="404"/>
      <c r="X863" s="404"/>
      <c r="Y863" s="404"/>
      <c r="Z863" s="404"/>
      <c r="AA863" s="404"/>
      <c r="AB863" s="404"/>
      <c r="AC863" s="404"/>
      <c r="AD863" s="404"/>
      <c r="AE863" s="404"/>
      <c r="AF863" s="404"/>
      <c r="AG863" s="404"/>
      <c r="AH863" s="404"/>
      <c r="AI863" s="404"/>
      <c r="AJ863" s="404"/>
      <c r="AK863" s="404"/>
      <c r="AL863" s="404"/>
      <c r="AM863" s="404"/>
      <c r="AN863" s="404"/>
      <c r="AO863" s="404"/>
      <c r="AP863" s="404"/>
      <c r="AQ863" s="404"/>
      <c r="AR863" s="404"/>
      <c r="AS863" s="404"/>
      <c r="AT863" s="404"/>
      <c r="AU863" s="404"/>
      <c r="AV863" s="404"/>
      <c r="AW863" s="404"/>
      <c r="AX863" s="404"/>
      <c r="AY863" s="404"/>
      <c r="AZ863" s="404"/>
      <c r="BA863" s="404"/>
      <c r="BB863" s="404"/>
      <c r="BC863" s="404"/>
      <c r="BD863" s="404"/>
      <c r="BE863" s="404"/>
      <c r="BF863" s="404"/>
      <c r="BG863" s="404"/>
      <c r="BH863" s="404"/>
      <c r="BI863" s="404"/>
      <c r="BJ863" s="404"/>
      <c r="BK863" s="404"/>
      <c r="BL863" s="404"/>
    </row>
    <row r="864" spans="1:64" ht="13">
      <c r="A864" s="426"/>
      <c r="B864" s="426"/>
      <c r="C864" s="427" t="s">
        <v>953</v>
      </c>
      <c r="D864" s="1303"/>
      <c r="E864" s="1283"/>
      <c r="F864" s="1308"/>
      <c r="G864" s="1308"/>
      <c r="H864" s="1308"/>
      <c r="I864" s="1308"/>
      <c r="J864" s="400"/>
      <c r="K864" s="401"/>
      <c r="L864" s="401"/>
      <c r="M864" s="404"/>
      <c r="N864" s="404"/>
      <c r="O864" s="404"/>
      <c r="P864" s="404"/>
      <c r="Q864" s="404"/>
      <c r="R864" s="404"/>
      <c r="S864" s="404"/>
      <c r="T864" s="404"/>
      <c r="U864" s="404"/>
      <c r="V864" s="404"/>
      <c r="W864" s="404"/>
      <c r="X864" s="404"/>
      <c r="Y864" s="404"/>
      <c r="Z864" s="404"/>
      <c r="AA864" s="404"/>
      <c r="AB864" s="404"/>
      <c r="AC864" s="404"/>
      <c r="AD864" s="404"/>
      <c r="AE864" s="404"/>
      <c r="AF864" s="404"/>
      <c r="AG864" s="404"/>
      <c r="AH864" s="404"/>
      <c r="AI864" s="404"/>
      <c r="AJ864" s="404"/>
      <c r="AK864" s="404"/>
      <c r="AL864" s="404"/>
      <c r="AM864" s="404"/>
      <c r="AN864" s="404"/>
      <c r="AO864" s="404"/>
      <c r="AP864" s="404"/>
      <c r="AQ864" s="404"/>
      <c r="AR864" s="404"/>
      <c r="AS864" s="404"/>
      <c r="AT864" s="404"/>
      <c r="AU864" s="404"/>
      <c r="AV864" s="404"/>
      <c r="AW864" s="404"/>
      <c r="AX864" s="404"/>
      <c r="AY864" s="404"/>
      <c r="AZ864" s="404"/>
      <c r="BA864" s="404"/>
      <c r="BB864" s="404"/>
      <c r="BC864" s="404"/>
      <c r="BD864" s="404"/>
      <c r="BE864" s="404"/>
      <c r="BF864" s="404"/>
      <c r="BG864" s="404"/>
      <c r="BH864" s="404"/>
      <c r="BI864" s="404"/>
      <c r="BJ864" s="404"/>
      <c r="BK864" s="404"/>
      <c r="BL864" s="404"/>
    </row>
    <row r="865" spans="1:64">
      <c r="A865" s="426"/>
      <c r="B865" s="426"/>
      <c r="C865" s="417" t="s">
        <v>954</v>
      </c>
      <c r="D865" s="409">
        <f t="shared" ref="D865:I865" si="145">$I$861</f>
        <v>1524.7606890000004</v>
      </c>
      <c r="E865" s="409">
        <f t="shared" si="145"/>
        <v>1524.7606890000004</v>
      </c>
      <c r="F865" s="409">
        <f t="shared" si="145"/>
        <v>1524.7606890000004</v>
      </c>
      <c r="G865" s="409">
        <f t="shared" si="145"/>
        <v>1524.7606890000004</v>
      </c>
      <c r="H865" s="409">
        <f t="shared" si="145"/>
        <v>1524.7606890000004</v>
      </c>
      <c r="I865" s="409">
        <f t="shared" si="145"/>
        <v>1524.7606890000004</v>
      </c>
      <c r="J865" s="400"/>
      <c r="K865" s="401"/>
      <c r="L865" s="401"/>
      <c r="M865" s="404"/>
      <c r="N865" s="404"/>
      <c r="O865" s="404"/>
      <c r="P865" s="404"/>
      <c r="Q865" s="404"/>
      <c r="R865" s="404"/>
      <c r="S865" s="404"/>
      <c r="T865" s="404"/>
      <c r="U865" s="404"/>
      <c r="V865" s="404"/>
      <c r="W865" s="404"/>
      <c r="X865" s="404"/>
      <c r="Y865" s="404"/>
      <c r="Z865" s="404"/>
      <c r="AA865" s="404"/>
      <c r="AB865" s="404"/>
      <c r="AC865" s="404"/>
      <c r="AD865" s="404"/>
      <c r="AE865" s="404"/>
      <c r="AF865" s="404"/>
      <c r="AG865" s="404"/>
      <c r="AH865" s="404"/>
      <c r="AI865" s="404"/>
      <c r="AJ865" s="404"/>
      <c r="AK865" s="404"/>
      <c r="AL865" s="404"/>
      <c r="AM865" s="404"/>
      <c r="AN865" s="404"/>
      <c r="AO865" s="404"/>
      <c r="AP865" s="404"/>
      <c r="AQ865" s="404"/>
      <c r="AR865" s="404"/>
      <c r="AS865" s="404"/>
      <c r="AT865" s="404"/>
      <c r="AU865" s="404"/>
      <c r="AV865" s="404"/>
      <c r="AW865" s="404"/>
      <c r="AX865" s="404"/>
      <c r="AY865" s="404"/>
      <c r="AZ865" s="404"/>
      <c r="BA865" s="404"/>
      <c r="BB865" s="404"/>
      <c r="BC865" s="404"/>
      <c r="BD865" s="404"/>
      <c r="BE865" s="404"/>
      <c r="BF865" s="404"/>
      <c r="BG865" s="404"/>
      <c r="BH865" s="404"/>
      <c r="BI865" s="404"/>
      <c r="BJ865" s="404"/>
      <c r="BK865" s="404"/>
      <c r="BL865" s="404"/>
    </row>
    <row r="866" spans="1:64">
      <c r="A866" s="426"/>
      <c r="B866" s="426"/>
      <c r="C866" s="483" t="s">
        <v>921</v>
      </c>
      <c r="D866" s="409">
        <f>'[161]Civil-SOR'!$F$282</f>
        <v>1183</v>
      </c>
      <c r="E866" s="409">
        <f>'[161]Civil-SOR'!$F$282</f>
        <v>1183</v>
      </c>
      <c r="F866" s="409">
        <f>'[161]Civil-SOR'!$F$282</f>
        <v>1183</v>
      </c>
      <c r="G866" s="409">
        <f>'[161]Civil-SOR'!$F$282</f>
        <v>1183</v>
      </c>
      <c r="H866" s="409">
        <f>'[161]Civil-SOR'!$F$282</f>
        <v>1183</v>
      </c>
      <c r="I866" s="409">
        <f>'[161]Civil-SOR'!$F$282</f>
        <v>1183</v>
      </c>
      <c r="J866" s="400"/>
      <c r="K866" s="401"/>
      <c r="L866" s="401"/>
      <c r="M866" s="404"/>
      <c r="N866" s="404"/>
      <c r="O866" s="404"/>
      <c r="P866" s="404"/>
      <c r="Q866" s="404"/>
      <c r="R866" s="404"/>
      <c r="S866" s="404"/>
      <c r="T866" s="404"/>
      <c r="U866" s="404"/>
      <c r="V866" s="404"/>
      <c r="W866" s="404"/>
      <c r="X866" s="404"/>
      <c r="Y866" s="404"/>
      <c r="Z866" s="404"/>
      <c r="AA866" s="404"/>
      <c r="AB866" s="404"/>
      <c r="AC866" s="404"/>
      <c r="AD866" s="404"/>
      <c r="AE866" s="404"/>
      <c r="AF866" s="404"/>
      <c r="AG866" s="404"/>
      <c r="AH866" s="404"/>
      <c r="AI866" s="404"/>
      <c r="AJ866" s="404"/>
      <c r="AK866" s="404"/>
      <c r="AL866" s="404"/>
      <c r="AM866" s="404"/>
      <c r="AN866" s="404"/>
      <c r="AO866" s="404"/>
      <c r="AP866" s="404"/>
      <c r="AQ866" s="404"/>
      <c r="AR866" s="404"/>
      <c r="AS866" s="404"/>
      <c r="AT866" s="404"/>
      <c r="AU866" s="404"/>
      <c r="AV866" s="404"/>
      <c r="AW866" s="404"/>
      <c r="AX866" s="404"/>
      <c r="AY866" s="404"/>
      <c r="AZ866" s="404"/>
      <c r="BA866" s="404"/>
      <c r="BB866" s="404"/>
      <c r="BC866" s="404"/>
      <c r="BD866" s="404"/>
      <c r="BE866" s="404"/>
      <c r="BF866" s="404"/>
      <c r="BG866" s="404"/>
      <c r="BH866" s="404"/>
      <c r="BI866" s="404"/>
      <c r="BJ866" s="404"/>
      <c r="BK866" s="404"/>
      <c r="BL866" s="404"/>
    </row>
    <row r="867" spans="1:64">
      <c r="A867" s="426"/>
      <c r="B867" s="426"/>
      <c r="C867" s="417" t="s">
        <v>956</v>
      </c>
      <c r="D867" s="409">
        <v>0</v>
      </c>
      <c r="E867" s="409">
        <f>$F$748*$D$861*10%</f>
        <v>46.510649999999998</v>
      </c>
      <c r="F867" s="409">
        <f>$F$748*$D$861*20%</f>
        <v>93.021299999999997</v>
      </c>
      <c r="G867" s="409">
        <f>$F$748*$D$861*30%</f>
        <v>139.53194999999999</v>
      </c>
      <c r="H867" s="409">
        <f>$F$748*$D$861*40%</f>
        <v>186.04259999999999</v>
      </c>
      <c r="I867" s="409">
        <f>$F$748*$D$861*50%</f>
        <v>232.55324999999999</v>
      </c>
      <c r="J867" s="400"/>
      <c r="K867" s="401"/>
      <c r="L867" s="401"/>
      <c r="M867" s="404"/>
      <c r="N867" s="404"/>
      <c r="O867" s="404"/>
      <c r="P867" s="404"/>
      <c r="Q867" s="404"/>
      <c r="R867" s="404"/>
      <c r="S867" s="404"/>
      <c r="T867" s="404"/>
      <c r="U867" s="404"/>
      <c r="V867" s="404"/>
      <c r="W867" s="404"/>
      <c r="X867" s="404"/>
      <c r="Y867" s="404"/>
      <c r="Z867" s="404"/>
      <c r="AA867" s="404"/>
      <c r="AB867" s="404"/>
      <c r="AC867" s="404"/>
      <c r="AD867" s="404"/>
      <c r="AE867" s="404"/>
      <c r="AF867" s="404"/>
      <c r="AG867" s="404"/>
      <c r="AH867" s="404"/>
      <c r="AI867" s="404"/>
      <c r="AJ867" s="404"/>
      <c r="AK867" s="404"/>
      <c r="AL867" s="404"/>
      <c r="AM867" s="404"/>
      <c r="AN867" s="404"/>
      <c r="AO867" s="404"/>
      <c r="AP867" s="404"/>
      <c r="AQ867" s="404"/>
      <c r="AR867" s="404"/>
      <c r="AS867" s="404"/>
      <c r="AT867" s="404"/>
      <c r="AU867" s="404"/>
      <c r="AV867" s="404"/>
      <c r="AW867" s="404"/>
      <c r="AX867" s="404"/>
      <c r="AY867" s="404"/>
      <c r="AZ867" s="404"/>
      <c r="BA867" s="404"/>
      <c r="BB867" s="404"/>
      <c r="BC867" s="404"/>
      <c r="BD867" s="404"/>
      <c r="BE867" s="404"/>
      <c r="BF867" s="404"/>
      <c r="BG867" s="404"/>
      <c r="BH867" s="404"/>
      <c r="BI867" s="404"/>
      <c r="BJ867" s="404"/>
      <c r="BK867" s="404"/>
      <c r="BL867" s="404"/>
    </row>
    <row r="868" spans="1:64">
      <c r="A868" s="426"/>
      <c r="B868" s="426"/>
      <c r="C868" s="417" t="str">
        <f>[161]Input!$C$47</f>
        <v>Add for MA @ 40%</v>
      </c>
      <c r="D868" s="409">
        <v>0</v>
      </c>
      <c r="E868" s="409">
        <f>ROUND(E867*[161]Input!$D$47,2)</f>
        <v>18.600000000000001</v>
      </c>
      <c r="F868" s="409">
        <f>ROUND(F867*[161]Input!$D$47,2)</f>
        <v>37.21</v>
      </c>
      <c r="G868" s="409">
        <f>ROUND(G867*[161]Input!$D$47,2)</f>
        <v>55.81</v>
      </c>
      <c r="H868" s="409">
        <f>ROUND(H867*[161]Input!$D$47,2)</f>
        <v>74.42</v>
      </c>
      <c r="I868" s="409">
        <f>ROUND(I867*[161]Input!$D$47,2)</f>
        <v>93.02</v>
      </c>
      <c r="J868" s="400"/>
      <c r="K868" s="401"/>
      <c r="L868" s="401"/>
      <c r="M868" s="404"/>
      <c r="N868" s="528"/>
      <c r="O868" s="528"/>
      <c r="P868" s="528"/>
      <c r="Q868" s="528"/>
      <c r="R868" s="528"/>
      <c r="S868" s="404"/>
      <c r="T868" s="404"/>
      <c r="U868" s="404"/>
      <c r="V868" s="404"/>
      <c r="W868" s="404"/>
      <c r="X868" s="404"/>
      <c r="Y868" s="404"/>
      <c r="Z868" s="404"/>
      <c r="AA868" s="404"/>
      <c r="AB868" s="404"/>
      <c r="AC868" s="404"/>
      <c r="AD868" s="404"/>
      <c r="AE868" s="404"/>
      <c r="AF868" s="404"/>
      <c r="AG868" s="404"/>
      <c r="AH868" s="404"/>
      <c r="AI868" s="404"/>
      <c r="AJ868" s="404"/>
      <c r="AK868" s="404"/>
      <c r="AL868" s="404"/>
      <c r="AM868" s="404"/>
      <c r="AN868" s="404"/>
      <c r="AO868" s="404"/>
      <c r="AP868" s="404"/>
      <c r="AQ868" s="404"/>
      <c r="AR868" s="404"/>
      <c r="AS868" s="404"/>
      <c r="AT868" s="404"/>
      <c r="AU868" s="404"/>
      <c r="AV868" s="404"/>
      <c r="AW868" s="404"/>
      <c r="AX868" s="404"/>
      <c r="AY868" s="404"/>
      <c r="AZ868" s="404"/>
      <c r="BA868" s="404"/>
      <c r="BB868" s="404"/>
      <c r="BC868" s="404"/>
      <c r="BD868" s="404"/>
      <c r="BE868" s="404"/>
      <c r="BF868" s="404"/>
      <c r="BG868" s="404"/>
      <c r="BH868" s="404"/>
      <c r="BI868" s="404"/>
      <c r="BJ868" s="404"/>
      <c r="BK868" s="404"/>
      <c r="BL868" s="404"/>
    </row>
    <row r="869" spans="1:64" ht="13">
      <c r="A869" s="426"/>
      <c r="B869" s="426"/>
      <c r="C869" s="427" t="s">
        <v>741</v>
      </c>
      <c r="D869" s="409">
        <f t="shared" ref="D869:I869" si="146">SUM(D865:D868)</f>
        <v>2707.7606890000006</v>
      </c>
      <c r="E869" s="409">
        <f t="shared" si="146"/>
        <v>2772.8713390000007</v>
      </c>
      <c r="F869" s="409">
        <f t="shared" si="146"/>
        <v>2837.9919890000006</v>
      </c>
      <c r="G869" s="409">
        <f t="shared" si="146"/>
        <v>2903.1026390000006</v>
      </c>
      <c r="H869" s="409">
        <f t="shared" si="146"/>
        <v>2968.2232890000005</v>
      </c>
      <c r="I869" s="409">
        <f t="shared" si="146"/>
        <v>3033.3339390000006</v>
      </c>
      <c r="J869" s="400"/>
      <c r="K869" s="401"/>
      <c r="L869" s="401"/>
      <c r="M869" s="404"/>
      <c r="N869" s="404"/>
      <c r="O869" s="404"/>
      <c r="P869" s="404"/>
      <c r="Q869" s="404"/>
      <c r="R869" s="404"/>
      <c r="S869" s="404"/>
      <c r="T869" s="404"/>
      <c r="U869" s="404"/>
      <c r="V869" s="404"/>
      <c r="W869" s="404"/>
      <c r="X869" s="404"/>
      <c r="Y869" s="404"/>
      <c r="Z869" s="404"/>
      <c r="AA869" s="404"/>
      <c r="AB869" s="404"/>
      <c r="AC869" s="404"/>
      <c r="AD869" s="404"/>
      <c r="AE869" s="404"/>
      <c r="AF869" s="404"/>
      <c r="AG869" s="404"/>
      <c r="AH869" s="404"/>
      <c r="AI869" s="404"/>
      <c r="AJ869" s="404"/>
      <c r="AK869" s="404"/>
      <c r="AL869" s="404"/>
      <c r="AM869" s="404"/>
      <c r="AN869" s="404"/>
      <c r="AO869" s="404"/>
      <c r="AP869" s="404"/>
      <c r="AQ869" s="404"/>
      <c r="AR869" s="404"/>
      <c r="AS869" s="404"/>
      <c r="AT869" s="404"/>
      <c r="AU869" s="404"/>
      <c r="AV869" s="404"/>
      <c r="AW869" s="404"/>
      <c r="AX869" s="404"/>
      <c r="AY869" s="404"/>
      <c r="AZ869" s="404"/>
      <c r="BA869" s="404"/>
      <c r="BB869" s="404"/>
      <c r="BC869" s="404"/>
      <c r="BD869" s="404"/>
      <c r="BE869" s="404"/>
      <c r="BF869" s="404"/>
      <c r="BG869" s="404"/>
      <c r="BH869" s="404"/>
      <c r="BI869" s="404"/>
      <c r="BJ869" s="404"/>
      <c r="BK869" s="404"/>
      <c r="BL869" s="404"/>
    </row>
    <row r="870" spans="1:64" ht="25">
      <c r="A870" s="426"/>
      <c r="B870" s="426"/>
      <c r="C870" s="417" t="str">
        <f>[161]Input!$C$48</f>
        <v>Overheads &amp; Contractors Profit @ 13.615%</v>
      </c>
      <c r="D870" s="426">
        <f>ROUND(D869*[161]Input!$D$48,2)</f>
        <v>368.66</v>
      </c>
      <c r="E870" s="426">
        <f>ROUND(E869*[161]Input!$D$48,2)</f>
        <v>377.53</v>
      </c>
      <c r="F870" s="426">
        <f>ROUND(F869*[161]Input!$D$48,2)</f>
        <v>386.39</v>
      </c>
      <c r="G870" s="426">
        <f>ROUND(G869*[161]Input!$D$48,2)</f>
        <v>395.26</v>
      </c>
      <c r="H870" s="426">
        <f>ROUND(H869*[161]Input!$D$48,2)</f>
        <v>404.12</v>
      </c>
      <c r="I870" s="426">
        <f>ROUND(I869*[161]Input!$D$48,2)</f>
        <v>412.99</v>
      </c>
      <c r="J870" s="400"/>
      <c r="K870" s="401"/>
      <c r="L870" s="401"/>
      <c r="M870" s="404"/>
      <c r="N870" s="404"/>
      <c r="O870" s="404"/>
      <c r="P870" s="404"/>
      <c r="Q870" s="404"/>
      <c r="R870" s="404"/>
      <c r="S870" s="404"/>
      <c r="T870" s="404"/>
      <c r="U870" s="404"/>
      <c r="V870" s="404"/>
      <c r="W870" s="404"/>
      <c r="X870" s="404"/>
      <c r="Y870" s="404"/>
      <c r="Z870" s="404"/>
      <c r="AA870" s="404"/>
      <c r="AB870" s="404"/>
      <c r="AC870" s="404"/>
      <c r="AD870" s="404"/>
      <c r="AE870" s="404"/>
      <c r="AF870" s="404"/>
      <c r="AG870" s="404"/>
      <c r="AH870" s="404"/>
      <c r="AI870" s="404"/>
      <c r="AJ870" s="404"/>
      <c r="AK870" s="404"/>
      <c r="AL870" s="404"/>
      <c r="AM870" s="404"/>
      <c r="AN870" s="404"/>
      <c r="AO870" s="404"/>
      <c r="AP870" s="404"/>
      <c r="AQ870" s="404"/>
      <c r="AR870" s="404"/>
      <c r="AS870" s="404"/>
      <c r="AT870" s="404"/>
      <c r="AU870" s="404"/>
      <c r="AV870" s="404"/>
      <c r="AW870" s="404"/>
      <c r="AX870" s="404"/>
      <c r="AY870" s="404"/>
      <c r="AZ870" s="404"/>
      <c r="BA870" s="404"/>
      <c r="BB870" s="404"/>
      <c r="BC870" s="404"/>
      <c r="BD870" s="404"/>
      <c r="BE870" s="404"/>
      <c r="BF870" s="404"/>
      <c r="BG870" s="404"/>
      <c r="BH870" s="404"/>
      <c r="BI870" s="404"/>
      <c r="BJ870" s="404"/>
      <c r="BK870" s="404"/>
      <c r="BL870" s="404"/>
    </row>
    <row r="871" spans="1:64" ht="13">
      <c r="A871" s="426"/>
      <c r="B871" s="426"/>
      <c r="C871" s="481" t="s">
        <v>742</v>
      </c>
      <c r="D871" s="409">
        <f t="shared" ref="D871:I871" si="147">SUM(D869:D870)</f>
        <v>3076.4206890000005</v>
      </c>
      <c r="E871" s="409">
        <f t="shared" si="147"/>
        <v>3150.4013390000009</v>
      </c>
      <c r="F871" s="409">
        <f t="shared" si="147"/>
        <v>3224.3819890000004</v>
      </c>
      <c r="G871" s="409">
        <f t="shared" si="147"/>
        <v>3298.3626390000009</v>
      </c>
      <c r="H871" s="409">
        <f t="shared" si="147"/>
        <v>3372.3432890000004</v>
      </c>
      <c r="I871" s="409">
        <f t="shared" si="147"/>
        <v>3446.3239390000008</v>
      </c>
      <c r="J871" s="400"/>
      <c r="K871" s="401"/>
      <c r="L871" s="401"/>
      <c r="M871" s="404"/>
      <c r="N871" s="413"/>
      <c r="O871" s="413"/>
      <c r="P871" s="413"/>
      <c r="Q871" s="413"/>
      <c r="R871" s="413"/>
      <c r="S871" s="413"/>
      <c r="T871" s="413"/>
      <c r="U871" s="413"/>
      <c r="V871" s="413"/>
      <c r="W871" s="413"/>
      <c r="X871" s="413"/>
      <c r="Y871" s="413"/>
      <c r="Z871" s="413"/>
      <c r="AA871" s="413"/>
      <c r="AB871" s="413"/>
      <c r="AC871" s="413"/>
      <c r="AD871" s="413"/>
      <c r="AE871" s="413"/>
      <c r="AF871" s="413"/>
      <c r="AG871" s="413"/>
      <c r="AH871" s="413"/>
      <c r="AI871" s="413"/>
      <c r="AJ871" s="413"/>
      <c r="AK871" s="413"/>
      <c r="AL871" s="413"/>
      <c r="AM871" s="413"/>
      <c r="AN871" s="413"/>
      <c r="AO871" s="413"/>
      <c r="AP871" s="413"/>
      <c r="AQ871" s="413"/>
      <c r="AR871" s="413"/>
      <c r="AS871" s="413"/>
      <c r="AT871" s="413"/>
      <c r="AU871" s="413"/>
      <c r="AV871" s="413"/>
      <c r="AW871" s="413"/>
      <c r="AX871" s="413"/>
      <c r="AY871" s="413"/>
      <c r="AZ871" s="413"/>
      <c r="BA871" s="413"/>
      <c r="BB871" s="413"/>
      <c r="BC871" s="413"/>
      <c r="BD871" s="413"/>
      <c r="BE871" s="413"/>
      <c r="BF871" s="413"/>
      <c r="BG871" s="413"/>
      <c r="BH871" s="413"/>
      <c r="BI871" s="413"/>
      <c r="BJ871" s="413"/>
      <c r="BK871" s="413"/>
      <c r="BL871" s="413"/>
    </row>
    <row r="872" spans="1:64" ht="13">
      <c r="A872" s="426"/>
      <c r="B872" s="426"/>
      <c r="C872" s="522" t="s">
        <v>726</v>
      </c>
      <c r="D872" s="416">
        <f t="shared" ref="D872:I872" si="148">ROUND(D871,0)</f>
        <v>3076</v>
      </c>
      <c r="E872" s="416">
        <f t="shared" si="148"/>
        <v>3150</v>
      </c>
      <c r="F872" s="416">
        <f t="shared" si="148"/>
        <v>3224</v>
      </c>
      <c r="G872" s="416">
        <f t="shared" si="148"/>
        <v>3298</v>
      </c>
      <c r="H872" s="416">
        <f t="shared" si="148"/>
        <v>3372</v>
      </c>
      <c r="I872" s="416">
        <f t="shared" si="148"/>
        <v>3446</v>
      </c>
      <c r="J872" s="400"/>
      <c r="K872" s="401"/>
      <c r="L872" s="401"/>
      <c r="M872" s="404"/>
      <c r="N872" s="413"/>
      <c r="O872" s="413"/>
      <c r="P872" s="413"/>
      <c r="Q872" s="413"/>
      <c r="R872" s="413"/>
      <c r="S872" s="413"/>
      <c r="T872" s="413"/>
      <c r="U872" s="413"/>
      <c r="V872" s="413"/>
      <c r="W872" s="413"/>
      <c r="X872" s="413"/>
      <c r="Y872" s="413"/>
      <c r="Z872" s="413"/>
      <c r="AA872" s="413"/>
      <c r="AB872" s="413"/>
      <c r="AC872" s="413"/>
      <c r="AD872" s="413"/>
      <c r="AE872" s="413"/>
      <c r="AF872" s="413"/>
      <c r="AG872" s="413"/>
      <c r="AH872" s="413"/>
      <c r="AI872" s="413"/>
      <c r="AJ872" s="413"/>
      <c r="AK872" s="413"/>
      <c r="AL872" s="413"/>
      <c r="AM872" s="413"/>
      <c r="AN872" s="413"/>
      <c r="AO872" s="413"/>
      <c r="AP872" s="413"/>
      <c r="AQ872" s="413"/>
      <c r="AR872" s="413"/>
      <c r="AS872" s="413"/>
      <c r="AT872" s="413"/>
      <c r="AU872" s="413"/>
      <c r="AV872" s="413"/>
      <c r="AW872" s="413"/>
      <c r="AX872" s="413"/>
      <c r="AY872" s="413"/>
      <c r="AZ872" s="413"/>
      <c r="BA872" s="413"/>
      <c r="BB872" s="413"/>
      <c r="BC872" s="413"/>
      <c r="BD872" s="413"/>
      <c r="BE872" s="413"/>
      <c r="BF872" s="413"/>
      <c r="BG872" s="413"/>
      <c r="BH872" s="413"/>
      <c r="BI872" s="413"/>
      <c r="BJ872" s="413"/>
      <c r="BK872" s="413"/>
      <c r="BL872" s="413"/>
    </row>
    <row r="873" spans="1:64" ht="13">
      <c r="A873" s="426"/>
      <c r="B873" s="426"/>
      <c r="C873" s="417"/>
      <c r="D873" s="416"/>
      <c r="E873" s="416"/>
      <c r="F873" s="416"/>
      <c r="G873" s="416"/>
      <c r="H873" s="416"/>
      <c r="I873" s="414"/>
      <c r="J873" s="400"/>
      <c r="K873" s="401"/>
      <c r="L873" s="401"/>
      <c r="M873" s="404"/>
    </row>
    <row r="874" spans="1:64" ht="13">
      <c r="A874" s="426"/>
      <c r="B874" s="426"/>
      <c r="C874" s="417"/>
      <c r="D874" s="416"/>
      <c r="E874" s="416"/>
      <c r="F874" s="416"/>
      <c r="G874" s="416"/>
      <c r="H874" s="416"/>
      <c r="I874" s="414"/>
      <c r="J874" s="529"/>
      <c r="K874" s="530"/>
      <c r="L874" s="531"/>
    </row>
    <row r="875" spans="1:64" ht="13">
      <c r="A875" s="426"/>
      <c r="B875" s="474" t="s">
        <v>957</v>
      </c>
      <c r="C875" s="521" t="s">
        <v>958</v>
      </c>
      <c r="D875" s="1303" t="s">
        <v>959</v>
      </c>
      <c r="E875" s="1283" t="s">
        <v>943</v>
      </c>
      <c r="F875" s="1308" t="s">
        <v>944</v>
      </c>
      <c r="G875" s="1308" t="s">
        <v>945</v>
      </c>
      <c r="H875" s="1308" t="s">
        <v>946</v>
      </c>
      <c r="I875" s="1308" t="s">
        <v>947</v>
      </c>
      <c r="J875" s="529"/>
      <c r="K875" s="530"/>
      <c r="L875" s="531"/>
      <c r="M875" s="404"/>
      <c r="N875" s="404"/>
      <c r="O875" s="404"/>
      <c r="P875" s="404"/>
      <c r="Q875" s="404"/>
      <c r="R875" s="404"/>
      <c r="S875" s="404"/>
      <c r="T875" s="404"/>
      <c r="U875" s="404"/>
      <c r="V875" s="404"/>
      <c r="W875" s="404"/>
      <c r="X875" s="404"/>
      <c r="Y875" s="404"/>
      <c r="Z875" s="404"/>
      <c r="AA875" s="404"/>
      <c r="AB875" s="404"/>
      <c r="AC875" s="404"/>
      <c r="AD875" s="404"/>
      <c r="AE875" s="404"/>
      <c r="AF875" s="404"/>
      <c r="AG875" s="404"/>
      <c r="AH875" s="404"/>
      <c r="AI875" s="404"/>
      <c r="AJ875" s="404"/>
      <c r="AK875" s="404"/>
      <c r="AL875" s="404"/>
      <c r="AM875" s="404"/>
      <c r="AN875" s="404"/>
      <c r="AO875" s="404"/>
      <c r="AP875" s="404"/>
      <c r="AQ875" s="404"/>
      <c r="AR875" s="404"/>
      <c r="AS875" s="404"/>
      <c r="AT875" s="404"/>
      <c r="AU875" s="404"/>
      <c r="AV875" s="404"/>
      <c r="AW875" s="404"/>
      <c r="AX875" s="404"/>
      <c r="AY875" s="404"/>
      <c r="AZ875" s="404"/>
      <c r="BA875" s="404"/>
      <c r="BB875" s="404"/>
      <c r="BC875" s="404"/>
      <c r="BD875" s="404"/>
      <c r="BE875" s="404"/>
      <c r="BF875" s="404"/>
      <c r="BG875" s="404"/>
      <c r="BH875" s="404"/>
      <c r="BI875" s="404"/>
      <c r="BJ875" s="404"/>
      <c r="BK875" s="404"/>
      <c r="BL875" s="404"/>
    </row>
    <row r="876" spans="1:64" ht="13">
      <c r="A876" s="426"/>
      <c r="B876" s="426"/>
      <c r="C876" s="427" t="s">
        <v>953</v>
      </c>
      <c r="D876" s="1303"/>
      <c r="E876" s="1283"/>
      <c r="F876" s="1308"/>
      <c r="G876" s="1308"/>
      <c r="H876" s="1308"/>
      <c r="I876" s="1308"/>
      <c r="J876" s="529"/>
      <c r="K876" s="530"/>
      <c r="L876" s="531"/>
      <c r="M876" s="404"/>
      <c r="N876" s="404"/>
      <c r="O876" s="404"/>
      <c r="P876" s="404"/>
      <c r="Q876" s="404"/>
      <c r="R876" s="404"/>
      <c r="S876" s="404"/>
      <c r="T876" s="404"/>
      <c r="U876" s="404"/>
      <c r="V876" s="404"/>
      <c r="W876" s="404"/>
      <c r="X876" s="404"/>
      <c r="Y876" s="404"/>
      <c r="Z876" s="404"/>
      <c r="AA876" s="404"/>
      <c r="AB876" s="404"/>
      <c r="AC876" s="404"/>
      <c r="AD876" s="404"/>
      <c r="AE876" s="404"/>
      <c r="AF876" s="404"/>
      <c r="AG876" s="404"/>
      <c r="AH876" s="404"/>
      <c r="AI876" s="404"/>
      <c r="AJ876" s="404"/>
      <c r="AK876" s="404"/>
      <c r="AL876" s="404"/>
      <c r="AM876" s="404"/>
      <c r="AN876" s="404"/>
      <c r="AO876" s="404"/>
      <c r="AP876" s="404"/>
      <c r="AQ876" s="404"/>
      <c r="AR876" s="404"/>
      <c r="AS876" s="404"/>
      <c r="AT876" s="404"/>
      <c r="AU876" s="404"/>
      <c r="AV876" s="404"/>
      <c r="AW876" s="404"/>
      <c r="AX876" s="404"/>
      <c r="AY876" s="404"/>
      <c r="AZ876" s="404"/>
      <c r="BA876" s="404"/>
      <c r="BB876" s="404"/>
      <c r="BC876" s="404"/>
      <c r="BD876" s="404"/>
      <c r="BE876" s="404"/>
      <c r="BF876" s="404"/>
      <c r="BG876" s="404"/>
      <c r="BH876" s="404"/>
      <c r="BI876" s="404"/>
      <c r="BJ876" s="404"/>
      <c r="BK876" s="404"/>
      <c r="BL876" s="404"/>
    </row>
    <row r="877" spans="1:64" ht="13">
      <c r="A877" s="426"/>
      <c r="B877" s="426"/>
      <c r="C877" s="417" t="s">
        <v>954</v>
      </c>
      <c r="D877" s="409">
        <f t="shared" ref="D877:I877" si="149">$I$861</f>
        <v>1524.7606890000004</v>
      </c>
      <c r="E877" s="409">
        <f t="shared" si="149"/>
        <v>1524.7606890000004</v>
      </c>
      <c r="F877" s="409">
        <f t="shared" si="149"/>
        <v>1524.7606890000004</v>
      </c>
      <c r="G877" s="409">
        <f t="shared" si="149"/>
        <v>1524.7606890000004</v>
      </c>
      <c r="H877" s="409">
        <f t="shared" si="149"/>
        <v>1524.7606890000004</v>
      </c>
      <c r="I877" s="409">
        <f t="shared" si="149"/>
        <v>1524.7606890000004</v>
      </c>
      <c r="J877" s="529"/>
      <c r="K877" s="530"/>
      <c r="L877" s="531"/>
      <c r="M877" s="404"/>
      <c r="N877" s="404"/>
      <c r="O877" s="404"/>
      <c r="P877" s="404"/>
      <c r="Q877" s="404"/>
      <c r="R877" s="404"/>
      <c r="S877" s="404"/>
      <c r="T877" s="404"/>
      <c r="U877" s="404"/>
      <c r="V877" s="404"/>
      <c r="W877" s="404"/>
      <c r="X877" s="404"/>
      <c r="Y877" s="404"/>
      <c r="Z877" s="404"/>
      <c r="AA877" s="404"/>
      <c r="AB877" s="404"/>
      <c r="AC877" s="404"/>
      <c r="AD877" s="404"/>
      <c r="AE877" s="404"/>
      <c r="AF877" s="404"/>
      <c r="AG877" s="404"/>
      <c r="AH877" s="404"/>
      <c r="AI877" s="404"/>
      <c r="AJ877" s="404"/>
      <c r="AK877" s="404"/>
      <c r="AL877" s="404"/>
      <c r="AM877" s="404"/>
      <c r="AN877" s="404"/>
      <c r="AO877" s="404"/>
      <c r="AP877" s="404"/>
      <c r="AQ877" s="404"/>
      <c r="AR877" s="404"/>
      <c r="AS877" s="404"/>
      <c r="AT877" s="404"/>
      <c r="AU877" s="404"/>
      <c r="AV877" s="404"/>
      <c r="AW877" s="404"/>
      <c r="AX877" s="404"/>
      <c r="AY877" s="404"/>
      <c r="AZ877" s="404"/>
      <c r="BA877" s="404"/>
      <c r="BB877" s="404"/>
      <c r="BC877" s="404"/>
      <c r="BD877" s="404"/>
      <c r="BE877" s="404"/>
      <c r="BF877" s="404"/>
      <c r="BG877" s="404"/>
      <c r="BH877" s="404"/>
      <c r="BI877" s="404"/>
      <c r="BJ877" s="404"/>
      <c r="BK877" s="404"/>
      <c r="BL877" s="404"/>
    </row>
    <row r="878" spans="1:64" ht="13">
      <c r="A878" s="426"/>
      <c r="B878" s="426"/>
      <c r="C878" s="483" t="s">
        <v>921</v>
      </c>
      <c r="D878" s="409">
        <f>'[161]Civil-SOR'!$F$282</f>
        <v>1183</v>
      </c>
      <c r="E878" s="409">
        <f>'[161]Civil-SOR'!$F$282</f>
        <v>1183</v>
      </c>
      <c r="F878" s="409">
        <f>'[161]Civil-SOR'!$F$282</f>
        <v>1183</v>
      </c>
      <c r="G878" s="409">
        <f>'[161]Civil-SOR'!$F$282</f>
        <v>1183</v>
      </c>
      <c r="H878" s="409">
        <f>'[161]Civil-SOR'!$F$282</f>
        <v>1183</v>
      </c>
      <c r="I878" s="409">
        <f>'[161]Civil-SOR'!$F$282</f>
        <v>1183</v>
      </c>
      <c r="J878" s="529"/>
      <c r="K878" s="530"/>
      <c r="L878" s="531"/>
      <c r="M878" s="404"/>
      <c r="N878" s="404"/>
      <c r="O878" s="404"/>
      <c r="P878" s="404"/>
      <c r="Q878" s="404"/>
      <c r="R878" s="404"/>
      <c r="S878" s="404"/>
      <c r="T878" s="404"/>
      <c r="U878" s="404"/>
      <c r="V878" s="404"/>
      <c r="W878" s="404"/>
      <c r="X878" s="404"/>
      <c r="Y878" s="404"/>
      <c r="Z878" s="404"/>
      <c r="AA878" s="404"/>
      <c r="AB878" s="404"/>
      <c r="AC878" s="404"/>
      <c r="AD878" s="404"/>
      <c r="AE878" s="404"/>
      <c r="AF878" s="404"/>
      <c r="AG878" s="404"/>
      <c r="AH878" s="404"/>
      <c r="AI878" s="404"/>
      <c r="AJ878" s="404"/>
      <c r="AK878" s="404"/>
      <c r="AL878" s="404"/>
      <c r="AM878" s="404"/>
      <c r="AN878" s="404"/>
      <c r="AO878" s="404"/>
      <c r="AP878" s="404"/>
      <c r="AQ878" s="404"/>
      <c r="AR878" s="404"/>
      <c r="AS878" s="404"/>
      <c r="AT878" s="404"/>
      <c r="AU878" s="404"/>
      <c r="AV878" s="404"/>
      <c r="AW878" s="404"/>
      <c r="AX878" s="404"/>
      <c r="AY878" s="404"/>
      <c r="AZ878" s="404"/>
      <c r="BA878" s="404"/>
      <c r="BB878" s="404"/>
      <c r="BC878" s="404"/>
      <c r="BD878" s="404"/>
      <c r="BE878" s="404"/>
      <c r="BF878" s="404"/>
      <c r="BG878" s="404"/>
      <c r="BH878" s="404"/>
      <c r="BI878" s="404"/>
      <c r="BJ878" s="404"/>
      <c r="BK878" s="404"/>
      <c r="BL878" s="404"/>
    </row>
    <row r="879" spans="1:64" ht="25">
      <c r="A879" s="426"/>
      <c r="B879" s="426"/>
      <c r="C879" s="417" t="s">
        <v>977</v>
      </c>
      <c r="D879" s="409">
        <v>0</v>
      </c>
      <c r="E879" s="409">
        <f>1.333*$D$861*'[161]Civil-SOR'!$G$334</f>
        <v>75.72106500000001</v>
      </c>
      <c r="F879" s="409">
        <f t="shared" ref="F879:F880" si="150">E879*1.1</f>
        <v>83.293171500000014</v>
      </c>
      <c r="G879" s="409">
        <f t="shared" ref="G879:G880" si="151">E879*1.2</f>
        <v>90.865278000000004</v>
      </c>
      <c r="H879" s="409">
        <f t="shared" ref="H879:H880" si="152">E879*1.3</f>
        <v>98.437384500000022</v>
      </c>
      <c r="I879" s="409">
        <f t="shared" ref="I879:I880" si="153">E879*1.4</f>
        <v>106.00949100000001</v>
      </c>
      <c r="J879" s="529"/>
      <c r="K879" s="530"/>
      <c r="L879" s="531"/>
      <c r="M879" s="404"/>
      <c r="N879" s="404"/>
      <c r="O879" s="404"/>
      <c r="P879" s="404"/>
      <c r="Q879" s="404"/>
      <c r="R879" s="404"/>
      <c r="S879" s="404"/>
      <c r="T879" s="404"/>
      <c r="U879" s="404"/>
      <c r="V879" s="404"/>
      <c r="W879" s="404"/>
      <c r="X879" s="404"/>
      <c r="Y879" s="404"/>
      <c r="Z879" s="404"/>
      <c r="AA879" s="404"/>
      <c r="AB879" s="404"/>
      <c r="AC879" s="404"/>
      <c r="AD879" s="404"/>
      <c r="AE879" s="404"/>
      <c r="AF879" s="404"/>
      <c r="AG879" s="404"/>
      <c r="AH879" s="404"/>
      <c r="AI879" s="404"/>
      <c r="AJ879" s="404"/>
      <c r="AK879" s="404"/>
      <c r="AL879" s="404"/>
      <c r="AM879" s="404"/>
      <c r="AN879" s="404"/>
      <c r="AO879" s="404"/>
      <c r="AP879" s="404"/>
      <c r="AQ879" s="404"/>
      <c r="AR879" s="404"/>
      <c r="AS879" s="404"/>
      <c r="AT879" s="404"/>
      <c r="AU879" s="404"/>
      <c r="AV879" s="404"/>
      <c r="AW879" s="404"/>
      <c r="AX879" s="404"/>
      <c r="AY879" s="404"/>
      <c r="AZ879" s="404"/>
      <c r="BA879" s="404"/>
      <c r="BB879" s="404"/>
      <c r="BC879" s="404"/>
      <c r="BD879" s="404"/>
      <c r="BE879" s="404"/>
      <c r="BF879" s="404"/>
      <c r="BG879" s="404"/>
      <c r="BH879" s="404"/>
      <c r="BI879" s="404"/>
      <c r="BJ879" s="404"/>
      <c r="BK879" s="404"/>
      <c r="BL879" s="404"/>
    </row>
    <row r="880" spans="1:64" ht="13">
      <c r="A880" s="426"/>
      <c r="B880" s="426"/>
      <c r="C880" s="483" t="s">
        <v>828</v>
      </c>
      <c r="D880" s="409"/>
      <c r="E880" s="409">
        <f>1.333*D861*'[161]Civil-SOR'!J334</f>
        <v>72.061979999999991</v>
      </c>
      <c r="F880" s="409">
        <f t="shared" si="150"/>
        <v>79.268177999999992</v>
      </c>
      <c r="G880" s="409">
        <f t="shared" si="151"/>
        <v>86.474375999999992</v>
      </c>
      <c r="H880" s="409">
        <f t="shared" si="152"/>
        <v>93.680573999999993</v>
      </c>
      <c r="I880" s="409">
        <f t="shared" si="153"/>
        <v>100.88677199999998</v>
      </c>
      <c r="J880" s="529"/>
      <c r="K880" s="530"/>
      <c r="L880" s="531"/>
      <c r="M880" s="404"/>
      <c r="N880" s="404"/>
      <c r="O880" s="404"/>
      <c r="P880" s="404"/>
      <c r="Q880" s="404"/>
      <c r="R880" s="404"/>
      <c r="S880" s="404"/>
      <c r="T880" s="404"/>
      <c r="U880" s="404"/>
      <c r="V880" s="404"/>
      <c r="W880" s="404"/>
      <c r="X880" s="404"/>
      <c r="Y880" s="404"/>
      <c r="Z880" s="404"/>
      <c r="AA880" s="404"/>
      <c r="AB880" s="404"/>
      <c r="AC880" s="404"/>
      <c r="AD880" s="404"/>
      <c r="AE880" s="404"/>
      <c r="AF880" s="404"/>
      <c r="AG880" s="404"/>
      <c r="AH880" s="404"/>
      <c r="AI880" s="404"/>
      <c r="AJ880" s="404"/>
      <c r="AK880" s="404"/>
      <c r="AL880" s="404"/>
      <c r="AM880" s="404"/>
      <c r="AN880" s="404"/>
      <c r="AO880" s="404"/>
      <c r="AP880" s="404"/>
      <c r="AQ880" s="404"/>
      <c r="AR880" s="404"/>
      <c r="AS880" s="404"/>
      <c r="AT880" s="404"/>
      <c r="AU880" s="404"/>
      <c r="AV880" s="404"/>
      <c r="AW880" s="404"/>
      <c r="AX880" s="404"/>
      <c r="AY880" s="404"/>
      <c r="AZ880" s="404"/>
      <c r="BA880" s="404"/>
      <c r="BB880" s="404"/>
      <c r="BC880" s="404"/>
      <c r="BD880" s="404"/>
      <c r="BE880" s="404"/>
      <c r="BF880" s="404"/>
      <c r="BG880" s="404"/>
      <c r="BH880" s="404"/>
      <c r="BI880" s="404"/>
      <c r="BJ880" s="404"/>
      <c r="BK880" s="404"/>
      <c r="BL880" s="404"/>
    </row>
    <row r="881" spans="1:64" ht="13">
      <c r="A881" s="426"/>
      <c r="B881" s="426"/>
      <c r="C881" s="417" t="str">
        <f>[161]Input!$C$47</f>
        <v>Add for MA @ 40%</v>
      </c>
      <c r="D881" s="409">
        <v>0</v>
      </c>
      <c r="E881" s="409">
        <f>ROUND(E880*[161]Input!$D$47,2)</f>
        <v>28.82</v>
      </c>
      <c r="F881" s="409">
        <f>ROUND(F880*[161]Input!$D$47,2)</f>
        <v>31.71</v>
      </c>
      <c r="G881" s="409">
        <f>ROUND(G880*[161]Input!$D$47,2)</f>
        <v>34.590000000000003</v>
      </c>
      <c r="H881" s="409">
        <f>ROUND(H880*[161]Input!$D$47,2)</f>
        <v>37.47</v>
      </c>
      <c r="I881" s="409">
        <f>ROUND(I880*[161]Input!$D$47,2)</f>
        <v>40.35</v>
      </c>
      <c r="J881" s="529"/>
      <c r="K881" s="530"/>
      <c r="L881" s="531"/>
      <c r="M881" s="528"/>
      <c r="N881" s="528"/>
      <c r="O881" s="528"/>
      <c r="P881" s="528"/>
      <c r="Q881" s="528"/>
      <c r="R881" s="528"/>
      <c r="S881" s="404"/>
      <c r="T881" s="404"/>
      <c r="U881" s="404"/>
      <c r="V881" s="404"/>
      <c r="W881" s="404"/>
      <c r="X881" s="404"/>
      <c r="Y881" s="404"/>
      <c r="Z881" s="404"/>
      <c r="AA881" s="404"/>
      <c r="AB881" s="404"/>
      <c r="AC881" s="404"/>
      <c r="AD881" s="404"/>
      <c r="AE881" s="404"/>
      <c r="AF881" s="404"/>
      <c r="AG881" s="404"/>
      <c r="AH881" s="404"/>
      <c r="AI881" s="404"/>
      <c r="AJ881" s="404"/>
      <c r="AK881" s="404"/>
      <c r="AL881" s="404"/>
      <c r="AM881" s="404"/>
      <c r="AN881" s="404"/>
      <c r="AO881" s="404"/>
      <c r="AP881" s="404"/>
      <c r="AQ881" s="404"/>
      <c r="AR881" s="404"/>
      <c r="AS881" s="404"/>
      <c r="AT881" s="404"/>
      <c r="AU881" s="404"/>
      <c r="AV881" s="404"/>
      <c r="AW881" s="404"/>
      <c r="AX881" s="404"/>
      <c r="AY881" s="404"/>
      <c r="AZ881" s="404"/>
      <c r="BA881" s="404"/>
      <c r="BB881" s="404"/>
      <c r="BC881" s="404"/>
      <c r="BD881" s="404"/>
      <c r="BE881" s="404"/>
      <c r="BF881" s="404"/>
      <c r="BG881" s="404"/>
      <c r="BH881" s="404"/>
      <c r="BI881" s="404"/>
      <c r="BJ881" s="404"/>
      <c r="BK881" s="404"/>
      <c r="BL881" s="404"/>
    </row>
    <row r="882" spans="1:64" ht="13">
      <c r="A882" s="426"/>
      <c r="B882" s="426"/>
      <c r="C882" s="427" t="s">
        <v>741</v>
      </c>
      <c r="D882" s="409">
        <f t="shared" ref="D882:I882" si="154">SUM(D877:D881)</f>
        <v>2707.7606890000006</v>
      </c>
      <c r="E882" s="409">
        <f t="shared" si="154"/>
        <v>2884.3637340000009</v>
      </c>
      <c r="F882" s="409">
        <f t="shared" si="154"/>
        <v>2902.0320385000005</v>
      </c>
      <c r="G882" s="409">
        <f t="shared" si="154"/>
        <v>2919.6903430000011</v>
      </c>
      <c r="H882" s="409">
        <f t="shared" si="154"/>
        <v>2937.3486475000004</v>
      </c>
      <c r="I882" s="409">
        <f t="shared" si="154"/>
        <v>2955.0069520000002</v>
      </c>
      <c r="J882" s="529"/>
      <c r="K882" s="530"/>
      <c r="L882" s="531"/>
      <c r="M882" s="404"/>
      <c r="N882" s="404"/>
      <c r="O882" s="404"/>
      <c r="P882" s="404"/>
      <c r="Q882" s="404"/>
      <c r="R882" s="404"/>
      <c r="S882" s="404"/>
      <c r="T882" s="404"/>
      <c r="U882" s="404"/>
      <c r="V882" s="404"/>
      <c r="W882" s="404"/>
      <c r="X882" s="404"/>
      <c r="Y882" s="404"/>
      <c r="Z882" s="404"/>
      <c r="AA882" s="404"/>
      <c r="AB882" s="404"/>
      <c r="AC882" s="404"/>
      <c r="AD882" s="404"/>
      <c r="AE882" s="404"/>
      <c r="AF882" s="404"/>
      <c r="AG882" s="404"/>
      <c r="AH882" s="404"/>
      <c r="AI882" s="404"/>
      <c r="AJ882" s="404"/>
      <c r="AK882" s="404"/>
      <c r="AL882" s="404"/>
      <c r="AM882" s="404"/>
      <c r="AN882" s="404"/>
      <c r="AO882" s="404"/>
      <c r="AP882" s="404"/>
      <c r="AQ882" s="404"/>
      <c r="AR882" s="404"/>
      <c r="AS882" s="404"/>
      <c r="AT882" s="404"/>
      <c r="AU882" s="404"/>
      <c r="AV882" s="404"/>
      <c r="AW882" s="404"/>
      <c r="AX882" s="404"/>
      <c r="AY882" s="404"/>
      <c r="AZ882" s="404"/>
      <c r="BA882" s="404"/>
      <c r="BB882" s="404"/>
      <c r="BC882" s="404"/>
      <c r="BD882" s="404"/>
      <c r="BE882" s="404"/>
      <c r="BF882" s="404"/>
      <c r="BG882" s="404"/>
      <c r="BH882" s="404"/>
      <c r="BI882" s="404"/>
      <c r="BJ882" s="404"/>
      <c r="BK882" s="404"/>
      <c r="BL882" s="404"/>
    </row>
    <row r="883" spans="1:64" ht="25">
      <c r="A883" s="426"/>
      <c r="B883" s="426"/>
      <c r="C883" s="417" t="str">
        <f>[161]Input!$C$48</f>
        <v>Overheads &amp; Contractors Profit @ 13.615%</v>
      </c>
      <c r="D883" s="426">
        <f>ROUND(D882*[161]Input!$D$48,2)</f>
        <v>368.66</v>
      </c>
      <c r="E883" s="426">
        <f>ROUND(E882*[161]Input!$D$48,2)</f>
        <v>392.71</v>
      </c>
      <c r="F883" s="426">
        <f>ROUND(F882*[161]Input!$D$48,2)</f>
        <v>395.11</v>
      </c>
      <c r="G883" s="426">
        <f>ROUND(G882*[161]Input!$D$48,2)</f>
        <v>397.52</v>
      </c>
      <c r="H883" s="426">
        <f>ROUND(H882*[161]Input!$D$48,2)</f>
        <v>399.92</v>
      </c>
      <c r="I883" s="426">
        <f>ROUND(I882*[161]Input!$D$48,2)</f>
        <v>402.32</v>
      </c>
      <c r="J883" s="529"/>
      <c r="K883" s="530"/>
      <c r="L883" s="531"/>
      <c r="M883" s="404"/>
      <c r="N883" s="404"/>
      <c r="O883" s="404"/>
      <c r="P883" s="404"/>
      <c r="Q883" s="404"/>
      <c r="R883" s="404"/>
      <c r="S883" s="404"/>
      <c r="T883" s="404"/>
      <c r="U883" s="404"/>
      <c r="V883" s="404"/>
      <c r="W883" s="404"/>
      <c r="X883" s="404"/>
      <c r="Y883" s="404"/>
      <c r="Z883" s="404"/>
      <c r="AA883" s="404"/>
      <c r="AB883" s="404"/>
      <c r="AC883" s="404"/>
      <c r="AD883" s="404"/>
      <c r="AE883" s="404"/>
      <c r="AF883" s="404"/>
      <c r="AG883" s="404"/>
      <c r="AH883" s="404"/>
      <c r="AI883" s="404"/>
      <c r="AJ883" s="404"/>
      <c r="AK883" s="404"/>
      <c r="AL883" s="404"/>
      <c r="AM883" s="404"/>
      <c r="AN883" s="404"/>
      <c r="AO883" s="404"/>
      <c r="AP883" s="404"/>
      <c r="AQ883" s="404"/>
      <c r="AR883" s="404"/>
      <c r="AS883" s="404"/>
      <c r="AT883" s="404"/>
      <c r="AU883" s="404"/>
      <c r="AV883" s="404"/>
      <c r="AW883" s="404"/>
      <c r="AX883" s="404"/>
      <c r="AY883" s="404"/>
      <c r="AZ883" s="404"/>
      <c r="BA883" s="404"/>
      <c r="BB883" s="404"/>
      <c r="BC883" s="404"/>
      <c r="BD883" s="404"/>
      <c r="BE883" s="404"/>
      <c r="BF883" s="404"/>
      <c r="BG883" s="404"/>
      <c r="BH883" s="404"/>
      <c r="BI883" s="404"/>
      <c r="BJ883" s="404"/>
      <c r="BK883" s="404"/>
      <c r="BL883" s="404"/>
    </row>
    <row r="884" spans="1:64" ht="13">
      <c r="A884" s="426"/>
      <c r="B884" s="426"/>
      <c r="C884" s="427" t="s">
        <v>742</v>
      </c>
      <c r="D884" s="409">
        <f t="shared" ref="D884:I884" si="155">SUM(D882:D883)</f>
        <v>3076.4206890000005</v>
      </c>
      <c r="E884" s="409">
        <f t="shared" si="155"/>
        <v>3277.073734000001</v>
      </c>
      <c r="F884" s="409">
        <f t="shared" si="155"/>
        <v>3297.1420385000006</v>
      </c>
      <c r="G884" s="409">
        <f t="shared" si="155"/>
        <v>3317.2103430000011</v>
      </c>
      <c r="H884" s="409">
        <f t="shared" si="155"/>
        <v>3337.2686475000005</v>
      </c>
      <c r="I884" s="409">
        <f t="shared" si="155"/>
        <v>3357.3269520000003</v>
      </c>
      <c r="J884" s="529"/>
      <c r="K884" s="530"/>
      <c r="L884" s="531"/>
      <c r="M884" s="404"/>
      <c r="N884" s="404"/>
      <c r="O884" s="404"/>
      <c r="P884" s="404"/>
      <c r="Q884" s="404"/>
      <c r="R884" s="404"/>
      <c r="S884" s="404"/>
      <c r="T884" s="404"/>
      <c r="U884" s="404"/>
      <c r="V884" s="404"/>
      <c r="W884" s="404"/>
      <c r="X884" s="404"/>
      <c r="Y884" s="404"/>
      <c r="Z884" s="404"/>
      <c r="AA884" s="404"/>
      <c r="AB884" s="404"/>
      <c r="AC884" s="404"/>
      <c r="AD884" s="404"/>
      <c r="AE884" s="404"/>
      <c r="AF884" s="404"/>
      <c r="AG884" s="404"/>
      <c r="AH884" s="404"/>
      <c r="AI884" s="404"/>
      <c r="AJ884" s="404"/>
      <c r="AK884" s="404"/>
      <c r="AL884" s="404"/>
      <c r="AM884" s="404"/>
      <c r="AN884" s="404"/>
      <c r="AO884" s="404"/>
      <c r="AP884" s="404"/>
      <c r="AQ884" s="404"/>
      <c r="AR884" s="404"/>
      <c r="AS884" s="404"/>
      <c r="AT884" s="404"/>
      <c r="AU884" s="404"/>
      <c r="AV884" s="404"/>
      <c r="AW884" s="404"/>
      <c r="AX884" s="404"/>
      <c r="AY884" s="404"/>
      <c r="AZ884" s="404"/>
      <c r="BA884" s="404"/>
      <c r="BB884" s="404"/>
      <c r="BC884" s="404"/>
      <c r="BD884" s="404"/>
      <c r="BE884" s="404"/>
      <c r="BF884" s="404"/>
      <c r="BG884" s="404"/>
      <c r="BH884" s="404"/>
      <c r="BI884" s="404"/>
      <c r="BJ884" s="404"/>
      <c r="BK884" s="404"/>
      <c r="BL884" s="404"/>
    </row>
    <row r="885" spans="1:64" ht="13">
      <c r="A885" s="426"/>
      <c r="B885" s="426"/>
      <c r="C885" s="522" t="s">
        <v>726</v>
      </c>
      <c r="D885" s="416">
        <f t="shared" ref="D885:I885" si="156">ROUND(D884,0)</f>
        <v>3076</v>
      </c>
      <c r="E885" s="416">
        <f t="shared" si="156"/>
        <v>3277</v>
      </c>
      <c r="F885" s="416">
        <f t="shared" si="156"/>
        <v>3297</v>
      </c>
      <c r="G885" s="416">
        <f t="shared" si="156"/>
        <v>3317</v>
      </c>
      <c r="H885" s="416">
        <f t="shared" si="156"/>
        <v>3337</v>
      </c>
      <c r="I885" s="416">
        <f t="shared" si="156"/>
        <v>3357</v>
      </c>
      <c r="J885" s="529"/>
      <c r="K885" s="530"/>
      <c r="L885" s="531"/>
      <c r="M885" s="413"/>
      <c r="N885" s="413"/>
      <c r="O885" s="413"/>
      <c r="P885" s="413"/>
      <c r="Q885" s="413"/>
      <c r="R885" s="413"/>
      <c r="S885" s="413"/>
      <c r="T885" s="413"/>
      <c r="U885" s="413"/>
      <c r="V885" s="413"/>
      <c r="W885" s="413"/>
      <c r="X885" s="413"/>
      <c r="Y885" s="413"/>
      <c r="Z885" s="413"/>
      <c r="AA885" s="413"/>
      <c r="AB885" s="413"/>
      <c r="AC885" s="413"/>
      <c r="AD885" s="413"/>
      <c r="AE885" s="413"/>
      <c r="AF885" s="413"/>
      <c r="AG885" s="413"/>
      <c r="AH885" s="413"/>
      <c r="AI885" s="413"/>
      <c r="AJ885" s="413"/>
      <c r="AK885" s="413"/>
      <c r="AL885" s="413"/>
      <c r="AM885" s="413"/>
      <c r="AN885" s="413"/>
      <c r="AO885" s="413"/>
      <c r="AP885" s="413"/>
      <c r="AQ885" s="413"/>
      <c r="AR885" s="413"/>
      <c r="AS885" s="413"/>
      <c r="AT885" s="413"/>
      <c r="AU885" s="413"/>
      <c r="AV885" s="413"/>
      <c r="AW885" s="413"/>
      <c r="AX885" s="413"/>
      <c r="AY885" s="413"/>
      <c r="AZ885" s="413"/>
      <c r="BA885" s="413"/>
      <c r="BB885" s="413"/>
      <c r="BC885" s="413"/>
      <c r="BD885" s="413"/>
      <c r="BE885" s="413"/>
      <c r="BF885" s="413"/>
      <c r="BG885" s="413"/>
      <c r="BH885" s="413"/>
      <c r="BI885" s="413"/>
      <c r="BJ885" s="413"/>
      <c r="BK885" s="413"/>
      <c r="BL885" s="413"/>
    </row>
    <row r="886" spans="1:64" ht="13">
      <c r="A886" s="426"/>
      <c r="B886" s="426"/>
      <c r="C886" s="417"/>
      <c r="D886" s="416"/>
      <c r="E886" s="416"/>
      <c r="F886" s="416"/>
      <c r="G886" s="416"/>
      <c r="H886" s="416"/>
      <c r="I886" s="414"/>
      <c r="J886" s="529"/>
      <c r="K886" s="530"/>
      <c r="L886" s="531"/>
    </row>
    <row r="887" spans="1:64" ht="13">
      <c r="A887" s="426"/>
      <c r="B887" s="426"/>
      <c r="C887" s="427"/>
      <c r="D887" s="492" t="s">
        <v>948</v>
      </c>
      <c r="E887" s="492" t="s">
        <v>949</v>
      </c>
      <c r="F887" s="492" t="s">
        <v>950</v>
      </c>
      <c r="G887" s="416"/>
      <c r="H887" s="416"/>
      <c r="I887" s="414"/>
      <c r="J887" s="400"/>
      <c r="K887" s="401"/>
      <c r="L887" s="401"/>
    </row>
    <row r="888" spans="1:64" ht="13">
      <c r="A888" s="426"/>
      <c r="B888" s="426"/>
      <c r="C888" s="417" t="s">
        <v>954</v>
      </c>
      <c r="D888" s="409">
        <f>$I$861</f>
        <v>1524.7606890000004</v>
      </c>
      <c r="E888" s="409">
        <f>$I$861</f>
        <v>1524.7606890000004</v>
      </c>
      <c r="F888" s="409">
        <f>$I$861</f>
        <v>1524.7606890000004</v>
      </c>
      <c r="G888" s="416"/>
      <c r="H888" s="416"/>
      <c r="I888" s="414"/>
      <c r="J888" s="400"/>
      <c r="K888" s="401"/>
      <c r="L888" s="401"/>
    </row>
    <row r="889" spans="1:64" ht="13">
      <c r="A889" s="426"/>
      <c r="B889" s="426"/>
      <c r="C889" s="417" t="s">
        <v>921</v>
      </c>
      <c r="D889" s="409">
        <f>'[161]Civil-SOR'!$F$282</f>
        <v>1183</v>
      </c>
      <c r="E889" s="409">
        <f>'[161]Civil-SOR'!$F$282</f>
        <v>1183</v>
      </c>
      <c r="F889" s="409">
        <f>'[161]Civil-SOR'!$F$282</f>
        <v>1183</v>
      </c>
      <c r="G889" s="416"/>
      <c r="H889" s="416"/>
      <c r="I889" s="414"/>
      <c r="J889" s="400"/>
      <c r="K889" s="401"/>
      <c r="L889" s="401"/>
    </row>
    <row r="890" spans="1:64" ht="25">
      <c r="A890" s="426"/>
      <c r="B890" s="426"/>
      <c r="C890" s="417" t="s">
        <v>977</v>
      </c>
      <c r="D890" s="409">
        <f t="shared" ref="D890:D891" si="157">E879*1.5</f>
        <v>113.58159750000002</v>
      </c>
      <c r="E890" s="409">
        <f t="shared" ref="E890:E891" si="158">E879*1.6</f>
        <v>121.15370400000002</v>
      </c>
      <c r="F890" s="409">
        <f t="shared" ref="F890:F891" si="159">E879*1.7</f>
        <v>128.72581050000002</v>
      </c>
      <c r="G890" s="416"/>
      <c r="H890" s="416"/>
      <c r="I890" s="414"/>
      <c r="J890" s="400"/>
      <c r="K890" s="401"/>
      <c r="L890" s="401"/>
    </row>
    <row r="891" spans="1:64" ht="13">
      <c r="A891" s="426"/>
      <c r="B891" s="426"/>
      <c r="C891" s="417" t="s">
        <v>828</v>
      </c>
      <c r="D891" s="409">
        <f t="shared" si="157"/>
        <v>108.09296999999998</v>
      </c>
      <c r="E891" s="409">
        <f t="shared" si="158"/>
        <v>115.29916799999999</v>
      </c>
      <c r="F891" s="409">
        <f t="shared" si="159"/>
        <v>122.50536599999998</v>
      </c>
      <c r="G891" s="416"/>
      <c r="H891" s="416"/>
      <c r="I891" s="414"/>
      <c r="J891" s="400"/>
      <c r="K891" s="401"/>
      <c r="L891" s="401"/>
    </row>
    <row r="892" spans="1:64" ht="13">
      <c r="A892" s="426"/>
      <c r="B892" s="426"/>
      <c r="C892" s="417" t="str">
        <f>[161]Input!$C$47</f>
        <v>Add for MA @ 40%</v>
      </c>
      <c r="D892" s="409">
        <f>ROUND(D891*[161]Input!$D$47,2)</f>
        <v>43.24</v>
      </c>
      <c r="E892" s="409">
        <f>ROUND(E891*[161]Input!$D$47,2)</f>
        <v>46.12</v>
      </c>
      <c r="F892" s="409">
        <f>ROUND(F891*[161]Input!$D$47,2)</f>
        <v>49</v>
      </c>
      <c r="G892" s="416"/>
      <c r="H892" s="416"/>
      <c r="I892" s="414"/>
      <c r="J892" s="400"/>
      <c r="K892" s="401"/>
      <c r="L892" s="401"/>
    </row>
    <row r="893" spans="1:64" ht="13">
      <c r="A893" s="426"/>
      <c r="B893" s="426"/>
      <c r="C893" s="427" t="s">
        <v>741</v>
      </c>
      <c r="D893" s="409">
        <f>SUM(D888:D892)</f>
        <v>2972.6752565000006</v>
      </c>
      <c r="E893" s="409">
        <f>SUM(E888:E892)</f>
        <v>2990.3335610000004</v>
      </c>
      <c r="F893" s="409">
        <f>SUM(F888:F892)</f>
        <v>3007.9918655000006</v>
      </c>
      <c r="G893" s="416"/>
      <c r="H893" s="416"/>
      <c r="I893" s="414"/>
      <c r="J893" s="400"/>
      <c r="K893" s="401"/>
      <c r="L893" s="401"/>
    </row>
    <row r="894" spans="1:64" ht="25">
      <c r="A894" s="426"/>
      <c r="B894" s="426"/>
      <c r="C894" s="417" t="str">
        <f>[161]Input!$C$48</f>
        <v>Overheads &amp; Contractors Profit @ 13.615%</v>
      </c>
      <c r="D894" s="426">
        <f>ROUND(D893*[161]Input!$D$48,2)</f>
        <v>404.73</v>
      </c>
      <c r="E894" s="426">
        <f>ROUND(E893*[161]Input!$D$48,2)</f>
        <v>407.13</v>
      </c>
      <c r="F894" s="426">
        <f>ROUND(F893*[161]Input!$D$48,2)</f>
        <v>409.54</v>
      </c>
      <c r="G894" s="416"/>
      <c r="H894" s="416"/>
      <c r="I894" s="414"/>
      <c r="J894" s="400"/>
      <c r="K894" s="401"/>
      <c r="L894" s="401"/>
    </row>
    <row r="895" spans="1:64" ht="13">
      <c r="A895" s="426"/>
      <c r="B895" s="426"/>
      <c r="C895" s="427" t="s">
        <v>742</v>
      </c>
      <c r="D895" s="409">
        <f>SUM(D893:D894)</f>
        <v>3377.4052565000006</v>
      </c>
      <c r="E895" s="409">
        <f>SUM(E893:E894)</f>
        <v>3397.4635610000005</v>
      </c>
      <c r="F895" s="409">
        <f>SUM(F893:F894)</f>
        <v>3417.5318655000005</v>
      </c>
      <c r="G895" s="416"/>
      <c r="H895" s="416"/>
      <c r="I895" s="414"/>
      <c r="J895" s="400"/>
      <c r="K895" s="401"/>
      <c r="L895" s="401"/>
    </row>
    <row r="896" spans="1:64" ht="13">
      <c r="A896" s="426"/>
      <c r="B896" s="426"/>
      <c r="C896" s="514" t="s">
        <v>726</v>
      </c>
      <c r="D896" s="416">
        <f>ROUND(D895,0)</f>
        <v>3377</v>
      </c>
      <c r="E896" s="416">
        <f>ROUND(E895,0)</f>
        <v>3397</v>
      </c>
      <c r="F896" s="416">
        <f>ROUND(F895,0)</f>
        <v>3418</v>
      </c>
      <c r="G896" s="416"/>
      <c r="H896" s="416"/>
      <c r="I896" s="414"/>
      <c r="J896" s="400"/>
      <c r="K896" s="401"/>
      <c r="L896" s="401"/>
    </row>
    <row r="897" spans="1:64" ht="13">
      <c r="A897" s="426"/>
      <c r="B897" s="426"/>
      <c r="C897" s="514"/>
      <c r="D897" s="416"/>
      <c r="E897" s="416"/>
      <c r="F897" s="416"/>
      <c r="G897" s="416"/>
      <c r="H897" s="416"/>
      <c r="I897" s="414"/>
      <c r="J897" s="400"/>
      <c r="K897" s="401"/>
      <c r="L897" s="401"/>
    </row>
    <row r="898" spans="1:64" ht="13">
      <c r="A898" s="426"/>
      <c r="B898" s="426" t="s">
        <v>733</v>
      </c>
      <c r="C898" s="427" t="s">
        <v>978</v>
      </c>
      <c r="D898" s="416"/>
      <c r="E898" s="416"/>
      <c r="F898" s="416"/>
      <c r="G898" s="416"/>
      <c r="H898" s="416"/>
      <c r="I898" s="414"/>
      <c r="J898" s="400"/>
      <c r="K898" s="401"/>
      <c r="L898" s="401"/>
    </row>
    <row r="899" spans="1:64" ht="13">
      <c r="A899" s="426"/>
      <c r="B899" s="426"/>
      <c r="C899" s="417" t="s">
        <v>975</v>
      </c>
      <c r="D899" s="532">
        <v>0.2</v>
      </c>
      <c r="E899" s="430" t="s">
        <v>666</v>
      </c>
      <c r="F899" s="409">
        <f>$I$756</f>
        <v>10165.071260000002</v>
      </c>
      <c r="G899" s="408">
        <v>1</v>
      </c>
      <c r="H899" s="430" t="s">
        <v>666</v>
      </c>
      <c r="I899" s="414">
        <f>IF(G899="",D899*F899,(D899*F899/G899))</f>
        <v>2033.0142520000006</v>
      </c>
      <c r="J899" s="400"/>
      <c r="K899" s="401"/>
      <c r="L899" s="401"/>
    </row>
    <row r="900" spans="1:64" ht="13">
      <c r="A900" s="426"/>
      <c r="B900" s="426"/>
      <c r="C900" s="427"/>
      <c r="D900" s="416"/>
      <c r="E900" s="416"/>
      <c r="F900" s="416"/>
      <c r="G900" s="416"/>
      <c r="H900" s="416"/>
      <c r="I900" s="414"/>
      <c r="J900" s="400"/>
      <c r="K900" s="401"/>
      <c r="L900" s="401"/>
    </row>
    <row r="901" spans="1:64" ht="13">
      <c r="A901" s="426"/>
      <c r="B901" s="474" t="s">
        <v>951</v>
      </c>
      <c r="C901" s="521" t="s">
        <v>952</v>
      </c>
      <c r="D901" s="416"/>
      <c r="E901" s="416"/>
      <c r="F901" s="416"/>
      <c r="G901" s="416"/>
      <c r="H901" s="416"/>
      <c r="I901" s="414"/>
      <c r="J901" s="400"/>
      <c r="K901" s="401"/>
      <c r="L901" s="401"/>
      <c r="N901" s="404"/>
      <c r="O901" s="404"/>
      <c r="P901" s="404"/>
      <c r="Q901" s="404"/>
      <c r="R901" s="404"/>
      <c r="S901" s="404"/>
      <c r="T901" s="404"/>
      <c r="U901" s="404"/>
      <c r="V901" s="404"/>
      <c r="W901" s="404"/>
      <c r="X901" s="404"/>
      <c r="Y901" s="404"/>
      <c r="Z901" s="404"/>
      <c r="AA901" s="404"/>
      <c r="AB901" s="404"/>
      <c r="AC901" s="404"/>
      <c r="AD901" s="404"/>
      <c r="AE901" s="404"/>
      <c r="AF901" s="404"/>
      <c r="AG901" s="404"/>
      <c r="AH901" s="404"/>
      <c r="AI901" s="404"/>
      <c r="AJ901" s="404"/>
      <c r="AK901" s="404"/>
      <c r="AL901" s="404"/>
      <c r="AM901" s="404"/>
      <c r="AN901" s="404"/>
      <c r="AO901" s="404"/>
      <c r="AP901" s="404"/>
      <c r="AQ901" s="404"/>
      <c r="AR901" s="404"/>
      <c r="AS901" s="404"/>
      <c r="AT901" s="404"/>
      <c r="AU901" s="404"/>
      <c r="AV901" s="404"/>
      <c r="AW901" s="404"/>
      <c r="AX901" s="404"/>
      <c r="AY901" s="404"/>
      <c r="AZ901" s="404"/>
      <c r="BA901" s="404"/>
      <c r="BB901" s="404"/>
      <c r="BC901" s="404"/>
      <c r="BD901" s="404"/>
      <c r="BE901" s="404"/>
      <c r="BF901" s="404"/>
      <c r="BG901" s="404"/>
      <c r="BH901" s="404"/>
      <c r="BI901" s="404"/>
      <c r="BJ901" s="404"/>
      <c r="BK901" s="404"/>
      <c r="BL901" s="404"/>
    </row>
    <row r="902" spans="1:64" ht="13">
      <c r="A902" s="426"/>
      <c r="B902" s="426"/>
      <c r="C902" s="427" t="s">
        <v>953</v>
      </c>
      <c r="D902" s="414" t="s">
        <v>959</v>
      </c>
      <c r="E902" s="474" t="s">
        <v>943</v>
      </c>
      <c r="F902" s="492" t="s">
        <v>944</v>
      </c>
      <c r="G902" s="492" t="s">
        <v>945</v>
      </c>
      <c r="H902" s="492" t="s">
        <v>946</v>
      </c>
      <c r="I902" s="492" t="s">
        <v>947</v>
      </c>
      <c r="J902" s="400"/>
      <c r="K902" s="401"/>
      <c r="L902" s="401"/>
      <c r="N902" s="404"/>
      <c r="O902" s="404"/>
      <c r="P902" s="404"/>
      <c r="Q902" s="404"/>
      <c r="R902" s="404"/>
      <c r="S902" s="404"/>
      <c r="T902" s="404"/>
      <c r="U902" s="404"/>
      <c r="V902" s="404"/>
      <c r="W902" s="404"/>
      <c r="X902" s="404"/>
      <c r="Y902" s="404"/>
      <c r="Z902" s="404"/>
      <c r="AA902" s="404"/>
      <c r="AB902" s="404"/>
      <c r="AC902" s="404"/>
      <c r="AD902" s="404"/>
      <c r="AE902" s="404"/>
      <c r="AF902" s="404"/>
      <c r="AG902" s="404"/>
      <c r="AH902" s="404"/>
      <c r="AI902" s="404"/>
      <c r="AJ902" s="404"/>
      <c r="AK902" s="404"/>
      <c r="AL902" s="404"/>
      <c r="AM902" s="404"/>
      <c r="AN902" s="404"/>
      <c r="AO902" s="404"/>
      <c r="AP902" s="404"/>
      <c r="AQ902" s="404"/>
      <c r="AR902" s="404"/>
      <c r="AS902" s="404"/>
      <c r="AT902" s="404"/>
      <c r="AU902" s="404"/>
      <c r="AV902" s="404"/>
      <c r="AW902" s="404"/>
      <c r="AX902" s="404"/>
      <c r="AY902" s="404"/>
      <c r="AZ902" s="404"/>
      <c r="BA902" s="404"/>
      <c r="BB902" s="404"/>
      <c r="BC902" s="404"/>
      <c r="BD902" s="404"/>
      <c r="BE902" s="404"/>
      <c r="BF902" s="404"/>
      <c r="BG902" s="404"/>
      <c r="BH902" s="404"/>
      <c r="BI902" s="404"/>
      <c r="BJ902" s="404"/>
      <c r="BK902" s="404"/>
      <c r="BL902" s="404"/>
    </row>
    <row r="903" spans="1:64">
      <c r="A903" s="426"/>
      <c r="B903" s="426"/>
      <c r="C903" s="445" t="s">
        <v>954</v>
      </c>
      <c r="D903" s="409">
        <f t="shared" ref="D903:I903" si="160">$I$899</f>
        <v>2033.0142520000006</v>
      </c>
      <c r="E903" s="409">
        <f t="shared" si="160"/>
        <v>2033.0142520000006</v>
      </c>
      <c r="F903" s="409">
        <f t="shared" si="160"/>
        <v>2033.0142520000006</v>
      </c>
      <c r="G903" s="409">
        <f t="shared" si="160"/>
        <v>2033.0142520000006</v>
      </c>
      <c r="H903" s="409">
        <f t="shared" si="160"/>
        <v>2033.0142520000006</v>
      </c>
      <c r="I903" s="409">
        <f t="shared" si="160"/>
        <v>2033.0142520000006</v>
      </c>
      <c r="J903" s="400"/>
      <c r="K903" s="401"/>
      <c r="L903" s="401"/>
      <c r="N903" s="448"/>
      <c r="O903" s="448"/>
      <c r="P903" s="448"/>
      <c r="Q903" s="448"/>
      <c r="R903" s="448"/>
      <c r="S903" s="448"/>
      <c r="T903" s="448"/>
      <c r="U903" s="448"/>
      <c r="V903" s="448"/>
      <c r="W903" s="448"/>
      <c r="X903" s="448"/>
      <c r="Y903" s="448"/>
      <c r="Z903" s="448"/>
      <c r="AA903" s="448"/>
      <c r="AB903" s="448"/>
      <c r="AC903" s="448"/>
      <c r="AD903" s="448"/>
      <c r="AE903" s="448"/>
      <c r="AF903" s="448"/>
      <c r="AG903" s="448"/>
      <c r="AH903" s="448"/>
      <c r="AI903" s="448"/>
      <c r="AJ903" s="448"/>
      <c r="AK903" s="448"/>
      <c r="AL903" s="448"/>
      <c r="AM903" s="448"/>
      <c r="AN903" s="448"/>
      <c r="AO903" s="448"/>
      <c r="AP903" s="448"/>
      <c r="AQ903" s="448"/>
      <c r="AR903" s="448"/>
      <c r="AS903" s="448"/>
      <c r="AT903" s="448"/>
      <c r="AU903" s="448"/>
      <c r="AV903" s="448"/>
      <c r="AW903" s="448"/>
      <c r="AX903" s="448"/>
      <c r="AY903" s="448"/>
      <c r="AZ903" s="448"/>
      <c r="BA903" s="448"/>
      <c r="BB903" s="448"/>
      <c r="BC903" s="448"/>
      <c r="BD903" s="448"/>
      <c r="BE903" s="448"/>
      <c r="BF903" s="448"/>
      <c r="BG903" s="448"/>
      <c r="BH903" s="448"/>
      <c r="BI903" s="448"/>
      <c r="BJ903" s="448"/>
      <c r="BK903" s="448"/>
      <c r="BL903" s="448"/>
    </row>
    <row r="904" spans="1:64">
      <c r="A904" s="426"/>
      <c r="B904" s="426"/>
      <c r="C904" s="445" t="s">
        <v>921</v>
      </c>
      <c r="D904" s="409">
        <f>'[161]Civil-SOR'!$F$282</f>
        <v>1183</v>
      </c>
      <c r="E904" s="409">
        <f>'[161]Civil-SOR'!$F$282</f>
        <v>1183</v>
      </c>
      <c r="F904" s="409">
        <f>'[161]Civil-SOR'!$F$282</f>
        <v>1183</v>
      </c>
      <c r="G904" s="409">
        <f>'[161]Civil-SOR'!$F$282</f>
        <v>1183</v>
      </c>
      <c r="H904" s="409">
        <f>'[161]Civil-SOR'!$F$282</f>
        <v>1183</v>
      </c>
      <c r="I904" s="409">
        <f>'[161]Civil-SOR'!$F$282</f>
        <v>1183</v>
      </c>
      <c r="J904" s="400"/>
      <c r="K904" s="401"/>
      <c r="L904" s="401"/>
      <c r="N904" s="448"/>
      <c r="O904" s="448"/>
      <c r="P904" s="448"/>
      <c r="Q904" s="448"/>
      <c r="R904" s="448"/>
      <c r="S904" s="448"/>
      <c r="T904" s="448"/>
      <c r="U904" s="448"/>
      <c r="V904" s="448"/>
      <c r="W904" s="448"/>
      <c r="X904" s="448"/>
      <c r="Y904" s="448"/>
      <c r="Z904" s="448"/>
      <c r="AA904" s="448"/>
      <c r="AB904" s="448"/>
      <c r="AC904" s="448"/>
      <c r="AD904" s="448"/>
      <c r="AE904" s="448"/>
      <c r="AF904" s="448"/>
      <c r="AG904" s="448"/>
      <c r="AH904" s="448"/>
      <c r="AI904" s="448"/>
      <c r="AJ904" s="448"/>
      <c r="AK904" s="448"/>
      <c r="AL904" s="448"/>
      <c r="AM904" s="448"/>
      <c r="AN904" s="448"/>
      <c r="AO904" s="448"/>
      <c r="AP904" s="448"/>
      <c r="AQ904" s="448"/>
      <c r="AR904" s="448"/>
      <c r="AS904" s="448"/>
      <c r="AT904" s="448"/>
      <c r="AU904" s="448"/>
      <c r="AV904" s="448"/>
      <c r="AW904" s="448"/>
      <c r="AX904" s="448"/>
      <c r="AY904" s="448"/>
      <c r="AZ904" s="448"/>
      <c r="BA904" s="448"/>
      <c r="BB904" s="448"/>
      <c r="BC904" s="448"/>
      <c r="BD904" s="448"/>
      <c r="BE904" s="448"/>
      <c r="BF904" s="448"/>
      <c r="BG904" s="448"/>
      <c r="BH904" s="448"/>
      <c r="BI904" s="448"/>
      <c r="BJ904" s="448"/>
      <c r="BK904" s="448"/>
      <c r="BL904" s="448"/>
    </row>
    <row r="905" spans="1:64">
      <c r="A905" s="426"/>
      <c r="B905" s="426"/>
      <c r="C905" s="445" t="s">
        <v>926</v>
      </c>
      <c r="D905" s="409">
        <v>0</v>
      </c>
      <c r="E905" s="409">
        <f>+D905</f>
        <v>0</v>
      </c>
      <c r="F905" s="409">
        <f>+E905</f>
        <v>0</v>
      </c>
      <c r="G905" s="409">
        <f>+F905</f>
        <v>0</v>
      </c>
      <c r="H905" s="409">
        <f>+G905</f>
        <v>0</v>
      </c>
      <c r="I905" s="409">
        <f>+H905</f>
        <v>0</v>
      </c>
      <c r="J905" s="400"/>
      <c r="K905" s="401"/>
      <c r="L905" s="401"/>
      <c r="N905" s="448"/>
      <c r="O905" s="448"/>
      <c r="P905" s="448"/>
      <c r="Q905" s="448"/>
      <c r="R905" s="448"/>
      <c r="S905" s="448"/>
      <c r="T905" s="448"/>
      <c r="U905" s="448"/>
      <c r="V905" s="448"/>
      <c r="W905" s="448"/>
      <c r="X905" s="448"/>
      <c r="Y905" s="448"/>
      <c r="Z905" s="448"/>
      <c r="AA905" s="448"/>
      <c r="AB905" s="448"/>
      <c r="AC905" s="448"/>
      <c r="AD905" s="448"/>
      <c r="AE905" s="448"/>
      <c r="AF905" s="448"/>
      <c r="AG905" s="448"/>
      <c r="AH905" s="448"/>
      <c r="AI905" s="448"/>
      <c r="AJ905" s="448"/>
      <c r="AK905" s="448"/>
      <c r="AL905" s="448"/>
      <c r="AM905" s="448"/>
      <c r="AN905" s="448"/>
      <c r="AO905" s="448"/>
      <c r="AP905" s="448"/>
      <c r="AQ905" s="448"/>
      <c r="AR905" s="448"/>
      <c r="AS905" s="448"/>
      <c r="AT905" s="448"/>
      <c r="AU905" s="448"/>
      <c r="AV905" s="448"/>
      <c r="AW905" s="448"/>
      <c r="AX905" s="448"/>
      <c r="AY905" s="448"/>
      <c r="AZ905" s="448"/>
      <c r="BA905" s="448"/>
      <c r="BB905" s="448"/>
      <c r="BC905" s="448"/>
      <c r="BD905" s="448"/>
      <c r="BE905" s="448"/>
      <c r="BF905" s="448"/>
      <c r="BG905" s="448"/>
      <c r="BH905" s="448"/>
      <c r="BI905" s="448"/>
      <c r="BJ905" s="448"/>
      <c r="BK905" s="448"/>
      <c r="BL905" s="448"/>
    </row>
    <row r="906" spans="1:64">
      <c r="A906" s="426"/>
      <c r="B906" s="426"/>
      <c r="C906" s="445" t="str">
        <f>[161]Input!$C$47</f>
        <v>Add for MA @ 40%</v>
      </c>
      <c r="D906" s="409">
        <f>D905*[161]Input!$D$47</f>
        <v>0</v>
      </c>
      <c r="E906" s="409">
        <f>E905*[161]Input!$D$47</f>
        <v>0</v>
      </c>
      <c r="F906" s="409">
        <f>F905*[161]Input!$D$47</f>
        <v>0</v>
      </c>
      <c r="G906" s="409">
        <f>G905*[161]Input!$D$47</f>
        <v>0</v>
      </c>
      <c r="H906" s="409">
        <f>H905*[161]Input!$D$47</f>
        <v>0</v>
      </c>
      <c r="I906" s="409">
        <f>I905*[161]Input!$D$47</f>
        <v>0</v>
      </c>
      <c r="J906" s="400"/>
      <c r="K906" s="401"/>
      <c r="L906" s="401"/>
      <c r="N906" s="448"/>
      <c r="O906" s="448"/>
      <c r="P906" s="448"/>
      <c r="Q906" s="448"/>
      <c r="R906" s="448"/>
      <c r="S906" s="448"/>
      <c r="T906" s="448"/>
      <c r="U906" s="448"/>
      <c r="V906" s="448"/>
      <c r="W906" s="448"/>
      <c r="X906" s="448"/>
      <c r="Y906" s="448"/>
      <c r="Z906" s="448"/>
      <c r="AA906" s="448"/>
      <c r="AB906" s="448"/>
      <c r="AC906" s="448"/>
      <c r="AD906" s="448"/>
      <c r="AE906" s="448"/>
      <c r="AF906" s="448"/>
      <c r="AG906" s="448"/>
      <c r="AH906" s="448"/>
      <c r="AI906" s="448"/>
      <c r="AJ906" s="448"/>
      <c r="AK906" s="448"/>
      <c r="AL906" s="448"/>
      <c r="AM906" s="448"/>
      <c r="AN906" s="448"/>
      <c r="AO906" s="448"/>
      <c r="AP906" s="448"/>
      <c r="AQ906" s="448"/>
      <c r="AR906" s="448"/>
      <c r="AS906" s="448"/>
      <c r="AT906" s="448"/>
      <c r="AU906" s="448"/>
      <c r="AV906" s="448"/>
      <c r="AW906" s="448"/>
      <c r="AX906" s="448"/>
      <c r="AY906" s="448"/>
      <c r="AZ906" s="448"/>
      <c r="BA906" s="448"/>
      <c r="BB906" s="448"/>
      <c r="BC906" s="448"/>
      <c r="BD906" s="448"/>
      <c r="BE906" s="448"/>
      <c r="BF906" s="448"/>
      <c r="BG906" s="448"/>
      <c r="BH906" s="448"/>
      <c r="BI906" s="448"/>
      <c r="BJ906" s="448"/>
      <c r="BK906" s="448"/>
      <c r="BL906" s="448"/>
    </row>
    <row r="907" spans="1:64">
      <c r="A907" s="426"/>
      <c r="B907" s="426"/>
      <c r="C907" s="445" t="s">
        <v>979</v>
      </c>
      <c r="D907" s="409">
        <v>0</v>
      </c>
      <c r="E907" s="409">
        <f>$F$748*$D$899*10%</f>
        <v>62.01420000000001</v>
      </c>
      <c r="F907" s="409">
        <f>$F$748*$D$899*20%</f>
        <v>124.02840000000002</v>
      </c>
      <c r="G907" s="409">
        <f>$F$748*$D$899*30%</f>
        <v>186.04260000000002</v>
      </c>
      <c r="H907" s="409">
        <f>$F$748*$D$899*40%</f>
        <v>248.05680000000004</v>
      </c>
      <c r="I907" s="409">
        <f>$F$748*$D$899*50%</f>
        <v>310.07100000000003</v>
      </c>
      <c r="J907" s="400"/>
      <c r="K907" s="401"/>
      <c r="L907" s="401"/>
      <c r="N907" s="448"/>
      <c r="O907" s="448"/>
      <c r="P907" s="448"/>
      <c r="Q907" s="448"/>
      <c r="R907" s="448"/>
      <c r="S907" s="448"/>
      <c r="T907" s="448"/>
      <c r="U907" s="448"/>
      <c r="V907" s="448"/>
      <c r="W907" s="448"/>
      <c r="X907" s="448"/>
      <c r="Y907" s="448"/>
      <c r="Z907" s="448"/>
      <c r="AA907" s="448"/>
      <c r="AB907" s="448"/>
      <c r="AC907" s="448"/>
      <c r="AD907" s="448"/>
      <c r="AE907" s="448"/>
      <c r="AF907" s="448"/>
      <c r="AG907" s="448"/>
      <c r="AH907" s="448"/>
      <c r="AI907" s="448"/>
      <c r="AJ907" s="448"/>
      <c r="AK907" s="448"/>
      <c r="AL907" s="448"/>
      <c r="AM907" s="448"/>
      <c r="AN907" s="448"/>
      <c r="AO907" s="448"/>
      <c r="AP907" s="448"/>
      <c r="AQ907" s="448"/>
      <c r="AR907" s="448"/>
      <c r="AS907" s="448"/>
      <c r="AT907" s="448"/>
      <c r="AU907" s="448"/>
      <c r="AV907" s="448"/>
      <c r="AW907" s="448"/>
      <c r="AX907" s="448"/>
      <c r="AY907" s="448"/>
      <c r="AZ907" s="448"/>
      <c r="BA907" s="448"/>
      <c r="BB907" s="448"/>
      <c r="BC907" s="448"/>
      <c r="BD907" s="448"/>
      <c r="BE907" s="448"/>
      <c r="BF907" s="448"/>
      <c r="BG907" s="448"/>
      <c r="BH907" s="448"/>
      <c r="BI907" s="448"/>
      <c r="BJ907" s="448"/>
      <c r="BK907" s="448"/>
      <c r="BL907" s="448"/>
    </row>
    <row r="908" spans="1:64">
      <c r="A908" s="426"/>
      <c r="B908" s="426"/>
      <c r="C908" s="445" t="str">
        <f>[161]Input!$C$47</f>
        <v>Add for MA @ 40%</v>
      </c>
      <c r="D908" s="409">
        <v>0</v>
      </c>
      <c r="E908" s="409">
        <f>ROUND(E907*[161]Input!$D$47,2)</f>
        <v>24.81</v>
      </c>
      <c r="F908" s="409">
        <f>ROUND(F907*[161]Input!$D$47,2)</f>
        <v>49.61</v>
      </c>
      <c r="G908" s="409">
        <f>ROUND(G907*[161]Input!$D$47,2)</f>
        <v>74.42</v>
      </c>
      <c r="H908" s="409">
        <f>ROUND(H907*[161]Input!$D$47,2)</f>
        <v>99.22</v>
      </c>
      <c r="I908" s="409">
        <f>ROUND(I907*[161]Input!$D$47,2)</f>
        <v>124.03</v>
      </c>
      <c r="J908" s="400"/>
      <c r="K908" s="401"/>
      <c r="L908" s="401"/>
      <c r="N908" s="448"/>
      <c r="O908" s="448"/>
      <c r="P908" s="448"/>
      <c r="Q908" s="448"/>
      <c r="R908" s="448"/>
      <c r="S908" s="448"/>
      <c r="T908" s="448"/>
      <c r="U908" s="448"/>
      <c r="V908" s="448"/>
      <c r="W908" s="448"/>
      <c r="X908" s="448"/>
      <c r="Y908" s="448"/>
      <c r="Z908" s="448"/>
      <c r="AA908" s="448"/>
      <c r="AB908" s="448"/>
      <c r="AC908" s="448"/>
      <c r="AD908" s="448"/>
      <c r="AE908" s="448"/>
      <c r="AF908" s="448"/>
      <c r="AG908" s="448"/>
      <c r="AH908" s="448"/>
      <c r="AI908" s="448"/>
      <c r="AJ908" s="448"/>
      <c r="AK908" s="448"/>
      <c r="AL908" s="448"/>
      <c r="AM908" s="448"/>
      <c r="AN908" s="448"/>
      <c r="AO908" s="448"/>
      <c r="AP908" s="448"/>
      <c r="AQ908" s="448"/>
      <c r="AR908" s="448"/>
      <c r="AS908" s="448"/>
      <c r="AT908" s="448"/>
      <c r="AU908" s="448"/>
      <c r="AV908" s="448"/>
      <c r="AW908" s="448"/>
      <c r="AX908" s="448"/>
      <c r="AY908" s="448"/>
      <c r="AZ908" s="448"/>
      <c r="BA908" s="448"/>
      <c r="BB908" s="448"/>
      <c r="BC908" s="448"/>
      <c r="BD908" s="448"/>
      <c r="BE908" s="448"/>
      <c r="BF908" s="448"/>
      <c r="BG908" s="448"/>
      <c r="BH908" s="448"/>
      <c r="BI908" s="448"/>
      <c r="BJ908" s="448"/>
      <c r="BK908" s="448"/>
      <c r="BL908" s="448"/>
    </row>
    <row r="909" spans="1:64" ht="13">
      <c r="A909" s="426"/>
      <c r="B909" s="426"/>
      <c r="C909" s="451" t="s">
        <v>741</v>
      </c>
      <c r="D909" s="409">
        <f t="shared" ref="D909:I909" si="161">SUM(D903:D908)</f>
        <v>3216.0142520000009</v>
      </c>
      <c r="E909" s="409">
        <f t="shared" si="161"/>
        <v>3302.8384520000009</v>
      </c>
      <c r="F909" s="409">
        <f t="shared" si="161"/>
        <v>3389.6526520000011</v>
      </c>
      <c r="G909" s="409">
        <f t="shared" si="161"/>
        <v>3476.4768520000011</v>
      </c>
      <c r="H909" s="409">
        <f t="shared" si="161"/>
        <v>3563.2910520000005</v>
      </c>
      <c r="I909" s="409">
        <f t="shared" si="161"/>
        <v>3650.115252000001</v>
      </c>
      <c r="J909" s="400"/>
      <c r="K909" s="401"/>
      <c r="L909" s="401"/>
      <c r="N909" s="448"/>
      <c r="O909" s="448"/>
      <c r="P909" s="448"/>
      <c r="Q909" s="448"/>
      <c r="R909" s="448"/>
      <c r="S909" s="448"/>
      <c r="T909" s="448"/>
      <c r="U909" s="448"/>
      <c r="V909" s="448"/>
      <c r="W909" s="448"/>
      <c r="X909" s="448"/>
      <c r="Y909" s="448"/>
      <c r="Z909" s="448"/>
      <c r="AA909" s="448"/>
      <c r="AB909" s="448"/>
      <c r="AC909" s="448"/>
      <c r="AD909" s="448"/>
      <c r="AE909" s="448"/>
      <c r="AF909" s="448"/>
      <c r="AG909" s="448"/>
      <c r="AH909" s="448"/>
      <c r="AI909" s="448"/>
      <c r="AJ909" s="448"/>
      <c r="AK909" s="448"/>
      <c r="AL909" s="448"/>
      <c r="AM909" s="448"/>
      <c r="AN909" s="448"/>
      <c r="AO909" s="448"/>
      <c r="AP909" s="448"/>
      <c r="AQ909" s="448"/>
      <c r="AR909" s="448"/>
      <c r="AS909" s="448"/>
      <c r="AT909" s="448"/>
      <c r="AU909" s="448"/>
      <c r="AV909" s="448"/>
      <c r="AW909" s="448"/>
      <c r="AX909" s="448"/>
      <c r="AY909" s="448"/>
      <c r="AZ909" s="448"/>
      <c r="BA909" s="448"/>
      <c r="BB909" s="448"/>
      <c r="BC909" s="448"/>
      <c r="BD909" s="448"/>
      <c r="BE909" s="448"/>
      <c r="BF909" s="448"/>
      <c r="BG909" s="448"/>
      <c r="BH909" s="448"/>
      <c r="BI909" s="448"/>
      <c r="BJ909" s="448"/>
      <c r="BK909" s="448"/>
      <c r="BL909" s="448"/>
    </row>
    <row r="910" spans="1:64" ht="25">
      <c r="A910" s="426"/>
      <c r="B910" s="426"/>
      <c r="C910" s="445" t="str">
        <f>[161]Input!$C$48</f>
        <v>Overheads &amp; Contractors Profit @ 13.615%</v>
      </c>
      <c r="D910" s="426">
        <f>ROUND(D909*[161]Input!$D$48,2)</f>
        <v>437.86</v>
      </c>
      <c r="E910" s="426">
        <f>ROUND(E909*[161]Input!$D$48,2)</f>
        <v>449.68</v>
      </c>
      <c r="F910" s="426">
        <f>ROUND(F909*[161]Input!$D$48,2)</f>
        <v>461.5</v>
      </c>
      <c r="G910" s="426">
        <f>ROUND(G909*[161]Input!$D$48,2)</f>
        <v>473.32</v>
      </c>
      <c r="H910" s="426">
        <f>ROUND(H909*[161]Input!$D$48,2)</f>
        <v>485.14</v>
      </c>
      <c r="I910" s="426">
        <f>ROUND(I909*[161]Input!$D$48,2)</f>
        <v>496.96</v>
      </c>
      <c r="J910" s="400"/>
      <c r="K910" s="401"/>
      <c r="L910" s="401"/>
      <c r="N910" s="448"/>
      <c r="O910" s="448"/>
      <c r="P910" s="448"/>
      <c r="Q910" s="448"/>
      <c r="R910" s="448"/>
      <c r="S910" s="448"/>
      <c r="T910" s="448"/>
      <c r="U910" s="448"/>
      <c r="V910" s="448"/>
      <c r="W910" s="448"/>
      <c r="X910" s="448"/>
      <c r="Y910" s="448"/>
      <c r="Z910" s="448"/>
      <c r="AA910" s="448"/>
      <c r="AB910" s="448"/>
      <c r="AC910" s="448"/>
      <c r="AD910" s="448"/>
      <c r="AE910" s="448"/>
      <c r="AF910" s="448"/>
      <c r="AG910" s="448"/>
      <c r="AH910" s="448"/>
      <c r="AI910" s="448"/>
      <c r="AJ910" s="448"/>
      <c r="AK910" s="448"/>
      <c r="AL910" s="448"/>
      <c r="AM910" s="448"/>
      <c r="AN910" s="448"/>
      <c r="AO910" s="448"/>
      <c r="AP910" s="448"/>
      <c r="AQ910" s="448"/>
      <c r="AR910" s="448"/>
      <c r="AS910" s="448"/>
      <c r="AT910" s="448"/>
      <c r="AU910" s="448"/>
      <c r="AV910" s="448"/>
      <c r="AW910" s="448"/>
      <c r="AX910" s="448"/>
      <c r="AY910" s="448"/>
      <c r="AZ910" s="448"/>
      <c r="BA910" s="448"/>
      <c r="BB910" s="448"/>
      <c r="BC910" s="448"/>
      <c r="BD910" s="448"/>
      <c r="BE910" s="448"/>
      <c r="BF910" s="448"/>
      <c r="BG910" s="448"/>
      <c r="BH910" s="448"/>
      <c r="BI910" s="448"/>
      <c r="BJ910" s="448"/>
      <c r="BK910" s="448"/>
      <c r="BL910" s="448"/>
    </row>
    <row r="911" spans="1:64" ht="13">
      <c r="A911" s="426"/>
      <c r="B911" s="426"/>
      <c r="C911" s="481" t="s">
        <v>742</v>
      </c>
      <c r="D911" s="409">
        <f t="shared" ref="D911:I911" si="162">SUM(D909:D910)</f>
        <v>3653.874252000001</v>
      </c>
      <c r="E911" s="409">
        <f t="shared" si="162"/>
        <v>3752.5184520000007</v>
      </c>
      <c r="F911" s="409">
        <f t="shared" si="162"/>
        <v>3851.1526520000011</v>
      </c>
      <c r="G911" s="409">
        <f t="shared" si="162"/>
        <v>3949.7968520000013</v>
      </c>
      <c r="H911" s="409">
        <f t="shared" si="162"/>
        <v>4048.4310520000004</v>
      </c>
      <c r="I911" s="409">
        <f t="shared" si="162"/>
        <v>4147.0752520000005</v>
      </c>
      <c r="J911" s="400"/>
      <c r="K911" s="401"/>
      <c r="L911" s="401"/>
      <c r="N911" s="413"/>
      <c r="O911" s="413"/>
      <c r="P911" s="413"/>
      <c r="Q911" s="413"/>
      <c r="R911" s="413"/>
      <c r="S911" s="413"/>
      <c r="T911" s="413"/>
      <c r="U911" s="413"/>
      <c r="V911" s="413"/>
      <c r="W911" s="413"/>
      <c r="X911" s="413"/>
      <c r="Y911" s="413"/>
      <c r="Z911" s="413"/>
      <c r="AA911" s="413"/>
      <c r="AB911" s="413"/>
      <c r="AC911" s="413"/>
      <c r="AD911" s="413"/>
      <c r="AE911" s="413"/>
      <c r="AF911" s="413"/>
      <c r="AG911" s="413"/>
      <c r="AH911" s="413"/>
      <c r="AI911" s="413"/>
      <c r="AJ911" s="413"/>
      <c r="AK911" s="413"/>
      <c r="AL911" s="413"/>
      <c r="AM911" s="413"/>
      <c r="AN911" s="413"/>
      <c r="AO911" s="413"/>
      <c r="AP911" s="413"/>
      <c r="AQ911" s="413"/>
      <c r="AR911" s="413"/>
      <c r="AS911" s="413"/>
      <c r="AT911" s="413"/>
      <c r="AU911" s="413"/>
      <c r="AV911" s="413"/>
      <c r="AW911" s="413"/>
      <c r="AX911" s="413"/>
      <c r="AY911" s="413"/>
      <c r="AZ911" s="413"/>
      <c r="BA911" s="413"/>
      <c r="BB911" s="413"/>
      <c r="BC911" s="413"/>
      <c r="BD911" s="413"/>
      <c r="BE911" s="413"/>
      <c r="BF911" s="413"/>
      <c r="BG911" s="413"/>
      <c r="BH911" s="413"/>
      <c r="BI911" s="413"/>
      <c r="BJ911" s="413"/>
      <c r="BK911" s="413"/>
      <c r="BL911" s="413"/>
    </row>
    <row r="912" spans="1:64" ht="13">
      <c r="A912" s="426"/>
      <c r="B912" s="426"/>
      <c r="C912" s="522" t="s">
        <v>726</v>
      </c>
      <c r="D912" s="416">
        <f t="shared" ref="D912:I912" si="163">ROUND(D911,0)</f>
        <v>3654</v>
      </c>
      <c r="E912" s="416">
        <f t="shared" si="163"/>
        <v>3753</v>
      </c>
      <c r="F912" s="416">
        <f t="shared" si="163"/>
        <v>3851</v>
      </c>
      <c r="G912" s="416">
        <f t="shared" si="163"/>
        <v>3950</v>
      </c>
      <c r="H912" s="416">
        <f t="shared" si="163"/>
        <v>4048</v>
      </c>
      <c r="I912" s="416">
        <f t="shared" si="163"/>
        <v>4147</v>
      </c>
      <c r="J912" s="400"/>
      <c r="K912" s="401"/>
      <c r="L912" s="401"/>
      <c r="N912" s="413"/>
      <c r="O912" s="413"/>
      <c r="P912" s="413"/>
      <c r="Q912" s="413"/>
      <c r="R912" s="413"/>
      <c r="S912" s="413"/>
      <c r="T912" s="413"/>
      <c r="U912" s="413"/>
      <c r="V912" s="413"/>
      <c r="W912" s="413"/>
      <c r="X912" s="413"/>
      <c r="Y912" s="413"/>
      <c r="Z912" s="413"/>
      <c r="AA912" s="413"/>
      <c r="AB912" s="413"/>
      <c r="AC912" s="413"/>
      <c r="AD912" s="413"/>
      <c r="AE912" s="413"/>
      <c r="AF912" s="413"/>
      <c r="AG912" s="413"/>
      <c r="AH912" s="413"/>
      <c r="AI912" s="413"/>
      <c r="AJ912" s="413"/>
      <c r="AK912" s="413"/>
      <c r="AL912" s="413"/>
      <c r="AM912" s="413"/>
      <c r="AN912" s="413"/>
      <c r="AO912" s="413"/>
      <c r="AP912" s="413"/>
      <c r="AQ912" s="413"/>
      <c r="AR912" s="413"/>
      <c r="AS912" s="413"/>
      <c r="AT912" s="413"/>
      <c r="AU912" s="413"/>
      <c r="AV912" s="413"/>
      <c r="AW912" s="413"/>
      <c r="AX912" s="413"/>
      <c r="AY912" s="413"/>
      <c r="AZ912" s="413"/>
      <c r="BA912" s="413"/>
      <c r="BB912" s="413"/>
      <c r="BC912" s="413"/>
      <c r="BD912" s="413"/>
      <c r="BE912" s="413"/>
      <c r="BF912" s="413"/>
      <c r="BG912" s="413"/>
      <c r="BH912" s="413"/>
      <c r="BI912" s="413"/>
      <c r="BJ912" s="413"/>
      <c r="BK912" s="413"/>
      <c r="BL912" s="413"/>
    </row>
    <row r="913" spans="1:64" ht="13">
      <c r="A913" s="426"/>
      <c r="B913" s="426"/>
      <c r="C913" s="522"/>
      <c r="D913" s="416"/>
      <c r="E913" s="416"/>
      <c r="F913" s="416"/>
      <c r="G913" s="416"/>
      <c r="H913" s="416"/>
      <c r="I913" s="416"/>
      <c r="J913" s="400"/>
      <c r="K913" s="401"/>
      <c r="L913" s="401"/>
      <c r="N913" s="413"/>
      <c r="O913" s="413"/>
      <c r="P913" s="413"/>
      <c r="Q913" s="413"/>
      <c r="R913" s="413"/>
      <c r="S913" s="413"/>
      <c r="T913" s="413"/>
      <c r="U913" s="413"/>
      <c r="V913" s="413"/>
      <c r="W913" s="413"/>
      <c r="X913" s="413"/>
      <c r="Y913" s="413"/>
      <c r="Z913" s="413"/>
      <c r="AA913" s="413"/>
      <c r="AB913" s="413"/>
      <c r="AC913" s="413"/>
      <c r="AD913" s="413"/>
      <c r="AE913" s="413"/>
      <c r="AF913" s="413"/>
      <c r="AG913" s="413"/>
      <c r="AH913" s="413"/>
      <c r="AI913" s="413"/>
      <c r="AJ913" s="413"/>
      <c r="AK913" s="413"/>
      <c r="AL913" s="413"/>
      <c r="AM913" s="413"/>
      <c r="AN913" s="413"/>
      <c r="AO913" s="413"/>
      <c r="AP913" s="413"/>
      <c r="AQ913" s="413"/>
      <c r="AR913" s="413"/>
      <c r="AS913" s="413"/>
      <c r="AT913" s="413"/>
      <c r="AU913" s="413"/>
      <c r="AV913" s="413"/>
      <c r="AW913" s="413"/>
      <c r="AX913" s="413"/>
      <c r="AY913" s="413"/>
      <c r="AZ913" s="413"/>
      <c r="BA913" s="413"/>
      <c r="BB913" s="413"/>
      <c r="BC913" s="413"/>
      <c r="BD913" s="413"/>
      <c r="BE913" s="413"/>
      <c r="BF913" s="413"/>
      <c r="BG913" s="413"/>
      <c r="BH913" s="413"/>
      <c r="BI913" s="413"/>
      <c r="BJ913" s="413"/>
      <c r="BK913" s="413"/>
      <c r="BL913" s="413"/>
    </row>
    <row r="914" spans="1:64" ht="13">
      <c r="A914" s="426"/>
      <c r="B914" s="426"/>
      <c r="C914" s="427" t="s">
        <v>953</v>
      </c>
      <c r="D914" s="492" t="s">
        <v>948</v>
      </c>
      <c r="E914" s="492" t="s">
        <v>949</v>
      </c>
      <c r="F914" s="492" t="s">
        <v>950</v>
      </c>
      <c r="G914" s="416"/>
      <c r="H914" s="416"/>
      <c r="I914" s="416"/>
      <c r="J914" s="400"/>
      <c r="K914" s="401"/>
      <c r="L914" s="401"/>
      <c r="N914" s="413"/>
      <c r="O914" s="413"/>
      <c r="P914" s="413"/>
      <c r="Q914" s="413"/>
      <c r="R914" s="413"/>
      <c r="S914" s="413"/>
      <c r="T914" s="413"/>
      <c r="U914" s="413"/>
      <c r="V914" s="413"/>
      <c r="W914" s="413"/>
      <c r="X914" s="413"/>
      <c r="Y914" s="413"/>
      <c r="Z914" s="413"/>
      <c r="AA914" s="413"/>
      <c r="AB914" s="413"/>
      <c r="AC914" s="413"/>
      <c r="AD914" s="413"/>
      <c r="AE914" s="413"/>
      <c r="AF914" s="413"/>
      <c r="AG914" s="413"/>
      <c r="AH914" s="413"/>
      <c r="AI914" s="413"/>
      <c r="AJ914" s="413"/>
      <c r="AK914" s="413"/>
      <c r="AL914" s="413"/>
      <c r="AM914" s="413"/>
      <c r="AN914" s="413"/>
      <c r="AO914" s="413"/>
      <c r="AP914" s="413"/>
      <c r="AQ914" s="413"/>
      <c r="AR914" s="413"/>
      <c r="AS914" s="413"/>
      <c r="AT914" s="413"/>
      <c r="AU914" s="413"/>
      <c r="AV914" s="413"/>
      <c r="AW914" s="413"/>
      <c r="AX914" s="413"/>
      <c r="AY914" s="413"/>
      <c r="AZ914" s="413"/>
      <c r="BA914" s="413"/>
      <c r="BB914" s="413"/>
      <c r="BC914" s="413"/>
      <c r="BD914" s="413"/>
      <c r="BE914" s="413"/>
      <c r="BF914" s="413"/>
      <c r="BG914" s="413"/>
      <c r="BH914" s="413"/>
      <c r="BI914" s="413"/>
      <c r="BJ914" s="413"/>
      <c r="BK914" s="413"/>
      <c r="BL914" s="413"/>
    </row>
    <row r="915" spans="1:64" ht="13">
      <c r="A915" s="426"/>
      <c r="B915" s="426"/>
      <c r="C915" s="445" t="s">
        <v>954</v>
      </c>
      <c r="D915" s="409">
        <f>$I$899</f>
        <v>2033.0142520000006</v>
      </c>
      <c r="E915" s="409">
        <f>$I$899</f>
        <v>2033.0142520000006</v>
      </c>
      <c r="F915" s="409">
        <f>$I$899</f>
        <v>2033.0142520000006</v>
      </c>
      <c r="G915" s="416"/>
      <c r="H915" s="416"/>
      <c r="I915" s="416"/>
      <c r="J915" s="400"/>
      <c r="K915" s="401"/>
      <c r="L915" s="401"/>
      <c r="N915" s="413"/>
      <c r="O915" s="413"/>
      <c r="P915" s="413"/>
      <c r="Q915" s="413"/>
      <c r="R915" s="413"/>
      <c r="S915" s="413"/>
      <c r="T915" s="413"/>
      <c r="U915" s="413"/>
      <c r="V915" s="413"/>
      <c r="W915" s="413"/>
      <c r="X915" s="413"/>
      <c r="Y915" s="413"/>
      <c r="Z915" s="413"/>
      <c r="AA915" s="413"/>
      <c r="AB915" s="413"/>
      <c r="AC915" s="413"/>
      <c r="AD915" s="413"/>
      <c r="AE915" s="413"/>
      <c r="AF915" s="413"/>
      <c r="AG915" s="413"/>
      <c r="AH915" s="413"/>
      <c r="AI915" s="413"/>
      <c r="AJ915" s="413"/>
      <c r="AK915" s="413"/>
      <c r="AL915" s="413"/>
      <c r="AM915" s="413"/>
      <c r="AN915" s="413"/>
      <c r="AO915" s="413"/>
      <c r="AP915" s="413"/>
      <c r="AQ915" s="413"/>
      <c r="AR915" s="413"/>
      <c r="AS915" s="413"/>
      <c r="AT915" s="413"/>
      <c r="AU915" s="413"/>
      <c r="AV915" s="413"/>
      <c r="AW915" s="413"/>
      <c r="AX915" s="413"/>
      <c r="AY915" s="413"/>
      <c r="AZ915" s="413"/>
      <c r="BA915" s="413"/>
      <c r="BB915" s="413"/>
      <c r="BC915" s="413"/>
      <c r="BD915" s="413"/>
      <c r="BE915" s="413"/>
      <c r="BF915" s="413"/>
      <c r="BG915" s="413"/>
      <c r="BH915" s="413"/>
      <c r="BI915" s="413"/>
      <c r="BJ915" s="413"/>
      <c r="BK915" s="413"/>
      <c r="BL915" s="413"/>
    </row>
    <row r="916" spans="1:64" ht="13">
      <c r="A916" s="426"/>
      <c r="B916" s="426"/>
      <c r="C916" s="445" t="s">
        <v>921</v>
      </c>
      <c r="D916" s="409">
        <f>'[161]Civil-SOR'!$F$282</f>
        <v>1183</v>
      </c>
      <c r="E916" s="409">
        <f>'[161]Civil-SOR'!$F$282</f>
        <v>1183</v>
      </c>
      <c r="F916" s="409">
        <f>'[161]Civil-SOR'!$F$282</f>
        <v>1183</v>
      </c>
      <c r="G916" s="416"/>
      <c r="H916" s="416"/>
      <c r="I916" s="416"/>
      <c r="J916" s="533"/>
      <c r="K916" s="534"/>
      <c r="L916" s="534"/>
      <c r="M916" s="413"/>
      <c r="N916" s="413"/>
      <c r="O916" s="413"/>
      <c r="P916" s="413"/>
      <c r="Q916" s="413"/>
      <c r="R916" s="413"/>
      <c r="S916" s="413"/>
      <c r="T916" s="413"/>
      <c r="U916" s="413"/>
      <c r="V916" s="413"/>
      <c r="W916" s="413"/>
      <c r="X916" s="413"/>
      <c r="Y916" s="413"/>
      <c r="Z916" s="413"/>
      <c r="AA916" s="413"/>
      <c r="AB916" s="413"/>
      <c r="AC916" s="413"/>
      <c r="AD916" s="413"/>
      <c r="AE916" s="413"/>
      <c r="AF916" s="413"/>
      <c r="AG916" s="413"/>
      <c r="AH916" s="413"/>
      <c r="AI916" s="413"/>
      <c r="AJ916" s="413"/>
      <c r="AK916" s="413"/>
      <c r="AL916" s="413"/>
      <c r="AM916" s="413"/>
      <c r="AN916" s="413"/>
      <c r="AO916" s="413"/>
      <c r="AP916" s="413"/>
      <c r="AQ916" s="413"/>
      <c r="AR916" s="413"/>
      <c r="AS916" s="413"/>
      <c r="AT916" s="413"/>
      <c r="AU916" s="413"/>
      <c r="AV916" s="413"/>
      <c r="AW916" s="413"/>
      <c r="AX916" s="413"/>
      <c r="AY916" s="413"/>
      <c r="AZ916" s="413"/>
      <c r="BA916" s="413"/>
      <c r="BB916" s="413"/>
      <c r="BC916" s="413"/>
      <c r="BD916" s="413"/>
      <c r="BE916" s="413"/>
      <c r="BF916" s="413"/>
      <c r="BG916" s="413"/>
      <c r="BH916" s="413"/>
      <c r="BI916" s="413"/>
      <c r="BJ916" s="413"/>
      <c r="BK916" s="413"/>
      <c r="BL916" s="413"/>
    </row>
    <row r="917" spans="1:64" ht="13">
      <c r="A917" s="426"/>
      <c r="B917" s="426"/>
      <c r="C917" s="445" t="s">
        <v>926</v>
      </c>
      <c r="D917" s="409">
        <f>'[161]Civil-SOR'!$J$282</f>
        <v>0</v>
      </c>
      <c r="E917" s="409">
        <f>'[161]Civil-SOR'!$J$282</f>
        <v>0</v>
      </c>
      <c r="F917" s="409">
        <f>'[161]Civil-SOR'!$J$282</f>
        <v>0</v>
      </c>
      <c r="G917" s="416"/>
      <c r="H917" s="416"/>
      <c r="I917" s="416"/>
      <c r="J917" s="533"/>
      <c r="K917" s="534"/>
      <c r="L917" s="534"/>
      <c r="M917" s="413"/>
      <c r="N917" s="413"/>
      <c r="O917" s="413"/>
      <c r="P917" s="413"/>
      <c r="Q917" s="413"/>
      <c r="R917" s="413"/>
      <c r="S917" s="413"/>
      <c r="T917" s="413"/>
      <c r="U917" s="413"/>
      <c r="V917" s="413"/>
      <c r="W917" s="413"/>
      <c r="X917" s="413"/>
      <c r="Y917" s="413"/>
      <c r="Z917" s="413"/>
      <c r="AA917" s="413"/>
      <c r="AB917" s="413"/>
      <c r="AC917" s="413"/>
      <c r="AD917" s="413"/>
      <c r="AE917" s="413"/>
      <c r="AF917" s="413"/>
      <c r="AG917" s="413"/>
      <c r="AH917" s="413"/>
      <c r="AI917" s="413"/>
      <c r="AJ917" s="413"/>
      <c r="AK917" s="413"/>
      <c r="AL917" s="413"/>
      <c r="AM917" s="413"/>
      <c r="AN917" s="413"/>
      <c r="AO917" s="413"/>
      <c r="AP917" s="413"/>
      <c r="AQ917" s="413"/>
      <c r="AR917" s="413"/>
      <c r="AS917" s="413"/>
      <c r="AT917" s="413"/>
      <c r="AU917" s="413"/>
      <c r="AV917" s="413"/>
      <c r="AW917" s="413"/>
      <c r="AX917" s="413"/>
      <c r="AY917" s="413"/>
      <c r="AZ917" s="413"/>
      <c r="BA917" s="413"/>
      <c r="BB917" s="413"/>
      <c r="BC917" s="413"/>
      <c r="BD917" s="413"/>
      <c r="BE917" s="413"/>
      <c r="BF917" s="413"/>
      <c r="BG917" s="413"/>
      <c r="BH917" s="413"/>
      <c r="BI917" s="413"/>
      <c r="BJ917" s="413"/>
      <c r="BK917" s="413"/>
      <c r="BL917" s="413"/>
    </row>
    <row r="918" spans="1:64" ht="13">
      <c r="A918" s="426"/>
      <c r="B918" s="426"/>
      <c r="C918" s="445" t="str">
        <f>[161]Input!$C$47</f>
        <v>Add for MA @ 40%</v>
      </c>
      <c r="D918" s="409">
        <f>D917*[161]Input!$D$47</f>
        <v>0</v>
      </c>
      <c r="E918" s="409">
        <f>E917*[161]Input!$D$47</f>
        <v>0</v>
      </c>
      <c r="F918" s="409">
        <f>F917*[161]Input!$D$47</f>
        <v>0</v>
      </c>
      <c r="G918" s="416"/>
      <c r="H918" s="416"/>
      <c r="I918" s="416"/>
      <c r="J918" s="533"/>
      <c r="K918" s="534"/>
      <c r="L918" s="534"/>
      <c r="M918" s="413"/>
      <c r="N918" s="413"/>
      <c r="O918" s="413"/>
      <c r="P918" s="413"/>
      <c r="Q918" s="413"/>
      <c r="R918" s="413"/>
      <c r="S918" s="413"/>
      <c r="T918" s="413"/>
      <c r="U918" s="413"/>
      <c r="V918" s="413"/>
      <c r="W918" s="413"/>
      <c r="X918" s="413"/>
      <c r="Y918" s="413"/>
      <c r="Z918" s="413"/>
      <c r="AA918" s="413"/>
      <c r="AB918" s="413"/>
      <c r="AC918" s="413"/>
      <c r="AD918" s="413"/>
      <c r="AE918" s="413"/>
      <c r="AF918" s="413"/>
      <c r="AG918" s="413"/>
      <c r="AH918" s="413"/>
      <c r="AI918" s="413"/>
      <c r="AJ918" s="413"/>
      <c r="AK918" s="413"/>
      <c r="AL918" s="413"/>
      <c r="AM918" s="413"/>
      <c r="AN918" s="413"/>
      <c r="AO918" s="413"/>
      <c r="AP918" s="413"/>
      <c r="AQ918" s="413"/>
      <c r="AR918" s="413"/>
      <c r="AS918" s="413"/>
      <c r="AT918" s="413"/>
      <c r="AU918" s="413"/>
      <c r="AV918" s="413"/>
      <c r="AW918" s="413"/>
      <c r="AX918" s="413"/>
      <c r="AY918" s="413"/>
      <c r="AZ918" s="413"/>
      <c r="BA918" s="413"/>
      <c r="BB918" s="413"/>
      <c r="BC918" s="413"/>
      <c r="BD918" s="413"/>
      <c r="BE918" s="413"/>
      <c r="BF918" s="413"/>
      <c r="BG918" s="413"/>
      <c r="BH918" s="413"/>
      <c r="BI918" s="413"/>
      <c r="BJ918" s="413"/>
      <c r="BK918" s="413"/>
      <c r="BL918" s="413"/>
    </row>
    <row r="919" spans="1:64" ht="13">
      <c r="A919" s="426"/>
      <c r="B919" s="426"/>
      <c r="C919" s="445" t="s">
        <v>979</v>
      </c>
      <c r="D919" s="409">
        <f>$F$748*$D$899*60%</f>
        <v>372.08520000000004</v>
      </c>
      <c r="E919" s="409">
        <f>$F$748*$D$899*70%</f>
        <v>434.0994</v>
      </c>
      <c r="F919" s="409">
        <f>$F$748*$D$899*80%</f>
        <v>496.11360000000008</v>
      </c>
      <c r="G919" s="416"/>
      <c r="H919" s="416"/>
      <c r="I919" s="416"/>
      <c r="J919" s="533"/>
      <c r="K919" s="534"/>
      <c r="L919" s="534"/>
      <c r="M919" s="413"/>
      <c r="N919" s="413"/>
      <c r="O919" s="413"/>
      <c r="P919" s="413"/>
      <c r="Q919" s="413"/>
      <c r="R919" s="413"/>
      <c r="S919" s="413"/>
      <c r="T919" s="413"/>
      <c r="U919" s="413"/>
      <c r="V919" s="413"/>
      <c r="W919" s="413"/>
      <c r="X919" s="413"/>
      <c r="Y919" s="413"/>
      <c r="Z919" s="413"/>
      <c r="AA919" s="413"/>
      <c r="AB919" s="413"/>
      <c r="AC919" s="413"/>
      <c r="AD919" s="413"/>
      <c r="AE919" s="413"/>
      <c r="AF919" s="413"/>
      <c r="AG919" s="413"/>
      <c r="AH919" s="413"/>
      <c r="AI919" s="413"/>
      <c r="AJ919" s="413"/>
      <c r="AK919" s="413"/>
      <c r="AL919" s="413"/>
      <c r="AM919" s="413"/>
      <c r="AN919" s="413"/>
      <c r="AO919" s="413"/>
      <c r="AP919" s="413"/>
      <c r="AQ919" s="413"/>
      <c r="AR919" s="413"/>
      <c r="AS919" s="413"/>
      <c r="AT919" s="413"/>
      <c r="AU919" s="413"/>
      <c r="AV919" s="413"/>
      <c r="AW919" s="413"/>
      <c r="AX919" s="413"/>
      <c r="AY919" s="413"/>
      <c r="AZ919" s="413"/>
      <c r="BA919" s="413"/>
      <c r="BB919" s="413"/>
      <c r="BC919" s="413"/>
      <c r="BD919" s="413"/>
      <c r="BE919" s="413"/>
      <c r="BF919" s="413"/>
      <c r="BG919" s="413"/>
      <c r="BH919" s="413"/>
      <c r="BI919" s="413"/>
      <c r="BJ919" s="413"/>
      <c r="BK919" s="413"/>
      <c r="BL919" s="413"/>
    </row>
    <row r="920" spans="1:64" ht="13">
      <c r="A920" s="426"/>
      <c r="B920" s="426"/>
      <c r="C920" s="445" t="str">
        <f>[161]Input!$C$47</f>
        <v>Add for MA @ 40%</v>
      </c>
      <c r="D920" s="409">
        <f>ROUND(D919*[161]Input!$D$47,2)</f>
        <v>148.83000000000001</v>
      </c>
      <c r="E920" s="409">
        <f>ROUND(E919*[161]Input!$D$47,2)</f>
        <v>173.64</v>
      </c>
      <c r="F920" s="409">
        <f>ROUND(F919*[161]Input!$D$47,2)</f>
        <v>198.45</v>
      </c>
      <c r="G920" s="416"/>
      <c r="H920" s="416"/>
      <c r="I920" s="416"/>
      <c r="J920" s="533"/>
      <c r="K920" s="534"/>
      <c r="L920" s="534"/>
      <c r="M920" s="413"/>
      <c r="N920" s="413"/>
      <c r="O920" s="413"/>
      <c r="P920" s="413"/>
      <c r="Q920" s="413"/>
      <c r="R920" s="413"/>
      <c r="S920" s="413"/>
      <c r="T920" s="413"/>
      <c r="U920" s="413"/>
      <c r="V920" s="413"/>
      <c r="W920" s="413"/>
      <c r="X920" s="413"/>
      <c r="Y920" s="413"/>
      <c r="Z920" s="413"/>
      <c r="AA920" s="413"/>
      <c r="AB920" s="413"/>
      <c r="AC920" s="413"/>
      <c r="AD920" s="413"/>
      <c r="AE920" s="413"/>
      <c r="AF920" s="413"/>
      <c r="AG920" s="413"/>
      <c r="AH920" s="413"/>
      <c r="AI920" s="413"/>
      <c r="AJ920" s="413"/>
      <c r="AK920" s="413"/>
      <c r="AL920" s="413"/>
      <c r="AM920" s="413"/>
      <c r="AN920" s="413"/>
      <c r="AO920" s="413"/>
      <c r="AP920" s="413"/>
      <c r="AQ920" s="413"/>
      <c r="AR920" s="413"/>
      <c r="AS920" s="413"/>
      <c r="AT920" s="413"/>
      <c r="AU920" s="413"/>
      <c r="AV920" s="413"/>
      <c r="AW920" s="413"/>
      <c r="AX920" s="413"/>
      <c r="AY920" s="413"/>
      <c r="AZ920" s="413"/>
      <c r="BA920" s="413"/>
      <c r="BB920" s="413"/>
      <c r="BC920" s="413"/>
      <c r="BD920" s="413"/>
      <c r="BE920" s="413"/>
      <c r="BF920" s="413"/>
      <c r="BG920" s="413"/>
      <c r="BH920" s="413"/>
      <c r="BI920" s="413"/>
      <c r="BJ920" s="413"/>
      <c r="BK920" s="413"/>
      <c r="BL920" s="413"/>
    </row>
    <row r="921" spans="1:64" ht="13">
      <c r="A921" s="426"/>
      <c r="B921" s="426"/>
      <c r="C921" s="451" t="s">
        <v>741</v>
      </c>
      <c r="D921" s="409">
        <f>SUM(D915:D920)</f>
        <v>3736.9294520000008</v>
      </c>
      <c r="E921" s="409">
        <f>SUM(E915:E920)</f>
        <v>3823.7536520000008</v>
      </c>
      <c r="F921" s="409">
        <f>SUM(F915:F920)</f>
        <v>3910.5778520000008</v>
      </c>
      <c r="G921" s="416"/>
      <c r="H921" s="416"/>
      <c r="I921" s="416"/>
      <c r="J921" s="533"/>
      <c r="K921" s="534"/>
      <c r="L921" s="534"/>
      <c r="M921" s="413"/>
      <c r="N921" s="413"/>
      <c r="O921" s="413"/>
      <c r="P921" s="413"/>
      <c r="Q921" s="413"/>
      <c r="R921" s="413"/>
      <c r="S921" s="413"/>
      <c r="T921" s="413"/>
      <c r="U921" s="413"/>
      <c r="V921" s="413"/>
      <c r="W921" s="413"/>
      <c r="X921" s="413"/>
      <c r="Y921" s="413"/>
      <c r="Z921" s="413"/>
      <c r="AA921" s="413"/>
      <c r="AB921" s="413"/>
      <c r="AC921" s="413"/>
      <c r="AD921" s="413"/>
      <c r="AE921" s="413"/>
      <c r="AF921" s="413"/>
      <c r="AG921" s="413"/>
      <c r="AH921" s="413"/>
      <c r="AI921" s="413"/>
      <c r="AJ921" s="413"/>
      <c r="AK921" s="413"/>
      <c r="AL921" s="413"/>
      <c r="AM921" s="413"/>
      <c r="AN921" s="413"/>
      <c r="AO921" s="413"/>
      <c r="AP921" s="413"/>
      <c r="AQ921" s="413"/>
      <c r="AR921" s="413"/>
      <c r="AS921" s="413"/>
      <c r="AT921" s="413"/>
      <c r="AU921" s="413"/>
      <c r="AV921" s="413"/>
      <c r="AW921" s="413"/>
      <c r="AX921" s="413"/>
      <c r="AY921" s="413"/>
      <c r="AZ921" s="413"/>
      <c r="BA921" s="413"/>
      <c r="BB921" s="413"/>
      <c r="BC921" s="413"/>
      <c r="BD921" s="413"/>
      <c r="BE921" s="413"/>
      <c r="BF921" s="413"/>
      <c r="BG921" s="413"/>
      <c r="BH921" s="413"/>
      <c r="BI921" s="413"/>
      <c r="BJ921" s="413"/>
      <c r="BK921" s="413"/>
      <c r="BL921" s="413"/>
    </row>
    <row r="922" spans="1:64" ht="25">
      <c r="A922" s="426"/>
      <c r="B922" s="426"/>
      <c r="C922" s="445" t="str">
        <f>[161]Input!$C$48</f>
        <v>Overheads &amp; Contractors Profit @ 13.615%</v>
      </c>
      <c r="D922" s="426">
        <f>ROUND(D921*[161]Input!$D$48,2)</f>
        <v>508.78</v>
      </c>
      <c r="E922" s="426">
        <f>ROUND(E921*[161]Input!$D$48,2)</f>
        <v>520.6</v>
      </c>
      <c r="F922" s="426">
        <f>ROUND(F921*[161]Input!$D$48,2)</f>
        <v>532.42999999999995</v>
      </c>
      <c r="G922" s="416"/>
      <c r="H922" s="416"/>
      <c r="I922" s="416"/>
      <c r="J922" s="533"/>
      <c r="K922" s="534"/>
      <c r="L922" s="534"/>
      <c r="M922" s="413"/>
      <c r="N922" s="413"/>
      <c r="O922" s="413"/>
      <c r="P922" s="413"/>
      <c r="Q922" s="413"/>
      <c r="R922" s="413"/>
      <c r="S922" s="413"/>
      <c r="T922" s="413"/>
      <c r="U922" s="413"/>
      <c r="V922" s="413"/>
      <c r="W922" s="413"/>
      <c r="X922" s="413"/>
      <c r="Y922" s="413"/>
      <c r="Z922" s="413"/>
      <c r="AA922" s="413"/>
      <c r="AB922" s="413"/>
      <c r="AC922" s="413"/>
      <c r="AD922" s="413"/>
      <c r="AE922" s="413"/>
      <c r="AF922" s="413"/>
      <c r="AG922" s="413"/>
      <c r="AH922" s="413"/>
      <c r="AI922" s="413"/>
      <c r="AJ922" s="413"/>
      <c r="AK922" s="413"/>
      <c r="AL922" s="413"/>
      <c r="AM922" s="413"/>
      <c r="AN922" s="413"/>
      <c r="AO922" s="413"/>
      <c r="AP922" s="413"/>
      <c r="AQ922" s="413"/>
      <c r="AR922" s="413"/>
      <c r="AS922" s="413"/>
      <c r="AT922" s="413"/>
      <c r="AU922" s="413"/>
      <c r="AV922" s="413"/>
      <c r="AW922" s="413"/>
      <c r="AX922" s="413"/>
      <c r="AY922" s="413"/>
      <c r="AZ922" s="413"/>
      <c r="BA922" s="413"/>
      <c r="BB922" s="413"/>
      <c r="BC922" s="413"/>
      <c r="BD922" s="413"/>
      <c r="BE922" s="413"/>
      <c r="BF922" s="413"/>
      <c r="BG922" s="413"/>
      <c r="BH922" s="413"/>
      <c r="BI922" s="413"/>
      <c r="BJ922" s="413"/>
      <c r="BK922" s="413"/>
      <c r="BL922" s="413"/>
    </row>
    <row r="923" spans="1:64" ht="13">
      <c r="A923" s="426"/>
      <c r="B923" s="426"/>
      <c r="C923" s="427" t="s">
        <v>742</v>
      </c>
      <c r="D923" s="409">
        <f>SUM(D921:D922)</f>
        <v>4245.709452000001</v>
      </c>
      <c r="E923" s="409">
        <f>SUM(E921:E922)</f>
        <v>4344.3536520000007</v>
      </c>
      <c r="F923" s="409">
        <f>SUM(F921:F922)</f>
        <v>4443.0078520000006</v>
      </c>
      <c r="G923" s="416"/>
      <c r="H923" s="416"/>
      <c r="I923" s="416"/>
      <c r="J923" s="533"/>
      <c r="K923" s="534"/>
      <c r="L923" s="534"/>
      <c r="M923" s="413"/>
      <c r="N923" s="413"/>
      <c r="O923" s="413"/>
      <c r="P923" s="413"/>
      <c r="Q923" s="413"/>
      <c r="R923" s="413"/>
      <c r="S923" s="413"/>
      <c r="T923" s="413"/>
      <c r="U923" s="413"/>
      <c r="V923" s="413"/>
      <c r="W923" s="413"/>
      <c r="X923" s="413"/>
      <c r="Y923" s="413"/>
      <c r="Z923" s="413"/>
      <c r="AA923" s="413"/>
      <c r="AB923" s="413"/>
      <c r="AC923" s="413"/>
      <c r="AD923" s="413"/>
      <c r="AE923" s="413"/>
      <c r="AF923" s="413"/>
      <c r="AG923" s="413"/>
      <c r="AH923" s="413"/>
      <c r="AI923" s="413"/>
      <c r="AJ923" s="413"/>
      <c r="AK923" s="413"/>
      <c r="AL923" s="413"/>
      <c r="AM923" s="413"/>
      <c r="AN923" s="413"/>
      <c r="AO923" s="413"/>
      <c r="AP923" s="413"/>
      <c r="AQ923" s="413"/>
      <c r="AR923" s="413"/>
      <c r="AS923" s="413"/>
      <c r="AT923" s="413"/>
      <c r="AU923" s="413"/>
      <c r="AV923" s="413"/>
      <c r="AW923" s="413"/>
      <c r="AX923" s="413"/>
      <c r="AY923" s="413"/>
      <c r="AZ923" s="413"/>
      <c r="BA923" s="413"/>
      <c r="BB923" s="413"/>
      <c r="BC923" s="413"/>
      <c r="BD923" s="413"/>
      <c r="BE923" s="413"/>
      <c r="BF923" s="413"/>
      <c r="BG923" s="413"/>
      <c r="BH923" s="413"/>
      <c r="BI923" s="413"/>
      <c r="BJ923" s="413"/>
      <c r="BK923" s="413"/>
      <c r="BL923" s="413"/>
    </row>
    <row r="924" spans="1:64" ht="13">
      <c r="A924" s="426"/>
      <c r="B924" s="426"/>
      <c r="C924" s="514" t="s">
        <v>726</v>
      </c>
      <c r="D924" s="416">
        <f>ROUND(D923,0)</f>
        <v>4246</v>
      </c>
      <c r="E924" s="416">
        <f>ROUND(E923,0)</f>
        <v>4344</v>
      </c>
      <c r="F924" s="416">
        <f>ROUND(F923,0)</f>
        <v>4443</v>
      </c>
      <c r="G924" s="416"/>
      <c r="H924" s="416"/>
      <c r="I924" s="416"/>
      <c r="J924" s="533"/>
      <c r="K924" s="534"/>
      <c r="L924" s="534"/>
      <c r="M924" s="413"/>
      <c r="N924" s="413"/>
      <c r="O924" s="413"/>
      <c r="P924" s="413"/>
      <c r="Q924" s="413"/>
      <c r="R924" s="413"/>
      <c r="S924" s="413"/>
      <c r="T924" s="413"/>
      <c r="U924" s="413"/>
      <c r="V924" s="413"/>
      <c r="W924" s="413"/>
      <c r="X924" s="413"/>
      <c r="Y924" s="413"/>
      <c r="Z924" s="413"/>
      <c r="AA924" s="413"/>
      <c r="AB924" s="413"/>
      <c r="AC924" s="413"/>
      <c r="AD924" s="413"/>
      <c r="AE924" s="413"/>
      <c r="AF924" s="413"/>
      <c r="AG924" s="413"/>
      <c r="AH924" s="413"/>
      <c r="AI924" s="413"/>
      <c r="AJ924" s="413"/>
      <c r="AK924" s="413"/>
      <c r="AL924" s="413"/>
      <c r="AM924" s="413"/>
      <c r="AN924" s="413"/>
      <c r="AO924" s="413"/>
      <c r="AP924" s="413"/>
      <c r="AQ924" s="413"/>
      <c r="AR924" s="413"/>
      <c r="AS924" s="413"/>
      <c r="AT924" s="413"/>
      <c r="AU924" s="413"/>
      <c r="AV924" s="413"/>
      <c r="AW924" s="413"/>
      <c r="AX924" s="413"/>
      <c r="AY924" s="413"/>
      <c r="AZ924" s="413"/>
      <c r="BA924" s="413"/>
      <c r="BB924" s="413"/>
      <c r="BC924" s="413"/>
      <c r="BD924" s="413"/>
      <c r="BE924" s="413"/>
      <c r="BF924" s="413"/>
      <c r="BG924" s="413"/>
      <c r="BH924" s="413"/>
      <c r="BI924" s="413"/>
      <c r="BJ924" s="413"/>
      <c r="BK924" s="413"/>
      <c r="BL924" s="413"/>
    </row>
    <row r="925" spans="1:64" ht="13">
      <c r="A925" s="426"/>
      <c r="B925" s="426"/>
      <c r="C925" s="522"/>
      <c r="D925" s="416"/>
      <c r="E925" s="416"/>
      <c r="F925" s="416"/>
      <c r="G925" s="416"/>
      <c r="H925" s="416"/>
      <c r="I925" s="416"/>
      <c r="J925" s="533"/>
      <c r="K925" s="534"/>
      <c r="L925" s="534"/>
      <c r="M925" s="413"/>
      <c r="N925" s="413"/>
      <c r="O925" s="413"/>
      <c r="P925" s="413"/>
      <c r="Q925" s="413"/>
      <c r="R925" s="413"/>
      <c r="S925" s="413"/>
      <c r="T925" s="413"/>
      <c r="U925" s="413"/>
      <c r="V925" s="413"/>
      <c r="W925" s="413"/>
      <c r="X925" s="413"/>
      <c r="Y925" s="413"/>
      <c r="Z925" s="413"/>
      <c r="AA925" s="413"/>
      <c r="AB925" s="413"/>
      <c r="AC925" s="413"/>
      <c r="AD925" s="413"/>
      <c r="AE925" s="413"/>
      <c r="AF925" s="413"/>
      <c r="AG925" s="413"/>
      <c r="AH925" s="413"/>
      <c r="AI925" s="413"/>
      <c r="AJ925" s="413"/>
      <c r="AK925" s="413"/>
      <c r="AL925" s="413"/>
      <c r="AM925" s="413"/>
      <c r="AN925" s="413"/>
      <c r="AO925" s="413"/>
      <c r="AP925" s="413"/>
      <c r="AQ925" s="413"/>
      <c r="AR925" s="413"/>
      <c r="AS925" s="413"/>
      <c r="AT925" s="413"/>
      <c r="AU925" s="413"/>
      <c r="AV925" s="413"/>
      <c r="AW925" s="413"/>
      <c r="AX925" s="413"/>
      <c r="AY925" s="413"/>
      <c r="AZ925" s="413"/>
      <c r="BA925" s="413"/>
      <c r="BB925" s="413"/>
      <c r="BC925" s="413"/>
      <c r="BD925" s="413"/>
      <c r="BE925" s="413"/>
      <c r="BF925" s="413"/>
      <c r="BG925" s="413"/>
      <c r="BH925" s="413"/>
      <c r="BI925" s="413"/>
      <c r="BJ925" s="413"/>
      <c r="BK925" s="413"/>
      <c r="BL925" s="413"/>
    </row>
    <row r="926" spans="1:64" ht="13">
      <c r="A926" s="426"/>
      <c r="B926" s="474" t="s">
        <v>957</v>
      </c>
      <c r="C926" s="521" t="s">
        <v>958</v>
      </c>
      <c r="D926" s="416"/>
      <c r="E926" s="416"/>
      <c r="F926" s="416"/>
      <c r="G926" s="416"/>
      <c r="H926" s="416"/>
      <c r="I926" s="414"/>
      <c r="J926" s="529"/>
      <c r="K926" s="530"/>
      <c r="L926" s="531"/>
      <c r="M926" s="404"/>
      <c r="N926" s="404"/>
      <c r="O926" s="404"/>
      <c r="P926" s="404"/>
      <c r="Q926" s="404"/>
      <c r="R926" s="404"/>
      <c r="S926" s="404"/>
      <c r="T926" s="404"/>
      <c r="U926" s="404"/>
      <c r="V926" s="404"/>
      <c r="W926" s="404"/>
      <c r="X926" s="404"/>
      <c r="Y926" s="404"/>
      <c r="Z926" s="404"/>
      <c r="AA926" s="404"/>
      <c r="AB926" s="404"/>
      <c r="AC926" s="404"/>
      <c r="AD926" s="404"/>
      <c r="AE926" s="404"/>
      <c r="AF926" s="404"/>
      <c r="AG926" s="404"/>
      <c r="AH926" s="404"/>
      <c r="AI926" s="404"/>
      <c r="AJ926" s="404"/>
      <c r="AK926" s="404"/>
      <c r="AL926" s="404"/>
      <c r="AM926" s="404"/>
      <c r="AN926" s="404"/>
      <c r="AO926" s="404"/>
      <c r="AP926" s="404"/>
      <c r="AQ926" s="404"/>
      <c r="AR926" s="404"/>
      <c r="AS926" s="404"/>
      <c r="AT926" s="404"/>
      <c r="AU926" s="404"/>
      <c r="AV926" s="404"/>
      <c r="AW926" s="404"/>
      <c r="AX926" s="404"/>
      <c r="AY926" s="404"/>
      <c r="AZ926" s="404"/>
      <c r="BA926" s="404"/>
      <c r="BB926" s="404"/>
      <c r="BC926" s="404"/>
      <c r="BD926" s="404"/>
      <c r="BE926" s="404"/>
      <c r="BF926" s="404"/>
      <c r="BG926" s="404"/>
      <c r="BH926" s="404"/>
      <c r="BI926" s="404"/>
      <c r="BJ926" s="404"/>
      <c r="BK926" s="404"/>
      <c r="BL926" s="404"/>
    </row>
    <row r="927" spans="1:64" ht="13">
      <c r="A927" s="426"/>
      <c r="B927" s="426"/>
      <c r="C927" s="427" t="s">
        <v>953</v>
      </c>
      <c r="D927" s="414" t="s">
        <v>959</v>
      </c>
      <c r="E927" s="474" t="s">
        <v>943</v>
      </c>
      <c r="F927" s="492" t="s">
        <v>944</v>
      </c>
      <c r="G927" s="492" t="s">
        <v>945</v>
      </c>
      <c r="H927" s="492" t="s">
        <v>946</v>
      </c>
      <c r="I927" s="492" t="s">
        <v>947</v>
      </c>
      <c r="J927" s="535" t="s">
        <v>948</v>
      </c>
      <c r="K927" s="536" t="s">
        <v>949</v>
      </c>
      <c r="L927" s="536" t="s">
        <v>950</v>
      </c>
      <c r="M927" s="404"/>
      <c r="N927" s="404"/>
      <c r="O927" s="404"/>
      <c r="P927" s="404"/>
      <c r="Q927" s="404"/>
      <c r="R927" s="404"/>
      <c r="S927" s="404"/>
      <c r="T927" s="404"/>
      <c r="U927" s="404"/>
      <c r="V927" s="404"/>
      <c r="W927" s="404"/>
      <c r="X927" s="404"/>
      <c r="Y927" s="404"/>
      <c r="Z927" s="404"/>
      <c r="AA927" s="404"/>
      <c r="AB927" s="404"/>
      <c r="AC927" s="404"/>
      <c r="AD927" s="404"/>
      <c r="AE927" s="404"/>
      <c r="AF927" s="404"/>
      <c r="AG927" s="404"/>
      <c r="AH927" s="404"/>
      <c r="AI927" s="404"/>
      <c r="AJ927" s="404"/>
      <c r="AK927" s="404"/>
      <c r="AL927" s="404"/>
      <c r="AM927" s="404"/>
      <c r="AN927" s="404"/>
      <c r="AO927" s="404"/>
      <c r="AP927" s="404"/>
      <c r="AQ927" s="404"/>
      <c r="AR927" s="404"/>
      <c r="AS927" s="404"/>
      <c r="AT927" s="404"/>
      <c r="AU927" s="404"/>
      <c r="AV927" s="404"/>
      <c r="AW927" s="404"/>
      <c r="AX927" s="404"/>
      <c r="AY927" s="404"/>
      <c r="AZ927" s="404"/>
      <c r="BA927" s="404"/>
      <c r="BB927" s="404"/>
      <c r="BC927" s="404"/>
      <c r="BD927" s="404"/>
      <c r="BE927" s="404"/>
      <c r="BF927" s="404"/>
      <c r="BG927" s="404"/>
      <c r="BH927" s="404"/>
      <c r="BI927" s="404"/>
      <c r="BJ927" s="404"/>
      <c r="BK927" s="404"/>
      <c r="BL927" s="404"/>
    </row>
    <row r="928" spans="1:64">
      <c r="A928" s="406"/>
      <c r="B928" s="406"/>
      <c r="C928" s="417" t="s">
        <v>954</v>
      </c>
      <c r="D928" s="432">
        <f t="shared" ref="D928:L928" si="164">$I$899</f>
        <v>2033.0142520000006</v>
      </c>
      <c r="E928" s="432">
        <f t="shared" si="164"/>
        <v>2033.0142520000006</v>
      </c>
      <c r="F928" s="432">
        <f t="shared" si="164"/>
        <v>2033.0142520000006</v>
      </c>
      <c r="G928" s="432">
        <f t="shared" si="164"/>
        <v>2033.0142520000006</v>
      </c>
      <c r="H928" s="432">
        <f t="shared" si="164"/>
        <v>2033.0142520000006</v>
      </c>
      <c r="I928" s="432">
        <f t="shared" si="164"/>
        <v>2033.0142520000006</v>
      </c>
      <c r="J928" s="537">
        <f t="shared" si="164"/>
        <v>2033.0142520000006</v>
      </c>
      <c r="K928" s="538">
        <f t="shared" si="164"/>
        <v>2033.0142520000006</v>
      </c>
      <c r="L928" s="538">
        <f t="shared" si="164"/>
        <v>2033.0142520000006</v>
      </c>
      <c r="M928" s="464"/>
      <c r="N928" s="464"/>
      <c r="O928" s="464"/>
      <c r="P928" s="464"/>
      <c r="Q928" s="464"/>
      <c r="R928" s="464"/>
      <c r="S928" s="464"/>
      <c r="T928" s="464"/>
      <c r="U928" s="464"/>
      <c r="V928" s="464"/>
      <c r="W928" s="464"/>
      <c r="X928" s="464"/>
      <c r="Y928" s="464"/>
      <c r="Z928" s="464"/>
      <c r="AA928" s="464"/>
      <c r="AB928" s="464"/>
      <c r="AC928" s="464"/>
      <c r="AD928" s="464"/>
      <c r="AE928" s="464"/>
      <c r="AF928" s="464"/>
      <c r="AG928" s="464"/>
      <c r="AH928" s="464"/>
      <c r="AI928" s="464"/>
      <c r="AJ928" s="464"/>
      <c r="AK928" s="464"/>
      <c r="AL928" s="464"/>
      <c r="AM928" s="464"/>
      <c r="AN928" s="464"/>
      <c r="AO928" s="464"/>
      <c r="AP928" s="464"/>
      <c r="AQ928" s="464"/>
      <c r="AR928" s="464"/>
      <c r="AS928" s="464"/>
      <c r="AT928" s="464"/>
      <c r="AU928" s="464"/>
      <c r="AV928" s="464"/>
      <c r="AW928" s="464"/>
      <c r="AX928" s="464"/>
      <c r="AY928" s="464"/>
      <c r="AZ928" s="464"/>
      <c r="BA928" s="464"/>
      <c r="BB928" s="464"/>
      <c r="BC928" s="464"/>
      <c r="BD928" s="464"/>
      <c r="BE928" s="464"/>
      <c r="BF928" s="464"/>
      <c r="BG928" s="464"/>
      <c r="BH928" s="464"/>
      <c r="BI928" s="464"/>
      <c r="BJ928" s="464"/>
      <c r="BK928" s="464"/>
      <c r="BL928" s="464"/>
    </row>
    <row r="929" spans="1:64">
      <c r="A929" s="406"/>
      <c r="B929" s="406"/>
      <c r="C929" s="417" t="s">
        <v>980</v>
      </c>
      <c r="D929" s="432">
        <f>'[161]Civil-SOR'!$F$282</f>
        <v>1183</v>
      </c>
      <c r="E929" s="432">
        <f>'[161]Civil-SOR'!$F$282</f>
        <v>1183</v>
      </c>
      <c r="F929" s="432">
        <f>'[161]Civil-SOR'!$F$282</f>
        <v>1183</v>
      </c>
      <c r="G929" s="432">
        <f>'[161]Civil-SOR'!$F$282</f>
        <v>1183</v>
      </c>
      <c r="H929" s="432">
        <f>'[161]Civil-SOR'!$F$282</f>
        <v>1183</v>
      </c>
      <c r="I929" s="432">
        <f>'[161]Civil-SOR'!$F$282</f>
        <v>1183</v>
      </c>
      <c r="J929" s="537">
        <f>'[161]Civil-SOR'!$F$282</f>
        <v>1183</v>
      </c>
      <c r="K929" s="538">
        <f>'[161]Civil-SOR'!$F$282</f>
        <v>1183</v>
      </c>
      <c r="L929" s="538">
        <f>'[161]Civil-SOR'!$F$282</f>
        <v>1183</v>
      </c>
      <c r="M929" s="464"/>
      <c r="N929" s="464"/>
      <c r="O929" s="464"/>
      <c r="P929" s="464"/>
      <c r="Q929" s="464"/>
      <c r="R929" s="464"/>
      <c r="S929" s="464"/>
      <c r="T929" s="464"/>
      <c r="U929" s="464"/>
      <c r="V929" s="464"/>
      <c r="W929" s="464"/>
      <c r="X929" s="464"/>
      <c r="Y929" s="464"/>
      <c r="Z929" s="464"/>
      <c r="AA929" s="464"/>
      <c r="AB929" s="464"/>
      <c r="AC929" s="464"/>
      <c r="AD929" s="464"/>
      <c r="AE929" s="464"/>
      <c r="AF929" s="464"/>
      <c r="AG929" s="464"/>
      <c r="AH929" s="464"/>
      <c r="AI929" s="464"/>
      <c r="AJ929" s="464"/>
      <c r="AK929" s="464"/>
      <c r="AL929" s="464"/>
      <c r="AM929" s="464"/>
      <c r="AN929" s="464"/>
      <c r="AO929" s="464"/>
      <c r="AP929" s="464"/>
      <c r="AQ929" s="464"/>
      <c r="AR929" s="464"/>
      <c r="AS929" s="464"/>
      <c r="AT929" s="464"/>
      <c r="AU929" s="464"/>
      <c r="AV929" s="464"/>
      <c r="AW929" s="464"/>
      <c r="AX929" s="464"/>
      <c r="AY929" s="464"/>
      <c r="AZ929" s="464"/>
      <c r="BA929" s="464"/>
      <c r="BB929" s="464"/>
      <c r="BC929" s="464"/>
      <c r="BD929" s="464"/>
      <c r="BE929" s="464"/>
      <c r="BF929" s="464"/>
      <c r="BG929" s="464"/>
      <c r="BH929" s="464"/>
      <c r="BI929" s="464"/>
      <c r="BJ929" s="464"/>
      <c r="BK929" s="464"/>
      <c r="BL929" s="464"/>
    </row>
    <row r="930" spans="1:64">
      <c r="A930" s="406"/>
      <c r="B930" s="406"/>
      <c r="C930" s="417" t="s">
        <v>926</v>
      </c>
      <c r="D930" s="432">
        <f>'[161]Civil-SOR'!$H$282</f>
        <v>0</v>
      </c>
      <c r="E930" s="432">
        <f>'[161]Civil-SOR'!$I$282</f>
        <v>0</v>
      </c>
      <c r="F930" s="432">
        <f>'[161]Civil-SOR'!$J$282</f>
        <v>0</v>
      </c>
      <c r="G930" s="432">
        <f>'[161]Civil-SOR'!$K$282</f>
        <v>0</v>
      </c>
      <c r="H930" s="432">
        <f>'[161]Civil-SOR'!$M$282</f>
        <v>0</v>
      </c>
      <c r="I930" s="432">
        <f>'[161]Civil-SOR'!$M$282</f>
        <v>0</v>
      </c>
      <c r="J930" s="537">
        <f>'[161]Civil-SOR'!$K$282</f>
        <v>0</v>
      </c>
      <c r="K930" s="538">
        <f>'[161]Civil-SOR'!$M$282</f>
        <v>0</v>
      </c>
      <c r="L930" s="538">
        <f>'[161]Civil-SOR'!$M$282</f>
        <v>0</v>
      </c>
      <c r="M930" s="464"/>
      <c r="N930" s="464"/>
      <c r="O930" s="464"/>
      <c r="P930" s="464"/>
      <c r="Q930" s="464"/>
      <c r="R930" s="464"/>
      <c r="S930" s="464"/>
      <c r="T930" s="464"/>
      <c r="U930" s="464"/>
      <c r="V930" s="464"/>
      <c r="W930" s="464"/>
      <c r="X930" s="464"/>
      <c r="Y930" s="464"/>
      <c r="Z930" s="464"/>
      <c r="AA930" s="464"/>
      <c r="AB930" s="464"/>
      <c r="AC930" s="464"/>
      <c r="AD930" s="464"/>
      <c r="AE930" s="464"/>
      <c r="AF930" s="464"/>
      <c r="AG930" s="464"/>
      <c r="AH930" s="464"/>
      <c r="AI930" s="464"/>
      <c r="AJ930" s="464"/>
      <c r="AK930" s="464"/>
      <c r="AL930" s="464"/>
      <c r="AM930" s="464"/>
      <c r="AN930" s="464"/>
      <c r="AO930" s="464"/>
      <c r="AP930" s="464"/>
      <c r="AQ930" s="464"/>
      <c r="AR930" s="464"/>
      <c r="AS930" s="464"/>
      <c r="AT930" s="464"/>
      <c r="AU930" s="464"/>
      <c r="AV930" s="464"/>
      <c r="AW930" s="464"/>
      <c r="AX930" s="464"/>
      <c r="AY930" s="464"/>
      <c r="AZ930" s="464"/>
      <c r="BA930" s="464"/>
      <c r="BB930" s="464"/>
      <c r="BC930" s="464"/>
      <c r="BD930" s="464"/>
      <c r="BE930" s="464"/>
      <c r="BF930" s="464"/>
      <c r="BG930" s="464"/>
      <c r="BH930" s="464"/>
      <c r="BI930" s="464"/>
      <c r="BJ930" s="464"/>
      <c r="BK930" s="464"/>
      <c r="BL930" s="464"/>
    </row>
    <row r="931" spans="1:64">
      <c r="A931" s="406"/>
      <c r="B931" s="406"/>
      <c r="C931" s="417" t="str">
        <f>[161]Input!$C$47</f>
        <v>Add for MA @ 40%</v>
      </c>
      <c r="D931" s="432">
        <f>D930*[161]Input!$D$47</f>
        <v>0</v>
      </c>
      <c r="E931" s="432">
        <f>E930*[161]Input!$D$47</f>
        <v>0</v>
      </c>
      <c r="F931" s="432">
        <f>F930*[161]Input!$D$47</f>
        <v>0</v>
      </c>
      <c r="G931" s="432">
        <f>G930*[161]Input!$D$47</f>
        <v>0</v>
      </c>
      <c r="H931" s="432">
        <f>H930*[161]Input!$D$47</f>
        <v>0</v>
      </c>
      <c r="I931" s="432">
        <f>I930*[161]Input!$D$47</f>
        <v>0</v>
      </c>
      <c r="J931" s="537">
        <f>J930*[161]Input!$D$47</f>
        <v>0</v>
      </c>
      <c r="K931" s="538">
        <f>K930*[161]Input!$D$47</f>
        <v>0</v>
      </c>
      <c r="L931" s="538">
        <f>L930*[161]Input!$D$47</f>
        <v>0</v>
      </c>
      <c r="M931" s="464"/>
      <c r="N931" s="464"/>
      <c r="O931" s="464"/>
      <c r="P931" s="464"/>
      <c r="Q931" s="464"/>
      <c r="R931" s="464"/>
      <c r="S931" s="464"/>
      <c r="T931" s="464"/>
      <c r="U931" s="464"/>
      <c r="V931" s="464"/>
      <c r="W931" s="464"/>
      <c r="X931" s="464"/>
      <c r="Y931" s="464"/>
      <c r="Z931" s="464"/>
      <c r="AA931" s="464"/>
      <c r="AB931" s="464"/>
      <c r="AC931" s="464"/>
      <c r="AD931" s="464"/>
      <c r="AE931" s="464"/>
      <c r="AF931" s="464"/>
      <c r="AG931" s="464"/>
      <c r="AH931" s="464"/>
      <c r="AI931" s="464"/>
      <c r="AJ931" s="464"/>
      <c r="AK931" s="464"/>
      <c r="AL931" s="464"/>
      <c r="AM931" s="464"/>
      <c r="AN931" s="464"/>
      <c r="AO931" s="464"/>
      <c r="AP931" s="464"/>
      <c r="AQ931" s="464"/>
      <c r="AR931" s="464"/>
      <c r="AS931" s="464"/>
      <c r="AT931" s="464"/>
      <c r="AU931" s="464"/>
      <c r="AV931" s="464"/>
      <c r="AW931" s="464"/>
      <c r="AX931" s="464"/>
      <c r="AY931" s="464"/>
      <c r="AZ931" s="464"/>
      <c r="BA931" s="464"/>
      <c r="BB931" s="464"/>
      <c r="BC931" s="464"/>
      <c r="BD931" s="464"/>
      <c r="BE931" s="464"/>
      <c r="BF931" s="464"/>
      <c r="BG931" s="464"/>
      <c r="BH931" s="464"/>
      <c r="BI931" s="464"/>
      <c r="BJ931" s="464"/>
      <c r="BK931" s="464"/>
      <c r="BL931" s="464"/>
    </row>
    <row r="932" spans="1:64" ht="25">
      <c r="A932" s="406"/>
      <c r="B932" s="406"/>
      <c r="C932" s="417" t="s">
        <v>981</v>
      </c>
      <c r="D932" s="432">
        <v>0</v>
      </c>
      <c r="E932" s="432">
        <f>1.333*D899*'[161]Civil-SOR'!G334</f>
        <v>100.96142000000002</v>
      </c>
      <c r="F932" s="432">
        <f t="shared" ref="F932:F933" si="165">E932*1.1</f>
        <v>111.05756200000003</v>
      </c>
      <c r="G932" s="432">
        <f t="shared" ref="G932:G933" si="166">E932*1.2</f>
        <v>121.15370400000002</v>
      </c>
      <c r="H932" s="432">
        <f t="shared" ref="H932:H933" si="167">E932*1.3</f>
        <v>131.24984600000002</v>
      </c>
      <c r="I932" s="432">
        <f t="shared" ref="I932:I933" si="168">E932*1.4</f>
        <v>141.34598800000001</v>
      </c>
      <c r="J932" s="537">
        <f t="shared" ref="J932:J933" si="169">E932*1.5</f>
        <v>151.44213000000002</v>
      </c>
      <c r="K932" s="538">
        <f t="shared" ref="K932:K933" si="170">E932*1.6</f>
        <v>161.53827200000003</v>
      </c>
      <c r="L932" s="538">
        <f t="shared" ref="L932:L933" si="171">E932*1.7</f>
        <v>171.63441400000002</v>
      </c>
      <c r="M932" s="464"/>
      <c r="N932" s="464"/>
      <c r="O932" s="464"/>
      <c r="P932" s="464"/>
      <c r="Q932" s="464"/>
      <c r="R932" s="464"/>
      <c r="S932" s="464"/>
      <c r="T932" s="464"/>
      <c r="U932" s="464"/>
      <c r="V932" s="464"/>
      <c r="W932" s="464"/>
      <c r="X932" s="464"/>
      <c r="Y932" s="464"/>
      <c r="Z932" s="464"/>
      <c r="AA932" s="464"/>
      <c r="AB932" s="464"/>
      <c r="AC932" s="464"/>
      <c r="AD932" s="464"/>
      <c r="AE932" s="464"/>
      <c r="AF932" s="464"/>
      <c r="AG932" s="464"/>
      <c r="AH932" s="464"/>
      <c r="AI932" s="464"/>
      <c r="AJ932" s="464"/>
      <c r="AK932" s="464"/>
      <c r="AL932" s="464"/>
      <c r="AM932" s="464"/>
      <c r="AN932" s="464"/>
      <c r="AO932" s="464"/>
      <c r="AP932" s="464"/>
      <c r="AQ932" s="464"/>
      <c r="AR932" s="464"/>
      <c r="AS932" s="464"/>
      <c r="AT932" s="464"/>
      <c r="AU932" s="464"/>
      <c r="AV932" s="464"/>
      <c r="AW932" s="464"/>
      <c r="AX932" s="464"/>
      <c r="AY932" s="464"/>
      <c r="AZ932" s="464"/>
      <c r="BA932" s="464"/>
      <c r="BB932" s="464"/>
      <c r="BC932" s="464"/>
      <c r="BD932" s="464"/>
      <c r="BE932" s="464"/>
      <c r="BF932" s="464"/>
      <c r="BG932" s="464"/>
      <c r="BH932" s="464"/>
      <c r="BI932" s="464"/>
      <c r="BJ932" s="464"/>
      <c r="BK932" s="464"/>
      <c r="BL932" s="464"/>
    </row>
    <row r="933" spans="1:64">
      <c r="A933" s="406"/>
      <c r="B933" s="406"/>
      <c r="C933" s="417" t="s">
        <v>828</v>
      </c>
      <c r="D933" s="432"/>
      <c r="E933" s="432">
        <f>1.333*D899*'[161]Civil-SOR'!J334</f>
        <v>96.082639999999998</v>
      </c>
      <c r="F933" s="432">
        <f t="shared" si="165"/>
        <v>105.690904</v>
      </c>
      <c r="G933" s="432">
        <f t="shared" si="166"/>
        <v>115.29916799999999</v>
      </c>
      <c r="H933" s="432">
        <f t="shared" si="167"/>
        <v>124.907432</v>
      </c>
      <c r="I933" s="432">
        <f t="shared" si="168"/>
        <v>134.51569599999999</v>
      </c>
      <c r="J933" s="537">
        <f t="shared" si="169"/>
        <v>144.12396000000001</v>
      </c>
      <c r="K933" s="538">
        <f t="shared" si="170"/>
        <v>153.732224</v>
      </c>
      <c r="L933" s="538">
        <f t="shared" si="171"/>
        <v>163.34048799999999</v>
      </c>
      <c r="M933" s="464"/>
      <c r="N933" s="464"/>
      <c r="O933" s="464"/>
      <c r="P933" s="464"/>
      <c r="Q933" s="464"/>
      <c r="R933" s="464"/>
      <c r="S933" s="464"/>
      <c r="T933" s="464"/>
      <c r="U933" s="464"/>
      <c r="V933" s="464"/>
      <c r="W933" s="464"/>
      <c r="X933" s="464"/>
      <c r="Y933" s="464"/>
      <c r="Z933" s="464"/>
      <c r="AA933" s="464"/>
      <c r="AB933" s="464"/>
      <c r="AC933" s="464"/>
      <c r="AD933" s="464"/>
      <c r="AE933" s="464"/>
      <c r="AF933" s="464"/>
      <c r="AG933" s="464"/>
      <c r="AH933" s="464"/>
      <c r="AI933" s="464"/>
      <c r="AJ933" s="464"/>
      <c r="AK933" s="464"/>
      <c r="AL933" s="464"/>
      <c r="AM933" s="464"/>
      <c r="AN933" s="464"/>
      <c r="AO933" s="464"/>
      <c r="AP933" s="464"/>
      <c r="AQ933" s="464"/>
      <c r="AR933" s="464"/>
      <c r="AS933" s="464"/>
      <c r="AT933" s="464"/>
      <c r="AU933" s="464"/>
      <c r="AV933" s="464"/>
      <c r="AW933" s="464"/>
      <c r="AX933" s="464"/>
      <c r="AY933" s="464"/>
      <c r="AZ933" s="464"/>
      <c r="BA933" s="464"/>
      <c r="BB933" s="464"/>
      <c r="BC933" s="464"/>
      <c r="BD933" s="464"/>
      <c r="BE933" s="464"/>
      <c r="BF933" s="464"/>
      <c r="BG933" s="464"/>
      <c r="BH933" s="464"/>
      <c r="BI933" s="464"/>
      <c r="BJ933" s="464"/>
      <c r="BK933" s="464"/>
      <c r="BL933" s="464"/>
    </row>
    <row r="934" spans="1:64">
      <c r="A934" s="406"/>
      <c r="B934" s="406"/>
      <c r="C934" s="417" t="str">
        <f>[161]Input!$C$47</f>
        <v>Add for MA @ 40%</v>
      </c>
      <c r="D934" s="432">
        <v>0</v>
      </c>
      <c r="E934" s="432">
        <f>ROUND(E933*[161]Input!$D$47,2)</f>
        <v>38.43</v>
      </c>
      <c r="F934" s="432">
        <f>ROUND(F933*[161]Input!$D$47,2)</f>
        <v>42.28</v>
      </c>
      <c r="G934" s="432">
        <f>ROUND(G933*[161]Input!$D$47,2)</f>
        <v>46.12</v>
      </c>
      <c r="H934" s="432">
        <f>ROUND(H933*[161]Input!$D$47,2)</f>
        <v>49.96</v>
      </c>
      <c r="I934" s="432">
        <f>ROUND(I933*[161]Input!$D$47,2)</f>
        <v>53.81</v>
      </c>
      <c r="J934" s="537">
        <f>ROUND(J933*[161]Input!$D$47,2)</f>
        <v>57.65</v>
      </c>
      <c r="K934" s="538">
        <f>ROUND(K933*[161]Input!$D$47,2)</f>
        <v>61.49</v>
      </c>
      <c r="L934" s="538">
        <f>ROUND(L933*[161]Input!$D$47,2)</f>
        <v>65.34</v>
      </c>
      <c r="M934" s="464"/>
      <c r="N934" s="464"/>
      <c r="O934" s="464"/>
      <c r="P934" s="464"/>
      <c r="Q934" s="464"/>
      <c r="R934" s="464"/>
      <c r="S934" s="464"/>
      <c r="T934" s="464"/>
      <c r="U934" s="464"/>
      <c r="V934" s="464"/>
      <c r="W934" s="464"/>
      <c r="X934" s="464"/>
      <c r="Y934" s="464"/>
      <c r="Z934" s="464"/>
      <c r="AA934" s="464"/>
      <c r="AB934" s="464"/>
      <c r="AC934" s="464"/>
      <c r="AD934" s="464"/>
      <c r="AE934" s="464"/>
      <c r="AF934" s="464"/>
      <c r="AG934" s="464"/>
      <c r="AH934" s="464"/>
      <c r="AI934" s="464"/>
      <c r="AJ934" s="464"/>
      <c r="AK934" s="464"/>
      <c r="AL934" s="464"/>
      <c r="AM934" s="464"/>
      <c r="AN934" s="464"/>
      <c r="AO934" s="464"/>
      <c r="AP934" s="464"/>
      <c r="AQ934" s="464"/>
      <c r="AR934" s="464"/>
      <c r="AS934" s="464"/>
      <c r="AT934" s="464"/>
      <c r="AU934" s="464"/>
      <c r="AV934" s="464"/>
      <c r="AW934" s="464"/>
      <c r="AX934" s="464"/>
      <c r="AY934" s="464"/>
      <c r="AZ934" s="464"/>
      <c r="BA934" s="464"/>
      <c r="BB934" s="464"/>
      <c r="BC934" s="464"/>
      <c r="BD934" s="464"/>
      <c r="BE934" s="464"/>
      <c r="BF934" s="464"/>
      <c r="BG934" s="464"/>
      <c r="BH934" s="464"/>
      <c r="BI934" s="464"/>
      <c r="BJ934" s="464"/>
      <c r="BK934" s="464"/>
      <c r="BL934" s="464"/>
    </row>
    <row r="935" spans="1:64" ht="13">
      <c r="A935" s="406"/>
      <c r="B935" s="406"/>
      <c r="C935" s="427" t="s">
        <v>741</v>
      </c>
      <c r="D935" s="432">
        <f t="shared" ref="D935:L935" si="172">SUM(D928:D934)</f>
        <v>3216.0142520000009</v>
      </c>
      <c r="E935" s="432">
        <f t="shared" si="172"/>
        <v>3451.4883120000009</v>
      </c>
      <c r="F935" s="432">
        <f t="shared" si="172"/>
        <v>3475.0427180000011</v>
      </c>
      <c r="G935" s="432">
        <f t="shared" si="172"/>
        <v>3498.5871240000006</v>
      </c>
      <c r="H935" s="432">
        <f t="shared" si="172"/>
        <v>3522.131530000001</v>
      </c>
      <c r="I935" s="432">
        <f t="shared" si="172"/>
        <v>3545.6859360000008</v>
      </c>
      <c r="J935" s="537">
        <f t="shared" si="172"/>
        <v>3569.2303420000007</v>
      </c>
      <c r="K935" s="538">
        <f t="shared" si="172"/>
        <v>3592.7747480000007</v>
      </c>
      <c r="L935" s="538">
        <f t="shared" si="172"/>
        <v>3616.3291540000009</v>
      </c>
      <c r="M935" s="464"/>
      <c r="N935" s="464"/>
      <c r="O935" s="464"/>
      <c r="P935" s="464"/>
      <c r="Q935" s="464"/>
      <c r="R935" s="464"/>
      <c r="S935" s="464"/>
      <c r="T935" s="464"/>
      <c r="U935" s="464"/>
      <c r="V935" s="464"/>
      <c r="W935" s="464"/>
      <c r="X935" s="464"/>
      <c r="Y935" s="464"/>
      <c r="Z935" s="464"/>
      <c r="AA935" s="464"/>
      <c r="AB935" s="464"/>
      <c r="AC935" s="464"/>
      <c r="AD935" s="464"/>
      <c r="AE935" s="464"/>
      <c r="AF935" s="464"/>
      <c r="AG935" s="464"/>
      <c r="AH935" s="464"/>
      <c r="AI935" s="464"/>
      <c r="AJ935" s="464"/>
      <c r="AK935" s="464"/>
      <c r="AL935" s="464"/>
      <c r="AM935" s="464"/>
      <c r="AN935" s="464"/>
      <c r="AO935" s="464"/>
      <c r="AP935" s="464"/>
      <c r="AQ935" s="464"/>
      <c r="AR935" s="464"/>
      <c r="AS935" s="464"/>
      <c r="AT935" s="464"/>
      <c r="AU935" s="464"/>
      <c r="AV935" s="464"/>
      <c r="AW935" s="464"/>
      <c r="AX935" s="464"/>
      <c r="AY935" s="464"/>
      <c r="AZ935" s="464"/>
      <c r="BA935" s="464"/>
      <c r="BB935" s="464"/>
      <c r="BC935" s="464"/>
      <c r="BD935" s="464"/>
      <c r="BE935" s="464"/>
      <c r="BF935" s="464"/>
      <c r="BG935" s="464"/>
      <c r="BH935" s="464"/>
      <c r="BI935" s="464"/>
      <c r="BJ935" s="464"/>
      <c r="BK935" s="464"/>
      <c r="BL935" s="464"/>
    </row>
    <row r="936" spans="1:64" ht="25">
      <c r="A936" s="406"/>
      <c r="B936" s="406"/>
      <c r="C936" s="417" t="str">
        <f>[161]Input!$C$48</f>
        <v>Overheads &amp; Contractors Profit @ 13.615%</v>
      </c>
      <c r="D936" s="406">
        <f>ROUND(D935*[161]Input!$D$48,2)</f>
        <v>437.86</v>
      </c>
      <c r="E936" s="406">
        <f>ROUND(E935*[161]Input!$D$48,2)</f>
        <v>469.92</v>
      </c>
      <c r="F936" s="406">
        <f>ROUND(F935*[161]Input!$D$48,2)</f>
        <v>473.13</v>
      </c>
      <c r="G936" s="406">
        <f>ROUND(G935*[161]Input!$D$48,2)</f>
        <v>476.33</v>
      </c>
      <c r="H936" s="406">
        <f>ROUND(H935*[161]Input!$D$48,2)</f>
        <v>479.54</v>
      </c>
      <c r="I936" s="406">
        <f>ROUND(I935*[161]Input!$D$48,2)</f>
        <v>482.75</v>
      </c>
      <c r="J936" s="539">
        <f>ROUND(J935*[161]Input!$D$48,2)</f>
        <v>485.95</v>
      </c>
      <c r="K936" s="540">
        <f>ROUND(K935*[161]Input!$D$48,2)</f>
        <v>489.16</v>
      </c>
      <c r="L936" s="540">
        <f>ROUND(L935*[161]Input!$D$48,2)</f>
        <v>492.36</v>
      </c>
      <c r="M936" s="464"/>
      <c r="N936" s="464"/>
      <c r="O936" s="464"/>
      <c r="P936" s="464"/>
      <c r="Q936" s="464"/>
      <c r="R936" s="464"/>
      <c r="S936" s="464"/>
      <c r="T936" s="464"/>
      <c r="U936" s="464"/>
      <c r="V936" s="464"/>
      <c r="W936" s="464"/>
      <c r="X936" s="464"/>
      <c r="Y936" s="464"/>
      <c r="Z936" s="464"/>
      <c r="AA936" s="464"/>
      <c r="AB936" s="464"/>
      <c r="AC936" s="464"/>
      <c r="AD936" s="464"/>
      <c r="AE936" s="464"/>
      <c r="AF936" s="464"/>
      <c r="AG936" s="464"/>
      <c r="AH936" s="464"/>
      <c r="AI936" s="464"/>
      <c r="AJ936" s="464"/>
      <c r="AK936" s="464"/>
      <c r="AL936" s="464"/>
      <c r="AM936" s="464"/>
      <c r="AN936" s="464"/>
      <c r="AO936" s="464"/>
      <c r="AP936" s="464"/>
      <c r="AQ936" s="464"/>
      <c r="AR936" s="464"/>
      <c r="AS936" s="464"/>
      <c r="AT936" s="464"/>
      <c r="AU936" s="464"/>
      <c r="AV936" s="464"/>
      <c r="AW936" s="464"/>
      <c r="AX936" s="464"/>
      <c r="AY936" s="464"/>
      <c r="AZ936" s="464"/>
      <c r="BA936" s="464"/>
      <c r="BB936" s="464"/>
      <c r="BC936" s="464"/>
      <c r="BD936" s="464"/>
      <c r="BE936" s="464"/>
      <c r="BF936" s="464"/>
      <c r="BG936" s="464"/>
      <c r="BH936" s="464"/>
      <c r="BI936" s="464"/>
      <c r="BJ936" s="464"/>
      <c r="BK936" s="464"/>
      <c r="BL936" s="464"/>
    </row>
    <row r="937" spans="1:64" ht="13">
      <c r="A937" s="406"/>
      <c r="B937" s="406"/>
      <c r="C937" s="440" t="s">
        <v>742</v>
      </c>
      <c r="D937" s="432">
        <f t="shared" ref="D937:L937" si="173">SUM(D935:D936)</f>
        <v>3653.874252000001</v>
      </c>
      <c r="E937" s="432">
        <f t="shared" si="173"/>
        <v>3921.4083120000009</v>
      </c>
      <c r="F937" s="432">
        <f t="shared" si="173"/>
        <v>3948.1727180000012</v>
      </c>
      <c r="G937" s="432">
        <f t="shared" si="173"/>
        <v>3974.9171240000005</v>
      </c>
      <c r="H937" s="432">
        <f t="shared" si="173"/>
        <v>4001.671530000001</v>
      </c>
      <c r="I937" s="432">
        <f t="shared" si="173"/>
        <v>4028.4359360000008</v>
      </c>
      <c r="J937" s="541">
        <f t="shared" si="173"/>
        <v>4055.1803420000006</v>
      </c>
      <c r="K937" s="542">
        <f t="shared" si="173"/>
        <v>4081.9347480000006</v>
      </c>
      <c r="L937" s="542">
        <f t="shared" si="173"/>
        <v>4108.6891540000006</v>
      </c>
      <c r="M937" s="543"/>
      <c r="N937" s="543"/>
      <c r="O937" s="543"/>
      <c r="P937" s="543"/>
      <c r="Q937" s="543"/>
      <c r="R937" s="543"/>
      <c r="S937" s="543"/>
      <c r="T937" s="543"/>
      <c r="U937" s="543"/>
      <c r="V937" s="543"/>
      <c r="W937" s="543"/>
      <c r="X937" s="543"/>
      <c r="Y937" s="543"/>
      <c r="Z937" s="543"/>
      <c r="AA937" s="543"/>
      <c r="AB937" s="543"/>
      <c r="AC937" s="543"/>
      <c r="AD937" s="543"/>
      <c r="AE937" s="543"/>
      <c r="AF937" s="543"/>
      <c r="AG937" s="543"/>
      <c r="AH937" s="543"/>
      <c r="AI937" s="543"/>
      <c r="AJ937" s="543"/>
      <c r="AK937" s="543"/>
      <c r="AL937" s="543"/>
      <c r="AM937" s="543"/>
      <c r="AN937" s="543"/>
      <c r="AO937" s="543"/>
      <c r="AP937" s="543"/>
      <c r="AQ937" s="543"/>
      <c r="AR937" s="543"/>
      <c r="AS937" s="543"/>
      <c r="AT937" s="543"/>
      <c r="AU937" s="543"/>
      <c r="AV937" s="543"/>
      <c r="AW937" s="543"/>
      <c r="AX937" s="543"/>
      <c r="AY937" s="543"/>
      <c r="AZ937" s="543"/>
      <c r="BA937" s="543"/>
      <c r="BB937" s="543"/>
      <c r="BC937" s="543"/>
      <c r="BD937" s="543"/>
      <c r="BE937" s="543"/>
      <c r="BF937" s="543"/>
      <c r="BG937" s="543"/>
      <c r="BH937" s="543"/>
      <c r="BI937" s="543"/>
      <c r="BJ937" s="543"/>
      <c r="BK937" s="543"/>
      <c r="BL937" s="543"/>
    </row>
    <row r="938" spans="1:64" ht="13">
      <c r="A938" s="426"/>
      <c r="B938" s="426"/>
      <c r="C938" s="522" t="s">
        <v>726</v>
      </c>
      <c r="D938" s="416">
        <f t="shared" ref="D938:L938" si="174">ROUND(D937,0)</f>
        <v>3654</v>
      </c>
      <c r="E938" s="416">
        <f t="shared" si="174"/>
        <v>3921</v>
      </c>
      <c r="F938" s="416">
        <f t="shared" si="174"/>
        <v>3948</v>
      </c>
      <c r="G938" s="416">
        <f t="shared" si="174"/>
        <v>3975</v>
      </c>
      <c r="H938" s="416">
        <f t="shared" si="174"/>
        <v>4002</v>
      </c>
      <c r="I938" s="416">
        <f t="shared" si="174"/>
        <v>4028</v>
      </c>
      <c r="J938" s="533">
        <f t="shared" si="174"/>
        <v>4055</v>
      </c>
      <c r="K938" s="534">
        <f t="shared" si="174"/>
        <v>4082</v>
      </c>
      <c r="L938" s="534">
        <f t="shared" si="174"/>
        <v>4109</v>
      </c>
      <c r="M938" s="413"/>
      <c r="N938" s="413"/>
      <c r="O938" s="413"/>
      <c r="P938" s="413"/>
      <c r="Q938" s="413"/>
      <c r="R938" s="413"/>
      <c r="S938" s="413"/>
      <c r="T938" s="413"/>
      <c r="U938" s="413"/>
      <c r="V938" s="413"/>
      <c r="W938" s="413"/>
      <c r="X938" s="413"/>
      <c r="Y938" s="413"/>
      <c r="Z938" s="413"/>
      <c r="AA938" s="413"/>
      <c r="AB938" s="413"/>
      <c r="AC938" s="413"/>
      <c r="AD938" s="413"/>
      <c r="AE938" s="413"/>
      <c r="AF938" s="413"/>
      <c r="AG938" s="413"/>
      <c r="AH938" s="413"/>
      <c r="AI938" s="413"/>
      <c r="AJ938" s="413"/>
      <c r="AK938" s="413"/>
      <c r="AL938" s="413"/>
      <c r="AM938" s="413"/>
      <c r="AN938" s="413"/>
      <c r="AO938" s="413"/>
      <c r="AP938" s="413"/>
      <c r="AQ938" s="413"/>
      <c r="AR938" s="413"/>
      <c r="AS938" s="413"/>
      <c r="AT938" s="413"/>
      <c r="AU938" s="413"/>
      <c r="AV938" s="413"/>
      <c r="AW938" s="413"/>
      <c r="AX938" s="413"/>
      <c r="AY938" s="413"/>
      <c r="AZ938" s="413"/>
      <c r="BA938" s="413"/>
      <c r="BB938" s="413"/>
      <c r="BC938" s="413"/>
      <c r="BD938" s="413"/>
      <c r="BE938" s="413"/>
      <c r="BF938" s="413"/>
      <c r="BG938" s="413"/>
      <c r="BH938" s="413"/>
      <c r="BI938" s="413"/>
      <c r="BJ938" s="413"/>
      <c r="BK938" s="413"/>
      <c r="BL938" s="413"/>
    </row>
    <row r="939" spans="1:64" ht="13">
      <c r="A939" s="426"/>
      <c r="B939" s="426"/>
      <c r="C939" s="514"/>
      <c r="D939" s="416"/>
      <c r="E939" s="416"/>
      <c r="F939" s="416"/>
      <c r="G939" s="416"/>
      <c r="H939" s="416"/>
      <c r="I939" s="414"/>
      <c r="J939" s="472"/>
      <c r="K939" s="497"/>
      <c r="L939" s="497"/>
      <c r="M939" s="498"/>
      <c r="N939" s="498"/>
      <c r="O939" s="498"/>
      <c r="P939" s="498"/>
    </row>
    <row r="940" spans="1:64" ht="13">
      <c r="A940" s="426"/>
      <c r="B940" s="426" t="s">
        <v>733</v>
      </c>
      <c r="C940" s="427" t="s">
        <v>982</v>
      </c>
      <c r="D940" s="416"/>
      <c r="E940" s="416"/>
      <c r="F940" s="416"/>
      <c r="G940" s="416"/>
      <c r="H940" s="416"/>
      <c r="I940" s="414"/>
      <c r="J940" s="472"/>
      <c r="K940" s="497"/>
      <c r="L940" s="497"/>
      <c r="M940" s="498"/>
      <c r="N940" s="498"/>
      <c r="O940" s="498"/>
      <c r="P940" s="498"/>
    </row>
    <row r="941" spans="1:64" ht="13">
      <c r="A941" s="426"/>
      <c r="B941" s="426"/>
      <c r="C941" s="417" t="s">
        <v>975</v>
      </c>
      <c r="D941" s="532">
        <v>0.3</v>
      </c>
      <c r="E941" s="430" t="s">
        <v>666</v>
      </c>
      <c r="F941" s="408">
        <f>$I$756</f>
        <v>10165.071260000002</v>
      </c>
      <c r="G941" s="408">
        <v>1</v>
      </c>
      <c r="H941" s="430" t="s">
        <v>666</v>
      </c>
      <c r="I941" s="414">
        <f>IF(G941="",D941*F941,(D941*F941/G941))</f>
        <v>3049.5213780000008</v>
      </c>
      <c r="J941" s="472"/>
      <c r="K941" s="497"/>
      <c r="L941" s="497"/>
      <c r="M941" s="498"/>
      <c r="N941" s="498"/>
      <c r="O941" s="498"/>
      <c r="P941" s="498"/>
    </row>
    <row r="942" spans="1:64" ht="13">
      <c r="A942" s="426"/>
      <c r="B942" s="426"/>
      <c r="C942" s="427"/>
      <c r="D942" s="416"/>
      <c r="E942" s="416"/>
      <c r="F942" s="416"/>
      <c r="G942" s="416"/>
      <c r="H942" s="416"/>
      <c r="I942" s="414"/>
      <c r="J942" s="472"/>
      <c r="K942" s="497"/>
      <c r="L942" s="497"/>
      <c r="M942" s="498"/>
      <c r="N942" s="498"/>
      <c r="O942" s="498"/>
      <c r="P942" s="498"/>
    </row>
    <row r="943" spans="1:64" ht="13">
      <c r="A943" s="426"/>
      <c r="B943" s="474" t="s">
        <v>951</v>
      </c>
      <c r="C943" s="451" t="s">
        <v>952</v>
      </c>
      <c r="D943" s="416"/>
      <c r="E943" s="416"/>
      <c r="F943" s="416"/>
      <c r="G943" s="416"/>
      <c r="H943" s="416"/>
      <c r="I943" s="414"/>
      <c r="J943" s="544"/>
      <c r="K943" s="545"/>
      <c r="L943" s="546"/>
      <c r="M943" s="498"/>
      <c r="N943" s="498"/>
      <c r="O943" s="498"/>
      <c r="P943" s="498"/>
    </row>
    <row r="944" spans="1:64" ht="13">
      <c r="A944" s="426"/>
      <c r="B944" s="426"/>
      <c r="C944" s="427" t="s">
        <v>953</v>
      </c>
      <c r="D944" s="414" t="s">
        <v>959</v>
      </c>
      <c r="E944" s="474"/>
      <c r="F944" s="492"/>
      <c r="G944" s="492"/>
      <c r="H944" s="492"/>
      <c r="I944" s="492"/>
      <c r="J944" s="472"/>
      <c r="K944" s="497"/>
      <c r="L944" s="497"/>
      <c r="M944" s="498"/>
      <c r="N944" s="498"/>
      <c r="O944" s="498"/>
      <c r="P944" s="498"/>
    </row>
    <row r="945" spans="1:16">
      <c r="A945" s="426"/>
      <c r="B945" s="426"/>
      <c r="C945" s="445" t="s">
        <v>954</v>
      </c>
      <c r="D945" s="409">
        <f>$I$941</f>
        <v>3049.5213780000008</v>
      </c>
      <c r="E945" s="409"/>
      <c r="F945" s="409"/>
      <c r="G945" s="409"/>
      <c r="H945" s="409"/>
      <c r="I945" s="409"/>
      <c r="J945" s="547"/>
      <c r="K945" s="548"/>
      <c r="L945" s="548"/>
      <c r="M945" s="549"/>
      <c r="N945" s="549"/>
      <c r="O945" s="549"/>
      <c r="P945" s="549"/>
    </row>
    <row r="946" spans="1:16">
      <c r="A946" s="426"/>
      <c r="B946" s="426"/>
      <c r="C946" s="445" t="s">
        <v>921</v>
      </c>
      <c r="D946" s="409">
        <f>'[161]Civil-SOR'!$F$282</f>
        <v>1183</v>
      </c>
      <c r="E946" s="409"/>
      <c r="F946" s="409"/>
      <c r="G946" s="409"/>
      <c r="H946" s="409"/>
      <c r="I946" s="409"/>
      <c r="J946" s="547"/>
      <c r="K946" s="548"/>
      <c r="L946" s="548"/>
      <c r="M946" s="549"/>
      <c r="N946" s="549"/>
      <c r="O946" s="549"/>
      <c r="P946" s="549"/>
    </row>
    <row r="947" spans="1:16">
      <c r="A947" s="426"/>
      <c r="B947" s="426"/>
      <c r="C947" s="445" t="s">
        <v>926</v>
      </c>
      <c r="D947" s="409">
        <f>'[161]Civil-SOR'!$H$282</f>
        <v>0</v>
      </c>
      <c r="E947" s="409"/>
      <c r="F947" s="409"/>
      <c r="G947" s="409"/>
      <c r="H947" s="409"/>
      <c r="I947" s="409"/>
      <c r="J947" s="547"/>
      <c r="K947" s="548"/>
      <c r="L947" s="548"/>
      <c r="M947" s="549"/>
      <c r="N947" s="549"/>
      <c r="O947" s="549"/>
      <c r="P947" s="549"/>
    </row>
    <row r="948" spans="1:16">
      <c r="A948" s="426"/>
      <c r="B948" s="426"/>
      <c r="C948" s="445" t="str">
        <f>[161]Input!$C$47</f>
        <v>Add for MA @ 40%</v>
      </c>
      <c r="D948" s="409">
        <f>D947*[161]Input!$D$47</f>
        <v>0</v>
      </c>
      <c r="E948" s="409"/>
      <c r="F948" s="409"/>
      <c r="G948" s="409"/>
      <c r="H948" s="409"/>
      <c r="I948" s="409"/>
      <c r="J948" s="547"/>
      <c r="K948" s="548"/>
      <c r="L948" s="548"/>
      <c r="M948" s="549"/>
      <c r="N948" s="549"/>
      <c r="O948" s="549"/>
      <c r="P948" s="549"/>
    </row>
    <row r="949" spans="1:16">
      <c r="A949" s="426"/>
      <c r="B949" s="426"/>
      <c r="C949" s="445" t="s">
        <v>979</v>
      </c>
      <c r="D949" s="409">
        <v>0</v>
      </c>
      <c r="E949" s="409"/>
      <c r="F949" s="409"/>
      <c r="G949" s="409"/>
      <c r="H949" s="409"/>
      <c r="I949" s="409"/>
      <c r="J949" s="547"/>
      <c r="K949" s="548"/>
      <c r="L949" s="548"/>
      <c r="M949" s="549"/>
      <c r="N949" s="549"/>
      <c r="O949" s="549"/>
      <c r="P949" s="549"/>
    </row>
    <row r="950" spans="1:16">
      <c r="A950" s="426"/>
      <c r="B950" s="426"/>
      <c r="C950" s="445" t="str">
        <f>[161]Input!$C$47</f>
        <v>Add for MA @ 40%</v>
      </c>
      <c r="D950" s="409">
        <v>0</v>
      </c>
      <c r="E950" s="409"/>
      <c r="F950" s="409"/>
      <c r="G950" s="409"/>
      <c r="H950" s="409"/>
      <c r="I950" s="409"/>
      <c r="J950" s="547"/>
      <c r="K950" s="548"/>
      <c r="L950" s="548"/>
      <c r="M950" s="549"/>
      <c r="N950" s="549"/>
      <c r="O950" s="549"/>
      <c r="P950" s="549"/>
    </row>
    <row r="951" spans="1:16" ht="13">
      <c r="A951" s="426"/>
      <c r="B951" s="426"/>
      <c r="C951" s="451" t="s">
        <v>741</v>
      </c>
      <c r="D951" s="409">
        <f>SUM(D945:D950)</f>
        <v>4232.5213780000013</v>
      </c>
      <c r="E951" s="409"/>
      <c r="F951" s="409"/>
      <c r="G951" s="409"/>
      <c r="H951" s="409"/>
      <c r="I951" s="409"/>
      <c r="J951" s="547"/>
      <c r="K951" s="548"/>
      <c r="L951" s="548"/>
      <c r="M951" s="549"/>
      <c r="N951" s="549"/>
      <c r="O951" s="549"/>
      <c r="P951" s="549"/>
    </row>
    <row r="952" spans="1:16" ht="25">
      <c r="A952" s="426"/>
      <c r="B952" s="426"/>
      <c r="C952" s="445" t="str">
        <f>[161]Input!$C$48</f>
        <v>Overheads &amp; Contractors Profit @ 13.615%</v>
      </c>
      <c r="D952" s="426">
        <f>ROUND(D951*[161]Input!$D$48,2)</f>
        <v>576.26</v>
      </c>
      <c r="E952" s="426"/>
      <c r="F952" s="426"/>
      <c r="G952" s="426"/>
      <c r="H952" s="426"/>
      <c r="I952" s="426"/>
      <c r="J952" s="547"/>
      <c r="K952" s="548"/>
      <c r="L952" s="548"/>
      <c r="M952" s="549"/>
      <c r="N952" s="549"/>
      <c r="O952" s="549"/>
      <c r="P952" s="549"/>
    </row>
    <row r="953" spans="1:16" ht="13">
      <c r="A953" s="426"/>
      <c r="B953" s="426"/>
      <c r="C953" s="427" t="s">
        <v>742</v>
      </c>
      <c r="D953" s="409">
        <f>SUM(D951:D952)</f>
        <v>4808.7813780000015</v>
      </c>
      <c r="E953" s="409"/>
      <c r="F953" s="409"/>
      <c r="G953" s="409"/>
      <c r="H953" s="409"/>
      <c r="I953" s="409"/>
      <c r="J953" s="502"/>
      <c r="K953" s="503"/>
      <c r="L953" s="503"/>
      <c r="M953" s="504"/>
      <c r="N953" s="504"/>
      <c r="O953" s="504"/>
      <c r="P953" s="504"/>
    </row>
    <row r="954" spans="1:16" ht="13">
      <c r="A954" s="426"/>
      <c r="B954" s="426"/>
      <c r="C954" s="514" t="s">
        <v>726</v>
      </c>
      <c r="D954" s="416">
        <f>ROUND(D953,0)</f>
        <v>4809</v>
      </c>
      <c r="E954" s="416"/>
      <c r="F954" s="416"/>
      <c r="G954" s="416"/>
      <c r="H954" s="416"/>
      <c r="I954" s="416"/>
      <c r="J954" s="502"/>
      <c r="K954" s="503"/>
      <c r="L954" s="503"/>
      <c r="M954" s="504"/>
      <c r="N954" s="504"/>
      <c r="O954" s="504"/>
      <c r="P954" s="504"/>
    </row>
    <row r="955" spans="1:16" ht="13">
      <c r="A955" s="426"/>
      <c r="B955" s="426" t="s">
        <v>733</v>
      </c>
      <c r="C955" s="427" t="s">
        <v>983</v>
      </c>
      <c r="D955" s="416"/>
      <c r="E955" s="416"/>
      <c r="F955" s="416"/>
      <c r="G955" s="416"/>
      <c r="H955" s="416"/>
      <c r="I955" s="414"/>
      <c r="J955" s="472"/>
      <c r="K955" s="497"/>
      <c r="L955" s="497"/>
      <c r="M955" s="498"/>
      <c r="N955" s="498"/>
      <c r="O955" s="498"/>
      <c r="P955" s="498"/>
    </row>
    <row r="956" spans="1:16" ht="13">
      <c r="A956" s="426"/>
      <c r="B956" s="426"/>
      <c r="C956" s="417" t="s">
        <v>975</v>
      </c>
      <c r="D956" s="532">
        <v>0.32500000000000001</v>
      </c>
      <c r="E956" s="430" t="s">
        <v>666</v>
      </c>
      <c r="F956" s="408">
        <f>$I$756</f>
        <v>10165.071260000002</v>
      </c>
      <c r="G956" s="408">
        <v>1</v>
      </c>
      <c r="H956" s="430" t="s">
        <v>666</v>
      </c>
      <c r="I956" s="414">
        <f>IF(G956="",D956*F956,(D956*F956/G956))</f>
        <v>3303.6481595000009</v>
      </c>
      <c r="J956" s="472"/>
      <c r="K956" s="497"/>
      <c r="L956" s="497"/>
      <c r="M956" s="498"/>
      <c r="N956" s="498"/>
      <c r="O956" s="498"/>
      <c r="P956" s="498"/>
    </row>
    <row r="957" spans="1:16" ht="13">
      <c r="A957" s="426"/>
      <c r="B957" s="426"/>
      <c r="C957" s="427"/>
      <c r="D957" s="416"/>
      <c r="E957" s="416"/>
      <c r="F957" s="416"/>
      <c r="G957" s="416"/>
      <c r="H957" s="416"/>
      <c r="I957" s="414"/>
      <c r="J957" s="472"/>
      <c r="K957" s="497"/>
      <c r="L957" s="497"/>
      <c r="M957" s="498"/>
      <c r="N957" s="498"/>
      <c r="O957" s="498"/>
      <c r="P957" s="498"/>
    </row>
    <row r="958" spans="1:16" ht="13">
      <c r="A958" s="426"/>
      <c r="B958" s="474" t="s">
        <v>951</v>
      </c>
      <c r="C958" s="451" t="s">
        <v>952</v>
      </c>
      <c r="D958" s="416"/>
      <c r="E958" s="416"/>
      <c r="F958" s="416"/>
      <c r="G958" s="416"/>
      <c r="H958" s="416"/>
      <c r="I958" s="414"/>
      <c r="J958" s="544"/>
      <c r="K958" s="545"/>
      <c r="L958" s="546"/>
      <c r="M958" s="498"/>
      <c r="N958" s="498"/>
      <c r="O958" s="498"/>
      <c r="P958" s="498"/>
    </row>
    <row r="959" spans="1:16" ht="13">
      <c r="A959" s="426"/>
      <c r="B959" s="426"/>
      <c r="C959" s="427" t="s">
        <v>953</v>
      </c>
      <c r="D959" s="414" t="s">
        <v>959</v>
      </c>
      <c r="E959" s="474"/>
      <c r="F959" s="492"/>
      <c r="G959" s="492"/>
      <c r="H959" s="492"/>
      <c r="I959" s="492"/>
      <c r="J959" s="472"/>
      <c r="K959" s="497"/>
      <c r="L959" s="497"/>
      <c r="M959" s="498"/>
      <c r="N959" s="498"/>
      <c r="O959" s="498"/>
      <c r="P959" s="498"/>
    </row>
    <row r="960" spans="1:16">
      <c r="A960" s="426"/>
      <c r="B960" s="426"/>
      <c r="C960" s="445" t="s">
        <v>954</v>
      </c>
      <c r="D960" s="409">
        <f>$I$956</f>
        <v>3303.6481595000009</v>
      </c>
      <c r="E960" s="409"/>
      <c r="F960" s="409"/>
      <c r="G960" s="409"/>
      <c r="H960" s="409"/>
      <c r="I960" s="409"/>
      <c r="J960" s="547"/>
      <c r="K960" s="548"/>
      <c r="L960" s="548"/>
      <c r="M960" s="549"/>
      <c r="N960" s="549"/>
      <c r="O960" s="549"/>
      <c r="P960" s="549"/>
    </row>
    <row r="961" spans="1:16">
      <c r="A961" s="426"/>
      <c r="B961" s="426"/>
      <c r="C961" s="445" t="s">
        <v>921</v>
      </c>
      <c r="D961" s="409">
        <f>'[161]Civil-SOR'!$F$282</f>
        <v>1183</v>
      </c>
      <c r="E961" s="409"/>
      <c r="F961" s="409"/>
      <c r="G961" s="409"/>
      <c r="H961" s="409"/>
      <c r="I961" s="409"/>
      <c r="J961" s="547"/>
      <c r="K961" s="548"/>
      <c r="L961" s="548"/>
      <c r="M961" s="549"/>
      <c r="N961" s="549"/>
      <c r="O961" s="549"/>
      <c r="P961" s="549"/>
    </row>
    <row r="962" spans="1:16">
      <c r="A962" s="426"/>
      <c r="B962" s="426"/>
      <c r="C962" s="445" t="s">
        <v>926</v>
      </c>
      <c r="D962" s="409">
        <f>'[161]Civil-SOR'!$H$282</f>
        <v>0</v>
      </c>
      <c r="E962" s="409"/>
      <c r="F962" s="409"/>
      <c r="G962" s="409"/>
      <c r="H962" s="409"/>
      <c r="I962" s="409"/>
      <c r="J962" s="547"/>
      <c r="K962" s="548"/>
      <c r="L962" s="548"/>
      <c r="M962" s="549"/>
      <c r="N962" s="549"/>
      <c r="O962" s="549"/>
      <c r="P962" s="549"/>
    </row>
    <row r="963" spans="1:16">
      <c r="A963" s="426"/>
      <c r="B963" s="426"/>
      <c r="C963" s="445" t="str">
        <f>[161]Input!$C$47</f>
        <v>Add for MA @ 40%</v>
      </c>
      <c r="D963" s="409">
        <f>D962*[161]Input!$D$47</f>
        <v>0</v>
      </c>
      <c r="E963" s="409"/>
      <c r="F963" s="409"/>
      <c r="G963" s="409"/>
      <c r="H963" s="409"/>
      <c r="I963" s="409"/>
      <c r="J963" s="547"/>
      <c r="K963" s="548"/>
      <c r="L963" s="548"/>
      <c r="M963" s="549"/>
      <c r="N963" s="549"/>
      <c r="O963" s="549"/>
      <c r="P963" s="549"/>
    </row>
    <row r="964" spans="1:16">
      <c r="A964" s="426"/>
      <c r="B964" s="426"/>
      <c r="C964" s="445" t="s">
        <v>979</v>
      </c>
      <c r="D964" s="409">
        <v>0</v>
      </c>
      <c r="E964" s="409"/>
      <c r="F964" s="409"/>
      <c r="G964" s="409"/>
      <c r="H964" s="409"/>
      <c r="I964" s="409"/>
      <c r="J964" s="547"/>
      <c r="K964" s="548"/>
      <c r="L964" s="548"/>
      <c r="M964" s="549"/>
      <c r="N964" s="549"/>
      <c r="O964" s="549"/>
      <c r="P964" s="549"/>
    </row>
    <row r="965" spans="1:16">
      <c r="A965" s="426"/>
      <c r="B965" s="426"/>
      <c r="C965" s="445" t="str">
        <f>[161]Input!$C$47</f>
        <v>Add for MA @ 40%</v>
      </c>
      <c r="D965" s="409">
        <v>0</v>
      </c>
      <c r="E965" s="409"/>
      <c r="F965" s="409"/>
      <c r="G965" s="409"/>
      <c r="H965" s="409"/>
      <c r="I965" s="409"/>
      <c r="J965" s="547"/>
      <c r="K965" s="548"/>
      <c r="L965" s="548"/>
      <c r="M965" s="549"/>
      <c r="N965" s="549"/>
      <c r="O965" s="549"/>
      <c r="P965" s="549"/>
    </row>
    <row r="966" spans="1:16" ht="13">
      <c r="A966" s="426"/>
      <c r="B966" s="426"/>
      <c r="C966" s="451" t="s">
        <v>741</v>
      </c>
      <c r="D966" s="409">
        <f>SUM(D960:D965)</f>
        <v>4486.6481595000005</v>
      </c>
      <c r="E966" s="409"/>
      <c r="F966" s="409"/>
      <c r="G966" s="409"/>
      <c r="H966" s="409"/>
      <c r="I966" s="409"/>
      <c r="J966" s="547"/>
      <c r="K966" s="548"/>
      <c r="L966" s="548"/>
      <c r="M966" s="549"/>
      <c r="N966" s="549"/>
      <c r="O966" s="549"/>
      <c r="P966" s="549"/>
    </row>
    <row r="967" spans="1:16" ht="25">
      <c r="A967" s="426"/>
      <c r="B967" s="426"/>
      <c r="C967" s="445" t="str">
        <f>[161]Input!$C$48</f>
        <v>Overheads &amp; Contractors Profit @ 13.615%</v>
      </c>
      <c r="D967" s="426">
        <f>ROUND(D966*[161]Input!$D$48,2)</f>
        <v>610.86</v>
      </c>
      <c r="E967" s="426"/>
      <c r="F967" s="426"/>
      <c r="G967" s="426"/>
      <c r="H967" s="426"/>
      <c r="I967" s="426"/>
      <c r="J967" s="547"/>
      <c r="K967" s="548"/>
      <c r="L967" s="548"/>
      <c r="M967" s="549"/>
      <c r="N967" s="549"/>
      <c r="O967" s="549"/>
      <c r="P967" s="549"/>
    </row>
    <row r="968" spans="1:16" ht="13">
      <c r="A968" s="426"/>
      <c r="B968" s="426"/>
      <c r="C968" s="427" t="s">
        <v>742</v>
      </c>
      <c r="D968" s="409">
        <f>SUM(D966:D967)</f>
        <v>5097.5081595000001</v>
      </c>
      <c r="E968" s="409"/>
      <c r="F968" s="409"/>
      <c r="G968" s="409"/>
      <c r="H968" s="409"/>
      <c r="I968" s="409"/>
      <c r="J968" s="502"/>
      <c r="K968" s="503"/>
      <c r="L968" s="503"/>
      <c r="M968" s="504"/>
      <c r="N968" s="504"/>
      <c r="O968" s="504"/>
      <c r="P968" s="504"/>
    </row>
    <row r="969" spans="1:16" ht="13">
      <c r="A969" s="426"/>
      <c r="B969" s="426"/>
      <c r="C969" s="514" t="s">
        <v>726</v>
      </c>
      <c r="D969" s="416">
        <f>ROUND(D968,0)</f>
        <v>5098</v>
      </c>
      <c r="E969" s="416"/>
      <c r="F969" s="416"/>
      <c r="G969" s="416"/>
      <c r="H969" s="416"/>
      <c r="I969" s="416"/>
      <c r="J969" s="502"/>
      <c r="K969" s="503"/>
      <c r="L969" s="503"/>
      <c r="M969" s="504"/>
      <c r="N969" s="504"/>
      <c r="O969" s="504"/>
      <c r="P969" s="504"/>
    </row>
    <row r="970" spans="1:16" ht="13">
      <c r="A970" s="426"/>
      <c r="B970" s="426" t="s">
        <v>733</v>
      </c>
      <c r="C970" s="427" t="s">
        <v>984</v>
      </c>
      <c r="D970" s="416"/>
      <c r="E970" s="416"/>
      <c r="F970" s="416"/>
      <c r="G970" s="416"/>
      <c r="H970" s="416"/>
      <c r="I970" s="414"/>
      <c r="J970" s="472"/>
      <c r="K970" s="497"/>
      <c r="L970" s="497"/>
      <c r="M970" s="498"/>
      <c r="N970" s="498"/>
      <c r="O970" s="498"/>
      <c r="P970" s="498"/>
    </row>
    <row r="971" spans="1:16" ht="13">
      <c r="A971" s="426"/>
      <c r="B971" s="426"/>
      <c r="C971" s="417" t="s">
        <v>975</v>
      </c>
      <c r="D971" s="532">
        <v>0.375</v>
      </c>
      <c r="E971" s="430" t="s">
        <v>666</v>
      </c>
      <c r="F971" s="408">
        <f>$I$756</f>
        <v>10165.071260000002</v>
      </c>
      <c r="G971" s="408">
        <v>1</v>
      </c>
      <c r="H971" s="430" t="s">
        <v>666</v>
      </c>
      <c r="I971" s="414">
        <f>IF(G971="",D971*F971,(D971*F971/G971))</f>
        <v>3811.9017225000007</v>
      </c>
      <c r="J971" s="472"/>
      <c r="K971" s="497"/>
      <c r="L971" s="497"/>
      <c r="M971" s="498"/>
      <c r="N971" s="498"/>
      <c r="O971" s="498"/>
      <c r="P971" s="498"/>
    </row>
    <row r="972" spans="1:16" ht="13">
      <c r="A972" s="426"/>
      <c r="B972" s="426"/>
      <c r="C972" s="427"/>
      <c r="D972" s="416"/>
      <c r="E972" s="416"/>
      <c r="F972" s="416"/>
      <c r="G972" s="416"/>
      <c r="H972" s="416"/>
      <c r="I972" s="414"/>
      <c r="J972" s="472"/>
      <c r="K972" s="497"/>
      <c r="L972" s="497"/>
      <c r="M972" s="498"/>
      <c r="N972" s="498"/>
      <c r="O972" s="498"/>
      <c r="P972" s="498"/>
    </row>
    <row r="973" spans="1:16" ht="13">
      <c r="A973" s="426"/>
      <c r="B973" s="474" t="s">
        <v>951</v>
      </c>
      <c r="C973" s="451" t="s">
        <v>952</v>
      </c>
      <c r="D973" s="416"/>
      <c r="E973" s="416"/>
      <c r="F973" s="416"/>
      <c r="G973" s="416"/>
      <c r="H973" s="416"/>
      <c r="I973" s="414"/>
      <c r="J973" s="544"/>
      <c r="K973" s="545"/>
      <c r="L973" s="546"/>
      <c r="M973" s="498"/>
      <c r="N973" s="498"/>
      <c r="O973" s="498"/>
      <c r="P973" s="498"/>
    </row>
    <row r="974" spans="1:16" ht="13">
      <c r="A974" s="426"/>
      <c r="B974" s="426"/>
      <c r="C974" s="427" t="s">
        <v>953</v>
      </c>
      <c r="D974" s="414" t="s">
        <v>959</v>
      </c>
      <c r="E974" s="474"/>
      <c r="F974" s="492"/>
      <c r="G974" s="492"/>
      <c r="H974" s="492"/>
      <c r="I974" s="492"/>
      <c r="J974" s="472"/>
      <c r="K974" s="497"/>
      <c r="L974" s="497"/>
      <c r="M974" s="498"/>
      <c r="N974" s="498"/>
      <c r="O974" s="498"/>
      <c r="P974" s="498"/>
    </row>
    <row r="975" spans="1:16">
      <c r="A975" s="426"/>
      <c r="B975" s="426"/>
      <c r="C975" s="445" t="s">
        <v>954</v>
      </c>
      <c r="D975" s="409">
        <f>$I$971</f>
        <v>3811.9017225000007</v>
      </c>
      <c r="E975" s="409"/>
      <c r="F975" s="409"/>
      <c r="G975" s="409"/>
      <c r="H975" s="409"/>
      <c r="I975" s="409"/>
      <c r="J975" s="547"/>
      <c r="K975" s="548"/>
      <c r="L975" s="548"/>
      <c r="M975" s="549"/>
      <c r="N975" s="549"/>
      <c r="O975" s="549"/>
      <c r="P975" s="549"/>
    </row>
    <row r="976" spans="1:16">
      <c r="A976" s="426"/>
      <c r="B976" s="426"/>
      <c r="C976" s="445" t="s">
        <v>921</v>
      </c>
      <c r="D976" s="409">
        <f>'[161]Civil-SOR'!$F$282</f>
        <v>1183</v>
      </c>
      <c r="E976" s="409"/>
      <c r="F976" s="409"/>
      <c r="G976" s="409"/>
      <c r="H976" s="409"/>
      <c r="I976" s="409"/>
      <c r="J976" s="547"/>
      <c r="K976" s="548"/>
      <c r="L976" s="548"/>
      <c r="M976" s="549"/>
      <c r="N976" s="549"/>
      <c r="O976" s="549"/>
      <c r="P976" s="549"/>
    </row>
    <row r="977" spans="1:16">
      <c r="A977" s="426"/>
      <c r="B977" s="426"/>
      <c r="C977" s="445" t="s">
        <v>926</v>
      </c>
      <c r="D977" s="409">
        <f>'[161]Civil-SOR'!$H$282</f>
        <v>0</v>
      </c>
      <c r="E977" s="409"/>
      <c r="F977" s="409"/>
      <c r="G977" s="409"/>
      <c r="H977" s="409"/>
      <c r="I977" s="409"/>
      <c r="J977" s="547"/>
      <c r="K977" s="548"/>
      <c r="L977" s="548"/>
      <c r="M977" s="549"/>
      <c r="N977" s="549"/>
      <c r="O977" s="549"/>
      <c r="P977" s="549"/>
    </row>
    <row r="978" spans="1:16">
      <c r="A978" s="426"/>
      <c r="B978" s="426"/>
      <c r="C978" s="445" t="str">
        <f>[161]Input!$C$47</f>
        <v>Add for MA @ 40%</v>
      </c>
      <c r="D978" s="409">
        <f>D977*[161]Input!$D$47</f>
        <v>0</v>
      </c>
      <c r="E978" s="409"/>
      <c r="F978" s="409"/>
      <c r="G978" s="409"/>
      <c r="H978" s="409"/>
      <c r="I978" s="409"/>
      <c r="J978" s="547"/>
      <c r="K978" s="548"/>
      <c r="L978" s="548"/>
      <c r="M978" s="549"/>
      <c r="N978" s="549"/>
      <c r="O978" s="549"/>
      <c r="P978" s="549"/>
    </row>
    <row r="979" spans="1:16">
      <c r="A979" s="426"/>
      <c r="B979" s="426"/>
      <c r="C979" s="445" t="s">
        <v>979</v>
      </c>
      <c r="D979" s="409">
        <v>0</v>
      </c>
      <c r="E979" s="409"/>
      <c r="F979" s="409"/>
      <c r="G979" s="409"/>
      <c r="H979" s="409"/>
      <c r="I979" s="409"/>
      <c r="J979" s="547"/>
      <c r="K979" s="548"/>
      <c r="L979" s="548"/>
      <c r="M979" s="549"/>
      <c r="N979" s="549"/>
      <c r="O979" s="549"/>
      <c r="P979" s="549"/>
    </row>
    <row r="980" spans="1:16">
      <c r="A980" s="426"/>
      <c r="B980" s="426"/>
      <c r="C980" s="445" t="str">
        <f>[161]Input!$C$47</f>
        <v>Add for MA @ 40%</v>
      </c>
      <c r="D980" s="409">
        <v>0</v>
      </c>
      <c r="E980" s="409"/>
      <c r="F980" s="409"/>
      <c r="G980" s="409"/>
      <c r="H980" s="409"/>
      <c r="I980" s="409"/>
      <c r="J980" s="547"/>
      <c r="K980" s="548"/>
      <c r="L980" s="548"/>
      <c r="M980" s="549"/>
      <c r="N980" s="549"/>
      <c r="O980" s="549"/>
      <c r="P980" s="549"/>
    </row>
    <row r="981" spans="1:16" ht="13">
      <c r="A981" s="426"/>
      <c r="B981" s="426"/>
      <c r="C981" s="451" t="s">
        <v>741</v>
      </c>
      <c r="D981" s="409">
        <f>SUM(D975:D980)</f>
        <v>4994.9017225000007</v>
      </c>
      <c r="E981" s="409"/>
      <c r="F981" s="409"/>
      <c r="G981" s="409"/>
      <c r="H981" s="409"/>
      <c r="I981" s="409"/>
      <c r="J981" s="547"/>
      <c r="K981" s="548"/>
      <c r="L981" s="548"/>
      <c r="M981" s="549"/>
      <c r="N981" s="549"/>
      <c r="O981" s="549"/>
      <c r="P981" s="549"/>
    </row>
    <row r="982" spans="1:16" ht="25">
      <c r="A982" s="426"/>
      <c r="B982" s="426"/>
      <c r="C982" s="445" t="str">
        <f>[161]Input!$C$48</f>
        <v>Overheads &amp; Contractors Profit @ 13.615%</v>
      </c>
      <c r="D982" s="426">
        <f>ROUND(D981*[161]Input!$D$48,2)</f>
        <v>680.06</v>
      </c>
      <c r="E982" s="426"/>
      <c r="F982" s="426"/>
      <c r="G982" s="426"/>
      <c r="H982" s="426"/>
      <c r="I982" s="426"/>
      <c r="J982" s="547"/>
      <c r="K982" s="548"/>
      <c r="L982" s="548"/>
      <c r="M982" s="549"/>
      <c r="N982" s="549"/>
      <c r="O982" s="549"/>
      <c r="P982" s="549"/>
    </row>
    <row r="983" spans="1:16" ht="13">
      <c r="A983" s="426"/>
      <c r="B983" s="426"/>
      <c r="C983" s="427" t="s">
        <v>742</v>
      </c>
      <c r="D983" s="409">
        <f>SUM(D981:D982)</f>
        <v>5674.9617225000002</v>
      </c>
      <c r="E983" s="409"/>
      <c r="F983" s="409"/>
      <c r="G983" s="409"/>
      <c r="H983" s="409"/>
      <c r="I983" s="409"/>
      <c r="J983" s="502"/>
      <c r="K983" s="503"/>
      <c r="L983" s="503"/>
      <c r="M983" s="504"/>
      <c r="N983" s="504"/>
      <c r="O983" s="504"/>
      <c r="P983" s="504"/>
    </row>
    <row r="984" spans="1:16" ht="13">
      <c r="A984" s="426"/>
      <c r="B984" s="426"/>
      <c r="C984" s="514" t="s">
        <v>726</v>
      </c>
      <c r="D984" s="416">
        <f>ROUND(D983,0)</f>
        <v>5675</v>
      </c>
      <c r="E984" s="416"/>
      <c r="F984" s="416"/>
      <c r="G984" s="416"/>
      <c r="H984" s="416"/>
      <c r="I984" s="416"/>
      <c r="J984" s="502"/>
      <c r="K984" s="503"/>
      <c r="L984" s="503"/>
      <c r="M984" s="504"/>
      <c r="N984" s="504"/>
      <c r="O984" s="504"/>
      <c r="P984" s="504"/>
    </row>
    <row r="985" spans="1:16" ht="13">
      <c r="A985" s="426"/>
      <c r="B985" s="426" t="s">
        <v>733</v>
      </c>
      <c r="C985" s="427" t="s">
        <v>974</v>
      </c>
      <c r="D985" s="416"/>
      <c r="E985" s="416"/>
      <c r="F985" s="416"/>
      <c r="G985" s="416"/>
      <c r="H985" s="416"/>
      <c r="I985" s="414"/>
      <c r="J985" s="472"/>
      <c r="K985" s="497"/>
      <c r="L985" s="497"/>
      <c r="M985" s="498"/>
      <c r="N985" s="498"/>
      <c r="O985" s="498"/>
      <c r="P985" s="498"/>
    </row>
    <row r="986" spans="1:16" ht="13">
      <c r="A986" s="426"/>
      <c r="B986" s="426"/>
      <c r="C986" s="417" t="s">
        <v>975</v>
      </c>
      <c r="D986" s="532">
        <v>0.35</v>
      </c>
      <c r="E986" s="430" t="s">
        <v>666</v>
      </c>
      <c r="F986" s="408">
        <f>$I$756</f>
        <v>10165.071260000002</v>
      </c>
      <c r="G986" s="408">
        <v>1</v>
      </c>
      <c r="H986" s="430" t="s">
        <v>666</v>
      </c>
      <c r="I986" s="414">
        <f>IF(G986="",D986*F986,(D986*F986/G986))</f>
        <v>3557.7749410000006</v>
      </c>
      <c r="J986" s="472"/>
      <c r="K986" s="497"/>
      <c r="L986" s="497"/>
      <c r="M986" s="498"/>
      <c r="N986" s="498"/>
      <c r="O986" s="498"/>
      <c r="P986" s="498"/>
    </row>
    <row r="987" spans="1:16" ht="13">
      <c r="A987" s="426"/>
      <c r="B987" s="426"/>
      <c r="C987" s="427"/>
      <c r="D987" s="416"/>
      <c r="E987" s="416"/>
      <c r="F987" s="416"/>
      <c r="G987" s="416"/>
      <c r="H987" s="416"/>
      <c r="I987" s="414"/>
      <c r="J987" s="472"/>
      <c r="K987" s="497"/>
      <c r="L987" s="497"/>
      <c r="M987" s="498"/>
      <c r="N987" s="498"/>
      <c r="O987" s="498"/>
      <c r="P987" s="498"/>
    </row>
    <row r="988" spans="1:16" ht="13">
      <c r="A988" s="426"/>
      <c r="B988" s="474" t="s">
        <v>951</v>
      </c>
      <c r="C988" s="451" t="s">
        <v>952</v>
      </c>
      <c r="D988" s="416"/>
      <c r="E988" s="416"/>
      <c r="F988" s="416"/>
      <c r="G988" s="416"/>
      <c r="H988" s="416"/>
      <c r="I988" s="414"/>
      <c r="J988" s="544"/>
      <c r="K988" s="545"/>
      <c r="L988" s="546"/>
      <c r="M988" s="498"/>
      <c r="N988" s="498"/>
      <c r="O988" s="498"/>
      <c r="P988" s="498"/>
    </row>
    <row r="989" spans="1:16" ht="13">
      <c r="A989" s="426"/>
      <c r="B989" s="426"/>
      <c r="C989" s="427" t="s">
        <v>953</v>
      </c>
      <c r="D989" s="414" t="s">
        <v>959</v>
      </c>
      <c r="E989" s="474" t="s">
        <v>943</v>
      </c>
      <c r="F989" s="492" t="s">
        <v>944</v>
      </c>
      <c r="G989" s="492" t="s">
        <v>945</v>
      </c>
      <c r="H989" s="492" t="s">
        <v>946</v>
      </c>
      <c r="I989" s="492" t="s">
        <v>947</v>
      </c>
      <c r="J989" s="472"/>
      <c r="K989" s="497"/>
      <c r="L989" s="497"/>
      <c r="M989" s="498"/>
      <c r="N989" s="498"/>
      <c r="O989" s="498"/>
      <c r="P989" s="498"/>
    </row>
    <row r="990" spans="1:16">
      <c r="A990" s="426"/>
      <c r="B990" s="426"/>
      <c r="C990" s="445" t="s">
        <v>954</v>
      </c>
      <c r="D990" s="409">
        <f t="shared" ref="D990:I990" si="175">$I$986</f>
        <v>3557.7749410000006</v>
      </c>
      <c r="E990" s="409">
        <f t="shared" si="175"/>
        <v>3557.7749410000006</v>
      </c>
      <c r="F990" s="409">
        <f t="shared" si="175"/>
        <v>3557.7749410000006</v>
      </c>
      <c r="G990" s="409">
        <f t="shared" si="175"/>
        <v>3557.7749410000006</v>
      </c>
      <c r="H990" s="409">
        <f t="shared" si="175"/>
        <v>3557.7749410000006</v>
      </c>
      <c r="I990" s="409">
        <f t="shared" si="175"/>
        <v>3557.7749410000006</v>
      </c>
      <c r="J990" s="547"/>
      <c r="K990" s="548"/>
      <c r="L990" s="548"/>
      <c r="M990" s="549"/>
      <c r="N990" s="549"/>
      <c r="O990" s="549"/>
      <c r="P990" s="549"/>
    </row>
    <row r="991" spans="1:16">
      <c r="A991" s="426"/>
      <c r="B991" s="426"/>
      <c r="C991" s="445" t="s">
        <v>921</v>
      </c>
      <c r="D991" s="409">
        <f>'[161]Civil-SOR'!$F$282</f>
        <v>1183</v>
      </c>
      <c r="E991" s="409">
        <f>'[161]Civil-SOR'!$F$282</f>
        <v>1183</v>
      </c>
      <c r="F991" s="409">
        <f>'[161]Civil-SOR'!$F$282</f>
        <v>1183</v>
      </c>
      <c r="G991" s="409">
        <f>'[161]Civil-SOR'!$F$282</f>
        <v>1183</v>
      </c>
      <c r="H991" s="409">
        <f>'[161]Civil-SOR'!$F$282</f>
        <v>1183</v>
      </c>
      <c r="I991" s="409">
        <f>'[161]Civil-SOR'!$F$282</f>
        <v>1183</v>
      </c>
      <c r="J991" s="547"/>
      <c r="K991" s="548"/>
      <c r="L991" s="548"/>
      <c r="M991" s="549"/>
      <c r="N991" s="549"/>
      <c r="O991" s="549"/>
      <c r="P991" s="549"/>
    </row>
    <row r="992" spans="1:16">
      <c r="A992" s="426"/>
      <c r="B992" s="426"/>
      <c r="C992" s="445" t="s">
        <v>926</v>
      </c>
      <c r="D992" s="409">
        <f>'[161]Civil-SOR'!$H$282</f>
        <v>0</v>
      </c>
      <c r="E992" s="409">
        <f>'[161]Civil-SOR'!$I$282</f>
        <v>0</v>
      </c>
      <c r="F992" s="409">
        <f>'[161]Civil-SOR'!$J$282</f>
        <v>0</v>
      </c>
      <c r="G992" s="409">
        <f>'[161]Civil-SOR'!$J$282</f>
        <v>0</v>
      </c>
      <c r="H992" s="409">
        <f>'[161]Civil-SOR'!$J$282</f>
        <v>0</v>
      </c>
      <c r="I992" s="409">
        <f>'[161]Civil-SOR'!$J$282</f>
        <v>0</v>
      </c>
      <c r="J992" s="547"/>
      <c r="K992" s="548"/>
      <c r="L992" s="548"/>
      <c r="M992" s="549"/>
      <c r="N992" s="549"/>
      <c r="O992" s="549"/>
      <c r="P992" s="549"/>
    </row>
    <row r="993" spans="1:16">
      <c r="A993" s="426"/>
      <c r="B993" s="426"/>
      <c r="C993" s="445" t="str">
        <f>[161]Input!$C$47</f>
        <v>Add for MA @ 40%</v>
      </c>
      <c r="D993" s="409">
        <f>D992*[161]Input!$D$47</f>
        <v>0</v>
      </c>
      <c r="E993" s="409">
        <f>E992*[161]Input!$D$47</f>
        <v>0</v>
      </c>
      <c r="F993" s="409">
        <f>F992*[161]Input!$D$47</f>
        <v>0</v>
      </c>
      <c r="G993" s="409">
        <f>G992*[161]Input!$D$47</f>
        <v>0</v>
      </c>
      <c r="H993" s="409">
        <f>H992*[161]Input!$D$47</f>
        <v>0</v>
      </c>
      <c r="I993" s="409">
        <f>I992*[161]Input!$D$47</f>
        <v>0</v>
      </c>
      <c r="J993" s="547"/>
      <c r="K993" s="548"/>
      <c r="L993" s="548"/>
      <c r="M993" s="549"/>
      <c r="N993" s="549"/>
      <c r="O993" s="549"/>
      <c r="P993" s="549"/>
    </row>
    <row r="994" spans="1:16">
      <c r="A994" s="426"/>
      <c r="B994" s="426"/>
      <c r="C994" s="445" t="s">
        <v>979</v>
      </c>
      <c r="D994" s="409">
        <v>0</v>
      </c>
      <c r="E994" s="409">
        <f>$F$659*$D$899*10%</f>
        <v>62.01420000000001</v>
      </c>
      <c r="F994" s="409">
        <f>$F$659*$D$899*20%</f>
        <v>124.02840000000002</v>
      </c>
      <c r="G994" s="409">
        <f>$F$659*$D$899*30%</f>
        <v>186.04260000000002</v>
      </c>
      <c r="H994" s="409">
        <f>$F$659*$D$899*40%</f>
        <v>248.05680000000004</v>
      </c>
      <c r="I994" s="409">
        <f>$F$659*$D$899*50%</f>
        <v>310.07100000000003</v>
      </c>
      <c r="J994" s="547"/>
      <c r="K994" s="548"/>
      <c r="L994" s="548"/>
      <c r="M994" s="549"/>
      <c r="N994" s="549"/>
      <c r="O994" s="549"/>
      <c r="P994" s="549"/>
    </row>
    <row r="995" spans="1:16">
      <c r="A995" s="426"/>
      <c r="B995" s="426"/>
      <c r="C995" s="445" t="str">
        <f>[161]Input!$C$47</f>
        <v>Add for MA @ 40%</v>
      </c>
      <c r="D995" s="409">
        <v>0</v>
      </c>
      <c r="E995" s="409">
        <f>ROUND(E994*[161]Input!$D$47,2)</f>
        <v>24.81</v>
      </c>
      <c r="F995" s="409">
        <f>ROUND(F994*[161]Input!$D$47,2)</f>
        <v>49.61</v>
      </c>
      <c r="G995" s="409">
        <f>ROUND(G994*[161]Input!$D$47,2)</f>
        <v>74.42</v>
      </c>
      <c r="H995" s="409">
        <f>ROUND(H994*[161]Input!$D$47,2)</f>
        <v>99.22</v>
      </c>
      <c r="I995" s="409">
        <f>ROUND(I994*[161]Input!$D$47,2)</f>
        <v>124.03</v>
      </c>
      <c r="J995" s="547"/>
      <c r="K995" s="548"/>
      <c r="L995" s="548"/>
      <c r="M995" s="549"/>
      <c r="N995" s="549"/>
      <c r="O995" s="549"/>
      <c r="P995" s="549"/>
    </row>
    <row r="996" spans="1:16" ht="13">
      <c r="A996" s="426"/>
      <c r="B996" s="426"/>
      <c r="C996" s="451" t="s">
        <v>741</v>
      </c>
      <c r="D996" s="409">
        <f t="shared" ref="D996:I996" si="176">SUM(D990:D995)</f>
        <v>4740.7749410000006</v>
      </c>
      <c r="E996" s="409">
        <f t="shared" si="176"/>
        <v>4827.5991410000006</v>
      </c>
      <c r="F996" s="409">
        <f t="shared" si="176"/>
        <v>4914.4133410000004</v>
      </c>
      <c r="G996" s="409">
        <f t="shared" si="176"/>
        <v>5001.2375410000004</v>
      </c>
      <c r="H996" s="409">
        <f t="shared" si="176"/>
        <v>5088.0517410000011</v>
      </c>
      <c r="I996" s="409">
        <f t="shared" si="176"/>
        <v>5174.8759410000002</v>
      </c>
      <c r="J996" s="547"/>
      <c r="K996" s="548"/>
      <c r="L996" s="548"/>
      <c r="M996" s="549"/>
      <c r="N996" s="549"/>
      <c r="O996" s="549"/>
      <c r="P996" s="549"/>
    </row>
    <row r="997" spans="1:16" ht="25">
      <c r="A997" s="426"/>
      <c r="B997" s="426"/>
      <c r="C997" s="445" t="str">
        <f>[161]Input!$C$48</f>
        <v>Overheads &amp; Contractors Profit @ 13.615%</v>
      </c>
      <c r="D997" s="426">
        <f>ROUND(D996*[161]Input!$D$48,2)</f>
        <v>645.46</v>
      </c>
      <c r="E997" s="426">
        <f>ROUND(E996*[161]Input!$D$48,2)</f>
        <v>657.28</v>
      </c>
      <c r="F997" s="426">
        <f>ROUND(F996*[161]Input!$D$48,2)</f>
        <v>669.1</v>
      </c>
      <c r="G997" s="426">
        <f>ROUND(G996*[161]Input!$D$48,2)</f>
        <v>680.92</v>
      </c>
      <c r="H997" s="426">
        <f>ROUND(H996*[161]Input!$D$48,2)</f>
        <v>692.74</v>
      </c>
      <c r="I997" s="426">
        <f>ROUND(I996*[161]Input!$D$48,2)</f>
        <v>704.56</v>
      </c>
      <c r="J997" s="547"/>
      <c r="K997" s="548"/>
      <c r="L997" s="548"/>
      <c r="M997" s="549"/>
      <c r="N997" s="549"/>
      <c r="O997" s="549"/>
      <c r="P997" s="549"/>
    </row>
    <row r="998" spans="1:16" ht="13">
      <c r="A998" s="426"/>
      <c r="B998" s="426"/>
      <c r="C998" s="427" t="s">
        <v>742</v>
      </c>
      <c r="D998" s="409">
        <f t="shared" ref="D998:I998" si="177">SUM(D996:D997)</f>
        <v>5386.2349410000006</v>
      </c>
      <c r="E998" s="409">
        <f t="shared" si="177"/>
        <v>5484.8791410000003</v>
      </c>
      <c r="F998" s="409">
        <f t="shared" si="177"/>
        <v>5583.5133410000008</v>
      </c>
      <c r="G998" s="409">
        <f t="shared" si="177"/>
        <v>5682.1575410000005</v>
      </c>
      <c r="H998" s="409">
        <f t="shared" si="177"/>
        <v>5780.7917410000009</v>
      </c>
      <c r="I998" s="409">
        <f t="shared" si="177"/>
        <v>5879.4359409999997</v>
      </c>
      <c r="J998" s="502"/>
      <c r="K998" s="503"/>
      <c r="L998" s="503"/>
      <c r="M998" s="504"/>
      <c r="N998" s="504"/>
      <c r="O998" s="504"/>
      <c r="P998" s="504"/>
    </row>
    <row r="999" spans="1:16" ht="13">
      <c r="A999" s="426"/>
      <c r="B999" s="426"/>
      <c r="C999" s="514" t="s">
        <v>726</v>
      </c>
      <c r="D999" s="416">
        <f t="shared" ref="D999:I999" si="178">ROUND(D998,0)</f>
        <v>5386</v>
      </c>
      <c r="E999" s="416">
        <f t="shared" si="178"/>
        <v>5485</v>
      </c>
      <c r="F999" s="416">
        <f t="shared" si="178"/>
        <v>5584</v>
      </c>
      <c r="G999" s="416">
        <f t="shared" si="178"/>
        <v>5682</v>
      </c>
      <c r="H999" s="416">
        <f t="shared" si="178"/>
        <v>5781</v>
      </c>
      <c r="I999" s="416">
        <f t="shared" si="178"/>
        <v>5879</v>
      </c>
      <c r="J999" s="502"/>
      <c r="K999" s="503"/>
      <c r="L999" s="503"/>
      <c r="M999" s="504"/>
      <c r="N999" s="504"/>
      <c r="O999" s="504"/>
      <c r="P999" s="504"/>
    </row>
    <row r="1000" spans="1:16" ht="13">
      <c r="A1000" s="426"/>
      <c r="B1000" s="426"/>
      <c r="C1000" s="550"/>
      <c r="D1000" s="416"/>
      <c r="E1000" s="416"/>
      <c r="F1000" s="416"/>
      <c r="G1000" s="416"/>
      <c r="H1000" s="416"/>
      <c r="I1000" s="414"/>
      <c r="J1000" s="544"/>
      <c r="K1000" s="545"/>
      <c r="L1000" s="551"/>
      <c r="M1000" s="498"/>
      <c r="N1000" s="498"/>
      <c r="O1000" s="498"/>
      <c r="P1000" s="498"/>
    </row>
    <row r="1001" spans="1:16" ht="13">
      <c r="A1001" s="426"/>
      <c r="B1001" s="426"/>
      <c r="C1001" s="427" t="s">
        <v>985</v>
      </c>
      <c r="D1001" s="492" t="s">
        <v>948</v>
      </c>
      <c r="E1001" s="492" t="s">
        <v>949</v>
      </c>
      <c r="F1001" s="492" t="s">
        <v>950</v>
      </c>
      <c r="G1001" s="416"/>
      <c r="H1001" s="416"/>
      <c r="I1001" s="414"/>
      <c r="J1001" s="544"/>
      <c r="K1001" s="545"/>
      <c r="L1001" s="551"/>
      <c r="M1001" s="498"/>
      <c r="N1001" s="498"/>
      <c r="O1001" s="498"/>
      <c r="P1001" s="498"/>
    </row>
    <row r="1002" spans="1:16" ht="13">
      <c r="A1002" s="426"/>
      <c r="B1002" s="426"/>
      <c r="C1002" s="445" t="s">
        <v>954</v>
      </c>
      <c r="D1002" s="409">
        <f>$I$986</f>
        <v>3557.7749410000006</v>
      </c>
      <c r="E1002" s="409">
        <f>$I$986</f>
        <v>3557.7749410000006</v>
      </c>
      <c r="F1002" s="409">
        <f>$I$986</f>
        <v>3557.7749410000006</v>
      </c>
      <c r="G1002" s="416"/>
      <c r="H1002" s="416"/>
      <c r="I1002" s="414"/>
      <c r="J1002" s="544"/>
      <c r="K1002" s="545"/>
      <c r="L1002" s="551"/>
      <c r="M1002" s="498"/>
      <c r="N1002" s="498"/>
      <c r="O1002" s="498"/>
      <c r="P1002" s="498"/>
    </row>
    <row r="1003" spans="1:16" ht="13">
      <c r="A1003" s="426"/>
      <c r="B1003" s="426"/>
      <c r="C1003" s="445" t="s">
        <v>921</v>
      </c>
      <c r="D1003" s="409">
        <f>'[161]Civil-SOR'!$F$282</f>
        <v>1183</v>
      </c>
      <c r="E1003" s="409">
        <f>'[161]Civil-SOR'!$F$282</f>
        <v>1183</v>
      </c>
      <c r="F1003" s="409">
        <f>'[161]Civil-SOR'!$F$282</f>
        <v>1183</v>
      </c>
      <c r="G1003" s="416"/>
      <c r="H1003" s="416"/>
      <c r="I1003" s="414"/>
      <c r="J1003" s="544"/>
      <c r="K1003" s="545"/>
      <c r="L1003" s="551"/>
      <c r="M1003" s="498"/>
      <c r="N1003" s="498"/>
      <c r="O1003" s="498"/>
      <c r="P1003" s="498"/>
    </row>
    <row r="1004" spans="1:16" ht="13">
      <c r="A1004" s="426"/>
      <c r="B1004" s="426"/>
      <c r="C1004" s="445" t="s">
        <v>926</v>
      </c>
      <c r="D1004" s="409">
        <f>'[161]Civil-SOR'!$J$282</f>
        <v>0</v>
      </c>
      <c r="E1004" s="409">
        <f>'[161]Civil-SOR'!$J$282</f>
        <v>0</v>
      </c>
      <c r="F1004" s="409">
        <f>'[161]Civil-SOR'!$J$282</f>
        <v>0</v>
      </c>
      <c r="G1004" s="416"/>
      <c r="H1004" s="416"/>
      <c r="I1004" s="414"/>
      <c r="J1004" s="544"/>
      <c r="K1004" s="545"/>
      <c r="L1004" s="551"/>
      <c r="M1004" s="498"/>
      <c r="N1004" s="498"/>
      <c r="O1004" s="498"/>
      <c r="P1004" s="498"/>
    </row>
    <row r="1005" spans="1:16" ht="13">
      <c r="A1005" s="426"/>
      <c r="B1005" s="426"/>
      <c r="C1005" s="445" t="str">
        <f>[161]Input!$C$47</f>
        <v>Add for MA @ 40%</v>
      </c>
      <c r="D1005" s="409">
        <f>D1004*[161]Input!$D$47</f>
        <v>0</v>
      </c>
      <c r="E1005" s="409">
        <f>E1004*[161]Input!$D$47</f>
        <v>0</v>
      </c>
      <c r="F1005" s="409">
        <f>F1004*[161]Input!$D$47</f>
        <v>0</v>
      </c>
      <c r="G1005" s="416"/>
      <c r="H1005" s="416"/>
      <c r="I1005" s="414"/>
      <c r="J1005" s="544"/>
      <c r="K1005" s="545"/>
      <c r="L1005" s="551"/>
      <c r="M1005" s="498"/>
      <c r="N1005" s="498"/>
      <c r="O1005" s="498"/>
      <c r="P1005" s="498"/>
    </row>
    <row r="1006" spans="1:16" ht="13">
      <c r="A1006" s="426"/>
      <c r="B1006" s="426"/>
      <c r="C1006" s="445" t="s">
        <v>979</v>
      </c>
      <c r="D1006" s="409">
        <f>$F$659*$D$899*60%</f>
        <v>372.08520000000004</v>
      </c>
      <c r="E1006" s="409">
        <f>$F$659*$D$899*70%</f>
        <v>434.0994</v>
      </c>
      <c r="F1006" s="409">
        <f>$F$659*$D$899*80%</f>
        <v>496.11360000000008</v>
      </c>
      <c r="G1006" s="416"/>
      <c r="H1006" s="416"/>
      <c r="I1006" s="414"/>
      <c r="J1006" s="544"/>
      <c r="K1006" s="545"/>
      <c r="L1006" s="551"/>
      <c r="M1006" s="498"/>
      <c r="N1006" s="498"/>
      <c r="O1006" s="498"/>
      <c r="P1006" s="498"/>
    </row>
    <row r="1007" spans="1:16" ht="13">
      <c r="A1007" s="426"/>
      <c r="B1007" s="426"/>
      <c r="C1007" s="445" t="str">
        <f>[161]Input!$C$47</f>
        <v>Add for MA @ 40%</v>
      </c>
      <c r="D1007" s="409">
        <f>ROUND(D1006*[161]Input!$D$47,2)</f>
        <v>148.83000000000001</v>
      </c>
      <c r="E1007" s="409">
        <f>ROUND(E1006*[161]Input!$D$47,2)</f>
        <v>173.64</v>
      </c>
      <c r="F1007" s="409">
        <f>ROUND(F1006*[161]Input!$D$47,2)</f>
        <v>198.45</v>
      </c>
      <c r="G1007" s="416"/>
      <c r="H1007" s="416"/>
      <c r="I1007" s="414"/>
      <c r="J1007" s="544"/>
      <c r="K1007" s="545"/>
      <c r="L1007" s="551"/>
      <c r="M1007" s="498"/>
      <c r="N1007" s="498"/>
      <c r="O1007" s="498"/>
      <c r="P1007" s="498"/>
    </row>
    <row r="1008" spans="1:16" ht="13">
      <c r="A1008" s="426"/>
      <c r="B1008" s="426"/>
      <c r="C1008" s="451" t="s">
        <v>741</v>
      </c>
      <c r="D1008" s="409">
        <f>SUM(D1002:D1007)</f>
        <v>5261.6901410000009</v>
      </c>
      <c r="E1008" s="409">
        <f>SUM(E1002:E1007)</f>
        <v>5348.514341000001</v>
      </c>
      <c r="F1008" s="409">
        <f>SUM(F1002:F1007)</f>
        <v>5435.3385410000001</v>
      </c>
      <c r="G1008" s="416"/>
      <c r="H1008" s="416"/>
      <c r="I1008" s="414"/>
      <c r="J1008" s="544"/>
      <c r="K1008" s="545"/>
      <c r="L1008" s="551"/>
      <c r="M1008" s="498"/>
      <c r="N1008" s="498"/>
      <c r="O1008" s="498"/>
      <c r="P1008" s="498"/>
    </row>
    <row r="1009" spans="1:64" ht="25">
      <c r="A1009" s="426"/>
      <c r="B1009" s="426"/>
      <c r="C1009" s="445" t="str">
        <f>[161]Input!$C$48</f>
        <v>Overheads &amp; Contractors Profit @ 13.615%</v>
      </c>
      <c r="D1009" s="426">
        <f>ROUND(D1008*[161]Input!$D$48,2)</f>
        <v>716.38</v>
      </c>
      <c r="E1009" s="426">
        <f>ROUND(E1008*[161]Input!$D$48,2)</f>
        <v>728.2</v>
      </c>
      <c r="F1009" s="426">
        <f>ROUND(F1008*[161]Input!$D$48,2)</f>
        <v>740.02</v>
      </c>
      <c r="G1009" s="416"/>
      <c r="H1009" s="416"/>
      <c r="I1009" s="414"/>
      <c r="J1009" s="544"/>
      <c r="K1009" s="545"/>
      <c r="L1009" s="551"/>
      <c r="M1009" s="498"/>
      <c r="N1009" s="498"/>
      <c r="O1009" s="498"/>
      <c r="P1009" s="498"/>
    </row>
    <row r="1010" spans="1:64" ht="13">
      <c r="A1010" s="426"/>
      <c r="B1010" s="426"/>
      <c r="C1010" s="427" t="s">
        <v>742</v>
      </c>
      <c r="D1010" s="409">
        <f>SUM(D1008:D1009)</f>
        <v>5978.0701410000011</v>
      </c>
      <c r="E1010" s="409">
        <f>SUM(E1008:E1009)</f>
        <v>6076.7143410000008</v>
      </c>
      <c r="F1010" s="409">
        <f>SUM(F1008:F1009)</f>
        <v>6175.3585409999996</v>
      </c>
      <c r="G1010" s="416"/>
      <c r="H1010" s="416"/>
      <c r="I1010" s="414"/>
      <c r="J1010" s="544"/>
      <c r="K1010" s="545"/>
      <c r="L1010" s="551"/>
      <c r="M1010" s="498"/>
      <c r="N1010" s="498"/>
      <c r="O1010" s="498"/>
      <c r="P1010" s="498"/>
    </row>
    <row r="1011" spans="1:64" ht="13">
      <c r="A1011" s="426"/>
      <c r="B1011" s="426"/>
      <c r="C1011" s="514" t="s">
        <v>726</v>
      </c>
      <c r="D1011" s="416">
        <f>ROUND(D1010,0)</f>
        <v>5978</v>
      </c>
      <c r="E1011" s="416">
        <f>ROUND(E1010,0)</f>
        <v>6077</v>
      </c>
      <c r="F1011" s="416">
        <f>ROUND(F1010,0)</f>
        <v>6175</v>
      </c>
      <c r="G1011" s="416"/>
      <c r="H1011" s="416"/>
      <c r="I1011" s="414"/>
      <c r="J1011" s="544"/>
      <c r="K1011" s="545"/>
      <c r="L1011" s="551"/>
      <c r="M1011" s="498"/>
      <c r="N1011" s="498"/>
      <c r="O1011" s="498"/>
      <c r="P1011" s="498"/>
    </row>
    <row r="1012" spans="1:64" ht="13">
      <c r="A1012" s="426"/>
      <c r="B1012" s="426"/>
      <c r="C1012" s="550"/>
      <c r="D1012" s="416"/>
      <c r="E1012" s="416"/>
      <c r="F1012" s="416"/>
      <c r="G1012" s="416"/>
      <c r="H1012" s="416"/>
      <c r="I1012" s="414"/>
      <c r="J1012" s="544"/>
      <c r="K1012" s="545"/>
      <c r="L1012" s="551"/>
      <c r="M1012" s="498"/>
      <c r="N1012" s="498"/>
      <c r="O1012" s="498"/>
      <c r="P1012" s="498"/>
    </row>
    <row r="1013" spans="1:64" ht="13">
      <c r="A1013" s="426"/>
      <c r="B1013" s="426"/>
      <c r="C1013" s="550"/>
      <c r="D1013" s="416"/>
      <c r="E1013" s="416"/>
      <c r="F1013" s="416"/>
      <c r="G1013" s="416"/>
      <c r="H1013" s="416"/>
      <c r="I1013" s="414"/>
      <c r="J1013" s="544"/>
      <c r="K1013" s="545"/>
      <c r="L1013" s="551"/>
      <c r="M1013" s="498"/>
      <c r="N1013" s="498"/>
      <c r="O1013" s="498"/>
      <c r="P1013" s="498"/>
    </row>
    <row r="1014" spans="1:64" ht="126.25" customHeight="1">
      <c r="A1014" s="410">
        <f>1+A737</f>
        <v>16</v>
      </c>
      <c r="B1014" s="410"/>
      <c r="C1014" s="1276" t="s">
        <v>986</v>
      </c>
      <c r="D1014" s="1276"/>
      <c r="E1014" s="1276"/>
      <c r="F1014" s="1276"/>
      <c r="G1014" s="1276"/>
      <c r="H1014" s="1276"/>
      <c r="I1014" s="407"/>
      <c r="J1014" s="400"/>
      <c r="K1014" s="401"/>
      <c r="L1014" s="401"/>
      <c r="M1014" s="404"/>
      <c r="N1014" s="404"/>
      <c r="O1014" s="404"/>
      <c r="P1014" s="404"/>
      <c r="Q1014" s="404"/>
      <c r="R1014" s="404"/>
      <c r="S1014" s="404"/>
      <c r="T1014" s="404"/>
      <c r="U1014" s="404"/>
      <c r="V1014" s="404"/>
      <c r="W1014" s="404"/>
      <c r="X1014" s="404"/>
      <c r="Y1014" s="404"/>
      <c r="Z1014" s="404"/>
      <c r="AA1014" s="404"/>
      <c r="AB1014" s="404"/>
      <c r="AC1014" s="404"/>
      <c r="AD1014" s="404"/>
      <c r="AE1014" s="404"/>
      <c r="AF1014" s="404"/>
      <c r="AG1014" s="404"/>
      <c r="AH1014" s="404"/>
      <c r="AI1014" s="404"/>
      <c r="AJ1014" s="404"/>
      <c r="AK1014" s="404"/>
      <c r="AL1014" s="404"/>
      <c r="AM1014" s="404"/>
      <c r="AN1014" s="404"/>
      <c r="AO1014" s="404"/>
      <c r="AP1014" s="404"/>
      <c r="AQ1014" s="404"/>
      <c r="AR1014" s="404"/>
      <c r="AS1014" s="404"/>
      <c r="AT1014" s="404"/>
      <c r="AU1014" s="404"/>
      <c r="AV1014" s="404"/>
      <c r="AW1014" s="404"/>
      <c r="AX1014" s="404"/>
      <c r="AY1014" s="404"/>
      <c r="AZ1014" s="404"/>
      <c r="BA1014" s="404"/>
      <c r="BB1014" s="404"/>
      <c r="BC1014" s="404"/>
      <c r="BD1014" s="404"/>
      <c r="BE1014" s="404"/>
      <c r="BF1014" s="404"/>
      <c r="BG1014" s="404"/>
      <c r="BH1014" s="404"/>
      <c r="BI1014" s="404"/>
      <c r="BJ1014" s="404"/>
      <c r="BK1014" s="404"/>
      <c r="BL1014" s="404"/>
    </row>
    <row r="1015" spans="1:64" ht="13">
      <c r="A1015" s="426"/>
      <c r="B1015" s="426"/>
      <c r="C1015" s="455" t="s">
        <v>987</v>
      </c>
      <c r="D1015" s="426"/>
      <c r="E1015" s="426"/>
      <c r="F1015" s="426"/>
      <c r="G1015" s="410"/>
      <c r="H1015" s="474"/>
      <c r="I1015" s="434"/>
      <c r="J1015" s="400"/>
      <c r="K1015" s="401"/>
      <c r="L1015" s="401"/>
      <c r="M1015" s="404"/>
      <c r="N1015" s="404"/>
      <c r="O1015" s="404"/>
      <c r="P1015" s="404"/>
      <c r="Q1015" s="404"/>
      <c r="R1015" s="404"/>
      <c r="S1015" s="404"/>
      <c r="T1015" s="404"/>
      <c r="U1015" s="404"/>
      <c r="V1015" s="404"/>
      <c r="W1015" s="404"/>
      <c r="X1015" s="404"/>
      <c r="Y1015" s="404"/>
      <c r="Z1015" s="404"/>
      <c r="AA1015" s="404"/>
      <c r="AB1015" s="404"/>
      <c r="AC1015" s="404"/>
      <c r="AD1015" s="404"/>
      <c r="AE1015" s="404"/>
      <c r="AF1015" s="404"/>
      <c r="AG1015" s="404"/>
      <c r="AH1015" s="404"/>
      <c r="AI1015" s="404"/>
      <c r="AJ1015" s="404"/>
      <c r="AK1015" s="404"/>
      <c r="AL1015" s="404"/>
      <c r="AM1015" s="404"/>
      <c r="AN1015" s="404"/>
      <c r="AO1015" s="404"/>
      <c r="AP1015" s="404"/>
      <c r="AQ1015" s="404"/>
      <c r="AR1015" s="404"/>
      <c r="AS1015" s="404"/>
      <c r="AT1015" s="404"/>
      <c r="AU1015" s="404"/>
      <c r="AV1015" s="404"/>
      <c r="AW1015" s="404"/>
      <c r="AX1015" s="404"/>
      <c r="AY1015" s="404"/>
      <c r="AZ1015" s="404"/>
      <c r="BA1015" s="404"/>
      <c r="BB1015" s="404"/>
      <c r="BC1015" s="404"/>
      <c r="BD1015" s="404"/>
      <c r="BE1015" s="404"/>
      <c r="BF1015" s="404"/>
      <c r="BG1015" s="404"/>
      <c r="BH1015" s="404"/>
      <c r="BI1015" s="404"/>
      <c r="BJ1015" s="404"/>
      <c r="BK1015" s="404"/>
      <c r="BL1015" s="404"/>
    </row>
    <row r="1016" spans="1:64" ht="13">
      <c r="A1016" s="426"/>
      <c r="B1016" s="426"/>
      <c r="C1016" s="552" t="s">
        <v>988</v>
      </c>
      <c r="D1016" s="426"/>
      <c r="E1016" s="426"/>
      <c r="F1016" s="426"/>
      <c r="G1016" s="410"/>
      <c r="H1016" s="474"/>
      <c r="I1016" s="434"/>
      <c r="J1016" s="400"/>
      <c r="K1016" s="401"/>
      <c r="L1016" s="401"/>
      <c r="M1016" s="404"/>
      <c r="N1016" s="404"/>
      <c r="O1016" s="404"/>
      <c r="P1016" s="404"/>
      <c r="Q1016" s="404"/>
      <c r="R1016" s="404"/>
      <c r="S1016" s="404"/>
      <c r="T1016" s="404"/>
      <c r="U1016" s="404"/>
      <c r="V1016" s="404"/>
      <c r="W1016" s="404"/>
      <c r="X1016" s="404"/>
      <c r="Y1016" s="404"/>
      <c r="Z1016" s="404"/>
      <c r="AA1016" s="404"/>
      <c r="AB1016" s="404"/>
      <c r="AC1016" s="404"/>
      <c r="AD1016" s="404"/>
      <c r="AE1016" s="404"/>
      <c r="AF1016" s="404"/>
      <c r="AG1016" s="404"/>
      <c r="AH1016" s="404"/>
      <c r="AI1016" s="404"/>
      <c r="AJ1016" s="404"/>
      <c r="AK1016" s="404"/>
      <c r="AL1016" s="404"/>
      <c r="AM1016" s="404"/>
      <c r="AN1016" s="404"/>
      <c r="AO1016" s="404"/>
      <c r="AP1016" s="404"/>
      <c r="AQ1016" s="404"/>
      <c r="AR1016" s="404"/>
      <c r="AS1016" s="404"/>
      <c r="AT1016" s="404"/>
      <c r="AU1016" s="404"/>
      <c r="AV1016" s="404"/>
      <c r="AW1016" s="404"/>
      <c r="AX1016" s="404"/>
      <c r="AY1016" s="404"/>
      <c r="AZ1016" s="404"/>
      <c r="BA1016" s="404"/>
      <c r="BB1016" s="404"/>
      <c r="BC1016" s="404"/>
      <c r="BD1016" s="404"/>
      <c r="BE1016" s="404"/>
      <c r="BF1016" s="404"/>
      <c r="BG1016" s="404"/>
      <c r="BH1016" s="404"/>
      <c r="BI1016" s="404"/>
      <c r="BJ1016" s="404"/>
      <c r="BK1016" s="404"/>
      <c r="BL1016" s="404"/>
    </row>
    <row r="1017" spans="1:64" ht="13">
      <c r="A1017" s="426"/>
      <c r="B1017" s="426"/>
      <c r="C1017" s="451" t="s">
        <v>873</v>
      </c>
      <c r="D1017" s="406"/>
      <c r="E1017" s="406"/>
      <c r="F1017" s="406"/>
      <c r="G1017" s="406"/>
      <c r="H1017" s="406"/>
      <c r="I1017" s="432"/>
      <c r="J1017" s="400"/>
      <c r="K1017" s="401"/>
      <c r="L1017" s="401"/>
      <c r="M1017" s="404"/>
      <c r="N1017" s="404"/>
      <c r="O1017" s="404"/>
      <c r="P1017" s="404"/>
      <c r="Q1017" s="404"/>
      <c r="R1017" s="404"/>
      <c r="S1017" s="404"/>
      <c r="T1017" s="404"/>
      <c r="U1017" s="404"/>
      <c r="V1017" s="404"/>
      <c r="W1017" s="404"/>
      <c r="X1017" s="404"/>
      <c r="Y1017" s="404"/>
      <c r="Z1017" s="404"/>
      <c r="AA1017" s="404"/>
      <c r="AB1017" s="404"/>
      <c r="AC1017" s="404"/>
      <c r="AD1017" s="404"/>
      <c r="AE1017" s="404"/>
      <c r="AF1017" s="404"/>
      <c r="AG1017" s="404"/>
      <c r="AH1017" s="404"/>
      <c r="AI1017" s="404"/>
      <c r="AJ1017" s="404"/>
      <c r="AK1017" s="404"/>
      <c r="AL1017" s="404"/>
      <c r="AM1017" s="404"/>
      <c r="AN1017" s="404"/>
      <c r="AO1017" s="404"/>
      <c r="AP1017" s="404"/>
      <c r="AQ1017" s="404"/>
      <c r="AR1017" s="404"/>
      <c r="AS1017" s="404"/>
      <c r="AT1017" s="404"/>
      <c r="AU1017" s="404"/>
      <c r="AV1017" s="404"/>
      <c r="AW1017" s="404"/>
      <c r="AX1017" s="404"/>
      <c r="AY1017" s="404"/>
      <c r="AZ1017" s="404"/>
      <c r="BA1017" s="404"/>
      <c r="BB1017" s="404"/>
      <c r="BC1017" s="404"/>
      <c r="BD1017" s="404"/>
      <c r="BE1017" s="404"/>
      <c r="BF1017" s="404"/>
      <c r="BG1017" s="404"/>
      <c r="BH1017" s="404"/>
      <c r="BI1017" s="404"/>
      <c r="BJ1017" s="404"/>
      <c r="BK1017" s="404"/>
      <c r="BL1017" s="404"/>
    </row>
    <row r="1018" spans="1:64">
      <c r="A1018" s="426"/>
      <c r="B1018" s="426"/>
      <c r="C1018" s="417" t="s">
        <v>504</v>
      </c>
      <c r="D1018" s="409">
        <v>380</v>
      </c>
      <c r="E1018" s="426" t="s">
        <v>833</v>
      </c>
      <c r="F1018" s="409">
        <f>[161]LEAD!$N$6</f>
        <v>5200</v>
      </c>
      <c r="G1018" s="410">
        <v>1000</v>
      </c>
      <c r="H1018" s="426" t="s">
        <v>833</v>
      </c>
      <c r="I1018" s="408">
        <f t="shared" ref="I1018:I1020" si="179">IF(G1018="",D1018*F1018,(D1018*F1018/G1018))</f>
        <v>1976</v>
      </c>
      <c r="J1018" s="418"/>
      <c r="K1018" s="419"/>
      <c r="L1018" s="419"/>
      <c r="M1018" s="420"/>
      <c r="N1018" s="420"/>
      <c r="O1018" s="420"/>
      <c r="P1018" s="420"/>
      <c r="Q1018" s="420"/>
      <c r="R1018" s="420"/>
      <c r="S1018" s="420"/>
      <c r="T1018" s="420"/>
      <c r="U1018" s="420"/>
      <c r="V1018" s="420"/>
      <c r="W1018" s="420"/>
      <c r="X1018" s="420"/>
      <c r="Y1018" s="420"/>
      <c r="Z1018" s="420"/>
      <c r="AA1018" s="420"/>
      <c r="AB1018" s="420"/>
      <c r="AC1018" s="420"/>
      <c r="AD1018" s="420"/>
      <c r="AE1018" s="420"/>
      <c r="AF1018" s="420"/>
      <c r="AG1018" s="420"/>
      <c r="AH1018" s="420"/>
      <c r="AI1018" s="420"/>
      <c r="AJ1018" s="420"/>
      <c r="AK1018" s="420"/>
      <c r="AL1018" s="420"/>
      <c r="AM1018" s="420"/>
      <c r="AN1018" s="420"/>
      <c r="AO1018" s="420"/>
      <c r="AP1018" s="420"/>
      <c r="AQ1018" s="420"/>
      <c r="AR1018" s="420"/>
      <c r="AS1018" s="420"/>
      <c r="AT1018" s="420"/>
      <c r="AU1018" s="420"/>
      <c r="AV1018" s="420"/>
      <c r="AW1018" s="420"/>
      <c r="AX1018" s="420"/>
      <c r="AY1018" s="420"/>
      <c r="AZ1018" s="420"/>
      <c r="BA1018" s="420"/>
      <c r="BB1018" s="420"/>
      <c r="BC1018" s="420"/>
      <c r="BD1018" s="420"/>
      <c r="BE1018" s="420"/>
      <c r="BF1018" s="420"/>
      <c r="BG1018" s="420"/>
      <c r="BH1018" s="420"/>
      <c r="BI1018" s="420"/>
      <c r="BJ1018" s="420"/>
      <c r="BK1018" s="420"/>
      <c r="BL1018" s="420"/>
    </row>
    <row r="1019" spans="1:64">
      <c r="A1019" s="426"/>
      <c r="B1019" s="426"/>
      <c r="C1019" s="417" t="s">
        <v>910</v>
      </c>
      <c r="D1019" s="409">
        <v>0.8</v>
      </c>
      <c r="E1019" s="426" t="s">
        <v>57</v>
      </c>
      <c r="F1019" s="408">
        <f>$F$16</f>
        <v>1447.96</v>
      </c>
      <c r="G1019" s="410">
        <v>1</v>
      </c>
      <c r="H1019" s="426" t="s">
        <v>57</v>
      </c>
      <c r="I1019" s="408">
        <f t="shared" si="179"/>
        <v>1158.3680000000002</v>
      </c>
      <c r="J1019" s="418"/>
      <c r="K1019" s="419"/>
      <c r="L1019" s="419"/>
      <c r="M1019" s="420"/>
      <c r="N1019" s="420"/>
      <c r="O1019" s="420"/>
      <c r="P1019" s="420"/>
      <c r="Q1019" s="420"/>
      <c r="R1019" s="420"/>
      <c r="S1019" s="420"/>
      <c r="T1019" s="420"/>
      <c r="U1019" s="420"/>
      <c r="V1019" s="420"/>
      <c r="W1019" s="420"/>
      <c r="X1019" s="420"/>
      <c r="Y1019" s="420"/>
      <c r="Z1019" s="420"/>
      <c r="AA1019" s="420"/>
      <c r="AB1019" s="420"/>
      <c r="AC1019" s="420"/>
      <c r="AD1019" s="420"/>
      <c r="AE1019" s="420"/>
      <c r="AF1019" s="420"/>
      <c r="AG1019" s="420"/>
      <c r="AH1019" s="420"/>
      <c r="AI1019" s="420"/>
      <c r="AJ1019" s="420"/>
      <c r="AK1019" s="420"/>
      <c r="AL1019" s="420"/>
      <c r="AM1019" s="420"/>
      <c r="AN1019" s="420"/>
      <c r="AO1019" s="420"/>
      <c r="AP1019" s="420"/>
      <c r="AQ1019" s="420"/>
      <c r="AR1019" s="420"/>
      <c r="AS1019" s="420"/>
      <c r="AT1019" s="420"/>
      <c r="AU1019" s="420"/>
      <c r="AV1019" s="420"/>
      <c r="AW1019" s="420"/>
      <c r="AX1019" s="420"/>
      <c r="AY1019" s="420"/>
      <c r="AZ1019" s="420"/>
      <c r="BA1019" s="420"/>
      <c r="BB1019" s="420"/>
      <c r="BC1019" s="420"/>
      <c r="BD1019" s="420"/>
      <c r="BE1019" s="420"/>
      <c r="BF1019" s="420"/>
      <c r="BG1019" s="420"/>
      <c r="BH1019" s="420"/>
      <c r="BI1019" s="420"/>
      <c r="BJ1019" s="420"/>
      <c r="BK1019" s="420"/>
      <c r="BL1019" s="420"/>
    </row>
    <row r="1020" spans="1:64">
      <c r="A1020" s="426"/>
      <c r="B1020" s="426"/>
      <c r="C1020" s="417" t="s">
        <v>481</v>
      </c>
      <c r="D1020" s="409">
        <v>0.4</v>
      </c>
      <c r="E1020" s="426" t="s">
        <v>57</v>
      </c>
      <c r="F1020" s="409">
        <f>[161]LEAD!$N$12</f>
        <v>2253.91</v>
      </c>
      <c r="G1020" s="410">
        <v>1</v>
      </c>
      <c r="H1020" s="426" t="s">
        <v>57</v>
      </c>
      <c r="I1020" s="408">
        <f t="shared" si="179"/>
        <v>901.56399999999996</v>
      </c>
      <c r="J1020" s="418"/>
      <c r="K1020" s="419"/>
      <c r="L1020" s="419"/>
      <c r="M1020" s="420"/>
      <c r="N1020" s="420"/>
      <c r="O1020" s="420"/>
      <c r="P1020" s="420"/>
      <c r="Q1020" s="420"/>
      <c r="R1020" s="420"/>
      <c r="S1020" s="420"/>
      <c r="T1020" s="420"/>
      <c r="U1020" s="420"/>
      <c r="V1020" s="420"/>
      <c r="W1020" s="420"/>
      <c r="X1020" s="420"/>
      <c r="Y1020" s="420"/>
      <c r="Z1020" s="420"/>
      <c r="AA1020" s="420"/>
      <c r="AB1020" s="420"/>
      <c r="AC1020" s="420"/>
      <c r="AD1020" s="420"/>
      <c r="AE1020" s="420"/>
      <c r="AF1020" s="420"/>
      <c r="AG1020" s="420"/>
      <c r="AH1020" s="420"/>
      <c r="AI1020" s="420"/>
      <c r="AJ1020" s="420"/>
      <c r="AK1020" s="420"/>
      <c r="AL1020" s="420"/>
      <c r="AM1020" s="420"/>
      <c r="AN1020" s="420"/>
      <c r="AO1020" s="420"/>
      <c r="AP1020" s="420"/>
      <c r="AQ1020" s="420"/>
      <c r="AR1020" s="420"/>
      <c r="AS1020" s="420"/>
      <c r="AT1020" s="420"/>
      <c r="AU1020" s="420"/>
      <c r="AV1020" s="420"/>
      <c r="AW1020" s="420"/>
      <c r="AX1020" s="420"/>
      <c r="AY1020" s="420"/>
      <c r="AZ1020" s="420"/>
      <c r="BA1020" s="420"/>
      <c r="BB1020" s="420"/>
      <c r="BC1020" s="420"/>
      <c r="BD1020" s="420"/>
      <c r="BE1020" s="420"/>
      <c r="BF1020" s="420"/>
      <c r="BG1020" s="420"/>
      <c r="BH1020" s="420"/>
      <c r="BI1020" s="420"/>
      <c r="BJ1020" s="420"/>
      <c r="BK1020" s="420"/>
      <c r="BL1020" s="420"/>
    </row>
    <row r="1021" spans="1:64" ht="13">
      <c r="A1021" s="426"/>
      <c r="B1021" s="426"/>
      <c r="C1021" s="427" t="s">
        <v>911</v>
      </c>
      <c r="D1021" s="426"/>
      <c r="E1021" s="426"/>
      <c r="F1021" s="426"/>
      <c r="G1021" s="426"/>
      <c r="H1021" s="426"/>
      <c r="I1021" s="409"/>
      <c r="J1021" s="418"/>
      <c r="K1021" s="419"/>
      <c r="L1021" s="419"/>
      <c r="M1021" s="420"/>
      <c r="N1021" s="420"/>
      <c r="O1021" s="420"/>
      <c r="P1021" s="420"/>
      <c r="Q1021" s="420"/>
      <c r="R1021" s="420"/>
      <c r="S1021" s="420"/>
      <c r="T1021" s="420"/>
      <c r="U1021" s="420"/>
      <c r="V1021" s="420"/>
      <c r="W1021" s="420"/>
      <c r="X1021" s="420"/>
      <c r="Y1021" s="420"/>
      <c r="Z1021" s="420"/>
      <c r="AA1021" s="420"/>
      <c r="AB1021" s="420"/>
      <c r="AC1021" s="420"/>
      <c r="AD1021" s="420"/>
      <c r="AE1021" s="420"/>
      <c r="AF1021" s="420"/>
      <c r="AG1021" s="420"/>
      <c r="AH1021" s="420"/>
      <c r="AI1021" s="420"/>
      <c r="AJ1021" s="420"/>
      <c r="AK1021" s="420"/>
      <c r="AL1021" s="420"/>
      <c r="AM1021" s="420"/>
      <c r="AN1021" s="420"/>
      <c r="AO1021" s="420"/>
      <c r="AP1021" s="420"/>
      <c r="AQ1021" s="420"/>
      <c r="AR1021" s="420"/>
      <c r="AS1021" s="420"/>
      <c r="AT1021" s="420"/>
      <c r="AU1021" s="420"/>
      <c r="AV1021" s="420"/>
      <c r="AW1021" s="420"/>
      <c r="AX1021" s="420"/>
      <c r="AY1021" s="420"/>
      <c r="AZ1021" s="420"/>
      <c r="BA1021" s="420"/>
      <c r="BB1021" s="420"/>
      <c r="BC1021" s="420"/>
      <c r="BD1021" s="420"/>
      <c r="BE1021" s="420"/>
      <c r="BF1021" s="420"/>
      <c r="BG1021" s="420"/>
      <c r="BH1021" s="420"/>
      <c r="BI1021" s="420"/>
      <c r="BJ1021" s="420"/>
      <c r="BK1021" s="420"/>
      <c r="BL1021" s="420"/>
    </row>
    <row r="1022" spans="1:64">
      <c r="A1022" s="426"/>
      <c r="B1022" s="426"/>
      <c r="C1022" s="417" t="s">
        <v>912</v>
      </c>
      <c r="D1022" s="491">
        <v>6.7000000000000004E-2</v>
      </c>
      <c r="E1022" s="426" t="s">
        <v>14</v>
      </c>
      <c r="F1022" s="409">
        <f>'[161]Civil-SOR'!$G$293</f>
        <v>580</v>
      </c>
      <c r="G1022" s="410">
        <v>1</v>
      </c>
      <c r="H1022" s="426" t="s">
        <v>572</v>
      </c>
      <c r="I1022" s="408">
        <f t="shared" ref="I1022:I1025" si="180">IF(G1022="",D1022*F1022,(D1022*F1022/G1022))</f>
        <v>38.86</v>
      </c>
      <c r="J1022" s="418"/>
      <c r="K1022" s="419"/>
      <c r="L1022" s="419"/>
      <c r="M1022" s="420"/>
      <c r="N1022" s="420"/>
      <c r="O1022" s="420"/>
      <c r="P1022" s="420"/>
      <c r="Q1022" s="420"/>
      <c r="R1022" s="420"/>
      <c r="S1022" s="420"/>
      <c r="T1022" s="420"/>
      <c r="U1022" s="420"/>
      <c r="V1022" s="420"/>
      <c r="W1022" s="420"/>
      <c r="X1022" s="420"/>
      <c r="Y1022" s="420"/>
      <c r="Z1022" s="420"/>
      <c r="AA1022" s="420"/>
      <c r="AB1022" s="420"/>
      <c r="AC1022" s="420"/>
      <c r="AD1022" s="420"/>
      <c r="AE1022" s="420"/>
      <c r="AF1022" s="420"/>
      <c r="AG1022" s="420"/>
      <c r="AH1022" s="420"/>
      <c r="AI1022" s="420"/>
      <c r="AJ1022" s="420"/>
      <c r="AK1022" s="420"/>
      <c r="AL1022" s="420"/>
      <c r="AM1022" s="420"/>
      <c r="AN1022" s="420"/>
      <c r="AO1022" s="420"/>
      <c r="AP1022" s="420"/>
      <c r="AQ1022" s="420"/>
      <c r="AR1022" s="420"/>
      <c r="AS1022" s="420"/>
      <c r="AT1022" s="420"/>
      <c r="AU1022" s="420"/>
      <c r="AV1022" s="420"/>
      <c r="AW1022" s="420"/>
      <c r="AX1022" s="420"/>
      <c r="AY1022" s="420"/>
      <c r="AZ1022" s="420"/>
      <c r="BA1022" s="420"/>
      <c r="BB1022" s="420"/>
      <c r="BC1022" s="420"/>
      <c r="BD1022" s="420"/>
      <c r="BE1022" s="420"/>
      <c r="BF1022" s="420"/>
      <c r="BG1022" s="420"/>
      <c r="BH1022" s="420"/>
      <c r="BI1022" s="420"/>
      <c r="BJ1022" s="420"/>
      <c r="BK1022" s="420"/>
      <c r="BL1022" s="420"/>
    </row>
    <row r="1023" spans="1:64">
      <c r="A1023" s="426"/>
      <c r="B1023" s="426"/>
      <c r="C1023" s="417" t="s">
        <v>913</v>
      </c>
      <c r="D1023" s="491">
        <v>0.13300000000000001</v>
      </c>
      <c r="E1023" s="426" t="s">
        <v>14</v>
      </c>
      <c r="F1023" s="409">
        <f>'[161]Civil-SOR'!$G$302</f>
        <v>550</v>
      </c>
      <c r="G1023" s="410">
        <v>1</v>
      </c>
      <c r="H1023" s="426" t="str">
        <f>H1022</f>
        <v>Each</v>
      </c>
      <c r="I1023" s="408">
        <f t="shared" si="180"/>
        <v>73.150000000000006</v>
      </c>
      <c r="J1023" s="418"/>
      <c r="K1023" s="419"/>
      <c r="L1023" s="419"/>
      <c r="M1023" s="420"/>
      <c r="N1023" s="420"/>
      <c r="O1023" s="420"/>
      <c r="P1023" s="420"/>
      <c r="Q1023" s="420"/>
      <c r="R1023" s="420"/>
      <c r="S1023" s="420"/>
      <c r="T1023" s="420"/>
      <c r="U1023" s="420"/>
      <c r="V1023" s="420"/>
      <c r="W1023" s="420"/>
      <c r="X1023" s="420"/>
      <c r="Y1023" s="420"/>
      <c r="Z1023" s="420"/>
      <c r="AA1023" s="420"/>
      <c r="AB1023" s="420"/>
      <c r="AC1023" s="420"/>
      <c r="AD1023" s="420"/>
      <c r="AE1023" s="420"/>
      <c r="AF1023" s="420"/>
      <c r="AG1023" s="420"/>
      <c r="AH1023" s="420"/>
      <c r="AI1023" s="420"/>
      <c r="AJ1023" s="420"/>
      <c r="AK1023" s="420"/>
      <c r="AL1023" s="420"/>
      <c r="AM1023" s="420"/>
      <c r="AN1023" s="420"/>
      <c r="AO1023" s="420"/>
      <c r="AP1023" s="420"/>
      <c r="AQ1023" s="420"/>
      <c r="AR1023" s="420"/>
      <c r="AS1023" s="420"/>
      <c r="AT1023" s="420"/>
      <c r="AU1023" s="420"/>
      <c r="AV1023" s="420"/>
      <c r="AW1023" s="420"/>
      <c r="AX1023" s="420"/>
      <c r="AY1023" s="420"/>
      <c r="AZ1023" s="420"/>
      <c r="BA1023" s="420"/>
      <c r="BB1023" s="420"/>
      <c r="BC1023" s="420"/>
      <c r="BD1023" s="420"/>
      <c r="BE1023" s="420"/>
      <c r="BF1023" s="420"/>
      <c r="BG1023" s="420"/>
      <c r="BH1023" s="420"/>
      <c r="BI1023" s="420"/>
      <c r="BJ1023" s="420"/>
      <c r="BK1023" s="420"/>
      <c r="BL1023" s="420"/>
    </row>
    <row r="1024" spans="1:64">
      <c r="A1024" s="426"/>
      <c r="B1024" s="426"/>
      <c r="C1024" s="417" t="s">
        <v>989</v>
      </c>
      <c r="D1024" s="491">
        <v>3.077</v>
      </c>
      <c r="E1024" s="426" t="s">
        <v>14</v>
      </c>
      <c r="F1024" s="409">
        <f>'[161]Civil-SOR'!$G$307</f>
        <v>520</v>
      </c>
      <c r="G1024" s="410">
        <v>1</v>
      </c>
      <c r="H1024" s="426" t="str">
        <f>H1022</f>
        <v>Each</v>
      </c>
      <c r="I1024" s="408">
        <f t="shared" si="180"/>
        <v>1600.04</v>
      </c>
      <c r="J1024" s="418"/>
      <c r="K1024" s="419"/>
      <c r="L1024" s="419"/>
      <c r="M1024" s="420"/>
      <c r="N1024" s="420"/>
      <c r="O1024" s="420"/>
      <c r="P1024" s="420"/>
      <c r="Q1024" s="420"/>
      <c r="R1024" s="420"/>
      <c r="S1024" s="420"/>
      <c r="T1024" s="420"/>
      <c r="U1024" s="420"/>
      <c r="V1024" s="420"/>
      <c r="W1024" s="420"/>
      <c r="X1024" s="420"/>
      <c r="Y1024" s="420"/>
      <c r="Z1024" s="420"/>
      <c r="AA1024" s="420"/>
      <c r="AB1024" s="420"/>
      <c r="AC1024" s="420"/>
      <c r="AD1024" s="420"/>
      <c r="AE1024" s="420"/>
      <c r="AF1024" s="420"/>
      <c r="AG1024" s="420"/>
      <c r="AH1024" s="420"/>
      <c r="AI1024" s="420"/>
      <c r="AJ1024" s="420"/>
      <c r="AK1024" s="420"/>
      <c r="AL1024" s="420"/>
      <c r="AM1024" s="420"/>
      <c r="AN1024" s="420"/>
      <c r="AO1024" s="420"/>
      <c r="AP1024" s="420"/>
      <c r="AQ1024" s="420"/>
      <c r="AR1024" s="420"/>
      <c r="AS1024" s="420"/>
      <c r="AT1024" s="420"/>
      <c r="AU1024" s="420"/>
      <c r="AV1024" s="420"/>
      <c r="AW1024" s="420"/>
      <c r="AX1024" s="420"/>
      <c r="AY1024" s="420"/>
      <c r="AZ1024" s="420"/>
      <c r="BA1024" s="420"/>
      <c r="BB1024" s="420"/>
      <c r="BC1024" s="420"/>
      <c r="BD1024" s="420"/>
      <c r="BE1024" s="420"/>
      <c r="BF1024" s="420"/>
      <c r="BG1024" s="420"/>
      <c r="BH1024" s="420"/>
      <c r="BI1024" s="420"/>
      <c r="BJ1024" s="420"/>
      <c r="BK1024" s="420"/>
      <c r="BL1024" s="420"/>
    </row>
    <row r="1025" spans="1:64">
      <c r="A1025" s="426"/>
      <c r="B1025" s="426"/>
      <c r="C1025" s="417" t="str">
        <f>[161]Input!$C$47</f>
        <v>Add for MA @ 40%</v>
      </c>
      <c r="D1025" s="409">
        <f>[161]Input!$D$47</f>
        <v>0.4</v>
      </c>
      <c r="E1025" s="426"/>
      <c r="F1025" s="409">
        <f>SUM(I1022:I1024)</f>
        <v>1712.05</v>
      </c>
      <c r="G1025" s="410"/>
      <c r="H1025" s="426"/>
      <c r="I1025" s="408">
        <f t="shared" si="180"/>
        <v>684.82</v>
      </c>
      <c r="J1025" s="418"/>
      <c r="K1025" s="419"/>
      <c r="L1025" s="419"/>
      <c r="M1025" s="420"/>
      <c r="N1025" s="420"/>
      <c r="O1025" s="420"/>
      <c r="P1025" s="420"/>
      <c r="Q1025" s="420"/>
      <c r="R1025" s="420"/>
      <c r="S1025" s="420"/>
      <c r="T1025" s="420"/>
      <c r="U1025" s="420"/>
      <c r="V1025" s="420"/>
      <c r="W1025" s="420"/>
      <c r="X1025" s="420"/>
      <c r="Y1025" s="420"/>
      <c r="Z1025" s="420"/>
      <c r="AA1025" s="420"/>
      <c r="AB1025" s="420"/>
      <c r="AC1025" s="420"/>
      <c r="AD1025" s="420"/>
      <c r="AE1025" s="420"/>
      <c r="AF1025" s="420"/>
      <c r="AG1025" s="420"/>
      <c r="AH1025" s="420"/>
      <c r="AI1025" s="420"/>
      <c r="AJ1025" s="420"/>
      <c r="AK1025" s="420"/>
      <c r="AL1025" s="420"/>
      <c r="AM1025" s="420"/>
      <c r="AN1025" s="420"/>
      <c r="AO1025" s="420"/>
      <c r="AP1025" s="420"/>
      <c r="AQ1025" s="420"/>
      <c r="AR1025" s="420"/>
      <c r="AS1025" s="420"/>
      <c r="AT1025" s="420"/>
      <c r="AU1025" s="420"/>
      <c r="AV1025" s="420"/>
      <c r="AW1025" s="420"/>
      <c r="AX1025" s="420"/>
      <c r="AY1025" s="420"/>
      <c r="AZ1025" s="420"/>
      <c r="BA1025" s="420"/>
      <c r="BB1025" s="420"/>
      <c r="BC1025" s="420"/>
      <c r="BD1025" s="420"/>
      <c r="BE1025" s="420"/>
      <c r="BF1025" s="420"/>
      <c r="BG1025" s="420"/>
      <c r="BH1025" s="420"/>
      <c r="BI1025" s="420"/>
      <c r="BJ1025" s="420"/>
      <c r="BK1025" s="420"/>
      <c r="BL1025" s="420"/>
    </row>
    <row r="1026" spans="1:64" ht="13">
      <c r="A1026" s="426"/>
      <c r="B1026" s="426"/>
      <c r="C1026" s="427" t="s">
        <v>915</v>
      </c>
      <c r="D1026" s="409"/>
      <c r="E1026" s="426"/>
      <c r="F1026" s="409"/>
      <c r="G1026" s="410"/>
      <c r="H1026" s="426"/>
      <c r="I1026" s="408"/>
      <c r="J1026" s="418"/>
      <c r="K1026" s="419"/>
      <c r="L1026" s="419"/>
      <c r="M1026" s="420"/>
      <c r="N1026" s="420"/>
      <c r="O1026" s="420"/>
      <c r="P1026" s="420"/>
      <c r="Q1026" s="420"/>
      <c r="R1026" s="420"/>
      <c r="S1026" s="420"/>
      <c r="T1026" s="420"/>
      <c r="U1026" s="420"/>
      <c r="V1026" s="420"/>
      <c r="W1026" s="420"/>
      <c r="X1026" s="420"/>
      <c r="Y1026" s="420"/>
      <c r="Z1026" s="420"/>
      <c r="AA1026" s="420"/>
      <c r="AB1026" s="420"/>
      <c r="AC1026" s="420"/>
      <c r="AD1026" s="420"/>
      <c r="AE1026" s="420"/>
      <c r="AF1026" s="420"/>
      <c r="AG1026" s="420"/>
      <c r="AH1026" s="420"/>
      <c r="AI1026" s="420"/>
      <c r="AJ1026" s="420"/>
      <c r="AK1026" s="420"/>
      <c r="AL1026" s="420"/>
      <c r="AM1026" s="420"/>
      <c r="AN1026" s="420"/>
      <c r="AO1026" s="420"/>
      <c r="AP1026" s="420"/>
      <c r="AQ1026" s="420"/>
      <c r="AR1026" s="420"/>
      <c r="AS1026" s="420"/>
      <c r="AT1026" s="420"/>
      <c r="AU1026" s="420"/>
      <c r="AV1026" s="420"/>
      <c r="AW1026" s="420"/>
      <c r="AX1026" s="420"/>
      <c r="AY1026" s="420"/>
      <c r="AZ1026" s="420"/>
      <c r="BA1026" s="420"/>
      <c r="BB1026" s="420"/>
      <c r="BC1026" s="420"/>
      <c r="BD1026" s="420"/>
      <c r="BE1026" s="420"/>
      <c r="BF1026" s="420"/>
      <c r="BG1026" s="420"/>
      <c r="BH1026" s="420"/>
      <c r="BI1026" s="420"/>
      <c r="BJ1026" s="420"/>
      <c r="BK1026" s="420"/>
      <c r="BL1026" s="420"/>
    </row>
    <row r="1027" spans="1:64">
      <c r="A1027" s="426"/>
      <c r="B1027" s="426"/>
      <c r="C1027" s="417" t="s">
        <v>916</v>
      </c>
      <c r="D1027" s="491">
        <v>0.308</v>
      </c>
      <c r="E1027" s="426" t="s">
        <v>796</v>
      </c>
      <c r="F1027" s="409">
        <f>'[161]Civil-SOR'!$G$329</f>
        <v>265.79999999999995</v>
      </c>
      <c r="G1027" s="410">
        <v>1</v>
      </c>
      <c r="H1027" s="426" t="s">
        <v>826</v>
      </c>
      <c r="I1027" s="408">
        <f t="shared" ref="I1027:I1032" si="181">IF(G1027="",D1027*F1027,(D1027*F1027/G1027))</f>
        <v>81.866399999999985</v>
      </c>
      <c r="J1027" s="418"/>
      <c r="K1027" s="419"/>
      <c r="L1027" s="419"/>
      <c r="M1027" s="420"/>
      <c r="N1027" s="420"/>
      <c r="O1027" s="420"/>
      <c r="P1027" s="420"/>
      <c r="Q1027" s="420"/>
      <c r="R1027" s="420"/>
      <c r="S1027" s="420"/>
      <c r="T1027" s="420"/>
      <c r="U1027" s="420"/>
      <c r="V1027" s="420"/>
      <c r="W1027" s="420"/>
      <c r="X1027" s="420"/>
      <c r="Y1027" s="420"/>
      <c r="Z1027" s="420"/>
      <c r="AA1027" s="420"/>
      <c r="AB1027" s="420"/>
      <c r="AC1027" s="420"/>
      <c r="AD1027" s="420"/>
      <c r="AE1027" s="420"/>
      <c r="AF1027" s="420"/>
      <c r="AG1027" s="420"/>
      <c r="AH1027" s="420"/>
      <c r="AI1027" s="420"/>
      <c r="AJ1027" s="420"/>
      <c r="AK1027" s="420"/>
      <c r="AL1027" s="420"/>
      <c r="AM1027" s="420"/>
      <c r="AN1027" s="420"/>
      <c r="AO1027" s="420"/>
      <c r="AP1027" s="420"/>
      <c r="AQ1027" s="420"/>
      <c r="AR1027" s="420"/>
      <c r="AS1027" s="420"/>
      <c r="AT1027" s="420"/>
      <c r="AU1027" s="420"/>
      <c r="AV1027" s="420"/>
      <c r="AW1027" s="420"/>
      <c r="AX1027" s="420"/>
      <c r="AY1027" s="420"/>
      <c r="AZ1027" s="420"/>
      <c r="BA1027" s="420"/>
      <c r="BB1027" s="420"/>
      <c r="BC1027" s="420"/>
      <c r="BD1027" s="420"/>
      <c r="BE1027" s="420"/>
      <c r="BF1027" s="420"/>
      <c r="BG1027" s="420"/>
      <c r="BH1027" s="420"/>
      <c r="BI1027" s="420"/>
      <c r="BJ1027" s="420"/>
      <c r="BK1027" s="420"/>
      <c r="BL1027" s="420"/>
    </row>
    <row r="1028" spans="1:64">
      <c r="A1028" s="426"/>
      <c r="B1028" s="426"/>
      <c r="C1028" s="417" t="s">
        <v>828</v>
      </c>
      <c r="D1028" s="491">
        <v>0.308</v>
      </c>
      <c r="E1028" s="426" t="s">
        <v>796</v>
      </c>
      <c r="F1028" s="409">
        <f>'[161]Civil-SOR'!$J$329</f>
        <v>454.8</v>
      </c>
      <c r="G1028" s="410">
        <v>1</v>
      </c>
      <c r="H1028" s="426" t="s">
        <v>826</v>
      </c>
      <c r="I1028" s="408">
        <f t="shared" si="181"/>
        <v>140.07839999999999</v>
      </c>
      <c r="J1028" s="418"/>
      <c r="K1028" s="419"/>
      <c r="L1028" s="419"/>
      <c r="M1028" s="420"/>
      <c r="N1028" s="420"/>
      <c r="O1028" s="420"/>
      <c r="P1028" s="420"/>
      <c r="Q1028" s="420"/>
      <c r="R1028" s="420"/>
      <c r="S1028" s="420"/>
      <c r="T1028" s="420"/>
      <c r="U1028" s="420"/>
      <c r="V1028" s="420"/>
      <c r="W1028" s="420"/>
      <c r="X1028" s="420"/>
      <c r="Y1028" s="420"/>
      <c r="Z1028" s="420"/>
      <c r="AA1028" s="420"/>
      <c r="AB1028" s="420"/>
      <c r="AC1028" s="420"/>
      <c r="AD1028" s="420"/>
      <c r="AE1028" s="420"/>
      <c r="AF1028" s="420"/>
      <c r="AG1028" s="420"/>
      <c r="AH1028" s="420"/>
      <c r="AI1028" s="420"/>
      <c r="AJ1028" s="420"/>
      <c r="AK1028" s="420"/>
      <c r="AL1028" s="420"/>
      <c r="AM1028" s="420"/>
      <c r="AN1028" s="420"/>
      <c r="AO1028" s="420"/>
      <c r="AP1028" s="420"/>
      <c r="AQ1028" s="420"/>
      <c r="AR1028" s="420"/>
      <c r="AS1028" s="420"/>
      <c r="AT1028" s="420"/>
      <c r="AU1028" s="420"/>
      <c r="AV1028" s="420"/>
      <c r="AW1028" s="420"/>
      <c r="AX1028" s="420"/>
      <c r="AY1028" s="420"/>
      <c r="AZ1028" s="420"/>
      <c r="BA1028" s="420"/>
      <c r="BB1028" s="420"/>
      <c r="BC1028" s="420"/>
      <c r="BD1028" s="420"/>
      <c r="BE1028" s="420"/>
      <c r="BF1028" s="420"/>
      <c r="BG1028" s="420"/>
      <c r="BH1028" s="420"/>
      <c r="BI1028" s="420"/>
      <c r="BJ1028" s="420"/>
      <c r="BK1028" s="420"/>
      <c r="BL1028" s="420"/>
    </row>
    <row r="1029" spans="1:64">
      <c r="A1029" s="426"/>
      <c r="B1029" s="426"/>
      <c r="C1029" s="417" t="s">
        <v>917</v>
      </c>
      <c r="D1029" s="491">
        <v>0.308</v>
      </c>
      <c r="E1029" s="426" t="s">
        <v>796</v>
      </c>
      <c r="F1029" s="409">
        <f>'[161]Civil-SOR'!$G$332</f>
        <v>36.5</v>
      </c>
      <c r="G1029" s="410">
        <v>1</v>
      </c>
      <c r="H1029" s="426" t="s">
        <v>826</v>
      </c>
      <c r="I1029" s="408">
        <f t="shared" si="181"/>
        <v>11.241999999999999</v>
      </c>
      <c r="J1029" s="418"/>
      <c r="K1029" s="419"/>
      <c r="L1029" s="419"/>
      <c r="M1029" s="420"/>
      <c r="N1029" s="420"/>
      <c r="O1029" s="420"/>
      <c r="P1029" s="420"/>
      <c r="Q1029" s="420"/>
      <c r="R1029" s="420"/>
      <c r="S1029" s="420"/>
      <c r="T1029" s="420"/>
      <c r="U1029" s="420"/>
      <c r="V1029" s="420"/>
      <c r="W1029" s="420"/>
      <c r="X1029" s="420"/>
      <c r="Y1029" s="420"/>
      <c r="Z1029" s="420"/>
      <c r="AA1029" s="420"/>
      <c r="AB1029" s="420"/>
      <c r="AC1029" s="420"/>
      <c r="AD1029" s="420"/>
      <c r="AE1029" s="420"/>
      <c r="AF1029" s="420"/>
      <c r="AG1029" s="420"/>
      <c r="AH1029" s="420"/>
      <c r="AI1029" s="420"/>
      <c r="AJ1029" s="420"/>
      <c r="AK1029" s="420"/>
      <c r="AL1029" s="420"/>
      <c r="AM1029" s="420"/>
      <c r="AN1029" s="420"/>
      <c r="AO1029" s="420"/>
      <c r="AP1029" s="420"/>
      <c r="AQ1029" s="420"/>
      <c r="AR1029" s="420"/>
      <c r="AS1029" s="420"/>
      <c r="AT1029" s="420"/>
      <c r="AU1029" s="420"/>
      <c r="AV1029" s="420"/>
      <c r="AW1029" s="420"/>
      <c r="AX1029" s="420"/>
      <c r="AY1029" s="420"/>
      <c r="AZ1029" s="420"/>
      <c r="BA1029" s="420"/>
      <c r="BB1029" s="420"/>
      <c r="BC1029" s="420"/>
      <c r="BD1029" s="420"/>
      <c r="BE1029" s="420"/>
      <c r="BF1029" s="420"/>
      <c r="BG1029" s="420"/>
      <c r="BH1029" s="420"/>
      <c r="BI1029" s="420"/>
      <c r="BJ1029" s="420"/>
      <c r="BK1029" s="420"/>
      <c r="BL1029" s="420"/>
    </row>
    <row r="1030" spans="1:64">
      <c r="A1030" s="426"/>
      <c r="B1030" s="426"/>
      <c r="C1030" s="417" t="s">
        <v>828</v>
      </c>
      <c r="D1030" s="491">
        <v>0.308</v>
      </c>
      <c r="E1030" s="426" t="s">
        <v>796</v>
      </c>
      <c r="F1030" s="409">
        <f>'[161]Civil-SOR'!$J$332</f>
        <v>218</v>
      </c>
      <c r="G1030" s="410">
        <v>1</v>
      </c>
      <c r="H1030" s="426" t="s">
        <v>826</v>
      </c>
      <c r="I1030" s="408">
        <f t="shared" si="181"/>
        <v>67.144000000000005</v>
      </c>
      <c r="J1030" s="418"/>
      <c r="K1030" s="419"/>
      <c r="L1030" s="419"/>
      <c r="M1030" s="420"/>
      <c r="N1030" s="420"/>
      <c r="O1030" s="420"/>
      <c r="P1030" s="420"/>
      <c r="Q1030" s="420"/>
      <c r="R1030" s="420"/>
      <c r="S1030" s="420"/>
      <c r="T1030" s="420"/>
      <c r="U1030" s="420"/>
      <c r="V1030" s="420"/>
      <c r="W1030" s="420"/>
      <c r="X1030" s="420"/>
      <c r="Y1030" s="420"/>
      <c r="Z1030" s="420"/>
      <c r="AA1030" s="420"/>
      <c r="AB1030" s="420"/>
      <c r="AC1030" s="420"/>
      <c r="AD1030" s="420"/>
      <c r="AE1030" s="420"/>
      <c r="AF1030" s="420"/>
      <c r="AG1030" s="420"/>
      <c r="AH1030" s="420"/>
      <c r="AI1030" s="420"/>
      <c r="AJ1030" s="420"/>
      <c r="AK1030" s="420"/>
      <c r="AL1030" s="420"/>
      <c r="AM1030" s="420"/>
      <c r="AN1030" s="420"/>
      <c r="AO1030" s="420"/>
      <c r="AP1030" s="420"/>
      <c r="AQ1030" s="420"/>
      <c r="AR1030" s="420"/>
      <c r="AS1030" s="420"/>
      <c r="AT1030" s="420"/>
      <c r="AU1030" s="420"/>
      <c r="AV1030" s="420"/>
      <c r="AW1030" s="420"/>
      <c r="AX1030" s="420"/>
      <c r="AY1030" s="420"/>
      <c r="AZ1030" s="420"/>
      <c r="BA1030" s="420"/>
      <c r="BB1030" s="420"/>
      <c r="BC1030" s="420"/>
      <c r="BD1030" s="420"/>
      <c r="BE1030" s="420"/>
      <c r="BF1030" s="420"/>
      <c r="BG1030" s="420"/>
      <c r="BH1030" s="420"/>
      <c r="BI1030" s="420"/>
      <c r="BJ1030" s="420"/>
      <c r="BK1030" s="420"/>
      <c r="BL1030" s="420"/>
    </row>
    <row r="1031" spans="1:64">
      <c r="A1031" s="426"/>
      <c r="B1031" s="426"/>
      <c r="C1031" s="417" t="s">
        <v>799</v>
      </c>
      <c r="D1031" s="409">
        <f>[161]Input!$D$47</f>
        <v>0.4</v>
      </c>
      <c r="E1031" s="426"/>
      <c r="F1031" s="409">
        <f>$I$1028+$I$1030</f>
        <v>207.22239999999999</v>
      </c>
      <c r="G1031" s="410"/>
      <c r="H1031" s="426"/>
      <c r="I1031" s="408">
        <f t="shared" si="181"/>
        <v>82.888959999999997</v>
      </c>
      <c r="J1031" s="418"/>
      <c r="K1031" s="419"/>
      <c r="L1031" s="419"/>
      <c r="M1031" s="420"/>
      <c r="N1031" s="420"/>
      <c r="O1031" s="420"/>
      <c r="P1031" s="420"/>
      <c r="Q1031" s="420"/>
      <c r="R1031" s="420"/>
      <c r="S1031" s="420"/>
      <c r="T1031" s="420"/>
      <c r="U1031" s="420"/>
      <c r="V1031" s="420"/>
      <c r="W1031" s="420"/>
      <c r="X1031" s="420"/>
      <c r="Y1031" s="420"/>
      <c r="Z1031" s="420"/>
      <c r="AA1031" s="420"/>
      <c r="AB1031" s="420"/>
      <c r="AC1031" s="420"/>
      <c r="AD1031" s="420"/>
      <c r="AE1031" s="420"/>
      <c r="AF1031" s="420"/>
      <c r="AG1031" s="420"/>
      <c r="AH1031" s="420"/>
      <c r="AI1031" s="420"/>
      <c r="AJ1031" s="420"/>
      <c r="AK1031" s="420"/>
      <c r="AL1031" s="420"/>
      <c r="AM1031" s="420"/>
      <c r="AN1031" s="420"/>
      <c r="AO1031" s="420"/>
      <c r="AP1031" s="420"/>
      <c r="AQ1031" s="420"/>
      <c r="AR1031" s="420"/>
      <c r="AS1031" s="420"/>
      <c r="AT1031" s="420"/>
      <c r="AU1031" s="420"/>
      <c r="AV1031" s="420"/>
      <c r="AW1031" s="420"/>
      <c r="AX1031" s="420"/>
      <c r="AY1031" s="420"/>
      <c r="AZ1031" s="420"/>
      <c r="BA1031" s="420"/>
      <c r="BB1031" s="420"/>
      <c r="BC1031" s="420"/>
      <c r="BD1031" s="420"/>
      <c r="BE1031" s="420"/>
      <c r="BF1031" s="420"/>
      <c r="BG1031" s="420"/>
      <c r="BH1031" s="420"/>
      <c r="BI1031" s="420"/>
      <c r="BJ1031" s="420"/>
      <c r="BK1031" s="420"/>
      <c r="BL1031" s="420"/>
    </row>
    <row r="1032" spans="1:64">
      <c r="A1032" s="426"/>
      <c r="B1032" s="426"/>
      <c r="C1032" s="417" t="s">
        <v>918</v>
      </c>
      <c r="D1032" s="408">
        <v>1.2</v>
      </c>
      <c r="E1032" s="408" t="s">
        <v>877</v>
      </c>
      <c r="F1032" s="408">
        <f>[161]Input!$D$53</f>
        <v>108</v>
      </c>
      <c r="G1032" s="430">
        <v>1</v>
      </c>
      <c r="H1032" s="456" t="str">
        <f>IF(E1032="","",IF(E1032="No.","Each",IF(E1032="Nos.","Each",E1032)))</f>
        <v>kl</v>
      </c>
      <c r="I1032" s="408">
        <f t="shared" si="181"/>
        <v>129.6</v>
      </c>
      <c r="J1032" s="418"/>
      <c r="K1032" s="419"/>
      <c r="L1032" s="419"/>
      <c r="M1032" s="420"/>
      <c r="N1032" s="420"/>
      <c r="O1032" s="420"/>
      <c r="P1032" s="420"/>
      <c r="Q1032" s="420"/>
      <c r="R1032" s="420"/>
      <c r="S1032" s="420"/>
      <c r="T1032" s="420"/>
      <c r="U1032" s="420"/>
      <c r="V1032" s="420"/>
      <c r="W1032" s="420"/>
      <c r="X1032" s="420"/>
      <c r="Y1032" s="420"/>
      <c r="Z1032" s="420"/>
      <c r="AA1032" s="420"/>
      <c r="AB1032" s="420"/>
      <c r="AC1032" s="420"/>
      <c r="AD1032" s="420"/>
      <c r="AE1032" s="420"/>
      <c r="AF1032" s="420"/>
      <c r="AG1032" s="420"/>
      <c r="AH1032" s="420"/>
      <c r="AI1032" s="420"/>
      <c r="AJ1032" s="420"/>
      <c r="AK1032" s="420"/>
      <c r="AL1032" s="420"/>
      <c r="AM1032" s="420"/>
      <c r="AN1032" s="420"/>
      <c r="AO1032" s="420"/>
      <c r="AP1032" s="420"/>
      <c r="AQ1032" s="420"/>
      <c r="AR1032" s="420"/>
      <c r="AS1032" s="420"/>
      <c r="AT1032" s="420"/>
      <c r="AU1032" s="420"/>
      <c r="AV1032" s="420"/>
      <c r="AW1032" s="420"/>
      <c r="AX1032" s="420"/>
      <c r="AY1032" s="420"/>
      <c r="AZ1032" s="420"/>
      <c r="BA1032" s="420"/>
      <c r="BB1032" s="420"/>
      <c r="BC1032" s="420"/>
      <c r="BD1032" s="420"/>
      <c r="BE1032" s="420"/>
      <c r="BF1032" s="420"/>
      <c r="BG1032" s="420"/>
      <c r="BH1032" s="420"/>
      <c r="BI1032" s="420"/>
      <c r="BJ1032" s="420"/>
      <c r="BK1032" s="420"/>
      <c r="BL1032" s="420"/>
    </row>
    <row r="1033" spans="1:64" ht="13">
      <c r="A1033" s="426"/>
      <c r="B1033" s="426"/>
      <c r="C1033" s="481" t="s">
        <v>724</v>
      </c>
      <c r="D1033" s="426"/>
      <c r="E1033" s="426"/>
      <c r="F1033" s="426"/>
      <c r="G1033" s="492"/>
      <c r="H1033" s="426"/>
      <c r="I1033" s="434">
        <f>SUM(I1018:I1032)</f>
        <v>6945.6217600000009</v>
      </c>
      <c r="J1033" s="411"/>
      <c r="K1033" s="412"/>
      <c r="L1033" s="412"/>
      <c r="M1033" s="413"/>
      <c r="N1033" s="413"/>
      <c r="O1033" s="413"/>
      <c r="P1033" s="413"/>
      <c r="Q1033" s="413"/>
      <c r="R1033" s="413"/>
      <c r="S1033" s="413"/>
      <c r="T1033" s="413"/>
      <c r="U1033" s="413"/>
      <c r="V1033" s="413"/>
      <c r="W1033" s="413"/>
      <c r="X1033" s="413"/>
      <c r="Y1033" s="413"/>
      <c r="Z1033" s="413"/>
      <c r="AA1033" s="413"/>
      <c r="AB1033" s="413"/>
      <c r="AC1033" s="413"/>
      <c r="AD1033" s="413"/>
      <c r="AE1033" s="413"/>
      <c r="AF1033" s="413"/>
      <c r="AG1033" s="413"/>
      <c r="AH1033" s="413"/>
      <c r="AI1033" s="413"/>
      <c r="AJ1033" s="413"/>
      <c r="AK1033" s="413"/>
      <c r="AL1033" s="413"/>
      <c r="AM1033" s="413"/>
      <c r="AN1033" s="413"/>
      <c r="AO1033" s="413"/>
      <c r="AP1033" s="413"/>
      <c r="AQ1033" s="413"/>
      <c r="AR1033" s="413"/>
      <c r="AS1033" s="413"/>
      <c r="AT1033" s="413"/>
      <c r="AU1033" s="413"/>
      <c r="AV1033" s="413"/>
      <c r="AW1033" s="413"/>
      <c r="AX1033" s="413"/>
      <c r="AY1033" s="413"/>
      <c r="AZ1033" s="413"/>
      <c r="BA1033" s="413"/>
      <c r="BB1033" s="413"/>
      <c r="BC1033" s="413"/>
      <c r="BD1033" s="413"/>
      <c r="BE1033" s="413"/>
      <c r="BF1033" s="413"/>
      <c r="BG1033" s="413"/>
      <c r="BH1033" s="413"/>
      <c r="BI1033" s="413"/>
      <c r="BJ1033" s="413"/>
      <c r="BK1033" s="413"/>
      <c r="BL1033" s="413"/>
    </row>
    <row r="1034" spans="1:64">
      <c r="A1034" s="426"/>
      <c r="B1034" s="426"/>
      <c r="C1034" s="469"/>
      <c r="D1034" s="426"/>
      <c r="E1034" s="426"/>
      <c r="F1034" s="426"/>
      <c r="G1034" s="426"/>
      <c r="H1034" s="426"/>
      <c r="I1034" s="409"/>
      <c r="J1034" s="400"/>
      <c r="K1034" s="401"/>
      <c r="L1034" s="401"/>
    </row>
    <row r="1035" spans="1:64" ht="13">
      <c r="A1035" s="426"/>
      <c r="B1035" s="474" t="s">
        <v>720</v>
      </c>
      <c r="C1035" s="553" t="s">
        <v>990</v>
      </c>
      <c r="D1035" s="416"/>
      <c r="E1035" s="416"/>
      <c r="F1035" s="416"/>
      <c r="G1035" s="416"/>
      <c r="H1035" s="416"/>
      <c r="I1035" s="414"/>
      <c r="J1035" s="544"/>
      <c r="K1035" s="545"/>
      <c r="L1035" s="551"/>
      <c r="M1035" s="498"/>
      <c r="N1035" s="498"/>
      <c r="O1035" s="498"/>
      <c r="P1035" s="498"/>
      <c r="Q1035" s="404"/>
      <c r="R1035" s="404"/>
      <c r="S1035" s="404"/>
      <c r="T1035" s="404"/>
      <c r="U1035" s="404"/>
      <c r="V1035" s="404"/>
      <c r="W1035" s="404"/>
      <c r="X1035" s="404"/>
      <c r="Y1035" s="404"/>
      <c r="Z1035" s="404"/>
      <c r="AA1035" s="404"/>
      <c r="AB1035" s="404"/>
      <c r="AC1035" s="404"/>
      <c r="AD1035" s="404"/>
      <c r="AE1035" s="404"/>
      <c r="AF1035" s="404"/>
      <c r="AG1035" s="404"/>
      <c r="AH1035" s="404"/>
      <c r="AI1035" s="404"/>
      <c r="AJ1035" s="404"/>
      <c r="AK1035" s="404"/>
      <c r="AL1035" s="404"/>
      <c r="AM1035" s="404"/>
      <c r="AN1035" s="404"/>
      <c r="AO1035" s="404"/>
      <c r="AP1035" s="404"/>
      <c r="AQ1035" s="404"/>
      <c r="AR1035" s="404"/>
      <c r="AS1035" s="404"/>
      <c r="AT1035" s="404"/>
      <c r="AU1035" s="404"/>
      <c r="AV1035" s="404"/>
      <c r="AW1035" s="404"/>
      <c r="AX1035" s="404"/>
      <c r="AY1035" s="404"/>
      <c r="AZ1035" s="404"/>
      <c r="BA1035" s="404"/>
      <c r="BB1035" s="404"/>
      <c r="BC1035" s="404"/>
      <c r="BD1035" s="404"/>
      <c r="BE1035" s="404"/>
      <c r="BF1035" s="404"/>
      <c r="BG1035" s="404"/>
      <c r="BH1035" s="404"/>
      <c r="BI1035" s="404"/>
      <c r="BJ1035" s="404"/>
      <c r="BK1035" s="404"/>
      <c r="BL1035" s="404"/>
    </row>
    <row r="1036" spans="1:64" ht="13">
      <c r="A1036" s="426"/>
      <c r="B1036" s="426"/>
      <c r="C1036" s="451" t="s">
        <v>991</v>
      </c>
      <c r="D1036" s="416"/>
      <c r="E1036" s="416"/>
      <c r="F1036" s="416"/>
      <c r="G1036" s="416"/>
      <c r="H1036" s="416"/>
      <c r="I1036" s="414"/>
      <c r="J1036" s="544"/>
      <c r="K1036" s="545"/>
      <c r="L1036" s="551"/>
      <c r="M1036" s="498"/>
      <c r="N1036" s="498"/>
      <c r="O1036" s="498"/>
      <c r="P1036" s="498"/>
      <c r="Q1036" s="404"/>
      <c r="R1036" s="404"/>
      <c r="S1036" s="404"/>
      <c r="T1036" s="404"/>
      <c r="U1036" s="404"/>
      <c r="V1036" s="404"/>
      <c r="W1036" s="404"/>
      <c r="X1036" s="404"/>
      <c r="Y1036" s="404"/>
      <c r="Z1036" s="404"/>
      <c r="AA1036" s="404"/>
      <c r="AB1036" s="404"/>
      <c r="AC1036" s="404"/>
      <c r="AD1036" s="404"/>
      <c r="AE1036" s="404"/>
      <c r="AF1036" s="404"/>
      <c r="AG1036" s="404"/>
      <c r="AH1036" s="404"/>
      <c r="AI1036" s="404"/>
      <c r="AJ1036" s="404"/>
      <c r="AK1036" s="404"/>
      <c r="AL1036" s="404"/>
      <c r="AM1036" s="404"/>
      <c r="AN1036" s="404"/>
      <c r="AO1036" s="404"/>
      <c r="AP1036" s="404"/>
      <c r="AQ1036" s="404"/>
      <c r="AR1036" s="404"/>
      <c r="AS1036" s="404"/>
      <c r="AT1036" s="404"/>
      <c r="AU1036" s="404"/>
      <c r="AV1036" s="404"/>
      <c r="AW1036" s="404"/>
      <c r="AX1036" s="404"/>
      <c r="AY1036" s="404"/>
      <c r="AZ1036" s="404"/>
      <c r="BA1036" s="404"/>
      <c r="BB1036" s="404"/>
      <c r="BC1036" s="404"/>
      <c r="BD1036" s="404"/>
      <c r="BE1036" s="404"/>
      <c r="BF1036" s="404"/>
      <c r="BG1036" s="404"/>
      <c r="BH1036" s="404"/>
      <c r="BI1036" s="404"/>
      <c r="BJ1036" s="404"/>
      <c r="BK1036" s="404"/>
      <c r="BL1036" s="404"/>
    </row>
    <row r="1037" spans="1:64" ht="13">
      <c r="A1037" s="426"/>
      <c r="B1037" s="474" t="s">
        <v>951</v>
      </c>
      <c r="C1037" s="451" t="s">
        <v>992</v>
      </c>
      <c r="D1037" s="426"/>
      <c r="E1037" s="426"/>
      <c r="F1037" s="426"/>
      <c r="G1037" s="410"/>
      <c r="H1037" s="426"/>
      <c r="I1037" s="434"/>
      <c r="J1037" s="544"/>
      <c r="K1037" s="545"/>
      <c r="L1037" s="551"/>
      <c r="M1037" s="498"/>
      <c r="N1037" s="498"/>
      <c r="O1037" s="498"/>
      <c r="P1037" s="498"/>
      <c r="Q1037" s="404"/>
      <c r="R1037" s="404"/>
      <c r="S1037" s="404"/>
      <c r="T1037" s="404"/>
      <c r="U1037" s="404"/>
      <c r="V1037" s="404"/>
      <c r="W1037" s="404"/>
      <c r="X1037" s="404"/>
      <c r="Y1037" s="404"/>
      <c r="Z1037" s="404"/>
      <c r="AA1037" s="404"/>
      <c r="AB1037" s="404"/>
      <c r="AC1037" s="404"/>
      <c r="AD1037" s="404"/>
      <c r="AE1037" s="404"/>
      <c r="AF1037" s="404"/>
      <c r="AG1037" s="404"/>
      <c r="AH1037" s="404"/>
      <c r="AI1037" s="404"/>
      <c r="AJ1037" s="404"/>
      <c r="AK1037" s="404"/>
      <c r="AL1037" s="404"/>
      <c r="AM1037" s="404"/>
      <c r="AN1037" s="404"/>
      <c r="AO1037" s="404"/>
      <c r="AP1037" s="404"/>
      <c r="AQ1037" s="404"/>
      <c r="AR1037" s="404"/>
      <c r="AS1037" s="404"/>
      <c r="AT1037" s="404"/>
      <c r="AU1037" s="404"/>
      <c r="AV1037" s="404"/>
      <c r="AW1037" s="404"/>
      <c r="AX1037" s="404"/>
      <c r="AY1037" s="404"/>
      <c r="AZ1037" s="404"/>
      <c r="BA1037" s="404"/>
      <c r="BB1037" s="404"/>
      <c r="BC1037" s="404"/>
      <c r="BD1037" s="404"/>
      <c r="BE1037" s="404"/>
      <c r="BF1037" s="404"/>
      <c r="BG1037" s="404"/>
      <c r="BH1037" s="404"/>
      <c r="BI1037" s="404"/>
      <c r="BJ1037" s="404"/>
      <c r="BK1037" s="404"/>
      <c r="BL1037" s="404"/>
    </row>
    <row r="1038" spans="1:64" ht="13">
      <c r="A1038" s="426"/>
      <c r="B1038" s="426"/>
      <c r="C1038" s="427" t="s">
        <v>953</v>
      </c>
      <c r="D1038" s="414" t="s">
        <v>959</v>
      </c>
      <c r="E1038" s="474" t="s">
        <v>943</v>
      </c>
      <c r="F1038" s="492" t="s">
        <v>944</v>
      </c>
      <c r="G1038" s="492" t="s">
        <v>945</v>
      </c>
      <c r="H1038" s="492" t="s">
        <v>946</v>
      </c>
      <c r="I1038" s="492" t="s">
        <v>947</v>
      </c>
      <c r="J1038" s="544"/>
      <c r="K1038" s="545"/>
      <c r="L1038" s="551"/>
      <c r="M1038" s="498"/>
      <c r="N1038" s="498"/>
      <c r="O1038" s="498"/>
      <c r="P1038" s="498"/>
      <c r="Q1038" s="404"/>
      <c r="R1038" s="404"/>
      <c r="S1038" s="404"/>
      <c r="T1038" s="404"/>
      <c r="U1038" s="404"/>
      <c r="V1038" s="404"/>
      <c r="W1038" s="404"/>
      <c r="X1038" s="404"/>
      <c r="Y1038" s="404"/>
      <c r="Z1038" s="404"/>
      <c r="AA1038" s="404"/>
      <c r="AB1038" s="404"/>
      <c r="AC1038" s="404"/>
      <c r="AD1038" s="404"/>
      <c r="AE1038" s="404"/>
      <c r="AF1038" s="404"/>
      <c r="AG1038" s="404"/>
      <c r="AH1038" s="404"/>
      <c r="AI1038" s="404"/>
      <c r="AJ1038" s="404"/>
      <c r="AK1038" s="404"/>
      <c r="AL1038" s="404"/>
      <c r="AM1038" s="404"/>
      <c r="AN1038" s="404"/>
      <c r="AO1038" s="404"/>
      <c r="AP1038" s="404"/>
      <c r="AQ1038" s="404"/>
      <c r="AR1038" s="404"/>
      <c r="AS1038" s="404"/>
      <c r="AT1038" s="404"/>
      <c r="AU1038" s="404"/>
      <c r="AV1038" s="404"/>
      <c r="AW1038" s="404"/>
      <c r="AX1038" s="404"/>
      <c r="AY1038" s="404"/>
      <c r="AZ1038" s="404"/>
      <c r="BA1038" s="404"/>
      <c r="BB1038" s="404"/>
      <c r="BC1038" s="404"/>
      <c r="BD1038" s="404"/>
      <c r="BE1038" s="404"/>
      <c r="BF1038" s="404"/>
      <c r="BG1038" s="404"/>
      <c r="BH1038" s="404"/>
      <c r="BI1038" s="404"/>
      <c r="BJ1038" s="404"/>
      <c r="BK1038" s="404"/>
      <c r="BL1038" s="404"/>
    </row>
    <row r="1039" spans="1:64" ht="13">
      <c r="A1039" s="426"/>
      <c r="B1039" s="406"/>
      <c r="C1039" s="417" t="s">
        <v>954</v>
      </c>
      <c r="D1039" s="432">
        <f t="shared" ref="D1039:I1039" si="182">$I$1033</f>
        <v>6945.6217600000009</v>
      </c>
      <c r="E1039" s="432">
        <f t="shared" si="182"/>
        <v>6945.6217600000009</v>
      </c>
      <c r="F1039" s="432">
        <f t="shared" si="182"/>
        <v>6945.6217600000009</v>
      </c>
      <c r="G1039" s="432">
        <f t="shared" si="182"/>
        <v>6945.6217600000009</v>
      </c>
      <c r="H1039" s="432">
        <f t="shared" si="182"/>
        <v>6945.6217600000009</v>
      </c>
      <c r="I1039" s="432">
        <f t="shared" si="182"/>
        <v>6945.6217600000009</v>
      </c>
      <c r="J1039" s="544"/>
      <c r="K1039" s="545"/>
      <c r="L1039" s="551"/>
      <c r="M1039" s="498"/>
      <c r="N1039" s="498"/>
      <c r="O1039" s="498"/>
      <c r="P1039" s="498"/>
      <c r="Q1039" s="404"/>
      <c r="R1039" s="404"/>
      <c r="S1039" s="404"/>
      <c r="T1039" s="404"/>
      <c r="U1039" s="404"/>
      <c r="V1039" s="404"/>
      <c r="W1039" s="404"/>
      <c r="X1039" s="404"/>
      <c r="Y1039" s="404"/>
      <c r="Z1039" s="404"/>
      <c r="AA1039" s="404"/>
      <c r="AB1039" s="404"/>
      <c r="AC1039" s="404"/>
      <c r="AD1039" s="404"/>
      <c r="AE1039" s="404"/>
      <c r="AF1039" s="404"/>
      <c r="AG1039" s="404"/>
      <c r="AH1039" s="404"/>
      <c r="AI1039" s="404"/>
      <c r="AJ1039" s="404"/>
      <c r="AK1039" s="404"/>
      <c r="AL1039" s="404"/>
      <c r="AM1039" s="404"/>
      <c r="AN1039" s="404"/>
      <c r="AO1039" s="404"/>
      <c r="AP1039" s="404"/>
      <c r="AQ1039" s="404"/>
      <c r="AR1039" s="404"/>
      <c r="AS1039" s="404"/>
      <c r="AT1039" s="404"/>
      <c r="AU1039" s="404"/>
      <c r="AV1039" s="404"/>
      <c r="AW1039" s="404"/>
      <c r="AX1039" s="404"/>
      <c r="AY1039" s="404"/>
      <c r="AZ1039" s="404"/>
      <c r="BA1039" s="404"/>
      <c r="BB1039" s="404"/>
      <c r="BC1039" s="404"/>
      <c r="BD1039" s="404"/>
      <c r="BE1039" s="404"/>
      <c r="BF1039" s="404"/>
      <c r="BG1039" s="404"/>
      <c r="BH1039" s="404"/>
      <c r="BI1039" s="404"/>
      <c r="BJ1039" s="404"/>
      <c r="BK1039" s="404"/>
      <c r="BL1039" s="404"/>
    </row>
    <row r="1040" spans="1:64" ht="13">
      <c r="A1040" s="426"/>
      <c r="B1040" s="406"/>
      <c r="C1040" s="417" t="s">
        <v>921</v>
      </c>
      <c r="D1040" s="432">
        <f>'[161]Civil-SOR'!$F$268</f>
        <v>2349</v>
      </c>
      <c r="E1040" s="432">
        <f>'[161]Civil-SOR'!$F$268</f>
        <v>2349</v>
      </c>
      <c r="F1040" s="432">
        <f>+E1040</f>
        <v>2349</v>
      </c>
      <c r="G1040" s="432">
        <f>+F1040</f>
        <v>2349</v>
      </c>
      <c r="H1040" s="432">
        <f>+G1040</f>
        <v>2349</v>
      </c>
      <c r="I1040" s="432">
        <f>+H1040</f>
        <v>2349</v>
      </c>
      <c r="J1040" s="544"/>
      <c r="K1040" s="545"/>
      <c r="L1040" s="551"/>
      <c r="M1040" s="498"/>
      <c r="N1040" s="498"/>
      <c r="O1040" s="498"/>
      <c r="P1040" s="498"/>
      <c r="Q1040" s="404"/>
      <c r="R1040" s="404"/>
      <c r="S1040" s="404"/>
      <c r="T1040" s="404"/>
      <c r="U1040" s="404"/>
      <c r="V1040" s="404"/>
      <c r="W1040" s="404"/>
      <c r="X1040" s="404"/>
      <c r="Y1040" s="404"/>
      <c r="Z1040" s="404"/>
      <c r="AA1040" s="404"/>
      <c r="AB1040" s="404"/>
      <c r="AC1040" s="404"/>
      <c r="AD1040" s="404"/>
      <c r="AE1040" s="404"/>
      <c r="AF1040" s="404"/>
      <c r="AG1040" s="404"/>
      <c r="AH1040" s="404"/>
      <c r="AI1040" s="404"/>
      <c r="AJ1040" s="404"/>
      <c r="AK1040" s="404"/>
      <c r="AL1040" s="404"/>
      <c r="AM1040" s="404"/>
      <c r="AN1040" s="404"/>
      <c r="AO1040" s="404"/>
      <c r="AP1040" s="404"/>
      <c r="AQ1040" s="404"/>
      <c r="AR1040" s="404"/>
      <c r="AS1040" s="404"/>
      <c r="AT1040" s="404"/>
      <c r="AU1040" s="404"/>
      <c r="AV1040" s="404"/>
      <c r="AW1040" s="404"/>
      <c r="AX1040" s="404"/>
      <c r="AY1040" s="404"/>
      <c r="AZ1040" s="404"/>
      <c r="BA1040" s="404"/>
      <c r="BB1040" s="404"/>
      <c r="BC1040" s="404"/>
      <c r="BD1040" s="404"/>
      <c r="BE1040" s="404"/>
      <c r="BF1040" s="404"/>
      <c r="BG1040" s="404"/>
      <c r="BH1040" s="404"/>
      <c r="BI1040" s="404"/>
      <c r="BJ1040" s="404"/>
      <c r="BK1040" s="404"/>
      <c r="BL1040" s="404"/>
    </row>
    <row r="1041" spans="1:64" ht="13">
      <c r="A1041" s="426"/>
      <c r="B1041" s="406"/>
      <c r="C1041" s="417" t="s">
        <v>993</v>
      </c>
      <c r="D1041" s="459">
        <f>'[161]Civil-SOR'!$G$268</f>
        <v>2291</v>
      </c>
      <c r="E1041" s="459">
        <f>'[161]Civil-SOR'!$H$268</f>
        <v>2520</v>
      </c>
      <c r="F1041" s="459">
        <f>'[161]Civil-SOR'!$I$268</f>
        <v>2749</v>
      </c>
      <c r="G1041" s="459">
        <f>'[161]Civil-SOR'!$J$268</f>
        <v>2978</v>
      </c>
      <c r="H1041" s="459">
        <f>'[161]Civil-SOR'!$K$268</f>
        <v>3207</v>
      </c>
      <c r="I1041" s="459">
        <f>'[161]Civil-SOR'!$L$268</f>
        <v>3437</v>
      </c>
      <c r="J1041" s="544"/>
      <c r="K1041" s="545"/>
      <c r="L1041" s="551"/>
      <c r="M1041" s="498"/>
      <c r="N1041" s="498"/>
      <c r="O1041" s="498"/>
      <c r="P1041" s="498"/>
      <c r="Q1041" s="404"/>
      <c r="R1041" s="404"/>
      <c r="S1041" s="404"/>
      <c r="T1041" s="404"/>
      <c r="U1041" s="404"/>
      <c r="V1041" s="404"/>
      <c r="W1041" s="404"/>
      <c r="X1041" s="404"/>
      <c r="Y1041" s="404"/>
      <c r="Z1041" s="404"/>
      <c r="AA1041" s="404"/>
      <c r="AB1041" s="404"/>
      <c r="AC1041" s="404"/>
      <c r="AD1041" s="404"/>
      <c r="AE1041" s="404"/>
      <c r="AF1041" s="404"/>
      <c r="AG1041" s="404"/>
      <c r="AH1041" s="404"/>
      <c r="AI1041" s="404"/>
      <c r="AJ1041" s="404"/>
      <c r="AK1041" s="404"/>
      <c r="AL1041" s="404"/>
      <c r="AM1041" s="404"/>
      <c r="AN1041" s="404"/>
      <c r="AO1041" s="404"/>
      <c r="AP1041" s="404"/>
      <c r="AQ1041" s="404"/>
      <c r="AR1041" s="404"/>
      <c r="AS1041" s="404"/>
      <c r="AT1041" s="404"/>
      <c r="AU1041" s="404"/>
      <c r="AV1041" s="404"/>
      <c r="AW1041" s="404"/>
      <c r="AX1041" s="404"/>
      <c r="AY1041" s="404"/>
      <c r="AZ1041" s="404"/>
      <c r="BA1041" s="404"/>
      <c r="BB1041" s="404"/>
      <c r="BC1041" s="404"/>
      <c r="BD1041" s="404"/>
      <c r="BE1041" s="404"/>
      <c r="BF1041" s="404"/>
      <c r="BG1041" s="404"/>
      <c r="BH1041" s="404"/>
      <c r="BI1041" s="404"/>
      <c r="BJ1041" s="404"/>
      <c r="BK1041" s="404"/>
      <c r="BL1041" s="404"/>
    </row>
    <row r="1042" spans="1:64" ht="13">
      <c r="A1042" s="426"/>
      <c r="B1042" s="406"/>
      <c r="C1042" s="417" t="str">
        <f>[161]Input!$C$47</f>
        <v>Add for MA @ 40%</v>
      </c>
      <c r="D1042" s="432">
        <f>D1041*[161]Input!$D$47</f>
        <v>916.40000000000009</v>
      </c>
      <c r="E1042" s="432">
        <f>E1041*[161]Input!$D$47</f>
        <v>1008</v>
      </c>
      <c r="F1042" s="432">
        <f>F1041*[161]Input!$D$47</f>
        <v>1099.6000000000001</v>
      </c>
      <c r="G1042" s="432">
        <f>G1041*[161]Input!$D$47</f>
        <v>1191.2</v>
      </c>
      <c r="H1042" s="432">
        <f>H1041*[161]Input!$D$47</f>
        <v>1282.8000000000002</v>
      </c>
      <c r="I1042" s="432">
        <f>I1041*[161]Input!$D$47</f>
        <v>1374.8000000000002</v>
      </c>
      <c r="J1042" s="544"/>
      <c r="K1042" s="545"/>
      <c r="L1042" s="551"/>
      <c r="M1042" s="498"/>
      <c r="N1042" s="498"/>
      <c r="O1042" s="498"/>
      <c r="P1042" s="498"/>
      <c r="Q1042" s="404"/>
      <c r="R1042" s="404"/>
      <c r="S1042" s="404"/>
      <c r="T1042" s="404"/>
      <c r="U1042" s="404"/>
      <c r="V1042" s="404"/>
      <c r="W1042" s="404"/>
      <c r="X1042" s="404"/>
      <c r="Y1042" s="404"/>
      <c r="Z1042" s="404"/>
      <c r="AA1042" s="404"/>
      <c r="AB1042" s="404"/>
      <c r="AC1042" s="404"/>
      <c r="AD1042" s="404"/>
      <c r="AE1042" s="404"/>
      <c r="AF1042" s="404"/>
      <c r="AG1042" s="404"/>
      <c r="AH1042" s="404"/>
      <c r="AI1042" s="404"/>
      <c r="AJ1042" s="404"/>
      <c r="AK1042" s="404"/>
      <c r="AL1042" s="404"/>
      <c r="AM1042" s="404"/>
      <c r="AN1042" s="404"/>
      <c r="AO1042" s="404"/>
      <c r="AP1042" s="404"/>
      <c r="AQ1042" s="404"/>
      <c r="AR1042" s="404"/>
      <c r="AS1042" s="404"/>
      <c r="AT1042" s="404"/>
      <c r="AU1042" s="404"/>
      <c r="AV1042" s="404"/>
      <c r="AW1042" s="404"/>
      <c r="AX1042" s="404"/>
      <c r="AY1042" s="404"/>
      <c r="AZ1042" s="404"/>
      <c r="BA1042" s="404"/>
      <c r="BB1042" s="404"/>
      <c r="BC1042" s="404"/>
      <c r="BD1042" s="404"/>
      <c r="BE1042" s="404"/>
      <c r="BF1042" s="404"/>
      <c r="BG1042" s="404"/>
      <c r="BH1042" s="404"/>
      <c r="BI1042" s="404"/>
      <c r="BJ1042" s="404"/>
      <c r="BK1042" s="404"/>
      <c r="BL1042" s="404"/>
    </row>
    <row r="1043" spans="1:64" ht="13">
      <c r="A1043" s="426"/>
      <c r="B1043" s="406"/>
      <c r="C1043" s="417" t="s">
        <v>994</v>
      </c>
      <c r="D1043" s="432"/>
      <c r="E1043" s="432">
        <f>$F$1025*0.1</f>
        <v>171.20500000000001</v>
      </c>
      <c r="F1043" s="432">
        <f>$F$1025*0.2</f>
        <v>342.41</v>
      </c>
      <c r="G1043" s="432">
        <f>$F$1025*0.3</f>
        <v>513.61500000000001</v>
      </c>
      <c r="H1043" s="432">
        <f>$F$1025*0.4</f>
        <v>684.82</v>
      </c>
      <c r="I1043" s="432">
        <f>$F$1025*0.5</f>
        <v>856.02499999999998</v>
      </c>
      <c r="J1043" s="544"/>
      <c r="K1043" s="545"/>
      <c r="L1043" s="551"/>
      <c r="M1043" s="498"/>
      <c r="N1043" s="498"/>
      <c r="O1043" s="498"/>
      <c r="P1043" s="498"/>
      <c r="Q1043" s="404"/>
      <c r="R1043" s="404"/>
      <c r="S1043" s="404"/>
      <c r="T1043" s="404"/>
      <c r="U1043" s="404"/>
      <c r="V1043" s="404"/>
      <c r="W1043" s="404"/>
      <c r="X1043" s="404"/>
      <c r="Y1043" s="404"/>
      <c r="Z1043" s="404"/>
      <c r="AA1043" s="404"/>
      <c r="AB1043" s="404"/>
      <c r="AC1043" s="404"/>
      <c r="AD1043" s="404"/>
      <c r="AE1043" s="404"/>
      <c r="AF1043" s="404"/>
      <c r="AG1043" s="404"/>
      <c r="AH1043" s="404"/>
      <c r="AI1043" s="404"/>
      <c r="AJ1043" s="404"/>
      <c r="AK1043" s="404"/>
      <c r="AL1043" s="404"/>
      <c r="AM1043" s="404"/>
      <c r="AN1043" s="404"/>
      <c r="AO1043" s="404"/>
      <c r="AP1043" s="404"/>
      <c r="AQ1043" s="404"/>
      <c r="AR1043" s="404"/>
      <c r="AS1043" s="404"/>
      <c r="AT1043" s="404"/>
      <c r="AU1043" s="404"/>
      <c r="AV1043" s="404"/>
      <c r="AW1043" s="404"/>
      <c r="AX1043" s="404"/>
      <c r="AY1043" s="404"/>
      <c r="AZ1043" s="404"/>
      <c r="BA1043" s="404"/>
      <c r="BB1043" s="404"/>
      <c r="BC1043" s="404"/>
      <c r="BD1043" s="404"/>
      <c r="BE1043" s="404"/>
      <c r="BF1043" s="404"/>
      <c r="BG1043" s="404"/>
      <c r="BH1043" s="404"/>
      <c r="BI1043" s="404"/>
      <c r="BJ1043" s="404"/>
      <c r="BK1043" s="404"/>
      <c r="BL1043" s="404"/>
    </row>
    <row r="1044" spans="1:64" ht="13">
      <c r="A1044" s="426"/>
      <c r="B1044" s="406"/>
      <c r="C1044" s="417" t="str">
        <f>[161]Input!$C$47</f>
        <v>Add for MA @ 40%</v>
      </c>
      <c r="D1044" s="432">
        <f>D1043*[161]Input!$D$47</f>
        <v>0</v>
      </c>
      <c r="E1044" s="432">
        <f>E1043*[161]Input!$D$47</f>
        <v>68.482000000000014</v>
      </c>
      <c r="F1044" s="432">
        <f>F1043*[161]Input!$D$47</f>
        <v>136.96400000000003</v>
      </c>
      <c r="G1044" s="432">
        <f>G1043*[161]Input!$D$47</f>
        <v>205.44600000000003</v>
      </c>
      <c r="H1044" s="432">
        <f>H1043*[161]Input!$D$47</f>
        <v>273.92800000000005</v>
      </c>
      <c r="I1044" s="432">
        <f>I1043*[161]Input!$D$47</f>
        <v>342.41</v>
      </c>
      <c r="J1044" s="544"/>
      <c r="K1044" s="545"/>
      <c r="L1044" s="551"/>
      <c r="M1044" s="498"/>
      <c r="N1044" s="498"/>
      <c r="O1044" s="498"/>
      <c r="P1044" s="498"/>
      <c r="Q1044" s="404"/>
      <c r="R1044" s="404"/>
      <c r="S1044" s="404"/>
      <c r="T1044" s="404"/>
      <c r="U1044" s="404"/>
      <c r="V1044" s="404"/>
      <c r="W1044" s="404"/>
      <c r="X1044" s="404"/>
      <c r="Y1044" s="404"/>
      <c r="Z1044" s="404"/>
      <c r="AA1044" s="404"/>
      <c r="AB1044" s="404"/>
      <c r="AC1044" s="404"/>
      <c r="AD1044" s="404"/>
      <c r="AE1044" s="404"/>
      <c r="AF1044" s="404"/>
      <c r="AG1044" s="404"/>
      <c r="AH1044" s="404"/>
      <c r="AI1044" s="404"/>
      <c r="AJ1044" s="404"/>
      <c r="AK1044" s="404"/>
      <c r="AL1044" s="404"/>
      <c r="AM1044" s="404"/>
      <c r="AN1044" s="404"/>
      <c r="AO1044" s="404"/>
      <c r="AP1044" s="404"/>
      <c r="AQ1044" s="404"/>
      <c r="AR1044" s="404"/>
      <c r="AS1044" s="404"/>
      <c r="AT1044" s="404"/>
      <c r="AU1044" s="404"/>
      <c r="AV1044" s="404"/>
      <c r="AW1044" s="404"/>
      <c r="AX1044" s="404"/>
      <c r="AY1044" s="404"/>
      <c r="AZ1044" s="404"/>
      <c r="BA1044" s="404"/>
      <c r="BB1044" s="404"/>
      <c r="BC1044" s="404"/>
      <c r="BD1044" s="404"/>
      <c r="BE1044" s="404"/>
      <c r="BF1044" s="404"/>
      <c r="BG1044" s="404"/>
      <c r="BH1044" s="404"/>
      <c r="BI1044" s="404"/>
      <c r="BJ1044" s="404"/>
      <c r="BK1044" s="404"/>
      <c r="BL1044" s="404"/>
    </row>
    <row r="1045" spans="1:64" ht="13">
      <c r="A1045" s="426"/>
      <c r="B1045" s="406"/>
      <c r="C1045" s="427" t="s">
        <v>904</v>
      </c>
      <c r="D1045" s="432">
        <f t="shared" ref="D1045:I1045" si="183">SUM(D1039:D1044)</f>
        <v>12502.021760000001</v>
      </c>
      <c r="E1045" s="432">
        <f t="shared" si="183"/>
        <v>13062.308760000002</v>
      </c>
      <c r="F1045" s="432">
        <f t="shared" si="183"/>
        <v>13622.595760000002</v>
      </c>
      <c r="G1045" s="432">
        <f t="shared" si="183"/>
        <v>14182.882760000002</v>
      </c>
      <c r="H1045" s="432">
        <f t="shared" si="183"/>
        <v>14743.169760000001</v>
      </c>
      <c r="I1045" s="432">
        <f t="shared" si="183"/>
        <v>15304.856760000001</v>
      </c>
      <c r="J1045" s="544"/>
      <c r="K1045" s="545"/>
      <c r="L1045" s="551"/>
      <c r="M1045" s="498"/>
      <c r="N1045" s="498"/>
      <c r="O1045" s="498"/>
      <c r="P1045" s="498"/>
      <c r="Q1045" s="404"/>
      <c r="R1045" s="404"/>
      <c r="S1045" s="404"/>
      <c r="T1045" s="404"/>
      <c r="U1045" s="404"/>
      <c r="V1045" s="404"/>
      <c r="W1045" s="404"/>
      <c r="X1045" s="404"/>
      <c r="Y1045" s="404"/>
      <c r="Z1045" s="404"/>
      <c r="AA1045" s="404"/>
      <c r="AB1045" s="404"/>
      <c r="AC1045" s="404"/>
      <c r="AD1045" s="404"/>
      <c r="AE1045" s="404"/>
      <c r="AF1045" s="404"/>
      <c r="AG1045" s="404"/>
      <c r="AH1045" s="404"/>
      <c r="AI1045" s="404"/>
      <c r="AJ1045" s="404"/>
      <c r="AK1045" s="404"/>
      <c r="AL1045" s="404"/>
      <c r="AM1045" s="404"/>
      <c r="AN1045" s="404"/>
      <c r="AO1045" s="404"/>
      <c r="AP1045" s="404"/>
      <c r="AQ1045" s="404"/>
      <c r="AR1045" s="404"/>
      <c r="AS1045" s="404"/>
      <c r="AT1045" s="404"/>
      <c r="AU1045" s="404"/>
      <c r="AV1045" s="404"/>
      <c r="AW1045" s="404"/>
      <c r="AX1045" s="404"/>
      <c r="AY1045" s="404"/>
      <c r="AZ1045" s="404"/>
      <c r="BA1045" s="404"/>
      <c r="BB1045" s="404"/>
      <c r="BC1045" s="404"/>
      <c r="BD1045" s="404"/>
      <c r="BE1045" s="404"/>
      <c r="BF1045" s="404"/>
      <c r="BG1045" s="404"/>
      <c r="BH1045" s="404"/>
      <c r="BI1045" s="404"/>
      <c r="BJ1045" s="404"/>
      <c r="BK1045" s="404"/>
      <c r="BL1045" s="404"/>
    </row>
    <row r="1046" spans="1:64" ht="25">
      <c r="A1046" s="426"/>
      <c r="B1046" s="406"/>
      <c r="C1046" s="417" t="str">
        <f>[161]Input!$C$48</f>
        <v>Overheads &amp; Contractors Profit @ 13.615%</v>
      </c>
      <c r="D1046" s="406">
        <f>ROUND(D1045*[161]Input!$D$48,2)</f>
        <v>1702.15</v>
      </c>
      <c r="E1046" s="406">
        <f>ROUND(E1045*[161]Input!$D$48,2)</f>
        <v>1778.43</v>
      </c>
      <c r="F1046" s="406">
        <f>ROUND(F1045*[161]Input!$D$48,2)</f>
        <v>1854.72</v>
      </c>
      <c r="G1046" s="406">
        <f>ROUND(G1045*[161]Input!$D$48,2)</f>
        <v>1931</v>
      </c>
      <c r="H1046" s="406">
        <f>ROUND(H1045*[161]Input!$D$48,2)</f>
        <v>2007.28</v>
      </c>
      <c r="I1046" s="406">
        <f>ROUND(I1045*[161]Input!$D$48,2)</f>
        <v>2083.7600000000002</v>
      </c>
      <c r="J1046" s="544"/>
      <c r="K1046" s="545"/>
      <c r="L1046" s="551"/>
      <c r="M1046" s="498"/>
      <c r="N1046" s="498"/>
      <c r="O1046" s="498"/>
      <c r="P1046" s="498"/>
      <c r="Q1046" s="404"/>
      <c r="R1046" s="404"/>
      <c r="S1046" s="404"/>
      <c r="T1046" s="404"/>
      <c r="U1046" s="404"/>
      <c r="V1046" s="404"/>
      <c r="W1046" s="404"/>
      <c r="X1046" s="404"/>
      <c r="Y1046" s="404"/>
      <c r="Z1046" s="404"/>
      <c r="AA1046" s="404"/>
      <c r="AB1046" s="404"/>
      <c r="AC1046" s="404"/>
      <c r="AD1046" s="404"/>
      <c r="AE1046" s="404"/>
      <c r="AF1046" s="404"/>
      <c r="AG1046" s="404"/>
      <c r="AH1046" s="404"/>
      <c r="AI1046" s="404"/>
      <c r="AJ1046" s="404"/>
      <c r="AK1046" s="404"/>
      <c r="AL1046" s="404"/>
      <c r="AM1046" s="404"/>
      <c r="AN1046" s="404"/>
      <c r="AO1046" s="404"/>
      <c r="AP1046" s="404"/>
      <c r="AQ1046" s="404"/>
      <c r="AR1046" s="404"/>
      <c r="AS1046" s="404"/>
      <c r="AT1046" s="404"/>
      <c r="AU1046" s="404"/>
      <c r="AV1046" s="404"/>
      <c r="AW1046" s="404"/>
      <c r="AX1046" s="404"/>
      <c r="AY1046" s="404"/>
      <c r="AZ1046" s="404"/>
      <c r="BA1046" s="404"/>
      <c r="BB1046" s="404"/>
      <c r="BC1046" s="404"/>
      <c r="BD1046" s="404"/>
      <c r="BE1046" s="404"/>
      <c r="BF1046" s="404"/>
      <c r="BG1046" s="404"/>
      <c r="BH1046" s="404"/>
      <c r="BI1046" s="404"/>
      <c r="BJ1046" s="404"/>
      <c r="BK1046" s="404"/>
      <c r="BL1046" s="404"/>
    </row>
    <row r="1047" spans="1:64" ht="13">
      <c r="A1047" s="426"/>
      <c r="B1047" s="426"/>
      <c r="C1047" s="427" t="s">
        <v>724</v>
      </c>
      <c r="D1047" s="409">
        <f t="shared" ref="D1047:I1047" si="184">SUM(D1045:D1046)</f>
        <v>14204.171760000001</v>
      </c>
      <c r="E1047" s="409">
        <f t="shared" si="184"/>
        <v>14840.738760000002</v>
      </c>
      <c r="F1047" s="409">
        <f t="shared" si="184"/>
        <v>15477.315760000001</v>
      </c>
      <c r="G1047" s="409">
        <f t="shared" si="184"/>
        <v>16113.882760000002</v>
      </c>
      <c r="H1047" s="409">
        <f t="shared" si="184"/>
        <v>16750.44976</v>
      </c>
      <c r="I1047" s="409">
        <f t="shared" si="184"/>
        <v>17388.616760000001</v>
      </c>
      <c r="J1047" s="544"/>
      <c r="K1047" s="545"/>
      <c r="L1047" s="551"/>
      <c r="M1047" s="498"/>
      <c r="N1047" s="498"/>
      <c r="O1047" s="498"/>
      <c r="P1047" s="498"/>
      <c r="Q1047" s="404"/>
      <c r="R1047" s="404"/>
      <c r="S1047" s="404"/>
      <c r="T1047" s="404"/>
      <c r="U1047" s="404"/>
      <c r="V1047" s="404"/>
      <c r="W1047" s="404"/>
      <c r="X1047" s="404"/>
      <c r="Y1047" s="404"/>
      <c r="Z1047" s="404"/>
      <c r="AA1047" s="404"/>
      <c r="AB1047" s="404"/>
      <c r="AC1047" s="404"/>
      <c r="AD1047" s="404"/>
      <c r="AE1047" s="404"/>
      <c r="AF1047" s="404"/>
      <c r="AG1047" s="404"/>
      <c r="AH1047" s="404"/>
      <c r="AI1047" s="404"/>
      <c r="AJ1047" s="404"/>
      <c r="AK1047" s="404"/>
      <c r="AL1047" s="404"/>
      <c r="AM1047" s="404"/>
      <c r="AN1047" s="404"/>
      <c r="AO1047" s="404"/>
      <c r="AP1047" s="404"/>
      <c r="AQ1047" s="404"/>
      <c r="AR1047" s="404"/>
      <c r="AS1047" s="404"/>
      <c r="AT1047" s="404"/>
      <c r="AU1047" s="404"/>
      <c r="AV1047" s="404"/>
      <c r="AW1047" s="404"/>
      <c r="AX1047" s="404"/>
      <c r="AY1047" s="404"/>
      <c r="AZ1047" s="404"/>
      <c r="BA1047" s="404"/>
      <c r="BB1047" s="404"/>
      <c r="BC1047" s="404"/>
      <c r="BD1047" s="404"/>
      <c r="BE1047" s="404"/>
      <c r="BF1047" s="404"/>
      <c r="BG1047" s="404"/>
      <c r="BH1047" s="404"/>
      <c r="BI1047" s="404"/>
      <c r="BJ1047" s="404"/>
      <c r="BK1047" s="404"/>
      <c r="BL1047" s="404"/>
    </row>
    <row r="1048" spans="1:64" ht="13">
      <c r="A1048" s="426"/>
      <c r="B1048" s="426"/>
      <c r="C1048" s="514" t="s">
        <v>726</v>
      </c>
      <c r="D1048" s="416">
        <f t="shared" ref="D1048:I1048" si="185">ROUND(D1047,0)</f>
        <v>14204</v>
      </c>
      <c r="E1048" s="416">
        <f t="shared" si="185"/>
        <v>14841</v>
      </c>
      <c r="F1048" s="416">
        <f t="shared" si="185"/>
        <v>15477</v>
      </c>
      <c r="G1048" s="416">
        <f t="shared" si="185"/>
        <v>16114</v>
      </c>
      <c r="H1048" s="416">
        <f t="shared" si="185"/>
        <v>16750</v>
      </c>
      <c r="I1048" s="416">
        <f t="shared" si="185"/>
        <v>17389</v>
      </c>
      <c r="J1048" s="544"/>
      <c r="K1048" s="545"/>
      <c r="L1048" s="551"/>
      <c r="M1048" s="498"/>
      <c r="N1048" s="498"/>
      <c r="O1048" s="498"/>
      <c r="P1048" s="498"/>
      <c r="Q1048" s="404"/>
      <c r="R1048" s="404"/>
      <c r="S1048" s="404"/>
      <c r="T1048" s="404"/>
      <c r="U1048" s="404"/>
      <c r="V1048" s="404"/>
      <c r="W1048" s="404"/>
      <c r="X1048" s="404"/>
      <c r="Y1048" s="404"/>
      <c r="Z1048" s="404"/>
      <c r="AA1048" s="404"/>
      <c r="AB1048" s="404"/>
      <c r="AC1048" s="404"/>
      <c r="AD1048" s="404"/>
      <c r="AE1048" s="404"/>
      <c r="AF1048" s="404"/>
      <c r="AG1048" s="404"/>
      <c r="AH1048" s="404"/>
      <c r="AI1048" s="404"/>
      <c r="AJ1048" s="404"/>
      <c r="AK1048" s="404"/>
      <c r="AL1048" s="404"/>
      <c r="AM1048" s="404"/>
      <c r="AN1048" s="404"/>
      <c r="AO1048" s="404"/>
      <c r="AP1048" s="404"/>
      <c r="AQ1048" s="404"/>
      <c r="AR1048" s="404"/>
      <c r="AS1048" s="404"/>
      <c r="AT1048" s="404"/>
      <c r="AU1048" s="404"/>
      <c r="AV1048" s="404"/>
      <c r="AW1048" s="404"/>
      <c r="AX1048" s="404"/>
      <c r="AY1048" s="404"/>
      <c r="AZ1048" s="404"/>
      <c r="BA1048" s="404"/>
      <c r="BB1048" s="404"/>
      <c r="BC1048" s="404"/>
      <c r="BD1048" s="404"/>
      <c r="BE1048" s="404"/>
      <c r="BF1048" s="404"/>
      <c r="BG1048" s="404"/>
      <c r="BH1048" s="404"/>
      <c r="BI1048" s="404"/>
      <c r="BJ1048" s="404"/>
      <c r="BK1048" s="404"/>
      <c r="BL1048" s="404"/>
    </row>
    <row r="1049" spans="1:64" ht="13">
      <c r="A1049" s="426"/>
      <c r="B1049" s="426"/>
      <c r="C1049" s="550"/>
      <c r="D1049" s="416"/>
      <c r="E1049" s="416"/>
      <c r="F1049" s="416"/>
      <c r="G1049" s="416"/>
      <c r="H1049" s="416"/>
      <c r="I1049" s="414"/>
      <c r="J1049" s="544"/>
      <c r="K1049" s="545"/>
      <c r="L1049" s="551"/>
      <c r="M1049" s="498"/>
      <c r="N1049" s="498"/>
      <c r="O1049" s="498"/>
      <c r="P1049" s="498"/>
      <c r="Q1049" s="404"/>
      <c r="R1049" s="404"/>
      <c r="S1049" s="404"/>
      <c r="T1049" s="404"/>
      <c r="U1049" s="404"/>
      <c r="V1049" s="404"/>
      <c r="W1049" s="404"/>
      <c r="X1049" s="404"/>
      <c r="Y1049" s="404"/>
      <c r="Z1049" s="404"/>
      <c r="AA1049" s="404"/>
      <c r="AB1049" s="404"/>
      <c r="AC1049" s="404"/>
      <c r="AD1049" s="404"/>
      <c r="AE1049" s="404"/>
      <c r="AF1049" s="404"/>
      <c r="AG1049" s="404"/>
      <c r="AH1049" s="404"/>
      <c r="AI1049" s="404"/>
      <c r="AJ1049" s="404"/>
      <c r="AK1049" s="404"/>
      <c r="AL1049" s="404"/>
      <c r="AM1049" s="404"/>
      <c r="AN1049" s="404"/>
      <c r="AO1049" s="404"/>
      <c r="AP1049" s="404"/>
      <c r="AQ1049" s="404"/>
      <c r="AR1049" s="404"/>
      <c r="AS1049" s="404"/>
      <c r="AT1049" s="404"/>
      <c r="AU1049" s="404"/>
      <c r="AV1049" s="404"/>
      <c r="AW1049" s="404"/>
      <c r="AX1049" s="404"/>
      <c r="AY1049" s="404"/>
      <c r="AZ1049" s="404"/>
      <c r="BA1049" s="404"/>
      <c r="BB1049" s="404"/>
      <c r="BC1049" s="404"/>
      <c r="BD1049" s="404"/>
      <c r="BE1049" s="404"/>
      <c r="BF1049" s="404"/>
      <c r="BG1049" s="404"/>
      <c r="BH1049" s="404"/>
      <c r="BI1049" s="404"/>
      <c r="BJ1049" s="404"/>
      <c r="BK1049" s="404"/>
      <c r="BL1049" s="404"/>
    </row>
    <row r="1050" spans="1:64" ht="13">
      <c r="A1050" s="426"/>
      <c r="B1050" s="474" t="s">
        <v>957</v>
      </c>
      <c r="C1050" s="451" t="s">
        <v>958</v>
      </c>
      <c r="D1050" s="426"/>
      <c r="E1050" s="426"/>
      <c r="F1050" s="426"/>
      <c r="G1050" s="410"/>
      <c r="H1050" s="426"/>
      <c r="I1050" s="434"/>
      <c r="J1050" s="544"/>
      <c r="K1050" s="545"/>
      <c r="L1050" s="551"/>
      <c r="M1050" s="498"/>
      <c r="N1050" s="498"/>
      <c r="O1050" s="498"/>
      <c r="P1050" s="498"/>
      <c r="Q1050" s="404"/>
      <c r="R1050" s="404"/>
      <c r="S1050" s="404"/>
      <c r="T1050" s="404"/>
      <c r="U1050" s="404"/>
      <c r="V1050" s="404"/>
      <c r="W1050" s="404"/>
      <c r="X1050" s="404"/>
      <c r="Y1050" s="404"/>
      <c r="Z1050" s="404"/>
      <c r="AA1050" s="404"/>
      <c r="AB1050" s="404"/>
      <c r="AC1050" s="404"/>
      <c r="AD1050" s="404"/>
      <c r="AE1050" s="404"/>
      <c r="AF1050" s="404"/>
      <c r="AG1050" s="404"/>
      <c r="AH1050" s="404"/>
      <c r="AI1050" s="404"/>
      <c r="AJ1050" s="404"/>
      <c r="AK1050" s="404"/>
      <c r="AL1050" s="404"/>
      <c r="AM1050" s="404"/>
      <c r="AN1050" s="404"/>
      <c r="AO1050" s="404"/>
      <c r="AP1050" s="404"/>
      <c r="AQ1050" s="404"/>
      <c r="AR1050" s="404"/>
      <c r="AS1050" s="404"/>
      <c r="AT1050" s="404"/>
      <c r="AU1050" s="404"/>
      <c r="AV1050" s="404"/>
      <c r="AW1050" s="404"/>
      <c r="AX1050" s="404"/>
      <c r="AY1050" s="404"/>
      <c r="AZ1050" s="404"/>
      <c r="BA1050" s="404"/>
      <c r="BB1050" s="404"/>
      <c r="BC1050" s="404"/>
      <c r="BD1050" s="404"/>
      <c r="BE1050" s="404"/>
      <c r="BF1050" s="404"/>
      <c r="BG1050" s="404"/>
      <c r="BH1050" s="404"/>
      <c r="BI1050" s="404"/>
      <c r="BJ1050" s="404"/>
      <c r="BK1050" s="404"/>
      <c r="BL1050" s="404"/>
    </row>
    <row r="1051" spans="1:64" ht="13">
      <c r="A1051" s="426"/>
      <c r="B1051" s="426"/>
      <c r="C1051" s="427" t="s">
        <v>953</v>
      </c>
      <c r="D1051" s="414" t="s">
        <v>959</v>
      </c>
      <c r="E1051" s="474" t="s">
        <v>943</v>
      </c>
      <c r="F1051" s="492" t="s">
        <v>944</v>
      </c>
      <c r="G1051" s="492" t="s">
        <v>945</v>
      </c>
      <c r="H1051" s="492" t="s">
        <v>946</v>
      </c>
      <c r="I1051" s="492" t="s">
        <v>947</v>
      </c>
      <c r="J1051" s="544"/>
      <c r="K1051" s="545"/>
      <c r="L1051" s="551"/>
      <c r="M1051" s="498"/>
      <c r="N1051" s="498"/>
      <c r="O1051" s="498"/>
      <c r="P1051" s="498"/>
      <c r="Q1051" s="404"/>
      <c r="R1051" s="404"/>
      <c r="S1051" s="404"/>
      <c r="T1051" s="404"/>
      <c r="U1051" s="404"/>
      <c r="V1051" s="404"/>
      <c r="W1051" s="404"/>
      <c r="X1051" s="404"/>
      <c r="Y1051" s="404"/>
      <c r="Z1051" s="404"/>
      <c r="AA1051" s="404"/>
      <c r="AB1051" s="404"/>
      <c r="AC1051" s="404"/>
      <c r="AD1051" s="404"/>
      <c r="AE1051" s="404"/>
      <c r="AF1051" s="404"/>
      <c r="AG1051" s="404"/>
      <c r="AH1051" s="404"/>
      <c r="AI1051" s="404"/>
      <c r="AJ1051" s="404"/>
      <c r="AK1051" s="404"/>
      <c r="AL1051" s="404"/>
      <c r="AM1051" s="404"/>
      <c r="AN1051" s="404"/>
      <c r="AO1051" s="404"/>
      <c r="AP1051" s="404"/>
      <c r="AQ1051" s="404"/>
      <c r="AR1051" s="404"/>
      <c r="AS1051" s="404"/>
      <c r="AT1051" s="404"/>
      <c r="AU1051" s="404"/>
      <c r="AV1051" s="404"/>
      <c r="AW1051" s="404"/>
      <c r="AX1051" s="404"/>
      <c r="AY1051" s="404"/>
      <c r="AZ1051" s="404"/>
      <c r="BA1051" s="404"/>
      <c r="BB1051" s="404"/>
      <c r="BC1051" s="404"/>
      <c r="BD1051" s="404"/>
      <c r="BE1051" s="404"/>
      <c r="BF1051" s="404"/>
      <c r="BG1051" s="404"/>
      <c r="BH1051" s="404"/>
      <c r="BI1051" s="404"/>
      <c r="BJ1051" s="404"/>
      <c r="BK1051" s="404"/>
      <c r="BL1051" s="404"/>
    </row>
    <row r="1052" spans="1:64" ht="13">
      <c r="A1052" s="426"/>
      <c r="B1052" s="406"/>
      <c r="C1052" s="417" t="s">
        <v>954</v>
      </c>
      <c r="D1052" s="432">
        <f t="shared" ref="D1052:I1052" si="186">$I$1033</f>
        <v>6945.6217600000009</v>
      </c>
      <c r="E1052" s="432">
        <f t="shared" si="186"/>
        <v>6945.6217600000009</v>
      </c>
      <c r="F1052" s="432">
        <f t="shared" si="186"/>
        <v>6945.6217600000009</v>
      </c>
      <c r="G1052" s="432">
        <f t="shared" si="186"/>
        <v>6945.6217600000009</v>
      </c>
      <c r="H1052" s="432">
        <f t="shared" si="186"/>
        <v>6945.6217600000009</v>
      </c>
      <c r="I1052" s="432">
        <f t="shared" si="186"/>
        <v>6945.6217600000009</v>
      </c>
      <c r="J1052" s="544"/>
      <c r="K1052" s="545"/>
      <c r="L1052" s="551"/>
      <c r="M1052" s="498"/>
      <c r="N1052" s="498"/>
      <c r="O1052" s="498"/>
      <c r="P1052" s="498"/>
      <c r="Q1052" s="404"/>
      <c r="R1052" s="404"/>
      <c r="S1052" s="404"/>
      <c r="T1052" s="404"/>
      <c r="U1052" s="404"/>
      <c r="V1052" s="404"/>
      <c r="W1052" s="404"/>
      <c r="X1052" s="404"/>
      <c r="Y1052" s="404"/>
      <c r="Z1052" s="404"/>
      <c r="AA1052" s="404"/>
      <c r="AB1052" s="404"/>
      <c r="AC1052" s="404"/>
      <c r="AD1052" s="404"/>
      <c r="AE1052" s="404"/>
      <c r="AF1052" s="404"/>
      <c r="AG1052" s="404"/>
      <c r="AH1052" s="404"/>
      <c r="AI1052" s="404"/>
      <c r="AJ1052" s="404"/>
      <c r="AK1052" s="404"/>
      <c r="AL1052" s="404"/>
      <c r="AM1052" s="404"/>
      <c r="AN1052" s="404"/>
      <c r="AO1052" s="404"/>
      <c r="AP1052" s="404"/>
      <c r="AQ1052" s="404"/>
      <c r="AR1052" s="404"/>
      <c r="AS1052" s="404"/>
      <c r="AT1052" s="404"/>
      <c r="AU1052" s="404"/>
      <c r="AV1052" s="404"/>
      <c r="AW1052" s="404"/>
      <c r="AX1052" s="404"/>
      <c r="AY1052" s="404"/>
      <c r="AZ1052" s="404"/>
      <c r="BA1052" s="404"/>
      <c r="BB1052" s="404"/>
      <c r="BC1052" s="404"/>
      <c r="BD1052" s="404"/>
      <c r="BE1052" s="404"/>
      <c r="BF1052" s="404"/>
      <c r="BG1052" s="404"/>
      <c r="BH1052" s="404"/>
      <c r="BI1052" s="404"/>
      <c r="BJ1052" s="404"/>
      <c r="BK1052" s="404"/>
      <c r="BL1052" s="404"/>
    </row>
    <row r="1053" spans="1:64" ht="13">
      <c r="A1053" s="426"/>
      <c r="B1053" s="406"/>
      <c r="C1053" s="417" t="s">
        <v>921</v>
      </c>
      <c r="D1053" s="432">
        <f>'[161]Civil-SOR'!$F$268</f>
        <v>2349</v>
      </c>
      <c r="E1053" s="432">
        <f>'[161]Civil-SOR'!$F$268</f>
        <v>2349</v>
      </c>
      <c r="F1053" s="432">
        <f>+E1053</f>
        <v>2349</v>
      </c>
      <c r="G1053" s="432">
        <f>+F1053</f>
        <v>2349</v>
      </c>
      <c r="H1053" s="432">
        <f>+G1053</f>
        <v>2349</v>
      </c>
      <c r="I1053" s="432">
        <f>+H1053</f>
        <v>2349</v>
      </c>
      <c r="J1053" s="544"/>
      <c r="K1053" s="545"/>
      <c r="L1053" s="551"/>
      <c r="M1053" s="498"/>
      <c r="N1053" s="498"/>
      <c r="O1053" s="498"/>
      <c r="P1053" s="498"/>
      <c r="Q1053" s="404"/>
      <c r="R1053" s="404"/>
      <c r="S1053" s="404"/>
      <c r="T1053" s="404"/>
      <c r="U1053" s="404"/>
      <c r="V1053" s="404"/>
      <c r="W1053" s="404"/>
      <c r="X1053" s="404"/>
      <c r="Y1053" s="404"/>
      <c r="Z1053" s="404"/>
      <c r="AA1053" s="404"/>
      <c r="AB1053" s="404"/>
      <c r="AC1053" s="404"/>
      <c r="AD1053" s="404"/>
      <c r="AE1053" s="404"/>
      <c r="AF1053" s="404"/>
      <c r="AG1053" s="404"/>
      <c r="AH1053" s="404"/>
      <c r="AI1053" s="404"/>
      <c r="AJ1053" s="404"/>
      <c r="AK1053" s="404"/>
      <c r="AL1053" s="404"/>
      <c r="AM1053" s="404"/>
      <c r="AN1053" s="404"/>
      <c r="AO1053" s="404"/>
      <c r="AP1053" s="404"/>
      <c r="AQ1053" s="404"/>
      <c r="AR1053" s="404"/>
      <c r="AS1053" s="404"/>
      <c r="AT1053" s="404"/>
      <c r="AU1053" s="404"/>
      <c r="AV1053" s="404"/>
      <c r="AW1053" s="404"/>
      <c r="AX1053" s="404"/>
      <c r="AY1053" s="404"/>
      <c r="AZ1053" s="404"/>
      <c r="BA1053" s="404"/>
      <c r="BB1053" s="404"/>
      <c r="BC1053" s="404"/>
      <c r="BD1053" s="404"/>
      <c r="BE1053" s="404"/>
      <c r="BF1053" s="404"/>
      <c r="BG1053" s="404"/>
      <c r="BH1053" s="404"/>
      <c r="BI1053" s="404"/>
      <c r="BJ1053" s="404"/>
      <c r="BK1053" s="404"/>
      <c r="BL1053" s="404"/>
    </row>
    <row r="1054" spans="1:64" ht="13">
      <c r="A1054" s="426"/>
      <c r="B1054" s="406"/>
      <c r="C1054" s="417" t="s">
        <v>993</v>
      </c>
      <c r="D1054" s="459">
        <f>'[161]Civil-SOR'!$G$268</f>
        <v>2291</v>
      </c>
      <c r="E1054" s="459">
        <f>'[161]Civil-SOR'!$H$268</f>
        <v>2520</v>
      </c>
      <c r="F1054" s="459">
        <f>'[161]Civil-SOR'!$I$268</f>
        <v>2749</v>
      </c>
      <c r="G1054" s="459">
        <f>'[161]Civil-SOR'!$J$268</f>
        <v>2978</v>
      </c>
      <c r="H1054" s="459">
        <f>'[161]Civil-SOR'!$K$268</f>
        <v>3207</v>
      </c>
      <c r="I1054" s="459">
        <f>'[161]Civil-SOR'!$L$268</f>
        <v>3437</v>
      </c>
      <c r="J1054" s="544"/>
      <c r="K1054" s="545"/>
      <c r="L1054" s="551"/>
      <c r="M1054" s="498"/>
      <c r="N1054" s="498"/>
      <c r="O1054" s="498"/>
      <c r="P1054" s="498"/>
      <c r="Q1054" s="404"/>
      <c r="R1054" s="404"/>
      <c r="S1054" s="404"/>
      <c r="T1054" s="404"/>
      <c r="U1054" s="404"/>
      <c r="V1054" s="404"/>
      <c r="W1054" s="404"/>
      <c r="X1054" s="404"/>
      <c r="Y1054" s="404"/>
      <c r="Z1054" s="404"/>
      <c r="AA1054" s="404"/>
      <c r="AB1054" s="404"/>
      <c r="AC1054" s="404"/>
      <c r="AD1054" s="404"/>
      <c r="AE1054" s="404"/>
      <c r="AF1054" s="404"/>
      <c r="AG1054" s="404"/>
      <c r="AH1054" s="404"/>
      <c r="AI1054" s="404"/>
      <c r="AJ1054" s="404"/>
      <c r="AK1054" s="404"/>
      <c r="AL1054" s="404"/>
      <c r="AM1054" s="404"/>
      <c r="AN1054" s="404"/>
      <c r="AO1054" s="404"/>
      <c r="AP1054" s="404"/>
      <c r="AQ1054" s="404"/>
      <c r="AR1054" s="404"/>
      <c r="AS1054" s="404"/>
      <c r="AT1054" s="404"/>
      <c r="AU1054" s="404"/>
      <c r="AV1054" s="404"/>
      <c r="AW1054" s="404"/>
      <c r="AX1054" s="404"/>
      <c r="AY1054" s="404"/>
      <c r="AZ1054" s="404"/>
      <c r="BA1054" s="404"/>
      <c r="BB1054" s="404"/>
      <c r="BC1054" s="404"/>
      <c r="BD1054" s="404"/>
      <c r="BE1054" s="404"/>
      <c r="BF1054" s="404"/>
      <c r="BG1054" s="404"/>
      <c r="BH1054" s="404"/>
      <c r="BI1054" s="404"/>
      <c r="BJ1054" s="404"/>
      <c r="BK1054" s="404"/>
      <c r="BL1054" s="404"/>
    </row>
    <row r="1055" spans="1:64" ht="13">
      <c r="A1055" s="426"/>
      <c r="B1055" s="406"/>
      <c r="C1055" s="417" t="str">
        <f>[161]Input!$C$47</f>
        <v>Add for MA @ 40%</v>
      </c>
      <c r="D1055" s="432">
        <f>D1054*[161]Input!$D$47</f>
        <v>916.40000000000009</v>
      </c>
      <c r="E1055" s="432">
        <f>E1054*[161]Input!$D$47</f>
        <v>1008</v>
      </c>
      <c r="F1055" s="432">
        <f>F1054*[161]Input!$D$47</f>
        <v>1099.6000000000001</v>
      </c>
      <c r="G1055" s="432">
        <f>G1054*[161]Input!$D$47</f>
        <v>1191.2</v>
      </c>
      <c r="H1055" s="432">
        <f>H1054*[161]Input!$D$47</f>
        <v>1282.8000000000002</v>
      </c>
      <c r="I1055" s="432">
        <f>I1054*[161]Input!$D$47</f>
        <v>1374.8000000000002</v>
      </c>
      <c r="J1055" s="544"/>
      <c r="K1055" s="545"/>
      <c r="L1055" s="551"/>
      <c r="M1055" s="498"/>
      <c r="N1055" s="498"/>
      <c r="O1055" s="498"/>
      <c r="P1055" s="498"/>
      <c r="Q1055" s="404"/>
      <c r="R1055" s="404"/>
      <c r="S1055" s="404"/>
      <c r="T1055" s="404"/>
      <c r="U1055" s="404"/>
      <c r="V1055" s="404"/>
      <c r="W1055" s="404"/>
      <c r="X1055" s="404"/>
      <c r="Y1055" s="404"/>
      <c r="Z1055" s="404"/>
      <c r="AA1055" s="404"/>
      <c r="AB1055" s="404"/>
      <c r="AC1055" s="404"/>
      <c r="AD1055" s="404"/>
      <c r="AE1055" s="404"/>
      <c r="AF1055" s="404"/>
      <c r="AG1055" s="404"/>
      <c r="AH1055" s="404"/>
      <c r="AI1055" s="404"/>
      <c r="AJ1055" s="404"/>
      <c r="AK1055" s="404"/>
      <c r="AL1055" s="404"/>
      <c r="AM1055" s="404"/>
      <c r="AN1055" s="404"/>
      <c r="AO1055" s="404"/>
      <c r="AP1055" s="404"/>
      <c r="AQ1055" s="404"/>
      <c r="AR1055" s="404"/>
      <c r="AS1055" s="404"/>
      <c r="AT1055" s="404"/>
      <c r="AU1055" s="404"/>
      <c r="AV1055" s="404"/>
      <c r="AW1055" s="404"/>
      <c r="AX1055" s="404"/>
      <c r="AY1055" s="404"/>
      <c r="AZ1055" s="404"/>
      <c r="BA1055" s="404"/>
      <c r="BB1055" s="404"/>
      <c r="BC1055" s="404"/>
      <c r="BD1055" s="404"/>
      <c r="BE1055" s="404"/>
      <c r="BF1055" s="404"/>
      <c r="BG1055" s="404"/>
      <c r="BH1055" s="404"/>
      <c r="BI1055" s="404"/>
      <c r="BJ1055" s="404"/>
      <c r="BK1055" s="404"/>
      <c r="BL1055" s="404"/>
    </row>
    <row r="1056" spans="1:64" ht="25">
      <c r="A1056" s="426"/>
      <c r="B1056" s="406"/>
      <c r="C1056" s="417" t="s">
        <v>995</v>
      </c>
      <c r="D1056" s="432">
        <v>0</v>
      </c>
      <c r="E1056" s="432">
        <f>0.267*'[161]Civil-SOR'!$G$334</f>
        <v>101.11290000000002</v>
      </c>
      <c r="F1056" s="432">
        <f t="shared" ref="F1056:F1057" si="187">E1056*1.1</f>
        <v>111.22419000000004</v>
      </c>
      <c r="G1056" s="432">
        <f t="shared" ref="G1056:G1057" si="188">E1056*1.2</f>
        <v>121.33548000000002</v>
      </c>
      <c r="H1056" s="432">
        <f t="shared" ref="H1056:H1057" si="189">E1056*1.3</f>
        <v>131.44677000000004</v>
      </c>
      <c r="I1056" s="432">
        <f t="shared" ref="I1056:I1057" si="190">E1056*1.4</f>
        <v>141.55806000000001</v>
      </c>
      <c r="J1056" s="544"/>
      <c r="K1056" s="545"/>
      <c r="L1056" s="551"/>
      <c r="M1056" s="498"/>
      <c r="N1056" s="498"/>
      <c r="O1056" s="498"/>
      <c r="P1056" s="498"/>
      <c r="Q1056" s="404"/>
      <c r="R1056" s="404"/>
      <c r="S1056" s="404"/>
      <c r="T1056" s="404"/>
      <c r="U1056" s="404"/>
      <c r="V1056" s="404"/>
      <c r="W1056" s="404"/>
      <c r="X1056" s="404"/>
      <c r="Y1056" s="404"/>
      <c r="Z1056" s="404"/>
      <c r="AA1056" s="404"/>
      <c r="AB1056" s="404"/>
      <c r="AC1056" s="404"/>
      <c r="AD1056" s="404"/>
      <c r="AE1056" s="404"/>
      <c r="AF1056" s="404"/>
      <c r="AG1056" s="404"/>
      <c r="AH1056" s="404"/>
      <c r="AI1056" s="404"/>
      <c r="AJ1056" s="404"/>
      <c r="AK1056" s="404"/>
      <c r="AL1056" s="404"/>
      <c r="AM1056" s="404"/>
      <c r="AN1056" s="404"/>
      <c r="AO1056" s="404"/>
      <c r="AP1056" s="404"/>
      <c r="AQ1056" s="404"/>
      <c r="AR1056" s="404"/>
      <c r="AS1056" s="404"/>
      <c r="AT1056" s="404"/>
      <c r="AU1056" s="404"/>
      <c r="AV1056" s="404"/>
      <c r="AW1056" s="404"/>
      <c r="AX1056" s="404"/>
      <c r="AY1056" s="404"/>
      <c r="AZ1056" s="404"/>
      <c r="BA1056" s="404"/>
      <c r="BB1056" s="404"/>
      <c r="BC1056" s="404"/>
      <c r="BD1056" s="404"/>
      <c r="BE1056" s="404"/>
      <c r="BF1056" s="404"/>
      <c r="BG1056" s="404"/>
      <c r="BH1056" s="404"/>
      <c r="BI1056" s="404"/>
      <c r="BJ1056" s="404"/>
      <c r="BK1056" s="404"/>
      <c r="BL1056" s="404"/>
    </row>
    <row r="1057" spans="1:64" ht="13">
      <c r="A1057" s="426"/>
      <c r="B1057" s="406"/>
      <c r="C1057" s="417" t="s">
        <v>828</v>
      </c>
      <c r="D1057" s="432">
        <v>0</v>
      </c>
      <c r="E1057" s="432">
        <f>0.267*'[161]Civil-SOR'!$J$334</f>
        <v>96.226799999999997</v>
      </c>
      <c r="F1057" s="432">
        <f t="shared" si="187"/>
        <v>105.84948</v>
      </c>
      <c r="G1057" s="432">
        <f t="shared" si="188"/>
        <v>115.47215999999999</v>
      </c>
      <c r="H1057" s="432">
        <f t="shared" si="189"/>
        <v>125.09484</v>
      </c>
      <c r="I1057" s="432">
        <f t="shared" si="190"/>
        <v>134.71751999999998</v>
      </c>
      <c r="J1057" s="544"/>
      <c r="K1057" s="545"/>
      <c r="L1057" s="551"/>
      <c r="M1057" s="498"/>
      <c r="N1057" s="498"/>
      <c r="O1057" s="498"/>
      <c r="P1057" s="498"/>
      <c r="Q1057" s="404"/>
      <c r="R1057" s="404"/>
      <c r="S1057" s="404"/>
      <c r="T1057" s="404"/>
      <c r="U1057" s="404"/>
      <c r="V1057" s="404"/>
      <c r="W1057" s="404"/>
      <c r="X1057" s="404"/>
      <c r="Y1057" s="404"/>
      <c r="Z1057" s="404"/>
      <c r="AA1057" s="404"/>
      <c r="AB1057" s="404"/>
      <c r="AC1057" s="404"/>
      <c r="AD1057" s="404"/>
      <c r="AE1057" s="404"/>
      <c r="AF1057" s="404"/>
      <c r="AG1057" s="404"/>
      <c r="AH1057" s="404"/>
      <c r="AI1057" s="404"/>
      <c r="AJ1057" s="404"/>
      <c r="AK1057" s="404"/>
      <c r="AL1057" s="404"/>
      <c r="AM1057" s="404"/>
      <c r="AN1057" s="404"/>
      <c r="AO1057" s="404"/>
      <c r="AP1057" s="404"/>
      <c r="AQ1057" s="404"/>
      <c r="AR1057" s="404"/>
      <c r="AS1057" s="404"/>
      <c r="AT1057" s="404"/>
      <c r="AU1057" s="404"/>
      <c r="AV1057" s="404"/>
      <c r="AW1057" s="404"/>
      <c r="AX1057" s="404"/>
      <c r="AY1057" s="404"/>
      <c r="AZ1057" s="404"/>
      <c r="BA1057" s="404"/>
      <c r="BB1057" s="404"/>
      <c r="BC1057" s="404"/>
      <c r="BD1057" s="404"/>
      <c r="BE1057" s="404"/>
      <c r="BF1057" s="404"/>
      <c r="BG1057" s="404"/>
      <c r="BH1057" s="404"/>
      <c r="BI1057" s="404"/>
      <c r="BJ1057" s="404"/>
      <c r="BK1057" s="404"/>
      <c r="BL1057" s="404"/>
    </row>
    <row r="1058" spans="1:64" ht="13">
      <c r="A1058" s="426"/>
      <c r="B1058" s="406"/>
      <c r="C1058" s="417" t="str">
        <f>[161]Input!$C$47</f>
        <v>Add for MA @ 40%</v>
      </c>
      <c r="D1058" s="432">
        <f>D1057*[161]Input!$D$47</f>
        <v>0</v>
      </c>
      <c r="E1058" s="432">
        <f>E1057*[161]Input!$D$47</f>
        <v>38.490720000000003</v>
      </c>
      <c r="F1058" s="432">
        <f>F1057*[161]Input!$D$47</f>
        <v>42.339792000000003</v>
      </c>
      <c r="G1058" s="432">
        <f>G1057*[161]Input!$D$47</f>
        <v>46.188863999999995</v>
      </c>
      <c r="H1058" s="432">
        <f>H1057*[161]Input!$D$47</f>
        <v>50.037936000000002</v>
      </c>
      <c r="I1058" s="432">
        <f>I1057*[161]Input!$D$47</f>
        <v>53.887007999999994</v>
      </c>
      <c r="J1058" s="544"/>
      <c r="K1058" s="545"/>
      <c r="L1058" s="551"/>
      <c r="M1058" s="498"/>
      <c r="N1058" s="498"/>
      <c r="O1058" s="498"/>
      <c r="P1058" s="498"/>
      <c r="Q1058" s="404"/>
      <c r="R1058" s="404"/>
      <c r="S1058" s="404"/>
      <c r="T1058" s="404"/>
      <c r="U1058" s="404"/>
      <c r="V1058" s="404"/>
      <c r="W1058" s="404"/>
      <c r="X1058" s="404"/>
      <c r="Y1058" s="404"/>
      <c r="Z1058" s="404"/>
      <c r="AA1058" s="404"/>
      <c r="AB1058" s="404"/>
      <c r="AC1058" s="404"/>
      <c r="AD1058" s="404"/>
      <c r="AE1058" s="404"/>
      <c r="AF1058" s="404"/>
      <c r="AG1058" s="404"/>
      <c r="AH1058" s="404"/>
      <c r="AI1058" s="404"/>
      <c r="AJ1058" s="404"/>
      <c r="AK1058" s="404"/>
      <c r="AL1058" s="404"/>
      <c r="AM1058" s="404"/>
      <c r="AN1058" s="404"/>
      <c r="AO1058" s="404"/>
      <c r="AP1058" s="404"/>
      <c r="AQ1058" s="404"/>
      <c r="AR1058" s="404"/>
      <c r="AS1058" s="404"/>
      <c r="AT1058" s="404"/>
      <c r="AU1058" s="404"/>
      <c r="AV1058" s="404"/>
      <c r="AW1058" s="404"/>
      <c r="AX1058" s="404"/>
      <c r="AY1058" s="404"/>
      <c r="AZ1058" s="404"/>
      <c r="BA1058" s="404"/>
      <c r="BB1058" s="404"/>
      <c r="BC1058" s="404"/>
      <c r="BD1058" s="404"/>
      <c r="BE1058" s="404"/>
      <c r="BF1058" s="404"/>
      <c r="BG1058" s="404"/>
      <c r="BH1058" s="404"/>
      <c r="BI1058" s="404"/>
      <c r="BJ1058" s="404"/>
      <c r="BK1058" s="404"/>
      <c r="BL1058" s="404"/>
    </row>
    <row r="1059" spans="1:64" ht="13">
      <c r="A1059" s="426"/>
      <c r="B1059" s="406"/>
      <c r="C1059" s="427" t="s">
        <v>904</v>
      </c>
      <c r="D1059" s="432">
        <f t="shared" ref="D1059:I1059" si="191">SUM(D1052:D1058)</f>
        <v>12502.021760000001</v>
      </c>
      <c r="E1059" s="432">
        <f t="shared" si="191"/>
        <v>13058.452180000002</v>
      </c>
      <c r="F1059" s="432">
        <f t="shared" si="191"/>
        <v>13402.635222000004</v>
      </c>
      <c r="G1059" s="432">
        <f t="shared" si="191"/>
        <v>13746.818264000001</v>
      </c>
      <c r="H1059" s="432">
        <f t="shared" si="191"/>
        <v>14091.001306000002</v>
      </c>
      <c r="I1059" s="432">
        <f t="shared" si="191"/>
        <v>14436.584348</v>
      </c>
      <c r="J1059" s="544"/>
      <c r="K1059" s="545"/>
      <c r="L1059" s="551"/>
      <c r="M1059" s="498"/>
      <c r="N1059" s="498"/>
      <c r="O1059" s="498"/>
      <c r="P1059" s="498"/>
      <c r="Q1059" s="404"/>
      <c r="R1059" s="404"/>
      <c r="S1059" s="404"/>
      <c r="T1059" s="404"/>
      <c r="U1059" s="404"/>
      <c r="V1059" s="404"/>
      <c r="W1059" s="404"/>
      <c r="X1059" s="404"/>
      <c r="Y1059" s="404"/>
      <c r="Z1059" s="404"/>
      <c r="AA1059" s="404"/>
      <c r="AB1059" s="404"/>
      <c r="AC1059" s="404"/>
      <c r="AD1059" s="404"/>
      <c r="AE1059" s="404"/>
      <c r="AF1059" s="404"/>
      <c r="AG1059" s="404"/>
      <c r="AH1059" s="404"/>
      <c r="AI1059" s="404"/>
      <c r="AJ1059" s="404"/>
      <c r="AK1059" s="404"/>
      <c r="AL1059" s="404"/>
      <c r="AM1059" s="404"/>
      <c r="AN1059" s="404"/>
      <c r="AO1059" s="404"/>
      <c r="AP1059" s="404"/>
      <c r="AQ1059" s="404"/>
      <c r="AR1059" s="404"/>
      <c r="AS1059" s="404"/>
      <c r="AT1059" s="404"/>
      <c r="AU1059" s="404"/>
      <c r="AV1059" s="404"/>
      <c r="AW1059" s="404"/>
      <c r="AX1059" s="404"/>
      <c r="AY1059" s="404"/>
      <c r="AZ1059" s="404"/>
      <c r="BA1059" s="404"/>
      <c r="BB1059" s="404"/>
      <c r="BC1059" s="404"/>
      <c r="BD1059" s="404"/>
      <c r="BE1059" s="404"/>
      <c r="BF1059" s="404"/>
      <c r="BG1059" s="404"/>
      <c r="BH1059" s="404"/>
      <c r="BI1059" s="404"/>
      <c r="BJ1059" s="404"/>
      <c r="BK1059" s="404"/>
      <c r="BL1059" s="404"/>
    </row>
    <row r="1060" spans="1:64" ht="25">
      <c r="A1060" s="426"/>
      <c r="B1060" s="406"/>
      <c r="C1060" s="417" t="str">
        <f>[161]Input!$C$48</f>
        <v>Overheads &amp; Contractors Profit @ 13.615%</v>
      </c>
      <c r="D1060" s="406">
        <f>ROUND(D1059*[161]Input!$D$48,2)</f>
        <v>1702.15</v>
      </c>
      <c r="E1060" s="406">
        <f>ROUND(E1059*[161]Input!$D$48,2)</f>
        <v>1777.91</v>
      </c>
      <c r="F1060" s="406">
        <f>ROUND(F1059*[161]Input!$D$48,2)</f>
        <v>1824.77</v>
      </c>
      <c r="G1060" s="406">
        <f>ROUND(G1059*[161]Input!$D$48,2)</f>
        <v>1871.63</v>
      </c>
      <c r="H1060" s="406">
        <f>ROUND(H1059*[161]Input!$D$48,2)</f>
        <v>1918.49</v>
      </c>
      <c r="I1060" s="406">
        <f>ROUND(I1059*[161]Input!$D$48,2)</f>
        <v>1965.54</v>
      </c>
      <c r="J1060" s="544"/>
      <c r="K1060" s="545"/>
      <c r="L1060" s="551"/>
      <c r="M1060" s="498"/>
      <c r="N1060" s="498"/>
      <c r="O1060" s="498"/>
      <c r="P1060" s="498"/>
      <c r="Q1060" s="404"/>
      <c r="R1060" s="404"/>
      <c r="S1060" s="404"/>
      <c r="T1060" s="404"/>
      <c r="U1060" s="404"/>
      <c r="V1060" s="404"/>
      <c r="W1060" s="404"/>
      <c r="X1060" s="404"/>
      <c r="Y1060" s="404"/>
      <c r="Z1060" s="404"/>
      <c r="AA1060" s="404"/>
      <c r="AB1060" s="404"/>
      <c r="AC1060" s="404"/>
      <c r="AD1060" s="404"/>
      <c r="AE1060" s="404"/>
      <c r="AF1060" s="404"/>
      <c r="AG1060" s="404"/>
      <c r="AH1060" s="404"/>
      <c r="AI1060" s="404"/>
      <c r="AJ1060" s="404"/>
      <c r="AK1060" s="404"/>
      <c r="AL1060" s="404"/>
      <c r="AM1060" s="404"/>
      <c r="AN1060" s="404"/>
      <c r="AO1060" s="404"/>
      <c r="AP1060" s="404"/>
      <c r="AQ1060" s="404"/>
      <c r="AR1060" s="404"/>
      <c r="AS1060" s="404"/>
      <c r="AT1060" s="404"/>
      <c r="AU1060" s="404"/>
      <c r="AV1060" s="404"/>
      <c r="AW1060" s="404"/>
      <c r="AX1060" s="404"/>
      <c r="AY1060" s="404"/>
      <c r="AZ1060" s="404"/>
      <c r="BA1060" s="404"/>
      <c r="BB1060" s="404"/>
      <c r="BC1060" s="404"/>
      <c r="BD1060" s="404"/>
      <c r="BE1060" s="404"/>
      <c r="BF1060" s="404"/>
      <c r="BG1060" s="404"/>
      <c r="BH1060" s="404"/>
      <c r="BI1060" s="404"/>
      <c r="BJ1060" s="404"/>
      <c r="BK1060" s="404"/>
      <c r="BL1060" s="404"/>
    </row>
    <row r="1061" spans="1:64" ht="13">
      <c r="A1061" s="426"/>
      <c r="B1061" s="426"/>
      <c r="C1061" s="427" t="s">
        <v>724</v>
      </c>
      <c r="D1061" s="409">
        <f t="shared" ref="D1061:I1061" si="192">SUM(D1059:D1060)</f>
        <v>14204.171760000001</v>
      </c>
      <c r="E1061" s="409">
        <f t="shared" si="192"/>
        <v>14836.362180000002</v>
      </c>
      <c r="F1061" s="409">
        <f t="shared" si="192"/>
        <v>15227.405222000005</v>
      </c>
      <c r="G1061" s="409">
        <f t="shared" si="192"/>
        <v>15618.448264000002</v>
      </c>
      <c r="H1061" s="409">
        <f t="shared" si="192"/>
        <v>16009.491306000002</v>
      </c>
      <c r="I1061" s="409">
        <f t="shared" si="192"/>
        <v>16402.124348000001</v>
      </c>
      <c r="J1061" s="544"/>
      <c r="K1061" s="545"/>
      <c r="L1061" s="551"/>
      <c r="M1061" s="498"/>
      <c r="N1061" s="498"/>
      <c r="O1061" s="498"/>
      <c r="P1061" s="498"/>
      <c r="Q1061" s="404"/>
      <c r="R1061" s="404"/>
      <c r="S1061" s="404"/>
      <c r="T1061" s="404"/>
      <c r="U1061" s="404"/>
      <c r="V1061" s="404"/>
      <c r="W1061" s="404"/>
      <c r="X1061" s="404"/>
      <c r="Y1061" s="404"/>
      <c r="Z1061" s="404"/>
      <c r="AA1061" s="404"/>
      <c r="AB1061" s="404"/>
      <c r="AC1061" s="404"/>
      <c r="AD1061" s="404"/>
      <c r="AE1061" s="404"/>
      <c r="AF1061" s="404"/>
      <c r="AG1061" s="404"/>
      <c r="AH1061" s="404"/>
      <c r="AI1061" s="404"/>
      <c r="AJ1061" s="404"/>
      <c r="AK1061" s="404"/>
      <c r="AL1061" s="404"/>
      <c r="AM1061" s="404"/>
      <c r="AN1061" s="404"/>
      <c r="AO1061" s="404"/>
      <c r="AP1061" s="404"/>
      <c r="AQ1061" s="404"/>
      <c r="AR1061" s="404"/>
      <c r="AS1061" s="404"/>
      <c r="AT1061" s="404"/>
      <c r="AU1061" s="404"/>
      <c r="AV1061" s="404"/>
      <c r="AW1061" s="404"/>
      <c r="AX1061" s="404"/>
      <c r="AY1061" s="404"/>
      <c r="AZ1061" s="404"/>
      <c r="BA1061" s="404"/>
      <c r="BB1061" s="404"/>
      <c r="BC1061" s="404"/>
      <c r="BD1061" s="404"/>
      <c r="BE1061" s="404"/>
      <c r="BF1061" s="404"/>
      <c r="BG1061" s="404"/>
      <c r="BH1061" s="404"/>
      <c r="BI1061" s="404"/>
      <c r="BJ1061" s="404"/>
      <c r="BK1061" s="404"/>
      <c r="BL1061" s="404"/>
    </row>
    <row r="1062" spans="1:64" ht="13">
      <c r="A1062" s="426"/>
      <c r="B1062" s="426"/>
      <c r="C1062" s="514" t="s">
        <v>726</v>
      </c>
      <c r="D1062" s="416">
        <f t="shared" ref="D1062:I1062" si="193">ROUND(D1061,0)</f>
        <v>14204</v>
      </c>
      <c r="E1062" s="416">
        <f t="shared" si="193"/>
        <v>14836</v>
      </c>
      <c r="F1062" s="416">
        <f t="shared" si="193"/>
        <v>15227</v>
      </c>
      <c r="G1062" s="416">
        <f t="shared" si="193"/>
        <v>15618</v>
      </c>
      <c r="H1062" s="416">
        <f t="shared" si="193"/>
        <v>16009</v>
      </c>
      <c r="I1062" s="416">
        <f t="shared" si="193"/>
        <v>16402</v>
      </c>
      <c r="J1062" s="544"/>
      <c r="K1062" s="545"/>
      <c r="L1062" s="551"/>
      <c r="M1062" s="498"/>
      <c r="N1062" s="498"/>
      <c r="O1062" s="498"/>
      <c r="P1062" s="498"/>
      <c r="Q1062" s="404"/>
      <c r="R1062" s="404"/>
      <c r="S1062" s="404"/>
      <c r="T1062" s="404"/>
      <c r="U1062" s="404"/>
      <c r="V1062" s="404"/>
      <c r="W1062" s="404"/>
      <c r="X1062" s="404"/>
      <c r="Y1062" s="404"/>
      <c r="Z1062" s="404"/>
      <c r="AA1062" s="404"/>
      <c r="AB1062" s="404"/>
      <c r="AC1062" s="404"/>
      <c r="AD1062" s="404"/>
      <c r="AE1062" s="404"/>
      <c r="AF1062" s="404"/>
      <c r="AG1062" s="404"/>
      <c r="AH1062" s="404"/>
      <c r="AI1062" s="404"/>
      <c r="AJ1062" s="404"/>
      <c r="AK1062" s="404"/>
      <c r="AL1062" s="404"/>
      <c r="AM1062" s="404"/>
      <c r="AN1062" s="404"/>
      <c r="AO1062" s="404"/>
      <c r="AP1062" s="404"/>
      <c r="AQ1062" s="404"/>
      <c r="AR1062" s="404"/>
      <c r="AS1062" s="404"/>
      <c r="AT1062" s="404"/>
      <c r="AU1062" s="404"/>
      <c r="AV1062" s="404"/>
      <c r="AW1062" s="404"/>
      <c r="AX1062" s="404"/>
      <c r="AY1062" s="404"/>
      <c r="AZ1062" s="404"/>
      <c r="BA1062" s="404"/>
      <c r="BB1062" s="404"/>
      <c r="BC1062" s="404"/>
      <c r="BD1062" s="404"/>
      <c r="BE1062" s="404"/>
      <c r="BF1062" s="404"/>
      <c r="BG1062" s="404"/>
      <c r="BH1062" s="404"/>
      <c r="BI1062" s="404"/>
      <c r="BJ1062" s="404"/>
      <c r="BK1062" s="404"/>
      <c r="BL1062" s="404"/>
    </row>
    <row r="1063" spans="1:64" ht="13">
      <c r="A1063" s="426"/>
      <c r="B1063" s="426"/>
      <c r="C1063" s="550"/>
      <c r="D1063" s="416"/>
      <c r="E1063" s="416"/>
      <c r="F1063" s="416"/>
      <c r="G1063" s="416"/>
      <c r="H1063" s="416"/>
      <c r="I1063" s="414"/>
      <c r="J1063" s="544"/>
      <c r="K1063" s="545"/>
      <c r="L1063" s="551"/>
      <c r="M1063" s="498"/>
      <c r="N1063" s="498"/>
      <c r="O1063" s="498"/>
      <c r="P1063" s="498"/>
      <c r="Q1063" s="404"/>
      <c r="R1063" s="404"/>
      <c r="S1063" s="404"/>
      <c r="T1063" s="404"/>
      <c r="U1063" s="404"/>
      <c r="V1063" s="404"/>
      <c r="W1063" s="404"/>
      <c r="X1063" s="404"/>
      <c r="Y1063" s="404"/>
      <c r="Z1063" s="404"/>
      <c r="AA1063" s="404"/>
      <c r="AB1063" s="404"/>
      <c r="AC1063" s="404"/>
      <c r="AD1063" s="404"/>
      <c r="AE1063" s="404"/>
      <c r="AF1063" s="404"/>
      <c r="AG1063" s="404"/>
      <c r="AH1063" s="404"/>
      <c r="AI1063" s="404"/>
      <c r="AJ1063" s="404"/>
      <c r="AK1063" s="404"/>
      <c r="AL1063" s="404"/>
      <c r="AM1063" s="404"/>
      <c r="AN1063" s="404"/>
      <c r="AO1063" s="404"/>
      <c r="AP1063" s="404"/>
      <c r="AQ1063" s="404"/>
      <c r="AR1063" s="404"/>
      <c r="AS1063" s="404"/>
      <c r="AT1063" s="404"/>
      <c r="AU1063" s="404"/>
      <c r="AV1063" s="404"/>
      <c r="AW1063" s="404"/>
      <c r="AX1063" s="404"/>
      <c r="AY1063" s="404"/>
      <c r="AZ1063" s="404"/>
      <c r="BA1063" s="404"/>
      <c r="BB1063" s="404"/>
      <c r="BC1063" s="404"/>
      <c r="BD1063" s="404"/>
      <c r="BE1063" s="404"/>
      <c r="BF1063" s="404"/>
      <c r="BG1063" s="404"/>
      <c r="BH1063" s="404"/>
      <c r="BI1063" s="404"/>
      <c r="BJ1063" s="404"/>
      <c r="BK1063" s="404"/>
      <c r="BL1063" s="404"/>
    </row>
    <row r="1064" spans="1:64" ht="13">
      <c r="A1064" s="426"/>
      <c r="B1064" s="426"/>
      <c r="C1064" s="451" t="s">
        <v>996</v>
      </c>
      <c r="D1064" s="416"/>
      <c r="E1064" s="416"/>
      <c r="F1064" s="416"/>
      <c r="G1064" s="416"/>
      <c r="H1064" s="416"/>
      <c r="I1064" s="414"/>
      <c r="J1064" s="544"/>
      <c r="K1064" s="545"/>
      <c r="L1064" s="551"/>
      <c r="M1064" s="498"/>
      <c r="N1064" s="498"/>
      <c r="O1064" s="498"/>
      <c r="P1064" s="498"/>
      <c r="Q1064" s="404"/>
      <c r="R1064" s="404"/>
      <c r="S1064" s="404"/>
      <c r="T1064" s="404"/>
      <c r="U1064" s="404"/>
      <c r="V1064" s="404"/>
      <c r="W1064" s="404"/>
      <c r="X1064" s="404"/>
      <c r="Y1064" s="404"/>
      <c r="Z1064" s="404"/>
      <c r="AA1064" s="404"/>
      <c r="AB1064" s="404"/>
      <c r="AC1064" s="404"/>
      <c r="AD1064" s="404"/>
      <c r="AE1064" s="404"/>
      <c r="AF1064" s="404"/>
      <c r="AG1064" s="404"/>
      <c r="AH1064" s="404"/>
      <c r="AI1064" s="404"/>
      <c r="AJ1064" s="404"/>
      <c r="AK1064" s="404"/>
      <c r="AL1064" s="404"/>
      <c r="AM1064" s="404"/>
      <c r="AN1064" s="404"/>
      <c r="AO1064" s="404"/>
      <c r="AP1064" s="404"/>
      <c r="AQ1064" s="404"/>
      <c r="AR1064" s="404"/>
      <c r="AS1064" s="404"/>
      <c r="AT1064" s="404"/>
      <c r="AU1064" s="404"/>
      <c r="AV1064" s="404"/>
      <c r="AW1064" s="404"/>
      <c r="AX1064" s="404"/>
      <c r="AY1064" s="404"/>
      <c r="AZ1064" s="404"/>
      <c r="BA1064" s="404"/>
      <c r="BB1064" s="404"/>
      <c r="BC1064" s="404"/>
      <c r="BD1064" s="404"/>
      <c r="BE1064" s="404"/>
      <c r="BF1064" s="404"/>
      <c r="BG1064" s="404"/>
      <c r="BH1064" s="404"/>
      <c r="BI1064" s="404"/>
      <c r="BJ1064" s="404"/>
      <c r="BK1064" s="404"/>
      <c r="BL1064" s="404"/>
    </row>
    <row r="1065" spans="1:64" ht="13">
      <c r="A1065" s="426"/>
      <c r="B1065" s="474" t="s">
        <v>951</v>
      </c>
      <c r="C1065" s="451" t="s">
        <v>992</v>
      </c>
      <c r="D1065" s="426"/>
      <c r="E1065" s="426"/>
      <c r="F1065" s="426"/>
      <c r="G1065" s="410"/>
      <c r="H1065" s="426"/>
      <c r="I1065" s="434"/>
      <c r="J1065" s="544"/>
      <c r="K1065" s="545"/>
      <c r="L1065" s="551"/>
      <c r="M1065" s="498"/>
      <c r="N1065" s="498"/>
      <c r="O1065" s="498"/>
      <c r="P1065" s="498"/>
      <c r="Q1065" s="404"/>
      <c r="R1065" s="404"/>
      <c r="S1065" s="404"/>
      <c r="T1065" s="404"/>
      <c r="U1065" s="404"/>
      <c r="V1065" s="404"/>
      <c r="W1065" s="404"/>
      <c r="X1065" s="404"/>
      <c r="Y1065" s="404"/>
      <c r="Z1065" s="404"/>
      <c r="AA1065" s="404"/>
      <c r="AB1065" s="404"/>
      <c r="AC1065" s="404"/>
      <c r="AD1065" s="404"/>
      <c r="AE1065" s="404"/>
      <c r="AF1065" s="404"/>
      <c r="AG1065" s="404"/>
      <c r="AH1065" s="404"/>
      <c r="AI1065" s="404"/>
      <c r="AJ1065" s="404"/>
      <c r="AK1065" s="404"/>
      <c r="AL1065" s="404"/>
      <c r="AM1065" s="404"/>
      <c r="AN1065" s="404"/>
      <c r="AO1065" s="404"/>
      <c r="AP1065" s="404"/>
      <c r="AQ1065" s="404"/>
      <c r="AR1065" s="404"/>
      <c r="AS1065" s="404"/>
      <c r="AT1065" s="404"/>
      <c r="AU1065" s="404"/>
      <c r="AV1065" s="404"/>
      <c r="AW1065" s="404"/>
      <c r="AX1065" s="404"/>
      <c r="AY1065" s="404"/>
      <c r="AZ1065" s="404"/>
      <c r="BA1065" s="404"/>
      <c r="BB1065" s="404"/>
      <c r="BC1065" s="404"/>
      <c r="BD1065" s="404"/>
      <c r="BE1065" s="404"/>
      <c r="BF1065" s="404"/>
      <c r="BG1065" s="404"/>
      <c r="BH1065" s="404"/>
      <c r="BI1065" s="404"/>
      <c r="BJ1065" s="404"/>
      <c r="BK1065" s="404"/>
      <c r="BL1065" s="404"/>
    </row>
    <row r="1066" spans="1:64" ht="13">
      <c r="A1066" s="426"/>
      <c r="B1066" s="426"/>
      <c r="C1066" s="427" t="s">
        <v>953</v>
      </c>
      <c r="D1066" s="414" t="s">
        <v>959</v>
      </c>
      <c r="E1066" s="474" t="s">
        <v>943</v>
      </c>
      <c r="F1066" s="492" t="s">
        <v>944</v>
      </c>
      <c r="G1066" s="492" t="s">
        <v>945</v>
      </c>
      <c r="H1066" s="492" t="s">
        <v>946</v>
      </c>
      <c r="I1066" s="492" t="s">
        <v>947</v>
      </c>
      <c r="J1066" s="544"/>
      <c r="K1066" s="545"/>
      <c r="L1066" s="551"/>
      <c r="M1066" s="498"/>
      <c r="N1066" s="498"/>
      <c r="O1066" s="498"/>
      <c r="P1066" s="498"/>
      <c r="Q1066" s="404"/>
      <c r="R1066" s="404"/>
      <c r="S1066" s="404"/>
      <c r="T1066" s="404"/>
      <c r="U1066" s="404"/>
      <c r="V1066" s="404"/>
      <c r="W1066" s="404"/>
      <c r="X1066" s="404"/>
      <c r="Y1066" s="404"/>
      <c r="Z1066" s="404"/>
      <c r="AA1066" s="404"/>
      <c r="AB1066" s="404"/>
      <c r="AC1066" s="404"/>
      <c r="AD1066" s="404"/>
      <c r="AE1066" s="404"/>
      <c r="AF1066" s="404"/>
      <c r="AG1066" s="404"/>
      <c r="AH1066" s="404"/>
      <c r="AI1066" s="404"/>
      <c r="AJ1066" s="404"/>
      <c r="AK1066" s="404"/>
      <c r="AL1066" s="404"/>
      <c r="AM1066" s="404"/>
      <c r="AN1066" s="404"/>
      <c r="AO1066" s="404"/>
      <c r="AP1066" s="404"/>
      <c r="AQ1066" s="404"/>
      <c r="AR1066" s="404"/>
      <c r="AS1066" s="404"/>
      <c r="AT1066" s="404"/>
      <c r="AU1066" s="404"/>
      <c r="AV1066" s="404"/>
      <c r="AW1066" s="404"/>
      <c r="AX1066" s="404"/>
      <c r="AY1066" s="404"/>
      <c r="AZ1066" s="404"/>
      <c r="BA1066" s="404"/>
      <c r="BB1066" s="404"/>
      <c r="BC1066" s="404"/>
      <c r="BD1066" s="404"/>
      <c r="BE1066" s="404"/>
      <c r="BF1066" s="404"/>
      <c r="BG1066" s="404"/>
      <c r="BH1066" s="404"/>
      <c r="BI1066" s="404"/>
      <c r="BJ1066" s="404"/>
      <c r="BK1066" s="404"/>
      <c r="BL1066" s="404"/>
    </row>
    <row r="1067" spans="1:64" ht="13">
      <c r="A1067" s="426"/>
      <c r="B1067" s="406"/>
      <c r="C1067" s="417" t="s">
        <v>954</v>
      </c>
      <c r="D1067" s="432">
        <f t="shared" ref="D1067:I1067" si="194">$I$1033</f>
        <v>6945.6217600000009</v>
      </c>
      <c r="E1067" s="432">
        <f t="shared" si="194"/>
        <v>6945.6217600000009</v>
      </c>
      <c r="F1067" s="432">
        <f t="shared" si="194"/>
        <v>6945.6217600000009</v>
      </c>
      <c r="G1067" s="432">
        <f t="shared" si="194"/>
        <v>6945.6217600000009</v>
      </c>
      <c r="H1067" s="432">
        <f t="shared" si="194"/>
        <v>6945.6217600000009</v>
      </c>
      <c r="I1067" s="432">
        <f t="shared" si="194"/>
        <v>6945.6217600000009</v>
      </c>
      <c r="J1067" s="544"/>
      <c r="K1067" s="545"/>
      <c r="L1067" s="551"/>
      <c r="M1067" s="498"/>
      <c r="N1067" s="498"/>
      <c r="O1067" s="498"/>
      <c r="P1067" s="498"/>
      <c r="Q1067" s="404"/>
      <c r="R1067" s="404"/>
      <c r="S1067" s="404"/>
      <c r="T1067" s="404"/>
      <c r="U1067" s="404"/>
      <c r="V1067" s="404"/>
      <c r="W1067" s="404"/>
      <c r="X1067" s="404"/>
      <c r="Y1067" s="404"/>
      <c r="Z1067" s="404"/>
      <c r="AA1067" s="404"/>
      <c r="AB1067" s="404"/>
      <c r="AC1067" s="404"/>
      <c r="AD1067" s="404"/>
      <c r="AE1067" s="404"/>
      <c r="AF1067" s="404"/>
      <c r="AG1067" s="404"/>
      <c r="AH1067" s="404"/>
      <c r="AI1067" s="404"/>
      <c r="AJ1067" s="404"/>
      <c r="AK1067" s="404"/>
      <c r="AL1067" s="404"/>
      <c r="AM1067" s="404"/>
      <c r="AN1067" s="404"/>
      <c r="AO1067" s="404"/>
      <c r="AP1067" s="404"/>
      <c r="AQ1067" s="404"/>
      <c r="AR1067" s="404"/>
      <c r="AS1067" s="404"/>
      <c r="AT1067" s="404"/>
      <c r="AU1067" s="404"/>
      <c r="AV1067" s="404"/>
      <c r="AW1067" s="404"/>
      <c r="AX1067" s="404"/>
      <c r="AY1067" s="404"/>
      <c r="AZ1067" s="404"/>
      <c r="BA1067" s="404"/>
      <c r="BB1067" s="404"/>
      <c r="BC1067" s="404"/>
      <c r="BD1067" s="404"/>
      <c r="BE1067" s="404"/>
      <c r="BF1067" s="404"/>
      <c r="BG1067" s="404"/>
      <c r="BH1067" s="404"/>
      <c r="BI1067" s="404"/>
      <c r="BJ1067" s="404"/>
      <c r="BK1067" s="404"/>
      <c r="BL1067" s="404"/>
    </row>
    <row r="1068" spans="1:64" ht="13">
      <c r="A1068" s="426"/>
      <c r="B1068" s="406"/>
      <c r="C1068" s="417" t="s">
        <v>921</v>
      </c>
      <c r="D1068" s="432">
        <f>'[161]Civil-SOR'!$F$268+('[161]Civil-SOR'!$F$268*16.66%)</f>
        <v>2740.3433999999997</v>
      </c>
      <c r="E1068" s="432">
        <f>'[161]Civil-SOR'!$F$268+('[161]Civil-SOR'!$F$268*16.66%)</f>
        <v>2740.3433999999997</v>
      </c>
      <c r="F1068" s="432">
        <f>'[161]Civil-SOR'!$F$268+('[161]Civil-SOR'!$F$268*16.66%)</f>
        <v>2740.3433999999997</v>
      </c>
      <c r="G1068" s="432">
        <f>'[161]Civil-SOR'!$F$268+('[161]Civil-SOR'!$F$268*16.66%)</f>
        <v>2740.3433999999997</v>
      </c>
      <c r="H1068" s="432">
        <f>'[161]Civil-SOR'!$F$268+('[161]Civil-SOR'!$F$268*16.66%)</f>
        <v>2740.3433999999997</v>
      </c>
      <c r="I1068" s="432">
        <f>'[161]Civil-SOR'!$F$268+('[161]Civil-SOR'!$F$268*16.66%)</f>
        <v>2740.3433999999997</v>
      </c>
      <c r="J1068" s="544"/>
      <c r="K1068" s="545"/>
      <c r="L1068" s="551"/>
      <c r="M1068" s="498"/>
      <c r="N1068" s="498"/>
      <c r="O1068" s="498"/>
      <c r="P1068" s="498"/>
      <c r="Q1068" s="404"/>
      <c r="R1068" s="404"/>
      <c r="S1068" s="404"/>
      <c r="T1068" s="404"/>
      <c r="U1068" s="404"/>
      <c r="V1068" s="404"/>
      <c r="W1068" s="404"/>
      <c r="X1068" s="404"/>
      <c r="Y1068" s="404"/>
      <c r="Z1068" s="404"/>
      <c r="AA1068" s="404"/>
      <c r="AB1068" s="404"/>
      <c r="AC1068" s="404"/>
      <c r="AD1068" s="404"/>
      <c r="AE1068" s="404"/>
      <c r="AF1068" s="404"/>
      <c r="AG1068" s="404"/>
      <c r="AH1068" s="404"/>
      <c r="AI1068" s="404"/>
      <c r="AJ1068" s="404"/>
      <c r="AK1068" s="404"/>
      <c r="AL1068" s="404"/>
      <c r="AM1068" s="404"/>
      <c r="AN1068" s="404"/>
      <c r="AO1068" s="404"/>
      <c r="AP1068" s="404"/>
      <c r="AQ1068" s="404"/>
      <c r="AR1068" s="404"/>
      <c r="AS1068" s="404"/>
      <c r="AT1068" s="404"/>
      <c r="AU1068" s="404"/>
      <c r="AV1068" s="404"/>
      <c r="AW1068" s="404"/>
      <c r="AX1068" s="404"/>
      <c r="AY1068" s="404"/>
      <c r="AZ1068" s="404"/>
      <c r="BA1068" s="404"/>
      <c r="BB1068" s="404"/>
      <c r="BC1068" s="404"/>
      <c r="BD1068" s="404"/>
      <c r="BE1068" s="404"/>
      <c r="BF1068" s="404"/>
      <c r="BG1068" s="404"/>
      <c r="BH1068" s="404"/>
      <c r="BI1068" s="404"/>
      <c r="BJ1068" s="404"/>
      <c r="BK1068" s="404"/>
      <c r="BL1068" s="404"/>
    </row>
    <row r="1069" spans="1:64" ht="13">
      <c r="A1069" s="426"/>
      <c r="B1069" s="406"/>
      <c r="C1069" s="417" t="s">
        <v>993</v>
      </c>
      <c r="D1069" s="459">
        <f>'[161]Civil-SOR'!$G$268+('[161]Civil-SOR'!$G$268*16.66%)</f>
        <v>2672.6806000000001</v>
      </c>
      <c r="E1069" s="459">
        <f>'[161]Civil-SOR'!$H$268+('[161]Civil-SOR'!$H$268*16.66%)</f>
        <v>2939.8319999999999</v>
      </c>
      <c r="F1069" s="459">
        <f>'[161]Civil-SOR'!$I$268+('[161]Civil-SOR'!$I$268*16.66%)</f>
        <v>3206.9834000000001</v>
      </c>
      <c r="G1069" s="459">
        <f>'[161]Civil-SOR'!$J$268+('[161]Civil-SOR'!$J$268*16.66%)</f>
        <v>3474.1347999999998</v>
      </c>
      <c r="H1069" s="459">
        <f>'[161]Civil-SOR'!$K$268+('[161]Civil-SOR'!$K$268*16.66%)</f>
        <v>3741.2862</v>
      </c>
      <c r="I1069" s="459">
        <f>'[161]Civil-SOR'!$L$268+('[161]Civil-SOR'!$L$268*16.66%)</f>
        <v>4009.6041999999998</v>
      </c>
      <c r="J1069" s="544"/>
      <c r="K1069" s="545"/>
      <c r="L1069" s="551"/>
      <c r="M1069" s="498"/>
      <c r="N1069" s="498"/>
      <c r="O1069" s="498"/>
      <c r="P1069" s="498"/>
      <c r="Q1069" s="404"/>
      <c r="R1069" s="404"/>
      <c r="S1069" s="404"/>
      <c r="T1069" s="404"/>
      <c r="U1069" s="404"/>
      <c r="V1069" s="404"/>
      <c r="W1069" s="404"/>
      <c r="X1069" s="404"/>
      <c r="Y1069" s="404"/>
      <c r="Z1069" s="404"/>
      <c r="AA1069" s="404"/>
      <c r="AB1069" s="404"/>
      <c r="AC1069" s="404"/>
      <c r="AD1069" s="404"/>
      <c r="AE1069" s="404"/>
      <c r="AF1069" s="404"/>
      <c r="AG1069" s="404"/>
      <c r="AH1069" s="404"/>
      <c r="AI1069" s="404"/>
      <c r="AJ1069" s="404"/>
      <c r="AK1069" s="404"/>
      <c r="AL1069" s="404"/>
      <c r="AM1069" s="404"/>
      <c r="AN1069" s="404"/>
      <c r="AO1069" s="404"/>
      <c r="AP1069" s="404"/>
      <c r="AQ1069" s="404"/>
      <c r="AR1069" s="404"/>
      <c r="AS1069" s="404"/>
      <c r="AT1069" s="404"/>
      <c r="AU1069" s="404"/>
      <c r="AV1069" s="404"/>
      <c r="AW1069" s="404"/>
      <c r="AX1069" s="404"/>
      <c r="AY1069" s="404"/>
      <c r="AZ1069" s="404"/>
      <c r="BA1069" s="404"/>
      <c r="BB1069" s="404"/>
      <c r="BC1069" s="404"/>
      <c r="BD1069" s="404"/>
      <c r="BE1069" s="404"/>
      <c r="BF1069" s="404"/>
      <c r="BG1069" s="404"/>
      <c r="BH1069" s="404"/>
      <c r="BI1069" s="404"/>
      <c r="BJ1069" s="404"/>
      <c r="BK1069" s="404"/>
      <c r="BL1069" s="404"/>
    </row>
    <row r="1070" spans="1:64" ht="13">
      <c r="A1070" s="426"/>
      <c r="B1070" s="406"/>
      <c r="C1070" s="417" t="str">
        <f>[161]Input!$C$47</f>
        <v>Add for MA @ 40%</v>
      </c>
      <c r="D1070" s="432">
        <f>D1069*[161]Input!$D$47</f>
        <v>1069.0722400000002</v>
      </c>
      <c r="E1070" s="432">
        <f>E1069*[161]Input!$D$47</f>
        <v>1175.9328</v>
      </c>
      <c r="F1070" s="432">
        <f>F1069*[161]Input!$D$47</f>
        <v>1282.7933600000001</v>
      </c>
      <c r="G1070" s="432">
        <f>G1069*[161]Input!$D$47</f>
        <v>1389.65392</v>
      </c>
      <c r="H1070" s="432">
        <f>H1069*[161]Input!$D$47</f>
        <v>1496.51448</v>
      </c>
      <c r="I1070" s="432">
        <f>I1069*[161]Input!$D$47</f>
        <v>1603.84168</v>
      </c>
      <c r="J1070" s="544"/>
      <c r="K1070" s="545"/>
      <c r="L1070" s="551"/>
      <c r="M1070" s="498"/>
      <c r="N1070" s="498"/>
      <c r="O1070" s="498"/>
      <c r="P1070" s="498"/>
      <c r="Q1070" s="404"/>
      <c r="R1070" s="404"/>
      <c r="S1070" s="404"/>
      <c r="T1070" s="404"/>
      <c r="U1070" s="404"/>
      <c r="V1070" s="404"/>
      <c r="W1070" s="404"/>
      <c r="X1070" s="404"/>
      <c r="Y1070" s="404"/>
      <c r="Z1070" s="404"/>
      <c r="AA1070" s="404"/>
      <c r="AB1070" s="404"/>
      <c r="AC1070" s="404"/>
      <c r="AD1070" s="404"/>
      <c r="AE1070" s="404"/>
      <c r="AF1070" s="404"/>
      <c r="AG1070" s="404"/>
      <c r="AH1070" s="404"/>
      <c r="AI1070" s="404"/>
      <c r="AJ1070" s="404"/>
      <c r="AK1070" s="404"/>
      <c r="AL1070" s="404"/>
      <c r="AM1070" s="404"/>
      <c r="AN1070" s="404"/>
      <c r="AO1070" s="404"/>
      <c r="AP1070" s="404"/>
      <c r="AQ1070" s="404"/>
      <c r="AR1070" s="404"/>
      <c r="AS1070" s="404"/>
      <c r="AT1070" s="404"/>
      <c r="AU1070" s="404"/>
      <c r="AV1070" s="404"/>
      <c r="AW1070" s="404"/>
      <c r="AX1070" s="404"/>
      <c r="AY1070" s="404"/>
      <c r="AZ1070" s="404"/>
      <c r="BA1070" s="404"/>
      <c r="BB1070" s="404"/>
      <c r="BC1070" s="404"/>
      <c r="BD1070" s="404"/>
      <c r="BE1070" s="404"/>
      <c r="BF1070" s="404"/>
      <c r="BG1070" s="404"/>
      <c r="BH1070" s="404"/>
      <c r="BI1070" s="404"/>
      <c r="BJ1070" s="404"/>
      <c r="BK1070" s="404"/>
      <c r="BL1070" s="404"/>
    </row>
    <row r="1071" spans="1:64" ht="13">
      <c r="A1071" s="426"/>
      <c r="B1071" s="406"/>
      <c r="C1071" s="417" t="s">
        <v>994</v>
      </c>
      <c r="D1071" s="432"/>
      <c r="E1071" s="432">
        <f>$F$1025*0.1</f>
        <v>171.20500000000001</v>
      </c>
      <c r="F1071" s="432">
        <f>$F$1025*0.2</f>
        <v>342.41</v>
      </c>
      <c r="G1071" s="432">
        <f>$F$1025*0.3</f>
        <v>513.61500000000001</v>
      </c>
      <c r="H1071" s="432">
        <f>$F$1025*0.4</f>
        <v>684.82</v>
      </c>
      <c r="I1071" s="432">
        <f>$F$1025*0.5</f>
        <v>856.02499999999998</v>
      </c>
      <c r="J1071" s="544"/>
      <c r="K1071" s="545"/>
      <c r="L1071" s="551"/>
      <c r="M1071" s="498"/>
      <c r="N1071" s="498"/>
      <c r="O1071" s="498"/>
      <c r="P1071" s="498"/>
      <c r="Q1071" s="404"/>
      <c r="R1071" s="404"/>
      <c r="S1071" s="404"/>
      <c r="T1071" s="404"/>
      <c r="U1071" s="404"/>
      <c r="V1071" s="404"/>
      <c r="W1071" s="404"/>
      <c r="X1071" s="404"/>
      <c r="Y1071" s="404"/>
      <c r="Z1071" s="404"/>
      <c r="AA1071" s="404"/>
      <c r="AB1071" s="404"/>
      <c r="AC1071" s="404"/>
      <c r="AD1071" s="404"/>
      <c r="AE1071" s="404"/>
      <c r="AF1071" s="404"/>
      <c r="AG1071" s="404"/>
      <c r="AH1071" s="404"/>
      <c r="AI1071" s="404"/>
      <c r="AJ1071" s="404"/>
      <c r="AK1071" s="404"/>
      <c r="AL1071" s="404"/>
      <c r="AM1071" s="404"/>
      <c r="AN1071" s="404"/>
      <c r="AO1071" s="404"/>
      <c r="AP1071" s="404"/>
      <c r="AQ1071" s="404"/>
      <c r="AR1071" s="404"/>
      <c r="AS1071" s="404"/>
      <c r="AT1071" s="404"/>
      <c r="AU1071" s="404"/>
      <c r="AV1071" s="404"/>
      <c r="AW1071" s="404"/>
      <c r="AX1071" s="404"/>
      <c r="AY1071" s="404"/>
      <c r="AZ1071" s="404"/>
      <c r="BA1071" s="404"/>
      <c r="BB1071" s="404"/>
      <c r="BC1071" s="404"/>
      <c r="BD1071" s="404"/>
      <c r="BE1071" s="404"/>
      <c r="BF1071" s="404"/>
      <c r="BG1071" s="404"/>
      <c r="BH1071" s="404"/>
      <c r="BI1071" s="404"/>
      <c r="BJ1071" s="404"/>
      <c r="BK1071" s="404"/>
      <c r="BL1071" s="404"/>
    </row>
    <row r="1072" spans="1:64" ht="13">
      <c r="A1072" s="426"/>
      <c r="B1072" s="406"/>
      <c r="C1072" s="417" t="str">
        <f>[161]Input!$C$47</f>
        <v>Add for MA @ 40%</v>
      </c>
      <c r="D1072" s="432">
        <f>D1071*[161]Input!$D$47</f>
        <v>0</v>
      </c>
      <c r="E1072" s="432">
        <f>E1071*[161]Input!$D$47</f>
        <v>68.482000000000014</v>
      </c>
      <c r="F1072" s="432">
        <f>F1071*[161]Input!$D$47</f>
        <v>136.96400000000003</v>
      </c>
      <c r="G1072" s="432">
        <f>G1071*[161]Input!$D$47</f>
        <v>205.44600000000003</v>
      </c>
      <c r="H1072" s="432">
        <f>H1071*[161]Input!$D$47</f>
        <v>273.92800000000005</v>
      </c>
      <c r="I1072" s="432">
        <f>I1071*[161]Input!$D$47</f>
        <v>342.41</v>
      </c>
      <c r="J1072" s="544"/>
      <c r="K1072" s="545"/>
      <c r="L1072" s="551"/>
      <c r="M1072" s="498"/>
      <c r="N1072" s="498"/>
      <c r="O1072" s="498"/>
      <c r="P1072" s="498"/>
      <c r="Q1072" s="404"/>
      <c r="R1072" s="404"/>
      <c r="S1072" s="404"/>
      <c r="T1072" s="404"/>
      <c r="U1072" s="404"/>
      <c r="V1072" s="404"/>
      <c r="W1072" s="404"/>
      <c r="X1072" s="404"/>
      <c r="Y1072" s="404"/>
      <c r="Z1072" s="404"/>
      <c r="AA1072" s="404"/>
      <c r="AB1072" s="404"/>
      <c r="AC1072" s="404"/>
      <c r="AD1072" s="404"/>
      <c r="AE1072" s="404"/>
      <c r="AF1072" s="404"/>
      <c r="AG1072" s="404"/>
      <c r="AH1072" s="404"/>
      <c r="AI1072" s="404"/>
      <c r="AJ1072" s="404"/>
      <c r="AK1072" s="404"/>
      <c r="AL1072" s="404"/>
      <c r="AM1072" s="404"/>
      <c r="AN1072" s="404"/>
      <c r="AO1072" s="404"/>
      <c r="AP1072" s="404"/>
      <c r="AQ1072" s="404"/>
      <c r="AR1072" s="404"/>
      <c r="AS1072" s="404"/>
      <c r="AT1072" s="404"/>
      <c r="AU1072" s="404"/>
      <c r="AV1072" s="404"/>
      <c r="AW1072" s="404"/>
      <c r="AX1072" s="404"/>
      <c r="AY1072" s="404"/>
      <c r="AZ1072" s="404"/>
      <c r="BA1072" s="404"/>
      <c r="BB1072" s="404"/>
      <c r="BC1072" s="404"/>
      <c r="BD1072" s="404"/>
      <c r="BE1072" s="404"/>
      <c r="BF1072" s="404"/>
      <c r="BG1072" s="404"/>
      <c r="BH1072" s="404"/>
      <c r="BI1072" s="404"/>
      <c r="BJ1072" s="404"/>
      <c r="BK1072" s="404"/>
      <c r="BL1072" s="404"/>
    </row>
    <row r="1073" spans="1:64" ht="13">
      <c r="A1073" s="426"/>
      <c r="B1073" s="406"/>
      <c r="C1073" s="427" t="s">
        <v>904</v>
      </c>
      <c r="D1073" s="432">
        <f t="shared" ref="D1073:I1073" si="195">SUM(D1067:D1072)</f>
        <v>13427.717999999999</v>
      </c>
      <c r="E1073" s="432">
        <f t="shared" si="195"/>
        <v>14041.41696</v>
      </c>
      <c r="F1073" s="432">
        <f t="shared" si="195"/>
        <v>14655.11592</v>
      </c>
      <c r="G1073" s="432">
        <f t="shared" si="195"/>
        <v>15268.81488</v>
      </c>
      <c r="H1073" s="432">
        <f t="shared" si="195"/>
        <v>15882.51384</v>
      </c>
      <c r="I1073" s="432">
        <f t="shared" si="195"/>
        <v>16497.84604</v>
      </c>
      <c r="J1073" s="544"/>
      <c r="K1073" s="545"/>
      <c r="L1073" s="551"/>
      <c r="M1073" s="498"/>
      <c r="N1073" s="498"/>
      <c r="O1073" s="498"/>
      <c r="P1073" s="498"/>
      <c r="Q1073" s="404"/>
      <c r="R1073" s="404"/>
      <c r="S1073" s="404"/>
      <c r="T1073" s="404"/>
      <c r="U1073" s="404"/>
      <c r="V1073" s="404"/>
      <c r="W1073" s="404"/>
      <c r="X1073" s="404"/>
      <c r="Y1073" s="404"/>
      <c r="Z1073" s="404"/>
      <c r="AA1073" s="404"/>
      <c r="AB1073" s="404"/>
      <c r="AC1073" s="404"/>
      <c r="AD1073" s="404"/>
      <c r="AE1073" s="404"/>
      <c r="AF1073" s="404"/>
      <c r="AG1073" s="404"/>
      <c r="AH1073" s="404"/>
      <c r="AI1073" s="404"/>
      <c r="AJ1073" s="404"/>
      <c r="AK1073" s="404"/>
      <c r="AL1073" s="404"/>
      <c r="AM1073" s="404"/>
      <c r="AN1073" s="404"/>
      <c r="AO1073" s="404"/>
      <c r="AP1073" s="404"/>
      <c r="AQ1073" s="404"/>
      <c r="AR1073" s="404"/>
      <c r="AS1073" s="404"/>
      <c r="AT1073" s="404"/>
      <c r="AU1073" s="404"/>
      <c r="AV1073" s="404"/>
      <c r="AW1073" s="404"/>
      <c r="AX1073" s="404"/>
      <c r="AY1073" s="404"/>
      <c r="AZ1073" s="404"/>
      <c r="BA1073" s="404"/>
      <c r="BB1073" s="404"/>
      <c r="BC1073" s="404"/>
      <c r="BD1073" s="404"/>
      <c r="BE1073" s="404"/>
      <c r="BF1073" s="404"/>
      <c r="BG1073" s="404"/>
      <c r="BH1073" s="404"/>
      <c r="BI1073" s="404"/>
      <c r="BJ1073" s="404"/>
      <c r="BK1073" s="404"/>
      <c r="BL1073" s="404"/>
    </row>
    <row r="1074" spans="1:64" ht="25">
      <c r="A1074" s="426"/>
      <c r="B1074" s="406"/>
      <c r="C1074" s="417" t="str">
        <f>[161]Input!$C$48</f>
        <v>Overheads &amp; Contractors Profit @ 13.615%</v>
      </c>
      <c r="D1074" s="406">
        <f>ROUND(D1073*[161]Input!$D$48,2)</f>
        <v>1828.18</v>
      </c>
      <c r="E1074" s="406">
        <f>ROUND(E1073*[161]Input!$D$48,2)</f>
        <v>1911.74</v>
      </c>
      <c r="F1074" s="406">
        <f>ROUND(F1073*[161]Input!$D$48,2)</f>
        <v>1995.29</v>
      </c>
      <c r="G1074" s="406">
        <f>ROUND(G1073*[161]Input!$D$48,2)</f>
        <v>2078.85</v>
      </c>
      <c r="H1074" s="406">
        <f>ROUND(H1073*[161]Input!$D$48,2)</f>
        <v>2162.4</v>
      </c>
      <c r="I1074" s="406">
        <f>ROUND(I1073*[161]Input!$D$48,2)</f>
        <v>2246.1799999999998</v>
      </c>
      <c r="J1074" s="544"/>
      <c r="K1074" s="545"/>
      <c r="L1074" s="551"/>
      <c r="M1074" s="498"/>
      <c r="N1074" s="498"/>
      <c r="O1074" s="498"/>
      <c r="P1074" s="498"/>
      <c r="Q1074" s="404"/>
      <c r="R1074" s="404"/>
      <c r="S1074" s="404"/>
      <c r="T1074" s="404"/>
      <c r="U1074" s="404"/>
      <c r="V1074" s="404"/>
      <c r="W1074" s="404"/>
      <c r="X1074" s="404"/>
      <c r="Y1074" s="404"/>
      <c r="Z1074" s="404"/>
      <c r="AA1074" s="404"/>
      <c r="AB1074" s="404"/>
      <c r="AC1074" s="404"/>
      <c r="AD1074" s="404"/>
      <c r="AE1074" s="404"/>
      <c r="AF1074" s="404"/>
      <c r="AG1074" s="404"/>
      <c r="AH1074" s="404"/>
      <c r="AI1074" s="404"/>
      <c r="AJ1074" s="404"/>
      <c r="AK1074" s="404"/>
      <c r="AL1074" s="404"/>
      <c r="AM1074" s="404"/>
      <c r="AN1074" s="404"/>
      <c r="AO1074" s="404"/>
      <c r="AP1074" s="404"/>
      <c r="AQ1074" s="404"/>
      <c r="AR1074" s="404"/>
      <c r="AS1074" s="404"/>
      <c r="AT1074" s="404"/>
      <c r="AU1074" s="404"/>
      <c r="AV1074" s="404"/>
      <c r="AW1074" s="404"/>
      <c r="AX1074" s="404"/>
      <c r="AY1074" s="404"/>
      <c r="AZ1074" s="404"/>
      <c r="BA1074" s="404"/>
      <c r="BB1074" s="404"/>
      <c r="BC1074" s="404"/>
      <c r="BD1074" s="404"/>
      <c r="BE1074" s="404"/>
      <c r="BF1074" s="404"/>
      <c r="BG1074" s="404"/>
      <c r="BH1074" s="404"/>
      <c r="BI1074" s="404"/>
      <c r="BJ1074" s="404"/>
      <c r="BK1074" s="404"/>
      <c r="BL1074" s="404"/>
    </row>
    <row r="1075" spans="1:64" ht="13">
      <c r="A1075" s="426"/>
      <c r="B1075" s="426"/>
      <c r="C1075" s="427" t="s">
        <v>724</v>
      </c>
      <c r="D1075" s="409">
        <f t="shared" ref="D1075:I1075" si="196">SUM(D1073:D1074)</f>
        <v>15255.897999999999</v>
      </c>
      <c r="E1075" s="409">
        <f t="shared" si="196"/>
        <v>15953.15696</v>
      </c>
      <c r="F1075" s="409">
        <f t="shared" si="196"/>
        <v>16650.405920000001</v>
      </c>
      <c r="G1075" s="409">
        <f t="shared" si="196"/>
        <v>17347.66488</v>
      </c>
      <c r="H1075" s="409">
        <f t="shared" si="196"/>
        <v>18044.913840000001</v>
      </c>
      <c r="I1075" s="409">
        <f t="shared" si="196"/>
        <v>18744.026040000001</v>
      </c>
      <c r="J1075" s="544"/>
      <c r="K1075" s="545"/>
      <c r="L1075" s="551"/>
      <c r="M1075" s="498"/>
      <c r="N1075" s="498"/>
      <c r="O1075" s="498"/>
      <c r="P1075" s="498"/>
      <c r="Q1075" s="404"/>
      <c r="R1075" s="404"/>
      <c r="S1075" s="404"/>
      <c r="T1075" s="404"/>
      <c r="U1075" s="404"/>
      <c r="V1075" s="404"/>
      <c r="W1075" s="404"/>
      <c r="X1075" s="404"/>
      <c r="Y1075" s="404"/>
      <c r="Z1075" s="404"/>
      <c r="AA1075" s="404"/>
      <c r="AB1075" s="404"/>
      <c r="AC1075" s="404"/>
      <c r="AD1075" s="404"/>
      <c r="AE1075" s="404"/>
      <c r="AF1075" s="404"/>
      <c r="AG1075" s="404"/>
      <c r="AH1075" s="404"/>
      <c r="AI1075" s="404"/>
      <c r="AJ1075" s="404"/>
      <c r="AK1075" s="404"/>
      <c r="AL1075" s="404"/>
      <c r="AM1075" s="404"/>
      <c r="AN1075" s="404"/>
      <c r="AO1075" s="404"/>
      <c r="AP1075" s="404"/>
      <c r="AQ1075" s="404"/>
      <c r="AR1075" s="404"/>
      <c r="AS1075" s="404"/>
      <c r="AT1075" s="404"/>
      <c r="AU1075" s="404"/>
      <c r="AV1075" s="404"/>
      <c r="AW1075" s="404"/>
      <c r="AX1075" s="404"/>
      <c r="AY1075" s="404"/>
      <c r="AZ1075" s="404"/>
      <c r="BA1075" s="404"/>
      <c r="BB1075" s="404"/>
      <c r="BC1075" s="404"/>
      <c r="BD1075" s="404"/>
      <c r="BE1075" s="404"/>
      <c r="BF1075" s="404"/>
      <c r="BG1075" s="404"/>
      <c r="BH1075" s="404"/>
      <c r="BI1075" s="404"/>
      <c r="BJ1075" s="404"/>
      <c r="BK1075" s="404"/>
      <c r="BL1075" s="404"/>
    </row>
    <row r="1076" spans="1:64" ht="13">
      <c r="A1076" s="426"/>
      <c r="B1076" s="426"/>
      <c r="C1076" s="514" t="s">
        <v>726</v>
      </c>
      <c r="D1076" s="416">
        <f t="shared" ref="D1076:I1076" si="197">ROUND(D1075,0)</f>
        <v>15256</v>
      </c>
      <c r="E1076" s="416">
        <f t="shared" si="197"/>
        <v>15953</v>
      </c>
      <c r="F1076" s="416">
        <f t="shared" si="197"/>
        <v>16650</v>
      </c>
      <c r="G1076" s="416">
        <f t="shared" si="197"/>
        <v>17348</v>
      </c>
      <c r="H1076" s="416">
        <f t="shared" si="197"/>
        <v>18045</v>
      </c>
      <c r="I1076" s="416">
        <f t="shared" si="197"/>
        <v>18744</v>
      </c>
      <c r="J1076" s="544"/>
      <c r="K1076" s="545"/>
      <c r="L1076" s="551"/>
      <c r="M1076" s="498"/>
      <c r="N1076" s="498"/>
      <c r="O1076" s="498"/>
      <c r="P1076" s="498"/>
      <c r="Q1076" s="404"/>
      <c r="R1076" s="404"/>
      <c r="S1076" s="404"/>
      <c r="T1076" s="404"/>
      <c r="U1076" s="404"/>
      <c r="V1076" s="404"/>
      <c r="W1076" s="404"/>
      <c r="X1076" s="404"/>
      <c r="Y1076" s="404"/>
      <c r="Z1076" s="404"/>
      <c r="AA1076" s="404"/>
      <c r="AB1076" s="404"/>
      <c r="AC1076" s="404"/>
      <c r="AD1076" s="404"/>
      <c r="AE1076" s="404"/>
      <c r="AF1076" s="404"/>
      <c r="AG1076" s="404"/>
      <c r="AH1076" s="404"/>
      <c r="AI1076" s="404"/>
      <c r="AJ1076" s="404"/>
      <c r="AK1076" s="404"/>
      <c r="AL1076" s="404"/>
      <c r="AM1076" s="404"/>
      <c r="AN1076" s="404"/>
      <c r="AO1076" s="404"/>
      <c r="AP1076" s="404"/>
      <c r="AQ1076" s="404"/>
      <c r="AR1076" s="404"/>
      <c r="AS1076" s="404"/>
      <c r="AT1076" s="404"/>
      <c r="AU1076" s="404"/>
      <c r="AV1076" s="404"/>
      <c r="AW1076" s="404"/>
      <c r="AX1076" s="404"/>
      <c r="AY1076" s="404"/>
      <c r="AZ1076" s="404"/>
      <c r="BA1076" s="404"/>
      <c r="BB1076" s="404"/>
      <c r="BC1076" s="404"/>
      <c r="BD1076" s="404"/>
      <c r="BE1076" s="404"/>
      <c r="BF1076" s="404"/>
      <c r="BG1076" s="404"/>
      <c r="BH1076" s="404"/>
      <c r="BI1076" s="404"/>
      <c r="BJ1076" s="404"/>
      <c r="BK1076" s="404"/>
      <c r="BL1076" s="404"/>
    </row>
    <row r="1077" spans="1:64" ht="13">
      <c r="A1077" s="426"/>
      <c r="B1077" s="426"/>
      <c r="C1077" s="451"/>
      <c r="D1077" s="416"/>
      <c r="E1077" s="416"/>
      <c r="F1077" s="416"/>
      <c r="G1077" s="416"/>
      <c r="H1077" s="416"/>
      <c r="I1077" s="414"/>
      <c r="J1077" s="544"/>
      <c r="K1077" s="545"/>
      <c r="L1077" s="551"/>
      <c r="M1077" s="498"/>
      <c r="N1077" s="498"/>
      <c r="O1077" s="498"/>
      <c r="P1077" s="498"/>
      <c r="Q1077" s="404"/>
      <c r="R1077" s="404"/>
      <c r="S1077" s="404"/>
      <c r="T1077" s="404"/>
      <c r="U1077" s="404"/>
      <c r="V1077" s="404"/>
      <c r="W1077" s="404"/>
      <c r="X1077" s="404"/>
      <c r="Y1077" s="404"/>
      <c r="Z1077" s="404"/>
      <c r="AA1077" s="404"/>
      <c r="AB1077" s="404"/>
      <c r="AC1077" s="404"/>
      <c r="AD1077" s="404"/>
      <c r="AE1077" s="404"/>
      <c r="AF1077" s="404"/>
      <c r="AG1077" s="404"/>
      <c r="AH1077" s="404"/>
      <c r="AI1077" s="404"/>
      <c r="AJ1077" s="404"/>
      <c r="AK1077" s="404"/>
      <c r="AL1077" s="404"/>
      <c r="AM1077" s="404"/>
      <c r="AN1077" s="404"/>
      <c r="AO1077" s="404"/>
      <c r="AP1077" s="404"/>
      <c r="AQ1077" s="404"/>
      <c r="AR1077" s="404"/>
      <c r="AS1077" s="404"/>
      <c r="AT1077" s="404"/>
      <c r="AU1077" s="404"/>
      <c r="AV1077" s="404"/>
      <c r="AW1077" s="404"/>
      <c r="AX1077" s="404"/>
      <c r="AY1077" s="404"/>
      <c r="AZ1077" s="404"/>
      <c r="BA1077" s="404"/>
      <c r="BB1077" s="404"/>
      <c r="BC1077" s="404"/>
      <c r="BD1077" s="404"/>
      <c r="BE1077" s="404"/>
      <c r="BF1077" s="404"/>
      <c r="BG1077" s="404"/>
      <c r="BH1077" s="404"/>
      <c r="BI1077" s="404"/>
      <c r="BJ1077" s="404"/>
      <c r="BK1077" s="404"/>
      <c r="BL1077" s="404"/>
    </row>
    <row r="1078" spans="1:64" ht="13">
      <c r="A1078" s="426"/>
      <c r="B1078" s="474" t="s">
        <v>957</v>
      </c>
      <c r="C1078" s="451" t="s">
        <v>958</v>
      </c>
      <c r="D1078" s="426"/>
      <c r="E1078" s="426"/>
      <c r="F1078" s="426"/>
      <c r="G1078" s="410"/>
      <c r="H1078" s="426"/>
      <c r="I1078" s="434"/>
      <c r="J1078" s="544"/>
      <c r="K1078" s="545"/>
      <c r="L1078" s="551"/>
      <c r="M1078" s="498"/>
      <c r="N1078" s="498"/>
      <c r="O1078" s="498"/>
      <c r="P1078" s="498"/>
      <c r="Q1078" s="404"/>
      <c r="R1078" s="404"/>
      <c r="S1078" s="404"/>
      <c r="T1078" s="404"/>
      <c r="U1078" s="404"/>
      <c r="V1078" s="404"/>
      <c r="W1078" s="404"/>
      <c r="X1078" s="404"/>
      <c r="Y1078" s="404"/>
      <c r="Z1078" s="404"/>
      <c r="AA1078" s="404"/>
      <c r="AB1078" s="404"/>
      <c r="AC1078" s="404"/>
      <c r="AD1078" s="404"/>
      <c r="AE1078" s="404"/>
      <c r="AF1078" s="404"/>
      <c r="AG1078" s="404"/>
      <c r="AH1078" s="404"/>
      <c r="AI1078" s="404"/>
      <c r="AJ1078" s="404"/>
      <c r="AK1078" s="404"/>
      <c r="AL1078" s="404"/>
      <c r="AM1078" s="404"/>
      <c r="AN1078" s="404"/>
      <c r="AO1078" s="404"/>
      <c r="AP1078" s="404"/>
      <c r="AQ1078" s="404"/>
      <c r="AR1078" s="404"/>
      <c r="AS1078" s="404"/>
      <c r="AT1078" s="404"/>
      <c r="AU1078" s="404"/>
      <c r="AV1078" s="404"/>
      <c r="AW1078" s="404"/>
      <c r="AX1078" s="404"/>
      <c r="AY1078" s="404"/>
      <c r="AZ1078" s="404"/>
      <c r="BA1078" s="404"/>
      <c r="BB1078" s="404"/>
      <c r="BC1078" s="404"/>
      <c r="BD1078" s="404"/>
      <c r="BE1078" s="404"/>
      <c r="BF1078" s="404"/>
      <c r="BG1078" s="404"/>
      <c r="BH1078" s="404"/>
      <c r="BI1078" s="404"/>
      <c r="BJ1078" s="404"/>
      <c r="BK1078" s="404"/>
      <c r="BL1078" s="404"/>
    </row>
    <row r="1079" spans="1:64" ht="13">
      <c r="A1079" s="426"/>
      <c r="B1079" s="426"/>
      <c r="C1079" s="427" t="s">
        <v>953</v>
      </c>
      <c r="D1079" s="414" t="s">
        <v>959</v>
      </c>
      <c r="E1079" s="474" t="s">
        <v>943</v>
      </c>
      <c r="F1079" s="492" t="s">
        <v>944</v>
      </c>
      <c r="G1079" s="492" t="s">
        <v>945</v>
      </c>
      <c r="H1079" s="492" t="s">
        <v>946</v>
      </c>
      <c r="I1079" s="492" t="s">
        <v>947</v>
      </c>
      <c r="J1079" s="544"/>
      <c r="K1079" s="545"/>
      <c r="L1079" s="551"/>
      <c r="M1079" s="498"/>
      <c r="N1079" s="498"/>
      <c r="O1079" s="498"/>
      <c r="P1079" s="498"/>
      <c r="Q1079" s="420"/>
      <c r="R1079" s="420"/>
      <c r="S1079" s="420"/>
      <c r="T1079" s="420"/>
      <c r="U1079" s="420"/>
      <c r="V1079" s="420"/>
      <c r="W1079" s="420"/>
      <c r="X1079" s="420"/>
      <c r="Y1079" s="420"/>
      <c r="Z1079" s="420"/>
      <c r="AA1079" s="420"/>
      <c r="AB1079" s="420"/>
      <c r="AC1079" s="420"/>
      <c r="AD1079" s="420"/>
      <c r="AE1079" s="420"/>
      <c r="AF1079" s="420"/>
      <c r="AG1079" s="420"/>
      <c r="AH1079" s="420"/>
      <c r="AI1079" s="420"/>
      <c r="AJ1079" s="420"/>
      <c r="AK1079" s="420"/>
      <c r="AL1079" s="420"/>
      <c r="AM1079" s="420"/>
      <c r="AN1079" s="420"/>
      <c r="AO1079" s="420"/>
      <c r="AP1079" s="420"/>
      <c r="AQ1079" s="420"/>
      <c r="AR1079" s="420"/>
      <c r="AS1079" s="420"/>
      <c r="AT1079" s="420"/>
      <c r="AU1079" s="420"/>
      <c r="AV1079" s="420"/>
      <c r="AW1079" s="420"/>
      <c r="AX1079" s="420"/>
      <c r="AY1079" s="420"/>
      <c r="AZ1079" s="420"/>
      <c r="BA1079" s="420"/>
      <c r="BB1079" s="420"/>
      <c r="BC1079" s="420"/>
      <c r="BD1079" s="420"/>
      <c r="BE1079" s="420"/>
      <c r="BF1079" s="420"/>
      <c r="BG1079" s="420"/>
      <c r="BH1079" s="420"/>
      <c r="BI1079" s="420"/>
      <c r="BJ1079" s="420"/>
      <c r="BK1079" s="420"/>
      <c r="BL1079" s="420"/>
    </row>
    <row r="1080" spans="1:64" ht="13">
      <c r="A1080" s="406"/>
      <c r="B1080" s="406"/>
      <c r="C1080" s="417" t="s">
        <v>954</v>
      </c>
      <c r="D1080" s="432">
        <f t="shared" ref="D1080:I1080" si="198">$I$1033</f>
        <v>6945.6217600000009</v>
      </c>
      <c r="E1080" s="432">
        <f t="shared" si="198"/>
        <v>6945.6217600000009</v>
      </c>
      <c r="F1080" s="432">
        <f t="shared" si="198"/>
        <v>6945.6217600000009</v>
      </c>
      <c r="G1080" s="432">
        <f t="shared" si="198"/>
        <v>6945.6217600000009</v>
      </c>
      <c r="H1080" s="432">
        <f t="shared" si="198"/>
        <v>6945.6217600000009</v>
      </c>
      <c r="I1080" s="432">
        <f t="shared" si="198"/>
        <v>6945.6217600000009</v>
      </c>
      <c r="J1080" s="544"/>
      <c r="K1080" s="545"/>
      <c r="L1080" s="551"/>
      <c r="M1080" s="498"/>
      <c r="N1080" s="498"/>
      <c r="O1080" s="498"/>
      <c r="P1080" s="498"/>
      <c r="Q1080" s="420"/>
      <c r="R1080" s="420"/>
      <c r="S1080" s="420"/>
      <c r="T1080" s="420"/>
      <c r="U1080" s="420"/>
      <c r="V1080" s="420"/>
      <c r="W1080" s="420"/>
      <c r="X1080" s="420"/>
      <c r="Y1080" s="420"/>
      <c r="Z1080" s="420"/>
      <c r="AA1080" s="420"/>
      <c r="AB1080" s="420"/>
      <c r="AC1080" s="420"/>
      <c r="AD1080" s="420"/>
      <c r="AE1080" s="420"/>
      <c r="AF1080" s="420"/>
      <c r="AG1080" s="420"/>
      <c r="AH1080" s="420"/>
      <c r="AI1080" s="420"/>
      <c r="AJ1080" s="420"/>
      <c r="AK1080" s="420"/>
      <c r="AL1080" s="420"/>
      <c r="AM1080" s="420"/>
      <c r="AN1080" s="420"/>
      <c r="AO1080" s="420"/>
      <c r="AP1080" s="420"/>
      <c r="AQ1080" s="420"/>
      <c r="AR1080" s="420"/>
      <c r="AS1080" s="420"/>
      <c r="AT1080" s="420"/>
      <c r="AU1080" s="420"/>
      <c r="AV1080" s="420"/>
      <c r="AW1080" s="420"/>
      <c r="AX1080" s="420"/>
      <c r="AY1080" s="420"/>
      <c r="AZ1080" s="420"/>
      <c r="BA1080" s="420"/>
      <c r="BB1080" s="420"/>
      <c r="BC1080" s="420"/>
      <c r="BD1080" s="420"/>
      <c r="BE1080" s="420"/>
      <c r="BF1080" s="420"/>
      <c r="BG1080" s="420"/>
      <c r="BH1080" s="420"/>
      <c r="BI1080" s="420"/>
      <c r="BJ1080" s="420"/>
      <c r="BK1080" s="420"/>
      <c r="BL1080" s="420"/>
    </row>
    <row r="1081" spans="1:64" ht="13">
      <c r="A1081" s="406"/>
      <c r="B1081" s="406"/>
      <c r="C1081" s="417" t="s">
        <v>921</v>
      </c>
      <c r="D1081" s="432">
        <f>'[161]Civil-SOR'!$F$268+('[161]Civil-SOR'!$F$268*16.66%)</f>
        <v>2740.3433999999997</v>
      </c>
      <c r="E1081" s="432">
        <f>'[161]Civil-SOR'!$F$268+('[161]Civil-SOR'!$F$268*16.66%)</f>
        <v>2740.3433999999997</v>
      </c>
      <c r="F1081" s="432">
        <f>'[161]Civil-SOR'!$F$268+('[161]Civil-SOR'!$F$268*16.66%)</f>
        <v>2740.3433999999997</v>
      </c>
      <c r="G1081" s="432">
        <f>'[161]Civil-SOR'!$F$268+('[161]Civil-SOR'!$F$268*16.66%)</f>
        <v>2740.3433999999997</v>
      </c>
      <c r="H1081" s="432">
        <f>'[161]Civil-SOR'!$F$268+('[161]Civil-SOR'!$F$268*16.66%)</f>
        <v>2740.3433999999997</v>
      </c>
      <c r="I1081" s="432">
        <f>'[161]Civil-SOR'!$F$268+('[161]Civil-SOR'!$F$268*16.66%)</f>
        <v>2740.3433999999997</v>
      </c>
      <c r="J1081" s="544"/>
      <c r="K1081" s="545"/>
      <c r="L1081" s="551"/>
      <c r="M1081" s="498"/>
      <c r="N1081" s="498"/>
      <c r="O1081" s="498"/>
      <c r="P1081" s="498"/>
      <c r="Q1081" s="420"/>
      <c r="R1081" s="420"/>
      <c r="S1081" s="420"/>
      <c r="T1081" s="420"/>
      <c r="U1081" s="420"/>
      <c r="V1081" s="420"/>
      <c r="W1081" s="420"/>
      <c r="X1081" s="420"/>
      <c r="Y1081" s="420"/>
      <c r="Z1081" s="420"/>
      <c r="AA1081" s="420"/>
      <c r="AB1081" s="420"/>
      <c r="AC1081" s="420"/>
      <c r="AD1081" s="420"/>
      <c r="AE1081" s="420"/>
      <c r="AF1081" s="420"/>
      <c r="AG1081" s="420"/>
      <c r="AH1081" s="420"/>
      <c r="AI1081" s="420"/>
      <c r="AJ1081" s="420"/>
      <c r="AK1081" s="420"/>
      <c r="AL1081" s="420"/>
      <c r="AM1081" s="420"/>
      <c r="AN1081" s="420"/>
      <c r="AO1081" s="420"/>
      <c r="AP1081" s="420"/>
      <c r="AQ1081" s="420"/>
      <c r="AR1081" s="420"/>
      <c r="AS1081" s="420"/>
      <c r="AT1081" s="420"/>
      <c r="AU1081" s="420"/>
      <c r="AV1081" s="420"/>
      <c r="AW1081" s="420"/>
      <c r="AX1081" s="420"/>
      <c r="AY1081" s="420"/>
      <c r="AZ1081" s="420"/>
      <c r="BA1081" s="420"/>
      <c r="BB1081" s="420"/>
      <c r="BC1081" s="420"/>
      <c r="BD1081" s="420"/>
      <c r="BE1081" s="420"/>
      <c r="BF1081" s="420"/>
      <c r="BG1081" s="420"/>
      <c r="BH1081" s="420"/>
      <c r="BI1081" s="420"/>
      <c r="BJ1081" s="420"/>
      <c r="BK1081" s="420"/>
      <c r="BL1081" s="420"/>
    </row>
    <row r="1082" spans="1:64" ht="13">
      <c r="A1082" s="406"/>
      <c r="B1082" s="406"/>
      <c r="C1082" s="417" t="s">
        <v>993</v>
      </c>
      <c r="D1082" s="459">
        <f>'[161]Civil-SOR'!$G$268+('[161]Civil-SOR'!$G$268*16.66%)</f>
        <v>2672.6806000000001</v>
      </c>
      <c r="E1082" s="459">
        <f>'[161]Civil-SOR'!$H$268+('[161]Civil-SOR'!$H$268*16.66%)</f>
        <v>2939.8319999999999</v>
      </c>
      <c r="F1082" s="459">
        <f>'[161]Civil-SOR'!$I$268+('[161]Civil-SOR'!$I$268*16.66%)</f>
        <v>3206.9834000000001</v>
      </c>
      <c r="G1082" s="459">
        <f>'[161]Civil-SOR'!$J$268+('[161]Civil-SOR'!$J$268*16.66%)</f>
        <v>3474.1347999999998</v>
      </c>
      <c r="H1082" s="459">
        <f>'[161]Civil-SOR'!$K$268+('[161]Civil-SOR'!$K$268*16.66%)</f>
        <v>3741.2862</v>
      </c>
      <c r="I1082" s="459">
        <f>'[161]Civil-SOR'!$L$268+('[161]Civil-SOR'!$L$268*16.66%)</f>
        <v>4009.6041999999998</v>
      </c>
      <c r="J1082" s="544"/>
      <c r="K1082" s="545"/>
      <c r="L1082" s="551"/>
      <c r="M1082" s="498"/>
      <c r="N1082" s="498"/>
      <c r="O1082" s="498"/>
      <c r="P1082" s="498"/>
      <c r="Q1082" s="420"/>
      <c r="R1082" s="420"/>
      <c r="S1082" s="420"/>
      <c r="T1082" s="420"/>
      <c r="U1082" s="420"/>
      <c r="V1082" s="420"/>
      <c r="W1082" s="420"/>
      <c r="X1082" s="420"/>
      <c r="Y1082" s="420"/>
      <c r="Z1082" s="420"/>
      <c r="AA1082" s="420"/>
      <c r="AB1082" s="420"/>
      <c r="AC1082" s="420"/>
      <c r="AD1082" s="420"/>
      <c r="AE1082" s="420"/>
      <c r="AF1082" s="420"/>
      <c r="AG1082" s="420"/>
      <c r="AH1082" s="420"/>
      <c r="AI1082" s="420"/>
      <c r="AJ1082" s="420"/>
      <c r="AK1082" s="420"/>
      <c r="AL1082" s="420"/>
      <c r="AM1082" s="420"/>
      <c r="AN1082" s="420"/>
      <c r="AO1082" s="420"/>
      <c r="AP1082" s="420"/>
      <c r="AQ1082" s="420"/>
      <c r="AR1082" s="420"/>
      <c r="AS1082" s="420"/>
      <c r="AT1082" s="420"/>
      <c r="AU1082" s="420"/>
      <c r="AV1082" s="420"/>
      <c r="AW1082" s="420"/>
      <c r="AX1082" s="420"/>
      <c r="AY1082" s="420"/>
      <c r="AZ1082" s="420"/>
      <c r="BA1082" s="420"/>
      <c r="BB1082" s="420"/>
      <c r="BC1082" s="420"/>
      <c r="BD1082" s="420"/>
      <c r="BE1082" s="420"/>
      <c r="BF1082" s="420"/>
      <c r="BG1082" s="420"/>
      <c r="BH1082" s="420"/>
      <c r="BI1082" s="420"/>
      <c r="BJ1082" s="420"/>
      <c r="BK1082" s="420"/>
      <c r="BL1082" s="420"/>
    </row>
    <row r="1083" spans="1:64" ht="13">
      <c r="A1083" s="406"/>
      <c r="B1083" s="406"/>
      <c r="C1083" s="417" t="str">
        <f>[161]Input!$C$47</f>
        <v>Add for MA @ 40%</v>
      </c>
      <c r="D1083" s="432">
        <f>D1082*[161]Input!$D$47</f>
        <v>1069.0722400000002</v>
      </c>
      <c r="E1083" s="432">
        <f>E1082*[161]Input!$D$47</f>
        <v>1175.9328</v>
      </c>
      <c r="F1083" s="432">
        <f>F1082*[161]Input!$D$47</f>
        <v>1282.7933600000001</v>
      </c>
      <c r="G1083" s="432">
        <f>G1082*[161]Input!$D$47</f>
        <v>1389.65392</v>
      </c>
      <c r="H1083" s="432">
        <f>H1082*[161]Input!$D$47</f>
        <v>1496.51448</v>
      </c>
      <c r="I1083" s="432">
        <f>I1082*[161]Input!$D$47</f>
        <v>1603.84168</v>
      </c>
      <c r="J1083" s="544"/>
      <c r="K1083" s="545"/>
      <c r="L1083" s="551"/>
      <c r="M1083" s="498"/>
      <c r="N1083" s="498"/>
      <c r="O1083" s="498"/>
      <c r="P1083" s="498"/>
      <c r="Q1083" s="420"/>
      <c r="R1083" s="420"/>
      <c r="S1083" s="420"/>
      <c r="T1083" s="420"/>
      <c r="U1083" s="420"/>
      <c r="V1083" s="420"/>
      <c r="W1083" s="420"/>
      <c r="X1083" s="420"/>
      <c r="Y1083" s="420"/>
      <c r="Z1083" s="420"/>
      <c r="AA1083" s="420"/>
      <c r="AB1083" s="420"/>
      <c r="AC1083" s="420"/>
      <c r="AD1083" s="420"/>
      <c r="AE1083" s="420"/>
      <c r="AF1083" s="420"/>
      <c r="AG1083" s="420"/>
      <c r="AH1083" s="420"/>
      <c r="AI1083" s="420"/>
      <c r="AJ1083" s="420"/>
      <c r="AK1083" s="420"/>
      <c r="AL1083" s="420"/>
      <c r="AM1083" s="420"/>
      <c r="AN1083" s="420"/>
      <c r="AO1083" s="420"/>
      <c r="AP1083" s="420"/>
      <c r="AQ1083" s="420"/>
      <c r="AR1083" s="420"/>
      <c r="AS1083" s="420"/>
      <c r="AT1083" s="420"/>
      <c r="AU1083" s="420"/>
      <c r="AV1083" s="420"/>
      <c r="AW1083" s="420"/>
      <c r="AX1083" s="420"/>
      <c r="AY1083" s="420"/>
      <c r="AZ1083" s="420"/>
      <c r="BA1083" s="420"/>
      <c r="BB1083" s="420"/>
      <c r="BC1083" s="420"/>
      <c r="BD1083" s="420"/>
      <c r="BE1083" s="420"/>
      <c r="BF1083" s="420"/>
      <c r="BG1083" s="420"/>
      <c r="BH1083" s="420"/>
      <c r="BI1083" s="420"/>
      <c r="BJ1083" s="420"/>
      <c r="BK1083" s="420"/>
      <c r="BL1083" s="420"/>
    </row>
    <row r="1084" spans="1:64" ht="25">
      <c r="A1084" s="406"/>
      <c r="B1084" s="406"/>
      <c r="C1084" s="417" t="s">
        <v>995</v>
      </c>
      <c r="D1084" s="432">
        <v>0</v>
      </c>
      <c r="E1084" s="432">
        <f>0.267*'[161]Civil-SOR'!$G$334</f>
        <v>101.11290000000002</v>
      </c>
      <c r="F1084" s="432">
        <f t="shared" ref="F1084:F1085" si="199">E1084*1.1</f>
        <v>111.22419000000004</v>
      </c>
      <c r="G1084" s="432">
        <f t="shared" ref="G1084:G1085" si="200">E1084*1.2</f>
        <v>121.33548000000002</v>
      </c>
      <c r="H1084" s="432">
        <f t="shared" ref="H1084:H1085" si="201">E1084*1.3</f>
        <v>131.44677000000004</v>
      </c>
      <c r="I1084" s="432">
        <f t="shared" ref="I1084:I1085" si="202">E1084*1.4</f>
        <v>141.55806000000001</v>
      </c>
      <c r="J1084" s="544"/>
      <c r="K1084" s="545"/>
      <c r="L1084" s="551"/>
      <c r="M1084" s="498"/>
      <c r="N1084" s="498"/>
      <c r="O1084" s="498"/>
      <c r="P1084" s="498"/>
      <c r="Q1084" s="420"/>
      <c r="R1084" s="420"/>
      <c r="S1084" s="420"/>
      <c r="T1084" s="420"/>
      <c r="U1084" s="420"/>
      <c r="V1084" s="420"/>
      <c r="W1084" s="420"/>
      <c r="X1084" s="420"/>
      <c r="Y1084" s="420"/>
      <c r="Z1084" s="420"/>
      <c r="AA1084" s="420"/>
      <c r="AB1084" s="420"/>
      <c r="AC1084" s="420"/>
      <c r="AD1084" s="420"/>
      <c r="AE1084" s="420"/>
      <c r="AF1084" s="420"/>
      <c r="AG1084" s="420"/>
      <c r="AH1084" s="420"/>
      <c r="AI1084" s="420"/>
      <c r="AJ1084" s="420"/>
      <c r="AK1084" s="420"/>
      <c r="AL1084" s="420"/>
      <c r="AM1084" s="420"/>
      <c r="AN1084" s="420"/>
      <c r="AO1084" s="420"/>
      <c r="AP1084" s="420"/>
      <c r="AQ1084" s="420"/>
      <c r="AR1084" s="420"/>
      <c r="AS1084" s="420"/>
      <c r="AT1084" s="420"/>
      <c r="AU1084" s="420"/>
      <c r="AV1084" s="420"/>
      <c r="AW1084" s="420"/>
      <c r="AX1084" s="420"/>
      <c r="AY1084" s="420"/>
      <c r="AZ1084" s="420"/>
      <c r="BA1084" s="420"/>
      <c r="BB1084" s="420"/>
      <c r="BC1084" s="420"/>
      <c r="BD1084" s="420"/>
      <c r="BE1084" s="420"/>
      <c r="BF1084" s="420"/>
      <c r="BG1084" s="420"/>
      <c r="BH1084" s="420"/>
      <c r="BI1084" s="420"/>
      <c r="BJ1084" s="420"/>
      <c r="BK1084" s="420"/>
      <c r="BL1084" s="420"/>
    </row>
    <row r="1085" spans="1:64" ht="13">
      <c r="A1085" s="406"/>
      <c r="B1085" s="406"/>
      <c r="C1085" s="417" t="s">
        <v>828</v>
      </c>
      <c r="D1085" s="432"/>
      <c r="E1085" s="432">
        <f>0.267*'[161]Civil-SOR'!$J$334</f>
        <v>96.226799999999997</v>
      </c>
      <c r="F1085" s="432">
        <f t="shared" si="199"/>
        <v>105.84948</v>
      </c>
      <c r="G1085" s="432">
        <f t="shared" si="200"/>
        <v>115.47215999999999</v>
      </c>
      <c r="H1085" s="432">
        <f t="shared" si="201"/>
        <v>125.09484</v>
      </c>
      <c r="I1085" s="432">
        <f t="shared" si="202"/>
        <v>134.71751999999998</v>
      </c>
      <c r="J1085" s="544"/>
      <c r="K1085" s="545"/>
      <c r="L1085" s="551"/>
      <c r="M1085" s="498"/>
      <c r="N1085" s="498"/>
      <c r="O1085" s="498"/>
      <c r="P1085" s="498"/>
      <c r="Q1085" s="420"/>
      <c r="R1085" s="420"/>
      <c r="S1085" s="420"/>
      <c r="T1085" s="420"/>
      <c r="U1085" s="420"/>
      <c r="V1085" s="420"/>
      <c r="W1085" s="420"/>
      <c r="X1085" s="420"/>
      <c r="Y1085" s="420"/>
      <c r="Z1085" s="420"/>
      <c r="AA1085" s="420"/>
      <c r="AB1085" s="420"/>
      <c r="AC1085" s="420"/>
      <c r="AD1085" s="420"/>
      <c r="AE1085" s="420"/>
      <c r="AF1085" s="420"/>
      <c r="AG1085" s="420"/>
      <c r="AH1085" s="420"/>
      <c r="AI1085" s="420"/>
      <c r="AJ1085" s="420"/>
      <c r="AK1085" s="420"/>
      <c r="AL1085" s="420"/>
      <c r="AM1085" s="420"/>
      <c r="AN1085" s="420"/>
      <c r="AO1085" s="420"/>
      <c r="AP1085" s="420"/>
      <c r="AQ1085" s="420"/>
      <c r="AR1085" s="420"/>
      <c r="AS1085" s="420"/>
      <c r="AT1085" s="420"/>
      <c r="AU1085" s="420"/>
      <c r="AV1085" s="420"/>
      <c r="AW1085" s="420"/>
      <c r="AX1085" s="420"/>
      <c r="AY1085" s="420"/>
      <c r="AZ1085" s="420"/>
      <c r="BA1085" s="420"/>
      <c r="BB1085" s="420"/>
      <c r="BC1085" s="420"/>
      <c r="BD1085" s="420"/>
      <c r="BE1085" s="420"/>
      <c r="BF1085" s="420"/>
      <c r="BG1085" s="420"/>
      <c r="BH1085" s="420"/>
      <c r="BI1085" s="420"/>
      <c r="BJ1085" s="420"/>
      <c r="BK1085" s="420"/>
      <c r="BL1085" s="420"/>
    </row>
    <row r="1086" spans="1:64" ht="13">
      <c r="A1086" s="406"/>
      <c r="B1086" s="406"/>
      <c r="C1086" s="417" t="str">
        <f>[161]Input!$C$47</f>
        <v>Add for MA @ 40%</v>
      </c>
      <c r="D1086" s="432">
        <f>D1084*[161]Input!D47</f>
        <v>0</v>
      </c>
      <c r="E1086" s="432">
        <f>E1085*[161]Input!$D$47</f>
        <v>38.490720000000003</v>
      </c>
      <c r="F1086" s="432">
        <f>F1085*[161]Input!$D$47</f>
        <v>42.339792000000003</v>
      </c>
      <c r="G1086" s="432">
        <f>G1085*[161]Input!$D$47</f>
        <v>46.188863999999995</v>
      </c>
      <c r="H1086" s="432">
        <f>H1085*[161]Input!$D$47</f>
        <v>50.037936000000002</v>
      </c>
      <c r="I1086" s="432">
        <f>I1085*[161]Input!$D$47</f>
        <v>53.887007999999994</v>
      </c>
      <c r="J1086" s="544"/>
      <c r="K1086" s="545"/>
      <c r="L1086" s="551"/>
      <c r="M1086" s="498"/>
      <c r="N1086" s="498"/>
      <c r="O1086" s="498"/>
      <c r="P1086" s="498"/>
      <c r="Q1086" s="420"/>
      <c r="R1086" s="420"/>
      <c r="S1086" s="420"/>
      <c r="T1086" s="420"/>
      <c r="U1086" s="420"/>
      <c r="V1086" s="420"/>
      <c r="W1086" s="420"/>
      <c r="X1086" s="420"/>
      <c r="Y1086" s="420"/>
      <c r="Z1086" s="420"/>
      <c r="AA1086" s="420"/>
      <c r="AB1086" s="420"/>
      <c r="AC1086" s="420"/>
      <c r="AD1086" s="420"/>
      <c r="AE1086" s="420"/>
      <c r="AF1086" s="420"/>
      <c r="AG1086" s="420"/>
      <c r="AH1086" s="420"/>
      <c r="AI1086" s="420"/>
      <c r="AJ1086" s="420"/>
      <c r="AK1086" s="420"/>
      <c r="AL1086" s="420"/>
      <c r="AM1086" s="420"/>
      <c r="AN1086" s="420"/>
      <c r="AO1086" s="420"/>
      <c r="AP1086" s="420"/>
      <c r="AQ1086" s="420"/>
      <c r="AR1086" s="420"/>
      <c r="AS1086" s="420"/>
      <c r="AT1086" s="420"/>
      <c r="AU1086" s="420"/>
      <c r="AV1086" s="420"/>
      <c r="AW1086" s="420"/>
      <c r="AX1086" s="420"/>
      <c r="AY1086" s="420"/>
      <c r="AZ1086" s="420"/>
      <c r="BA1086" s="420"/>
      <c r="BB1086" s="420"/>
      <c r="BC1086" s="420"/>
      <c r="BD1086" s="420"/>
      <c r="BE1086" s="420"/>
      <c r="BF1086" s="420"/>
      <c r="BG1086" s="420"/>
      <c r="BH1086" s="420"/>
      <c r="BI1086" s="420"/>
      <c r="BJ1086" s="420"/>
      <c r="BK1086" s="420"/>
      <c r="BL1086" s="420"/>
    </row>
    <row r="1087" spans="1:64" ht="13">
      <c r="A1087" s="406"/>
      <c r="B1087" s="406"/>
      <c r="C1087" s="427" t="s">
        <v>904</v>
      </c>
      <c r="D1087" s="432">
        <f t="shared" ref="D1087:I1087" si="203">SUM(D1080:D1086)</f>
        <v>13427.717999999999</v>
      </c>
      <c r="E1087" s="432">
        <f t="shared" si="203"/>
        <v>14037.560380000001</v>
      </c>
      <c r="F1087" s="432">
        <f t="shared" si="203"/>
        <v>14435.155382000003</v>
      </c>
      <c r="G1087" s="432">
        <f t="shared" si="203"/>
        <v>14832.750383999999</v>
      </c>
      <c r="H1087" s="432">
        <f t="shared" si="203"/>
        <v>15230.345386000001</v>
      </c>
      <c r="I1087" s="432">
        <f t="shared" si="203"/>
        <v>15629.573627999998</v>
      </c>
      <c r="J1087" s="544"/>
      <c r="K1087" s="545"/>
      <c r="L1087" s="551"/>
      <c r="M1087" s="498"/>
      <c r="N1087" s="498"/>
      <c r="O1087" s="498"/>
      <c r="P1087" s="498"/>
      <c r="Q1087" s="413"/>
      <c r="R1087" s="413"/>
      <c r="S1087" s="413"/>
      <c r="T1087" s="413"/>
      <c r="U1087" s="413"/>
      <c r="V1087" s="413"/>
      <c r="W1087" s="413"/>
      <c r="X1087" s="413"/>
      <c r="Y1087" s="413"/>
      <c r="Z1087" s="413"/>
      <c r="AA1087" s="413"/>
      <c r="AB1087" s="413"/>
      <c r="AC1087" s="413"/>
      <c r="AD1087" s="413"/>
      <c r="AE1087" s="413"/>
      <c r="AF1087" s="413"/>
      <c r="AG1087" s="413"/>
      <c r="AH1087" s="413"/>
      <c r="AI1087" s="413"/>
      <c r="AJ1087" s="413"/>
      <c r="AK1087" s="413"/>
      <c r="AL1087" s="413"/>
      <c r="AM1087" s="413"/>
      <c r="AN1087" s="413"/>
      <c r="AO1087" s="413"/>
      <c r="AP1087" s="413"/>
      <c r="AQ1087" s="413"/>
      <c r="AR1087" s="413"/>
      <c r="AS1087" s="413"/>
      <c r="AT1087" s="413"/>
      <c r="AU1087" s="413"/>
      <c r="AV1087" s="413"/>
      <c r="AW1087" s="413"/>
      <c r="AX1087" s="413"/>
      <c r="AY1087" s="413"/>
      <c r="AZ1087" s="413"/>
      <c r="BA1087" s="413"/>
      <c r="BB1087" s="413"/>
      <c r="BC1087" s="413"/>
      <c r="BD1087" s="413"/>
      <c r="BE1087" s="413"/>
      <c r="BF1087" s="413"/>
      <c r="BG1087" s="413"/>
      <c r="BH1087" s="413"/>
      <c r="BI1087" s="413"/>
      <c r="BJ1087" s="413"/>
      <c r="BK1087" s="413"/>
      <c r="BL1087" s="413"/>
    </row>
    <row r="1088" spans="1:64" ht="25">
      <c r="A1088" s="406"/>
      <c r="B1088" s="406"/>
      <c r="C1088" s="417" t="str">
        <f>[161]Input!$C$48</f>
        <v>Overheads &amp; Contractors Profit @ 13.615%</v>
      </c>
      <c r="D1088" s="406">
        <f>ROUND(D1087*[161]Input!$D$48,2)</f>
        <v>1828.18</v>
      </c>
      <c r="E1088" s="406">
        <f>ROUND(E1087*[161]Input!$D$48,2)</f>
        <v>1911.21</v>
      </c>
      <c r="F1088" s="406">
        <f>ROUND(F1087*[161]Input!$D$48,2)</f>
        <v>1965.35</v>
      </c>
      <c r="G1088" s="406">
        <f>ROUND(G1087*[161]Input!$D$48,2)</f>
        <v>2019.48</v>
      </c>
      <c r="H1088" s="406">
        <f>ROUND(H1087*[161]Input!$D$48,2)</f>
        <v>2073.61</v>
      </c>
      <c r="I1088" s="406">
        <f>ROUND(I1087*[161]Input!$D$48,2)</f>
        <v>2127.9699999999998</v>
      </c>
      <c r="J1088" s="544"/>
      <c r="K1088" s="545"/>
      <c r="L1088" s="551"/>
      <c r="M1088" s="498"/>
      <c r="N1088" s="498"/>
      <c r="O1088" s="498"/>
      <c r="P1088" s="498"/>
      <c r="Q1088" s="413"/>
      <c r="R1088" s="413"/>
      <c r="S1088" s="413"/>
      <c r="T1088" s="413"/>
      <c r="U1088" s="413"/>
      <c r="V1088" s="413"/>
      <c r="W1088" s="413"/>
      <c r="X1088" s="413"/>
      <c r="Y1088" s="413"/>
      <c r="Z1088" s="413"/>
      <c r="AA1088" s="413"/>
      <c r="AB1088" s="413"/>
      <c r="AC1088" s="413"/>
      <c r="AD1088" s="413"/>
      <c r="AE1088" s="413"/>
      <c r="AF1088" s="413"/>
      <c r="AG1088" s="413"/>
      <c r="AH1088" s="413"/>
      <c r="AI1088" s="413"/>
      <c r="AJ1088" s="413"/>
      <c r="AK1088" s="413"/>
      <c r="AL1088" s="413"/>
      <c r="AM1088" s="413"/>
      <c r="AN1088" s="413"/>
      <c r="AO1088" s="413"/>
      <c r="AP1088" s="413"/>
      <c r="AQ1088" s="413"/>
      <c r="AR1088" s="413"/>
      <c r="AS1088" s="413"/>
      <c r="AT1088" s="413"/>
      <c r="AU1088" s="413"/>
      <c r="AV1088" s="413"/>
      <c r="AW1088" s="413"/>
      <c r="AX1088" s="413"/>
      <c r="AY1088" s="413"/>
      <c r="AZ1088" s="413"/>
      <c r="BA1088" s="413"/>
      <c r="BB1088" s="413"/>
      <c r="BC1088" s="413"/>
      <c r="BD1088" s="413"/>
      <c r="BE1088" s="413"/>
      <c r="BF1088" s="413"/>
      <c r="BG1088" s="413"/>
      <c r="BH1088" s="413"/>
      <c r="BI1088" s="413"/>
      <c r="BJ1088" s="413"/>
      <c r="BK1088" s="413"/>
      <c r="BL1088" s="413"/>
    </row>
    <row r="1089" spans="1:64" ht="13">
      <c r="A1089" s="426"/>
      <c r="B1089" s="426"/>
      <c r="C1089" s="427" t="s">
        <v>724</v>
      </c>
      <c r="D1089" s="409">
        <f t="shared" ref="D1089:I1089" si="204">SUM(D1087:D1088)</f>
        <v>15255.897999999999</v>
      </c>
      <c r="E1089" s="409">
        <f t="shared" si="204"/>
        <v>15948.770380000002</v>
      </c>
      <c r="F1089" s="409">
        <f t="shared" si="204"/>
        <v>16400.505382000003</v>
      </c>
      <c r="G1089" s="409">
        <f t="shared" si="204"/>
        <v>16852.230383999999</v>
      </c>
      <c r="H1089" s="409">
        <f t="shared" si="204"/>
        <v>17303.955386000001</v>
      </c>
      <c r="I1089" s="409">
        <f t="shared" si="204"/>
        <v>17757.543627999999</v>
      </c>
      <c r="J1089" s="544"/>
      <c r="K1089" s="545"/>
      <c r="L1089" s="551"/>
      <c r="M1089" s="498"/>
      <c r="N1089" s="498"/>
      <c r="O1089" s="498"/>
      <c r="P1089" s="498"/>
      <c r="Q1089" s="404"/>
      <c r="R1089" s="404"/>
      <c r="S1089" s="404"/>
      <c r="T1089" s="404"/>
      <c r="U1089" s="404"/>
      <c r="V1089" s="404"/>
      <c r="W1089" s="404"/>
      <c r="X1089" s="404"/>
      <c r="Y1089" s="404"/>
      <c r="Z1089" s="404"/>
      <c r="AA1089" s="404"/>
      <c r="AB1089" s="404"/>
      <c r="AC1089" s="404"/>
      <c r="AD1089" s="404"/>
      <c r="AE1089" s="404"/>
      <c r="AF1089" s="404"/>
      <c r="AG1089" s="404"/>
      <c r="AH1089" s="404"/>
      <c r="AI1089" s="404"/>
      <c r="AJ1089" s="404"/>
      <c r="AK1089" s="404"/>
      <c r="AL1089" s="404"/>
      <c r="AM1089" s="404"/>
      <c r="AN1089" s="404"/>
      <c r="AO1089" s="404"/>
      <c r="AP1089" s="404"/>
      <c r="AQ1089" s="404"/>
      <c r="AR1089" s="404"/>
      <c r="AS1089" s="404"/>
      <c r="AT1089" s="404"/>
      <c r="AU1089" s="404"/>
      <c r="AV1089" s="404"/>
      <c r="AW1089" s="404"/>
      <c r="AX1089" s="404"/>
      <c r="AY1089" s="404"/>
      <c r="AZ1089" s="404"/>
      <c r="BA1089" s="404"/>
      <c r="BB1089" s="404"/>
      <c r="BC1089" s="404"/>
      <c r="BD1089" s="404"/>
      <c r="BE1089" s="404"/>
      <c r="BF1089" s="404"/>
      <c r="BG1089" s="404"/>
      <c r="BH1089" s="404"/>
      <c r="BI1089" s="404"/>
      <c r="BJ1089" s="404"/>
      <c r="BK1089" s="404"/>
      <c r="BL1089" s="404"/>
    </row>
    <row r="1090" spans="1:64" ht="13">
      <c r="A1090" s="426"/>
      <c r="B1090" s="426"/>
      <c r="C1090" s="514" t="s">
        <v>726</v>
      </c>
      <c r="D1090" s="416">
        <f t="shared" ref="D1090:I1090" si="205">ROUND(D1089,0)</f>
        <v>15256</v>
      </c>
      <c r="E1090" s="416">
        <f t="shared" si="205"/>
        <v>15949</v>
      </c>
      <c r="F1090" s="416">
        <f t="shared" si="205"/>
        <v>16401</v>
      </c>
      <c r="G1090" s="416">
        <f t="shared" si="205"/>
        <v>16852</v>
      </c>
      <c r="H1090" s="416">
        <f t="shared" si="205"/>
        <v>17304</v>
      </c>
      <c r="I1090" s="416">
        <f t="shared" si="205"/>
        <v>17758</v>
      </c>
      <c r="J1090" s="544"/>
      <c r="K1090" s="545"/>
      <c r="L1090" s="551"/>
      <c r="M1090" s="498"/>
      <c r="N1090" s="498"/>
      <c r="O1090" s="498"/>
      <c r="P1090" s="498"/>
      <c r="Q1090" s="404"/>
      <c r="R1090" s="404"/>
      <c r="S1090" s="404"/>
      <c r="T1090" s="404"/>
      <c r="U1090" s="404"/>
      <c r="V1090" s="404"/>
      <c r="W1090" s="404"/>
      <c r="X1090" s="404"/>
      <c r="Y1090" s="404"/>
      <c r="Z1090" s="404"/>
      <c r="AA1090" s="404"/>
      <c r="AB1090" s="404"/>
      <c r="AC1090" s="404"/>
      <c r="AD1090" s="404"/>
      <c r="AE1090" s="404"/>
      <c r="AF1090" s="404"/>
      <c r="AG1090" s="404"/>
      <c r="AH1090" s="404"/>
      <c r="AI1090" s="404"/>
      <c r="AJ1090" s="404"/>
      <c r="AK1090" s="404"/>
      <c r="AL1090" s="404"/>
      <c r="AM1090" s="404"/>
      <c r="AN1090" s="404"/>
      <c r="AO1090" s="404"/>
      <c r="AP1090" s="404"/>
      <c r="AQ1090" s="404"/>
      <c r="AR1090" s="404"/>
      <c r="AS1090" s="404"/>
      <c r="AT1090" s="404"/>
      <c r="AU1090" s="404"/>
      <c r="AV1090" s="404"/>
      <c r="AW1090" s="404"/>
      <c r="AX1090" s="404"/>
      <c r="AY1090" s="404"/>
      <c r="AZ1090" s="404"/>
      <c r="BA1090" s="404"/>
      <c r="BB1090" s="404"/>
      <c r="BC1090" s="404"/>
      <c r="BD1090" s="404"/>
      <c r="BE1090" s="404"/>
      <c r="BF1090" s="404"/>
      <c r="BG1090" s="404"/>
      <c r="BH1090" s="404"/>
      <c r="BI1090" s="404"/>
      <c r="BJ1090" s="404"/>
      <c r="BK1090" s="404"/>
      <c r="BL1090" s="404"/>
    </row>
    <row r="1091" spans="1:64" ht="13">
      <c r="A1091" s="426"/>
      <c r="B1091" s="426"/>
      <c r="C1091" s="514"/>
      <c r="D1091" s="416"/>
      <c r="E1091" s="416"/>
      <c r="F1091" s="416"/>
      <c r="G1091" s="416"/>
      <c r="H1091" s="416"/>
      <c r="I1091" s="416"/>
      <c r="J1091" s="544"/>
      <c r="K1091" s="545"/>
      <c r="L1091" s="551"/>
      <c r="M1091" s="498"/>
      <c r="N1091" s="498"/>
      <c r="O1091" s="498"/>
      <c r="P1091" s="498"/>
      <c r="Q1091" s="404"/>
      <c r="R1091" s="404"/>
      <c r="S1091" s="404"/>
      <c r="T1091" s="404"/>
      <c r="U1091" s="404"/>
      <c r="V1091" s="404"/>
      <c r="W1091" s="404"/>
      <c r="X1091" s="404"/>
      <c r="Y1091" s="404"/>
      <c r="Z1091" s="404"/>
      <c r="AA1091" s="404"/>
      <c r="AB1091" s="404"/>
      <c r="AC1091" s="404"/>
      <c r="AD1091" s="404"/>
      <c r="AE1091" s="404"/>
      <c r="AF1091" s="404"/>
      <c r="AG1091" s="404"/>
      <c r="AH1091" s="404"/>
      <c r="AI1091" s="404"/>
      <c r="AJ1091" s="404"/>
      <c r="AK1091" s="404"/>
      <c r="AL1091" s="404"/>
      <c r="AM1091" s="404"/>
      <c r="AN1091" s="404"/>
      <c r="AO1091" s="404"/>
      <c r="AP1091" s="404"/>
      <c r="AQ1091" s="404"/>
      <c r="AR1091" s="404"/>
      <c r="AS1091" s="404"/>
      <c r="AT1091" s="404"/>
      <c r="AU1091" s="404"/>
      <c r="AV1091" s="404"/>
      <c r="AW1091" s="404"/>
      <c r="AX1091" s="404"/>
      <c r="AY1091" s="404"/>
      <c r="AZ1091" s="404"/>
      <c r="BA1091" s="404"/>
      <c r="BB1091" s="404"/>
      <c r="BC1091" s="404"/>
      <c r="BD1091" s="404"/>
      <c r="BE1091" s="404"/>
      <c r="BF1091" s="404"/>
      <c r="BG1091" s="404"/>
      <c r="BH1091" s="404"/>
      <c r="BI1091" s="404"/>
      <c r="BJ1091" s="404"/>
      <c r="BK1091" s="404"/>
      <c r="BL1091" s="404"/>
    </row>
    <row r="1092" spans="1:64" ht="13">
      <c r="A1092" s="426"/>
      <c r="B1092" s="426"/>
      <c r="C1092" s="451" t="s">
        <v>996</v>
      </c>
      <c r="D1092" s="492" t="s">
        <v>948</v>
      </c>
      <c r="E1092" s="492" t="s">
        <v>949</v>
      </c>
      <c r="F1092" s="492" t="s">
        <v>950</v>
      </c>
      <c r="G1092" s="416"/>
      <c r="H1092" s="416"/>
      <c r="I1092" s="414"/>
      <c r="J1092" s="544"/>
      <c r="K1092" s="545"/>
      <c r="L1092" s="551"/>
      <c r="M1092" s="498"/>
      <c r="N1092" s="498"/>
      <c r="O1092" s="498"/>
      <c r="P1092" s="498"/>
      <c r="Q1092" s="404"/>
      <c r="R1092" s="404"/>
      <c r="S1092" s="404"/>
      <c r="T1092" s="404"/>
      <c r="U1092" s="404"/>
      <c r="V1092" s="404"/>
      <c r="W1092" s="404"/>
      <c r="X1092" s="404"/>
      <c r="Y1092" s="404"/>
      <c r="Z1092" s="404"/>
      <c r="AA1092" s="404"/>
      <c r="AB1092" s="404"/>
      <c r="AC1092" s="404"/>
      <c r="AD1092" s="404"/>
      <c r="AE1092" s="404"/>
      <c r="AF1092" s="404"/>
      <c r="AG1092" s="404"/>
      <c r="AH1092" s="404"/>
      <c r="AI1092" s="404"/>
      <c r="AJ1092" s="404"/>
      <c r="AK1092" s="404"/>
      <c r="AL1092" s="404"/>
      <c r="AM1092" s="404"/>
      <c r="AN1092" s="404"/>
      <c r="AO1092" s="404"/>
      <c r="AP1092" s="404"/>
      <c r="AQ1092" s="404"/>
      <c r="AR1092" s="404"/>
      <c r="AS1092" s="404"/>
      <c r="AT1092" s="404"/>
      <c r="AU1092" s="404"/>
      <c r="AV1092" s="404"/>
      <c r="AW1092" s="404"/>
      <c r="AX1092" s="404"/>
      <c r="AY1092" s="404"/>
      <c r="AZ1092" s="404"/>
      <c r="BA1092" s="404"/>
      <c r="BB1092" s="404"/>
      <c r="BC1092" s="404"/>
      <c r="BD1092" s="404"/>
      <c r="BE1092" s="404"/>
      <c r="BF1092" s="404"/>
      <c r="BG1092" s="404"/>
      <c r="BH1092" s="404"/>
      <c r="BI1092" s="404"/>
      <c r="BJ1092" s="404"/>
      <c r="BK1092" s="404"/>
      <c r="BL1092" s="404"/>
    </row>
    <row r="1093" spans="1:64" ht="13">
      <c r="A1093" s="426"/>
      <c r="B1093" s="426"/>
      <c r="C1093" s="417" t="s">
        <v>954</v>
      </c>
      <c r="D1093" s="432">
        <f>$I$1033</f>
        <v>6945.6217600000009</v>
      </c>
      <c r="E1093" s="432">
        <f>$I$1033</f>
        <v>6945.6217600000009</v>
      </c>
      <c r="F1093" s="432">
        <f>$I$1033</f>
        <v>6945.6217600000009</v>
      </c>
      <c r="G1093" s="416"/>
      <c r="H1093" s="416"/>
      <c r="I1093" s="414"/>
      <c r="J1093" s="544"/>
      <c r="K1093" s="545"/>
      <c r="L1093" s="551"/>
      <c r="M1093" s="498"/>
      <c r="N1093" s="498"/>
      <c r="O1093" s="498"/>
      <c r="P1093" s="498"/>
      <c r="Q1093" s="420"/>
      <c r="R1093" s="420"/>
      <c r="S1093" s="420"/>
      <c r="T1093" s="420"/>
      <c r="U1093" s="420"/>
      <c r="V1093" s="420"/>
      <c r="W1093" s="420"/>
      <c r="X1093" s="420"/>
      <c r="Y1093" s="420"/>
      <c r="Z1093" s="420"/>
      <c r="AA1093" s="420"/>
      <c r="AB1093" s="420"/>
      <c r="AC1093" s="420"/>
      <c r="AD1093" s="420"/>
      <c r="AE1093" s="420"/>
      <c r="AF1093" s="420"/>
      <c r="AG1093" s="420"/>
      <c r="AH1093" s="420"/>
      <c r="AI1093" s="420"/>
      <c r="AJ1093" s="420"/>
      <c r="AK1093" s="420"/>
      <c r="AL1093" s="420"/>
      <c r="AM1093" s="420"/>
      <c r="AN1093" s="420"/>
      <c r="AO1093" s="420"/>
      <c r="AP1093" s="420"/>
      <c r="AQ1093" s="420"/>
      <c r="AR1093" s="420"/>
      <c r="AS1093" s="420"/>
      <c r="AT1093" s="420"/>
      <c r="AU1093" s="420"/>
      <c r="AV1093" s="420"/>
      <c r="AW1093" s="420"/>
      <c r="AX1093" s="420"/>
      <c r="AY1093" s="420"/>
      <c r="AZ1093" s="420"/>
      <c r="BA1093" s="420"/>
      <c r="BB1093" s="420"/>
      <c r="BC1093" s="420"/>
      <c r="BD1093" s="420"/>
      <c r="BE1093" s="420"/>
      <c r="BF1093" s="420"/>
      <c r="BG1093" s="420"/>
      <c r="BH1093" s="420"/>
      <c r="BI1093" s="420"/>
      <c r="BJ1093" s="420"/>
      <c r="BK1093" s="420"/>
      <c r="BL1093" s="420"/>
    </row>
    <row r="1094" spans="1:64" ht="13">
      <c r="A1094" s="426"/>
      <c r="B1094" s="426"/>
      <c r="C1094" s="417" t="s">
        <v>921</v>
      </c>
      <c r="D1094" s="432">
        <f>'[161]Civil-SOR'!$F$268+('[161]Civil-SOR'!$F$268*16.66%)</f>
        <v>2740.3433999999997</v>
      </c>
      <c r="E1094" s="432">
        <f>'[161]Civil-SOR'!$F$268+('[161]Civil-SOR'!$F$268*16.66%)</f>
        <v>2740.3433999999997</v>
      </c>
      <c r="F1094" s="432">
        <f>'[161]Civil-SOR'!$F$268+('[161]Civil-SOR'!$F$268*16.66%)</f>
        <v>2740.3433999999997</v>
      </c>
      <c r="G1094" s="416"/>
      <c r="H1094" s="416"/>
      <c r="I1094" s="414"/>
      <c r="J1094" s="544"/>
      <c r="K1094" s="545"/>
      <c r="L1094" s="551"/>
      <c r="M1094" s="498"/>
      <c r="N1094" s="498"/>
      <c r="O1094" s="498"/>
      <c r="P1094" s="498"/>
      <c r="Q1094" s="420"/>
      <c r="R1094" s="420"/>
      <c r="S1094" s="420"/>
      <c r="T1094" s="420"/>
      <c r="U1094" s="420"/>
      <c r="V1094" s="420"/>
      <c r="W1094" s="420"/>
      <c r="X1094" s="420"/>
      <c r="Y1094" s="420"/>
      <c r="Z1094" s="420"/>
      <c r="AA1094" s="420"/>
      <c r="AB1094" s="420"/>
      <c r="AC1094" s="420"/>
      <c r="AD1094" s="420"/>
      <c r="AE1094" s="420"/>
      <c r="AF1094" s="420"/>
      <c r="AG1094" s="420"/>
      <c r="AH1094" s="420"/>
      <c r="AI1094" s="420"/>
      <c r="AJ1094" s="420"/>
      <c r="AK1094" s="420"/>
      <c r="AL1094" s="420"/>
      <c r="AM1094" s="420"/>
      <c r="AN1094" s="420"/>
      <c r="AO1094" s="420"/>
      <c r="AP1094" s="420"/>
      <c r="AQ1094" s="420"/>
      <c r="AR1094" s="420"/>
      <c r="AS1094" s="420"/>
      <c r="AT1094" s="420"/>
      <c r="AU1094" s="420"/>
      <c r="AV1094" s="420"/>
      <c r="AW1094" s="420"/>
      <c r="AX1094" s="420"/>
      <c r="AY1094" s="420"/>
      <c r="AZ1094" s="420"/>
      <c r="BA1094" s="420"/>
      <c r="BB1094" s="420"/>
      <c r="BC1094" s="420"/>
      <c r="BD1094" s="420"/>
      <c r="BE1094" s="420"/>
      <c r="BF1094" s="420"/>
      <c r="BG1094" s="420"/>
      <c r="BH1094" s="420"/>
      <c r="BI1094" s="420"/>
      <c r="BJ1094" s="420"/>
      <c r="BK1094" s="420"/>
      <c r="BL1094" s="420"/>
    </row>
    <row r="1095" spans="1:64" ht="13">
      <c r="A1095" s="426"/>
      <c r="B1095" s="426"/>
      <c r="C1095" s="417" t="s">
        <v>993</v>
      </c>
      <c r="D1095" s="459">
        <f>'[161]Civil-SOR'!$M$268+('[161]Civil-SOR'!$M$268*16.66%)</f>
        <v>4276.7556000000004</v>
      </c>
      <c r="E1095" s="459">
        <f>'[161]Civil-SOR'!$N$268+('[161]Civil-SOR'!$N$268*16.66%)</f>
        <v>4543.9070000000002</v>
      </c>
      <c r="F1095" s="459">
        <f>'[161]Civil-SOR'!$O$268+('[161]Civil-SOR'!$O$268*16.66%)</f>
        <v>4811.0583999999999</v>
      </c>
      <c r="G1095" s="416"/>
      <c r="H1095" s="416"/>
      <c r="I1095" s="414"/>
      <c r="J1095" s="544"/>
      <c r="K1095" s="545"/>
      <c r="L1095" s="551"/>
      <c r="M1095" s="498"/>
      <c r="N1095" s="498"/>
      <c r="O1095" s="498"/>
      <c r="P1095" s="498"/>
      <c r="Q1095" s="420"/>
      <c r="R1095" s="420"/>
      <c r="S1095" s="420"/>
      <c r="T1095" s="420"/>
      <c r="U1095" s="420"/>
      <c r="V1095" s="420"/>
      <c r="W1095" s="420"/>
      <c r="X1095" s="420"/>
      <c r="Y1095" s="420"/>
      <c r="Z1095" s="420"/>
      <c r="AA1095" s="420"/>
      <c r="AB1095" s="420"/>
      <c r="AC1095" s="420"/>
      <c r="AD1095" s="420"/>
      <c r="AE1095" s="420"/>
      <c r="AF1095" s="420"/>
      <c r="AG1095" s="420"/>
      <c r="AH1095" s="420"/>
      <c r="AI1095" s="420"/>
      <c r="AJ1095" s="420"/>
      <c r="AK1095" s="420"/>
      <c r="AL1095" s="420"/>
      <c r="AM1095" s="420"/>
      <c r="AN1095" s="420"/>
      <c r="AO1095" s="420"/>
      <c r="AP1095" s="420"/>
      <c r="AQ1095" s="420"/>
      <c r="AR1095" s="420"/>
      <c r="AS1095" s="420"/>
      <c r="AT1095" s="420"/>
      <c r="AU1095" s="420"/>
      <c r="AV1095" s="420"/>
      <c r="AW1095" s="420"/>
      <c r="AX1095" s="420"/>
      <c r="AY1095" s="420"/>
      <c r="AZ1095" s="420"/>
      <c r="BA1095" s="420"/>
      <c r="BB1095" s="420"/>
      <c r="BC1095" s="420"/>
      <c r="BD1095" s="420"/>
      <c r="BE1095" s="420"/>
      <c r="BF1095" s="420"/>
      <c r="BG1095" s="420"/>
      <c r="BH1095" s="420"/>
      <c r="BI1095" s="420"/>
      <c r="BJ1095" s="420"/>
      <c r="BK1095" s="420"/>
      <c r="BL1095" s="420"/>
    </row>
    <row r="1096" spans="1:64" ht="13">
      <c r="A1096" s="426"/>
      <c r="B1096" s="426"/>
      <c r="C1096" s="417" t="str">
        <f>[161]Input!$C$47</f>
        <v>Add for MA @ 40%</v>
      </c>
      <c r="D1096" s="432">
        <f>D1095*[161]Input!$D$47</f>
        <v>1710.7022400000003</v>
      </c>
      <c r="E1096" s="432">
        <f>E1095*[161]Input!$D$47</f>
        <v>1817.5628000000002</v>
      </c>
      <c r="F1096" s="432">
        <f>F1095*[161]Input!$D$47</f>
        <v>1924.42336</v>
      </c>
      <c r="G1096" s="416"/>
      <c r="H1096" s="416"/>
      <c r="I1096" s="414"/>
      <c r="J1096" s="544"/>
      <c r="K1096" s="545"/>
      <c r="L1096" s="551"/>
      <c r="M1096" s="498"/>
      <c r="N1096" s="498"/>
      <c r="O1096" s="498"/>
      <c r="P1096" s="498"/>
      <c r="Q1096" s="420"/>
      <c r="R1096" s="420"/>
      <c r="S1096" s="420"/>
      <c r="T1096" s="420"/>
      <c r="U1096" s="420"/>
      <c r="V1096" s="420"/>
      <c r="W1096" s="420"/>
      <c r="X1096" s="420"/>
      <c r="Y1096" s="420"/>
      <c r="Z1096" s="420"/>
      <c r="AA1096" s="420"/>
      <c r="AB1096" s="420"/>
      <c r="AC1096" s="420"/>
      <c r="AD1096" s="420"/>
      <c r="AE1096" s="420"/>
      <c r="AF1096" s="420"/>
      <c r="AG1096" s="420"/>
      <c r="AH1096" s="420"/>
      <c r="AI1096" s="420"/>
      <c r="AJ1096" s="420"/>
      <c r="AK1096" s="420"/>
      <c r="AL1096" s="420"/>
      <c r="AM1096" s="420"/>
      <c r="AN1096" s="420"/>
      <c r="AO1096" s="420"/>
      <c r="AP1096" s="420"/>
      <c r="AQ1096" s="420"/>
      <c r="AR1096" s="420"/>
      <c r="AS1096" s="420"/>
      <c r="AT1096" s="420"/>
      <c r="AU1096" s="420"/>
      <c r="AV1096" s="420"/>
      <c r="AW1096" s="420"/>
      <c r="AX1096" s="420"/>
      <c r="AY1096" s="420"/>
      <c r="AZ1096" s="420"/>
      <c r="BA1096" s="420"/>
      <c r="BB1096" s="420"/>
      <c r="BC1096" s="420"/>
      <c r="BD1096" s="420"/>
      <c r="BE1096" s="420"/>
      <c r="BF1096" s="420"/>
      <c r="BG1096" s="420"/>
      <c r="BH1096" s="420"/>
      <c r="BI1096" s="420"/>
      <c r="BJ1096" s="420"/>
      <c r="BK1096" s="420"/>
      <c r="BL1096" s="420"/>
    </row>
    <row r="1097" spans="1:64" ht="25">
      <c r="A1097" s="426"/>
      <c r="B1097" s="426"/>
      <c r="C1097" s="417" t="s">
        <v>995</v>
      </c>
      <c r="D1097" s="432">
        <f t="shared" ref="D1097:D1098" si="206">E1084*1.5</f>
        <v>151.66935000000004</v>
      </c>
      <c r="E1097" s="432">
        <f t="shared" ref="E1097:E1098" si="207">E1084*1.6</f>
        <v>161.78064000000006</v>
      </c>
      <c r="F1097" s="432">
        <f t="shared" ref="F1097:F1098" si="208">E1084*1.7</f>
        <v>171.89193000000003</v>
      </c>
      <c r="G1097" s="416"/>
      <c r="H1097" s="416"/>
      <c r="I1097" s="414"/>
      <c r="J1097" s="544"/>
      <c r="K1097" s="545"/>
      <c r="L1097" s="551"/>
      <c r="M1097" s="498"/>
      <c r="N1097" s="498"/>
      <c r="O1097" s="498"/>
      <c r="P1097" s="498"/>
      <c r="Q1097" s="420"/>
      <c r="R1097" s="420"/>
      <c r="S1097" s="420"/>
      <c r="T1097" s="420"/>
      <c r="U1097" s="420"/>
      <c r="V1097" s="420"/>
      <c r="W1097" s="420"/>
      <c r="X1097" s="420"/>
      <c r="Y1097" s="420"/>
      <c r="Z1097" s="420"/>
      <c r="AA1097" s="420"/>
      <c r="AB1097" s="420"/>
      <c r="AC1097" s="420"/>
      <c r="AD1097" s="420"/>
      <c r="AE1097" s="420"/>
      <c r="AF1097" s="420"/>
      <c r="AG1097" s="420"/>
      <c r="AH1097" s="420"/>
      <c r="AI1097" s="420"/>
      <c r="AJ1097" s="420"/>
      <c r="AK1097" s="420"/>
      <c r="AL1097" s="420"/>
      <c r="AM1097" s="420"/>
      <c r="AN1097" s="420"/>
      <c r="AO1097" s="420"/>
      <c r="AP1097" s="420"/>
      <c r="AQ1097" s="420"/>
      <c r="AR1097" s="420"/>
      <c r="AS1097" s="420"/>
      <c r="AT1097" s="420"/>
      <c r="AU1097" s="420"/>
      <c r="AV1097" s="420"/>
      <c r="AW1097" s="420"/>
      <c r="AX1097" s="420"/>
      <c r="AY1097" s="420"/>
      <c r="AZ1097" s="420"/>
      <c r="BA1097" s="420"/>
      <c r="BB1097" s="420"/>
      <c r="BC1097" s="420"/>
      <c r="BD1097" s="420"/>
      <c r="BE1097" s="420"/>
      <c r="BF1097" s="420"/>
      <c r="BG1097" s="420"/>
      <c r="BH1097" s="420"/>
      <c r="BI1097" s="420"/>
      <c r="BJ1097" s="420"/>
      <c r="BK1097" s="420"/>
      <c r="BL1097" s="420"/>
    </row>
    <row r="1098" spans="1:64" ht="13">
      <c r="A1098" s="426"/>
      <c r="B1098" s="426"/>
      <c r="C1098" s="417" t="s">
        <v>828</v>
      </c>
      <c r="D1098" s="432">
        <f t="shared" si="206"/>
        <v>144.34019999999998</v>
      </c>
      <c r="E1098" s="432">
        <f t="shared" si="207"/>
        <v>153.96288000000001</v>
      </c>
      <c r="F1098" s="432">
        <f t="shared" si="208"/>
        <v>163.58555999999999</v>
      </c>
      <c r="G1098" s="416"/>
      <c r="H1098" s="416"/>
      <c r="I1098" s="414"/>
      <c r="J1098" s="544"/>
      <c r="K1098" s="545"/>
      <c r="L1098" s="551"/>
      <c r="M1098" s="498"/>
      <c r="N1098" s="498"/>
      <c r="O1098" s="498"/>
      <c r="P1098" s="498"/>
      <c r="Q1098" s="420"/>
      <c r="R1098" s="420"/>
      <c r="S1098" s="420"/>
      <c r="T1098" s="420"/>
      <c r="U1098" s="420"/>
      <c r="V1098" s="420"/>
      <c r="W1098" s="420"/>
      <c r="X1098" s="420"/>
      <c r="Y1098" s="420"/>
      <c r="Z1098" s="420"/>
      <c r="AA1098" s="420"/>
      <c r="AB1098" s="420"/>
      <c r="AC1098" s="420"/>
      <c r="AD1098" s="420"/>
      <c r="AE1098" s="420"/>
      <c r="AF1098" s="420"/>
      <c r="AG1098" s="420"/>
      <c r="AH1098" s="420"/>
      <c r="AI1098" s="420"/>
      <c r="AJ1098" s="420"/>
      <c r="AK1098" s="420"/>
      <c r="AL1098" s="420"/>
      <c r="AM1098" s="420"/>
      <c r="AN1098" s="420"/>
      <c r="AO1098" s="420"/>
      <c r="AP1098" s="420"/>
      <c r="AQ1098" s="420"/>
      <c r="AR1098" s="420"/>
      <c r="AS1098" s="420"/>
      <c r="AT1098" s="420"/>
      <c r="AU1098" s="420"/>
      <c r="AV1098" s="420"/>
      <c r="AW1098" s="420"/>
      <c r="AX1098" s="420"/>
      <c r="AY1098" s="420"/>
      <c r="AZ1098" s="420"/>
      <c r="BA1098" s="420"/>
      <c r="BB1098" s="420"/>
      <c r="BC1098" s="420"/>
      <c r="BD1098" s="420"/>
      <c r="BE1098" s="420"/>
      <c r="BF1098" s="420"/>
      <c r="BG1098" s="420"/>
      <c r="BH1098" s="420"/>
      <c r="BI1098" s="420"/>
      <c r="BJ1098" s="420"/>
      <c r="BK1098" s="420"/>
      <c r="BL1098" s="420"/>
    </row>
    <row r="1099" spans="1:64" ht="13">
      <c r="A1099" s="426"/>
      <c r="B1099" s="426"/>
      <c r="C1099" s="417" t="str">
        <f>[161]Input!$C$47</f>
        <v>Add for MA @ 40%</v>
      </c>
      <c r="D1099" s="432">
        <f>D1098*[161]Input!$D$47</f>
        <v>57.736079999999994</v>
      </c>
      <c r="E1099" s="432">
        <f>E1098*[161]Input!$D$47</f>
        <v>61.585152000000008</v>
      </c>
      <c r="F1099" s="432">
        <f>F1098*[161]Input!$D$47</f>
        <v>65.434224</v>
      </c>
      <c r="G1099" s="416"/>
      <c r="H1099" s="416"/>
      <c r="I1099" s="414"/>
      <c r="J1099" s="544"/>
      <c r="K1099" s="545"/>
      <c r="L1099" s="551"/>
      <c r="M1099" s="498"/>
      <c r="N1099" s="498"/>
      <c r="O1099" s="498"/>
      <c r="P1099" s="498"/>
      <c r="Q1099" s="420"/>
      <c r="R1099" s="420"/>
      <c r="S1099" s="420"/>
      <c r="T1099" s="420"/>
      <c r="U1099" s="420"/>
      <c r="V1099" s="420"/>
      <c r="W1099" s="420"/>
      <c r="X1099" s="420"/>
      <c r="Y1099" s="420"/>
      <c r="Z1099" s="420"/>
      <c r="AA1099" s="420"/>
      <c r="AB1099" s="420"/>
      <c r="AC1099" s="420"/>
      <c r="AD1099" s="420"/>
      <c r="AE1099" s="420"/>
      <c r="AF1099" s="420"/>
      <c r="AG1099" s="420"/>
      <c r="AH1099" s="420"/>
      <c r="AI1099" s="420"/>
      <c r="AJ1099" s="420"/>
      <c r="AK1099" s="420"/>
      <c r="AL1099" s="420"/>
      <c r="AM1099" s="420"/>
      <c r="AN1099" s="420"/>
      <c r="AO1099" s="420"/>
      <c r="AP1099" s="420"/>
      <c r="AQ1099" s="420"/>
      <c r="AR1099" s="420"/>
      <c r="AS1099" s="420"/>
      <c r="AT1099" s="420"/>
      <c r="AU1099" s="420"/>
      <c r="AV1099" s="420"/>
      <c r="AW1099" s="420"/>
      <c r="AX1099" s="420"/>
      <c r="AY1099" s="420"/>
      <c r="AZ1099" s="420"/>
      <c r="BA1099" s="420"/>
      <c r="BB1099" s="420"/>
      <c r="BC1099" s="420"/>
      <c r="BD1099" s="420"/>
      <c r="BE1099" s="420"/>
      <c r="BF1099" s="420"/>
      <c r="BG1099" s="420"/>
      <c r="BH1099" s="420"/>
      <c r="BI1099" s="420"/>
      <c r="BJ1099" s="420"/>
      <c r="BK1099" s="420"/>
      <c r="BL1099" s="420"/>
    </row>
    <row r="1100" spans="1:64" ht="13">
      <c r="A1100" s="426"/>
      <c r="B1100" s="426"/>
      <c r="C1100" s="427" t="s">
        <v>904</v>
      </c>
      <c r="D1100" s="432">
        <f>SUM(D1093:D1099)</f>
        <v>16027.168630000002</v>
      </c>
      <c r="E1100" s="432">
        <f>SUM(E1093:E1099)</f>
        <v>16424.763631999998</v>
      </c>
      <c r="F1100" s="432">
        <f>SUM(F1093:F1099)</f>
        <v>16822.358634</v>
      </c>
      <c r="G1100" s="416"/>
      <c r="H1100" s="416"/>
      <c r="I1100" s="414"/>
      <c r="J1100" s="544"/>
      <c r="K1100" s="545"/>
      <c r="L1100" s="551"/>
      <c r="M1100" s="498"/>
      <c r="N1100" s="498"/>
      <c r="O1100" s="498"/>
      <c r="P1100" s="498"/>
      <c r="Q1100" s="420"/>
      <c r="R1100" s="420"/>
      <c r="S1100" s="420"/>
      <c r="T1100" s="420"/>
      <c r="U1100" s="420"/>
      <c r="V1100" s="420"/>
      <c r="W1100" s="420"/>
      <c r="X1100" s="420"/>
      <c r="Y1100" s="420"/>
      <c r="Z1100" s="420"/>
      <c r="AA1100" s="420"/>
      <c r="AB1100" s="420"/>
      <c r="AC1100" s="420"/>
      <c r="AD1100" s="420"/>
      <c r="AE1100" s="420"/>
      <c r="AF1100" s="420"/>
      <c r="AG1100" s="420"/>
      <c r="AH1100" s="420"/>
      <c r="AI1100" s="420"/>
      <c r="AJ1100" s="420"/>
      <c r="AK1100" s="420"/>
      <c r="AL1100" s="420"/>
      <c r="AM1100" s="420"/>
      <c r="AN1100" s="420"/>
      <c r="AO1100" s="420"/>
      <c r="AP1100" s="420"/>
      <c r="AQ1100" s="420"/>
      <c r="AR1100" s="420"/>
      <c r="AS1100" s="420"/>
      <c r="AT1100" s="420"/>
      <c r="AU1100" s="420"/>
      <c r="AV1100" s="420"/>
      <c r="AW1100" s="420"/>
      <c r="AX1100" s="420"/>
      <c r="AY1100" s="420"/>
      <c r="AZ1100" s="420"/>
      <c r="BA1100" s="420"/>
      <c r="BB1100" s="420"/>
      <c r="BC1100" s="420"/>
      <c r="BD1100" s="420"/>
      <c r="BE1100" s="420"/>
      <c r="BF1100" s="420"/>
      <c r="BG1100" s="420"/>
      <c r="BH1100" s="420"/>
      <c r="BI1100" s="420"/>
      <c r="BJ1100" s="420"/>
      <c r="BK1100" s="420"/>
      <c r="BL1100" s="420"/>
    </row>
    <row r="1101" spans="1:64" ht="25">
      <c r="A1101" s="426"/>
      <c r="B1101" s="426"/>
      <c r="C1101" s="417" t="str">
        <f>[161]Input!$C$48</f>
        <v>Overheads &amp; Contractors Profit @ 13.615%</v>
      </c>
      <c r="D1101" s="406">
        <f>ROUND(D1100*[161]Input!$D$48,2)</f>
        <v>2182.1</v>
      </c>
      <c r="E1101" s="406">
        <f>ROUND(E1100*[161]Input!$D$48,2)</f>
        <v>2236.23</v>
      </c>
      <c r="F1101" s="406">
        <f>ROUND(F1100*[161]Input!$D$48,2)</f>
        <v>2290.36</v>
      </c>
      <c r="G1101" s="416"/>
      <c r="H1101" s="416"/>
      <c r="I1101" s="414"/>
      <c r="J1101" s="544"/>
      <c r="K1101" s="545"/>
      <c r="L1101" s="551"/>
      <c r="M1101" s="498"/>
      <c r="N1101" s="498"/>
      <c r="O1101" s="498"/>
      <c r="P1101" s="498"/>
      <c r="Q1101" s="413"/>
      <c r="R1101" s="413"/>
      <c r="S1101" s="413"/>
      <c r="T1101" s="413"/>
      <c r="U1101" s="413"/>
      <c r="V1101" s="413"/>
      <c r="W1101" s="413"/>
      <c r="X1101" s="413"/>
      <c r="Y1101" s="413"/>
      <c r="Z1101" s="413"/>
      <c r="AA1101" s="413"/>
      <c r="AB1101" s="413"/>
      <c r="AC1101" s="413"/>
      <c r="AD1101" s="413"/>
      <c r="AE1101" s="413"/>
      <c r="AF1101" s="413"/>
      <c r="AG1101" s="413"/>
      <c r="AH1101" s="413"/>
      <c r="AI1101" s="413"/>
      <c r="AJ1101" s="413"/>
      <c r="AK1101" s="413"/>
      <c r="AL1101" s="413"/>
      <c r="AM1101" s="413"/>
      <c r="AN1101" s="413"/>
      <c r="AO1101" s="413"/>
      <c r="AP1101" s="413"/>
      <c r="AQ1101" s="413"/>
      <c r="AR1101" s="413"/>
      <c r="AS1101" s="413"/>
      <c r="AT1101" s="413"/>
      <c r="AU1101" s="413"/>
      <c r="AV1101" s="413"/>
      <c r="AW1101" s="413"/>
      <c r="AX1101" s="413"/>
      <c r="AY1101" s="413"/>
      <c r="AZ1101" s="413"/>
      <c r="BA1101" s="413"/>
      <c r="BB1101" s="413"/>
      <c r="BC1101" s="413"/>
      <c r="BD1101" s="413"/>
      <c r="BE1101" s="413"/>
      <c r="BF1101" s="413"/>
      <c r="BG1101" s="413"/>
      <c r="BH1101" s="413"/>
      <c r="BI1101" s="413"/>
      <c r="BJ1101" s="413"/>
      <c r="BK1101" s="413"/>
      <c r="BL1101" s="413"/>
    </row>
    <row r="1102" spans="1:64" ht="13">
      <c r="A1102" s="426"/>
      <c r="B1102" s="426"/>
      <c r="C1102" s="427" t="s">
        <v>724</v>
      </c>
      <c r="D1102" s="409">
        <f>SUM(D1100:D1101)</f>
        <v>18209.268630000002</v>
      </c>
      <c r="E1102" s="409">
        <f>SUM(E1100:E1101)</f>
        <v>18660.993631999998</v>
      </c>
      <c r="F1102" s="409">
        <f>SUM(F1100:F1101)</f>
        <v>19112.718634000001</v>
      </c>
      <c r="G1102" s="416"/>
      <c r="H1102" s="416"/>
      <c r="I1102" s="414"/>
      <c r="J1102" s="544"/>
      <c r="K1102" s="545"/>
      <c r="L1102" s="551"/>
      <c r="M1102" s="498"/>
      <c r="N1102" s="498"/>
      <c r="O1102" s="498"/>
      <c r="P1102" s="498"/>
      <c r="Q1102" s="413"/>
      <c r="R1102" s="413"/>
      <c r="S1102" s="413"/>
      <c r="T1102" s="413"/>
      <c r="U1102" s="413"/>
      <c r="V1102" s="413"/>
      <c r="W1102" s="413"/>
      <c r="X1102" s="413"/>
      <c r="Y1102" s="413"/>
      <c r="Z1102" s="413"/>
      <c r="AA1102" s="413"/>
      <c r="AB1102" s="413"/>
      <c r="AC1102" s="413"/>
      <c r="AD1102" s="413"/>
      <c r="AE1102" s="413"/>
      <c r="AF1102" s="413"/>
      <c r="AG1102" s="413"/>
      <c r="AH1102" s="413"/>
      <c r="AI1102" s="413"/>
      <c r="AJ1102" s="413"/>
      <c r="AK1102" s="413"/>
      <c r="AL1102" s="413"/>
      <c r="AM1102" s="413"/>
      <c r="AN1102" s="413"/>
      <c r="AO1102" s="413"/>
      <c r="AP1102" s="413"/>
      <c r="AQ1102" s="413"/>
      <c r="AR1102" s="413"/>
      <c r="AS1102" s="413"/>
      <c r="AT1102" s="413"/>
      <c r="AU1102" s="413"/>
      <c r="AV1102" s="413"/>
      <c r="AW1102" s="413"/>
      <c r="AX1102" s="413"/>
      <c r="AY1102" s="413"/>
      <c r="AZ1102" s="413"/>
      <c r="BA1102" s="413"/>
      <c r="BB1102" s="413"/>
      <c r="BC1102" s="413"/>
      <c r="BD1102" s="413"/>
      <c r="BE1102" s="413"/>
      <c r="BF1102" s="413"/>
      <c r="BG1102" s="413"/>
      <c r="BH1102" s="413"/>
      <c r="BI1102" s="413"/>
      <c r="BJ1102" s="413"/>
      <c r="BK1102" s="413"/>
      <c r="BL1102" s="413"/>
    </row>
    <row r="1103" spans="1:64" ht="13">
      <c r="A1103" s="426"/>
      <c r="B1103" s="426"/>
      <c r="C1103" s="514" t="s">
        <v>726</v>
      </c>
      <c r="D1103" s="416">
        <f>ROUND(D1102,0)</f>
        <v>18209</v>
      </c>
      <c r="E1103" s="416">
        <f>ROUND(E1102,0)</f>
        <v>18661</v>
      </c>
      <c r="F1103" s="416">
        <f>ROUND(F1102,0)</f>
        <v>19113</v>
      </c>
      <c r="G1103" s="416"/>
      <c r="H1103" s="416"/>
      <c r="I1103" s="414"/>
      <c r="J1103" s="544"/>
      <c r="K1103" s="545"/>
      <c r="L1103" s="551"/>
      <c r="M1103" s="498"/>
      <c r="N1103" s="498"/>
      <c r="O1103" s="498"/>
      <c r="P1103" s="498"/>
      <c r="Q1103" s="404"/>
      <c r="R1103" s="404"/>
      <c r="S1103" s="404"/>
      <c r="T1103" s="404"/>
      <c r="U1103" s="404"/>
      <c r="V1103" s="404"/>
      <c r="W1103" s="404"/>
      <c r="X1103" s="404"/>
      <c r="Y1103" s="404"/>
      <c r="Z1103" s="404"/>
      <c r="AA1103" s="404"/>
      <c r="AB1103" s="404"/>
      <c r="AC1103" s="404"/>
      <c r="AD1103" s="404"/>
      <c r="AE1103" s="404"/>
      <c r="AF1103" s="404"/>
      <c r="AG1103" s="404"/>
      <c r="AH1103" s="404"/>
      <c r="AI1103" s="404"/>
      <c r="AJ1103" s="404"/>
      <c r="AK1103" s="404"/>
      <c r="AL1103" s="404"/>
      <c r="AM1103" s="404"/>
      <c r="AN1103" s="404"/>
      <c r="AO1103" s="404"/>
      <c r="AP1103" s="404"/>
      <c r="AQ1103" s="404"/>
      <c r="AR1103" s="404"/>
      <c r="AS1103" s="404"/>
      <c r="AT1103" s="404"/>
      <c r="AU1103" s="404"/>
      <c r="AV1103" s="404"/>
      <c r="AW1103" s="404"/>
      <c r="AX1103" s="404"/>
      <c r="AY1103" s="404"/>
      <c r="AZ1103" s="404"/>
      <c r="BA1103" s="404"/>
      <c r="BB1103" s="404"/>
      <c r="BC1103" s="404"/>
      <c r="BD1103" s="404"/>
      <c r="BE1103" s="404"/>
      <c r="BF1103" s="404"/>
      <c r="BG1103" s="404"/>
      <c r="BH1103" s="404"/>
      <c r="BI1103" s="404"/>
      <c r="BJ1103" s="404"/>
      <c r="BK1103" s="404"/>
      <c r="BL1103" s="404"/>
    </row>
    <row r="1104" spans="1:64" ht="13">
      <c r="A1104" s="426"/>
      <c r="B1104" s="426"/>
      <c r="C1104" s="514"/>
      <c r="D1104" s="416"/>
      <c r="E1104" s="416"/>
      <c r="F1104" s="416"/>
      <c r="G1104" s="416"/>
      <c r="H1104" s="416"/>
      <c r="I1104" s="416"/>
      <c r="J1104" s="544"/>
      <c r="K1104" s="545"/>
      <c r="L1104" s="551"/>
      <c r="M1104" s="498"/>
      <c r="N1104" s="498"/>
      <c r="O1104" s="498"/>
      <c r="P1104" s="498"/>
    </row>
    <row r="1105" spans="1:64" ht="13">
      <c r="A1105" s="426"/>
      <c r="B1105" s="426"/>
      <c r="C1105" s="451" t="s">
        <v>997</v>
      </c>
      <c r="D1105" s="416"/>
      <c r="E1105" s="416"/>
      <c r="F1105" s="416"/>
      <c r="G1105" s="416"/>
      <c r="H1105" s="416"/>
      <c r="I1105" s="414"/>
      <c r="J1105" s="544"/>
      <c r="K1105" s="545"/>
      <c r="L1105" s="551"/>
      <c r="M1105" s="498"/>
      <c r="N1105" s="498"/>
      <c r="O1105" s="498"/>
      <c r="P1105" s="498"/>
    </row>
    <row r="1106" spans="1:64" ht="13">
      <c r="A1106" s="426"/>
      <c r="B1106" s="474" t="s">
        <v>951</v>
      </c>
      <c r="C1106" s="451" t="s">
        <v>958</v>
      </c>
      <c r="D1106" s="426"/>
      <c r="E1106" s="426"/>
      <c r="F1106" s="426"/>
      <c r="G1106" s="410"/>
      <c r="H1106" s="426"/>
      <c r="I1106" s="434"/>
      <c r="J1106" s="544"/>
      <c r="K1106" s="545"/>
      <c r="L1106" s="551"/>
      <c r="M1106" s="498"/>
      <c r="N1106" s="498"/>
      <c r="O1106" s="498"/>
      <c r="P1106" s="498"/>
    </row>
    <row r="1107" spans="1:64" ht="13">
      <c r="A1107" s="426"/>
      <c r="B1107" s="426"/>
      <c r="C1107" s="427" t="s">
        <v>953</v>
      </c>
      <c r="D1107" s="414" t="s">
        <v>959</v>
      </c>
      <c r="E1107" s="474" t="s">
        <v>943</v>
      </c>
      <c r="F1107" s="492"/>
      <c r="G1107" s="492"/>
      <c r="H1107" s="492"/>
      <c r="I1107" s="492"/>
      <c r="J1107" s="544"/>
      <c r="K1107" s="545"/>
      <c r="L1107" s="551"/>
      <c r="M1107" s="498"/>
      <c r="N1107" s="498"/>
      <c r="O1107" s="498"/>
      <c r="P1107" s="498"/>
    </row>
    <row r="1108" spans="1:64" ht="13">
      <c r="A1108" s="406"/>
      <c r="B1108" s="406"/>
      <c r="C1108" s="417" t="s">
        <v>954</v>
      </c>
      <c r="D1108" s="432">
        <f>$I$1033</f>
        <v>6945.6217600000009</v>
      </c>
      <c r="E1108" s="432">
        <f>$I$1033</f>
        <v>6945.6217600000009</v>
      </c>
      <c r="F1108" s="432"/>
      <c r="G1108" s="432"/>
      <c r="H1108" s="432"/>
      <c r="I1108" s="432"/>
      <c r="J1108" s="544"/>
      <c r="K1108" s="545"/>
      <c r="L1108" s="551"/>
      <c r="M1108" s="498"/>
      <c r="N1108" s="498"/>
      <c r="O1108" s="498"/>
      <c r="P1108" s="498"/>
      <c r="Q1108" s="475"/>
      <c r="R1108" s="475"/>
      <c r="S1108" s="475"/>
      <c r="T1108" s="475"/>
      <c r="U1108" s="475"/>
      <c r="V1108" s="475"/>
      <c r="W1108" s="475"/>
      <c r="X1108" s="475"/>
      <c r="Y1108" s="475"/>
      <c r="Z1108" s="475"/>
      <c r="AA1108" s="475"/>
      <c r="AB1108" s="475"/>
      <c r="AC1108" s="475"/>
      <c r="AD1108" s="475"/>
      <c r="AE1108" s="475"/>
      <c r="AF1108" s="475"/>
      <c r="AG1108" s="475"/>
      <c r="AH1108" s="475"/>
      <c r="AI1108" s="475"/>
      <c r="AJ1108" s="475"/>
      <c r="AK1108" s="475"/>
      <c r="AL1108" s="475"/>
      <c r="AM1108" s="475"/>
      <c r="AN1108" s="475"/>
      <c r="AO1108" s="475"/>
      <c r="AP1108" s="475"/>
      <c r="AQ1108" s="475"/>
      <c r="AR1108" s="475"/>
      <c r="AS1108" s="475"/>
      <c r="AT1108" s="475"/>
      <c r="AU1108" s="475"/>
      <c r="AV1108" s="475"/>
      <c r="AW1108" s="475"/>
      <c r="AX1108" s="475"/>
      <c r="AY1108" s="475"/>
      <c r="AZ1108" s="475"/>
      <c r="BA1108" s="475"/>
      <c r="BB1108" s="475"/>
      <c r="BC1108" s="475"/>
      <c r="BD1108" s="475"/>
      <c r="BE1108" s="475"/>
      <c r="BF1108" s="475"/>
      <c r="BG1108" s="475"/>
      <c r="BH1108" s="475"/>
      <c r="BI1108" s="475"/>
      <c r="BJ1108" s="475"/>
      <c r="BK1108" s="475"/>
      <c r="BL1108" s="475"/>
    </row>
    <row r="1109" spans="1:64">
      <c r="A1109" s="406"/>
      <c r="B1109" s="406"/>
      <c r="C1109" s="417" t="s">
        <v>921</v>
      </c>
      <c r="D1109" s="432">
        <f>'[161]Civil-SOR'!$F$268+('[161]Civil-SOR'!$F$268*33.332%)</f>
        <v>3131.9686799999999</v>
      </c>
      <c r="E1109" s="432">
        <f>'[161]Civil-SOR'!$F$268+('[161]Civil-SOR'!$F$268*33.332%)</f>
        <v>3131.9686799999999</v>
      </c>
      <c r="F1109" s="432"/>
      <c r="G1109" s="432"/>
      <c r="H1109" s="432"/>
      <c r="I1109" s="432"/>
      <c r="J1109" s="472"/>
      <c r="K1109" s="497"/>
      <c r="L1109" s="497"/>
      <c r="M1109" s="498"/>
      <c r="N1109" s="498"/>
      <c r="O1109" s="498"/>
      <c r="P1109" s="498"/>
    </row>
    <row r="1110" spans="1:64">
      <c r="A1110" s="406"/>
      <c r="B1110" s="406"/>
      <c r="C1110" s="417" t="s">
        <v>993</v>
      </c>
      <c r="D1110" s="459">
        <f>'[161]Civil-SOR'!$G$268+('[161]Civil-SOR'!$G$268*33.332%)</f>
        <v>3054.6361200000001</v>
      </c>
      <c r="E1110" s="459">
        <f>'[161]Civil-SOR'!$H$268+('[161]Civil-SOR'!$H$268*33.332%)</f>
        <v>3359.9664000000002</v>
      </c>
      <c r="F1110" s="459"/>
      <c r="G1110" s="459"/>
      <c r="H1110" s="459"/>
      <c r="I1110" s="459"/>
      <c r="J1110" s="472"/>
      <c r="K1110" s="497"/>
      <c r="L1110" s="497"/>
      <c r="M1110" s="498"/>
      <c r="N1110" s="498"/>
      <c r="O1110" s="498"/>
      <c r="P1110" s="498"/>
    </row>
    <row r="1111" spans="1:64">
      <c r="A1111" s="406"/>
      <c r="B1111" s="406"/>
      <c r="C1111" s="417" t="str">
        <f>[161]Input!$C$47</f>
        <v>Add for MA @ 40%</v>
      </c>
      <c r="D1111" s="432">
        <f>D1110*[161]Input!$D$47</f>
        <v>1221.854448</v>
      </c>
      <c r="E1111" s="432">
        <f>E1110*[161]Input!$D$47</f>
        <v>1343.9865600000003</v>
      </c>
      <c r="F1111" s="432"/>
      <c r="G1111" s="432"/>
      <c r="H1111" s="432"/>
      <c r="I1111" s="432"/>
      <c r="J1111" s="472"/>
      <c r="K1111" s="497"/>
      <c r="L1111" s="497"/>
      <c r="M1111" s="498"/>
      <c r="N1111" s="498"/>
      <c r="O1111" s="498"/>
      <c r="P1111" s="498"/>
    </row>
    <row r="1112" spans="1:64" ht="25">
      <c r="A1112" s="406"/>
      <c r="B1112" s="406"/>
      <c r="C1112" s="417" t="s">
        <v>995</v>
      </c>
      <c r="D1112" s="432">
        <v>0</v>
      </c>
      <c r="E1112" s="432">
        <f>0.267*'[161]Civil-SOR'!$G$334</f>
        <v>101.11290000000002</v>
      </c>
      <c r="F1112" s="432"/>
      <c r="G1112" s="432"/>
      <c r="H1112" s="432"/>
      <c r="I1112" s="432"/>
      <c r="J1112" s="472"/>
      <c r="K1112" s="497"/>
      <c r="L1112" s="497"/>
      <c r="M1112" s="498"/>
      <c r="N1112" s="498"/>
      <c r="O1112" s="498"/>
      <c r="P1112" s="498"/>
    </row>
    <row r="1113" spans="1:64">
      <c r="A1113" s="406"/>
      <c r="B1113" s="406"/>
      <c r="C1113" s="417" t="s">
        <v>828</v>
      </c>
      <c r="D1113" s="432"/>
      <c r="E1113" s="432">
        <f>0.267*'[161]Civil-SOR'!$J$334</f>
        <v>96.226799999999997</v>
      </c>
      <c r="F1113" s="432"/>
      <c r="G1113" s="432"/>
      <c r="H1113" s="432"/>
      <c r="I1113" s="432"/>
      <c r="J1113" s="472"/>
      <c r="K1113" s="497"/>
      <c r="L1113" s="497"/>
      <c r="M1113" s="498"/>
      <c r="N1113" s="498"/>
      <c r="O1113" s="498"/>
      <c r="P1113" s="498"/>
    </row>
    <row r="1114" spans="1:64">
      <c r="A1114" s="406"/>
      <c r="B1114" s="406"/>
      <c r="C1114" s="417" t="str">
        <f>[161]Input!$C$47</f>
        <v>Add for MA @ 40%</v>
      </c>
      <c r="D1114" s="432">
        <f>D1112*[161]Input!D75</f>
        <v>0</v>
      </c>
      <c r="E1114" s="432">
        <f>E1113*[161]Input!$D$47</f>
        <v>38.490720000000003</v>
      </c>
      <c r="F1114" s="432"/>
      <c r="G1114" s="432"/>
      <c r="H1114" s="432"/>
      <c r="I1114" s="432"/>
      <c r="J1114" s="472"/>
      <c r="K1114" s="497"/>
      <c r="L1114" s="497"/>
      <c r="M1114" s="498"/>
      <c r="N1114" s="498"/>
      <c r="O1114" s="498"/>
      <c r="P1114" s="498"/>
    </row>
    <row r="1115" spans="1:64" ht="13">
      <c r="A1115" s="406"/>
      <c r="B1115" s="406"/>
      <c r="C1115" s="427" t="s">
        <v>904</v>
      </c>
      <c r="D1115" s="432">
        <f>SUM(D1108:D1114)</f>
        <v>14354.081007999999</v>
      </c>
      <c r="E1115" s="432">
        <f>SUM(E1108:E1114)</f>
        <v>15017.373820000003</v>
      </c>
      <c r="F1115" s="432"/>
      <c r="G1115" s="432"/>
      <c r="H1115" s="432"/>
      <c r="I1115" s="432"/>
      <c r="J1115" s="472"/>
      <c r="K1115" s="497"/>
      <c r="L1115" s="497"/>
      <c r="M1115" s="498"/>
      <c r="N1115" s="498"/>
      <c r="O1115" s="498"/>
      <c r="P1115" s="498"/>
      <c r="Q1115" s="554"/>
      <c r="R1115" s="554"/>
      <c r="S1115" s="554"/>
      <c r="T1115" s="554"/>
      <c r="U1115" s="554"/>
      <c r="V1115" s="554"/>
      <c r="W1115" s="554"/>
      <c r="X1115" s="554"/>
      <c r="Y1115" s="554"/>
      <c r="Z1115" s="554"/>
      <c r="AA1115" s="554"/>
      <c r="AB1115" s="554"/>
      <c r="AC1115" s="554"/>
      <c r="AD1115" s="554"/>
      <c r="AE1115" s="554"/>
      <c r="AF1115" s="554"/>
      <c r="AG1115" s="554"/>
      <c r="AH1115" s="554"/>
      <c r="AI1115" s="554"/>
      <c r="AJ1115" s="554"/>
      <c r="AK1115" s="554"/>
      <c r="AL1115" s="554"/>
      <c r="AM1115" s="554"/>
      <c r="AN1115" s="554"/>
      <c r="AO1115" s="554"/>
      <c r="AP1115" s="554"/>
      <c r="AQ1115" s="554"/>
      <c r="AR1115" s="554"/>
      <c r="AS1115" s="554"/>
      <c r="AT1115" s="554"/>
      <c r="AU1115" s="554"/>
      <c r="AV1115" s="554"/>
      <c r="AW1115" s="554"/>
      <c r="AX1115" s="554"/>
      <c r="AY1115" s="554"/>
      <c r="AZ1115" s="554"/>
      <c r="BA1115" s="554"/>
      <c r="BB1115" s="554"/>
      <c r="BC1115" s="554"/>
      <c r="BD1115" s="554"/>
      <c r="BE1115" s="554"/>
      <c r="BF1115" s="554"/>
      <c r="BG1115" s="554"/>
      <c r="BH1115" s="554"/>
      <c r="BI1115" s="554"/>
      <c r="BJ1115" s="554"/>
      <c r="BK1115" s="554"/>
      <c r="BL1115" s="554"/>
    </row>
    <row r="1116" spans="1:64" ht="25">
      <c r="A1116" s="406"/>
      <c r="B1116" s="406"/>
      <c r="C1116" s="417" t="str">
        <f>[161]Input!$C$48</f>
        <v>Overheads &amp; Contractors Profit @ 13.615%</v>
      </c>
      <c r="D1116" s="406">
        <f>ROUND(D1115*[161]Input!$D$48,2)</f>
        <v>1954.31</v>
      </c>
      <c r="E1116" s="406">
        <f>ROUND(E1115*[161]Input!$D$48,2)</f>
        <v>2044.62</v>
      </c>
      <c r="F1116" s="406"/>
      <c r="G1116" s="406"/>
      <c r="H1116" s="406"/>
      <c r="I1116" s="406"/>
      <c r="J1116" s="472"/>
      <c r="K1116" s="497"/>
      <c r="L1116" s="497"/>
      <c r="M1116" s="498"/>
      <c r="N1116" s="498"/>
      <c r="O1116" s="498"/>
      <c r="P1116" s="498"/>
      <c r="Q1116" s="452"/>
      <c r="R1116" s="452"/>
      <c r="S1116" s="452"/>
      <c r="T1116" s="452"/>
      <c r="U1116" s="452"/>
      <c r="V1116" s="452"/>
      <c r="W1116" s="452"/>
      <c r="X1116" s="452"/>
      <c r="Y1116" s="452"/>
      <c r="Z1116" s="452"/>
      <c r="AA1116" s="452"/>
      <c r="AB1116" s="452"/>
      <c r="AC1116" s="452"/>
      <c r="AD1116" s="452"/>
      <c r="AE1116" s="452"/>
      <c r="AF1116" s="452"/>
      <c r="AG1116" s="452"/>
      <c r="AH1116" s="452"/>
      <c r="AI1116" s="452"/>
      <c r="AJ1116" s="452"/>
      <c r="AK1116" s="452"/>
      <c r="AL1116" s="452"/>
      <c r="AM1116" s="452"/>
      <c r="AN1116" s="452"/>
      <c r="AO1116" s="452"/>
      <c r="AP1116" s="452"/>
      <c r="AQ1116" s="452"/>
      <c r="AR1116" s="452"/>
      <c r="AS1116" s="452"/>
      <c r="AT1116" s="452"/>
      <c r="AU1116" s="452"/>
      <c r="AV1116" s="452"/>
      <c r="AW1116" s="452"/>
      <c r="AX1116" s="452"/>
      <c r="AY1116" s="452"/>
      <c r="AZ1116" s="452"/>
      <c r="BA1116" s="452"/>
      <c r="BB1116" s="452"/>
      <c r="BC1116" s="452"/>
      <c r="BD1116" s="452"/>
      <c r="BE1116" s="452"/>
      <c r="BF1116" s="452"/>
      <c r="BG1116" s="452"/>
      <c r="BH1116" s="452"/>
      <c r="BI1116" s="452"/>
      <c r="BJ1116" s="452"/>
      <c r="BK1116" s="452"/>
      <c r="BL1116" s="452"/>
    </row>
    <row r="1117" spans="1:64" ht="13">
      <c r="A1117" s="426"/>
      <c r="B1117" s="426"/>
      <c r="C1117" s="427" t="s">
        <v>724</v>
      </c>
      <c r="D1117" s="409">
        <f>SUM(D1115:D1116)</f>
        <v>16308.391007999999</v>
      </c>
      <c r="E1117" s="409">
        <f>SUM(E1115:E1116)</f>
        <v>17061.993820000003</v>
      </c>
      <c r="F1117" s="409"/>
      <c r="G1117" s="409"/>
      <c r="H1117" s="409"/>
      <c r="I1117" s="409"/>
      <c r="J1117" s="472"/>
      <c r="K1117" s="497"/>
      <c r="L1117" s="497"/>
      <c r="M1117" s="498"/>
      <c r="N1117" s="498"/>
      <c r="O1117" s="498"/>
      <c r="P1117" s="498"/>
    </row>
    <row r="1118" spans="1:64" ht="13">
      <c r="A1118" s="426"/>
      <c r="B1118" s="426"/>
      <c r="C1118" s="514" t="s">
        <v>726</v>
      </c>
      <c r="D1118" s="416">
        <f>ROUND(D1117,0)</f>
        <v>16308</v>
      </c>
      <c r="E1118" s="416">
        <f>ROUND(E1117,0)</f>
        <v>17062</v>
      </c>
      <c r="F1118" s="416"/>
      <c r="G1118" s="416"/>
      <c r="H1118" s="416"/>
      <c r="I1118" s="416"/>
      <c r="J1118" s="472"/>
      <c r="K1118" s="497"/>
      <c r="L1118" s="497"/>
      <c r="M1118" s="498"/>
      <c r="N1118" s="498"/>
      <c r="O1118" s="498"/>
      <c r="P1118" s="498"/>
    </row>
    <row r="1119" spans="1:64" ht="13">
      <c r="A1119" s="426"/>
      <c r="B1119" s="426"/>
      <c r="C1119" s="553"/>
      <c r="D1119" s="416"/>
      <c r="E1119" s="416"/>
      <c r="F1119" s="416"/>
      <c r="G1119" s="416"/>
      <c r="H1119" s="416"/>
      <c r="I1119" s="414"/>
      <c r="J1119" s="544"/>
      <c r="K1119" s="545"/>
      <c r="L1119" s="551"/>
      <c r="M1119" s="498"/>
      <c r="N1119" s="498"/>
      <c r="O1119" s="498"/>
      <c r="P1119" s="498"/>
    </row>
    <row r="1120" spans="1:64" ht="13">
      <c r="A1120" s="426"/>
      <c r="B1120" s="426"/>
      <c r="C1120" s="451" t="s">
        <v>998</v>
      </c>
      <c r="D1120" s="416"/>
      <c r="E1120" s="416"/>
      <c r="F1120" s="416"/>
      <c r="G1120" s="416"/>
      <c r="H1120" s="416"/>
      <c r="I1120" s="414"/>
      <c r="J1120" s="544"/>
      <c r="K1120" s="545"/>
      <c r="L1120" s="551"/>
      <c r="M1120" s="498"/>
      <c r="N1120" s="498"/>
      <c r="O1120" s="498"/>
      <c r="P1120" s="498"/>
    </row>
    <row r="1121" spans="1:64" ht="13">
      <c r="A1121" s="426"/>
      <c r="B1121" s="474" t="s">
        <v>951</v>
      </c>
      <c r="C1121" s="451" t="s">
        <v>958</v>
      </c>
      <c r="D1121" s="426"/>
      <c r="E1121" s="416"/>
      <c r="F1121" s="416"/>
      <c r="G1121" s="416"/>
      <c r="H1121" s="416"/>
      <c r="I1121" s="414"/>
      <c r="J1121" s="544"/>
      <c r="K1121" s="545"/>
      <c r="L1121" s="551"/>
      <c r="M1121" s="498"/>
      <c r="N1121" s="498"/>
      <c r="O1121" s="498"/>
      <c r="P1121" s="498"/>
      <c r="Q1121" s="475"/>
      <c r="R1121" s="475"/>
      <c r="S1121" s="475"/>
      <c r="T1121" s="475"/>
      <c r="U1121" s="475"/>
      <c r="V1121" s="475"/>
      <c r="W1121" s="475"/>
      <c r="X1121" s="475"/>
      <c r="Y1121" s="475"/>
      <c r="Z1121" s="475"/>
      <c r="AA1121" s="475"/>
      <c r="AB1121" s="475"/>
      <c r="AC1121" s="475"/>
      <c r="AD1121" s="475"/>
      <c r="AE1121" s="475"/>
      <c r="AF1121" s="475"/>
      <c r="AG1121" s="475"/>
      <c r="AH1121" s="475"/>
      <c r="AI1121" s="475"/>
      <c r="AJ1121" s="475"/>
      <c r="AK1121" s="475"/>
      <c r="AL1121" s="475"/>
      <c r="AM1121" s="475"/>
      <c r="AN1121" s="475"/>
      <c r="AO1121" s="475"/>
      <c r="AP1121" s="475"/>
      <c r="AQ1121" s="475"/>
      <c r="AR1121" s="475"/>
      <c r="AS1121" s="475"/>
      <c r="AT1121" s="475"/>
      <c r="AU1121" s="475"/>
      <c r="AV1121" s="475"/>
      <c r="AW1121" s="475"/>
      <c r="AX1121" s="475"/>
      <c r="AY1121" s="475"/>
      <c r="AZ1121" s="475"/>
      <c r="BA1121" s="475"/>
      <c r="BB1121" s="475"/>
      <c r="BC1121" s="475"/>
      <c r="BD1121" s="475"/>
      <c r="BE1121" s="475"/>
      <c r="BF1121" s="475"/>
      <c r="BG1121" s="475"/>
      <c r="BH1121" s="475"/>
      <c r="BI1121" s="475"/>
      <c r="BJ1121" s="475"/>
      <c r="BK1121" s="475"/>
      <c r="BL1121" s="475"/>
    </row>
    <row r="1122" spans="1:64" ht="13">
      <c r="A1122" s="426"/>
      <c r="B1122" s="426"/>
      <c r="C1122" s="427" t="s">
        <v>953</v>
      </c>
      <c r="D1122" s="414" t="s">
        <v>959</v>
      </c>
      <c r="E1122" s="416"/>
      <c r="F1122" s="416"/>
      <c r="G1122" s="416"/>
      <c r="H1122" s="416"/>
      <c r="I1122" s="414"/>
      <c r="J1122" s="544"/>
      <c r="K1122" s="545"/>
      <c r="L1122" s="551"/>
      <c r="M1122" s="498"/>
      <c r="N1122" s="498"/>
      <c r="O1122" s="498"/>
      <c r="P1122" s="498"/>
      <c r="Q1122" s="475"/>
      <c r="R1122" s="475"/>
      <c r="S1122" s="475"/>
      <c r="T1122" s="475"/>
      <c r="U1122" s="475"/>
      <c r="V1122" s="475"/>
      <c r="W1122" s="475"/>
      <c r="X1122" s="475"/>
      <c r="Y1122" s="475"/>
      <c r="Z1122" s="475"/>
      <c r="AA1122" s="475"/>
      <c r="AB1122" s="475"/>
      <c r="AC1122" s="475"/>
      <c r="AD1122" s="475"/>
      <c r="AE1122" s="475"/>
      <c r="AF1122" s="475"/>
      <c r="AG1122" s="475"/>
      <c r="AH1122" s="475"/>
      <c r="AI1122" s="475"/>
      <c r="AJ1122" s="475"/>
      <c r="AK1122" s="475"/>
      <c r="AL1122" s="475"/>
      <c r="AM1122" s="475"/>
      <c r="AN1122" s="475"/>
      <c r="AO1122" s="475"/>
      <c r="AP1122" s="475"/>
      <c r="AQ1122" s="475"/>
      <c r="AR1122" s="475"/>
      <c r="AS1122" s="475"/>
      <c r="AT1122" s="475"/>
      <c r="AU1122" s="475"/>
      <c r="AV1122" s="475"/>
      <c r="AW1122" s="475"/>
      <c r="AX1122" s="475"/>
      <c r="AY1122" s="475"/>
      <c r="AZ1122" s="475"/>
      <c r="BA1122" s="475"/>
      <c r="BB1122" s="475"/>
      <c r="BC1122" s="475"/>
      <c r="BD1122" s="475"/>
      <c r="BE1122" s="475"/>
      <c r="BF1122" s="475"/>
      <c r="BG1122" s="475"/>
      <c r="BH1122" s="475"/>
      <c r="BI1122" s="475"/>
      <c r="BJ1122" s="475"/>
      <c r="BK1122" s="475"/>
      <c r="BL1122" s="475"/>
    </row>
    <row r="1123" spans="1:64" ht="13">
      <c r="A1123" s="426"/>
      <c r="B1123" s="406"/>
      <c r="C1123" s="417" t="s">
        <v>954</v>
      </c>
      <c r="D1123" s="432">
        <f>$I$1033</f>
        <v>6945.6217600000009</v>
      </c>
      <c r="E1123" s="416"/>
      <c r="F1123" s="416"/>
      <c r="G1123" s="555"/>
      <c r="H1123" s="414"/>
      <c r="I1123" s="414"/>
      <c r="J1123" s="544"/>
      <c r="K1123" s="545"/>
      <c r="L1123" s="551"/>
      <c r="M1123" s="498"/>
      <c r="N1123" s="498"/>
      <c r="O1123" s="498"/>
      <c r="P1123" s="498"/>
      <c r="Q1123" s="475"/>
      <c r="R1123" s="475"/>
      <c r="S1123" s="475"/>
      <c r="T1123" s="475"/>
      <c r="U1123" s="475"/>
      <c r="V1123" s="475"/>
      <c r="W1123" s="475"/>
      <c r="X1123" s="475"/>
      <c r="Y1123" s="475"/>
      <c r="Z1123" s="475"/>
      <c r="AA1123" s="475"/>
      <c r="AB1123" s="475"/>
      <c r="AC1123" s="475"/>
      <c r="AD1123" s="475"/>
      <c r="AE1123" s="475"/>
      <c r="AF1123" s="475"/>
      <c r="AG1123" s="475"/>
      <c r="AH1123" s="475"/>
      <c r="AI1123" s="475"/>
      <c r="AJ1123" s="475"/>
      <c r="AK1123" s="475"/>
      <c r="AL1123" s="475"/>
      <c r="AM1123" s="475"/>
      <c r="AN1123" s="475"/>
      <c r="AO1123" s="475"/>
      <c r="AP1123" s="475"/>
      <c r="AQ1123" s="475"/>
      <c r="AR1123" s="475"/>
      <c r="AS1123" s="475"/>
      <c r="AT1123" s="475"/>
      <c r="AU1123" s="475"/>
      <c r="AV1123" s="475"/>
      <c r="AW1123" s="475"/>
      <c r="AX1123" s="475"/>
      <c r="AY1123" s="475"/>
      <c r="AZ1123" s="475"/>
      <c r="BA1123" s="475"/>
      <c r="BB1123" s="475"/>
      <c r="BC1123" s="475"/>
      <c r="BD1123" s="475"/>
      <c r="BE1123" s="475"/>
      <c r="BF1123" s="475"/>
      <c r="BG1123" s="475"/>
      <c r="BH1123" s="475"/>
      <c r="BI1123" s="475"/>
      <c r="BJ1123" s="475"/>
      <c r="BK1123" s="475"/>
      <c r="BL1123" s="475"/>
    </row>
    <row r="1124" spans="1:64" ht="13">
      <c r="A1124" s="426"/>
      <c r="B1124" s="406"/>
      <c r="C1124" s="417" t="s">
        <v>921</v>
      </c>
      <c r="D1124" s="432">
        <f>'[161]Civil-SOR'!$F$268+('[161]Civil-SOR'!$F$268*116.6%)</f>
        <v>5087.9339999999993</v>
      </c>
      <c r="E1124" s="416"/>
      <c r="F1124" s="555"/>
      <c r="G1124" s="555"/>
      <c r="H1124" s="555"/>
      <c r="I1124" s="555"/>
      <c r="J1124" s="556"/>
      <c r="K1124" s="557"/>
      <c r="L1124" s="551"/>
      <c r="M1124" s="498"/>
      <c r="N1124" s="498"/>
      <c r="O1124" s="498"/>
      <c r="P1124" s="498"/>
      <c r="Q1124" s="475"/>
      <c r="R1124" s="475"/>
      <c r="S1124" s="475"/>
      <c r="T1124" s="475"/>
      <c r="U1124" s="475"/>
      <c r="V1124" s="475"/>
      <c r="W1124" s="475"/>
      <c r="X1124" s="475"/>
      <c r="Y1124" s="475"/>
      <c r="Z1124" s="475"/>
      <c r="AA1124" s="475"/>
      <c r="AB1124" s="475"/>
      <c r="AC1124" s="475"/>
      <c r="AD1124" s="475"/>
      <c r="AE1124" s="475"/>
      <c r="AF1124" s="475"/>
      <c r="AG1124" s="475"/>
      <c r="AH1124" s="475"/>
      <c r="AI1124" s="475"/>
      <c r="AJ1124" s="475"/>
      <c r="AK1124" s="475"/>
      <c r="AL1124" s="475"/>
      <c r="AM1124" s="475"/>
      <c r="AN1124" s="475"/>
      <c r="AO1124" s="475"/>
      <c r="AP1124" s="475"/>
      <c r="AQ1124" s="475"/>
      <c r="AR1124" s="475"/>
      <c r="AS1124" s="475"/>
      <c r="AT1124" s="475"/>
      <c r="AU1124" s="475"/>
      <c r="AV1124" s="475"/>
      <c r="AW1124" s="475"/>
      <c r="AX1124" s="475"/>
      <c r="AY1124" s="475"/>
      <c r="AZ1124" s="475"/>
      <c r="BA1124" s="475"/>
      <c r="BB1124" s="475"/>
      <c r="BC1124" s="475"/>
      <c r="BD1124" s="475"/>
      <c r="BE1124" s="475"/>
      <c r="BF1124" s="475"/>
      <c r="BG1124" s="475"/>
      <c r="BH1124" s="475"/>
      <c r="BI1124" s="475"/>
      <c r="BJ1124" s="475"/>
      <c r="BK1124" s="475"/>
      <c r="BL1124" s="475"/>
    </row>
    <row r="1125" spans="1:64" ht="13">
      <c r="A1125" s="426"/>
      <c r="B1125" s="406"/>
      <c r="C1125" s="417" t="s">
        <v>993</v>
      </c>
      <c r="D1125" s="459">
        <f>'[161]Civil-SOR'!$G$268+('[161]Civil-SOR'!$G$268*116.96%)</f>
        <v>4970.5535999999993</v>
      </c>
      <c r="E1125" s="555"/>
      <c r="F1125" s="555"/>
      <c r="G1125" s="555"/>
      <c r="H1125" s="555"/>
      <c r="I1125" s="414"/>
      <c r="J1125" s="544"/>
      <c r="K1125" s="545"/>
      <c r="L1125" s="551"/>
      <c r="M1125" s="498"/>
      <c r="N1125" s="498"/>
      <c r="O1125" s="498"/>
      <c r="P1125" s="498"/>
      <c r="Q1125" s="475"/>
      <c r="R1125" s="475"/>
      <c r="S1125" s="475"/>
      <c r="T1125" s="475"/>
      <c r="U1125" s="475"/>
      <c r="V1125" s="475"/>
      <c r="W1125" s="475"/>
      <c r="X1125" s="475"/>
      <c r="Y1125" s="475"/>
      <c r="Z1125" s="475"/>
      <c r="AA1125" s="475"/>
      <c r="AB1125" s="475"/>
      <c r="AC1125" s="475"/>
      <c r="AD1125" s="475"/>
      <c r="AE1125" s="475"/>
      <c r="AF1125" s="475"/>
      <c r="AG1125" s="475"/>
      <c r="AH1125" s="475"/>
      <c r="AI1125" s="475"/>
      <c r="AJ1125" s="475"/>
      <c r="AK1125" s="475"/>
      <c r="AL1125" s="475"/>
      <c r="AM1125" s="475"/>
      <c r="AN1125" s="475"/>
      <c r="AO1125" s="475"/>
      <c r="AP1125" s="475"/>
      <c r="AQ1125" s="475"/>
      <c r="AR1125" s="475"/>
      <c r="AS1125" s="475"/>
      <c r="AT1125" s="475"/>
      <c r="AU1125" s="475"/>
      <c r="AV1125" s="475"/>
      <c r="AW1125" s="475"/>
      <c r="AX1125" s="475"/>
      <c r="AY1125" s="475"/>
      <c r="AZ1125" s="475"/>
      <c r="BA1125" s="475"/>
      <c r="BB1125" s="475"/>
      <c r="BC1125" s="475"/>
      <c r="BD1125" s="475"/>
      <c r="BE1125" s="475"/>
      <c r="BF1125" s="475"/>
      <c r="BG1125" s="475"/>
      <c r="BH1125" s="475"/>
      <c r="BI1125" s="475"/>
      <c r="BJ1125" s="475"/>
      <c r="BK1125" s="475"/>
      <c r="BL1125" s="475"/>
    </row>
    <row r="1126" spans="1:64" ht="13">
      <c r="A1126" s="426"/>
      <c r="B1126" s="406"/>
      <c r="C1126" s="417" t="str">
        <f>[161]Input!$C$47</f>
        <v>Add for MA @ 40%</v>
      </c>
      <c r="D1126" s="432">
        <f>D1125*[161]Input!$D$47</f>
        <v>1988.2214399999998</v>
      </c>
      <c r="E1126" s="416"/>
      <c r="F1126" s="555"/>
      <c r="G1126" s="555"/>
      <c r="H1126" s="555"/>
      <c r="I1126" s="414"/>
      <c r="J1126" s="544"/>
      <c r="K1126" s="545"/>
      <c r="L1126" s="551"/>
      <c r="M1126" s="498"/>
      <c r="N1126" s="498"/>
      <c r="O1126" s="498"/>
      <c r="P1126" s="498"/>
      <c r="Q1126" s="475"/>
      <c r="R1126" s="475"/>
      <c r="S1126" s="475"/>
      <c r="T1126" s="475"/>
      <c r="U1126" s="475"/>
      <c r="V1126" s="475"/>
      <c r="W1126" s="475"/>
      <c r="X1126" s="475"/>
      <c r="Y1126" s="475"/>
      <c r="Z1126" s="475"/>
      <c r="AA1126" s="475"/>
      <c r="AB1126" s="475"/>
      <c r="AC1126" s="475"/>
      <c r="AD1126" s="475"/>
      <c r="AE1126" s="475"/>
      <c r="AF1126" s="475"/>
      <c r="AG1126" s="475"/>
      <c r="AH1126" s="475"/>
      <c r="AI1126" s="475"/>
      <c r="AJ1126" s="475"/>
      <c r="AK1126" s="475"/>
      <c r="AL1126" s="475"/>
      <c r="AM1126" s="475"/>
      <c r="AN1126" s="475"/>
      <c r="AO1126" s="475"/>
      <c r="AP1126" s="475"/>
      <c r="AQ1126" s="475"/>
      <c r="AR1126" s="475"/>
      <c r="AS1126" s="475"/>
      <c r="AT1126" s="475"/>
      <c r="AU1126" s="475"/>
      <c r="AV1126" s="475"/>
      <c r="AW1126" s="475"/>
      <c r="AX1126" s="475"/>
      <c r="AY1126" s="475"/>
      <c r="AZ1126" s="475"/>
      <c r="BA1126" s="475"/>
      <c r="BB1126" s="475"/>
      <c r="BC1126" s="475"/>
      <c r="BD1126" s="475"/>
      <c r="BE1126" s="475"/>
      <c r="BF1126" s="475"/>
      <c r="BG1126" s="475"/>
      <c r="BH1126" s="475"/>
      <c r="BI1126" s="475"/>
      <c r="BJ1126" s="475"/>
      <c r="BK1126" s="475"/>
      <c r="BL1126" s="475"/>
    </row>
    <row r="1127" spans="1:64" ht="25">
      <c r="A1127" s="426"/>
      <c r="B1127" s="406"/>
      <c r="C1127" s="417" t="s">
        <v>995</v>
      </c>
      <c r="D1127" s="432">
        <f>0.267*'[161]Civil-SOR'!$G$334</f>
        <v>101.11290000000002</v>
      </c>
      <c r="E1127" s="416"/>
      <c r="F1127" s="555"/>
      <c r="G1127" s="555"/>
      <c r="H1127" s="555"/>
      <c r="I1127" s="414"/>
      <c r="J1127" s="544"/>
      <c r="K1127" s="545"/>
      <c r="L1127" s="551"/>
      <c r="M1127" s="498"/>
      <c r="N1127" s="498"/>
      <c r="O1127" s="498"/>
      <c r="P1127" s="498"/>
      <c r="Q1127" s="554"/>
      <c r="R1127" s="554"/>
      <c r="S1127" s="554"/>
      <c r="T1127" s="554"/>
      <c r="U1127" s="554"/>
      <c r="V1127" s="554"/>
      <c r="W1127" s="554"/>
      <c r="X1127" s="554"/>
      <c r="Y1127" s="554"/>
      <c r="Z1127" s="554"/>
      <c r="AA1127" s="554"/>
      <c r="AB1127" s="554"/>
      <c r="AC1127" s="554"/>
      <c r="AD1127" s="554"/>
      <c r="AE1127" s="554"/>
      <c r="AF1127" s="554"/>
      <c r="AG1127" s="554"/>
      <c r="AH1127" s="554"/>
      <c r="AI1127" s="554"/>
      <c r="AJ1127" s="554"/>
      <c r="AK1127" s="554"/>
      <c r="AL1127" s="554"/>
      <c r="AM1127" s="554"/>
      <c r="AN1127" s="554"/>
      <c r="AO1127" s="554"/>
      <c r="AP1127" s="554"/>
      <c r="AQ1127" s="554"/>
      <c r="AR1127" s="554"/>
      <c r="AS1127" s="554"/>
      <c r="AT1127" s="554"/>
      <c r="AU1127" s="554"/>
      <c r="AV1127" s="554"/>
      <c r="AW1127" s="554"/>
      <c r="AX1127" s="554"/>
      <c r="AY1127" s="554"/>
      <c r="AZ1127" s="554"/>
      <c r="BA1127" s="554"/>
      <c r="BB1127" s="554"/>
      <c r="BC1127" s="554"/>
      <c r="BD1127" s="554"/>
      <c r="BE1127" s="554"/>
      <c r="BF1127" s="554"/>
      <c r="BG1127" s="554"/>
      <c r="BH1127" s="554"/>
      <c r="BI1127" s="554"/>
      <c r="BJ1127" s="554"/>
      <c r="BK1127" s="554"/>
      <c r="BL1127" s="554"/>
    </row>
    <row r="1128" spans="1:64" ht="13">
      <c r="A1128" s="426"/>
      <c r="B1128" s="406"/>
      <c r="C1128" s="417" t="s">
        <v>828</v>
      </c>
      <c r="D1128" s="432">
        <f>0.267*'[161]Civil-SOR'!$J$334</f>
        <v>96.226799999999997</v>
      </c>
      <c r="E1128" s="416"/>
      <c r="F1128" s="555"/>
      <c r="G1128" s="555"/>
      <c r="H1128" s="555"/>
      <c r="I1128" s="414"/>
      <c r="J1128" s="544"/>
      <c r="K1128" s="545"/>
      <c r="L1128" s="551"/>
      <c r="M1128" s="498"/>
      <c r="N1128" s="498"/>
      <c r="O1128" s="498"/>
      <c r="P1128" s="498"/>
      <c r="Q1128" s="475"/>
      <c r="R1128" s="475"/>
      <c r="S1128" s="475"/>
      <c r="T1128" s="475"/>
      <c r="U1128" s="475"/>
      <c r="V1128" s="475"/>
      <c r="W1128" s="475"/>
      <c r="X1128" s="475"/>
      <c r="Y1128" s="475"/>
      <c r="Z1128" s="475"/>
      <c r="AA1128" s="475"/>
      <c r="AB1128" s="475"/>
      <c r="AC1128" s="475"/>
      <c r="AD1128" s="475"/>
      <c r="AE1128" s="475"/>
      <c r="AF1128" s="475"/>
      <c r="AG1128" s="475"/>
      <c r="AH1128" s="475"/>
      <c r="AI1128" s="475"/>
      <c r="AJ1128" s="475"/>
      <c r="AK1128" s="475"/>
      <c r="AL1128" s="475"/>
      <c r="AM1128" s="475"/>
      <c r="AN1128" s="475"/>
      <c r="AO1128" s="475"/>
      <c r="AP1128" s="475"/>
      <c r="AQ1128" s="475"/>
      <c r="AR1128" s="475"/>
      <c r="AS1128" s="475"/>
      <c r="AT1128" s="475"/>
      <c r="AU1128" s="475"/>
      <c r="AV1128" s="475"/>
      <c r="AW1128" s="475"/>
      <c r="AX1128" s="475"/>
      <c r="AY1128" s="475"/>
      <c r="AZ1128" s="475"/>
      <c r="BA1128" s="475"/>
      <c r="BB1128" s="475"/>
      <c r="BC1128" s="475"/>
      <c r="BD1128" s="475"/>
      <c r="BE1128" s="475"/>
      <c r="BF1128" s="475"/>
      <c r="BG1128" s="475"/>
      <c r="BH1128" s="475"/>
      <c r="BI1128" s="475"/>
      <c r="BJ1128" s="475"/>
      <c r="BK1128" s="475"/>
      <c r="BL1128" s="475"/>
    </row>
    <row r="1129" spans="1:64" ht="13">
      <c r="A1129" s="426"/>
      <c r="B1129" s="406"/>
      <c r="C1129" s="417" t="str">
        <f>[161]Input!$C$47</f>
        <v>Add for MA @ 40%</v>
      </c>
      <c r="D1129" s="432">
        <f>D1128*[161]Input!$D$47</f>
        <v>38.490720000000003</v>
      </c>
      <c r="E1129" s="416"/>
      <c r="F1129" s="555"/>
      <c r="G1129" s="555"/>
      <c r="H1129" s="555"/>
      <c r="I1129" s="414"/>
      <c r="J1129" s="544"/>
      <c r="K1129" s="545"/>
      <c r="L1129" s="551"/>
      <c r="M1129" s="498"/>
      <c r="N1129" s="498"/>
      <c r="O1129" s="498"/>
      <c r="P1129" s="498"/>
    </row>
    <row r="1130" spans="1:64" ht="13">
      <c r="A1130" s="426"/>
      <c r="B1130" s="406"/>
      <c r="C1130" s="427" t="s">
        <v>904</v>
      </c>
      <c r="D1130" s="432">
        <f>SUM(D1123:D1129)</f>
        <v>19228.161220000002</v>
      </c>
      <c r="E1130" s="416"/>
      <c r="F1130" s="555"/>
      <c r="G1130" s="555"/>
      <c r="H1130" s="555"/>
      <c r="I1130" s="414"/>
      <c r="J1130" s="544"/>
      <c r="K1130" s="545"/>
      <c r="L1130" s="551"/>
      <c r="M1130" s="498"/>
      <c r="N1130" s="498"/>
      <c r="O1130" s="498"/>
      <c r="P1130" s="498"/>
      <c r="Q1130" s="452"/>
      <c r="R1130" s="452"/>
      <c r="S1130" s="452"/>
      <c r="T1130" s="452"/>
      <c r="U1130" s="452"/>
      <c r="V1130" s="452"/>
      <c r="W1130" s="452"/>
      <c r="X1130" s="452"/>
      <c r="Y1130" s="452"/>
      <c r="Z1130" s="452"/>
      <c r="AA1130" s="452"/>
      <c r="AB1130" s="452"/>
      <c r="AC1130" s="452"/>
      <c r="AD1130" s="452"/>
      <c r="AE1130" s="452"/>
      <c r="AF1130" s="452"/>
      <c r="AG1130" s="452"/>
      <c r="AH1130" s="452"/>
      <c r="AI1130" s="452"/>
      <c r="AJ1130" s="452"/>
      <c r="AK1130" s="452"/>
      <c r="AL1130" s="452"/>
      <c r="AM1130" s="452"/>
      <c r="AN1130" s="452"/>
      <c r="AO1130" s="452"/>
      <c r="AP1130" s="452"/>
      <c r="AQ1130" s="452"/>
      <c r="AR1130" s="452"/>
      <c r="AS1130" s="452"/>
      <c r="AT1130" s="452"/>
      <c r="AU1130" s="452"/>
      <c r="AV1130" s="452"/>
      <c r="AW1130" s="452"/>
      <c r="AX1130" s="452"/>
      <c r="AY1130" s="452"/>
      <c r="AZ1130" s="452"/>
      <c r="BA1130" s="452"/>
      <c r="BB1130" s="452"/>
      <c r="BC1130" s="452"/>
      <c r="BD1130" s="452"/>
      <c r="BE1130" s="452"/>
      <c r="BF1130" s="452"/>
      <c r="BG1130" s="452"/>
      <c r="BH1130" s="452"/>
      <c r="BI1130" s="452"/>
      <c r="BJ1130" s="452"/>
      <c r="BK1130" s="452"/>
      <c r="BL1130" s="452"/>
    </row>
    <row r="1131" spans="1:64" ht="25">
      <c r="A1131" s="426"/>
      <c r="B1131" s="406"/>
      <c r="C1131" s="417" t="str">
        <f>[161]Input!$C$48</f>
        <v>Overheads &amp; Contractors Profit @ 13.615%</v>
      </c>
      <c r="D1131" s="406">
        <f>ROUND(D1130*[161]Input!$D$48,2)</f>
        <v>2617.91</v>
      </c>
      <c r="E1131" s="416"/>
      <c r="F1131" s="555"/>
      <c r="G1131" s="416"/>
      <c r="H1131" s="416"/>
      <c r="I1131" s="414"/>
      <c r="J1131" s="544"/>
      <c r="K1131" s="545"/>
      <c r="L1131" s="551"/>
      <c r="M1131" s="498"/>
      <c r="N1131" s="498"/>
      <c r="O1131" s="498"/>
      <c r="P1131" s="498"/>
      <c r="Q1131" s="452"/>
      <c r="R1131" s="452"/>
      <c r="S1131" s="452"/>
      <c r="T1131" s="452"/>
      <c r="U1131" s="452"/>
      <c r="V1131" s="452"/>
      <c r="W1131" s="452"/>
      <c r="X1131" s="452"/>
      <c r="Y1131" s="452"/>
      <c r="Z1131" s="452"/>
      <c r="AA1131" s="452"/>
      <c r="AB1131" s="452"/>
      <c r="AC1131" s="452"/>
      <c r="AD1131" s="452"/>
      <c r="AE1131" s="452"/>
      <c r="AF1131" s="452"/>
      <c r="AG1131" s="452"/>
      <c r="AH1131" s="452"/>
      <c r="AI1131" s="452"/>
      <c r="AJ1131" s="452"/>
      <c r="AK1131" s="452"/>
      <c r="AL1131" s="452"/>
      <c r="AM1131" s="452"/>
      <c r="AN1131" s="452"/>
      <c r="AO1131" s="452"/>
      <c r="AP1131" s="452"/>
      <c r="AQ1131" s="452"/>
      <c r="AR1131" s="452"/>
      <c r="AS1131" s="452"/>
      <c r="AT1131" s="452"/>
      <c r="AU1131" s="452"/>
      <c r="AV1131" s="452"/>
      <c r="AW1131" s="452"/>
      <c r="AX1131" s="452"/>
      <c r="AY1131" s="452"/>
      <c r="AZ1131" s="452"/>
      <c r="BA1131" s="452"/>
      <c r="BB1131" s="452"/>
      <c r="BC1131" s="452"/>
      <c r="BD1131" s="452"/>
      <c r="BE1131" s="452"/>
      <c r="BF1131" s="452"/>
      <c r="BG1131" s="452"/>
      <c r="BH1131" s="452"/>
      <c r="BI1131" s="452"/>
      <c r="BJ1131" s="452"/>
      <c r="BK1131" s="452"/>
      <c r="BL1131" s="452"/>
    </row>
    <row r="1132" spans="1:64" ht="13">
      <c r="A1132" s="426"/>
      <c r="B1132" s="426"/>
      <c r="C1132" s="427" t="s">
        <v>724</v>
      </c>
      <c r="D1132" s="409">
        <f>SUM(D1130:D1131)</f>
        <v>21846.071220000002</v>
      </c>
      <c r="E1132" s="416"/>
      <c r="F1132" s="416"/>
      <c r="G1132" s="416"/>
      <c r="H1132" s="416"/>
      <c r="I1132" s="414"/>
      <c r="J1132" s="544"/>
      <c r="K1132" s="545"/>
      <c r="L1132" s="551"/>
      <c r="M1132" s="498"/>
      <c r="N1132" s="498"/>
      <c r="O1132" s="498"/>
      <c r="P1132" s="498"/>
      <c r="Q1132" s="404"/>
      <c r="R1132" s="404"/>
      <c r="S1132" s="404"/>
      <c r="T1132" s="404"/>
      <c r="U1132" s="404"/>
      <c r="V1132" s="404"/>
      <c r="W1132" s="404"/>
      <c r="X1132" s="404"/>
      <c r="Y1132" s="404"/>
      <c r="Z1132" s="404"/>
      <c r="AA1132" s="404"/>
      <c r="AB1132" s="404"/>
      <c r="AC1132" s="404"/>
      <c r="AD1132" s="404"/>
      <c r="AE1132" s="404"/>
      <c r="AF1132" s="404"/>
      <c r="AG1132" s="404"/>
      <c r="AH1132" s="404"/>
      <c r="AI1132" s="404"/>
      <c r="AJ1132" s="404"/>
      <c r="AK1132" s="404"/>
      <c r="AL1132" s="404"/>
      <c r="AM1132" s="404"/>
      <c r="AN1132" s="404"/>
      <c r="AO1132" s="404"/>
      <c r="AP1132" s="404"/>
      <c r="AQ1132" s="404"/>
      <c r="AR1132" s="404"/>
      <c r="AS1132" s="404"/>
      <c r="AT1132" s="404"/>
      <c r="AU1132" s="404"/>
      <c r="AV1132" s="404"/>
      <c r="AW1132" s="404"/>
      <c r="AX1132" s="404"/>
      <c r="AY1132" s="404"/>
      <c r="AZ1132" s="404"/>
      <c r="BA1132" s="404"/>
      <c r="BB1132" s="404"/>
      <c r="BC1132" s="404"/>
      <c r="BD1132" s="404"/>
      <c r="BE1132" s="404"/>
      <c r="BF1132" s="404"/>
      <c r="BG1132" s="404"/>
      <c r="BH1132" s="404"/>
      <c r="BI1132" s="404"/>
      <c r="BJ1132" s="404"/>
      <c r="BK1132" s="404"/>
      <c r="BL1132" s="404"/>
    </row>
    <row r="1133" spans="1:64" ht="13">
      <c r="A1133" s="426"/>
      <c r="B1133" s="426"/>
      <c r="C1133" s="514" t="s">
        <v>726</v>
      </c>
      <c r="D1133" s="416">
        <f>ROUND(D1132,0)</f>
        <v>21846</v>
      </c>
      <c r="E1133" s="416"/>
      <c r="F1133" s="416"/>
      <c r="G1133" s="416"/>
      <c r="H1133" s="416"/>
      <c r="I1133" s="414"/>
      <c r="J1133" s="544"/>
      <c r="K1133" s="545"/>
      <c r="L1133" s="551"/>
      <c r="M1133" s="498"/>
      <c r="N1133" s="498"/>
      <c r="O1133" s="498"/>
      <c r="P1133" s="498"/>
      <c r="Q1133" s="404"/>
      <c r="R1133" s="404"/>
      <c r="S1133" s="404"/>
      <c r="T1133" s="404"/>
      <c r="U1133" s="404"/>
      <c r="V1133" s="404"/>
      <c r="W1133" s="404"/>
      <c r="X1133" s="404"/>
      <c r="Y1133" s="404"/>
      <c r="Z1133" s="404"/>
      <c r="AA1133" s="404"/>
      <c r="AB1133" s="404"/>
      <c r="AC1133" s="404"/>
      <c r="AD1133" s="404"/>
      <c r="AE1133" s="404"/>
      <c r="AF1133" s="404"/>
      <c r="AG1133" s="404"/>
      <c r="AH1133" s="404"/>
      <c r="AI1133" s="404"/>
      <c r="AJ1133" s="404"/>
      <c r="AK1133" s="404"/>
      <c r="AL1133" s="404"/>
      <c r="AM1133" s="404"/>
      <c r="AN1133" s="404"/>
      <c r="AO1133" s="404"/>
      <c r="AP1133" s="404"/>
      <c r="AQ1133" s="404"/>
      <c r="AR1133" s="404"/>
      <c r="AS1133" s="404"/>
      <c r="AT1133" s="404"/>
      <c r="AU1133" s="404"/>
      <c r="AV1133" s="404"/>
      <c r="AW1133" s="404"/>
      <c r="AX1133" s="404"/>
      <c r="AY1133" s="404"/>
      <c r="AZ1133" s="404"/>
      <c r="BA1133" s="404"/>
      <c r="BB1133" s="404"/>
      <c r="BC1133" s="404"/>
      <c r="BD1133" s="404"/>
      <c r="BE1133" s="404"/>
      <c r="BF1133" s="404"/>
      <c r="BG1133" s="404"/>
      <c r="BH1133" s="404"/>
      <c r="BI1133" s="404"/>
      <c r="BJ1133" s="404"/>
      <c r="BK1133" s="404"/>
      <c r="BL1133" s="404"/>
    </row>
    <row r="1134" spans="1:64" ht="13">
      <c r="A1134" s="426"/>
      <c r="B1134" s="426"/>
      <c r="C1134" s="550"/>
      <c r="D1134" s="416"/>
      <c r="E1134" s="416"/>
      <c r="F1134" s="416"/>
      <c r="G1134" s="416"/>
      <c r="H1134" s="416"/>
      <c r="I1134" s="414"/>
      <c r="J1134" s="544"/>
      <c r="K1134" s="545"/>
      <c r="L1134" s="551"/>
      <c r="M1134" s="498"/>
      <c r="N1134" s="498"/>
      <c r="O1134" s="498"/>
      <c r="P1134" s="498"/>
    </row>
    <row r="1135" spans="1:64" ht="13">
      <c r="A1135" s="426"/>
      <c r="B1135" s="426"/>
      <c r="C1135" s="550"/>
      <c r="D1135" s="416"/>
      <c r="E1135" s="416"/>
      <c r="F1135" s="416"/>
      <c r="G1135" s="416"/>
      <c r="H1135" s="416"/>
      <c r="I1135" s="414"/>
      <c r="J1135" s="544"/>
      <c r="K1135" s="545"/>
      <c r="L1135" s="551"/>
      <c r="M1135" s="498"/>
      <c r="N1135" s="498"/>
      <c r="O1135" s="498"/>
      <c r="P1135" s="498"/>
    </row>
    <row r="1136" spans="1:64" ht="26">
      <c r="A1136" s="426"/>
      <c r="B1136" s="474" t="s">
        <v>727</v>
      </c>
      <c r="C1136" s="451" t="s">
        <v>999</v>
      </c>
      <c r="D1136" s="426"/>
      <c r="E1136" s="426"/>
      <c r="F1136" s="426"/>
      <c r="G1136" s="410"/>
      <c r="H1136" s="474"/>
      <c r="I1136" s="434"/>
      <c r="J1136" s="544"/>
      <c r="K1136" s="545"/>
      <c r="L1136" s="551"/>
      <c r="M1136" s="498"/>
      <c r="N1136" s="498"/>
      <c r="O1136" s="498"/>
      <c r="P1136" s="498"/>
    </row>
    <row r="1137" spans="1:64" ht="13">
      <c r="A1137" s="426"/>
      <c r="B1137" s="474"/>
      <c r="C1137" s="417" t="s">
        <v>920</v>
      </c>
      <c r="D1137" s="491">
        <v>0.125</v>
      </c>
      <c r="E1137" s="426" t="s">
        <v>57</v>
      </c>
      <c r="F1137" s="409">
        <f>$I$1033</f>
        <v>6945.6217600000009</v>
      </c>
      <c r="G1137" s="410">
        <v>1</v>
      </c>
      <c r="H1137" s="426" t="s">
        <v>57</v>
      </c>
      <c r="I1137" s="414">
        <f>IF(G1137="",D1137*F1137,(D1137*F1137/G1137))</f>
        <v>868.20272000000011</v>
      </c>
      <c r="J1137" s="544"/>
      <c r="K1137" s="545"/>
      <c r="L1137" s="551"/>
      <c r="M1137" s="498"/>
      <c r="N1137" s="498"/>
      <c r="O1137" s="498"/>
      <c r="P1137" s="498"/>
      <c r="Q1137" s="475"/>
      <c r="R1137" s="475"/>
      <c r="S1137" s="475"/>
      <c r="T1137" s="475"/>
      <c r="U1137" s="475"/>
      <c r="V1137" s="475"/>
      <c r="W1137" s="475"/>
      <c r="X1137" s="475"/>
      <c r="Y1137" s="475"/>
      <c r="Z1137" s="475"/>
      <c r="AA1137" s="475"/>
      <c r="AB1137" s="475"/>
      <c r="AC1137" s="475"/>
      <c r="AD1137" s="475"/>
      <c r="AE1137" s="475"/>
      <c r="AF1137" s="475"/>
      <c r="AG1137" s="475"/>
      <c r="AH1137" s="475"/>
      <c r="AI1137" s="475"/>
      <c r="AJ1137" s="475"/>
      <c r="AK1137" s="475"/>
      <c r="AL1137" s="475"/>
      <c r="AM1137" s="475"/>
      <c r="AN1137" s="475"/>
      <c r="AO1137" s="475"/>
      <c r="AP1137" s="475"/>
      <c r="AQ1137" s="475"/>
      <c r="AR1137" s="475"/>
      <c r="AS1137" s="475"/>
      <c r="AT1137" s="475"/>
      <c r="AU1137" s="475"/>
      <c r="AV1137" s="475"/>
      <c r="AW1137" s="475"/>
      <c r="AX1137" s="475"/>
      <c r="AY1137" s="475"/>
      <c r="AZ1137" s="475"/>
      <c r="BA1137" s="475"/>
      <c r="BB1137" s="475"/>
      <c r="BC1137" s="475"/>
      <c r="BD1137" s="475"/>
      <c r="BE1137" s="475"/>
      <c r="BF1137" s="475"/>
      <c r="BG1137" s="475"/>
      <c r="BH1137" s="475"/>
      <c r="BI1137" s="475"/>
      <c r="BJ1137" s="475"/>
      <c r="BK1137" s="475"/>
      <c r="BL1137" s="475"/>
    </row>
    <row r="1138" spans="1:64" ht="26">
      <c r="A1138" s="426"/>
      <c r="B1138" s="474" t="s">
        <v>951</v>
      </c>
      <c r="C1138" s="558" t="s">
        <v>1000</v>
      </c>
      <c r="D1138" s="426"/>
      <c r="E1138" s="426"/>
      <c r="F1138" s="426"/>
      <c r="G1138" s="410"/>
      <c r="H1138" s="426"/>
      <c r="I1138" s="434"/>
      <c r="J1138" s="544"/>
      <c r="K1138" s="545"/>
      <c r="L1138" s="551"/>
      <c r="M1138" s="498"/>
      <c r="N1138" s="498"/>
      <c r="O1138" s="498"/>
      <c r="P1138" s="498"/>
      <c r="Q1138" s="475"/>
      <c r="R1138" s="475"/>
      <c r="S1138" s="475"/>
      <c r="T1138" s="475"/>
      <c r="U1138" s="475"/>
      <c r="V1138" s="475"/>
      <c r="W1138" s="475"/>
      <c r="X1138" s="475"/>
      <c r="Y1138" s="475"/>
      <c r="Z1138" s="475"/>
      <c r="AA1138" s="475"/>
      <c r="AB1138" s="475"/>
      <c r="AC1138" s="475"/>
      <c r="AD1138" s="475"/>
      <c r="AE1138" s="475"/>
      <c r="AF1138" s="475"/>
      <c r="AG1138" s="475"/>
      <c r="AH1138" s="475"/>
      <c r="AI1138" s="475"/>
      <c r="AJ1138" s="475"/>
      <c r="AK1138" s="475"/>
      <c r="AL1138" s="475"/>
      <c r="AM1138" s="475"/>
      <c r="AN1138" s="475"/>
      <c r="AO1138" s="475"/>
      <c r="AP1138" s="475"/>
      <c r="AQ1138" s="475"/>
      <c r="AR1138" s="475"/>
      <c r="AS1138" s="475"/>
      <c r="AT1138" s="475"/>
      <c r="AU1138" s="475"/>
      <c r="AV1138" s="475"/>
      <c r="AW1138" s="475"/>
      <c r="AX1138" s="475"/>
      <c r="AY1138" s="475"/>
      <c r="AZ1138" s="475"/>
      <c r="BA1138" s="475"/>
      <c r="BB1138" s="475"/>
      <c r="BC1138" s="475"/>
      <c r="BD1138" s="475"/>
      <c r="BE1138" s="475"/>
      <c r="BF1138" s="475"/>
      <c r="BG1138" s="475"/>
      <c r="BH1138" s="475"/>
      <c r="BI1138" s="475"/>
      <c r="BJ1138" s="475"/>
      <c r="BK1138" s="475"/>
      <c r="BL1138" s="475"/>
    </row>
    <row r="1139" spans="1:64" ht="13">
      <c r="A1139" s="426"/>
      <c r="B1139" s="406"/>
      <c r="C1139" s="427" t="s">
        <v>953</v>
      </c>
      <c r="D1139" s="461" t="s">
        <v>959</v>
      </c>
      <c r="E1139" s="407" t="s">
        <v>943</v>
      </c>
      <c r="F1139" s="436" t="s">
        <v>944</v>
      </c>
      <c r="G1139" s="436" t="s">
        <v>945</v>
      </c>
      <c r="H1139" s="436" t="s">
        <v>946</v>
      </c>
      <c r="I1139" s="436" t="s">
        <v>947</v>
      </c>
      <c r="J1139" s="544"/>
      <c r="K1139" s="545"/>
      <c r="L1139" s="551"/>
      <c r="M1139" s="498"/>
      <c r="N1139" s="498"/>
      <c r="O1139" s="498"/>
      <c r="P1139" s="498"/>
      <c r="Q1139" s="475"/>
      <c r="R1139" s="475"/>
      <c r="S1139" s="475"/>
      <c r="T1139" s="475"/>
      <c r="U1139" s="475"/>
      <c r="V1139" s="475"/>
      <c r="W1139" s="475"/>
      <c r="X1139" s="475"/>
      <c r="Y1139" s="475"/>
      <c r="Z1139" s="475"/>
      <c r="AA1139" s="475"/>
      <c r="AB1139" s="475"/>
      <c r="AC1139" s="475"/>
      <c r="AD1139" s="475"/>
      <c r="AE1139" s="475"/>
      <c r="AF1139" s="475"/>
      <c r="AG1139" s="475"/>
      <c r="AH1139" s="475"/>
      <c r="AI1139" s="475"/>
      <c r="AJ1139" s="475"/>
      <c r="AK1139" s="475"/>
      <c r="AL1139" s="475"/>
      <c r="AM1139" s="475"/>
      <c r="AN1139" s="475"/>
      <c r="AO1139" s="475"/>
      <c r="AP1139" s="475"/>
      <c r="AQ1139" s="475"/>
      <c r="AR1139" s="475"/>
      <c r="AS1139" s="475"/>
      <c r="AT1139" s="475"/>
      <c r="AU1139" s="475"/>
      <c r="AV1139" s="475"/>
      <c r="AW1139" s="475"/>
      <c r="AX1139" s="475"/>
      <c r="AY1139" s="475"/>
      <c r="AZ1139" s="475"/>
      <c r="BA1139" s="475"/>
      <c r="BB1139" s="475"/>
      <c r="BC1139" s="475"/>
      <c r="BD1139" s="475"/>
      <c r="BE1139" s="475"/>
      <c r="BF1139" s="475"/>
      <c r="BG1139" s="475"/>
      <c r="BH1139" s="475"/>
      <c r="BI1139" s="475"/>
      <c r="BJ1139" s="475"/>
      <c r="BK1139" s="475"/>
      <c r="BL1139" s="475"/>
    </row>
    <row r="1140" spans="1:64" ht="13">
      <c r="A1140" s="426"/>
      <c r="B1140" s="406"/>
      <c r="C1140" s="417" t="s">
        <v>954</v>
      </c>
      <c r="D1140" s="432">
        <f t="shared" ref="D1140:I1140" si="209">$I$1466</f>
        <v>868.20272000000011</v>
      </c>
      <c r="E1140" s="432">
        <f t="shared" si="209"/>
        <v>868.20272000000011</v>
      </c>
      <c r="F1140" s="432">
        <f t="shared" si="209"/>
        <v>868.20272000000011</v>
      </c>
      <c r="G1140" s="432">
        <f t="shared" si="209"/>
        <v>868.20272000000011</v>
      </c>
      <c r="H1140" s="432">
        <f t="shared" si="209"/>
        <v>868.20272000000011</v>
      </c>
      <c r="I1140" s="432">
        <f t="shared" si="209"/>
        <v>868.20272000000011</v>
      </c>
      <c r="J1140" s="544"/>
      <c r="K1140" s="545"/>
      <c r="L1140" s="551"/>
      <c r="M1140" s="498"/>
      <c r="N1140" s="498"/>
      <c r="O1140" s="498"/>
      <c r="P1140" s="498"/>
      <c r="Q1140" s="475"/>
      <c r="R1140" s="475"/>
      <c r="S1140" s="475"/>
      <c r="T1140" s="475"/>
      <c r="U1140" s="475"/>
      <c r="V1140" s="475"/>
      <c r="W1140" s="475"/>
      <c r="X1140" s="475"/>
      <c r="Y1140" s="475"/>
      <c r="Z1140" s="475"/>
      <c r="AA1140" s="475"/>
      <c r="AB1140" s="475"/>
      <c r="AC1140" s="475"/>
      <c r="AD1140" s="475"/>
      <c r="AE1140" s="475"/>
      <c r="AF1140" s="475"/>
      <c r="AG1140" s="475"/>
      <c r="AH1140" s="475"/>
      <c r="AI1140" s="475"/>
      <c r="AJ1140" s="475"/>
      <c r="AK1140" s="475"/>
      <c r="AL1140" s="475"/>
      <c r="AM1140" s="475"/>
      <c r="AN1140" s="475"/>
      <c r="AO1140" s="475"/>
      <c r="AP1140" s="475"/>
      <c r="AQ1140" s="475"/>
      <c r="AR1140" s="475"/>
      <c r="AS1140" s="475"/>
      <c r="AT1140" s="475"/>
      <c r="AU1140" s="475"/>
      <c r="AV1140" s="475"/>
      <c r="AW1140" s="475"/>
      <c r="AX1140" s="475"/>
      <c r="AY1140" s="475"/>
      <c r="AZ1140" s="475"/>
      <c r="BA1140" s="475"/>
      <c r="BB1140" s="475"/>
      <c r="BC1140" s="475"/>
      <c r="BD1140" s="475"/>
      <c r="BE1140" s="475"/>
      <c r="BF1140" s="475"/>
      <c r="BG1140" s="475"/>
      <c r="BH1140" s="475"/>
      <c r="BI1140" s="475"/>
      <c r="BJ1140" s="475"/>
      <c r="BK1140" s="475"/>
      <c r="BL1140" s="475"/>
    </row>
    <row r="1141" spans="1:64" ht="13">
      <c r="A1141" s="426"/>
      <c r="B1141" s="406"/>
      <c r="C1141" s="417" t="s">
        <v>921</v>
      </c>
      <c r="D1141" s="432">
        <f>'[161]Civil-SOR'!$F$269</f>
        <v>266</v>
      </c>
      <c r="E1141" s="432">
        <f>+D1141</f>
        <v>266</v>
      </c>
      <c r="F1141" s="432">
        <f>+E1141</f>
        <v>266</v>
      </c>
      <c r="G1141" s="432">
        <f>+F1141</f>
        <v>266</v>
      </c>
      <c r="H1141" s="432">
        <f>+G1141</f>
        <v>266</v>
      </c>
      <c r="I1141" s="432">
        <f>+H1141</f>
        <v>266</v>
      </c>
      <c r="J1141" s="544"/>
      <c r="K1141" s="545"/>
      <c r="L1141" s="551"/>
      <c r="M1141" s="498"/>
      <c r="N1141" s="498"/>
      <c r="O1141" s="498"/>
      <c r="P1141" s="498"/>
      <c r="Q1141" s="475"/>
      <c r="R1141" s="475"/>
      <c r="S1141" s="475"/>
      <c r="T1141" s="475"/>
      <c r="U1141" s="475"/>
      <c r="V1141" s="475"/>
      <c r="W1141" s="475"/>
      <c r="X1141" s="475"/>
      <c r="Y1141" s="475"/>
      <c r="Z1141" s="475"/>
      <c r="AA1141" s="475"/>
      <c r="AB1141" s="475"/>
      <c r="AC1141" s="475"/>
      <c r="AD1141" s="475"/>
      <c r="AE1141" s="475"/>
      <c r="AF1141" s="475"/>
      <c r="AG1141" s="475"/>
      <c r="AH1141" s="475"/>
      <c r="AI1141" s="475"/>
      <c r="AJ1141" s="475"/>
      <c r="AK1141" s="475"/>
      <c r="AL1141" s="475"/>
      <c r="AM1141" s="475"/>
      <c r="AN1141" s="475"/>
      <c r="AO1141" s="475"/>
      <c r="AP1141" s="475"/>
      <c r="AQ1141" s="475"/>
      <c r="AR1141" s="475"/>
      <c r="AS1141" s="475"/>
      <c r="AT1141" s="475"/>
      <c r="AU1141" s="475"/>
      <c r="AV1141" s="475"/>
      <c r="AW1141" s="475"/>
      <c r="AX1141" s="475"/>
      <c r="AY1141" s="475"/>
      <c r="AZ1141" s="475"/>
      <c r="BA1141" s="475"/>
      <c r="BB1141" s="475"/>
      <c r="BC1141" s="475"/>
      <c r="BD1141" s="475"/>
      <c r="BE1141" s="475"/>
      <c r="BF1141" s="475"/>
      <c r="BG1141" s="475"/>
      <c r="BH1141" s="475"/>
      <c r="BI1141" s="475"/>
      <c r="BJ1141" s="475"/>
      <c r="BK1141" s="475"/>
      <c r="BL1141" s="475"/>
    </row>
    <row r="1142" spans="1:64" ht="13">
      <c r="A1142" s="426"/>
      <c r="B1142" s="406"/>
      <c r="C1142" s="417" t="s">
        <v>1001</v>
      </c>
      <c r="D1142" s="459">
        <f>'[161]Civil-SOR'!$G$269</f>
        <v>260</v>
      </c>
      <c r="E1142" s="459">
        <f>'[161]Civil-SOR'!$H$269</f>
        <v>286</v>
      </c>
      <c r="F1142" s="459">
        <f>'[161]Civil-SOR'!$I$269+('[161]Civil-SOR'!$I$269*16.66%)</f>
        <v>363.97919999999999</v>
      </c>
      <c r="G1142" s="459">
        <f>'[161]Civil-SOR'!$J$269</f>
        <v>338</v>
      </c>
      <c r="H1142" s="459">
        <f>'[161]Civil-SOR'!$K$269</f>
        <v>364</v>
      </c>
      <c r="I1142" s="459">
        <f>'[161]Civil-SOR'!$L$269</f>
        <v>390</v>
      </c>
      <c r="J1142" s="544"/>
      <c r="K1142" s="545"/>
      <c r="L1142" s="551"/>
      <c r="M1142" s="498"/>
      <c r="N1142" s="498"/>
      <c r="O1142" s="498"/>
      <c r="P1142" s="498"/>
      <c r="Q1142" s="475"/>
      <c r="R1142" s="475"/>
      <c r="S1142" s="475"/>
      <c r="T1142" s="475"/>
      <c r="U1142" s="475"/>
      <c r="V1142" s="475"/>
      <c r="W1142" s="475"/>
      <c r="X1142" s="475"/>
      <c r="Y1142" s="475"/>
      <c r="Z1142" s="475"/>
      <c r="AA1142" s="475"/>
      <c r="AB1142" s="475"/>
      <c r="AC1142" s="475"/>
      <c r="AD1142" s="475"/>
      <c r="AE1142" s="475"/>
      <c r="AF1142" s="475"/>
      <c r="AG1142" s="475"/>
      <c r="AH1142" s="475"/>
      <c r="AI1142" s="475"/>
      <c r="AJ1142" s="475"/>
      <c r="AK1142" s="475"/>
      <c r="AL1142" s="475"/>
      <c r="AM1142" s="475"/>
      <c r="AN1142" s="475"/>
      <c r="AO1142" s="475"/>
      <c r="AP1142" s="475"/>
      <c r="AQ1142" s="475"/>
      <c r="AR1142" s="475"/>
      <c r="AS1142" s="475"/>
      <c r="AT1142" s="475"/>
      <c r="AU1142" s="475"/>
      <c r="AV1142" s="475"/>
      <c r="AW1142" s="475"/>
      <c r="AX1142" s="475"/>
      <c r="AY1142" s="475"/>
      <c r="AZ1142" s="475"/>
      <c r="BA1142" s="475"/>
      <c r="BB1142" s="475"/>
      <c r="BC1142" s="475"/>
      <c r="BD1142" s="475"/>
      <c r="BE1142" s="475"/>
      <c r="BF1142" s="475"/>
      <c r="BG1142" s="475"/>
      <c r="BH1142" s="475"/>
      <c r="BI1142" s="475"/>
      <c r="BJ1142" s="475"/>
      <c r="BK1142" s="475"/>
      <c r="BL1142" s="475"/>
    </row>
    <row r="1143" spans="1:64" ht="13">
      <c r="A1143" s="426"/>
      <c r="B1143" s="406"/>
      <c r="C1143" s="417" t="str">
        <f>[161]Input!$C$47</f>
        <v>Add for MA @ 40%</v>
      </c>
      <c r="D1143" s="432">
        <f>D1142*[161]Input!$D$47</f>
        <v>104</v>
      </c>
      <c r="E1143" s="432">
        <f>E1142*[161]Input!$D$47</f>
        <v>114.4</v>
      </c>
      <c r="F1143" s="432">
        <f>F1142*[161]Input!$D$47</f>
        <v>145.59168</v>
      </c>
      <c r="G1143" s="432">
        <f>G1142*[161]Input!$D$47</f>
        <v>135.20000000000002</v>
      </c>
      <c r="H1143" s="432">
        <f>H1142*[161]Input!$D$47</f>
        <v>145.6</v>
      </c>
      <c r="I1143" s="432">
        <f>I1142*[161]Input!$D$47</f>
        <v>156</v>
      </c>
      <c r="J1143" s="544"/>
      <c r="K1143" s="545"/>
      <c r="L1143" s="551"/>
      <c r="M1143" s="498"/>
      <c r="N1143" s="498"/>
      <c r="O1143" s="498"/>
      <c r="P1143" s="498"/>
      <c r="Q1143" s="475"/>
      <c r="R1143" s="475"/>
      <c r="S1143" s="475"/>
      <c r="T1143" s="475"/>
      <c r="U1143" s="475"/>
      <c r="V1143" s="475"/>
      <c r="W1143" s="475"/>
      <c r="X1143" s="475"/>
      <c r="Y1143" s="475"/>
      <c r="Z1143" s="475"/>
      <c r="AA1143" s="475"/>
      <c r="AB1143" s="475"/>
      <c r="AC1143" s="475"/>
      <c r="AD1143" s="475"/>
      <c r="AE1143" s="475"/>
      <c r="AF1143" s="475"/>
      <c r="AG1143" s="475"/>
      <c r="AH1143" s="475"/>
      <c r="AI1143" s="475"/>
      <c r="AJ1143" s="475"/>
      <c r="AK1143" s="475"/>
      <c r="AL1143" s="475"/>
      <c r="AM1143" s="475"/>
      <c r="AN1143" s="475"/>
      <c r="AO1143" s="475"/>
      <c r="AP1143" s="475"/>
      <c r="AQ1143" s="475"/>
      <c r="AR1143" s="475"/>
      <c r="AS1143" s="475"/>
      <c r="AT1143" s="475"/>
      <c r="AU1143" s="475"/>
      <c r="AV1143" s="475"/>
      <c r="AW1143" s="475"/>
      <c r="AX1143" s="475"/>
      <c r="AY1143" s="475"/>
      <c r="AZ1143" s="475"/>
      <c r="BA1143" s="475"/>
      <c r="BB1143" s="475"/>
      <c r="BC1143" s="475"/>
      <c r="BD1143" s="475"/>
      <c r="BE1143" s="475"/>
      <c r="BF1143" s="475"/>
      <c r="BG1143" s="475"/>
      <c r="BH1143" s="475"/>
      <c r="BI1143" s="475"/>
      <c r="BJ1143" s="475"/>
      <c r="BK1143" s="475"/>
      <c r="BL1143" s="475"/>
    </row>
    <row r="1144" spans="1:64" ht="13">
      <c r="A1144" s="426"/>
      <c r="B1144" s="406"/>
      <c r="C1144" s="417" t="s">
        <v>992</v>
      </c>
      <c r="D1144" s="432"/>
      <c r="E1144" s="432">
        <f>$F$1025*0.1*$D$1137</f>
        <v>21.400625000000002</v>
      </c>
      <c r="F1144" s="432">
        <f>$F$1025*0.2*$D$1137</f>
        <v>42.801250000000003</v>
      </c>
      <c r="G1144" s="432">
        <f>$F$1025*0.3*$D$1137</f>
        <v>64.201875000000001</v>
      </c>
      <c r="H1144" s="432">
        <f>$F$1025*0.4*$D$1137</f>
        <v>85.602500000000006</v>
      </c>
      <c r="I1144" s="432">
        <f>$F$1025*0.5*$D$1137</f>
        <v>107.003125</v>
      </c>
      <c r="J1144" s="544"/>
      <c r="K1144" s="545"/>
      <c r="L1144" s="551"/>
      <c r="M1144" s="498"/>
      <c r="N1144" s="498"/>
      <c r="O1144" s="498"/>
      <c r="P1144" s="498"/>
      <c r="Q1144" s="475"/>
      <c r="R1144" s="475"/>
      <c r="S1144" s="475"/>
      <c r="T1144" s="475"/>
      <c r="U1144" s="475"/>
      <c r="V1144" s="475"/>
      <c r="W1144" s="475"/>
      <c r="X1144" s="475"/>
      <c r="Y1144" s="475"/>
      <c r="Z1144" s="475"/>
      <c r="AA1144" s="475"/>
      <c r="AB1144" s="475"/>
      <c r="AC1144" s="475"/>
      <c r="AD1144" s="475"/>
      <c r="AE1144" s="475"/>
      <c r="AF1144" s="475"/>
      <c r="AG1144" s="475"/>
      <c r="AH1144" s="475"/>
      <c r="AI1144" s="475"/>
      <c r="AJ1144" s="475"/>
      <c r="AK1144" s="475"/>
      <c r="AL1144" s="475"/>
      <c r="AM1144" s="475"/>
      <c r="AN1144" s="475"/>
      <c r="AO1144" s="475"/>
      <c r="AP1144" s="475"/>
      <c r="AQ1144" s="475"/>
      <c r="AR1144" s="475"/>
      <c r="AS1144" s="475"/>
      <c r="AT1144" s="475"/>
      <c r="AU1144" s="475"/>
      <c r="AV1144" s="475"/>
      <c r="AW1144" s="475"/>
      <c r="AX1144" s="475"/>
      <c r="AY1144" s="475"/>
      <c r="AZ1144" s="475"/>
      <c r="BA1144" s="475"/>
      <c r="BB1144" s="475"/>
      <c r="BC1144" s="475"/>
      <c r="BD1144" s="475"/>
      <c r="BE1144" s="475"/>
      <c r="BF1144" s="475"/>
      <c r="BG1144" s="475"/>
      <c r="BH1144" s="475"/>
      <c r="BI1144" s="475"/>
      <c r="BJ1144" s="475"/>
      <c r="BK1144" s="475"/>
      <c r="BL1144" s="475"/>
    </row>
    <row r="1145" spans="1:64" ht="13">
      <c r="A1145" s="426"/>
      <c r="B1145" s="406"/>
      <c r="C1145" s="417" t="str">
        <f>[161]Input!$C$47</f>
        <v>Add for MA @ 40%</v>
      </c>
      <c r="D1145" s="432">
        <f>D1144*[161]Input!$D$47</f>
        <v>0</v>
      </c>
      <c r="E1145" s="432">
        <f>E1144*[161]Input!$D$47</f>
        <v>8.5602500000000017</v>
      </c>
      <c r="F1145" s="432">
        <f>F1144*[161]Input!$D$47</f>
        <v>17.120500000000003</v>
      </c>
      <c r="G1145" s="432">
        <f>G1144*[161]Input!$D$47</f>
        <v>25.680750000000003</v>
      </c>
      <c r="H1145" s="432">
        <f>H1144*[161]Input!$D$47</f>
        <v>34.241000000000007</v>
      </c>
      <c r="I1145" s="432">
        <f>I1144*[161]Input!$D$47</f>
        <v>42.801250000000003</v>
      </c>
      <c r="J1145" s="544"/>
      <c r="K1145" s="545"/>
      <c r="L1145" s="551"/>
      <c r="M1145" s="498"/>
      <c r="N1145" s="498"/>
      <c r="O1145" s="498"/>
      <c r="P1145" s="498"/>
      <c r="Q1145" s="475"/>
      <c r="R1145" s="475"/>
      <c r="S1145" s="475"/>
      <c r="T1145" s="475"/>
      <c r="U1145" s="475"/>
      <c r="V1145" s="475"/>
      <c r="W1145" s="475"/>
      <c r="X1145" s="475"/>
      <c r="Y1145" s="475"/>
      <c r="Z1145" s="475"/>
      <c r="AA1145" s="475"/>
      <c r="AB1145" s="475"/>
      <c r="AC1145" s="475"/>
      <c r="AD1145" s="475"/>
      <c r="AE1145" s="475"/>
      <c r="AF1145" s="475"/>
      <c r="AG1145" s="475"/>
      <c r="AH1145" s="475"/>
      <c r="AI1145" s="475"/>
      <c r="AJ1145" s="475"/>
      <c r="AK1145" s="475"/>
      <c r="AL1145" s="475"/>
      <c r="AM1145" s="475"/>
      <c r="AN1145" s="475"/>
      <c r="AO1145" s="475"/>
      <c r="AP1145" s="475"/>
      <c r="AQ1145" s="475"/>
      <c r="AR1145" s="475"/>
      <c r="AS1145" s="475"/>
      <c r="AT1145" s="475"/>
      <c r="AU1145" s="475"/>
      <c r="AV1145" s="475"/>
      <c r="AW1145" s="475"/>
      <c r="AX1145" s="475"/>
      <c r="AY1145" s="475"/>
      <c r="AZ1145" s="475"/>
      <c r="BA1145" s="475"/>
      <c r="BB1145" s="475"/>
      <c r="BC1145" s="475"/>
      <c r="BD1145" s="475"/>
      <c r="BE1145" s="475"/>
      <c r="BF1145" s="475"/>
      <c r="BG1145" s="475"/>
      <c r="BH1145" s="475"/>
      <c r="BI1145" s="475"/>
      <c r="BJ1145" s="475"/>
      <c r="BK1145" s="475"/>
      <c r="BL1145" s="475"/>
    </row>
    <row r="1146" spans="1:64" ht="9.75" customHeight="1">
      <c r="A1146" s="426"/>
      <c r="B1146" s="406"/>
      <c r="C1146" s="427" t="s">
        <v>742</v>
      </c>
      <c r="D1146" s="432">
        <f t="shared" ref="D1146:I1146" si="210">SUM(D1140:D1145)</f>
        <v>1498.2027200000002</v>
      </c>
      <c r="E1146" s="432">
        <f t="shared" si="210"/>
        <v>1564.5635950000003</v>
      </c>
      <c r="F1146" s="432">
        <f t="shared" si="210"/>
        <v>1703.6953500000002</v>
      </c>
      <c r="G1146" s="432">
        <f t="shared" si="210"/>
        <v>1697.2853450000002</v>
      </c>
      <c r="H1146" s="432">
        <f t="shared" si="210"/>
        <v>1763.6462200000001</v>
      </c>
      <c r="I1146" s="432">
        <f t="shared" si="210"/>
        <v>1830.0070950000002</v>
      </c>
      <c r="J1146" s="544"/>
      <c r="K1146" s="545"/>
      <c r="L1146" s="551"/>
      <c r="M1146" s="498"/>
      <c r="N1146" s="498"/>
      <c r="O1146" s="498"/>
      <c r="P1146" s="498"/>
      <c r="Q1146" s="475"/>
      <c r="R1146" s="475"/>
      <c r="S1146" s="475"/>
      <c r="T1146" s="475"/>
      <c r="U1146" s="475"/>
      <c r="V1146" s="475"/>
      <c r="W1146" s="475"/>
      <c r="X1146" s="475"/>
      <c r="Y1146" s="475"/>
      <c r="Z1146" s="475"/>
      <c r="AA1146" s="475"/>
      <c r="AB1146" s="475"/>
      <c r="AC1146" s="475"/>
      <c r="AD1146" s="475"/>
      <c r="AE1146" s="475"/>
      <c r="AF1146" s="475"/>
      <c r="AG1146" s="475"/>
      <c r="AH1146" s="475"/>
      <c r="AI1146" s="475"/>
      <c r="AJ1146" s="475"/>
      <c r="AK1146" s="475"/>
      <c r="AL1146" s="475"/>
      <c r="AM1146" s="475"/>
      <c r="AN1146" s="475"/>
      <c r="AO1146" s="475"/>
      <c r="AP1146" s="475"/>
      <c r="AQ1146" s="475"/>
      <c r="AR1146" s="475"/>
      <c r="AS1146" s="475"/>
      <c r="AT1146" s="475"/>
      <c r="AU1146" s="475"/>
      <c r="AV1146" s="475"/>
      <c r="AW1146" s="475"/>
      <c r="AX1146" s="475"/>
      <c r="AY1146" s="475"/>
      <c r="AZ1146" s="475"/>
      <c r="BA1146" s="475"/>
      <c r="BB1146" s="475"/>
      <c r="BC1146" s="475"/>
      <c r="BD1146" s="475"/>
      <c r="BE1146" s="475"/>
      <c r="BF1146" s="475"/>
      <c r="BG1146" s="475"/>
      <c r="BH1146" s="475"/>
      <c r="BI1146" s="475"/>
      <c r="BJ1146" s="475"/>
      <c r="BK1146" s="475"/>
      <c r="BL1146" s="475"/>
    </row>
    <row r="1147" spans="1:64" ht="25">
      <c r="A1147" s="426"/>
      <c r="B1147" s="406"/>
      <c r="C1147" s="417" t="str">
        <f>[161]Input!$C$48</f>
        <v>Overheads &amp; Contractors Profit @ 13.615%</v>
      </c>
      <c r="D1147" s="406">
        <f>ROUND(D1146*[161]Input!$D$48,2)</f>
        <v>203.98</v>
      </c>
      <c r="E1147" s="406">
        <f>ROUND(E1146*[161]Input!$D$48,2)</f>
        <v>213.02</v>
      </c>
      <c r="F1147" s="406">
        <f>ROUND(F1146*[161]Input!$D$48,2)</f>
        <v>231.96</v>
      </c>
      <c r="G1147" s="406">
        <f>ROUND(G1146*[161]Input!$D$48,2)</f>
        <v>231.09</v>
      </c>
      <c r="H1147" s="406">
        <f>ROUND(H1146*[161]Input!$D$48,2)</f>
        <v>240.12</v>
      </c>
      <c r="I1147" s="406">
        <f>ROUND(I1146*[161]Input!$D$48,2)</f>
        <v>249.16</v>
      </c>
      <c r="J1147" s="544"/>
      <c r="K1147" s="545"/>
      <c r="L1147" s="551"/>
      <c r="M1147" s="498"/>
      <c r="N1147" s="498"/>
      <c r="O1147" s="498"/>
      <c r="P1147" s="498"/>
      <c r="Q1147" s="475"/>
      <c r="R1147" s="475"/>
      <c r="S1147" s="475"/>
      <c r="T1147" s="475"/>
      <c r="U1147" s="475"/>
      <c r="V1147" s="475"/>
      <c r="W1147" s="475"/>
      <c r="X1147" s="475"/>
      <c r="Y1147" s="475"/>
      <c r="Z1147" s="475"/>
      <c r="AA1147" s="475"/>
      <c r="AB1147" s="475"/>
      <c r="AC1147" s="475"/>
      <c r="AD1147" s="475"/>
      <c r="AE1147" s="475"/>
      <c r="AF1147" s="475"/>
      <c r="AG1147" s="475"/>
      <c r="AH1147" s="475"/>
      <c r="AI1147" s="475"/>
      <c r="AJ1147" s="475"/>
      <c r="AK1147" s="475"/>
      <c r="AL1147" s="475"/>
      <c r="AM1147" s="475"/>
      <c r="AN1147" s="475"/>
      <c r="AO1147" s="475"/>
      <c r="AP1147" s="475"/>
      <c r="AQ1147" s="475"/>
      <c r="AR1147" s="475"/>
      <c r="AS1147" s="475"/>
      <c r="AT1147" s="475"/>
      <c r="AU1147" s="475"/>
      <c r="AV1147" s="475"/>
      <c r="AW1147" s="475"/>
      <c r="AX1147" s="475"/>
      <c r="AY1147" s="475"/>
      <c r="AZ1147" s="475"/>
      <c r="BA1147" s="475"/>
      <c r="BB1147" s="475"/>
      <c r="BC1147" s="475"/>
      <c r="BD1147" s="475"/>
      <c r="BE1147" s="475"/>
      <c r="BF1147" s="475"/>
      <c r="BG1147" s="475"/>
      <c r="BH1147" s="475"/>
      <c r="BI1147" s="475"/>
      <c r="BJ1147" s="475"/>
      <c r="BK1147" s="475"/>
      <c r="BL1147" s="475"/>
    </row>
    <row r="1148" spans="1:64" ht="13">
      <c r="A1148" s="426"/>
      <c r="B1148" s="426"/>
      <c r="C1148" s="427" t="s">
        <v>742</v>
      </c>
      <c r="D1148" s="409">
        <f t="shared" ref="D1148:I1148" si="211">SUM(D1146:D1147)</f>
        <v>1702.1827200000002</v>
      </c>
      <c r="E1148" s="409">
        <f t="shared" si="211"/>
        <v>1777.5835950000003</v>
      </c>
      <c r="F1148" s="409">
        <f t="shared" si="211"/>
        <v>1935.6553500000002</v>
      </c>
      <c r="G1148" s="409">
        <f t="shared" si="211"/>
        <v>1928.3753450000002</v>
      </c>
      <c r="H1148" s="409">
        <f t="shared" si="211"/>
        <v>2003.76622</v>
      </c>
      <c r="I1148" s="409">
        <f t="shared" si="211"/>
        <v>2079.1670950000002</v>
      </c>
      <c r="J1148" s="544"/>
      <c r="K1148" s="545"/>
      <c r="L1148" s="551"/>
      <c r="M1148" s="498"/>
      <c r="N1148" s="498"/>
      <c r="O1148" s="498"/>
      <c r="P1148" s="498"/>
      <c r="Q1148" s="475"/>
      <c r="R1148" s="475"/>
      <c r="S1148" s="475"/>
      <c r="T1148" s="475"/>
      <c r="U1148" s="475"/>
      <c r="V1148" s="475"/>
      <c r="W1148" s="475"/>
      <c r="X1148" s="475"/>
      <c r="Y1148" s="475"/>
      <c r="Z1148" s="475"/>
      <c r="AA1148" s="475"/>
      <c r="AB1148" s="475"/>
      <c r="AC1148" s="475"/>
      <c r="AD1148" s="475"/>
      <c r="AE1148" s="475"/>
      <c r="AF1148" s="475"/>
      <c r="AG1148" s="475"/>
      <c r="AH1148" s="475"/>
      <c r="AI1148" s="475"/>
      <c r="AJ1148" s="475"/>
      <c r="AK1148" s="475"/>
      <c r="AL1148" s="475"/>
      <c r="AM1148" s="475"/>
      <c r="AN1148" s="475"/>
      <c r="AO1148" s="475"/>
      <c r="AP1148" s="475"/>
      <c r="AQ1148" s="475"/>
      <c r="AR1148" s="475"/>
      <c r="AS1148" s="475"/>
      <c r="AT1148" s="475"/>
      <c r="AU1148" s="475"/>
      <c r="AV1148" s="475"/>
      <c r="AW1148" s="475"/>
      <c r="AX1148" s="475"/>
      <c r="AY1148" s="475"/>
      <c r="AZ1148" s="475"/>
      <c r="BA1148" s="475"/>
      <c r="BB1148" s="475"/>
      <c r="BC1148" s="475"/>
      <c r="BD1148" s="475"/>
      <c r="BE1148" s="475"/>
      <c r="BF1148" s="475"/>
      <c r="BG1148" s="475"/>
      <c r="BH1148" s="475"/>
      <c r="BI1148" s="475"/>
      <c r="BJ1148" s="475"/>
      <c r="BK1148" s="475"/>
      <c r="BL1148" s="475"/>
    </row>
    <row r="1149" spans="1:64" ht="13">
      <c r="A1149" s="426"/>
      <c r="B1149" s="426"/>
      <c r="C1149" s="514" t="s">
        <v>726</v>
      </c>
      <c r="D1149" s="416">
        <f t="shared" ref="D1149:I1149" si="212">ROUND(D1148,0)</f>
        <v>1702</v>
      </c>
      <c r="E1149" s="416">
        <f t="shared" si="212"/>
        <v>1778</v>
      </c>
      <c r="F1149" s="416">
        <f t="shared" si="212"/>
        <v>1936</v>
      </c>
      <c r="G1149" s="416">
        <f t="shared" si="212"/>
        <v>1928</v>
      </c>
      <c r="H1149" s="416">
        <f t="shared" si="212"/>
        <v>2004</v>
      </c>
      <c r="I1149" s="416">
        <f t="shared" si="212"/>
        <v>2079</v>
      </c>
      <c r="J1149" s="544"/>
      <c r="K1149" s="545"/>
      <c r="L1149" s="551"/>
      <c r="M1149" s="498"/>
      <c r="N1149" s="498"/>
      <c r="O1149" s="498"/>
      <c r="P1149" s="498"/>
      <c r="Q1149" s="475"/>
      <c r="R1149" s="475"/>
      <c r="S1149" s="475"/>
      <c r="T1149" s="475"/>
      <c r="U1149" s="475"/>
      <c r="V1149" s="475"/>
      <c r="W1149" s="475"/>
      <c r="X1149" s="475"/>
      <c r="Y1149" s="475"/>
      <c r="Z1149" s="475"/>
      <c r="AA1149" s="475"/>
      <c r="AB1149" s="475"/>
      <c r="AC1149" s="475"/>
      <c r="AD1149" s="475"/>
      <c r="AE1149" s="475"/>
      <c r="AF1149" s="475"/>
      <c r="AG1149" s="475"/>
      <c r="AH1149" s="475"/>
      <c r="AI1149" s="475"/>
      <c r="AJ1149" s="475"/>
      <c r="AK1149" s="475"/>
      <c r="AL1149" s="475"/>
      <c r="AM1149" s="475"/>
      <c r="AN1149" s="475"/>
      <c r="AO1149" s="475"/>
      <c r="AP1149" s="475"/>
      <c r="AQ1149" s="475"/>
      <c r="AR1149" s="475"/>
      <c r="AS1149" s="475"/>
      <c r="AT1149" s="475"/>
      <c r="AU1149" s="475"/>
      <c r="AV1149" s="475"/>
      <c r="AW1149" s="475"/>
      <c r="AX1149" s="475"/>
      <c r="AY1149" s="475"/>
      <c r="AZ1149" s="475"/>
      <c r="BA1149" s="475"/>
      <c r="BB1149" s="475"/>
      <c r="BC1149" s="475"/>
      <c r="BD1149" s="475"/>
      <c r="BE1149" s="475"/>
      <c r="BF1149" s="475"/>
      <c r="BG1149" s="475"/>
      <c r="BH1149" s="475"/>
      <c r="BI1149" s="475"/>
      <c r="BJ1149" s="475"/>
      <c r="BK1149" s="475"/>
      <c r="BL1149" s="475"/>
    </row>
    <row r="1150" spans="1:64" ht="13">
      <c r="A1150" s="426"/>
      <c r="B1150" s="426"/>
      <c r="C1150" s="550"/>
      <c r="D1150" s="416"/>
      <c r="E1150" s="416"/>
      <c r="F1150" s="416"/>
      <c r="G1150" s="416"/>
      <c r="H1150" s="416"/>
      <c r="I1150" s="414"/>
      <c r="J1150" s="544"/>
      <c r="K1150" s="545"/>
      <c r="L1150" s="551"/>
      <c r="M1150" s="498"/>
      <c r="N1150" s="498"/>
      <c r="O1150" s="498"/>
      <c r="P1150" s="498"/>
      <c r="Q1150" s="475"/>
      <c r="R1150" s="475"/>
      <c r="S1150" s="475"/>
      <c r="T1150" s="475"/>
      <c r="U1150" s="475"/>
      <c r="V1150" s="475"/>
      <c r="W1150" s="475"/>
      <c r="X1150" s="475"/>
      <c r="Y1150" s="475"/>
      <c r="Z1150" s="475"/>
      <c r="AA1150" s="475"/>
      <c r="AB1150" s="475"/>
      <c r="AC1150" s="475"/>
      <c r="AD1150" s="475"/>
      <c r="AE1150" s="475"/>
      <c r="AF1150" s="475"/>
      <c r="AG1150" s="475"/>
      <c r="AH1150" s="475"/>
      <c r="AI1150" s="475"/>
      <c r="AJ1150" s="475"/>
      <c r="AK1150" s="475"/>
      <c r="AL1150" s="475"/>
      <c r="AM1150" s="475"/>
      <c r="AN1150" s="475"/>
      <c r="AO1150" s="475"/>
      <c r="AP1150" s="475"/>
      <c r="AQ1150" s="475"/>
      <c r="AR1150" s="475"/>
      <c r="AS1150" s="475"/>
      <c r="AT1150" s="475"/>
      <c r="AU1150" s="475"/>
      <c r="AV1150" s="475"/>
      <c r="AW1150" s="475"/>
      <c r="AX1150" s="475"/>
      <c r="AY1150" s="475"/>
      <c r="AZ1150" s="475"/>
      <c r="BA1150" s="475"/>
      <c r="BB1150" s="475"/>
      <c r="BC1150" s="475"/>
      <c r="BD1150" s="475"/>
      <c r="BE1150" s="475"/>
      <c r="BF1150" s="475"/>
      <c r="BG1150" s="475"/>
      <c r="BH1150" s="475"/>
      <c r="BI1150" s="475"/>
      <c r="BJ1150" s="475"/>
      <c r="BK1150" s="475"/>
      <c r="BL1150" s="475"/>
    </row>
    <row r="1151" spans="1:64" ht="26">
      <c r="A1151" s="426"/>
      <c r="B1151" s="474" t="s">
        <v>957</v>
      </c>
      <c r="C1151" s="558" t="s">
        <v>1002</v>
      </c>
      <c r="D1151" s="426"/>
      <c r="E1151" s="426"/>
      <c r="F1151" s="426"/>
      <c r="G1151" s="410"/>
      <c r="H1151" s="426"/>
      <c r="I1151" s="434"/>
      <c r="J1151" s="544"/>
      <c r="K1151" s="545"/>
      <c r="L1151" s="551"/>
      <c r="M1151" s="498"/>
      <c r="N1151" s="498"/>
      <c r="O1151" s="498"/>
      <c r="P1151" s="498"/>
      <c r="Q1151" s="475"/>
      <c r="R1151" s="475"/>
      <c r="S1151" s="475"/>
      <c r="T1151" s="475"/>
      <c r="U1151" s="475"/>
      <c r="V1151" s="475"/>
      <c r="W1151" s="475"/>
      <c r="X1151" s="475"/>
      <c r="Y1151" s="475"/>
      <c r="Z1151" s="475"/>
      <c r="AA1151" s="475"/>
      <c r="AB1151" s="475"/>
      <c r="AC1151" s="475"/>
      <c r="AD1151" s="475"/>
      <c r="AE1151" s="475"/>
      <c r="AF1151" s="475"/>
      <c r="AG1151" s="475"/>
      <c r="AH1151" s="475"/>
      <c r="AI1151" s="475"/>
      <c r="AJ1151" s="475"/>
      <c r="AK1151" s="475"/>
      <c r="AL1151" s="475"/>
      <c r="AM1151" s="475"/>
      <c r="AN1151" s="475"/>
      <c r="AO1151" s="475"/>
      <c r="AP1151" s="475"/>
      <c r="AQ1151" s="475"/>
      <c r="AR1151" s="475"/>
      <c r="AS1151" s="475"/>
      <c r="AT1151" s="475"/>
      <c r="AU1151" s="475"/>
      <c r="AV1151" s="475"/>
      <c r="AW1151" s="475"/>
      <c r="AX1151" s="475"/>
      <c r="AY1151" s="475"/>
      <c r="AZ1151" s="475"/>
      <c r="BA1151" s="475"/>
      <c r="BB1151" s="475"/>
      <c r="BC1151" s="475"/>
      <c r="BD1151" s="475"/>
      <c r="BE1151" s="475"/>
      <c r="BF1151" s="475"/>
      <c r="BG1151" s="475"/>
      <c r="BH1151" s="475"/>
      <c r="BI1151" s="475"/>
      <c r="BJ1151" s="475"/>
      <c r="BK1151" s="475"/>
      <c r="BL1151" s="475"/>
    </row>
    <row r="1152" spans="1:64" ht="13">
      <c r="A1152" s="426"/>
      <c r="B1152" s="406"/>
      <c r="C1152" s="427" t="s">
        <v>953</v>
      </c>
      <c r="D1152" s="461" t="s">
        <v>959</v>
      </c>
      <c r="E1152" s="407" t="s">
        <v>943</v>
      </c>
      <c r="F1152" s="436" t="s">
        <v>944</v>
      </c>
      <c r="G1152" s="436" t="s">
        <v>945</v>
      </c>
      <c r="H1152" s="436" t="s">
        <v>946</v>
      </c>
      <c r="I1152" s="436" t="s">
        <v>947</v>
      </c>
      <c r="J1152" s="544"/>
      <c r="K1152" s="545"/>
      <c r="L1152" s="551"/>
      <c r="M1152" s="498"/>
      <c r="N1152" s="498"/>
      <c r="O1152" s="498"/>
      <c r="P1152" s="498"/>
      <c r="Q1152" s="475"/>
      <c r="R1152" s="475"/>
      <c r="S1152" s="475"/>
      <c r="T1152" s="475"/>
      <c r="U1152" s="475"/>
      <c r="V1152" s="475"/>
      <c r="W1152" s="475"/>
      <c r="X1152" s="475"/>
      <c r="Y1152" s="475"/>
      <c r="Z1152" s="475"/>
      <c r="AA1152" s="475"/>
      <c r="AB1152" s="475"/>
      <c r="AC1152" s="475"/>
      <c r="AD1152" s="475"/>
      <c r="AE1152" s="475"/>
      <c r="AF1152" s="475"/>
      <c r="AG1152" s="475"/>
      <c r="AH1152" s="475"/>
      <c r="AI1152" s="475"/>
      <c r="AJ1152" s="475"/>
      <c r="AK1152" s="475"/>
      <c r="AL1152" s="475"/>
      <c r="AM1152" s="475"/>
      <c r="AN1152" s="475"/>
      <c r="AO1152" s="475"/>
      <c r="AP1152" s="475"/>
      <c r="AQ1152" s="475"/>
      <c r="AR1152" s="475"/>
      <c r="AS1152" s="475"/>
      <c r="AT1152" s="475"/>
      <c r="AU1152" s="475"/>
      <c r="AV1152" s="475"/>
      <c r="AW1152" s="475"/>
      <c r="AX1152" s="475"/>
      <c r="AY1152" s="475"/>
      <c r="AZ1152" s="475"/>
      <c r="BA1152" s="475"/>
      <c r="BB1152" s="475"/>
      <c r="BC1152" s="475"/>
      <c r="BD1152" s="475"/>
      <c r="BE1152" s="475"/>
      <c r="BF1152" s="475"/>
      <c r="BG1152" s="475"/>
      <c r="BH1152" s="475"/>
      <c r="BI1152" s="475"/>
      <c r="BJ1152" s="475"/>
      <c r="BK1152" s="475"/>
      <c r="BL1152" s="475"/>
    </row>
    <row r="1153" spans="1:64" ht="13">
      <c r="A1153" s="426"/>
      <c r="B1153" s="406"/>
      <c r="C1153" s="417" t="s">
        <v>954</v>
      </c>
      <c r="D1153" s="432">
        <f t="shared" ref="D1153:I1153" si="213">$I$1466</f>
        <v>868.20272000000011</v>
      </c>
      <c r="E1153" s="432">
        <f t="shared" si="213"/>
        <v>868.20272000000011</v>
      </c>
      <c r="F1153" s="432">
        <f t="shared" si="213"/>
        <v>868.20272000000011</v>
      </c>
      <c r="G1153" s="432">
        <f t="shared" si="213"/>
        <v>868.20272000000011</v>
      </c>
      <c r="H1153" s="432">
        <f t="shared" si="213"/>
        <v>868.20272000000011</v>
      </c>
      <c r="I1153" s="432">
        <f t="shared" si="213"/>
        <v>868.20272000000011</v>
      </c>
      <c r="J1153" s="544"/>
      <c r="K1153" s="545"/>
      <c r="L1153" s="551"/>
      <c r="M1153" s="498"/>
      <c r="N1153" s="498"/>
      <c r="O1153" s="498"/>
      <c r="P1153" s="498"/>
      <c r="Q1153" s="475"/>
      <c r="R1153" s="475"/>
      <c r="S1153" s="475"/>
      <c r="T1153" s="475"/>
      <c r="U1153" s="475"/>
      <c r="V1153" s="475"/>
      <c r="W1153" s="475"/>
      <c r="X1153" s="475"/>
      <c r="Y1153" s="475"/>
      <c r="Z1153" s="475"/>
      <c r="AA1153" s="475"/>
      <c r="AB1153" s="475"/>
      <c r="AC1153" s="475"/>
      <c r="AD1153" s="475"/>
      <c r="AE1153" s="475"/>
      <c r="AF1153" s="475"/>
      <c r="AG1153" s="475"/>
      <c r="AH1153" s="475"/>
      <c r="AI1153" s="475"/>
      <c r="AJ1153" s="475"/>
      <c r="AK1153" s="475"/>
      <c r="AL1153" s="475"/>
      <c r="AM1153" s="475"/>
      <c r="AN1153" s="475"/>
      <c r="AO1153" s="475"/>
      <c r="AP1153" s="475"/>
      <c r="AQ1153" s="475"/>
      <c r="AR1153" s="475"/>
      <c r="AS1153" s="475"/>
      <c r="AT1153" s="475"/>
      <c r="AU1153" s="475"/>
      <c r="AV1153" s="475"/>
      <c r="AW1153" s="475"/>
      <c r="AX1153" s="475"/>
      <c r="AY1153" s="475"/>
      <c r="AZ1153" s="475"/>
      <c r="BA1153" s="475"/>
      <c r="BB1153" s="475"/>
      <c r="BC1153" s="475"/>
      <c r="BD1153" s="475"/>
      <c r="BE1153" s="475"/>
      <c r="BF1153" s="475"/>
      <c r="BG1153" s="475"/>
      <c r="BH1153" s="475"/>
      <c r="BI1153" s="475"/>
      <c r="BJ1153" s="475"/>
      <c r="BK1153" s="475"/>
      <c r="BL1153" s="475"/>
    </row>
    <row r="1154" spans="1:64" ht="13">
      <c r="A1154" s="426"/>
      <c r="B1154" s="406"/>
      <c r="C1154" s="417" t="s">
        <v>921</v>
      </c>
      <c r="D1154" s="432">
        <f>'[161]Civil-SOR'!$F$269</f>
        <v>266</v>
      </c>
      <c r="E1154" s="432">
        <f>+D1154</f>
        <v>266</v>
      </c>
      <c r="F1154" s="432">
        <f>+E1154</f>
        <v>266</v>
      </c>
      <c r="G1154" s="432">
        <f>+F1154</f>
        <v>266</v>
      </c>
      <c r="H1154" s="432">
        <f>+G1154</f>
        <v>266</v>
      </c>
      <c r="I1154" s="432">
        <f>+H1154</f>
        <v>266</v>
      </c>
      <c r="J1154" s="544"/>
      <c r="K1154" s="545"/>
      <c r="L1154" s="551"/>
      <c r="M1154" s="498"/>
      <c r="N1154" s="498"/>
      <c r="O1154" s="498"/>
      <c r="P1154" s="498"/>
      <c r="Q1154" s="475"/>
      <c r="R1154" s="475"/>
      <c r="S1154" s="475"/>
      <c r="T1154" s="475"/>
      <c r="U1154" s="475"/>
      <c r="V1154" s="475"/>
      <c r="W1154" s="475"/>
      <c r="X1154" s="475"/>
      <c r="Y1154" s="475"/>
      <c r="Z1154" s="475"/>
      <c r="AA1154" s="475"/>
      <c r="AB1154" s="475"/>
      <c r="AC1154" s="475"/>
      <c r="AD1154" s="475"/>
      <c r="AE1154" s="475"/>
      <c r="AF1154" s="475"/>
      <c r="AG1154" s="475"/>
      <c r="AH1154" s="475"/>
      <c r="AI1154" s="475"/>
      <c r="AJ1154" s="475"/>
      <c r="AK1154" s="475"/>
      <c r="AL1154" s="475"/>
      <c r="AM1154" s="475"/>
      <c r="AN1154" s="475"/>
      <c r="AO1154" s="475"/>
      <c r="AP1154" s="475"/>
      <c r="AQ1154" s="475"/>
      <c r="AR1154" s="475"/>
      <c r="AS1154" s="475"/>
      <c r="AT1154" s="475"/>
      <c r="AU1154" s="475"/>
      <c r="AV1154" s="475"/>
      <c r="AW1154" s="475"/>
      <c r="AX1154" s="475"/>
      <c r="AY1154" s="475"/>
      <c r="AZ1154" s="475"/>
      <c r="BA1154" s="475"/>
      <c r="BB1154" s="475"/>
      <c r="BC1154" s="475"/>
      <c r="BD1154" s="475"/>
      <c r="BE1154" s="475"/>
      <c r="BF1154" s="475"/>
      <c r="BG1154" s="475"/>
      <c r="BH1154" s="475"/>
      <c r="BI1154" s="475"/>
      <c r="BJ1154" s="475"/>
      <c r="BK1154" s="475"/>
      <c r="BL1154" s="475"/>
    </row>
    <row r="1155" spans="1:64" ht="13">
      <c r="A1155" s="426"/>
      <c r="B1155" s="406"/>
      <c r="C1155" s="417" t="s">
        <v>1001</v>
      </c>
      <c r="D1155" s="459">
        <f>'[161]Civil-SOR'!$G$269</f>
        <v>260</v>
      </c>
      <c r="E1155" s="459">
        <f>'[161]Civil-SOR'!$H$269</f>
        <v>286</v>
      </c>
      <c r="F1155" s="459">
        <f>'[161]Civil-SOR'!$I$269+('[161]Civil-SOR'!$I$269*16.66%)</f>
        <v>363.97919999999999</v>
      </c>
      <c r="G1155" s="459">
        <f>'[161]Civil-SOR'!$J$269</f>
        <v>338</v>
      </c>
      <c r="H1155" s="459">
        <f>'[161]Civil-SOR'!$K$269</f>
        <v>364</v>
      </c>
      <c r="I1155" s="459">
        <f>'[161]Civil-SOR'!$L$269</f>
        <v>390</v>
      </c>
      <c r="J1155" s="544"/>
      <c r="K1155" s="545"/>
      <c r="L1155" s="551"/>
      <c r="M1155" s="498"/>
      <c r="N1155" s="498"/>
      <c r="O1155" s="498"/>
      <c r="P1155" s="498"/>
      <c r="Q1155" s="475"/>
      <c r="R1155" s="475"/>
      <c r="S1155" s="475"/>
      <c r="T1155" s="475"/>
      <c r="U1155" s="475"/>
      <c r="V1155" s="475"/>
      <c r="W1155" s="475"/>
      <c r="X1155" s="475"/>
      <c r="Y1155" s="475"/>
      <c r="Z1155" s="475"/>
      <c r="AA1155" s="475"/>
      <c r="AB1155" s="475"/>
      <c r="AC1155" s="475"/>
      <c r="AD1155" s="475"/>
      <c r="AE1155" s="475"/>
      <c r="AF1155" s="475"/>
      <c r="AG1155" s="475"/>
      <c r="AH1155" s="475"/>
      <c r="AI1155" s="475"/>
      <c r="AJ1155" s="475"/>
      <c r="AK1155" s="475"/>
      <c r="AL1155" s="475"/>
      <c r="AM1155" s="475"/>
      <c r="AN1155" s="475"/>
      <c r="AO1155" s="475"/>
      <c r="AP1155" s="475"/>
      <c r="AQ1155" s="475"/>
      <c r="AR1155" s="475"/>
      <c r="AS1155" s="475"/>
      <c r="AT1155" s="475"/>
      <c r="AU1155" s="475"/>
      <c r="AV1155" s="475"/>
      <c r="AW1155" s="475"/>
      <c r="AX1155" s="475"/>
      <c r="AY1155" s="475"/>
      <c r="AZ1155" s="475"/>
      <c r="BA1155" s="475"/>
      <c r="BB1155" s="475"/>
      <c r="BC1155" s="475"/>
      <c r="BD1155" s="475"/>
      <c r="BE1155" s="475"/>
      <c r="BF1155" s="475"/>
      <c r="BG1155" s="475"/>
      <c r="BH1155" s="475"/>
      <c r="BI1155" s="475"/>
      <c r="BJ1155" s="475"/>
      <c r="BK1155" s="475"/>
      <c r="BL1155" s="475"/>
    </row>
    <row r="1156" spans="1:64" ht="13">
      <c r="A1156" s="426"/>
      <c r="B1156" s="406"/>
      <c r="C1156" s="417" t="str">
        <f>[161]Input!$C$47</f>
        <v>Add for MA @ 40%</v>
      </c>
      <c r="D1156" s="432">
        <f>D1155*[161]Input!$D$47</f>
        <v>104</v>
      </c>
      <c r="E1156" s="432">
        <f>E1155*[161]Input!$D$47</f>
        <v>114.4</v>
      </c>
      <c r="F1156" s="432">
        <f>F1155*[161]Input!$D$47</f>
        <v>145.59168</v>
      </c>
      <c r="G1156" s="432">
        <f>G1155*[161]Input!$D$47</f>
        <v>135.20000000000002</v>
      </c>
      <c r="H1156" s="432">
        <f>H1155*[161]Input!$D$47</f>
        <v>145.6</v>
      </c>
      <c r="I1156" s="432">
        <f>I1155*[161]Input!$D$47</f>
        <v>156</v>
      </c>
      <c r="J1156" s="544"/>
      <c r="K1156" s="545"/>
      <c r="L1156" s="551"/>
      <c r="M1156" s="498"/>
      <c r="N1156" s="498"/>
      <c r="O1156" s="498"/>
      <c r="P1156" s="498"/>
      <c r="Q1156" s="475"/>
      <c r="R1156" s="475"/>
      <c r="S1156" s="475"/>
      <c r="T1156" s="475"/>
      <c r="U1156" s="475"/>
      <c r="V1156" s="475"/>
      <c r="W1156" s="475"/>
      <c r="X1156" s="475"/>
      <c r="Y1156" s="475"/>
      <c r="Z1156" s="475"/>
      <c r="AA1156" s="475"/>
      <c r="AB1156" s="475"/>
      <c r="AC1156" s="475"/>
      <c r="AD1156" s="475"/>
      <c r="AE1156" s="475"/>
      <c r="AF1156" s="475"/>
      <c r="AG1156" s="475"/>
      <c r="AH1156" s="475"/>
      <c r="AI1156" s="475"/>
      <c r="AJ1156" s="475"/>
      <c r="AK1156" s="475"/>
      <c r="AL1156" s="475"/>
      <c r="AM1156" s="475"/>
      <c r="AN1156" s="475"/>
      <c r="AO1156" s="475"/>
      <c r="AP1156" s="475"/>
      <c r="AQ1156" s="475"/>
      <c r="AR1156" s="475"/>
      <c r="AS1156" s="475"/>
      <c r="AT1156" s="475"/>
      <c r="AU1156" s="475"/>
      <c r="AV1156" s="475"/>
      <c r="AW1156" s="475"/>
      <c r="AX1156" s="475"/>
      <c r="AY1156" s="475"/>
      <c r="AZ1156" s="475"/>
      <c r="BA1156" s="475"/>
      <c r="BB1156" s="475"/>
      <c r="BC1156" s="475"/>
      <c r="BD1156" s="475"/>
      <c r="BE1156" s="475"/>
      <c r="BF1156" s="475"/>
      <c r="BG1156" s="475"/>
      <c r="BH1156" s="475"/>
      <c r="BI1156" s="475"/>
      <c r="BJ1156" s="475"/>
      <c r="BK1156" s="475"/>
      <c r="BL1156" s="475"/>
    </row>
    <row r="1157" spans="1:64" ht="25">
      <c r="A1157" s="426"/>
      <c r="B1157" s="406"/>
      <c r="C1157" s="417" t="s">
        <v>995</v>
      </c>
      <c r="D1157" s="432">
        <v>0</v>
      </c>
      <c r="E1157" s="432">
        <f>0.267*$D$1137*'[161]Civil-SOR'!$G$334</f>
        <v>12.639112500000003</v>
      </c>
      <c r="F1157" s="432">
        <f t="shared" ref="F1157:F1158" si="214">E1157*1.1</f>
        <v>13.903023750000004</v>
      </c>
      <c r="G1157" s="432">
        <f t="shared" ref="G1157:G1158" si="215">E1157*1.2</f>
        <v>15.166935000000002</v>
      </c>
      <c r="H1157" s="432">
        <f t="shared" ref="H1157:H1158" si="216">E1157*1.3</f>
        <v>16.430846250000005</v>
      </c>
      <c r="I1157" s="432">
        <f t="shared" ref="I1157:I1158" si="217">E1157*1.4</f>
        <v>17.694757500000001</v>
      </c>
      <c r="J1157" s="544"/>
      <c r="K1157" s="545"/>
      <c r="L1157" s="551"/>
      <c r="M1157" s="498"/>
      <c r="N1157" s="498"/>
      <c r="O1157" s="498"/>
      <c r="P1157" s="498"/>
      <c r="Q1157" s="475"/>
      <c r="R1157" s="475"/>
      <c r="S1157" s="475"/>
      <c r="T1157" s="475"/>
      <c r="U1157" s="475"/>
      <c r="V1157" s="475"/>
      <c r="W1157" s="475"/>
      <c r="X1157" s="475"/>
      <c r="Y1157" s="475"/>
      <c r="Z1157" s="475"/>
      <c r="AA1157" s="475"/>
      <c r="AB1157" s="475"/>
      <c r="AC1157" s="475"/>
      <c r="AD1157" s="475"/>
      <c r="AE1157" s="475"/>
      <c r="AF1157" s="475"/>
      <c r="AG1157" s="475"/>
      <c r="AH1157" s="475"/>
      <c r="AI1157" s="475"/>
      <c r="AJ1157" s="475"/>
      <c r="AK1157" s="475"/>
      <c r="AL1157" s="475"/>
      <c r="AM1157" s="475"/>
      <c r="AN1157" s="475"/>
      <c r="AO1157" s="475"/>
      <c r="AP1157" s="475"/>
      <c r="AQ1157" s="475"/>
      <c r="AR1157" s="475"/>
      <c r="AS1157" s="475"/>
      <c r="AT1157" s="475"/>
      <c r="AU1157" s="475"/>
      <c r="AV1157" s="475"/>
      <c r="AW1157" s="475"/>
      <c r="AX1157" s="475"/>
      <c r="AY1157" s="475"/>
      <c r="AZ1157" s="475"/>
      <c r="BA1157" s="475"/>
      <c r="BB1157" s="475"/>
      <c r="BC1157" s="475"/>
      <c r="BD1157" s="475"/>
      <c r="BE1157" s="475"/>
      <c r="BF1157" s="475"/>
      <c r="BG1157" s="475"/>
      <c r="BH1157" s="475"/>
      <c r="BI1157" s="475"/>
      <c r="BJ1157" s="475"/>
      <c r="BK1157" s="475"/>
      <c r="BL1157" s="475"/>
    </row>
    <row r="1158" spans="1:64" ht="13">
      <c r="A1158" s="426"/>
      <c r="B1158" s="406"/>
      <c r="C1158" s="417" t="s">
        <v>828</v>
      </c>
      <c r="D1158" s="432"/>
      <c r="E1158" s="432">
        <f>0.267*$D$1137*'[161]Civil-SOR'!$J$334</f>
        <v>12.02835</v>
      </c>
      <c r="F1158" s="432">
        <f t="shared" si="214"/>
        <v>13.231185</v>
      </c>
      <c r="G1158" s="432">
        <f t="shared" si="215"/>
        <v>14.434019999999999</v>
      </c>
      <c r="H1158" s="432">
        <f t="shared" si="216"/>
        <v>15.636855000000001</v>
      </c>
      <c r="I1158" s="432">
        <f t="shared" si="217"/>
        <v>16.839689999999997</v>
      </c>
      <c r="J1158" s="544"/>
      <c r="K1158" s="545"/>
      <c r="L1158" s="551"/>
      <c r="M1158" s="498"/>
      <c r="N1158" s="498"/>
      <c r="O1158" s="498"/>
      <c r="P1158" s="498"/>
      <c r="Q1158" s="475"/>
      <c r="R1158" s="475"/>
      <c r="S1158" s="475"/>
      <c r="T1158" s="475"/>
      <c r="U1158" s="475"/>
      <c r="V1158" s="475"/>
      <c r="W1158" s="475"/>
      <c r="X1158" s="475"/>
      <c r="Y1158" s="475"/>
      <c r="Z1158" s="475"/>
      <c r="AA1158" s="475"/>
      <c r="AB1158" s="475"/>
      <c r="AC1158" s="475"/>
      <c r="AD1158" s="475"/>
      <c r="AE1158" s="475"/>
      <c r="AF1158" s="475"/>
      <c r="AG1158" s="475"/>
      <c r="AH1158" s="475"/>
      <c r="AI1158" s="475"/>
      <c r="AJ1158" s="475"/>
      <c r="AK1158" s="475"/>
      <c r="AL1158" s="475"/>
      <c r="AM1158" s="475"/>
      <c r="AN1158" s="475"/>
      <c r="AO1158" s="475"/>
      <c r="AP1158" s="475"/>
      <c r="AQ1158" s="475"/>
      <c r="AR1158" s="475"/>
      <c r="AS1158" s="475"/>
      <c r="AT1158" s="475"/>
      <c r="AU1158" s="475"/>
      <c r="AV1158" s="475"/>
      <c r="AW1158" s="475"/>
      <c r="AX1158" s="475"/>
      <c r="AY1158" s="475"/>
      <c r="AZ1158" s="475"/>
      <c r="BA1158" s="475"/>
      <c r="BB1158" s="475"/>
      <c r="BC1158" s="475"/>
      <c r="BD1158" s="475"/>
      <c r="BE1158" s="475"/>
      <c r="BF1158" s="475"/>
      <c r="BG1158" s="475"/>
      <c r="BH1158" s="475"/>
      <c r="BI1158" s="475"/>
      <c r="BJ1158" s="475"/>
      <c r="BK1158" s="475"/>
      <c r="BL1158" s="475"/>
    </row>
    <row r="1159" spans="1:64" ht="13">
      <c r="A1159" s="426"/>
      <c r="B1159" s="406"/>
      <c r="C1159" s="417" t="str">
        <f>[161]Input!$C$47</f>
        <v>Add for MA @ 40%</v>
      </c>
      <c r="D1159" s="432">
        <f>D1158*[161]Input!$D$47</f>
        <v>0</v>
      </c>
      <c r="E1159" s="432">
        <f>E1158*[161]Input!$D$47</f>
        <v>4.8113400000000004</v>
      </c>
      <c r="F1159" s="432">
        <f>F1158*[161]Input!$D$47</f>
        <v>5.2924740000000003</v>
      </c>
      <c r="G1159" s="432">
        <f>G1158*[161]Input!$D$47</f>
        <v>5.7736079999999994</v>
      </c>
      <c r="H1159" s="432">
        <f>H1158*[161]Input!$D$47</f>
        <v>6.2547420000000002</v>
      </c>
      <c r="I1159" s="432">
        <f>I1158*[161]Input!$D$47</f>
        <v>6.7358759999999993</v>
      </c>
      <c r="J1159" s="544"/>
      <c r="K1159" s="545"/>
      <c r="L1159" s="551"/>
      <c r="M1159" s="498"/>
      <c r="N1159" s="498"/>
      <c r="O1159" s="498"/>
      <c r="P1159" s="498"/>
      <c r="Q1159" s="475"/>
      <c r="R1159" s="475"/>
      <c r="S1159" s="475"/>
      <c r="T1159" s="475"/>
      <c r="U1159" s="475"/>
      <c r="V1159" s="475"/>
      <c r="W1159" s="475"/>
      <c r="X1159" s="475"/>
      <c r="Y1159" s="475"/>
      <c r="Z1159" s="475"/>
      <c r="AA1159" s="475"/>
      <c r="AB1159" s="475"/>
      <c r="AC1159" s="475"/>
      <c r="AD1159" s="475"/>
      <c r="AE1159" s="475"/>
      <c r="AF1159" s="475"/>
      <c r="AG1159" s="475"/>
      <c r="AH1159" s="475"/>
      <c r="AI1159" s="475"/>
      <c r="AJ1159" s="475"/>
      <c r="AK1159" s="475"/>
      <c r="AL1159" s="475"/>
      <c r="AM1159" s="475"/>
      <c r="AN1159" s="475"/>
      <c r="AO1159" s="475"/>
      <c r="AP1159" s="475"/>
      <c r="AQ1159" s="475"/>
      <c r="AR1159" s="475"/>
      <c r="AS1159" s="475"/>
      <c r="AT1159" s="475"/>
      <c r="AU1159" s="475"/>
      <c r="AV1159" s="475"/>
      <c r="AW1159" s="475"/>
      <c r="AX1159" s="475"/>
      <c r="AY1159" s="475"/>
      <c r="AZ1159" s="475"/>
      <c r="BA1159" s="475"/>
      <c r="BB1159" s="475"/>
      <c r="BC1159" s="475"/>
      <c r="BD1159" s="475"/>
      <c r="BE1159" s="475"/>
      <c r="BF1159" s="475"/>
      <c r="BG1159" s="475"/>
      <c r="BH1159" s="475"/>
      <c r="BI1159" s="475"/>
      <c r="BJ1159" s="475"/>
      <c r="BK1159" s="475"/>
      <c r="BL1159" s="475"/>
    </row>
    <row r="1160" spans="1:64" ht="13">
      <c r="A1160" s="426"/>
      <c r="B1160" s="406"/>
      <c r="C1160" s="427" t="s">
        <v>742</v>
      </c>
      <c r="D1160" s="432">
        <f t="shared" ref="D1160:I1160" si="218">SUM(D1153:D1159)</f>
        <v>1498.2027200000002</v>
      </c>
      <c r="E1160" s="432">
        <f t="shared" si="218"/>
        <v>1564.0815225000003</v>
      </c>
      <c r="F1160" s="432">
        <f t="shared" si="218"/>
        <v>1676.2002827500005</v>
      </c>
      <c r="G1160" s="432">
        <f t="shared" si="218"/>
        <v>1642.7772830000001</v>
      </c>
      <c r="H1160" s="432">
        <f t="shared" si="218"/>
        <v>1682.1251632500002</v>
      </c>
      <c r="I1160" s="432">
        <f t="shared" si="218"/>
        <v>1721.4730435000001</v>
      </c>
      <c r="J1160" s="544"/>
      <c r="K1160" s="545"/>
      <c r="L1160" s="551"/>
      <c r="M1160" s="498"/>
      <c r="N1160" s="498"/>
      <c r="O1160" s="498"/>
      <c r="P1160" s="498"/>
      <c r="Q1160" s="475"/>
      <c r="R1160" s="475"/>
      <c r="S1160" s="475"/>
      <c r="T1160" s="475"/>
      <c r="U1160" s="475"/>
      <c r="V1160" s="475"/>
      <c r="W1160" s="475"/>
      <c r="X1160" s="475"/>
      <c r="Y1160" s="475"/>
      <c r="Z1160" s="475"/>
      <c r="AA1160" s="475"/>
      <c r="AB1160" s="475"/>
      <c r="AC1160" s="475"/>
      <c r="AD1160" s="475"/>
      <c r="AE1160" s="475"/>
      <c r="AF1160" s="475"/>
      <c r="AG1160" s="475"/>
      <c r="AH1160" s="475"/>
      <c r="AI1160" s="475"/>
      <c r="AJ1160" s="475"/>
      <c r="AK1160" s="475"/>
      <c r="AL1160" s="475"/>
      <c r="AM1160" s="475"/>
      <c r="AN1160" s="475"/>
      <c r="AO1160" s="475"/>
      <c r="AP1160" s="475"/>
      <c r="AQ1160" s="475"/>
      <c r="AR1160" s="475"/>
      <c r="AS1160" s="475"/>
      <c r="AT1160" s="475"/>
      <c r="AU1160" s="475"/>
      <c r="AV1160" s="475"/>
      <c r="AW1160" s="475"/>
      <c r="AX1160" s="475"/>
      <c r="AY1160" s="475"/>
      <c r="AZ1160" s="475"/>
      <c r="BA1160" s="475"/>
      <c r="BB1160" s="475"/>
      <c r="BC1160" s="475"/>
      <c r="BD1160" s="475"/>
      <c r="BE1160" s="475"/>
      <c r="BF1160" s="475"/>
      <c r="BG1160" s="475"/>
      <c r="BH1160" s="475"/>
      <c r="BI1160" s="475"/>
      <c r="BJ1160" s="475"/>
      <c r="BK1160" s="475"/>
      <c r="BL1160" s="475"/>
    </row>
    <row r="1161" spans="1:64" ht="25">
      <c r="A1161" s="426"/>
      <c r="B1161" s="406"/>
      <c r="C1161" s="417" t="str">
        <f>[161]Input!$C$48</f>
        <v>Overheads &amp; Contractors Profit @ 13.615%</v>
      </c>
      <c r="D1161" s="406">
        <f>ROUND(D1160*[161]Input!$D$48,2)</f>
        <v>203.98</v>
      </c>
      <c r="E1161" s="406">
        <f>ROUND(E1160*[161]Input!$D$48,2)</f>
        <v>212.95</v>
      </c>
      <c r="F1161" s="406">
        <f>ROUND(F1160*[161]Input!$D$48,2)</f>
        <v>228.21</v>
      </c>
      <c r="G1161" s="406">
        <f>ROUND(G1160*[161]Input!$D$48,2)</f>
        <v>223.66</v>
      </c>
      <c r="H1161" s="406">
        <f>ROUND(H1160*[161]Input!$D$48,2)</f>
        <v>229.02</v>
      </c>
      <c r="I1161" s="406">
        <f>ROUND(I1160*[161]Input!$D$48,2)</f>
        <v>234.38</v>
      </c>
      <c r="J1161" s="544"/>
      <c r="K1161" s="545"/>
      <c r="L1161" s="551"/>
      <c r="M1161" s="498"/>
      <c r="N1161" s="498"/>
      <c r="O1161" s="498"/>
      <c r="P1161" s="498"/>
      <c r="Q1161" s="475"/>
      <c r="R1161" s="475"/>
      <c r="S1161" s="475"/>
      <c r="T1161" s="475"/>
      <c r="U1161" s="475"/>
      <c r="V1161" s="475"/>
      <c r="W1161" s="475"/>
      <c r="X1161" s="475"/>
      <c r="Y1161" s="475"/>
      <c r="Z1161" s="475"/>
      <c r="AA1161" s="475"/>
      <c r="AB1161" s="475"/>
      <c r="AC1161" s="475"/>
      <c r="AD1161" s="475"/>
      <c r="AE1161" s="475"/>
      <c r="AF1161" s="475"/>
      <c r="AG1161" s="475"/>
      <c r="AH1161" s="475"/>
      <c r="AI1161" s="475"/>
      <c r="AJ1161" s="475"/>
      <c r="AK1161" s="475"/>
      <c r="AL1161" s="475"/>
      <c r="AM1161" s="475"/>
      <c r="AN1161" s="475"/>
      <c r="AO1161" s="475"/>
      <c r="AP1161" s="475"/>
      <c r="AQ1161" s="475"/>
      <c r="AR1161" s="475"/>
      <c r="AS1161" s="475"/>
      <c r="AT1161" s="475"/>
      <c r="AU1161" s="475"/>
      <c r="AV1161" s="475"/>
      <c r="AW1161" s="475"/>
      <c r="AX1161" s="475"/>
      <c r="AY1161" s="475"/>
      <c r="AZ1161" s="475"/>
      <c r="BA1161" s="475"/>
      <c r="BB1161" s="475"/>
      <c r="BC1161" s="475"/>
      <c r="BD1161" s="475"/>
      <c r="BE1161" s="475"/>
      <c r="BF1161" s="475"/>
      <c r="BG1161" s="475"/>
      <c r="BH1161" s="475"/>
      <c r="BI1161" s="475"/>
      <c r="BJ1161" s="475"/>
      <c r="BK1161" s="475"/>
      <c r="BL1161" s="475"/>
    </row>
    <row r="1162" spans="1:64" ht="13">
      <c r="A1162" s="426"/>
      <c r="B1162" s="426"/>
      <c r="C1162" s="427" t="s">
        <v>742</v>
      </c>
      <c r="D1162" s="409">
        <f t="shared" ref="D1162:I1162" si="219">SUM(D1160:D1161)</f>
        <v>1702.1827200000002</v>
      </c>
      <c r="E1162" s="409">
        <f t="shared" si="219"/>
        <v>1777.0315225000004</v>
      </c>
      <c r="F1162" s="409">
        <f t="shared" si="219"/>
        <v>1904.4102827500005</v>
      </c>
      <c r="G1162" s="409">
        <f t="shared" si="219"/>
        <v>1866.4372830000002</v>
      </c>
      <c r="H1162" s="409">
        <f t="shared" si="219"/>
        <v>1911.1451632500002</v>
      </c>
      <c r="I1162" s="409">
        <f t="shared" si="219"/>
        <v>1955.8530435000002</v>
      </c>
      <c r="J1162" s="544"/>
      <c r="K1162" s="545"/>
      <c r="L1162" s="551"/>
      <c r="M1162" s="498"/>
      <c r="N1162" s="498"/>
      <c r="O1162" s="498"/>
      <c r="P1162" s="498"/>
      <c r="Q1162" s="475"/>
      <c r="R1162" s="475"/>
      <c r="S1162" s="475"/>
      <c r="T1162" s="475"/>
      <c r="U1162" s="475"/>
      <c r="V1162" s="475"/>
      <c r="W1162" s="475"/>
      <c r="X1162" s="475"/>
      <c r="Y1162" s="475"/>
      <c r="Z1162" s="475"/>
      <c r="AA1162" s="475"/>
      <c r="AB1162" s="475"/>
      <c r="AC1162" s="475"/>
      <c r="AD1162" s="475"/>
      <c r="AE1162" s="475"/>
      <c r="AF1162" s="475"/>
      <c r="AG1162" s="475"/>
      <c r="AH1162" s="475"/>
      <c r="AI1162" s="475"/>
      <c r="AJ1162" s="475"/>
      <c r="AK1162" s="475"/>
      <c r="AL1162" s="475"/>
      <c r="AM1162" s="475"/>
      <c r="AN1162" s="475"/>
      <c r="AO1162" s="475"/>
      <c r="AP1162" s="475"/>
      <c r="AQ1162" s="475"/>
      <c r="AR1162" s="475"/>
      <c r="AS1162" s="475"/>
      <c r="AT1162" s="475"/>
      <c r="AU1162" s="475"/>
      <c r="AV1162" s="475"/>
      <c r="AW1162" s="475"/>
      <c r="AX1162" s="475"/>
      <c r="AY1162" s="475"/>
      <c r="AZ1162" s="475"/>
      <c r="BA1162" s="475"/>
      <c r="BB1162" s="475"/>
      <c r="BC1162" s="475"/>
      <c r="BD1162" s="475"/>
      <c r="BE1162" s="475"/>
      <c r="BF1162" s="475"/>
      <c r="BG1162" s="475"/>
      <c r="BH1162" s="475"/>
      <c r="BI1162" s="475"/>
      <c r="BJ1162" s="475"/>
      <c r="BK1162" s="475"/>
      <c r="BL1162" s="475"/>
    </row>
    <row r="1163" spans="1:64" ht="13">
      <c r="A1163" s="426"/>
      <c r="B1163" s="426"/>
      <c r="C1163" s="514" t="s">
        <v>726</v>
      </c>
      <c r="D1163" s="416">
        <f t="shared" ref="D1163:I1163" si="220">ROUND(D1162,0)</f>
        <v>1702</v>
      </c>
      <c r="E1163" s="416">
        <f t="shared" si="220"/>
        <v>1777</v>
      </c>
      <c r="F1163" s="416">
        <f t="shared" si="220"/>
        <v>1904</v>
      </c>
      <c r="G1163" s="416">
        <f t="shared" si="220"/>
        <v>1866</v>
      </c>
      <c r="H1163" s="416">
        <f t="shared" si="220"/>
        <v>1911</v>
      </c>
      <c r="I1163" s="416">
        <f t="shared" si="220"/>
        <v>1956</v>
      </c>
      <c r="J1163" s="544"/>
      <c r="K1163" s="545"/>
      <c r="L1163" s="551"/>
      <c r="M1163" s="498"/>
      <c r="N1163" s="498"/>
      <c r="O1163" s="498"/>
      <c r="P1163" s="498"/>
      <c r="Q1163" s="475"/>
      <c r="R1163" s="475"/>
      <c r="S1163" s="475"/>
      <c r="T1163" s="475"/>
      <c r="U1163" s="475"/>
      <c r="V1163" s="475"/>
      <c r="W1163" s="475"/>
      <c r="X1163" s="475"/>
      <c r="Y1163" s="475"/>
      <c r="Z1163" s="475"/>
      <c r="AA1163" s="475"/>
      <c r="AB1163" s="475"/>
      <c r="AC1163" s="475"/>
      <c r="AD1163" s="475"/>
      <c r="AE1163" s="475"/>
      <c r="AF1163" s="475"/>
      <c r="AG1163" s="475"/>
      <c r="AH1163" s="475"/>
      <c r="AI1163" s="475"/>
      <c r="AJ1163" s="475"/>
      <c r="AK1163" s="475"/>
      <c r="AL1163" s="475"/>
      <c r="AM1163" s="475"/>
      <c r="AN1163" s="475"/>
      <c r="AO1163" s="475"/>
      <c r="AP1163" s="475"/>
      <c r="AQ1163" s="475"/>
      <c r="AR1163" s="475"/>
      <c r="AS1163" s="475"/>
      <c r="AT1163" s="475"/>
      <c r="AU1163" s="475"/>
      <c r="AV1163" s="475"/>
      <c r="AW1163" s="475"/>
      <c r="AX1163" s="475"/>
      <c r="AY1163" s="475"/>
      <c r="AZ1163" s="475"/>
      <c r="BA1163" s="475"/>
      <c r="BB1163" s="475"/>
      <c r="BC1163" s="475"/>
      <c r="BD1163" s="475"/>
      <c r="BE1163" s="475"/>
      <c r="BF1163" s="475"/>
      <c r="BG1163" s="475"/>
      <c r="BH1163" s="475"/>
      <c r="BI1163" s="475"/>
      <c r="BJ1163" s="475"/>
      <c r="BK1163" s="475"/>
      <c r="BL1163" s="475"/>
    </row>
    <row r="1164" spans="1:64" ht="13">
      <c r="A1164" s="426"/>
      <c r="B1164" s="426"/>
      <c r="C1164" s="550"/>
      <c r="D1164" s="416"/>
      <c r="E1164" s="416"/>
      <c r="F1164" s="416"/>
      <c r="G1164" s="416"/>
      <c r="H1164" s="416"/>
      <c r="I1164" s="414"/>
      <c r="J1164" s="544"/>
      <c r="K1164" s="545"/>
      <c r="L1164" s="551"/>
      <c r="M1164" s="498"/>
      <c r="N1164" s="498"/>
      <c r="O1164" s="498"/>
      <c r="P1164" s="498"/>
      <c r="Q1164" s="475"/>
      <c r="R1164" s="475"/>
      <c r="S1164" s="475"/>
      <c r="T1164" s="475"/>
      <c r="U1164" s="475"/>
      <c r="V1164" s="475"/>
      <c r="W1164" s="475"/>
      <c r="X1164" s="475"/>
      <c r="Y1164" s="475"/>
      <c r="Z1164" s="475"/>
      <c r="AA1164" s="475"/>
      <c r="AB1164" s="475"/>
      <c r="AC1164" s="475"/>
      <c r="AD1164" s="475"/>
      <c r="AE1164" s="475"/>
      <c r="AF1164" s="475"/>
      <c r="AG1164" s="475"/>
      <c r="AH1164" s="475"/>
      <c r="AI1164" s="475"/>
      <c r="AJ1164" s="475"/>
      <c r="AK1164" s="475"/>
      <c r="AL1164" s="475"/>
      <c r="AM1164" s="475"/>
      <c r="AN1164" s="475"/>
      <c r="AO1164" s="475"/>
      <c r="AP1164" s="475"/>
      <c r="AQ1164" s="475"/>
      <c r="AR1164" s="475"/>
      <c r="AS1164" s="475"/>
      <c r="AT1164" s="475"/>
      <c r="AU1164" s="475"/>
      <c r="AV1164" s="475"/>
      <c r="AW1164" s="475"/>
      <c r="AX1164" s="475"/>
      <c r="AY1164" s="475"/>
      <c r="AZ1164" s="475"/>
      <c r="BA1164" s="475"/>
      <c r="BB1164" s="475"/>
      <c r="BC1164" s="475"/>
      <c r="BD1164" s="475"/>
      <c r="BE1164" s="475"/>
      <c r="BF1164" s="475"/>
      <c r="BG1164" s="475"/>
      <c r="BH1164" s="475"/>
      <c r="BI1164" s="475"/>
      <c r="BJ1164" s="475"/>
      <c r="BK1164" s="475"/>
      <c r="BL1164" s="475"/>
    </row>
    <row r="1165" spans="1:64" ht="26">
      <c r="A1165" s="426"/>
      <c r="B1165" s="474" t="s">
        <v>1003</v>
      </c>
      <c r="C1165" s="558" t="s">
        <v>1004</v>
      </c>
      <c r="D1165" s="426"/>
      <c r="E1165" s="426"/>
      <c r="F1165" s="426"/>
      <c r="G1165" s="410"/>
      <c r="H1165" s="426"/>
      <c r="I1165" s="434"/>
      <c r="J1165" s="544"/>
      <c r="K1165" s="545"/>
      <c r="L1165" s="551"/>
      <c r="M1165" s="498"/>
      <c r="N1165" s="498"/>
      <c r="O1165" s="498"/>
      <c r="P1165" s="498"/>
      <c r="Q1165" s="475"/>
      <c r="R1165" s="475"/>
      <c r="S1165" s="475"/>
      <c r="T1165" s="475"/>
      <c r="U1165" s="475"/>
      <c r="V1165" s="475"/>
      <c r="W1165" s="475"/>
      <c r="X1165" s="475"/>
      <c r="Y1165" s="475"/>
      <c r="Z1165" s="475"/>
      <c r="AA1165" s="475"/>
      <c r="AB1165" s="475"/>
      <c r="AC1165" s="475"/>
      <c r="AD1165" s="475"/>
      <c r="AE1165" s="475"/>
      <c r="AF1165" s="475"/>
      <c r="AG1165" s="475"/>
      <c r="AH1165" s="475"/>
      <c r="AI1165" s="475"/>
      <c r="AJ1165" s="475"/>
      <c r="AK1165" s="475"/>
      <c r="AL1165" s="475"/>
      <c r="AM1165" s="475"/>
      <c r="AN1165" s="475"/>
      <c r="AO1165" s="475"/>
      <c r="AP1165" s="475"/>
      <c r="AQ1165" s="475"/>
      <c r="AR1165" s="475"/>
      <c r="AS1165" s="475"/>
      <c r="AT1165" s="475"/>
      <c r="AU1165" s="475"/>
      <c r="AV1165" s="475"/>
      <c r="AW1165" s="475"/>
      <c r="AX1165" s="475"/>
      <c r="AY1165" s="475"/>
      <c r="AZ1165" s="475"/>
      <c r="BA1165" s="475"/>
      <c r="BB1165" s="475"/>
      <c r="BC1165" s="475"/>
      <c r="BD1165" s="475"/>
      <c r="BE1165" s="475"/>
      <c r="BF1165" s="475"/>
      <c r="BG1165" s="475"/>
      <c r="BH1165" s="475"/>
      <c r="BI1165" s="475"/>
      <c r="BJ1165" s="475"/>
      <c r="BK1165" s="475"/>
      <c r="BL1165" s="475"/>
    </row>
    <row r="1166" spans="1:64" ht="13">
      <c r="A1166" s="406"/>
      <c r="B1166" s="406"/>
      <c r="C1166" s="427" t="s">
        <v>953</v>
      </c>
      <c r="D1166" s="461" t="s">
        <v>959</v>
      </c>
      <c r="E1166" s="407" t="s">
        <v>943</v>
      </c>
      <c r="F1166" s="436" t="s">
        <v>944</v>
      </c>
      <c r="G1166" s="436" t="s">
        <v>945</v>
      </c>
      <c r="H1166" s="436" t="s">
        <v>946</v>
      </c>
      <c r="I1166" s="436" t="s">
        <v>947</v>
      </c>
      <c r="J1166" s="544"/>
      <c r="K1166" s="545"/>
      <c r="L1166" s="551"/>
      <c r="M1166" s="498"/>
      <c r="N1166" s="498"/>
      <c r="O1166" s="498"/>
      <c r="P1166" s="498"/>
      <c r="Q1166" s="475"/>
      <c r="R1166" s="475"/>
      <c r="S1166" s="475"/>
      <c r="T1166" s="475"/>
      <c r="U1166" s="475"/>
      <c r="V1166" s="475"/>
      <c r="W1166" s="475"/>
      <c r="X1166" s="475"/>
      <c r="Y1166" s="475"/>
      <c r="Z1166" s="475"/>
      <c r="AA1166" s="475"/>
      <c r="AB1166" s="475"/>
      <c r="AC1166" s="475"/>
      <c r="AD1166" s="475"/>
      <c r="AE1166" s="475"/>
      <c r="AF1166" s="475"/>
      <c r="AG1166" s="475"/>
      <c r="AH1166" s="475"/>
      <c r="AI1166" s="475"/>
      <c r="AJ1166" s="475"/>
      <c r="AK1166" s="475"/>
      <c r="AL1166" s="475"/>
      <c r="AM1166" s="475"/>
      <c r="AN1166" s="475"/>
      <c r="AO1166" s="475"/>
      <c r="AP1166" s="475"/>
      <c r="AQ1166" s="475"/>
      <c r="AR1166" s="475"/>
      <c r="AS1166" s="475"/>
      <c r="AT1166" s="475"/>
      <c r="AU1166" s="475"/>
      <c r="AV1166" s="475"/>
      <c r="AW1166" s="475"/>
      <c r="AX1166" s="475"/>
      <c r="AY1166" s="475"/>
      <c r="AZ1166" s="475"/>
      <c r="BA1166" s="475"/>
      <c r="BB1166" s="475"/>
      <c r="BC1166" s="475"/>
      <c r="BD1166" s="475"/>
      <c r="BE1166" s="475"/>
      <c r="BF1166" s="475"/>
      <c r="BG1166" s="475"/>
      <c r="BH1166" s="475"/>
      <c r="BI1166" s="475"/>
      <c r="BJ1166" s="475"/>
      <c r="BK1166" s="475"/>
      <c r="BL1166" s="475"/>
    </row>
    <row r="1167" spans="1:64" ht="13">
      <c r="A1167" s="406"/>
      <c r="B1167" s="406"/>
      <c r="C1167" s="417" t="s">
        <v>954</v>
      </c>
      <c r="D1167" s="432">
        <f t="shared" ref="D1167:I1167" si="221">$I$1466</f>
        <v>868.20272000000011</v>
      </c>
      <c r="E1167" s="432">
        <f t="shared" si="221"/>
        <v>868.20272000000011</v>
      </c>
      <c r="F1167" s="432">
        <f t="shared" si="221"/>
        <v>868.20272000000011</v>
      </c>
      <c r="G1167" s="432">
        <f t="shared" si="221"/>
        <v>868.20272000000011</v>
      </c>
      <c r="H1167" s="432">
        <f t="shared" si="221"/>
        <v>868.20272000000011</v>
      </c>
      <c r="I1167" s="432">
        <f t="shared" si="221"/>
        <v>868.20272000000011</v>
      </c>
      <c r="J1167" s="544"/>
      <c r="K1167" s="545"/>
      <c r="L1167" s="551"/>
      <c r="M1167" s="498"/>
      <c r="N1167" s="498"/>
      <c r="O1167" s="498"/>
      <c r="P1167" s="498"/>
      <c r="Q1167" s="475"/>
      <c r="R1167" s="475"/>
      <c r="S1167" s="475"/>
      <c r="T1167" s="475"/>
      <c r="U1167" s="475"/>
      <c r="V1167" s="475"/>
      <c r="W1167" s="475"/>
      <c r="X1167" s="475"/>
      <c r="Y1167" s="475"/>
      <c r="Z1167" s="475"/>
      <c r="AA1167" s="475"/>
      <c r="AB1167" s="475"/>
      <c r="AC1167" s="475"/>
      <c r="AD1167" s="475"/>
      <c r="AE1167" s="475"/>
      <c r="AF1167" s="475"/>
      <c r="AG1167" s="475"/>
      <c r="AH1167" s="475"/>
      <c r="AI1167" s="475"/>
      <c r="AJ1167" s="475"/>
      <c r="AK1167" s="475"/>
      <c r="AL1167" s="475"/>
      <c r="AM1167" s="475"/>
      <c r="AN1167" s="475"/>
      <c r="AO1167" s="475"/>
      <c r="AP1167" s="475"/>
      <c r="AQ1167" s="475"/>
      <c r="AR1167" s="475"/>
      <c r="AS1167" s="475"/>
      <c r="AT1167" s="475"/>
      <c r="AU1167" s="475"/>
      <c r="AV1167" s="475"/>
      <c r="AW1167" s="475"/>
      <c r="AX1167" s="475"/>
      <c r="AY1167" s="475"/>
      <c r="AZ1167" s="475"/>
      <c r="BA1167" s="475"/>
      <c r="BB1167" s="475"/>
      <c r="BC1167" s="475"/>
      <c r="BD1167" s="475"/>
      <c r="BE1167" s="475"/>
      <c r="BF1167" s="475"/>
      <c r="BG1167" s="475"/>
      <c r="BH1167" s="475"/>
      <c r="BI1167" s="475"/>
      <c r="BJ1167" s="475"/>
      <c r="BK1167" s="475"/>
      <c r="BL1167" s="475"/>
    </row>
    <row r="1168" spans="1:64" ht="13">
      <c r="A1168" s="406"/>
      <c r="B1168" s="406"/>
      <c r="C1168" s="417" t="s">
        <v>921</v>
      </c>
      <c r="D1168" s="432">
        <f>'[161]Civil-SOR'!$F$269+('[161]Civil-SOR'!$F$269*16.66%)</f>
        <v>310.31560000000002</v>
      </c>
      <c r="E1168" s="432">
        <f>'[161]Civil-SOR'!$F$269+('[161]Civil-SOR'!$F$269*16.66%)</f>
        <v>310.31560000000002</v>
      </c>
      <c r="F1168" s="432">
        <f>'[161]Civil-SOR'!$F$269+('[161]Civil-SOR'!$F$269*16.66%)</f>
        <v>310.31560000000002</v>
      </c>
      <c r="G1168" s="432">
        <f>'[161]Civil-SOR'!$F$269+('[161]Civil-SOR'!$F$269*16.66%)</f>
        <v>310.31560000000002</v>
      </c>
      <c r="H1168" s="432">
        <f>'[161]Civil-SOR'!$F$269+('[161]Civil-SOR'!$F$269*16.66%)</f>
        <v>310.31560000000002</v>
      </c>
      <c r="I1168" s="432">
        <f>'[161]Civil-SOR'!$F$269+('[161]Civil-SOR'!$F$269*16.66%)</f>
        <v>310.31560000000002</v>
      </c>
      <c r="J1168" s="544"/>
      <c r="K1168" s="545"/>
      <c r="L1168" s="551"/>
      <c r="M1168" s="498"/>
      <c r="N1168" s="498"/>
      <c r="O1168" s="498"/>
      <c r="P1168" s="498"/>
      <c r="Q1168" s="475"/>
      <c r="R1168" s="475"/>
      <c r="S1168" s="475"/>
      <c r="T1168" s="475"/>
      <c r="U1168" s="475"/>
      <c r="V1168" s="475"/>
      <c r="W1168" s="475"/>
      <c r="X1168" s="475"/>
      <c r="Y1168" s="475"/>
      <c r="Z1168" s="475"/>
      <c r="AA1168" s="475"/>
      <c r="AB1168" s="475"/>
      <c r="AC1168" s="475"/>
      <c r="AD1168" s="475"/>
      <c r="AE1168" s="475"/>
      <c r="AF1168" s="475"/>
      <c r="AG1168" s="475"/>
      <c r="AH1168" s="475"/>
      <c r="AI1168" s="475"/>
      <c r="AJ1168" s="475"/>
      <c r="AK1168" s="475"/>
      <c r="AL1168" s="475"/>
      <c r="AM1168" s="475"/>
      <c r="AN1168" s="475"/>
      <c r="AO1168" s="475"/>
      <c r="AP1168" s="475"/>
      <c r="AQ1168" s="475"/>
      <c r="AR1168" s="475"/>
      <c r="AS1168" s="475"/>
      <c r="AT1168" s="475"/>
      <c r="AU1168" s="475"/>
      <c r="AV1168" s="475"/>
      <c r="AW1168" s="475"/>
      <c r="AX1168" s="475"/>
      <c r="AY1168" s="475"/>
      <c r="AZ1168" s="475"/>
      <c r="BA1168" s="475"/>
      <c r="BB1168" s="475"/>
      <c r="BC1168" s="475"/>
      <c r="BD1168" s="475"/>
      <c r="BE1168" s="475"/>
      <c r="BF1168" s="475"/>
      <c r="BG1168" s="475"/>
      <c r="BH1168" s="475"/>
      <c r="BI1168" s="475"/>
      <c r="BJ1168" s="475"/>
      <c r="BK1168" s="475"/>
      <c r="BL1168" s="475"/>
    </row>
    <row r="1169" spans="1:64" ht="13">
      <c r="A1169" s="406"/>
      <c r="B1169" s="406"/>
      <c r="C1169" s="417" t="s">
        <v>1001</v>
      </c>
      <c r="D1169" s="459">
        <f>'[161]Civil-SOR'!$G$269+('[161]Civil-SOR'!$G$269*16.66%)</f>
        <v>303.31600000000003</v>
      </c>
      <c r="E1169" s="459">
        <f>'[161]Civil-SOR'!$H$269+('[161]Civil-SOR'!$H$269*16.66%)</f>
        <v>333.64760000000001</v>
      </c>
      <c r="F1169" s="459">
        <f>'[161]Civil-SOR'!$I$269+('[161]Civil-SOR'!$I$269*16.66%)</f>
        <v>363.97919999999999</v>
      </c>
      <c r="G1169" s="459">
        <f>'[161]Civil-SOR'!$J$269+('[161]Civil-SOR'!$J$269*16.66%)</f>
        <v>394.31079999999997</v>
      </c>
      <c r="H1169" s="459">
        <f>'[161]Civil-SOR'!$K$269+('[161]Civil-SOR'!$K$269*16.66%)</f>
        <v>424.64240000000001</v>
      </c>
      <c r="I1169" s="459">
        <f>'[161]Civil-SOR'!$L$269+('[161]Civil-SOR'!$L$269*16.66%)</f>
        <v>454.97399999999999</v>
      </c>
      <c r="J1169" s="544"/>
      <c r="K1169" s="545"/>
      <c r="L1169" s="551"/>
      <c r="M1169" s="498"/>
      <c r="N1169" s="498"/>
      <c r="O1169" s="498"/>
      <c r="P1169" s="498"/>
      <c r="Q1169" s="554"/>
      <c r="R1169" s="554"/>
      <c r="S1169" s="554"/>
      <c r="T1169" s="554"/>
      <c r="U1169" s="554"/>
      <c r="V1169" s="554"/>
      <c r="W1169" s="554"/>
      <c r="X1169" s="554"/>
      <c r="Y1169" s="554"/>
      <c r="Z1169" s="554"/>
      <c r="AA1169" s="554"/>
      <c r="AB1169" s="554"/>
      <c r="AC1169" s="554"/>
      <c r="AD1169" s="554"/>
      <c r="AE1169" s="554"/>
      <c r="AF1169" s="554"/>
      <c r="AG1169" s="554"/>
      <c r="AH1169" s="554"/>
      <c r="AI1169" s="554"/>
      <c r="AJ1169" s="554"/>
      <c r="AK1169" s="554"/>
      <c r="AL1169" s="554"/>
      <c r="AM1169" s="554"/>
      <c r="AN1169" s="554"/>
      <c r="AO1169" s="554"/>
      <c r="AP1169" s="554"/>
      <c r="AQ1169" s="554"/>
      <c r="AR1169" s="554"/>
      <c r="AS1169" s="554"/>
      <c r="AT1169" s="554"/>
      <c r="AU1169" s="554"/>
      <c r="AV1169" s="554"/>
      <c r="AW1169" s="554"/>
      <c r="AX1169" s="554"/>
      <c r="AY1169" s="554"/>
      <c r="AZ1169" s="554"/>
      <c r="BA1169" s="554"/>
      <c r="BB1169" s="554"/>
      <c r="BC1169" s="554"/>
      <c r="BD1169" s="554"/>
      <c r="BE1169" s="554"/>
      <c r="BF1169" s="554"/>
      <c r="BG1169" s="554"/>
      <c r="BH1169" s="554"/>
      <c r="BI1169" s="554"/>
      <c r="BJ1169" s="554"/>
      <c r="BK1169" s="554"/>
      <c r="BL1169" s="554"/>
    </row>
    <row r="1170" spans="1:64" ht="13">
      <c r="A1170" s="406"/>
      <c r="B1170" s="406"/>
      <c r="C1170" s="417" t="str">
        <f>[161]Input!$C$47</f>
        <v>Add for MA @ 40%</v>
      </c>
      <c r="D1170" s="432">
        <f>D1169*[161]Input!$D$47</f>
        <v>121.32640000000002</v>
      </c>
      <c r="E1170" s="432">
        <f>E1169*[161]Input!$D$47</f>
        <v>133.45904000000002</v>
      </c>
      <c r="F1170" s="432">
        <f>F1169*[161]Input!$D$47</f>
        <v>145.59168</v>
      </c>
      <c r="G1170" s="432">
        <f>G1169*[161]Input!$D$47</f>
        <v>157.72432000000001</v>
      </c>
      <c r="H1170" s="432">
        <f>H1169*[161]Input!$D$47</f>
        <v>169.85696000000002</v>
      </c>
      <c r="I1170" s="432">
        <f>I1169*[161]Input!$D$47</f>
        <v>181.9896</v>
      </c>
      <c r="J1170" s="544"/>
      <c r="K1170" s="545"/>
      <c r="L1170" s="551"/>
      <c r="M1170" s="498"/>
      <c r="N1170" s="498"/>
      <c r="O1170" s="498"/>
      <c r="P1170" s="498"/>
      <c r="Q1170" s="475"/>
      <c r="R1170" s="475"/>
      <c r="S1170" s="475"/>
      <c r="T1170" s="475"/>
      <c r="U1170" s="475"/>
      <c r="V1170" s="475"/>
      <c r="W1170" s="475"/>
      <c r="X1170" s="475"/>
      <c r="Y1170" s="475"/>
      <c r="Z1170" s="475"/>
      <c r="AA1170" s="475"/>
      <c r="AB1170" s="475"/>
      <c r="AC1170" s="475"/>
      <c r="AD1170" s="475"/>
      <c r="AE1170" s="475"/>
      <c r="AF1170" s="475"/>
      <c r="AG1170" s="475"/>
      <c r="AH1170" s="475"/>
      <c r="AI1170" s="475"/>
      <c r="AJ1170" s="475"/>
      <c r="AK1170" s="475"/>
      <c r="AL1170" s="475"/>
      <c r="AM1170" s="475"/>
      <c r="AN1170" s="475"/>
      <c r="AO1170" s="475"/>
      <c r="AP1170" s="475"/>
      <c r="AQ1170" s="475"/>
      <c r="AR1170" s="475"/>
      <c r="AS1170" s="475"/>
      <c r="AT1170" s="475"/>
      <c r="AU1170" s="475"/>
      <c r="AV1170" s="475"/>
      <c r="AW1170" s="475"/>
      <c r="AX1170" s="475"/>
      <c r="AY1170" s="475"/>
      <c r="AZ1170" s="475"/>
      <c r="BA1170" s="475"/>
      <c r="BB1170" s="475"/>
      <c r="BC1170" s="475"/>
      <c r="BD1170" s="475"/>
      <c r="BE1170" s="475"/>
      <c r="BF1170" s="475"/>
      <c r="BG1170" s="475"/>
      <c r="BH1170" s="475"/>
      <c r="BI1170" s="475"/>
      <c r="BJ1170" s="475"/>
      <c r="BK1170" s="475"/>
      <c r="BL1170" s="475"/>
    </row>
    <row r="1171" spans="1:64" ht="25">
      <c r="A1171" s="406"/>
      <c r="B1171" s="406"/>
      <c r="C1171" s="417" t="s">
        <v>995</v>
      </c>
      <c r="D1171" s="432">
        <v>0</v>
      </c>
      <c r="E1171" s="432">
        <f>0.267*$D$1137*'[161]Civil-SOR'!$G$334</f>
        <v>12.639112500000003</v>
      </c>
      <c r="F1171" s="432">
        <f t="shared" ref="F1171:F1172" si="222">E1171*1.1</f>
        <v>13.903023750000004</v>
      </c>
      <c r="G1171" s="432">
        <f t="shared" ref="G1171:G1172" si="223">E1171*1.2</f>
        <v>15.166935000000002</v>
      </c>
      <c r="H1171" s="432">
        <f t="shared" ref="H1171:H1172" si="224">E1171*1.3</f>
        <v>16.430846250000005</v>
      </c>
      <c r="I1171" s="432">
        <f t="shared" ref="I1171:I1172" si="225">E1171*1.4</f>
        <v>17.694757500000001</v>
      </c>
      <c r="J1171" s="544"/>
      <c r="K1171" s="545"/>
      <c r="L1171" s="551"/>
      <c r="M1171" s="498"/>
      <c r="N1171" s="498"/>
      <c r="O1171" s="498"/>
      <c r="P1171" s="498"/>
    </row>
    <row r="1172" spans="1:64" ht="13">
      <c r="A1172" s="406"/>
      <c r="B1172" s="406"/>
      <c r="C1172" s="417" t="s">
        <v>828</v>
      </c>
      <c r="D1172" s="432"/>
      <c r="E1172" s="432">
        <f>0.267*$D$1137*'[161]Civil-SOR'!$J$334</f>
        <v>12.02835</v>
      </c>
      <c r="F1172" s="432">
        <f t="shared" si="222"/>
        <v>13.231185</v>
      </c>
      <c r="G1172" s="432">
        <f t="shared" si="223"/>
        <v>14.434019999999999</v>
      </c>
      <c r="H1172" s="432">
        <f t="shared" si="224"/>
        <v>15.636855000000001</v>
      </c>
      <c r="I1172" s="432">
        <f t="shared" si="225"/>
        <v>16.839689999999997</v>
      </c>
      <c r="J1172" s="544"/>
      <c r="K1172" s="545"/>
      <c r="L1172" s="551"/>
      <c r="M1172" s="498"/>
      <c r="N1172" s="498"/>
      <c r="O1172" s="498"/>
      <c r="P1172" s="498"/>
      <c r="Q1172" s="452"/>
      <c r="R1172" s="452"/>
      <c r="S1172" s="452"/>
      <c r="T1172" s="452"/>
      <c r="U1172" s="452"/>
      <c r="V1172" s="452"/>
      <c r="W1172" s="452"/>
      <c r="X1172" s="452"/>
      <c r="Y1172" s="452"/>
      <c r="Z1172" s="452"/>
      <c r="AA1172" s="452"/>
      <c r="AB1172" s="452"/>
      <c r="AC1172" s="452"/>
      <c r="AD1172" s="452"/>
      <c r="AE1172" s="452"/>
      <c r="AF1172" s="452"/>
      <c r="AG1172" s="452"/>
      <c r="AH1172" s="452"/>
      <c r="AI1172" s="452"/>
      <c r="AJ1172" s="452"/>
      <c r="AK1172" s="452"/>
      <c r="AL1172" s="452"/>
      <c r="AM1172" s="452"/>
      <c r="AN1172" s="452"/>
      <c r="AO1172" s="452"/>
      <c r="AP1172" s="452"/>
      <c r="AQ1172" s="452"/>
      <c r="AR1172" s="452"/>
      <c r="AS1172" s="452"/>
      <c r="AT1172" s="452"/>
      <c r="AU1172" s="452"/>
      <c r="AV1172" s="452"/>
      <c r="AW1172" s="452"/>
      <c r="AX1172" s="452"/>
      <c r="AY1172" s="452"/>
      <c r="AZ1172" s="452"/>
      <c r="BA1172" s="452"/>
      <c r="BB1172" s="452"/>
      <c r="BC1172" s="452"/>
      <c r="BD1172" s="452"/>
      <c r="BE1172" s="452"/>
      <c r="BF1172" s="452"/>
      <c r="BG1172" s="452"/>
      <c r="BH1172" s="452"/>
      <c r="BI1172" s="452"/>
      <c r="BJ1172" s="452"/>
      <c r="BK1172" s="452"/>
      <c r="BL1172" s="452"/>
    </row>
    <row r="1173" spans="1:64" ht="13">
      <c r="A1173" s="406"/>
      <c r="B1173" s="406"/>
      <c r="C1173" s="417" t="str">
        <f>[161]Input!$C$47</f>
        <v>Add for MA @ 40%</v>
      </c>
      <c r="D1173" s="432">
        <f>D1172*[161]Input!$D$47</f>
        <v>0</v>
      </c>
      <c r="E1173" s="432">
        <f>E1172*[161]Input!$D$47</f>
        <v>4.8113400000000004</v>
      </c>
      <c r="F1173" s="432">
        <f>F1172*[161]Input!$D$47</f>
        <v>5.2924740000000003</v>
      </c>
      <c r="G1173" s="432">
        <f>G1172*[161]Input!$D$47</f>
        <v>5.7736079999999994</v>
      </c>
      <c r="H1173" s="432">
        <f>H1172*[161]Input!$D$47</f>
        <v>6.2547420000000002</v>
      </c>
      <c r="I1173" s="432">
        <f>I1172*[161]Input!$D$47</f>
        <v>6.7358759999999993</v>
      </c>
      <c r="J1173" s="544"/>
      <c r="K1173" s="545"/>
      <c r="L1173" s="551"/>
      <c r="M1173" s="498"/>
      <c r="N1173" s="498"/>
      <c r="O1173" s="498"/>
      <c r="P1173" s="498"/>
    </row>
    <row r="1174" spans="1:64" ht="13">
      <c r="A1174" s="406"/>
      <c r="B1174" s="406"/>
      <c r="C1174" s="427" t="s">
        <v>742</v>
      </c>
      <c r="D1174" s="432">
        <f t="shared" ref="D1174:I1174" si="226">SUM(D1167:D1173)</f>
        <v>1603.1607200000001</v>
      </c>
      <c r="E1174" s="432">
        <f t="shared" si="226"/>
        <v>1675.1037625000001</v>
      </c>
      <c r="F1174" s="432">
        <f t="shared" si="226"/>
        <v>1720.5158827500004</v>
      </c>
      <c r="G1174" s="432">
        <f t="shared" si="226"/>
        <v>1765.928003</v>
      </c>
      <c r="H1174" s="432">
        <f t="shared" si="226"/>
        <v>1811.3401232500003</v>
      </c>
      <c r="I1174" s="432">
        <f t="shared" si="226"/>
        <v>1856.7522435000001</v>
      </c>
      <c r="J1174" s="544"/>
      <c r="K1174" s="545"/>
      <c r="L1174" s="551"/>
      <c r="M1174" s="498"/>
      <c r="N1174" s="498"/>
      <c r="O1174" s="498"/>
      <c r="P1174" s="498"/>
    </row>
    <row r="1175" spans="1:64" ht="25">
      <c r="A1175" s="406"/>
      <c r="B1175" s="406"/>
      <c r="C1175" s="417" t="str">
        <f>[161]Input!$C$48</f>
        <v>Overheads &amp; Contractors Profit @ 13.615%</v>
      </c>
      <c r="D1175" s="406">
        <f>ROUND(D1174*[161]Input!$D$48,2)</f>
        <v>218.27</v>
      </c>
      <c r="E1175" s="406">
        <f>ROUND(E1174*[161]Input!$D$48,2)</f>
        <v>228.07</v>
      </c>
      <c r="F1175" s="406">
        <f>ROUND(F1174*[161]Input!$D$48,2)</f>
        <v>234.25</v>
      </c>
      <c r="G1175" s="406">
        <f>ROUND(G1174*[161]Input!$D$48,2)</f>
        <v>240.43</v>
      </c>
      <c r="H1175" s="406">
        <f>ROUND(H1174*[161]Input!$D$48,2)</f>
        <v>246.61</v>
      </c>
      <c r="I1175" s="406">
        <f>ROUND(I1174*[161]Input!$D$48,2)</f>
        <v>252.8</v>
      </c>
      <c r="J1175" s="544"/>
      <c r="K1175" s="545"/>
      <c r="L1175" s="551"/>
      <c r="M1175" s="498"/>
      <c r="N1175" s="498"/>
      <c r="O1175" s="498"/>
      <c r="P1175" s="498"/>
      <c r="Q1175" s="559"/>
      <c r="R1175" s="559"/>
      <c r="S1175" s="559"/>
      <c r="T1175" s="559"/>
      <c r="U1175" s="559"/>
      <c r="V1175" s="559"/>
      <c r="W1175" s="559"/>
      <c r="X1175" s="559"/>
      <c r="Y1175" s="559"/>
      <c r="Z1175" s="559"/>
      <c r="AA1175" s="559"/>
      <c r="AB1175" s="559"/>
      <c r="AC1175" s="559"/>
      <c r="AD1175" s="559"/>
      <c r="AE1175" s="559"/>
      <c r="AF1175" s="559"/>
      <c r="AG1175" s="559"/>
      <c r="AH1175" s="559"/>
      <c r="AI1175" s="559"/>
      <c r="AJ1175" s="559"/>
      <c r="AK1175" s="559"/>
      <c r="AL1175" s="559"/>
      <c r="AM1175" s="559"/>
      <c r="AN1175" s="559"/>
      <c r="AO1175" s="559"/>
      <c r="AP1175" s="559"/>
      <c r="AQ1175" s="559"/>
      <c r="AR1175" s="559"/>
      <c r="AS1175" s="559"/>
      <c r="AT1175" s="559"/>
      <c r="AU1175" s="559"/>
      <c r="AV1175" s="559"/>
      <c r="AW1175" s="559"/>
      <c r="AX1175" s="559"/>
      <c r="AY1175" s="559"/>
      <c r="AZ1175" s="559"/>
      <c r="BA1175" s="559"/>
      <c r="BB1175" s="559"/>
      <c r="BC1175" s="559"/>
      <c r="BD1175" s="559"/>
      <c r="BE1175" s="559"/>
      <c r="BF1175" s="559"/>
      <c r="BG1175" s="559"/>
      <c r="BH1175" s="559"/>
      <c r="BI1175" s="559"/>
      <c r="BJ1175" s="559"/>
      <c r="BK1175" s="559"/>
      <c r="BL1175" s="559"/>
    </row>
    <row r="1176" spans="1:64" ht="13">
      <c r="A1176" s="426"/>
      <c r="B1176" s="426"/>
      <c r="C1176" s="427" t="s">
        <v>742</v>
      </c>
      <c r="D1176" s="409">
        <f t="shared" ref="D1176:I1176" si="227">SUM(D1174:D1175)</f>
        <v>1821.4307200000001</v>
      </c>
      <c r="E1176" s="409">
        <f t="shared" si="227"/>
        <v>1903.1737625000001</v>
      </c>
      <c r="F1176" s="409">
        <f t="shared" si="227"/>
        <v>1954.7658827500004</v>
      </c>
      <c r="G1176" s="409">
        <f t="shared" si="227"/>
        <v>2006.3580030000001</v>
      </c>
      <c r="H1176" s="409">
        <f t="shared" si="227"/>
        <v>2057.9501232500002</v>
      </c>
      <c r="I1176" s="409">
        <f t="shared" si="227"/>
        <v>2109.5522435000003</v>
      </c>
      <c r="J1176" s="544"/>
      <c r="K1176" s="545"/>
      <c r="L1176" s="551"/>
      <c r="M1176" s="498"/>
      <c r="N1176" s="498"/>
      <c r="O1176" s="498"/>
      <c r="P1176" s="498"/>
      <c r="Q1176" s="559"/>
      <c r="R1176" s="559"/>
      <c r="S1176" s="559"/>
      <c r="T1176" s="559"/>
      <c r="U1176" s="559"/>
      <c r="V1176" s="559"/>
      <c r="W1176" s="559"/>
      <c r="X1176" s="559"/>
      <c r="Y1176" s="559"/>
      <c r="Z1176" s="559"/>
      <c r="AA1176" s="559"/>
      <c r="AB1176" s="559"/>
      <c r="AC1176" s="559"/>
      <c r="AD1176" s="559"/>
      <c r="AE1176" s="559"/>
      <c r="AF1176" s="559"/>
      <c r="AG1176" s="559"/>
      <c r="AH1176" s="559"/>
      <c r="AI1176" s="559"/>
      <c r="AJ1176" s="559"/>
      <c r="AK1176" s="559"/>
      <c r="AL1176" s="559"/>
      <c r="AM1176" s="559"/>
      <c r="AN1176" s="559"/>
      <c r="AO1176" s="559"/>
      <c r="AP1176" s="559"/>
      <c r="AQ1176" s="559"/>
      <c r="AR1176" s="559"/>
      <c r="AS1176" s="559"/>
      <c r="AT1176" s="559"/>
      <c r="AU1176" s="559"/>
      <c r="AV1176" s="559"/>
      <c r="AW1176" s="559"/>
      <c r="AX1176" s="559"/>
      <c r="AY1176" s="559"/>
      <c r="AZ1176" s="559"/>
      <c r="BA1176" s="559"/>
      <c r="BB1176" s="559"/>
      <c r="BC1176" s="559"/>
      <c r="BD1176" s="559"/>
      <c r="BE1176" s="559"/>
      <c r="BF1176" s="559"/>
      <c r="BG1176" s="559"/>
      <c r="BH1176" s="559"/>
      <c r="BI1176" s="559"/>
      <c r="BJ1176" s="559"/>
      <c r="BK1176" s="559"/>
      <c r="BL1176" s="559"/>
    </row>
    <row r="1177" spans="1:64" ht="13">
      <c r="A1177" s="426"/>
      <c r="B1177" s="426"/>
      <c r="C1177" s="514" t="s">
        <v>726</v>
      </c>
      <c r="D1177" s="416">
        <f t="shared" ref="D1177:I1177" si="228">ROUND(D1176,0)</f>
        <v>1821</v>
      </c>
      <c r="E1177" s="416">
        <f t="shared" si="228"/>
        <v>1903</v>
      </c>
      <c r="F1177" s="416">
        <f t="shared" si="228"/>
        <v>1955</v>
      </c>
      <c r="G1177" s="416">
        <f t="shared" si="228"/>
        <v>2006</v>
      </c>
      <c r="H1177" s="416">
        <f t="shared" si="228"/>
        <v>2058</v>
      </c>
      <c r="I1177" s="416">
        <f t="shared" si="228"/>
        <v>2110</v>
      </c>
      <c r="J1177" s="544"/>
      <c r="K1177" s="545"/>
      <c r="L1177" s="551"/>
      <c r="M1177" s="498"/>
      <c r="N1177" s="498"/>
      <c r="O1177" s="498"/>
      <c r="P1177" s="498"/>
      <c r="Q1177" s="559"/>
      <c r="R1177" s="559"/>
      <c r="S1177" s="559"/>
      <c r="T1177" s="559"/>
      <c r="U1177" s="559"/>
      <c r="V1177" s="559"/>
      <c r="W1177" s="559"/>
      <c r="X1177" s="559"/>
      <c r="Y1177" s="559"/>
      <c r="Z1177" s="559"/>
      <c r="AA1177" s="559"/>
      <c r="AB1177" s="559"/>
      <c r="AC1177" s="559"/>
      <c r="AD1177" s="559"/>
      <c r="AE1177" s="559"/>
      <c r="AF1177" s="559"/>
      <c r="AG1177" s="559"/>
      <c r="AH1177" s="559"/>
      <c r="AI1177" s="559"/>
      <c r="AJ1177" s="559"/>
      <c r="AK1177" s="559"/>
      <c r="AL1177" s="559"/>
      <c r="AM1177" s="559"/>
      <c r="AN1177" s="559"/>
      <c r="AO1177" s="559"/>
      <c r="AP1177" s="559"/>
      <c r="AQ1177" s="559"/>
      <c r="AR1177" s="559"/>
      <c r="AS1177" s="559"/>
      <c r="AT1177" s="559"/>
      <c r="AU1177" s="559"/>
      <c r="AV1177" s="559"/>
      <c r="AW1177" s="559"/>
      <c r="AX1177" s="559"/>
      <c r="AY1177" s="559"/>
      <c r="AZ1177" s="559"/>
      <c r="BA1177" s="559"/>
      <c r="BB1177" s="559"/>
      <c r="BC1177" s="559"/>
      <c r="BD1177" s="559"/>
      <c r="BE1177" s="559"/>
      <c r="BF1177" s="559"/>
      <c r="BG1177" s="559"/>
      <c r="BH1177" s="559"/>
      <c r="BI1177" s="559"/>
      <c r="BJ1177" s="559"/>
      <c r="BK1177" s="559"/>
      <c r="BL1177" s="559"/>
    </row>
    <row r="1178" spans="1:64" ht="13">
      <c r="A1178" s="426"/>
      <c r="B1178" s="426"/>
      <c r="C1178" s="550"/>
      <c r="D1178" s="416"/>
      <c r="E1178" s="416"/>
      <c r="F1178" s="416"/>
      <c r="G1178" s="416"/>
      <c r="H1178" s="416"/>
      <c r="I1178" s="414"/>
      <c r="J1178" s="544"/>
      <c r="K1178" s="545"/>
      <c r="L1178" s="551"/>
      <c r="M1178" s="498"/>
      <c r="N1178" s="498"/>
      <c r="O1178" s="498"/>
      <c r="P1178" s="498"/>
      <c r="Q1178" s="559"/>
      <c r="R1178" s="559"/>
      <c r="S1178" s="559"/>
      <c r="T1178" s="559"/>
      <c r="U1178" s="559"/>
      <c r="V1178" s="559"/>
      <c r="W1178" s="559"/>
      <c r="X1178" s="559"/>
      <c r="Y1178" s="559"/>
      <c r="Z1178" s="559"/>
      <c r="AA1178" s="559"/>
      <c r="AB1178" s="559"/>
      <c r="AC1178" s="559"/>
      <c r="AD1178" s="559"/>
      <c r="AE1178" s="559"/>
      <c r="AF1178" s="559"/>
      <c r="AG1178" s="559"/>
      <c r="AH1178" s="559"/>
      <c r="AI1178" s="559"/>
      <c r="AJ1178" s="559"/>
      <c r="AK1178" s="559"/>
      <c r="AL1178" s="559"/>
      <c r="AM1178" s="559"/>
      <c r="AN1178" s="559"/>
      <c r="AO1178" s="559"/>
      <c r="AP1178" s="559"/>
      <c r="AQ1178" s="559"/>
      <c r="AR1178" s="559"/>
      <c r="AS1178" s="559"/>
      <c r="AT1178" s="559"/>
      <c r="AU1178" s="559"/>
      <c r="AV1178" s="559"/>
      <c r="AW1178" s="559"/>
      <c r="AX1178" s="559"/>
      <c r="AY1178" s="559"/>
      <c r="AZ1178" s="559"/>
      <c r="BA1178" s="559"/>
      <c r="BB1178" s="559"/>
      <c r="BC1178" s="559"/>
      <c r="BD1178" s="559"/>
      <c r="BE1178" s="559"/>
      <c r="BF1178" s="559"/>
      <c r="BG1178" s="559"/>
      <c r="BH1178" s="559"/>
      <c r="BI1178" s="559"/>
      <c r="BJ1178" s="559"/>
      <c r="BK1178" s="559"/>
      <c r="BL1178" s="559"/>
    </row>
    <row r="1179" spans="1:64" ht="26">
      <c r="A1179" s="426"/>
      <c r="B1179" s="426"/>
      <c r="C1179" s="451" t="s">
        <v>1005</v>
      </c>
      <c r="D1179" s="492" t="s">
        <v>948</v>
      </c>
      <c r="E1179" s="492" t="s">
        <v>949</v>
      </c>
      <c r="F1179" s="492" t="s">
        <v>950</v>
      </c>
      <c r="G1179" s="416"/>
      <c r="H1179" s="416"/>
      <c r="I1179" s="414"/>
      <c r="J1179" s="544"/>
      <c r="K1179" s="545"/>
      <c r="L1179" s="551"/>
      <c r="M1179" s="498"/>
      <c r="N1179" s="498"/>
      <c r="O1179" s="498"/>
      <c r="P1179" s="498"/>
      <c r="Q1179" s="559"/>
      <c r="R1179" s="559"/>
      <c r="S1179" s="559"/>
      <c r="T1179" s="559"/>
      <c r="U1179" s="559"/>
      <c r="V1179" s="559"/>
      <c r="W1179" s="559"/>
      <c r="X1179" s="559"/>
      <c r="Y1179" s="559"/>
      <c r="Z1179" s="559"/>
      <c r="AA1179" s="559"/>
      <c r="AB1179" s="559"/>
      <c r="AC1179" s="559"/>
      <c r="AD1179" s="559"/>
      <c r="AE1179" s="559"/>
      <c r="AF1179" s="559"/>
      <c r="AG1179" s="559"/>
      <c r="AH1179" s="559"/>
      <c r="AI1179" s="559"/>
      <c r="AJ1179" s="559"/>
      <c r="AK1179" s="559"/>
      <c r="AL1179" s="559"/>
      <c r="AM1179" s="559"/>
      <c r="AN1179" s="559"/>
      <c r="AO1179" s="559"/>
      <c r="AP1179" s="559"/>
      <c r="AQ1179" s="559"/>
      <c r="AR1179" s="559"/>
      <c r="AS1179" s="559"/>
      <c r="AT1179" s="559"/>
      <c r="AU1179" s="559"/>
      <c r="AV1179" s="559"/>
      <c r="AW1179" s="559"/>
      <c r="AX1179" s="559"/>
      <c r="AY1179" s="559"/>
      <c r="AZ1179" s="559"/>
      <c r="BA1179" s="559"/>
      <c r="BB1179" s="559"/>
      <c r="BC1179" s="559"/>
      <c r="BD1179" s="559"/>
      <c r="BE1179" s="559"/>
      <c r="BF1179" s="559"/>
      <c r="BG1179" s="559"/>
      <c r="BH1179" s="559"/>
      <c r="BI1179" s="559"/>
      <c r="BJ1179" s="559"/>
      <c r="BK1179" s="559"/>
      <c r="BL1179" s="559"/>
    </row>
    <row r="1180" spans="1:64" ht="13">
      <c r="A1180" s="426"/>
      <c r="B1180" s="426"/>
      <c r="C1180" s="417" t="s">
        <v>954</v>
      </c>
      <c r="D1180" s="432">
        <f>$I$1466</f>
        <v>868.20272000000011</v>
      </c>
      <c r="E1180" s="432">
        <f>$I$1466</f>
        <v>868.20272000000011</v>
      </c>
      <c r="F1180" s="432">
        <f>$I$1466</f>
        <v>868.20272000000011</v>
      </c>
      <c r="G1180" s="416"/>
      <c r="H1180" s="416"/>
      <c r="I1180" s="414"/>
      <c r="J1180" s="544"/>
      <c r="K1180" s="545"/>
      <c r="L1180" s="551"/>
      <c r="M1180" s="498"/>
      <c r="N1180" s="498"/>
      <c r="O1180" s="498"/>
      <c r="P1180" s="498"/>
      <c r="Q1180" s="559"/>
      <c r="R1180" s="559"/>
      <c r="S1180" s="559"/>
      <c r="T1180" s="559"/>
      <c r="U1180" s="559"/>
      <c r="V1180" s="559"/>
      <c r="W1180" s="559"/>
      <c r="X1180" s="559"/>
      <c r="Y1180" s="559"/>
      <c r="Z1180" s="559"/>
      <c r="AA1180" s="559"/>
      <c r="AB1180" s="559"/>
      <c r="AC1180" s="559"/>
      <c r="AD1180" s="559"/>
      <c r="AE1180" s="559"/>
      <c r="AF1180" s="559"/>
      <c r="AG1180" s="559"/>
      <c r="AH1180" s="559"/>
      <c r="AI1180" s="559"/>
      <c r="AJ1180" s="559"/>
      <c r="AK1180" s="559"/>
      <c r="AL1180" s="559"/>
      <c r="AM1180" s="559"/>
      <c r="AN1180" s="559"/>
      <c r="AO1180" s="559"/>
      <c r="AP1180" s="559"/>
      <c r="AQ1180" s="559"/>
      <c r="AR1180" s="559"/>
      <c r="AS1180" s="559"/>
      <c r="AT1180" s="559"/>
      <c r="AU1180" s="559"/>
      <c r="AV1180" s="559"/>
      <c r="AW1180" s="559"/>
      <c r="AX1180" s="559"/>
      <c r="AY1180" s="559"/>
      <c r="AZ1180" s="559"/>
      <c r="BA1180" s="559"/>
      <c r="BB1180" s="559"/>
      <c r="BC1180" s="559"/>
      <c r="BD1180" s="559"/>
      <c r="BE1180" s="559"/>
      <c r="BF1180" s="559"/>
      <c r="BG1180" s="559"/>
      <c r="BH1180" s="559"/>
      <c r="BI1180" s="559"/>
      <c r="BJ1180" s="559"/>
      <c r="BK1180" s="559"/>
      <c r="BL1180" s="559"/>
    </row>
    <row r="1181" spans="1:64" ht="13">
      <c r="A1181" s="426"/>
      <c r="B1181" s="426"/>
      <c r="C1181" s="417" t="s">
        <v>921</v>
      </c>
      <c r="D1181" s="432">
        <f>'[161]Civil-SOR'!$F$269+('[161]Civil-SOR'!$F$269*16.66%)</f>
        <v>310.31560000000002</v>
      </c>
      <c r="E1181" s="432">
        <f>'[161]Civil-SOR'!$F$269+('[161]Civil-SOR'!$F$269*16.66%)</f>
        <v>310.31560000000002</v>
      </c>
      <c r="F1181" s="432">
        <f>'[161]Civil-SOR'!$F$269+('[161]Civil-SOR'!$F$269*16.66%)</f>
        <v>310.31560000000002</v>
      </c>
      <c r="G1181" s="416"/>
      <c r="H1181" s="416"/>
      <c r="I1181" s="414"/>
      <c r="J1181" s="544"/>
      <c r="K1181" s="545"/>
      <c r="L1181" s="551"/>
      <c r="M1181" s="498"/>
      <c r="N1181" s="498"/>
      <c r="O1181" s="498"/>
      <c r="P1181" s="498"/>
      <c r="Q1181" s="559"/>
      <c r="R1181" s="559"/>
      <c r="S1181" s="559"/>
      <c r="T1181" s="559"/>
      <c r="U1181" s="559"/>
      <c r="V1181" s="559"/>
      <c r="W1181" s="559"/>
      <c r="X1181" s="559"/>
      <c r="Y1181" s="559"/>
      <c r="Z1181" s="559"/>
      <c r="AA1181" s="559"/>
      <c r="AB1181" s="559"/>
      <c r="AC1181" s="559"/>
      <c r="AD1181" s="559"/>
      <c r="AE1181" s="559"/>
      <c r="AF1181" s="559"/>
      <c r="AG1181" s="559"/>
      <c r="AH1181" s="559"/>
      <c r="AI1181" s="559"/>
      <c r="AJ1181" s="559"/>
      <c r="AK1181" s="559"/>
      <c r="AL1181" s="559"/>
      <c r="AM1181" s="559"/>
      <c r="AN1181" s="559"/>
      <c r="AO1181" s="559"/>
      <c r="AP1181" s="559"/>
      <c r="AQ1181" s="559"/>
      <c r="AR1181" s="559"/>
      <c r="AS1181" s="559"/>
      <c r="AT1181" s="559"/>
      <c r="AU1181" s="559"/>
      <c r="AV1181" s="559"/>
      <c r="AW1181" s="559"/>
      <c r="AX1181" s="559"/>
      <c r="AY1181" s="559"/>
      <c r="AZ1181" s="559"/>
      <c r="BA1181" s="559"/>
      <c r="BB1181" s="559"/>
      <c r="BC1181" s="559"/>
      <c r="BD1181" s="559"/>
      <c r="BE1181" s="559"/>
      <c r="BF1181" s="559"/>
      <c r="BG1181" s="559"/>
      <c r="BH1181" s="559"/>
      <c r="BI1181" s="559"/>
      <c r="BJ1181" s="559"/>
      <c r="BK1181" s="559"/>
      <c r="BL1181" s="559"/>
    </row>
    <row r="1182" spans="1:64" ht="13">
      <c r="A1182" s="426"/>
      <c r="B1182" s="426"/>
      <c r="C1182" s="417" t="s">
        <v>1001</v>
      </c>
      <c r="D1182" s="459">
        <f>'[161]Civil-SOR'!$M$269+('[161]Civil-SOR'!$M$269*16.66%)</f>
        <v>485.30560000000003</v>
      </c>
      <c r="E1182" s="459">
        <f>'[161]Civil-SOR'!$N$269+('[161]Civil-SOR'!$N$269*16.66%)</f>
        <v>515.63720000000001</v>
      </c>
      <c r="F1182" s="459">
        <f>'[161]Civil-SOR'!$O$269+('[161]Civil-SOR'!$O$269*16.66%)</f>
        <v>545.96879999999999</v>
      </c>
      <c r="G1182" s="416"/>
      <c r="H1182" s="416"/>
      <c r="I1182" s="414"/>
      <c r="J1182" s="544"/>
      <c r="K1182" s="545"/>
      <c r="L1182" s="551"/>
      <c r="M1182" s="498"/>
      <c r="N1182" s="498"/>
      <c r="O1182" s="498"/>
      <c r="P1182" s="498"/>
      <c r="Q1182" s="559"/>
      <c r="R1182" s="559"/>
      <c r="S1182" s="559"/>
      <c r="T1182" s="559"/>
      <c r="U1182" s="559"/>
      <c r="V1182" s="559"/>
      <c r="W1182" s="559"/>
      <c r="X1182" s="559"/>
      <c r="Y1182" s="559"/>
      <c r="Z1182" s="559"/>
      <c r="AA1182" s="559"/>
      <c r="AB1182" s="559"/>
      <c r="AC1182" s="559"/>
      <c r="AD1182" s="559"/>
      <c r="AE1182" s="559"/>
      <c r="AF1182" s="559"/>
      <c r="AG1182" s="559"/>
      <c r="AH1182" s="559"/>
      <c r="AI1182" s="559"/>
      <c r="AJ1182" s="559"/>
      <c r="AK1182" s="559"/>
      <c r="AL1182" s="559"/>
      <c r="AM1182" s="559"/>
      <c r="AN1182" s="559"/>
      <c r="AO1182" s="559"/>
      <c r="AP1182" s="559"/>
      <c r="AQ1182" s="559"/>
      <c r="AR1182" s="559"/>
      <c r="AS1182" s="559"/>
      <c r="AT1182" s="559"/>
      <c r="AU1182" s="559"/>
      <c r="AV1182" s="559"/>
      <c r="AW1182" s="559"/>
      <c r="AX1182" s="559"/>
      <c r="AY1182" s="559"/>
      <c r="AZ1182" s="559"/>
      <c r="BA1182" s="559"/>
      <c r="BB1182" s="559"/>
      <c r="BC1182" s="559"/>
      <c r="BD1182" s="559"/>
      <c r="BE1182" s="559"/>
      <c r="BF1182" s="559"/>
      <c r="BG1182" s="559"/>
      <c r="BH1182" s="559"/>
      <c r="BI1182" s="559"/>
      <c r="BJ1182" s="559"/>
      <c r="BK1182" s="559"/>
      <c r="BL1182" s="559"/>
    </row>
    <row r="1183" spans="1:64" ht="13">
      <c r="A1183" s="426"/>
      <c r="B1183" s="426"/>
      <c r="C1183" s="417" t="str">
        <f>[161]Input!$C$47</f>
        <v>Add for MA @ 40%</v>
      </c>
      <c r="D1183" s="432">
        <f>D1182*[161]Input!$D$47</f>
        <v>194.12224000000003</v>
      </c>
      <c r="E1183" s="432">
        <f>E1182*[161]Input!$D$47</f>
        <v>206.25488000000001</v>
      </c>
      <c r="F1183" s="432">
        <f>F1182*[161]Input!$D$47</f>
        <v>218.38751999999999</v>
      </c>
      <c r="G1183" s="416"/>
      <c r="H1183" s="416"/>
      <c r="I1183" s="414"/>
      <c r="J1183" s="544"/>
      <c r="K1183" s="545"/>
      <c r="L1183" s="551"/>
      <c r="M1183" s="498"/>
      <c r="N1183" s="498"/>
      <c r="O1183" s="498"/>
      <c r="P1183" s="498"/>
      <c r="Q1183" s="559"/>
      <c r="R1183" s="559"/>
      <c r="S1183" s="559"/>
      <c r="T1183" s="559"/>
      <c r="U1183" s="559"/>
      <c r="V1183" s="559"/>
      <c r="W1183" s="559"/>
      <c r="X1183" s="559"/>
      <c r="Y1183" s="559"/>
      <c r="Z1183" s="559"/>
      <c r="AA1183" s="559"/>
      <c r="AB1183" s="559"/>
      <c r="AC1183" s="559"/>
      <c r="AD1183" s="559"/>
      <c r="AE1183" s="559"/>
      <c r="AF1183" s="559"/>
      <c r="AG1183" s="559"/>
      <c r="AH1183" s="559"/>
      <c r="AI1183" s="559"/>
      <c r="AJ1183" s="559"/>
      <c r="AK1183" s="559"/>
      <c r="AL1183" s="559"/>
      <c r="AM1183" s="559"/>
      <c r="AN1183" s="559"/>
      <c r="AO1183" s="559"/>
      <c r="AP1183" s="559"/>
      <c r="AQ1183" s="559"/>
      <c r="AR1183" s="559"/>
      <c r="AS1183" s="559"/>
      <c r="AT1183" s="559"/>
      <c r="AU1183" s="559"/>
      <c r="AV1183" s="559"/>
      <c r="AW1183" s="559"/>
      <c r="AX1183" s="559"/>
      <c r="AY1183" s="559"/>
      <c r="AZ1183" s="559"/>
      <c r="BA1183" s="559"/>
      <c r="BB1183" s="559"/>
      <c r="BC1183" s="559"/>
      <c r="BD1183" s="559"/>
      <c r="BE1183" s="559"/>
      <c r="BF1183" s="559"/>
      <c r="BG1183" s="559"/>
      <c r="BH1183" s="559"/>
      <c r="BI1183" s="559"/>
      <c r="BJ1183" s="559"/>
      <c r="BK1183" s="559"/>
      <c r="BL1183" s="559"/>
    </row>
    <row r="1184" spans="1:64" ht="25">
      <c r="A1184" s="426"/>
      <c r="B1184" s="426"/>
      <c r="C1184" s="417" t="s">
        <v>995</v>
      </c>
      <c r="D1184" s="432">
        <f t="shared" ref="D1184:D1185" si="229">E1171*1.5</f>
        <v>18.958668750000005</v>
      </c>
      <c r="E1184" s="432">
        <f t="shared" ref="E1184:E1185" si="230">E1171*1.6</f>
        <v>20.222580000000008</v>
      </c>
      <c r="F1184" s="432">
        <f t="shared" ref="F1184:F1185" si="231">E1171*1.7</f>
        <v>21.486491250000004</v>
      </c>
      <c r="G1184" s="416"/>
      <c r="H1184" s="416"/>
      <c r="I1184" s="414"/>
      <c r="J1184" s="544"/>
      <c r="K1184" s="545"/>
      <c r="L1184" s="551"/>
      <c r="M1184" s="498"/>
      <c r="N1184" s="498"/>
      <c r="O1184" s="498"/>
      <c r="P1184" s="498"/>
      <c r="Q1184" s="559"/>
      <c r="R1184" s="559"/>
      <c r="S1184" s="559"/>
      <c r="T1184" s="559"/>
      <c r="U1184" s="559"/>
      <c r="V1184" s="559"/>
      <c r="W1184" s="559"/>
      <c r="X1184" s="559"/>
      <c r="Y1184" s="559"/>
      <c r="Z1184" s="559"/>
      <c r="AA1184" s="559"/>
      <c r="AB1184" s="559"/>
      <c r="AC1184" s="559"/>
      <c r="AD1184" s="559"/>
      <c r="AE1184" s="559"/>
      <c r="AF1184" s="559"/>
      <c r="AG1184" s="559"/>
      <c r="AH1184" s="559"/>
      <c r="AI1184" s="559"/>
      <c r="AJ1184" s="559"/>
      <c r="AK1184" s="559"/>
      <c r="AL1184" s="559"/>
      <c r="AM1184" s="559"/>
      <c r="AN1184" s="559"/>
      <c r="AO1184" s="559"/>
      <c r="AP1184" s="559"/>
      <c r="AQ1184" s="559"/>
      <c r="AR1184" s="559"/>
      <c r="AS1184" s="559"/>
      <c r="AT1184" s="559"/>
      <c r="AU1184" s="559"/>
      <c r="AV1184" s="559"/>
      <c r="AW1184" s="559"/>
      <c r="AX1184" s="559"/>
      <c r="AY1184" s="559"/>
      <c r="AZ1184" s="559"/>
      <c r="BA1184" s="559"/>
      <c r="BB1184" s="559"/>
      <c r="BC1184" s="559"/>
      <c r="BD1184" s="559"/>
      <c r="BE1184" s="559"/>
      <c r="BF1184" s="559"/>
      <c r="BG1184" s="559"/>
      <c r="BH1184" s="559"/>
      <c r="BI1184" s="559"/>
      <c r="BJ1184" s="559"/>
      <c r="BK1184" s="559"/>
      <c r="BL1184" s="559"/>
    </row>
    <row r="1185" spans="1:64" ht="13">
      <c r="A1185" s="426"/>
      <c r="B1185" s="426"/>
      <c r="C1185" s="417" t="s">
        <v>828</v>
      </c>
      <c r="D1185" s="432">
        <f t="shared" si="229"/>
        <v>18.042524999999998</v>
      </c>
      <c r="E1185" s="432">
        <f t="shared" si="230"/>
        <v>19.245360000000002</v>
      </c>
      <c r="F1185" s="432">
        <f t="shared" si="231"/>
        <v>20.448194999999998</v>
      </c>
      <c r="G1185" s="416"/>
      <c r="H1185" s="416"/>
      <c r="I1185" s="414"/>
      <c r="J1185" s="544"/>
      <c r="K1185" s="545"/>
      <c r="L1185" s="551"/>
      <c r="M1185" s="498"/>
      <c r="N1185" s="498"/>
      <c r="O1185" s="498"/>
      <c r="P1185" s="498"/>
      <c r="Q1185" s="554"/>
      <c r="R1185" s="554"/>
      <c r="S1185" s="554"/>
      <c r="T1185" s="554"/>
      <c r="U1185" s="554"/>
      <c r="V1185" s="554"/>
      <c r="W1185" s="554"/>
      <c r="X1185" s="554"/>
      <c r="Y1185" s="554"/>
      <c r="Z1185" s="554"/>
      <c r="AA1185" s="554"/>
      <c r="AB1185" s="554"/>
      <c r="AC1185" s="554"/>
      <c r="AD1185" s="554"/>
      <c r="AE1185" s="554"/>
      <c r="AF1185" s="554"/>
      <c r="AG1185" s="554"/>
      <c r="AH1185" s="554"/>
      <c r="AI1185" s="554"/>
      <c r="AJ1185" s="554"/>
      <c r="AK1185" s="554"/>
      <c r="AL1185" s="554"/>
      <c r="AM1185" s="554"/>
      <c r="AN1185" s="554"/>
      <c r="AO1185" s="554"/>
      <c r="AP1185" s="554"/>
      <c r="AQ1185" s="554"/>
      <c r="AR1185" s="554"/>
      <c r="AS1185" s="554"/>
      <c r="AT1185" s="554"/>
      <c r="AU1185" s="554"/>
      <c r="AV1185" s="554"/>
      <c r="AW1185" s="554"/>
      <c r="AX1185" s="554"/>
      <c r="AY1185" s="554"/>
      <c r="AZ1185" s="554"/>
      <c r="BA1185" s="554"/>
      <c r="BB1185" s="554"/>
      <c r="BC1185" s="554"/>
      <c r="BD1185" s="554"/>
      <c r="BE1185" s="554"/>
      <c r="BF1185" s="554"/>
      <c r="BG1185" s="554"/>
      <c r="BH1185" s="554"/>
      <c r="BI1185" s="554"/>
      <c r="BJ1185" s="554"/>
      <c r="BK1185" s="554"/>
      <c r="BL1185" s="554"/>
    </row>
    <row r="1186" spans="1:64" ht="13">
      <c r="A1186" s="426"/>
      <c r="B1186" s="426"/>
      <c r="C1186" s="417" t="str">
        <f>[161]Input!$C$47</f>
        <v>Add for MA @ 40%</v>
      </c>
      <c r="D1186" s="432">
        <f>D1185*[161]Input!$D$47</f>
        <v>7.2170099999999993</v>
      </c>
      <c r="E1186" s="432">
        <f>E1185*[161]Input!$D$47</f>
        <v>7.698144000000001</v>
      </c>
      <c r="F1186" s="432">
        <f>F1185*[161]Input!$D$47</f>
        <v>8.179278</v>
      </c>
      <c r="G1186" s="416"/>
      <c r="H1186" s="416"/>
      <c r="I1186" s="414"/>
      <c r="J1186" s="544"/>
      <c r="K1186" s="545"/>
      <c r="L1186" s="551"/>
      <c r="M1186" s="498"/>
      <c r="N1186" s="498"/>
      <c r="O1186" s="498"/>
      <c r="P1186" s="498"/>
      <c r="Q1186" s="554"/>
      <c r="R1186" s="554"/>
      <c r="S1186" s="554"/>
      <c r="T1186" s="554"/>
      <c r="U1186" s="554"/>
      <c r="V1186" s="554"/>
      <c r="W1186" s="554"/>
      <c r="X1186" s="554"/>
      <c r="Y1186" s="554"/>
      <c r="Z1186" s="554"/>
      <c r="AA1186" s="554"/>
      <c r="AB1186" s="554"/>
      <c r="AC1186" s="554"/>
      <c r="AD1186" s="554"/>
      <c r="AE1186" s="554"/>
      <c r="AF1186" s="554"/>
      <c r="AG1186" s="554"/>
      <c r="AH1186" s="554"/>
      <c r="AI1186" s="554"/>
      <c r="AJ1186" s="554"/>
      <c r="AK1186" s="554"/>
      <c r="AL1186" s="554"/>
      <c r="AM1186" s="554"/>
      <c r="AN1186" s="554"/>
      <c r="AO1186" s="554"/>
      <c r="AP1186" s="554"/>
      <c r="AQ1186" s="554"/>
      <c r="AR1186" s="554"/>
      <c r="AS1186" s="554"/>
      <c r="AT1186" s="554"/>
      <c r="AU1186" s="554"/>
      <c r="AV1186" s="554"/>
      <c r="AW1186" s="554"/>
      <c r="AX1186" s="554"/>
      <c r="AY1186" s="554"/>
      <c r="AZ1186" s="554"/>
      <c r="BA1186" s="554"/>
      <c r="BB1186" s="554"/>
      <c r="BC1186" s="554"/>
      <c r="BD1186" s="554"/>
      <c r="BE1186" s="554"/>
      <c r="BF1186" s="554"/>
      <c r="BG1186" s="554"/>
      <c r="BH1186" s="554"/>
      <c r="BI1186" s="554"/>
      <c r="BJ1186" s="554"/>
      <c r="BK1186" s="554"/>
      <c r="BL1186" s="554"/>
    </row>
    <row r="1187" spans="1:64" ht="13">
      <c r="A1187" s="426"/>
      <c r="B1187" s="426"/>
      <c r="C1187" s="427" t="s">
        <v>742</v>
      </c>
      <c r="D1187" s="432">
        <f>SUM(D1180:D1186)</f>
        <v>1902.1643637500006</v>
      </c>
      <c r="E1187" s="432">
        <f>SUM(E1180:E1186)</f>
        <v>1947.5764840000002</v>
      </c>
      <c r="F1187" s="432">
        <f>SUM(F1180:F1186)</f>
        <v>1992.9886042500002</v>
      </c>
      <c r="G1187" s="416"/>
      <c r="H1187" s="416"/>
      <c r="I1187" s="414"/>
      <c r="J1187" s="544"/>
      <c r="K1187" s="545"/>
      <c r="L1187" s="551"/>
      <c r="M1187" s="498"/>
      <c r="N1187" s="498"/>
      <c r="O1187" s="498"/>
      <c r="P1187" s="498"/>
    </row>
    <row r="1188" spans="1:64" ht="25">
      <c r="A1188" s="426"/>
      <c r="B1188" s="426"/>
      <c r="C1188" s="417" t="str">
        <f>[161]Input!$C$48</f>
        <v>Overheads &amp; Contractors Profit @ 13.615%</v>
      </c>
      <c r="D1188" s="406">
        <f>ROUND(D1187*[161]Input!$D$48,2)</f>
        <v>258.98</v>
      </c>
      <c r="E1188" s="406">
        <f>ROUND(E1187*[161]Input!$D$48,2)</f>
        <v>265.16000000000003</v>
      </c>
      <c r="F1188" s="406">
        <f>ROUND(F1187*[161]Input!$D$48,2)</f>
        <v>271.35000000000002</v>
      </c>
      <c r="G1188" s="416"/>
      <c r="H1188" s="416"/>
      <c r="I1188" s="414"/>
      <c r="J1188" s="544"/>
      <c r="K1188" s="545"/>
      <c r="L1188" s="551"/>
      <c r="M1188" s="498"/>
      <c r="N1188" s="498"/>
      <c r="O1188" s="498"/>
      <c r="P1188" s="498"/>
    </row>
    <row r="1189" spans="1:64" ht="13">
      <c r="A1189" s="426"/>
      <c r="B1189" s="426"/>
      <c r="C1189" s="427" t="s">
        <v>742</v>
      </c>
      <c r="D1189" s="409">
        <f>SUM(D1187:D1188)</f>
        <v>2161.1443637500006</v>
      </c>
      <c r="E1189" s="409">
        <f>SUM(E1187:E1188)</f>
        <v>2212.736484</v>
      </c>
      <c r="F1189" s="409">
        <f>SUM(F1187:F1188)</f>
        <v>2264.3386042500001</v>
      </c>
      <c r="G1189" s="416"/>
      <c r="H1189" s="416"/>
      <c r="I1189" s="414"/>
      <c r="J1189" s="544"/>
      <c r="K1189" s="545"/>
      <c r="L1189" s="551"/>
      <c r="M1189" s="498"/>
      <c r="N1189" s="498"/>
      <c r="O1189" s="498"/>
      <c r="P1189" s="498"/>
    </row>
    <row r="1190" spans="1:64" ht="13">
      <c r="A1190" s="426"/>
      <c r="B1190" s="426"/>
      <c r="C1190" s="514" t="s">
        <v>726</v>
      </c>
      <c r="D1190" s="416">
        <f>ROUND(D1189,0)</f>
        <v>2161</v>
      </c>
      <c r="E1190" s="416">
        <f>ROUND(E1189,0)</f>
        <v>2213</v>
      </c>
      <c r="F1190" s="416">
        <f>ROUND(F1189,0)</f>
        <v>2264</v>
      </c>
      <c r="G1190" s="416"/>
      <c r="H1190" s="416"/>
      <c r="I1190" s="414"/>
      <c r="J1190" s="544"/>
      <c r="K1190" s="545"/>
      <c r="L1190" s="551"/>
      <c r="M1190" s="498"/>
      <c r="N1190" s="498"/>
      <c r="O1190" s="498"/>
      <c r="P1190" s="498"/>
    </row>
    <row r="1191" spans="1:64" ht="13">
      <c r="A1191" s="426"/>
      <c r="B1191" s="426"/>
      <c r="C1191" s="514"/>
      <c r="D1191" s="416"/>
      <c r="E1191" s="416"/>
      <c r="F1191" s="416"/>
      <c r="G1191" s="416"/>
      <c r="H1191" s="416"/>
      <c r="I1191" s="414"/>
      <c r="J1191" s="544"/>
      <c r="K1191" s="545"/>
      <c r="L1191" s="551"/>
      <c r="M1191" s="498"/>
      <c r="N1191" s="498"/>
      <c r="O1191" s="498"/>
      <c r="P1191" s="498"/>
    </row>
    <row r="1192" spans="1:64" ht="13">
      <c r="A1192" s="426"/>
      <c r="B1192" s="474" t="s">
        <v>730</v>
      </c>
      <c r="C1192" s="451" t="s">
        <v>1006</v>
      </c>
      <c r="D1192" s="426"/>
      <c r="E1192" s="426"/>
      <c r="F1192" s="426"/>
      <c r="G1192" s="410"/>
      <c r="H1192" s="474"/>
      <c r="I1192" s="434"/>
      <c r="J1192" s="472"/>
      <c r="K1192" s="497"/>
      <c r="L1192" s="497"/>
      <c r="M1192" s="498"/>
      <c r="N1192" s="498"/>
      <c r="O1192" s="498"/>
      <c r="P1192" s="498"/>
    </row>
    <row r="1193" spans="1:64" ht="13">
      <c r="A1193" s="426"/>
      <c r="B1193" s="426"/>
      <c r="C1193" s="417" t="s">
        <v>920</v>
      </c>
      <c r="D1193" s="409">
        <v>0.15</v>
      </c>
      <c r="E1193" s="426" t="s">
        <v>57</v>
      </c>
      <c r="F1193" s="409">
        <f>$I$1033</f>
        <v>6945.6217600000009</v>
      </c>
      <c r="G1193" s="410">
        <v>1</v>
      </c>
      <c r="H1193" s="426" t="s">
        <v>57</v>
      </c>
      <c r="I1193" s="414">
        <f>IF(G1193="",D1193*F1193,(D1193*F1193/G1193))</f>
        <v>1041.8432640000001</v>
      </c>
      <c r="J1193" s="472"/>
      <c r="K1193" s="497"/>
      <c r="L1193" s="497"/>
      <c r="M1193" s="498"/>
      <c r="N1193" s="498"/>
      <c r="O1193" s="498"/>
      <c r="P1193" s="498"/>
    </row>
    <row r="1194" spans="1:64" ht="13">
      <c r="A1194" s="426"/>
      <c r="B1194" s="426"/>
      <c r="C1194" s="417"/>
      <c r="D1194" s="409"/>
      <c r="E1194" s="426"/>
      <c r="F1194" s="409"/>
      <c r="G1194" s="410"/>
      <c r="H1194" s="426"/>
      <c r="I1194" s="414"/>
      <c r="J1194" s="472"/>
      <c r="K1194" s="497"/>
      <c r="L1194" s="497"/>
      <c r="M1194" s="498"/>
      <c r="N1194" s="498"/>
      <c r="O1194" s="498"/>
      <c r="P1194" s="498"/>
    </row>
    <row r="1195" spans="1:64" ht="14.65" customHeight="1">
      <c r="A1195" s="426"/>
      <c r="B1195" s="426"/>
      <c r="C1195" s="1294" t="s">
        <v>1007</v>
      </c>
      <c r="D1195" s="1294"/>
      <c r="E1195" s="1294"/>
      <c r="F1195" s="416"/>
      <c r="G1195" s="416"/>
      <c r="H1195" s="416"/>
      <c r="I1195" s="414"/>
      <c r="J1195" s="472"/>
      <c r="K1195" s="497"/>
      <c r="L1195" s="497"/>
      <c r="M1195" s="498"/>
      <c r="N1195" s="498"/>
      <c r="O1195" s="498"/>
      <c r="P1195" s="498"/>
    </row>
    <row r="1196" spans="1:64" ht="13">
      <c r="A1196" s="426"/>
      <c r="B1196" s="474" t="s">
        <v>951</v>
      </c>
      <c r="C1196" s="558" t="s">
        <v>992</v>
      </c>
      <c r="D1196" s="426"/>
      <c r="E1196" s="426"/>
      <c r="F1196" s="426"/>
      <c r="G1196" s="410"/>
      <c r="H1196" s="426"/>
      <c r="I1196" s="434"/>
      <c r="J1196" s="472"/>
      <c r="K1196" s="497"/>
      <c r="L1196" s="497"/>
      <c r="M1196" s="498"/>
      <c r="N1196" s="498"/>
      <c r="O1196" s="498"/>
      <c r="P1196" s="498"/>
    </row>
    <row r="1197" spans="1:64" ht="13">
      <c r="A1197" s="426"/>
      <c r="B1197" s="406"/>
      <c r="C1197" s="427" t="s">
        <v>953</v>
      </c>
      <c r="D1197" s="461" t="s">
        <v>959</v>
      </c>
      <c r="E1197" s="407" t="s">
        <v>943</v>
      </c>
      <c r="F1197" s="436" t="s">
        <v>944</v>
      </c>
      <c r="G1197" s="436" t="s">
        <v>945</v>
      </c>
      <c r="H1197" s="436" t="s">
        <v>946</v>
      </c>
      <c r="I1197" s="436" t="s">
        <v>947</v>
      </c>
      <c r="J1197" s="472"/>
      <c r="K1197" s="497"/>
      <c r="L1197" s="497"/>
      <c r="M1197" s="498"/>
      <c r="N1197" s="498"/>
      <c r="O1197" s="498"/>
      <c r="P1197" s="498"/>
    </row>
    <row r="1198" spans="1:64">
      <c r="A1198" s="426"/>
      <c r="B1198" s="406"/>
      <c r="C1198" s="417" t="s">
        <v>954</v>
      </c>
      <c r="D1198" s="432">
        <f t="shared" ref="D1198:I1198" si="232">+$I$1193</f>
        <v>1041.8432640000001</v>
      </c>
      <c r="E1198" s="432">
        <f t="shared" si="232"/>
        <v>1041.8432640000001</v>
      </c>
      <c r="F1198" s="432">
        <f t="shared" si="232"/>
        <v>1041.8432640000001</v>
      </c>
      <c r="G1198" s="432">
        <f t="shared" si="232"/>
        <v>1041.8432640000001</v>
      </c>
      <c r="H1198" s="432">
        <f t="shared" si="232"/>
        <v>1041.8432640000001</v>
      </c>
      <c r="I1198" s="432">
        <f t="shared" si="232"/>
        <v>1041.8432640000001</v>
      </c>
      <c r="J1198" s="472"/>
      <c r="K1198" s="497"/>
      <c r="L1198" s="497"/>
      <c r="M1198" s="498"/>
      <c r="N1198" s="498"/>
      <c r="O1198" s="498"/>
      <c r="P1198" s="498"/>
    </row>
    <row r="1199" spans="1:64">
      <c r="A1199" s="426"/>
      <c r="B1199" s="406"/>
      <c r="C1199" s="417" t="s">
        <v>921</v>
      </c>
      <c r="D1199" s="409">
        <f>'[161]Civil-SOR'!$F$269</f>
        <v>266</v>
      </c>
      <c r="E1199" s="409">
        <f>'[161]Civil-SOR'!$F$269</f>
        <v>266</v>
      </c>
      <c r="F1199" s="409">
        <f>'[161]Civil-SOR'!$F$269</f>
        <v>266</v>
      </c>
      <c r="G1199" s="409">
        <f>'[161]Civil-SOR'!$F$269</f>
        <v>266</v>
      </c>
      <c r="H1199" s="409">
        <f>'[161]Civil-SOR'!$F$269</f>
        <v>266</v>
      </c>
      <c r="I1199" s="409">
        <f>'[161]Civil-SOR'!$F$269</f>
        <v>266</v>
      </c>
      <c r="J1199" s="472"/>
      <c r="K1199" s="497"/>
      <c r="L1199" s="497"/>
      <c r="M1199" s="498"/>
      <c r="N1199" s="498"/>
      <c r="O1199" s="498"/>
      <c r="P1199" s="498"/>
    </row>
    <row r="1200" spans="1:64">
      <c r="A1200" s="426"/>
      <c r="B1200" s="406"/>
      <c r="C1200" s="417" t="s">
        <v>1001</v>
      </c>
      <c r="D1200" s="408">
        <f>'[161]Civil-SOR'!$G$269</f>
        <v>260</v>
      </c>
      <c r="E1200" s="408">
        <f>'[161]Civil-SOR'!$H$269</f>
        <v>286</v>
      </c>
      <c r="F1200" s="408">
        <f>'[161]Civil-SOR'!$I$269</f>
        <v>312</v>
      </c>
      <c r="G1200" s="408">
        <f>'[161]Civil-SOR'!$J$269</f>
        <v>338</v>
      </c>
      <c r="H1200" s="408">
        <f>'[161]Civil-SOR'!$K$269</f>
        <v>364</v>
      </c>
      <c r="I1200" s="408">
        <f>'[161]Civil-SOR'!$L$269</f>
        <v>390</v>
      </c>
      <c r="J1200" s="472"/>
      <c r="K1200" s="497"/>
      <c r="L1200" s="497"/>
      <c r="M1200" s="498"/>
      <c r="N1200" s="498"/>
      <c r="O1200" s="498"/>
      <c r="P1200" s="498"/>
    </row>
    <row r="1201" spans="1:16">
      <c r="A1201" s="426"/>
      <c r="B1201" s="406"/>
      <c r="C1201" s="417" t="str">
        <f>[161]Input!$C$47</f>
        <v>Add for MA @ 40%</v>
      </c>
      <c r="D1201" s="432">
        <f>D1200*[161]Input!$D$47</f>
        <v>104</v>
      </c>
      <c r="E1201" s="432">
        <f>E1200*[161]Input!$D$47</f>
        <v>114.4</v>
      </c>
      <c r="F1201" s="432">
        <f>F1200*[161]Input!$D$47</f>
        <v>124.80000000000001</v>
      </c>
      <c r="G1201" s="432">
        <f>G1200*[161]Input!$D$47</f>
        <v>135.20000000000002</v>
      </c>
      <c r="H1201" s="432">
        <f>H1200*[161]Input!$D$47</f>
        <v>145.6</v>
      </c>
      <c r="I1201" s="432">
        <f>I1200*[161]Input!$D$47</f>
        <v>156</v>
      </c>
      <c r="J1201" s="472"/>
      <c r="K1201" s="497"/>
      <c r="L1201" s="497"/>
      <c r="M1201" s="498"/>
      <c r="N1201" s="498"/>
      <c r="O1201" s="498"/>
      <c r="P1201" s="498"/>
    </row>
    <row r="1202" spans="1:16">
      <c r="A1202" s="426"/>
      <c r="B1202" s="406"/>
      <c r="C1202" s="417" t="s">
        <v>992</v>
      </c>
      <c r="D1202" s="432"/>
      <c r="E1202" s="432">
        <f>$F$1025*0.1*$D$1193</f>
        <v>25.68075</v>
      </c>
      <c r="F1202" s="432">
        <f>$F$1025*0.2*$D$1193</f>
        <v>51.361499999999999</v>
      </c>
      <c r="G1202" s="432">
        <f>$F$1025*0.3*$D$1193</f>
        <v>77.042249999999996</v>
      </c>
      <c r="H1202" s="432">
        <f>$F$1025*0.4*$D$1193</f>
        <v>102.723</v>
      </c>
      <c r="I1202" s="432">
        <f>$F$1025*0.5*$D$1193</f>
        <v>128.40375</v>
      </c>
      <c r="J1202" s="472"/>
      <c r="K1202" s="497"/>
      <c r="L1202" s="497"/>
      <c r="M1202" s="498"/>
      <c r="N1202" s="498"/>
      <c r="O1202" s="498"/>
      <c r="P1202" s="498"/>
    </row>
    <row r="1203" spans="1:16">
      <c r="A1203" s="426"/>
      <c r="B1203" s="406"/>
      <c r="C1203" s="417" t="str">
        <f>[161]Input!$C$47</f>
        <v>Add for MA @ 40%</v>
      </c>
      <c r="D1203" s="432">
        <f>D1202*[161]Input!$D$47</f>
        <v>0</v>
      </c>
      <c r="E1203" s="432">
        <f>E1202*[161]Input!$D$47</f>
        <v>10.272300000000001</v>
      </c>
      <c r="F1203" s="432">
        <f>F1202*[161]Input!$D$47</f>
        <v>20.544600000000003</v>
      </c>
      <c r="G1203" s="432">
        <f>G1202*[161]Input!$D$47</f>
        <v>30.8169</v>
      </c>
      <c r="H1203" s="432">
        <f>H1202*[161]Input!$D$47</f>
        <v>41.089200000000005</v>
      </c>
      <c r="I1203" s="432">
        <f>I1202*[161]Input!$D$47</f>
        <v>51.361500000000007</v>
      </c>
      <c r="J1203" s="472"/>
      <c r="K1203" s="497"/>
      <c r="L1203" s="497"/>
      <c r="M1203" s="498"/>
      <c r="N1203" s="498"/>
      <c r="O1203" s="498"/>
      <c r="P1203" s="498"/>
    </row>
    <row r="1204" spans="1:16" ht="13">
      <c r="A1204" s="426"/>
      <c r="B1204" s="406"/>
      <c r="C1204" s="427" t="s">
        <v>742</v>
      </c>
      <c r="D1204" s="432">
        <f t="shared" ref="D1204:I1204" si="233">SUM(D1198:D1203)</f>
        <v>1671.8432640000001</v>
      </c>
      <c r="E1204" s="432">
        <f t="shared" si="233"/>
        <v>1744.1963140000003</v>
      </c>
      <c r="F1204" s="432">
        <f t="shared" si="233"/>
        <v>1816.549364</v>
      </c>
      <c r="G1204" s="432">
        <f t="shared" si="233"/>
        <v>1888.9024140000001</v>
      </c>
      <c r="H1204" s="432">
        <f t="shared" si="233"/>
        <v>1961.2554639999998</v>
      </c>
      <c r="I1204" s="432">
        <f t="shared" si="233"/>
        <v>2033.608514</v>
      </c>
      <c r="J1204" s="472"/>
      <c r="K1204" s="497"/>
      <c r="L1204" s="497"/>
      <c r="M1204" s="498"/>
      <c r="N1204" s="498"/>
      <c r="O1204" s="498"/>
      <c r="P1204" s="498"/>
    </row>
    <row r="1205" spans="1:16" ht="25">
      <c r="A1205" s="426"/>
      <c r="B1205" s="406"/>
      <c r="C1205" s="417" t="str">
        <f>[161]Input!$C$48</f>
        <v>Overheads &amp; Contractors Profit @ 13.615%</v>
      </c>
      <c r="D1205" s="406">
        <f>ROUND(D1204*[161]Input!$D$48,2)</f>
        <v>227.62</v>
      </c>
      <c r="E1205" s="406">
        <f>ROUND(E1204*[161]Input!$D$48,2)</f>
        <v>237.47</v>
      </c>
      <c r="F1205" s="406">
        <f>ROUND(F1204*[161]Input!$D$48,2)</f>
        <v>247.32</v>
      </c>
      <c r="G1205" s="406">
        <f>ROUND(G1204*[161]Input!$D$48,2)</f>
        <v>257.17</v>
      </c>
      <c r="H1205" s="406">
        <f>ROUND(H1204*[161]Input!$D$48,2)</f>
        <v>267.02</v>
      </c>
      <c r="I1205" s="406">
        <f>ROUND(I1204*[161]Input!$D$48,2)</f>
        <v>276.88</v>
      </c>
      <c r="J1205" s="472"/>
      <c r="K1205" s="497"/>
      <c r="L1205" s="497"/>
      <c r="M1205" s="498"/>
      <c r="N1205" s="498"/>
      <c r="O1205" s="498"/>
      <c r="P1205" s="498"/>
    </row>
    <row r="1206" spans="1:16" ht="13">
      <c r="A1206" s="426"/>
      <c r="B1206" s="426"/>
      <c r="C1206" s="427" t="s">
        <v>742</v>
      </c>
      <c r="D1206" s="409">
        <f t="shared" ref="D1206:I1206" si="234">SUM(D1204:D1205)</f>
        <v>1899.463264</v>
      </c>
      <c r="E1206" s="409">
        <f t="shared" si="234"/>
        <v>1981.6663140000003</v>
      </c>
      <c r="F1206" s="409">
        <f t="shared" si="234"/>
        <v>2063.8693640000001</v>
      </c>
      <c r="G1206" s="409">
        <f t="shared" si="234"/>
        <v>2146.0724140000002</v>
      </c>
      <c r="H1206" s="409">
        <f t="shared" si="234"/>
        <v>2228.2754639999998</v>
      </c>
      <c r="I1206" s="409">
        <f t="shared" si="234"/>
        <v>2310.4885140000001</v>
      </c>
      <c r="J1206" s="472"/>
      <c r="K1206" s="497"/>
      <c r="L1206" s="497"/>
      <c r="M1206" s="498"/>
      <c r="N1206" s="498"/>
      <c r="O1206" s="498"/>
      <c r="P1206" s="498"/>
    </row>
    <row r="1207" spans="1:16" ht="13">
      <c r="A1207" s="426"/>
      <c r="B1207" s="426"/>
      <c r="C1207" s="514" t="s">
        <v>726</v>
      </c>
      <c r="D1207" s="416">
        <f t="shared" ref="D1207:I1207" si="235">ROUND(D1206,0)</f>
        <v>1899</v>
      </c>
      <c r="E1207" s="416">
        <f t="shared" si="235"/>
        <v>1982</v>
      </c>
      <c r="F1207" s="416">
        <f t="shared" si="235"/>
        <v>2064</v>
      </c>
      <c r="G1207" s="416">
        <f t="shared" si="235"/>
        <v>2146</v>
      </c>
      <c r="H1207" s="416">
        <f t="shared" si="235"/>
        <v>2228</v>
      </c>
      <c r="I1207" s="416">
        <f t="shared" si="235"/>
        <v>2310</v>
      </c>
      <c r="J1207" s="472"/>
      <c r="K1207" s="497"/>
      <c r="L1207" s="497"/>
      <c r="M1207" s="498"/>
      <c r="N1207" s="498"/>
      <c r="O1207" s="498"/>
      <c r="P1207" s="498"/>
    </row>
    <row r="1208" spans="1:16" ht="13">
      <c r="A1208" s="426"/>
      <c r="B1208" s="426"/>
      <c r="C1208" s="417"/>
      <c r="D1208" s="409"/>
      <c r="E1208" s="426"/>
      <c r="F1208" s="409"/>
      <c r="G1208" s="410"/>
      <c r="H1208" s="426"/>
      <c r="I1208" s="414"/>
      <c r="J1208" s="472"/>
      <c r="K1208" s="497"/>
      <c r="L1208" s="497"/>
      <c r="M1208" s="498"/>
      <c r="N1208" s="498"/>
      <c r="O1208" s="498"/>
      <c r="P1208" s="498"/>
    </row>
    <row r="1209" spans="1:16" ht="14.65" customHeight="1">
      <c r="A1209" s="426"/>
      <c r="B1209" s="426"/>
      <c r="C1209" s="1294" t="s">
        <v>1008</v>
      </c>
      <c r="D1209" s="1294"/>
      <c r="E1209" s="1294"/>
      <c r="F1209" s="416"/>
      <c r="G1209" s="416"/>
      <c r="H1209" s="416"/>
      <c r="I1209" s="414"/>
      <c r="J1209" s="472"/>
      <c r="K1209" s="497"/>
      <c r="L1209" s="497"/>
      <c r="M1209" s="498"/>
      <c r="N1209" s="498"/>
      <c r="O1209" s="498"/>
      <c r="P1209" s="498"/>
    </row>
    <row r="1210" spans="1:16" ht="13">
      <c r="A1210" s="426"/>
      <c r="B1210" s="474" t="s">
        <v>957</v>
      </c>
      <c r="C1210" s="451" t="s">
        <v>958</v>
      </c>
      <c r="D1210" s="426"/>
      <c r="E1210" s="426"/>
      <c r="F1210" s="426"/>
      <c r="G1210" s="410"/>
      <c r="H1210" s="426"/>
      <c r="I1210" s="434"/>
      <c r="J1210" s="472"/>
      <c r="K1210" s="497"/>
      <c r="L1210" s="497"/>
      <c r="M1210" s="498"/>
      <c r="N1210" s="498"/>
      <c r="O1210" s="498"/>
      <c r="P1210" s="498"/>
    </row>
    <row r="1211" spans="1:16" ht="13">
      <c r="A1211" s="426"/>
      <c r="B1211" s="426"/>
      <c r="C1211" s="427" t="s">
        <v>953</v>
      </c>
      <c r="D1211" s="474" t="s">
        <v>1009</v>
      </c>
      <c r="E1211" s="474" t="s">
        <v>943</v>
      </c>
      <c r="F1211" s="492" t="s">
        <v>944</v>
      </c>
      <c r="G1211" s="492" t="s">
        <v>945</v>
      </c>
      <c r="H1211" s="492" t="s">
        <v>946</v>
      </c>
      <c r="I1211" s="492" t="s">
        <v>947</v>
      </c>
      <c r="J1211" s="472"/>
      <c r="K1211" s="497"/>
      <c r="L1211" s="497"/>
      <c r="M1211" s="498"/>
      <c r="N1211" s="498"/>
      <c r="O1211" s="498"/>
      <c r="P1211" s="498"/>
    </row>
    <row r="1212" spans="1:16">
      <c r="A1212" s="426"/>
      <c r="B1212" s="426"/>
      <c r="C1212" s="417" t="s">
        <v>954</v>
      </c>
      <c r="D1212" s="409">
        <f t="shared" ref="D1212:I1212" si="236">+$I$1193</f>
        <v>1041.8432640000001</v>
      </c>
      <c r="E1212" s="409">
        <f t="shared" si="236"/>
        <v>1041.8432640000001</v>
      </c>
      <c r="F1212" s="409">
        <f t="shared" si="236"/>
        <v>1041.8432640000001</v>
      </c>
      <c r="G1212" s="409">
        <f t="shared" si="236"/>
        <v>1041.8432640000001</v>
      </c>
      <c r="H1212" s="409">
        <f t="shared" si="236"/>
        <v>1041.8432640000001</v>
      </c>
      <c r="I1212" s="409">
        <f t="shared" si="236"/>
        <v>1041.8432640000001</v>
      </c>
      <c r="J1212" s="472"/>
      <c r="K1212" s="497"/>
      <c r="L1212" s="497"/>
      <c r="M1212" s="498"/>
      <c r="N1212" s="498"/>
      <c r="O1212" s="498"/>
      <c r="P1212" s="498"/>
    </row>
    <row r="1213" spans="1:16">
      <c r="A1213" s="426"/>
      <c r="B1213" s="426"/>
      <c r="C1213" s="417" t="s">
        <v>921</v>
      </c>
      <c r="D1213" s="409">
        <f>'[161]Civil-SOR'!$F$269</f>
        <v>266</v>
      </c>
      <c r="E1213" s="409">
        <f>'[161]Civil-SOR'!$F$269</f>
        <v>266</v>
      </c>
      <c r="F1213" s="409">
        <f>'[161]Civil-SOR'!$F$269</f>
        <v>266</v>
      </c>
      <c r="G1213" s="409">
        <f>'[161]Civil-SOR'!$F$269</f>
        <v>266</v>
      </c>
      <c r="H1213" s="409">
        <f>'[161]Civil-SOR'!$F$269</f>
        <v>266</v>
      </c>
      <c r="I1213" s="409">
        <f>'[161]Civil-SOR'!$F$269</f>
        <v>266</v>
      </c>
      <c r="J1213" s="472"/>
      <c r="K1213" s="497"/>
      <c r="L1213" s="497"/>
      <c r="M1213" s="498"/>
      <c r="N1213" s="498"/>
      <c r="O1213" s="498"/>
      <c r="P1213" s="498"/>
    </row>
    <row r="1214" spans="1:16">
      <c r="A1214" s="426"/>
      <c r="B1214" s="426"/>
      <c r="C1214" s="417" t="s">
        <v>1010</v>
      </c>
      <c r="D1214" s="408">
        <f>'[161]Civil-SOR'!$G$269</f>
        <v>260</v>
      </c>
      <c r="E1214" s="408">
        <f>'[161]Civil-SOR'!$H$269</f>
        <v>286</v>
      </c>
      <c r="F1214" s="408">
        <f>'[161]Civil-SOR'!$I$269</f>
        <v>312</v>
      </c>
      <c r="G1214" s="408">
        <f>'[161]Civil-SOR'!$J$269</f>
        <v>338</v>
      </c>
      <c r="H1214" s="408">
        <f>'[161]Civil-SOR'!$K$269</f>
        <v>364</v>
      </c>
      <c r="I1214" s="408">
        <f>'[161]Civil-SOR'!$L$269</f>
        <v>390</v>
      </c>
      <c r="J1214" s="472"/>
      <c r="K1214" s="497"/>
      <c r="L1214" s="497"/>
      <c r="M1214" s="498"/>
      <c r="N1214" s="498"/>
      <c r="O1214" s="498"/>
      <c r="P1214" s="498"/>
    </row>
    <row r="1215" spans="1:16">
      <c r="A1215" s="426"/>
      <c r="B1215" s="426"/>
      <c r="C1215" s="417" t="str">
        <f>[161]Input!$C$47</f>
        <v>Add for MA @ 40%</v>
      </c>
      <c r="D1215" s="409">
        <f>D1214*[161]Input!$D$47</f>
        <v>104</v>
      </c>
      <c r="E1215" s="409">
        <f>E1214*[161]Input!$D$47</f>
        <v>114.4</v>
      </c>
      <c r="F1215" s="409">
        <f>F1214*[161]Input!$D$47</f>
        <v>124.80000000000001</v>
      </c>
      <c r="G1215" s="409">
        <f>G1214*[161]Input!$D$47</f>
        <v>135.20000000000002</v>
      </c>
      <c r="H1215" s="409">
        <f>H1214*[161]Input!$D$47</f>
        <v>145.6</v>
      </c>
      <c r="I1215" s="409">
        <f>I1214*[161]Input!$D$47</f>
        <v>156</v>
      </c>
      <c r="J1215" s="472"/>
      <c r="K1215" s="497"/>
      <c r="L1215" s="497"/>
      <c r="M1215" s="498"/>
      <c r="N1215" s="498"/>
      <c r="O1215" s="498"/>
      <c r="P1215" s="498"/>
    </row>
    <row r="1216" spans="1:16" ht="25">
      <c r="A1216" s="426"/>
      <c r="B1216" s="426"/>
      <c r="C1216" s="417" t="s">
        <v>1011</v>
      </c>
      <c r="D1216" s="409">
        <v>0</v>
      </c>
      <c r="E1216" s="409">
        <f>0.267*$D$1193*'[161]Civil-SOR'!$G$334</f>
        <v>15.166935000000002</v>
      </c>
      <c r="F1216" s="409">
        <f t="shared" ref="F1216:F1217" si="237">E1216*1.1</f>
        <v>16.683628500000005</v>
      </c>
      <c r="G1216" s="409">
        <f t="shared" ref="G1216:G1217" si="238">E1216*1.2</f>
        <v>18.200322000000003</v>
      </c>
      <c r="H1216" s="409">
        <f t="shared" ref="H1216:H1217" si="239">E1216*1.3</f>
        <v>19.717015500000002</v>
      </c>
      <c r="I1216" s="409">
        <f t="shared" ref="I1216:I1217" si="240">E1216*1.4</f>
        <v>21.233709000000001</v>
      </c>
      <c r="J1216" s="472"/>
      <c r="K1216" s="497"/>
      <c r="L1216" s="497"/>
      <c r="M1216" s="498"/>
      <c r="N1216" s="498"/>
      <c r="O1216" s="498"/>
      <c r="P1216" s="498"/>
    </row>
    <row r="1217" spans="1:16">
      <c r="A1217" s="426"/>
      <c r="B1217" s="426"/>
      <c r="C1217" s="417" t="s">
        <v>828</v>
      </c>
      <c r="D1217" s="409">
        <v>0</v>
      </c>
      <c r="E1217" s="409">
        <f>0.267*$D$1193*'[161]Civil-SOR'!$J$334</f>
        <v>14.43402</v>
      </c>
      <c r="F1217" s="409">
        <f t="shared" si="237"/>
        <v>15.877422000000001</v>
      </c>
      <c r="G1217" s="409">
        <f t="shared" si="238"/>
        <v>17.320823999999998</v>
      </c>
      <c r="H1217" s="409">
        <f t="shared" si="239"/>
        <v>18.764226000000001</v>
      </c>
      <c r="I1217" s="409">
        <f t="shared" si="240"/>
        <v>20.207628</v>
      </c>
      <c r="J1217" s="472"/>
      <c r="K1217" s="497"/>
      <c r="L1217" s="497"/>
      <c r="M1217" s="498"/>
      <c r="N1217" s="498"/>
      <c r="O1217" s="498"/>
      <c r="P1217" s="498"/>
    </row>
    <row r="1218" spans="1:16">
      <c r="A1218" s="426"/>
      <c r="B1218" s="426"/>
      <c r="C1218" s="417" t="str">
        <f>[161]Input!$C$47</f>
        <v>Add for MA @ 40%</v>
      </c>
      <c r="D1218" s="432">
        <f>D1217*[161]Input!$D$47</f>
        <v>0</v>
      </c>
      <c r="E1218" s="409">
        <f>E1217*[161]Input!$D$47</f>
        <v>5.7736080000000003</v>
      </c>
      <c r="F1218" s="409">
        <f>F1217*[161]Input!$D$47</f>
        <v>6.3509688000000004</v>
      </c>
      <c r="G1218" s="409">
        <f>G1217*[161]Input!$D$47</f>
        <v>6.9283295999999996</v>
      </c>
      <c r="H1218" s="409">
        <f>H1217*[161]Input!$D$47</f>
        <v>7.5056904000000007</v>
      </c>
      <c r="I1218" s="409">
        <f>I1217*[161]Input!$D$47</f>
        <v>8.0830511999999999</v>
      </c>
      <c r="J1218" s="472"/>
      <c r="K1218" s="497"/>
      <c r="L1218" s="497"/>
      <c r="M1218" s="498"/>
      <c r="N1218" s="498"/>
      <c r="O1218" s="498"/>
      <c r="P1218" s="498"/>
    </row>
    <row r="1219" spans="1:16" ht="13">
      <c r="A1219" s="426"/>
      <c r="B1219" s="426"/>
      <c r="C1219" s="427" t="s">
        <v>742</v>
      </c>
      <c r="D1219" s="409">
        <f t="shared" ref="D1219:I1219" si="241">SUM(D1212:D1218)</f>
        <v>1671.8432640000001</v>
      </c>
      <c r="E1219" s="409">
        <f t="shared" si="241"/>
        <v>1743.617827</v>
      </c>
      <c r="F1219" s="409">
        <f t="shared" si="241"/>
        <v>1783.5552832999999</v>
      </c>
      <c r="G1219" s="409">
        <f t="shared" si="241"/>
        <v>1823.4927396</v>
      </c>
      <c r="H1219" s="409">
        <f t="shared" si="241"/>
        <v>1863.4301958999999</v>
      </c>
      <c r="I1219" s="409">
        <f t="shared" si="241"/>
        <v>1903.3676522000003</v>
      </c>
      <c r="J1219" s="472"/>
      <c r="K1219" s="497"/>
      <c r="L1219" s="497"/>
      <c r="M1219" s="498"/>
      <c r="N1219" s="498"/>
      <c r="O1219" s="498"/>
      <c r="P1219" s="498"/>
    </row>
    <row r="1220" spans="1:16" ht="25">
      <c r="A1220" s="426"/>
      <c r="B1220" s="426"/>
      <c r="C1220" s="417" t="str">
        <f>[161]Input!$C$48</f>
        <v>Overheads &amp; Contractors Profit @ 13.615%</v>
      </c>
      <c r="D1220" s="426">
        <f>ROUND(D1219*[161]Input!$D$48,2)</f>
        <v>227.62</v>
      </c>
      <c r="E1220" s="426">
        <f>ROUND(E1219*[161]Input!$D$48,2)</f>
        <v>237.39</v>
      </c>
      <c r="F1220" s="426">
        <f>ROUND(F1219*[161]Input!$D$48,2)</f>
        <v>242.83</v>
      </c>
      <c r="G1220" s="426">
        <f>ROUND(G1219*[161]Input!$D$48,2)</f>
        <v>248.27</v>
      </c>
      <c r="H1220" s="426">
        <f>ROUND(H1219*[161]Input!$D$48,2)</f>
        <v>253.71</v>
      </c>
      <c r="I1220" s="426">
        <f>ROUND(I1219*[161]Input!$D$48,2)</f>
        <v>259.14</v>
      </c>
      <c r="J1220" s="472"/>
      <c r="K1220" s="497"/>
      <c r="L1220" s="497"/>
      <c r="M1220" s="498"/>
      <c r="N1220" s="498"/>
      <c r="O1220" s="498"/>
      <c r="P1220" s="498"/>
    </row>
    <row r="1221" spans="1:16" ht="13">
      <c r="A1221" s="426"/>
      <c r="B1221" s="426"/>
      <c r="C1221" s="427" t="s">
        <v>742</v>
      </c>
      <c r="D1221" s="434">
        <f t="shared" ref="D1221:I1221" si="242">ROUND(SUM(D1219:D1220),0)</f>
        <v>1899</v>
      </c>
      <c r="E1221" s="434">
        <f t="shared" si="242"/>
        <v>1981</v>
      </c>
      <c r="F1221" s="434">
        <f t="shared" si="242"/>
        <v>2026</v>
      </c>
      <c r="G1221" s="434">
        <f t="shared" si="242"/>
        <v>2072</v>
      </c>
      <c r="H1221" s="434">
        <f t="shared" si="242"/>
        <v>2117</v>
      </c>
      <c r="I1221" s="434">
        <f t="shared" si="242"/>
        <v>2163</v>
      </c>
      <c r="J1221" s="472"/>
      <c r="K1221" s="497"/>
      <c r="L1221" s="497"/>
      <c r="M1221" s="498"/>
      <c r="N1221" s="498"/>
      <c r="O1221" s="498"/>
      <c r="P1221" s="498"/>
    </row>
    <row r="1222" spans="1:16" ht="13">
      <c r="A1222" s="426"/>
      <c r="B1222" s="426"/>
      <c r="C1222" s="417"/>
      <c r="D1222" s="409"/>
      <c r="E1222" s="426"/>
      <c r="F1222" s="409"/>
      <c r="G1222" s="410"/>
      <c r="H1222" s="426"/>
      <c r="I1222" s="414"/>
      <c r="J1222" s="472"/>
      <c r="K1222" s="497"/>
      <c r="L1222" s="497"/>
      <c r="M1222" s="498"/>
      <c r="N1222" s="498"/>
      <c r="O1222" s="498"/>
      <c r="P1222" s="498"/>
    </row>
    <row r="1223" spans="1:16" ht="12.75" customHeight="1">
      <c r="A1223" s="426"/>
      <c r="B1223" s="426"/>
      <c r="C1223" s="1294" t="s">
        <v>1012</v>
      </c>
      <c r="D1223" s="1294"/>
      <c r="E1223" s="1294"/>
      <c r="F1223" s="416"/>
      <c r="G1223" s="416"/>
      <c r="H1223" s="416"/>
      <c r="I1223" s="414"/>
      <c r="J1223" s="472"/>
      <c r="K1223" s="497"/>
      <c r="L1223" s="497"/>
      <c r="M1223" s="498"/>
      <c r="N1223" s="498"/>
      <c r="O1223" s="498"/>
      <c r="P1223" s="498"/>
    </row>
    <row r="1224" spans="1:16" ht="13">
      <c r="A1224" s="426"/>
      <c r="B1224" s="474" t="s">
        <v>1003</v>
      </c>
      <c r="C1224" s="558" t="s">
        <v>992</v>
      </c>
      <c r="D1224" s="426"/>
      <c r="E1224" s="426"/>
      <c r="F1224" s="426"/>
      <c r="G1224" s="410"/>
      <c r="H1224" s="426"/>
      <c r="I1224" s="434"/>
      <c r="J1224" s="472"/>
      <c r="K1224" s="497"/>
      <c r="L1224" s="497"/>
      <c r="M1224" s="498"/>
      <c r="N1224" s="498"/>
      <c r="O1224" s="498"/>
      <c r="P1224" s="498"/>
    </row>
    <row r="1225" spans="1:16" ht="13">
      <c r="A1225" s="426"/>
      <c r="B1225" s="406"/>
      <c r="C1225" s="427" t="s">
        <v>953</v>
      </c>
      <c r="D1225" s="461" t="s">
        <v>959</v>
      </c>
      <c r="E1225" s="407" t="s">
        <v>943</v>
      </c>
      <c r="F1225" s="436" t="s">
        <v>944</v>
      </c>
      <c r="G1225" s="436" t="s">
        <v>945</v>
      </c>
      <c r="H1225" s="436" t="s">
        <v>946</v>
      </c>
      <c r="I1225" s="436" t="s">
        <v>947</v>
      </c>
      <c r="J1225" s="472"/>
      <c r="K1225" s="497"/>
      <c r="L1225" s="497"/>
      <c r="M1225" s="498"/>
      <c r="N1225" s="498"/>
      <c r="O1225" s="498"/>
      <c r="P1225" s="498"/>
    </row>
    <row r="1226" spans="1:16">
      <c r="A1226" s="426"/>
      <c r="B1226" s="406"/>
      <c r="C1226" s="417" t="s">
        <v>954</v>
      </c>
      <c r="D1226" s="432">
        <f t="shared" ref="D1226:I1226" si="243">+$I$1193</f>
        <v>1041.8432640000001</v>
      </c>
      <c r="E1226" s="432">
        <f t="shared" si="243"/>
        <v>1041.8432640000001</v>
      </c>
      <c r="F1226" s="432">
        <f t="shared" si="243"/>
        <v>1041.8432640000001</v>
      </c>
      <c r="G1226" s="432">
        <f t="shared" si="243"/>
        <v>1041.8432640000001</v>
      </c>
      <c r="H1226" s="432">
        <f t="shared" si="243"/>
        <v>1041.8432640000001</v>
      </c>
      <c r="I1226" s="432">
        <f t="shared" si="243"/>
        <v>1041.8432640000001</v>
      </c>
      <c r="J1226" s="472"/>
      <c r="K1226" s="497"/>
      <c r="L1226" s="497"/>
      <c r="M1226" s="498"/>
      <c r="N1226" s="498"/>
      <c r="O1226" s="498"/>
      <c r="P1226" s="498"/>
    </row>
    <row r="1227" spans="1:16">
      <c r="A1227" s="426"/>
      <c r="B1227" s="406"/>
      <c r="C1227" s="417" t="s">
        <v>921</v>
      </c>
      <c r="D1227" s="409">
        <f>'[161]Civil-SOR'!$F$269+('[161]Civil-SOR'!$F$269*16.66%)</f>
        <v>310.31560000000002</v>
      </c>
      <c r="E1227" s="409">
        <f>'[161]Civil-SOR'!$F$269+('[161]Civil-SOR'!$F$269*16.66%)</f>
        <v>310.31560000000002</v>
      </c>
      <c r="F1227" s="409">
        <f>'[161]Civil-SOR'!$F$269+('[161]Civil-SOR'!$F$269*16.66%)</f>
        <v>310.31560000000002</v>
      </c>
      <c r="G1227" s="409">
        <f>'[161]Civil-SOR'!$F$269+('[161]Civil-SOR'!$F$269*16.66%)</f>
        <v>310.31560000000002</v>
      </c>
      <c r="H1227" s="409">
        <f>'[161]Civil-SOR'!$F$269+('[161]Civil-SOR'!$F$269*16.66%)</f>
        <v>310.31560000000002</v>
      </c>
      <c r="I1227" s="409">
        <f>'[161]Civil-SOR'!$F$269+('[161]Civil-SOR'!$F$269*16.66%)</f>
        <v>310.31560000000002</v>
      </c>
      <c r="J1227" s="472"/>
      <c r="K1227" s="497"/>
      <c r="L1227" s="497"/>
      <c r="M1227" s="498"/>
      <c r="N1227" s="498"/>
      <c r="O1227" s="498"/>
      <c r="P1227" s="498"/>
    </row>
    <row r="1228" spans="1:16">
      <c r="A1228" s="426"/>
      <c r="B1228" s="406"/>
      <c r="C1228" s="417" t="s">
        <v>1001</v>
      </c>
      <c r="D1228" s="408">
        <f>'[161]Civil-SOR'!$G$269+('[161]Civil-SOR'!$G$269*16.66%)</f>
        <v>303.31600000000003</v>
      </c>
      <c r="E1228" s="408">
        <f>'[161]Civil-SOR'!$H$269+('[161]Civil-SOR'!$H$269*16.66%)</f>
        <v>333.64760000000001</v>
      </c>
      <c r="F1228" s="408">
        <f>'[161]Civil-SOR'!$I$269+('[161]Civil-SOR'!$I$269*16.66%)</f>
        <v>363.97919999999999</v>
      </c>
      <c r="G1228" s="408">
        <f>'[161]Civil-SOR'!$J$269+('[161]Civil-SOR'!$J$269*16.66%)</f>
        <v>394.31079999999997</v>
      </c>
      <c r="H1228" s="408">
        <f>'[161]Civil-SOR'!$K$269+('[161]Civil-SOR'!$K$269*16.66%)</f>
        <v>424.64240000000001</v>
      </c>
      <c r="I1228" s="408">
        <f>'[161]Civil-SOR'!$L$269+('[161]Civil-SOR'!$L$269*16.66%)</f>
        <v>454.97399999999999</v>
      </c>
      <c r="J1228" s="472"/>
      <c r="K1228" s="497"/>
      <c r="L1228" s="497"/>
      <c r="M1228" s="498"/>
      <c r="N1228" s="498"/>
      <c r="O1228" s="498"/>
      <c r="P1228" s="498"/>
    </row>
    <row r="1229" spans="1:16">
      <c r="A1229" s="426"/>
      <c r="B1229" s="406"/>
      <c r="C1229" s="417" t="str">
        <f>[161]Input!$C$47</f>
        <v>Add for MA @ 40%</v>
      </c>
      <c r="D1229" s="432">
        <f>D1228*[161]Input!$D$47</f>
        <v>121.32640000000002</v>
      </c>
      <c r="E1229" s="432">
        <f>E1228*[161]Input!$D$47</f>
        <v>133.45904000000002</v>
      </c>
      <c r="F1229" s="432">
        <f>F1228*[161]Input!$D$47</f>
        <v>145.59168</v>
      </c>
      <c r="G1229" s="432">
        <f>G1228*[161]Input!$D$47</f>
        <v>157.72432000000001</v>
      </c>
      <c r="H1229" s="432">
        <f>H1228*[161]Input!$D$47</f>
        <v>169.85696000000002</v>
      </c>
      <c r="I1229" s="432">
        <f>I1228*[161]Input!$D$47</f>
        <v>181.9896</v>
      </c>
      <c r="J1229" s="472"/>
      <c r="K1229" s="497"/>
      <c r="L1229" s="497"/>
      <c r="M1229" s="498"/>
      <c r="N1229" s="498"/>
      <c r="O1229" s="498"/>
      <c r="P1229" s="498"/>
    </row>
    <row r="1230" spans="1:16">
      <c r="A1230" s="426"/>
      <c r="B1230" s="406"/>
      <c r="C1230" s="417" t="s">
        <v>992</v>
      </c>
      <c r="D1230" s="432"/>
      <c r="E1230" s="432">
        <f>$F$1025*0.1*$D$1193</f>
        <v>25.68075</v>
      </c>
      <c r="F1230" s="432">
        <f>$F$1025*0.2*$D$1193</f>
        <v>51.361499999999999</v>
      </c>
      <c r="G1230" s="432">
        <f>$F$1025*0.3*$D$1193</f>
        <v>77.042249999999996</v>
      </c>
      <c r="H1230" s="432">
        <f>$F$1025*0.4*$D$1193</f>
        <v>102.723</v>
      </c>
      <c r="I1230" s="432">
        <f>$F$1025*0.5*$D$1193</f>
        <v>128.40375</v>
      </c>
      <c r="J1230" s="472"/>
      <c r="K1230" s="497"/>
      <c r="L1230" s="497"/>
      <c r="M1230" s="498"/>
      <c r="N1230" s="498"/>
      <c r="O1230" s="498"/>
      <c r="P1230" s="498"/>
    </row>
    <row r="1231" spans="1:16">
      <c r="A1231" s="426"/>
      <c r="B1231" s="406"/>
      <c r="C1231" s="417" t="str">
        <f>[161]Input!$C$47</f>
        <v>Add for MA @ 40%</v>
      </c>
      <c r="D1231" s="432">
        <f>D1230*[161]Input!$D$47</f>
        <v>0</v>
      </c>
      <c r="E1231" s="432">
        <f>E1230*[161]Input!$D$47</f>
        <v>10.272300000000001</v>
      </c>
      <c r="F1231" s="432">
        <f>F1230*[161]Input!$D$47</f>
        <v>20.544600000000003</v>
      </c>
      <c r="G1231" s="432">
        <f>G1230*[161]Input!$D$47</f>
        <v>30.8169</v>
      </c>
      <c r="H1231" s="432">
        <f>H1230*[161]Input!$D$47</f>
        <v>41.089200000000005</v>
      </c>
      <c r="I1231" s="432">
        <f>I1230*[161]Input!$D$47</f>
        <v>51.361500000000007</v>
      </c>
      <c r="J1231" s="472"/>
      <c r="K1231" s="497"/>
      <c r="L1231" s="497"/>
      <c r="M1231" s="498"/>
      <c r="N1231" s="498"/>
      <c r="O1231" s="498"/>
      <c r="P1231" s="498"/>
    </row>
    <row r="1232" spans="1:16" ht="13">
      <c r="A1232" s="426"/>
      <c r="B1232" s="406"/>
      <c r="C1232" s="427" t="s">
        <v>742</v>
      </c>
      <c r="D1232" s="432">
        <f t="shared" ref="D1232:I1232" si="244">SUM(D1226:D1231)</f>
        <v>1776.8012639999999</v>
      </c>
      <c r="E1232" s="432">
        <f t="shared" si="244"/>
        <v>1855.218554</v>
      </c>
      <c r="F1232" s="432">
        <f t="shared" si="244"/>
        <v>1933.6358439999999</v>
      </c>
      <c r="G1232" s="432">
        <f t="shared" si="244"/>
        <v>2012.053134</v>
      </c>
      <c r="H1232" s="432">
        <f t="shared" si="244"/>
        <v>2090.4704240000001</v>
      </c>
      <c r="I1232" s="432">
        <f t="shared" si="244"/>
        <v>2168.887714</v>
      </c>
      <c r="J1232" s="472"/>
      <c r="K1232" s="497"/>
      <c r="L1232" s="497"/>
      <c r="M1232" s="498"/>
      <c r="N1232" s="498"/>
      <c r="O1232" s="498"/>
      <c r="P1232" s="498"/>
    </row>
    <row r="1233" spans="1:64" ht="25">
      <c r="A1233" s="426"/>
      <c r="B1233" s="406"/>
      <c r="C1233" s="417" t="str">
        <f>[161]Input!$C$48</f>
        <v>Overheads &amp; Contractors Profit @ 13.615%</v>
      </c>
      <c r="D1233" s="406">
        <f>ROUND(D1232*[161]Input!$D$48,2)</f>
        <v>241.91</v>
      </c>
      <c r="E1233" s="406">
        <f>ROUND(E1232*[161]Input!$D$48,2)</f>
        <v>252.59</v>
      </c>
      <c r="F1233" s="406">
        <f>ROUND(F1232*[161]Input!$D$48,2)</f>
        <v>263.26</v>
      </c>
      <c r="G1233" s="406">
        <f>ROUND(G1232*[161]Input!$D$48,2)</f>
        <v>273.94</v>
      </c>
      <c r="H1233" s="406">
        <f>ROUND(H1232*[161]Input!$D$48,2)</f>
        <v>284.62</v>
      </c>
      <c r="I1233" s="406">
        <f>ROUND(I1232*[161]Input!$D$48,2)</f>
        <v>295.29000000000002</v>
      </c>
      <c r="J1233" s="472"/>
      <c r="K1233" s="497"/>
      <c r="L1233" s="497"/>
      <c r="M1233" s="498"/>
      <c r="N1233" s="498"/>
      <c r="O1233" s="498"/>
      <c r="P1233" s="498"/>
    </row>
    <row r="1234" spans="1:64" ht="13">
      <c r="A1234" s="426"/>
      <c r="B1234" s="426"/>
      <c r="C1234" s="427" t="s">
        <v>742</v>
      </c>
      <c r="D1234" s="409">
        <f t="shared" ref="D1234:I1234" si="245">SUM(D1232:D1233)</f>
        <v>2018.711264</v>
      </c>
      <c r="E1234" s="409">
        <f t="shared" si="245"/>
        <v>2107.8085540000002</v>
      </c>
      <c r="F1234" s="409">
        <f t="shared" si="245"/>
        <v>2196.8958439999997</v>
      </c>
      <c r="G1234" s="409">
        <f t="shared" si="245"/>
        <v>2285.9931339999998</v>
      </c>
      <c r="H1234" s="409">
        <f t="shared" si="245"/>
        <v>2375.090424</v>
      </c>
      <c r="I1234" s="409">
        <f t="shared" si="245"/>
        <v>2464.1777139999999</v>
      </c>
      <c r="J1234" s="472"/>
      <c r="K1234" s="497"/>
      <c r="L1234" s="497"/>
      <c r="M1234" s="498"/>
      <c r="N1234" s="498"/>
      <c r="O1234" s="498"/>
      <c r="P1234" s="498"/>
    </row>
    <row r="1235" spans="1:64" ht="13">
      <c r="A1235" s="426"/>
      <c r="B1235" s="426"/>
      <c r="C1235" s="514" t="s">
        <v>726</v>
      </c>
      <c r="D1235" s="416">
        <f t="shared" ref="D1235:I1235" si="246">ROUND(D1234,0)</f>
        <v>2019</v>
      </c>
      <c r="E1235" s="416">
        <f t="shared" si="246"/>
        <v>2108</v>
      </c>
      <c r="F1235" s="416">
        <f t="shared" si="246"/>
        <v>2197</v>
      </c>
      <c r="G1235" s="416">
        <f t="shared" si="246"/>
        <v>2286</v>
      </c>
      <c r="H1235" s="416">
        <f t="shared" si="246"/>
        <v>2375</v>
      </c>
      <c r="I1235" s="416">
        <f t="shared" si="246"/>
        <v>2464</v>
      </c>
      <c r="J1235" s="472"/>
      <c r="K1235" s="497"/>
      <c r="L1235" s="497"/>
      <c r="M1235" s="498"/>
      <c r="N1235" s="498"/>
      <c r="O1235" s="498"/>
      <c r="P1235" s="498"/>
    </row>
    <row r="1236" spans="1:64" ht="13">
      <c r="A1236" s="426"/>
      <c r="B1236" s="426"/>
      <c r="C1236" s="417"/>
      <c r="D1236" s="409"/>
      <c r="E1236" s="426"/>
      <c r="F1236" s="409"/>
      <c r="G1236" s="410"/>
      <c r="H1236" s="426"/>
      <c r="I1236" s="414"/>
      <c r="J1236" s="472"/>
      <c r="K1236" s="497"/>
      <c r="L1236" s="497"/>
      <c r="M1236" s="498"/>
      <c r="N1236" s="498"/>
      <c r="O1236" s="498"/>
      <c r="P1236" s="498"/>
    </row>
    <row r="1237" spans="1:64" ht="12.75" customHeight="1">
      <c r="A1237" s="426"/>
      <c r="B1237" s="426"/>
      <c r="C1237" s="1294" t="s">
        <v>1013</v>
      </c>
      <c r="D1237" s="1294"/>
      <c r="E1237" s="1294"/>
      <c r="F1237" s="416"/>
      <c r="G1237" s="416"/>
      <c r="H1237" s="416"/>
      <c r="I1237" s="414"/>
      <c r="J1237" s="472"/>
      <c r="K1237" s="497"/>
      <c r="L1237" s="497"/>
      <c r="M1237" s="498"/>
      <c r="N1237" s="498"/>
      <c r="O1237" s="498"/>
      <c r="P1237" s="498"/>
    </row>
    <row r="1238" spans="1:64" ht="13">
      <c r="A1238" s="426"/>
      <c r="B1238" s="474" t="s">
        <v>951</v>
      </c>
      <c r="C1238" s="451" t="s">
        <v>958</v>
      </c>
      <c r="D1238" s="426"/>
      <c r="E1238" s="426"/>
      <c r="F1238" s="426"/>
      <c r="G1238" s="410"/>
      <c r="H1238" s="426"/>
      <c r="I1238" s="434"/>
      <c r="J1238" s="472"/>
      <c r="K1238" s="497"/>
      <c r="L1238" s="497"/>
      <c r="M1238" s="498"/>
      <c r="N1238" s="498"/>
      <c r="O1238" s="498"/>
      <c r="P1238" s="498"/>
      <c r="Q1238" s="559"/>
      <c r="R1238" s="559"/>
      <c r="S1238" s="559"/>
      <c r="T1238" s="559"/>
      <c r="U1238" s="559"/>
      <c r="V1238" s="559"/>
      <c r="W1238" s="559"/>
      <c r="X1238" s="559"/>
      <c r="Y1238" s="559"/>
      <c r="Z1238" s="559"/>
      <c r="AA1238" s="559"/>
      <c r="AB1238" s="559"/>
      <c r="AC1238" s="559"/>
      <c r="AD1238" s="559"/>
      <c r="AE1238" s="559"/>
      <c r="AF1238" s="559"/>
      <c r="AG1238" s="559"/>
      <c r="AH1238" s="559"/>
      <c r="AI1238" s="559"/>
      <c r="AJ1238" s="559"/>
      <c r="AK1238" s="559"/>
      <c r="AL1238" s="559"/>
      <c r="AM1238" s="559"/>
      <c r="AN1238" s="559"/>
      <c r="AO1238" s="559"/>
      <c r="AP1238" s="559"/>
      <c r="AQ1238" s="559"/>
      <c r="AR1238" s="559"/>
      <c r="AS1238" s="559"/>
      <c r="AT1238" s="559"/>
      <c r="AU1238" s="559"/>
      <c r="AV1238" s="559"/>
      <c r="AW1238" s="559"/>
      <c r="AX1238" s="559"/>
      <c r="AY1238" s="559"/>
      <c r="AZ1238" s="559"/>
      <c r="BA1238" s="559"/>
      <c r="BB1238" s="559"/>
      <c r="BC1238" s="559"/>
      <c r="BD1238" s="559"/>
      <c r="BE1238" s="559"/>
      <c r="BF1238" s="559"/>
      <c r="BG1238" s="559"/>
      <c r="BH1238" s="559"/>
      <c r="BI1238" s="559"/>
      <c r="BJ1238" s="559"/>
      <c r="BK1238" s="559"/>
      <c r="BL1238" s="559"/>
    </row>
    <row r="1239" spans="1:64" ht="13">
      <c r="A1239" s="426"/>
      <c r="B1239" s="426"/>
      <c r="C1239" s="427" t="s">
        <v>953</v>
      </c>
      <c r="D1239" s="474" t="s">
        <v>1009</v>
      </c>
      <c r="E1239" s="474" t="s">
        <v>943</v>
      </c>
      <c r="F1239" s="492" t="s">
        <v>944</v>
      </c>
      <c r="G1239" s="492" t="s">
        <v>945</v>
      </c>
      <c r="H1239" s="492" t="s">
        <v>946</v>
      </c>
      <c r="I1239" s="492" t="s">
        <v>947</v>
      </c>
      <c r="J1239" s="472"/>
      <c r="K1239" s="497"/>
      <c r="L1239" s="497"/>
      <c r="M1239" s="498"/>
      <c r="N1239" s="498"/>
      <c r="O1239" s="498"/>
      <c r="P1239" s="498"/>
      <c r="Q1239" s="559"/>
      <c r="R1239" s="559"/>
      <c r="S1239" s="559"/>
      <c r="T1239" s="559"/>
      <c r="U1239" s="559"/>
      <c r="V1239" s="559"/>
      <c r="W1239" s="559"/>
      <c r="X1239" s="559"/>
      <c r="Y1239" s="559"/>
      <c r="Z1239" s="559"/>
      <c r="AA1239" s="559"/>
      <c r="AB1239" s="559"/>
      <c r="AC1239" s="559"/>
      <c r="AD1239" s="559"/>
      <c r="AE1239" s="559"/>
      <c r="AF1239" s="559"/>
      <c r="AG1239" s="559"/>
      <c r="AH1239" s="559"/>
      <c r="AI1239" s="559"/>
      <c r="AJ1239" s="559"/>
      <c r="AK1239" s="559"/>
      <c r="AL1239" s="559"/>
      <c r="AM1239" s="559"/>
      <c r="AN1239" s="559"/>
      <c r="AO1239" s="559"/>
      <c r="AP1239" s="559"/>
      <c r="AQ1239" s="559"/>
      <c r="AR1239" s="559"/>
      <c r="AS1239" s="559"/>
      <c r="AT1239" s="559"/>
      <c r="AU1239" s="559"/>
      <c r="AV1239" s="559"/>
      <c r="AW1239" s="559"/>
      <c r="AX1239" s="559"/>
      <c r="AY1239" s="559"/>
      <c r="AZ1239" s="559"/>
      <c r="BA1239" s="559"/>
      <c r="BB1239" s="559"/>
      <c r="BC1239" s="559"/>
      <c r="BD1239" s="559"/>
      <c r="BE1239" s="559"/>
      <c r="BF1239" s="559"/>
      <c r="BG1239" s="559"/>
      <c r="BH1239" s="559"/>
      <c r="BI1239" s="559"/>
      <c r="BJ1239" s="559"/>
      <c r="BK1239" s="559"/>
      <c r="BL1239" s="559"/>
    </row>
    <row r="1240" spans="1:64">
      <c r="A1240" s="426"/>
      <c r="B1240" s="426"/>
      <c r="C1240" s="417" t="s">
        <v>954</v>
      </c>
      <c r="D1240" s="432">
        <f t="shared" ref="D1240:I1240" si="247">+$I$1193</f>
        <v>1041.8432640000001</v>
      </c>
      <c r="E1240" s="432">
        <f t="shared" si="247"/>
        <v>1041.8432640000001</v>
      </c>
      <c r="F1240" s="432">
        <f t="shared" si="247"/>
        <v>1041.8432640000001</v>
      </c>
      <c r="G1240" s="432">
        <f t="shared" si="247"/>
        <v>1041.8432640000001</v>
      </c>
      <c r="H1240" s="432">
        <f t="shared" si="247"/>
        <v>1041.8432640000001</v>
      </c>
      <c r="I1240" s="432">
        <f t="shared" si="247"/>
        <v>1041.8432640000001</v>
      </c>
      <c r="J1240" s="472"/>
      <c r="K1240" s="497"/>
      <c r="L1240" s="497"/>
      <c r="M1240" s="498"/>
      <c r="N1240" s="498"/>
      <c r="O1240" s="498"/>
      <c r="P1240" s="498"/>
      <c r="Q1240" s="559"/>
      <c r="R1240" s="559"/>
      <c r="S1240" s="559"/>
      <c r="T1240" s="559"/>
      <c r="U1240" s="559"/>
      <c r="V1240" s="559"/>
      <c r="W1240" s="559"/>
      <c r="X1240" s="559"/>
      <c r="Y1240" s="559"/>
      <c r="Z1240" s="559"/>
      <c r="AA1240" s="559"/>
      <c r="AB1240" s="559"/>
      <c r="AC1240" s="559"/>
      <c r="AD1240" s="559"/>
      <c r="AE1240" s="559"/>
      <c r="AF1240" s="559"/>
      <c r="AG1240" s="559"/>
      <c r="AH1240" s="559"/>
      <c r="AI1240" s="559"/>
      <c r="AJ1240" s="559"/>
      <c r="AK1240" s="559"/>
      <c r="AL1240" s="559"/>
      <c r="AM1240" s="559"/>
      <c r="AN1240" s="559"/>
      <c r="AO1240" s="559"/>
      <c r="AP1240" s="559"/>
      <c r="AQ1240" s="559"/>
      <c r="AR1240" s="559"/>
      <c r="AS1240" s="559"/>
      <c r="AT1240" s="559"/>
      <c r="AU1240" s="559"/>
      <c r="AV1240" s="559"/>
      <c r="AW1240" s="559"/>
      <c r="AX1240" s="559"/>
      <c r="AY1240" s="559"/>
      <c r="AZ1240" s="559"/>
      <c r="BA1240" s="559"/>
      <c r="BB1240" s="559"/>
      <c r="BC1240" s="559"/>
      <c r="BD1240" s="559"/>
      <c r="BE1240" s="559"/>
      <c r="BF1240" s="559"/>
      <c r="BG1240" s="559"/>
      <c r="BH1240" s="559"/>
      <c r="BI1240" s="559"/>
      <c r="BJ1240" s="559"/>
      <c r="BK1240" s="559"/>
      <c r="BL1240" s="559"/>
    </row>
    <row r="1241" spans="1:64">
      <c r="A1241" s="426"/>
      <c r="B1241" s="426"/>
      <c r="C1241" s="417" t="s">
        <v>921</v>
      </c>
      <c r="D1241" s="409">
        <f>'[161]Civil-SOR'!$F$269+('[161]Civil-SOR'!$F$269*16.66%)</f>
        <v>310.31560000000002</v>
      </c>
      <c r="E1241" s="409">
        <f>'[161]Civil-SOR'!$F$269+('[161]Civil-SOR'!$F$269*16.66%)</f>
        <v>310.31560000000002</v>
      </c>
      <c r="F1241" s="409">
        <f>'[161]Civil-SOR'!$F$269+('[161]Civil-SOR'!$F$269*16.66%)</f>
        <v>310.31560000000002</v>
      </c>
      <c r="G1241" s="409">
        <f>'[161]Civil-SOR'!$F$269+('[161]Civil-SOR'!$F$269*16.66%)</f>
        <v>310.31560000000002</v>
      </c>
      <c r="H1241" s="409">
        <f>'[161]Civil-SOR'!$F$269+('[161]Civil-SOR'!$F$269*16.66%)</f>
        <v>310.31560000000002</v>
      </c>
      <c r="I1241" s="409">
        <f>'[161]Civil-SOR'!$F$269+('[161]Civil-SOR'!$F$269*16.66%)</f>
        <v>310.31560000000002</v>
      </c>
      <c r="J1241" s="472"/>
      <c r="K1241" s="497"/>
      <c r="L1241" s="497"/>
      <c r="M1241" s="498"/>
      <c r="N1241" s="498"/>
      <c r="O1241" s="498"/>
      <c r="P1241" s="498"/>
      <c r="Q1241" s="559"/>
      <c r="R1241" s="559"/>
      <c r="S1241" s="559"/>
      <c r="T1241" s="559"/>
      <c r="U1241" s="559"/>
      <c r="V1241" s="559"/>
      <c r="W1241" s="559"/>
      <c r="X1241" s="559"/>
      <c r="Y1241" s="559"/>
      <c r="Z1241" s="559"/>
      <c r="AA1241" s="559"/>
      <c r="AB1241" s="559"/>
      <c r="AC1241" s="559"/>
      <c r="AD1241" s="559"/>
      <c r="AE1241" s="559"/>
      <c r="AF1241" s="559"/>
      <c r="AG1241" s="559"/>
      <c r="AH1241" s="559"/>
      <c r="AI1241" s="559"/>
      <c r="AJ1241" s="559"/>
      <c r="AK1241" s="559"/>
      <c r="AL1241" s="559"/>
      <c r="AM1241" s="559"/>
      <c r="AN1241" s="559"/>
      <c r="AO1241" s="559"/>
      <c r="AP1241" s="559"/>
      <c r="AQ1241" s="559"/>
      <c r="AR1241" s="559"/>
      <c r="AS1241" s="559"/>
      <c r="AT1241" s="559"/>
      <c r="AU1241" s="559"/>
      <c r="AV1241" s="559"/>
      <c r="AW1241" s="559"/>
      <c r="AX1241" s="559"/>
      <c r="AY1241" s="559"/>
      <c r="AZ1241" s="559"/>
      <c r="BA1241" s="559"/>
      <c r="BB1241" s="559"/>
      <c r="BC1241" s="559"/>
      <c r="BD1241" s="559"/>
      <c r="BE1241" s="559"/>
      <c r="BF1241" s="559"/>
      <c r="BG1241" s="559"/>
      <c r="BH1241" s="559"/>
      <c r="BI1241" s="559"/>
      <c r="BJ1241" s="559"/>
      <c r="BK1241" s="559"/>
      <c r="BL1241" s="559"/>
    </row>
    <row r="1242" spans="1:64">
      <c r="A1242" s="426"/>
      <c r="B1242" s="426"/>
      <c r="C1242" s="417" t="s">
        <v>1010</v>
      </c>
      <c r="D1242" s="408">
        <f>'[161]Civil-SOR'!$G$269+('[161]Civil-SOR'!$G$269*16.66%)</f>
        <v>303.31600000000003</v>
      </c>
      <c r="E1242" s="408">
        <f>'[161]Civil-SOR'!$H$269+('[161]Civil-SOR'!$H$269*16.66%)</f>
        <v>333.64760000000001</v>
      </c>
      <c r="F1242" s="408">
        <f>'[161]Civil-SOR'!$I$269+('[161]Civil-SOR'!$I$269*16.66%)</f>
        <v>363.97919999999999</v>
      </c>
      <c r="G1242" s="408">
        <f>'[161]Civil-SOR'!$J$269+('[161]Civil-SOR'!$J$269*16.66%)</f>
        <v>394.31079999999997</v>
      </c>
      <c r="H1242" s="408">
        <f>'[161]Civil-SOR'!$K$269+('[161]Civil-SOR'!$K$269*16.66%)</f>
        <v>424.64240000000001</v>
      </c>
      <c r="I1242" s="408">
        <f>'[161]Civil-SOR'!$L$269+('[161]Civil-SOR'!$L$269*16.66%)</f>
        <v>454.97399999999999</v>
      </c>
      <c r="J1242" s="472"/>
      <c r="K1242" s="497"/>
      <c r="L1242" s="497"/>
      <c r="M1242" s="498"/>
      <c r="N1242" s="498"/>
      <c r="O1242" s="498"/>
      <c r="P1242" s="498"/>
      <c r="Q1242" s="559"/>
      <c r="R1242" s="559"/>
      <c r="S1242" s="559"/>
      <c r="T1242" s="559"/>
      <c r="U1242" s="559"/>
      <c r="V1242" s="559"/>
      <c r="W1242" s="559"/>
      <c r="X1242" s="559"/>
      <c r="Y1242" s="559"/>
      <c r="Z1242" s="559"/>
      <c r="AA1242" s="559"/>
      <c r="AB1242" s="559"/>
      <c r="AC1242" s="559"/>
      <c r="AD1242" s="559"/>
      <c r="AE1242" s="559"/>
      <c r="AF1242" s="559"/>
      <c r="AG1242" s="559"/>
      <c r="AH1242" s="559"/>
      <c r="AI1242" s="559"/>
      <c r="AJ1242" s="559"/>
      <c r="AK1242" s="559"/>
      <c r="AL1242" s="559"/>
      <c r="AM1242" s="559"/>
      <c r="AN1242" s="559"/>
      <c r="AO1242" s="559"/>
      <c r="AP1242" s="559"/>
      <c r="AQ1242" s="559"/>
      <c r="AR1242" s="559"/>
      <c r="AS1242" s="559"/>
      <c r="AT1242" s="559"/>
      <c r="AU1242" s="559"/>
      <c r="AV1242" s="559"/>
      <c r="AW1242" s="559"/>
      <c r="AX1242" s="559"/>
      <c r="AY1242" s="559"/>
      <c r="AZ1242" s="559"/>
      <c r="BA1242" s="559"/>
      <c r="BB1242" s="559"/>
      <c r="BC1242" s="559"/>
      <c r="BD1242" s="559"/>
      <c r="BE1242" s="559"/>
      <c r="BF1242" s="559"/>
      <c r="BG1242" s="559"/>
      <c r="BH1242" s="559"/>
      <c r="BI1242" s="559"/>
      <c r="BJ1242" s="559"/>
      <c r="BK1242" s="559"/>
      <c r="BL1242" s="559"/>
    </row>
    <row r="1243" spans="1:64">
      <c r="A1243" s="426"/>
      <c r="B1243" s="426"/>
      <c r="C1243" s="417" t="str">
        <f>[161]Input!$C$47</f>
        <v>Add for MA @ 40%</v>
      </c>
      <c r="D1243" s="409">
        <f>D1242*[161]Input!$D$47</f>
        <v>121.32640000000002</v>
      </c>
      <c r="E1243" s="409">
        <f>E1242*[161]Input!$D$47</f>
        <v>133.45904000000002</v>
      </c>
      <c r="F1243" s="409">
        <f>F1242*[161]Input!$D$47</f>
        <v>145.59168</v>
      </c>
      <c r="G1243" s="409">
        <f>G1242*[161]Input!$D$47</f>
        <v>157.72432000000001</v>
      </c>
      <c r="H1243" s="409">
        <f>H1242*[161]Input!$D$47</f>
        <v>169.85696000000002</v>
      </c>
      <c r="I1243" s="409">
        <f>I1242*[161]Input!$D$47</f>
        <v>181.9896</v>
      </c>
      <c r="J1243" s="472"/>
      <c r="K1243" s="497"/>
      <c r="L1243" s="497"/>
      <c r="M1243" s="498"/>
      <c r="N1243" s="498"/>
      <c r="O1243" s="498"/>
      <c r="P1243" s="498"/>
      <c r="Q1243" s="559"/>
      <c r="R1243" s="559"/>
      <c r="S1243" s="559"/>
      <c r="T1243" s="559"/>
      <c r="U1243" s="559"/>
      <c r="V1243" s="559"/>
      <c r="W1243" s="559"/>
      <c r="X1243" s="559"/>
      <c r="Y1243" s="559"/>
      <c r="Z1243" s="559"/>
      <c r="AA1243" s="559"/>
      <c r="AB1243" s="559"/>
      <c r="AC1243" s="559"/>
      <c r="AD1243" s="559"/>
      <c r="AE1243" s="559"/>
      <c r="AF1243" s="559"/>
      <c r="AG1243" s="559"/>
      <c r="AH1243" s="559"/>
      <c r="AI1243" s="559"/>
      <c r="AJ1243" s="559"/>
      <c r="AK1243" s="559"/>
      <c r="AL1243" s="559"/>
      <c r="AM1243" s="559"/>
      <c r="AN1243" s="559"/>
      <c r="AO1243" s="559"/>
      <c r="AP1243" s="559"/>
      <c r="AQ1243" s="559"/>
      <c r="AR1243" s="559"/>
      <c r="AS1243" s="559"/>
      <c r="AT1243" s="559"/>
      <c r="AU1243" s="559"/>
      <c r="AV1243" s="559"/>
      <c r="AW1243" s="559"/>
      <c r="AX1243" s="559"/>
      <c r="AY1243" s="559"/>
      <c r="AZ1243" s="559"/>
      <c r="BA1243" s="559"/>
      <c r="BB1243" s="559"/>
      <c r="BC1243" s="559"/>
      <c r="BD1243" s="559"/>
      <c r="BE1243" s="559"/>
      <c r="BF1243" s="559"/>
      <c r="BG1243" s="559"/>
      <c r="BH1243" s="559"/>
      <c r="BI1243" s="559"/>
      <c r="BJ1243" s="559"/>
      <c r="BK1243" s="559"/>
      <c r="BL1243" s="559"/>
    </row>
    <row r="1244" spans="1:64" ht="25">
      <c r="A1244" s="426"/>
      <c r="B1244" s="426"/>
      <c r="C1244" s="417" t="s">
        <v>1011</v>
      </c>
      <c r="D1244" s="409">
        <v>0</v>
      </c>
      <c r="E1244" s="409">
        <f>0.267*$D$1193*'[161]Civil-SOR'!$G$334</f>
        <v>15.166935000000002</v>
      </c>
      <c r="F1244" s="409">
        <f t="shared" ref="F1244:F1245" si="248">E1244*1.1</f>
        <v>16.683628500000005</v>
      </c>
      <c r="G1244" s="409">
        <f t="shared" ref="G1244:G1245" si="249">E1244*1.2</f>
        <v>18.200322000000003</v>
      </c>
      <c r="H1244" s="409">
        <f t="shared" ref="H1244:H1245" si="250">E1244*1.3</f>
        <v>19.717015500000002</v>
      </c>
      <c r="I1244" s="409">
        <f t="shared" ref="I1244:I1245" si="251">E1244*1.4</f>
        <v>21.233709000000001</v>
      </c>
      <c r="J1244" s="472"/>
      <c r="K1244" s="497"/>
      <c r="L1244" s="497"/>
      <c r="M1244" s="498"/>
      <c r="N1244" s="498"/>
      <c r="O1244" s="498"/>
      <c r="P1244" s="498"/>
      <c r="Q1244" s="559"/>
      <c r="R1244" s="559"/>
      <c r="S1244" s="559"/>
      <c r="T1244" s="559"/>
      <c r="U1244" s="559"/>
      <c r="V1244" s="559"/>
      <c r="W1244" s="559"/>
      <c r="X1244" s="559"/>
      <c r="Y1244" s="559"/>
      <c r="Z1244" s="559"/>
      <c r="AA1244" s="559"/>
      <c r="AB1244" s="559"/>
      <c r="AC1244" s="559"/>
      <c r="AD1244" s="559"/>
      <c r="AE1244" s="559"/>
      <c r="AF1244" s="559"/>
      <c r="AG1244" s="559"/>
      <c r="AH1244" s="559"/>
      <c r="AI1244" s="559"/>
      <c r="AJ1244" s="559"/>
      <c r="AK1244" s="559"/>
      <c r="AL1244" s="559"/>
      <c r="AM1244" s="559"/>
      <c r="AN1244" s="559"/>
      <c r="AO1244" s="559"/>
      <c r="AP1244" s="559"/>
      <c r="AQ1244" s="559"/>
      <c r="AR1244" s="559"/>
      <c r="AS1244" s="559"/>
      <c r="AT1244" s="559"/>
      <c r="AU1244" s="559"/>
      <c r="AV1244" s="559"/>
      <c r="AW1244" s="559"/>
      <c r="AX1244" s="559"/>
      <c r="AY1244" s="559"/>
      <c r="AZ1244" s="559"/>
      <c r="BA1244" s="559"/>
      <c r="BB1244" s="559"/>
      <c r="BC1244" s="559"/>
      <c r="BD1244" s="559"/>
      <c r="BE1244" s="559"/>
      <c r="BF1244" s="559"/>
      <c r="BG1244" s="559"/>
      <c r="BH1244" s="559"/>
      <c r="BI1244" s="559"/>
      <c r="BJ1244" s="559"/>
      <c r="BK1244" s="559"/>
      <c r="BL1244" s="559"/>
    </row>
    <row r="1245" spans="1:64">
      <c r="A1245" s="426"/>
      <c r="B1245" s="426"/>
      <c r="C1245" s="417" t="s">
        <v>828</v>
      </c>
      <c r="D1245" s="409">
        <v>0</v>
      </c>
      <c r="E1245" s="409">
        <f>0.267*$D$1193*'[161]Civil-SOR'!$J$334</f>
        <v>14.43402</v>
      </c>
      <c r="F1245" s="409">
        <f t="shared" si="248"/>
        <v>15.877422000000001</v>
      </c>
      <c r="G1245" s="409">
        <f t="shared" si="249"/>
        <v>17.320823999999998</v>
      </c>
      <c r="H1245" s="409">
        <f t="shared" si="250"/>
        <v>18.764226000000001</v>
      </c>
      <c r="I1245" s="409">
        <f t="shared" si="251"/>
        <v>20.207628</v>
      </c>
      <c r="J1245" s="472"/>
      <c r="K1245" s="497"/>
      <c r="L1245" s="497"/>
      <c r="M1245" s="498"/>
      <c r="N1245" s="498"/>
      <c r="O1245" s="498"/>
      <c r="P1245" s="498"/>
      <c r="Q1245" s="559"/>
      <c r="R1245" s="559"/>
      <c r="S1245" s="559"/>
      <c r="T1245" s="559"/>
      <c r="U1245" s="559"/>
      <c r="V1245" s="559"/>
      <c r="W1245" s="559"/>
      <c r="X1245" s="559"/>
      <c r="Y1245" s="559"/>
      <c r="Z1245" s="559"/>
      <c r="AA1245" s="559"/>
      <c r="AB1245" s="559"/>
      <c r="AC1245" s="559"/>
      <c r="AD1245" s="559"/>
      <c r="AE1245" s="559"/>
      <c r="AF1245" s="559"/>
      <c r="AG1245" s="559"/>
      <c r="AH1245" s="559"/>
      <c r="AI1245" s="559"/>
      <c r="AJ1245" s="559"/>
      <c r="AK1245" s="559"/>
      <c r="AL1245" s="559"/>
      <c r="AM1245" s="559"/>
      <c r="AN1245" s="559"/>
      <c r="AO1245" s="559"/>
      <c r="AP1245" s="559"/>
      <c r="AQ1245" s="559"/>
      <c r="AR1245" s="559"/>
      <c r="AS1245" s="559"/>
      <c r="AT1245" s="559"/>
      <c r="AU1245" s="559"/>
      <c r="AV1245" s="559"/>
      <c r="AW1245" s="559"/>
      <c r="AX1245" s="559"/>
      <c r="AY1245" s="559"/>
      <c r="AZ1245" s="559"/>
      <c r="BA1245" s="559"/>
      <c r="BB1245" s="559"/>
      <c r="BC1245" s="559"/>
      <c r="BD1245" s="559"/>
      <c r="BE1245" s="559"/>
      <c r="BF1245" s="559"/>
      <c r="BG1245" s="559"/>
      <c r="BH1245" s="559"/>
      <c r="BI1245" s="559"/>
      <c r="BJ1245" s="559"/>
      <c r="BK1245" s="559"/>
      <c r="BL1245" s="559"/>
    </row>
    <row r="1246" spans="1:64">
      <c r="A1246" s="426"/>
      <c r="B1246" s="426"/>
      <c r="C1246" s="417" t="str">
        <f>[161]Input!$C$47</f>
        <v>Add for MA @ 40%</v>
      </c>
      <c r="D1246" s="432">
        <f>D1245*[161]Input!$D$47</f>
        <v>0</v>
      </c>
      <c r="E1246" s="409">
        <f>E1245*[161]Input!$D$47</f>
        <v>5.7736080000000003</v>
      </c>
      <c r="F1246" s="409">
        <f>F1245*[161]Input!$D$47</f>
        <v>6.3509688000000004</v>
      </c>
      <c r="G1246" s="409">
        <f>G1245*[161]Input!$D$47</f>
        <v>6.9283295999999996</v>
      </c>
      <c r="H1246" s="409">
        <f>H1245*[161]Input!$D$47</f>
        <v>7.5056904000000007</v>
      </c>
      <c r="I1246" s="409">
        <f>I1245*[161]Input!$D$47</f>
        <v>8.0830511999999999</v>
      </c>
      <c r="J1246" s="472"/>
      <c r="K1246" s="497"/>
      <c r="L1246" s="497"/>
      <c r="M1246" s="498"/>
      <c r="N1246" s="498"/>
      <c r="O1246" s="498"/>
      <c r="P1246" s="498"/>
      <c r="Q1246" s="560"/>
      <c r="R1246" s="560"/>
      <c r="S1246" s="560"/>
      <c r="T1246" s="560"/>
      <c r="U1246" s="560"/>
      <c r="V1246" s="560"/>
      <c r="W1246" s="560"/>
      <c r="X1246" s="560"/>
      <c r="Y1246" s="560"/>
      <c r="Z1246" s="560"/>
      <c r="AA1246" s="560"/>
      <c r="AB1246" s="560"/>
      <c r="AC1246" s="560"/>
      <c r="AD1246" s="560"/>
      <c r="AE1246" s="560"/>
      <c r="AF1246" s="560"/>
      <c r="AG1246" s="560"/>
      <c r="AH1246" s="560"/>
      <c r="AI1246" s="560"/>
      <c r="AJ1246" s="560"/>
      <c r="AK1246" s="560"/>
      <c r="AL1246" s="560"/>
      <c r="AM1246" s="560"/>
      <c r="AN1246" s="560"/>
      <c r="AO1246" s="560"/>
      <c r="AP1246" s="560"/>
      <c r="AQ1246" s="560"/>
      <c r="AR1246" s="560"/>
      <c r="AS1246" s="560"/>
      <c r="AT1246" s="560"/>
      <c r="AU1246" s="560"/>
      <c r="AV1246" s="560"/>
      <c r="AW1246" s="560"/>
      <c r="AX1246" s="560"/>
      <c r="AY1246" s="560"/>
      <c r="AZ1246" s="560"/>
      <c r="BA1246" s="560"/>
      <c r="BB1246" s="560"/>
      <c r="BC1246" s="560"/>
      <c r="BD1246" s="560"/>
      <c r="BE1246" s="560"/>
      <c r="BF1246" s="560"/>
      <c r="BG1246" s="560"/>
      <c r="BH1246" s="560"/>
      <c r="BI1246" s="560"/>
      <c r="BJ1246" s="560"/>
      <c r="BK1246" s="560"/>
      <c r="BL1246" s="560"/>
    </row>
    <row r="1247" spans="1:64" ht="13">
      <c r="A1247" s="426"/>
      <c r="B1247" s="426"/>
      <c r="C1247" s="427" t="s">
        <v>742</v>
      </c>
      <c r="D1247" s="409">
        <f t="shared" ref="D1247:I1247" si="252">SUM(D1240:D1246)</f>
        <v>1776.8012639999999</v>
      </c>
      <c r="E1247" s="409">
        <f t="shared" si="252"/>
        <v>1854.6400669999998</v>
      </c>
      <c r="F1247" s="409">
        <f t="shared" si="252"/>
        <v>1900.6417632999999</v>
      </c>
      <c r="G1247" s="409">
        <f t="shared" si="252"/>
        <v>1946.6434595999999</v>
      </c>
      <c r="H1247" s="409">
        <f t="shared" si="252"/>
        <v>1992.6451559000002</v>
      </c>
      <c r="I1247" s="409">
        <f t="shared" si="252"/>
        <v>2038.6468522000002</v>
      </c>
      <c r="J1247" s="472"/>
      <c r="K1247" s="497"/>
      <c r="L1247" s="497"/>
      <c r="M1247" s="498"/>
      <c r="N1247" s="498"/>
      <c r="O1247" s="498"/>
      <c r="P1247" s="498"/>
      <c r="Q1247" s="554"/>
      <c r="R1247" s="554"/>
      <c r="S1247" s="554"/>
      <c r="T1247" s="554"/>
      <c r="U1247" s="554"/>
      <c r="V1247" s="554"/>
      <c r="W1247" s="554"/>
      <c r="X1247" s="554"/>
      <c r="Y1247" s="554"/>
      <c r="Z1247" s="554"/>
      <c r="AA1247" s="554"/>
      <c r="AB1247" s="554"/>
      <c r="AC1247" s="554"/>
      <c r="AD1247" s="554"/>
      <c r="AE1247" s="554"/>
      <c r="AF1247" s="554"/>
      <c r="AG1247" s="554"/>
      <c r="AH1247" s="554"/>
      <c r="AI1247" s="554"/>
      <c r="AJ1247" s="554"/>
      <c r="AK1247" s="554"/>
      <c r="AL1247" s="554"/>
      <c r="AM1247" s="554"/>
      <c r="AN1247" s="554"/>
      <c r="AO1247" s="554"/>
      <c r="AP1247" s="554"/>
      <c r="AQ1247" s="554"/>
      <c r="AR1247" s="554"/>
      <c r="AS1247" s="554"/>
      <c r="AT1247" s="554"/>
      <c r="AU1247" s="554"/>
      <c r="AV1247" s="554"/>
      <c r="AW1247" s="554"/>
      <c r="AX1247" s="554"/>
      <c r="AY1247" s="554"/>
      <c r="AZ1247" s="554"/>
      <c r="BA1247" s="554"/>
      <c r="BB1247" s="554"/>
      <c r="BC1247" s="554"/>
      <c r="BD1247" s="554"/>
      <c r="BE1247" s="554"/>
      <c r="BF1247" s="554"/>
      <c r="BG1247" s="554"/>
      <c r="BH1247" s="554"/>
      <c r="BI1247" s="554"/>
      <c r="BJ1247" s="554"/>
      <c r="BK1247" s="554"/>
      <c r="BL1247" s="554"/>
    </row>
    <row r="1248" spans="1:64" ht="25">
      <c r="A1248" s="426"/>
      <c r="B1248" s="426"/>
      <c r="C1248" s="417" t="str">
        <f>[161]Input!$C$48</f>
        <v>Overheads &amp; Contractors Profit @ 13.615%</v>
      </c>
      <c r="D1248" s="426">
        <f>ROUND(D1247*[161]Input!$D$48,2)</f>
        <v>241.91</v>
      </c>
      <c r="E1248" s="426">
        <f>ROUND(E1247*[161]Input!$D$48,2)</f>
        <v>252.51</v>
      </c>
      <c r="F1248" s="426">
        <f>ROUND(F1247*[161]Input!$D$48,2)</f>
        <v>258.77</v>
      </c>
      <c r="G1248" s="426">
        <f>ROUND(G1247*[161]Input!$D$48,2)</f>
        <v>265.04000000000002</v>
      </c>
      <c r="H1248" s="426">
        <f>ROUND(H1247*[161]Input!$D$48,2)</f>
        <v>271.3</v>
      </c>
      <c r="I1248" s="426">
        <f>ROUND(I1247*[161]Input!$D$48,2)</f>
        <v>277.56</v>
      </c>
      <c r="J1248" s="472"/>
      <c r="K1248" s="497"/>
      <c r="L1248" s="497"/>
      <c r="M1248" s="498"/>
      <c r="N1248" s="498"/>
      <c r="O1248" s="498"/>
      <c r="P1248" s="498"/>
    </row>
    <row r="1249" spans="1:64" ht="13">
      <c r="A1249" s="426"/>
      <c r="B1249" s="426"/>
      <c r="C1249" s="427" t="s">
        <v>742</v>
      </c>
      <c r="D1249" s="434">
        <f t="shared" ref="D1249:I1249" si="253">ROUND(SUM(D1247:D1248),0)</f>
        <v>2019</v>
      </c>
      <c r="E1249" s="434">
        <f t="shared" si="253"/>
        <v>2107</v>
      </c>
      <c r="F1249" s="434">
        <f t="shared" si="253"/>
        <v>2159</v>
      </c>
      <c r="G1249" s="434">
        <f t="shared" si="253"/>
        <v>2212</v>
      </c>
      <c r="H1249" s="434">
        <f t="shared" si="253"/>
        <v>2264</v>
      </c>
      <c r="I1249" s="434">
        <f t="shared" si="253"/>
        <v>2316</v>
      </c>
      <c r="J1249" s="472"/>
      <c r="K1249" s="497"/>
      <c r="L1249" s="497"/>
      <c r="M1249" s="498"/>
      <c r="N1249" s="498"/>
      <c r="O1249" s="498"/>
      <c r="P1249" s="498"/>
      <c r="Q1249" s="404"/>
      <c r="R1249" s="404"/>
      <c r="S1249" s="404"/>
      <c r="T1249" s="404"/>
      <c r="U1249" s="404"/>
      <c r="V1249" s="404"/>
      <c r="W1249" s="404"/>
      <c r="X1249" s="404"/>
      <c r="Y1249" s="404"/>
      <c r="Z1249" s="404"/>
      <c r="AA1249" s="404"/>
      <c r="AB1249" s="404"/>
      <c r="AC1249" s="404"/>
      <c r="AD1249" s="404"/>
      <c r="AE1249" s="404"/>
      <c r="AF1249" s="404"/>
      <c r="AG1249" s="404"/>
      <c r="AH1249" s="404"/>
      <c r="AI1249" s="404"/>
      <c r="AJ1249" s="404"/>
      <c r="AK1249" s="404"/>
      <c r="AL1249" s="404"/>
      <c r="AM1249" s="404"/>
      <c r="AN1249" s="404"/>
      <c r="AO1249" s="404"/>
      <c r="AP1249" s="404"/>
      <c r="AQ1249" s="404"/>
      <c r="AR1249" s="404"/>
      <c r="AS1249" s="404"/>
      <c r="AT1249" s="404"/>
      <c r="AU1249" s="404"/>
      <c r="AV1249" s="404"/>
      <c r="AW1249" s="404"/>
      <c r="AX1249" s="404"/>
      <c r="AY1249" s="404"/>
      <c r="AZ1249" s="404"/>
      <c r="BA1249" s="404"/>
      <c r="BB1249" s="404"/>
      <c r="BC1249" s="404"/>
      <c r="BD1249" s="404"/>
      <c r="BE1249" s="404"/>
      <c r="BF1249" s="404"/>
      <c r="BG1249" s="404"/>
      <c r="BH1249" s="404"/>
      <c r="BI1249" s="404"/>
      <c r="BJ1249" s="404"/>
      <c r="BK1249" s="404"/>
      <c r="BL1249" s="404"/>
    </row>
    <row r="1250" spans="1:64" ht="13">
      <c r="A1250" s="426"/>
      <c r="B1250" s="426"/>
      <c r="C1250" s="514"/>
      <c r="D1250" s="416"/>
      <c r="E1250" s="416"/>
      <c r="F1250" s="416"/>
      <c r="G1250" s="416"/>
      <c r="H1250" s="416"/>
      <c r="I1250" s="416"/>
      <c r="J1250" s="472"/>
      <c r="K1250" s="497"/>
      <c r="L1250" s="497"/>
      <c r="M1250" s="498"/>
      <c r="N1250" s="498"/>
      <c r="O1250" s="498"/>
      <c r="P1250" s="498"/>
    </row>
    <row r="1251" spans="1:64" ht="12.75" customHeight="1">
      <c r="A1251" s="426"/>
      <c r="B1251" s="426"/>
      <c r="C1251" s="1294" t="s">
        <v>1014</v>
      </c>
      <c r="D1251" s="1294"/>
      <c r="E1251" s="1294"/>
      <c r="F1251" s="416"/>
      <c r="G1251" s="416"/>
      <c r="H1251" s="416"/>
      <c r="I1251" s="414"/>
      <c r="J1251" s="472"/>
      <c r="K1251" s="497"/>
      <c r="L1251" s="497"/>
      <c r="M1251" s="498"/>
      <c r="N1251" s="498"/>
      <c r="O1251" s="498"/>
      <c r="P1251" s="498"/>
    </row>
    <row r="1252" spans="1:64" ht="13">
      <c r="A1252" s="426"/>
      <c r="B1252" s="474" t="s">
        <v>951</v>
      </c>
      <c r="C1252" s="451" t="s">
        <v>958</v>
      </c>
      <c r="D1252" s="426"/>
      <c r="E1252" s="426"/>
      <c r="F1252" s="426"/>
      <c r="G1252" s="410"/>
      <c r="H1252" s="426"/>
      <c r="I1252" s="434"/>
      <c r="J1252" s="472"/>
      <c r="K1252" s="497"/>
      <c r="L1252" s="497"/>
      <c r="M1252" s="498"/>
      <c r="N1252" s="498"/>
      <c r="O1252" s="498"/>
      <c r="P1252" s="498"/>
    </row>
    <row r="1253" spans="1:64" ht="13">
      <c r="A1253" s="426"/>
      <c r="B1253" s="426"/>
      <c r="C1253" s="427" t="s">
        <v>953</v>
      </c>
      <c r="D1253" s="474" t="s">
        <v>1009</v>
      </c>
      <c r="E1253" s="474" t="s">
        <v>943</v>
      </c>
      <c r="F1253" s="492" t="s">
        <v>944</v>
      </c>
      <c r="G1253" s="492" t="s">
        <v>945</v>
      </c>
      <c r="H1253" s="492"/>
      <c r="I1253" s="492"/>
      <c r="J1253" s="472"/>
      <c r="K1253" s="497"/>
      <c r="L1253" s="497"/>
      <c r="M1253" s="498"/>
      <c r="N1253" s="498"/>
      <c r="O1253" s="498"/>
      <c r="P1253" s="498"/>
    </row>
    <row r="1254" spans="1:64">
      <c r="A1254" s="426"/>
      <c r="B1254" s="426"/>
      <c r="C1254" s="417" t="s">
        <v>954</v>
      </c>
      <c r="D1254" s="432">
        <f>+$I$1193</f>
        <v>1041.8432640000001</v>
      </c>
      <c r="E1254" s="432">
        <f>+$I$1193</f>
        <v>1041.8432640000001</v>
      </c>
      <c r="F1254" s="432">
        <f>+$I$1193</f>
        <v>1041.8432640000001</v>
      </c>
      <c r="G1254" s="432">
        <f>+$I$1193</f>
        <v>1041.8432640000001</v>
      </c>
      <c r="H1254" s="409"/>
      <c r="I1254" s="409"/>
      <c r="J1254" s="472"/>
      <c r="K1254" s="497"/>
      <c r="L1254" s="497"/>
      <c r="M1254" s="498"/>
      <c r="N1254" s="498"/>
      <c r="O1254" s="498"/>
      <c r="P1254" s="498"/>
    </row>
    <row r="1255" spans="1:64">
      <c r="A1255" s="426"/>
      <c r="B1255" s="426"/>
      <c r="C1255" s="417" t="s">
        <v>921</v>
      </c>
      <c r="D1255" s="409">
        <f>'[161]Civil-SOR'!$F$269+('[161]Civil-SOR'!$F$269*32.32%)</f>
        <v>351.97120000000001</v>
      </c>
      <c r="E1255" s="409">
        <f>'[161]Civil-SOR'!$F$269+('[161]Civil-SOR'!$F$269*33.32%)</f>
        <v>354.63119999999998</v>
      </c>
      <c r="F1255" s="409">
        <f>'[161]Civil-SOR'!$F$269+('[161]Civil-SOR'!$F$269*33.32%)</f>
        <v>354.63119999999998</v>
      </c>
      <c r="G1255" s="409">
        <f>'[161]Civil-SOR'!$F$269+('[161]Civil-SOR'!$F$269*33.32%)</f>
        <v>354.63119999999998</v>
      </c>
      <c r="H1255" s="409"/>
      <c r="I1255" s="409"/>
      <c r="J1255" s="472"/>
      <c r="K1255" s="497"/>
      <c r="L1255" s="497"/>
      <c r="M1255" s="498"/>
      <c r="N1255" s="498"/>
      <c r="O1255" s="498"/>
      <c r="P1255" s="498"/>
    </row>
    <row r="1256" spans="1:64">
      <c r="A1256" s="426"/>
      <c r="B1256" s="426"/>
      <c r="C1256" s="417" t="s">
        <v>1010</v>
      </c>
      <c r="D1256" s="408">
        <f>'[161]Civil-SOR'!$G$269+('[161]Civil-SOR'!$G$269*33.32%)</f>
        <v>346.63200000000001</v>
      </c>
      <c r="E1256" s="408">
        <f>'[161]Civil-SOR'!$H$269+('[161]Civil-SOR'!$H$269*33.32%)</f>
        <v>381.29520000000002</v>
      </c>
      <c r="F1256" s="408">
        <f>'[161]Civil-SOR'!$I$269+('[161]Civil-SOR'!$I$269*33.32%)</f>
        <v>415.95839999999998</v>
      </c>
      <c r="G1256" s="408">
        <f>'[161]Civil-SOR'!$J$269+('[161]Civil-SOR'!$J$269*33.32%)</f>
        <v>450.6216</v>
      </c>
      <c r="H1256" s="408"/>
      <c r="I1256" s="408"/>
      <c r="J1256" s="472"/>
      <c r="K1256" s="497"/>
      <c r="L1256" s="497"/>
      <c r="M1256" s="498"/>
      <c r="N1256" s="498"/>
      <c r="O1256" s="498"/>
      <c r="P1256" s="498"/>
    </row>
    <row r="1257" spans="1:64">
      <c r="A1257" s="426"/>
      <c r="B1257" s="426"/>
      <c r="C1257" s="417" t="str">
        <f>[161]Input!$C$47</f>
        <v>Add for MA @ 40%</v>
      </c>
      <c r="D1257" s="409">
        <f>D1256*[161]Input!$D$47</f>
        <v>138.65280000000001</v>
      </c>
      <c r="E1257" s="409">
        <f>E1256*[161]Input!$D$47</f>
        <v>152.51808000000003</v>
      </c>
      <c r="F1257" s="409">
        <f>F1256*[161]Input!$D$47</f>
        <v>166.38336000000001</v>
      </c>
      <c r="G1257" s="409">
        <f>G1256*[161]Input!$D$47</f>
        <v>180.24864000000002</v>
      </c>
      <c r="H1257" s="409"/>
      <c r="I1257" s="409"/>
      <c r="J1257" s="472"/>
      <c r="K1257" s="497"/>
      <c r="L1257" s="497"/>
      <c r="M1257" s="498"/>
      <c r="N1257" s="498"/>
      <c r="O1257" s="498"/>
      <c r="P1257" s="498"/>
    </row>
    <row r="1258" spans="1:64" ht="25">
      <c r="A1258" s="426"/>
      <c r="B1258" s="426"/>
      <c r="C1258" s="417" t="s">
        <v>1011</v>
      </c>
      <c r="D1258" s="409">
        <v>0</v>
      </c>
      <c r="E1258" s="409">
        <f>0.267*$D$1193*'[161]Civil-SOR'!$G$334</f>
        <v>15.166935000000002</v>
      </c>
      <c r="F1258" s="409">
        <f t="shared" ref="F1258:F1259" si="254">E1258*1.1</f>
        <v>16.683628500000005</v>
      </c>
      <c r="G1258" s="409">
        <f t="shared" ref="G1258:G1259" si="255">E1258*1.2</f>
        <v>18.200322000000003</v>
      </c>
      <c r="H1258" s="409"/>
      <c r="I1258" s="409"/>
      <c r="J1258" s="472"/>
      <c r="K1258" s="497"/>
      <c r="L1258" s="497"/>
      <c r="M1258" s="498"/>
      <c r="N1258" s="498"/>
      <c r="O1258" s="498"/>
      <c r="P1258" s="498"/>
    </row>
    <row r="1259" spans="1:64">
      <c r="A1259" s="426"/>
      <c r="B1259" s="426"/>
      <c r="C1259" s="417" t="s">
        <v>828</v>
      </c>
      <c r="D1259" s="409">
        <v>0</v>
      </c>
      <c r="E1259" s="409">
        <f>0.267*$D$1193*'[161]Civil-SOR'!$J$334</f>
        <v>14.43402</v>
      </c>
      <c r="F1259" s="409">
        <f t="shared" si="254"/>
        <v>15.877422000000001</v>
      </c>
      <c r="G1259" s="409">
        <f t="shared" si="255"/>
        <v>17.320823999999998</v>
      </c>
      <c r="H1259" s="409"/>
      <c r="I1259" s="409"/>
      <c r="J1259" s="472"/>
      <c r="K1259" s="497"/>
      <c r="L1259" s="497"/>
      <c r="M1259" s="498"/>
      <c r="N1259" s="498"/>
      <c r="O1259" s="498"/>
      <c r="P1259" s="498"/>
    </row>
    <row r="1260" spans="1:64">
      <c r="A1260" s="426"/>
      <c r="B1260" s="426"/>
      <c r="C1260" s="417" t="str">
        <f>[161]Input!$C$47</f>
        <v>Add for MA @ 40%</v>
      </c>
      <c r="D1260" s="432">
        <f>D1259*[161]Input!$D$47</f>
        <v>0</v>
      </c>
      <c r="E1260" s="409">
        <f>E1259*[161]Input!$D$47</f>
        <v>5.7736080000000003</v>
      </c>
      <c r="F1260" s="409">
        <f>F1259*[161]Input!$D$47</f>
        <v>6.3509688000000004</v>
      </c>
      <c r="G1260" s="409">
        <f>G1259*[161]Input!$D$47</f>
        <v>6.9283295999999996</v>
      </c>
      <c r="H1260" s="409"/>
      <c r="I1260" s="409"/>
      <c r="J1260" s="472"/>
      <c r="K1260" s="497"/>
      <c r="L1260" s="497"/>
      <c r="M1260" s="498"/>
      <c r="N1260" s="498"/>
      <c r="O1260" s="498"/>
      <c r="P1260" s="498"/>
    </row>
    <row r="1261" spans="1:64" ht="13">
      <c r="A1261" s="426"/>
      <c r="B1261" s="426"/>
      <c r="C1261" s="427" t="s">
        <v>742</v>
      </c>
      <c r="D1261" s="409">
        <f>SUM(D1254:D1260)</f>
        <v>1879.0992640000002</v>
      </c>
      <c r="E1261" s="409">
        <f>SUM(E1254:E1260)</f>
        <v>1965.6623070000001</v>
      </c>
      <c r="F1261" s="409">
        <f>SUM(F1254:F1260)</f>
        <v>2017.7282433</v>
      </c>
      <c r="G1261" s="409">
        <f>SUM(G1254:G1260)</f>
        <v>2069.7941796</v>
      </c>
      <c r="H1261" s="409"/>
      <c r="I1261" s="409"/>
      <c r="J1261" s="472"/>
      <c r="K1261" s="497"/>
      <c r="L1261" s="497"/>
      <c r="M1261" s="498"/>
      <c r="N1261" s="498"/>
      <c r="O1261" s="498"/>
      <c r="P1261" s="498"/>
    </row>
    <row r="1262" spans="1:64" ht="25">
      <c r="A1262" s="426"/>
      <c r="B1262" s="426"/>
      <c r="C1262" s="417" t="str">
        <f>[161]Input!$C$48</f>
        <v>Overheads &amp; Contractors Profit @ 13.615%</v>
      </c>
      <c r="D1262" s="426">
        <f>ROUND(D1261*[161]Input!$D$48,2)</f>
        <v>255.84</v>
      </c>
      <c r="E1262" s="426">
        <f>ROUND(E1261*[161]Input!$D$48,2)</f>
        <v>267.62</v>
      </c>
      <c r="F1262" s="426">
        <f>ROUND(F1261*[161]Input!$D$48,2)</f>
        <v>274.70999999999998</v>
      </c>
      <c r="G1262" s="426">
        <f>ROUND(G1261*[161]Input!$D$48,2)</f>
        <v>281.8</v>
      </c>
      <c r="H1262" s="426"/>
      <c r="I1262" s="426"/>
      <c r="J1262" s="472"/>
      <c r="K1262" s="497"/>
      <c r="L1262" s="497"/>
      <c r="M1262" s="498"/>
      <c r="N1262" s="498"/>
      <c r="O1262" s="498"/>
      <c r="P1262" s="498"/>
    </row>
    <row r="1263" spans="1:64" ht="13">
      <c r="A1263" s="426"/>
      <c r="B1263" s="426"/>
      <c r="C1263" s="427" t="s">
        <v>742</v>
      </c>
      <c r="D1263" s="409">
        <f>SUM(D1261:D1262)</f>
        <v>2134.9392640000001</v>
      </c>
      <c r="E1263" s="409">
        <f>SUM(E1261:E1262)</f>
        <v>2233.2823069999999</v>
      </c>
      <c r="F1263" s="409">
        <f>SUM(F1261:F1262)</f>
        <v>2292.4382433000001</v>
      </c>
      <c r="G1263" s="409">
        <f>SUM(G1261:G1262)</f>
        <v>2351.5941796000002</v>
      </c>
      <c r="H1263" s="409"/>
      <c r="I1263" s="409"/>
      <c r="J1263" s="472"/>
      <c r="K1263" s="497"/>
      <c r="L1263" s="497"/>
      <c r="M1263" s="498"/>
      <c r="N1263" s="498"/>
      <c r="O1263" s="498"/>
      <c r="P1263" s="498"/>
    </row>
    <row r="1264" spans="1:64" ht="13">
      <c r="A1264" s="426"/>
      <c r="B1264" s="426"/>
      <c r="C1264" s="514" t="s">
        <v>726</v>
      </c>
      <c r="D1264" s="416">
        <f>ROUND(D1263,0)</f>
        <v>2135</v>
      </c>
      <c r="E1264" s="416">
        <f>ROUND(E1263,0)</f>
        <v>2233</v>
      </c>
      <c r="F1264" s="416">
        <f>ROUND(F1263,0)</f>
        <v>2292</v>
      </c>
      <c r="G1264" s="416">
        <f>ROUND(G1263,0)</f>
        <v>2352</v>
      </c>
      <c r="H1264" s="416"/>
      <c r="I1264" s="416"/>
      <c r="J1264" s="472"/>
      <c r="K1264" s="497"/>
      <c r="L1264" s="497"/>
      <c r="M1264" s="498"/>
      <c r="N1264" s="498"/>
      <c r="O1264" s="498"/>
      <c r="P1264" s="498"/>
    </row>
    <row r="1265" spans="1:16" ht="13">
      <c r="A1265" s="426"/>
      <c r="B1265" s="474" t="s">
        <v>733</v>
      </c>
      <c r="C1265" s="451" t="s">
        <v>1015</v>
      </c>
      <c r="D1265" s="426"/>
      <c r="E1265" s="426"/>
      <c r="F1265" s="426"/>
      <c r="G1265" s="410"/>
      <c r="H1265" s="474"/>
      <c r="I1265" s="434"/>
      <c r="J1265" s="472"/>
      <c r="K1265" s="497"/>
      <c r="L1265" s="497"/>
      <c r="M1265" s="498"/>
      <c r="N1265" s="498"/>
      <c r="O1265" s="498"/>
      <c r="P1265" s="498"/>
    </row>
    <row r="1266" spans="1:16" ht="13">
      <c r="A1266" s="426"/>
      <c r="B1266" s="426"/>
      <c r="C1266" s="417" t="s">
        <v>920</v>
      </c>
      <c r="D1266" s="491">
        <v>0.17499999999999999</v>
      </c>
      <c r="E1266" s="426" t="s">
        <v>57</v>
      </c>
      <c r="F1266" s="409">
        <f>$I$1033</f>
        <v>6945.6217600000009</v>
      </c>
      <c r="G1266" s="410">
        <v>1</v>
      </c>
      <c r="H1266" s="426" t="s">
        <v>57</v>
      </c>
      <c r="I1266" s="414">
        <f>IF(G1266="",D1266*F1266,(D1266*F1266/G1266))</f>
        <v>1215.4838080000002</v>
      </c>
      <c r="J1266" s="472"/>
      <c r="K1266" s="497"/>
      <c r="L1266" s="497"/>
      <c r="M1266" s="498"/>
      <c r="N1266" s="498"/>
      <c r="O1266" s="498"/>
      <c r="P1266" s="498"/>
    </row>
    <row r="1267" spans="1:16" ht="13">
      <c r="A1267" s="426"/>
      <c r="B1267" s="426"/>
      <c r="C1267" s="417"/>
      <c r="D1267" s="409"/>
      <c r="E1267" s="426"/>
      <c r="F1267" s="409"/>
      <c r="G1267" s="410"/>
      <c r="H1267" s="426"/>
      <c r="I1267" s="414"/>
      <c r="J1267" s="472"/>
      <c r="K1267" s="497"/>
      <c r="L1267" s="497"/>
      <c r="M1267" s="498"/>
      <c r="N1267" s="498"/>
      <c r="O1267" s="498"/>
      <c r="P1267" s="498"/>
    </row>
    <row r="1268" spans="1:16" ht="26">
      <c r="A1268" s="426"/>
      <c r="B1268" s="474" t="s">
        <v>951</v>
      </c>
      <c r="C1268" s="451" t="s">
        <v>1000</v>
      </c>
      <c r="D1268" s="426"/>
      <c r="E1268" s="426"/>
      <c r="F1268" s="426"/>
      <c r="G1268" s="410"/>
      <c r="H1268" s="426"/>
      <c r="I1268" s="434"/>
      <c r="J1268" s="472"/>
      <c r="K1268" s="497"/>
      <c r="L1268" s="497"/>
      <c r="M1268" s="498"/>
      <c r="N1268" s="498"/>
      <c r="O1268" s="498"/>
      <c r="P1268" s="498"/>
    </row>
    <row r="1269" spans="1:16" ht="13">
      <c r="A1269" s="426"/>
      <c r="B1269" s="426"/>
      <c r="C1269" s="427" t="s">
        <v>953</v>
      </c>
      <c r="D1269" s="474" t="s">
        <v>1009</v>
      </c>
      <c r="E1269" s="474" t="s">
        <v>943</v>
      </c>
      <c r="F1269" s="492" t="s">
        <v>944</v>
      </c>
      <c r="G1269" s="492" t="s">
        <v>945</v>
      </c>
      <c r="H1269" s="492" t="s">
        <v>946</v>
      </c>
      <c r="I1269" s="492" t="s">
        <v>947</v>
      </c>
      <c r="J1269" s="472"/>
      <c r="K1269" s="497"/>
      <c r="L1269" s="497"/>
      <c r="M1269" s="498"/>
      <c r="N1269" s="498"/>
      <c r="O1269" s="498"/>
      <c r="P1269" s="498"/>
    </row>
    <row r="1270" spans="1:16">
      <c r="A1270" s="426"/>
      <c r="B1270" s="426"/>
      <c r="C1270" s="417" t="s">
        <v>954</v>
      </c>
      <c r="D1270" s="409">
        <f t="shared" ref="D1270:I1270" si="256">$I$1266</f>
        <v>1215.4838080000002</v>
      </c>
      <c r="E1270" s="409">
        <f t="shared" si="256"/>
        <v>1215.4838080000002</v>
      </c>
      <c r="F1270" s="409">
        <f t="shared" si="256"/>
        <v>1215.4838080000002</v>
      </c>
      <c r="G1270" s="409">
        <f t="shared" si="256"/>
        <v>1215.4838080000002</v>
      </c>
      <c r="H1270" s="409">
        <f t="shared" si="256"/>
        <v>1215.4838080000002</v>
      </c>
      <c r="I1270" s="409">
        <f t="shared" si="256"/>
        <v>1215.4838080000002</v>
      </c>
      <c r="J1270" s="472"/>
      <c r="K1270" s="497"/>
      <c r="L1270" s="497"/>
      <c r="M1270" s="498"/>
      <c r="N1270" s="498"/>
      <c r="O1270" s="498"/>
      <c r="P1270" s="498"/>
    </row>
    <row r="1271" spans="1:16">
      <c r="A1271" s="426"/>
      <c r="B1271" s="426"/>
      <c r="C1271" s="417" t="s">
        <v>921</v>
      </c>
      <c r="D1271" s="409">
        <f>'[161]Civil-SOR'!$F$270</f>
        <v>274</v>
      </c>
      <c r="E1271" s="409">
        <f>'[161]Civil-SOR'!$F$270</f>
        <v>274</v>
      </c>
      <c r="F1271" s="409">
        <f>'[161]Civil-SOR'!$F$270</f>
        <v>274</v>
      </c>
      <c r="G1271" s="409">
        <f>'[161]Civil-SOR'!$F$270</f>
        <v>274</v>
      </c>
      <c r="H1271" s="409">
        <f>'[161]Civil-SOR'!$F$270</f>
        <v>274</v>
      </c>
      <c r="I1271" s="409">
        <f>'[161]Civil-SOR'!$F$270</f>
        <v>274</v>
      </c>
      <c r="J1271" s="472"/>
      <c r="K1271" s="497"/>
      <c r="L1271" s="497"/>
      <c r="M1271" s="498"/>
      <c r="N1271" s="498"/>
      <c r="O1271" s="498"/>
      <c r="P1271" s="498"/>
    </row>
    <row r="1272" spans="1:16">
      <c r="A1272" s="426"/>
      <c r="B1272" s="426"/>
      <c r="C1272" s="417" t="s">
        <v>1010</v>
      </c>
      <c r="D1272" s="408">
        <f>'[161]Civil-SOR'!$G$270</f>
        <v>267</v>
      </c>
      <c r="E1272" s="408">
        <f>'[161]Civil-SOR'!$H$270</f>
        <v>294</v>
      </c>
      <c r="F1272" s="408">
        <f>'[161]Civil-SOR'!$I$270</f>
        <v>320</v>
      </c>
      <c r="G1272" s="408">
        <f>'[161]Civil-SOR'!$J$270</f>
        <v>347</v>
      </c>
      <c r="H1272" s="408">
        <f>'[161]Civil-SOR'!$K$270</f>
        <v>374</v>
      </c>
      <c r="I1272" s="408">
        <f>'[161]Civil-SOR'!$L$270</f>
        <v>401</v>
      </c>
      <c r="J1272" s="472"/>
      <c r="K1272" s="497"/>
      <c r="L1272" s="497"/>
      <c r="M1272" s="498"/>
      <c r="N1272" s="498"/>
      <c r="O1272" s="498"/>
      <c r="P1272" s="498"/>
    </row>
    <row r="1273" spans="1:16">
      <c r="A1273" s="426"/>
      <c r="B1273" s="426"/>
      <c r="C1273" s="417" t="str">
        <f>[161]Input!$C$47</f>
        <v>Add for MA @ 40%</v>
      </c>
      <c r="D1273" s="409">
        <f>D1272*[161]Input!$D$47</f>
        <v>106.80000000000001</v>
      </c>
      <c r="E1273" s="409">
        <f>E1272*[161]Input!$D$47</f>
        <v>117.60000000000001</v>
      </c>
      <c r="F1273" s="409">
        <f>F1272*[161]Input!$D$47</f>
        <v>128</v>
      </c>
      <c r="G1273" s="409">
        <f>G1272*[161]Input!$D$47</f>
        <v>138.80000000000001</v>
      </c>
      <c r="H1273" s="409">
        <f>H1272*[161]Input!$D$47</f>
        <v>149.6</v>
      </c>
      <c r="I1273" s="409">
        <f>I1272*[161]Input!$D$47</f>
        <v>160.4</v>
      </c>
      <c r="J1273" s="472"/>
      <c r="K1273" s="497"/>
      <c r="L1273" s="497"/>
      <c r="M1273" s="498"/>
      <c r="N1273" s="498"/>
      <c r="O1273" s="498"/>
      <c r="P1273" s="498"/>
    </row>
    <row r="1274" spans="1:16">
      <c r="A1274" s="426"/>
      <c r="B1274" s="426"/>
      <c r="C1274" s="417" t="s">
        <v>994</v>
      </c>
      <c r="D1274" s="409">
        <v>0</v>
      </c>
      <c r="E1274" s="409">
        <f>$D$1266*$F$1025*0.1</f>
        <v>29.960875000000001</v>
      </c>
      <c r="F1274" s="409">
        <f>$D$1266*$F$1025*0.2</f>
        <v>59.921750000000003</v>
      </c>
      <c r="G1274" s="409">
        <f>$D$1266*$F$1025*0.3</f>
        <v>89.88262499999999</v>
      </c>
      <c r="H1274" s="409">
        <f>$D$1266*$F$1025*0.4</f>
        <v>119.84350000000001</v>
      </c>
      <c r="I1274" s="409">
        <f>$D$1266*$F$1025*0.5</f>
        <v>149.80437499999999</v>
      </c>
      <c r="J1274" s="472"/>
      <c r="K1274" s="497"/>
      <c r="L1274" s="497"/>
      <c r="M1274" s="498"/>
      <c r="N1274" s="498"/>
      <c r="O1274" s="498"/>
      <c r="P1274" s="498"/>
    </row>
    <row r="1275" spans="1:16">
      <c r="A1275" s="426"/>
      <c r="B1275" s="426"/>
      <c r="C1275" s="417" t="str">
        <f>[161]Input!$C$47</f>
        <v>Add for MA @ 40%</v>
      </c>
      <c r="D1275" s="432">
        <f>D1274*[161]Input!$D$47</f>
        <v>0</v>
      </c>
      <c r="E1275" s="409">
        <f>E1274*[161]Input!$D$47</f>
        <v>11.984350000000001</v>
      </c>
      <c r="F1275" s="409">
        <f>F1274*[161]Input!$D$47</f>
        <v>23.968700000000002</v>
      </c>
      <c r="G1275" s="409">
        <f>G1274*[161]Input!$D$47</f>
        <v>35.953049999999998</v>
      </c>
      <c r="H1275" s="409">
        <f>H1274*[161]Input!$D$47</f>
        <v>47.937400000000004</v>
      </c>
      <c r="I1275" s="409">
        <f>I1274*[161]Input!$D$47</f>
        <v>59.921750000000003</v>
      </c>
      <c r="J1275" s="472"/>
      <c r="K1275" s="497"/>
      <c r="L1275" s="497"/>
      <c r="M1275" s="498"/>
      <c r="N1275" s="498"/>
      <c r="O1275" s="498"/>
      <c r="P1275" s="498"/>
    </row>
    <row r="1276" spans="1:16" ht="13">
      <c r="A1276" s="426"/>
      <c r="B1276" s="426"/>
      <c r="C1276" s="427" t="s">
        <v>742</v>
      </c>
      <c r="D1276" s="409">
        <f t="shared" ref="D1276:I1276" si="257">SUM(D1270:D1275)</f>
        <v>1863.2838080000001</v>
      </c>
      <c r="E1276" s="409">
        <f t="shared" si="257"/>
        <v>1943.029033</v>
      </c>
      <c r="F1276" s="409">
        <f t="shared" si="257"/>
        <v>2021.3742580000001</v>
      </c>
      <c r="G1276" s="409">
        <f t="shared" si="257"/>
        <v>2101.1194830000004</v>
      </c>
      <c r="H1276" s="409">
        <f t="shared" si="257"/>
        <v>2180.8647080000001</v>
      </c>
      <c r="I1276" s="409">
        <f t="shared" si="257"/>
        <v>2260.6099330000002</v>
      </c>
      <c r="J1276" s="472"/>
      <c r="K1276" s="497"/>
      <c r="L1276" s="497"/>
      <c r="M1276" s="498"/>
      <c r="N1276" s="498"/>
      <c r="O1276" s="498"/>
      <c r="P1276" s="498"/>
    </row>
    <row r="1277" spans="1:16" ht="25">
      <c r="A1277" s="426"/>
      <c r="B1277" s="426"/>
      <c r="C1277" s="417" t="str">
        <f>[161]Input!$C$48</f>
        <v>Overheads &amp; Contractors Profit @ 13.615%</v>
      </c>
      <c r="D1277" s="426">
        <f>ROUND(D1276*[161]Input!$D$48,2)</f>
        <v>253.69</v>
      </c>
      <c r="E1277" s="426">
        <f>ROUND(E1276*[161]Input!$D$48,2)</f>
        <v>264.54000000000002</v>
      </c>
      <c r="F1277" s="426">
        <f>ROUND(F1276*[161]Input!$D$48,2)</f>
        <v>275.20999999999998</v>
      </c>
      <c r="G1277" s="426">
        <f>ROUND(G1276*[161]Input!$D$48,2)</f>
        <v>286.07</v>
      </c>
      <c r="H1277" s="426">
        <f>ROUND(H1276*[161]Input!$D$48,2)</f>
        <v>296.92</v>
      </c>
      <c r="I1277" s="426">
        <f>ROUND(I1276*[161]Input!$D$48,2)</f>
        <v>307.77999999999997</v>
      </c>
      <c r="J1277" s="472"/>
      <c r="K1277" s="497"/>
      <c r="L1277" s="497"/>
      <c r="M1277" s="498"/>
      <c r="N1277" s="498"/>
      <c r="O1277" s="498"/>
      <c r="P1277" s="498"/>
    </row>
    <row r="1278" spans="1:16" ht="13">
      <c r="A1278" s="426"/>
      <c r="B1278" s="426"/>
      <c r="C1278" s="427" t="s">
        <v>742</v>
      </c>
      <c r="D1278" s="409">
        <f t="shared" ref="D1278:I1278" si="258">SUM(D1276:D1277)</f>
        <v>2116.9738080000002</v>
      </c>
      <c r="E1278" s="409">
        <f t="shared" si="258"/>
        <v>2207.5690330000002</v>
      </c>
      <c r="F1278" s="409">
        <f t="shared" si="258"/>
        <v>2296.5842579999999</v>
      </c>
      <c r="G1278" s="409">
        <f t="shared" si="258"/>
        <v>2387.1894830000006</v>
      </c>
      <c r="H1278" s="409">
        <f t="shared" si="258"/>
        <v>2477.7847080000001</v>
      </c>
      <c r="I1278" s="409">
        <f t="shared" si="258"/>
        <v>2568.3899330000004</v>
      </c>
      <c r="J1278" s="472"/>
      <c r="K1278" s="497"/>
      <c r="L1278" s="497"/>
      <c r="M1278" s="498"/>
      <c r="N1278" s="498"/>
      <c r="O1278" s="498"/>
      <c r="P1278" s="498"/>
    </row>
    <row r="1279" spans="1:16" ht="13">
      <c r="A1279" s="426"/>
      <c r="B1279" s="426"/>
      <c r="C1279" s="514" t="s">
        <v>726</v>
      </c>
      <c r="D1279" s="416">
        <f t="shared" ref="D1279:I1279" si="259">ROUND(D1278,0)</f>
        <v>2117</v>
      </c>
      <c r="E1279" s="416">
        <f t="shared" si="259"/>
        <v>2208</v>
      </c>
      <c r="F1279" s="416">
        <f t="shared" si="259"/>
        <v>2297</v>
      </c>
      <c r="G1279" s="416">
        <f t="shared" si="259"/>
        <v>2387</v>
      </c>
      <c r="H1279" s="416">
        <f t="shared" si="259"/>
        <v>2478</v>
      </c>
      <c r="I1279" s="416">
        <f t="shared" si="259"/>
        <v>2568</v>
      </c>
      <c r="J1279" s="472"/>
      <c r="K1279" s="497"/>
      <c r="L1279" s="497"/>
      <c r="M1279" s="498"/>
      <c r="N1279" s="498"/>
      <c r="O1279" s="498"/>
      <c r="P1279" s="498"/>
    </row>
    <row r="1280" spans="1:16" ht="13">
      <c r="A1280" s="426"/>
      <c r="B1280" s="426"/>
      <c r="C1280" s="417"/>
      <c r="D1280" s="409"/>
      <c r="E1280" s="426"/>
      <c r="F1280" s="409"/>
      <c r="G1280" s="410"/>
      <c r="H1280" s="426"/>
      <c r="I1280" s="414"/>
      <c r="J1280" s="472"/>
      <c r="K1280" s="497"/>
      <c r="L1280" s="497"/>
      <c r="M1280" s="498"/>
      <c r="N1280" s="498"/>
      <c r="O1280" s="498"/>
      <c r="P1280" s="498"/>
    </row>
    <row r="1281" spans="1:16" ht="14.65" customHeight="1">
      <c r="A1281" s="426"/>
      <c r="B1281" s="426"/>
      <c r="C1281" s="1294" t="s">
        <v>1008</v>
      </c>
      <c r="D1281" s="1294"/>
      <c r="E1281" s="1294"/>
      <c r="F1281" s="416"/>
      <c r="G1281" s="416"/>
      <c r="H1281" s="416"/>
      <c r="I1281" s="414"/>
      <c r="J1281" s="472"/>
      <c r="K1281" s="497"/>
      <c r="L1281" s="497"/>
      <c r="M1281" s="498"/>
      <c r="N1281" s="498"/>
      <c r="O1281" s="498"/>
      <c r="P1281" s="498"/>
    </row>
    <row r="1282" spans="1:16" ht="13">
      <c r="A1282" s="426"/>
      <c r="B1282" s="474" t="s">
        <v>957</v>
      </c>
      <c r="C1282" s="451" t="s">
        <v>958</v>
      </c>
      <c r="D1282" s="426"/>
      <c r="E1282" s="426"/>
      <c r="F1282" s="426"/>
      <c r="G1282" s="410"/>
      <c r="H1282" s="426"/>
      <c r="I1282" s="434"/>
      <c r="J1282" s="472"/>
      <c r="K1282" s="497"/>
      <c r="L1282" s="497"/>
      <c r="M1282" s="498"/>
      <c r="N1282" s="498"/>
      <c r="O1282" s="498"/>
      <c r="P1282" s="498"/>
    </row>
    <row r="1283" spans="1:16" ht="13">
      <c r="A1283" s="426"/>
      <c r="B1283" s="426"/>
      <c r="C1283" s="427" t="s">
        <v>953</v>
      </c>
      <c r="D1283" s="474" t="s">
        <v>1009</v>
      </c>
      <c r="E1283" s="474" t="s">
        <v>943</v>
      </c>
      <c r="F1283" s="492" t="s">
        <v>944</v>
      </c>
      <c r="G1283" s="492" t="s">
        <v>945</v>
      </c>
      <c r="H1283" s="492" t="s">
        <v>946</v>
      </c>
      <c r="I1283" s="492" t="s">
        <v>947</v>
      </c>
      <c r="J1283" s="472"/>
      <c r="K1283" s="497"/>
      <c r="L1283" s="497"/>
      <c r="M1283" s="498"/>
      <c r="N1283" s="498"/>
      <c r="O1283" s="498"/>
      <c r="P1283" s="498"/>
    </row>
    <row r="1284" spans="1:16">
      <c r="A1284" s="426"/>
      <c r="B1284" s="426"/>
      <c r="C1284" s="417" t="s">
        <v>954</v>
      </c>
      <c r="D1284" s="409">
        <f t="shared" ref="D1284:I1284" si="260">$I$1266</f>
        <v>1215.4838080000002</v>
      </c>
      <c r="E1284" s="409">
        <f t="shared" si="260"/>
        <v>1215.4838080000002</v>
      </c>
      <c r="F1284" s="409">
        <f t="shared" si="260"/>
        <v>1215.4838080000002</v>
      </c>
      <c r="G1284" s="409">
        <f t="shared" si="260"/>
        <v>1215.4838080000002</v>
      </c>
      <c r="H1284" s="409">
        <f t="shared" si="260"/>
        <v>1215.4838080000002</v>
      </c>
      <c r="I1284" s="409">
        <f t="shared" si="260"/>
        <v>1215.4838080000002</v>
      </c>
      <c r="J1284" s="472"/>
      <c r="K1284" s="497"/>
      <c r="L1284" s="497"/>
      <c r="M1284" s="498"/>
      <c r="N1284" s="498"/>
      <c r="O1284" s="498"/>
      <c r="P1284" s="498"/>
    </row>
    <row r="1285" spans="1:16">
      <c r="A1285" s="426"/>
      <c r="B1285" s="426"/>
      <c r="C1285" s="417" t="s">
        <v>921</v>
      </c>
      <c r="D1285" s="409">
        <f>'[161]Civil-SOR'!$F$270</f>
        <v>274</v>
      </c>
      <c r="E1285" s="409">
        <f>'[161]Civil-SOR'!$F$270</f>
        <v>274</v>
      </c>
      <c r="F1285" s="409">
        <f>'[161]Civil-SOR'!$F$270</f>
        <v>274</v>
      </c>
      <c r="G1285" s="409">
        <f>'[161]Civil-SOR'!$F$270</f>
        <v>274</v>
      </c>
      <c r="H1285" s="409">
        <f>'[161]Civil-SOR'!$F$270</f>
        <v>274</v>
      </c>
      <c r="I1285" s="409">
        <f>'[161]Civil-SOR'!$F$270</f>
        <v>274</v>
      </c>
      <c r="J1285" s="472"/>
      <c r="K1285" s="497"/>
      <c r="L1285" s="497"/>
      <c r="M1285" s="498"/>
      <c r="N1285" s="498"/>
      <c r="O1285" s="498"/>
      <c r="P1285" s="498"/>
    </row>
    <row r="1286" spans="1:16">
      <c r="A1286" s="426"/>
      <c r="B1286" s="426"/>
      <c r="C1286" s="417" t="s">
        <v>1010</v>
      </c>
      <c r="D1286" s="408">
        <f>'[161]Civil-SOR'!$G$270</f>
        <v>267</v>
      </c>
      <c r="E1286" s="408">
        <f>'[161]Civil-SOR'!$H$270</f>
        <v>294</v>
      </c>
      <c r="F1286" s="408">
        <f>'[161]Civil-SOR'!$I$270</f>
        <v>320</v>
      </c>
      <c r="G1286" s="408">
        <f>'[161]Civil-SOR'!$J$270</f>
        <v>347</v>
      </c>
      <c r="H1286" s="408">
        <f>'[161]Civil-SOR'!$K$270</f>
        <v>374</v>
      </c>
      <c r="I1286" s="408">
        <f>'[161]Civil-SOR'!$L$270</f>
        <v>401</v>
      </c>
      <c r="J1286" s="472"/>
      <c r="K1286" s="497"/>
      <c r="L1286" s="497"/>
      <c r="M1286" s="498"/>
      <c r="N1286" s="498"/>
      <c r="O1286" s="498"/>
      <c r="P1286" s="498"/>
    </row>
    <row r="1287" spans="1:16">
      <c r="A1287" s="426"/>
      <c r="B1287" s="426"/>
      <c r="C1287" s="417" t="str">
        <f>[161]Input!$C$47</f>
        <v>Add for MA @ 40%</v>
      </c>
      <c r="D1287" s="409">
        <f>D1286*[161]Input!$D$47</f>
        <v>106.80000000000001</v>
      </c>
      <c r="E1287" s="409">
        <f>E1286*[161]Input!$D$47</f>
        <v>117.60000000000001</v>
      </c>
      <c r="F1287" s="409">
        <f>F1286*[161]Input!$D$47</f>
        <v>128</v>
      </c>
      <c r="G1287" s="409">
        <f>G1286*[161]Input!$D$47</f>
        <v>138.80000000000001</v>
      </c>
      <c r="H1287" s="409">
        <f>H1286*[161]Input!$D$47</f>
        <v>149.6</v>
      </c>
      <c r="I1287" s="409">
        <f>I1286*[161]Input!$D$47</f>
        <v>160.4</v>
      </c>
      <c r="J1287" s="472"/>
      <c r="K1287" s="497"/>
      <c r="L1287" s="497"/>
      <c r="M1287" s="498"/>
      <c r="N1287" s="498"/>
      <c r="O1287" s="498"/>
      <c r="P1287" s="498"/>
    </row>
    <row r="1288" spans="1:16" ht="25">
      <c r="A1288" s="426"/>
      <c r="B1288" s="426"/>
      <c r="C1288" s="417" t="s">
        <v>1011</v>
      </c>
      <c r="D1288" s="409">
        <v>0</v>
      </c>
      <c r="E1288" s="409">
        <f>0.267*$D$1266*'[161]Civil-SOR'!$G$334</f>
        <v>17.694757500000001</v>
      </c>
      <c r="F1288" s="409">
        <f t="shared" ref="F1288:F1289" si="261">E1288*1.1</f>
        <v>19.464233250000003</v>
      </c>
      <c r="G1288" s="409">
        <f t="shared" ref="G1288:G1289" si="262">E1288*1.2</f>
        <v>21.233709000000001</v>
      </c>
      <c r="H1288" s="409">
        <f t="shared" ref="H1288:H1289" si="263">E1288*1.3</f>
        <v>23.003184750000003</v>
      </c>
      <c r="I1288" s="409">
        <f t="shared" ref="I1288:I1289" si="264">E1288*1.4</f>
        <v>24.772660500000001</v>
      </c>
      <c r="J1288" s="472"/>
      <c r="K1288" s="497"/>
      <c r="L1288" s="497"/>
      <c r="M1288" s="498"/>
      <c r="N1288" s="498"/>
      <c r="O1288" s="498"/>
      <c r="P1288" s="498"/>
    </row>
    <row r="1289" spans="1:16">
      <c r="A1289" s="426"/>
      <c r="B1289" s="426"/>
      <c r="C1289" s="417" t="s">
        <v>828</v>
      </c>
      <c r="D1289" s="409">
        <v>0</v>
      </c>
      <c r="E1289" s="409">
        <f>0.267*$D$1266*'[161]Civil-SOR'!$J$334</f>
        <v>16.839690000000001</v>
      </c>
      <c r="F1289" s="409">
        <f t="shared" si="261"/>
        <v>18.523659000000002</v>
      </c>
      <c r="G1289" s="409">
        <f t="shared" si="262"/>
        <v>20.207628</v>
      </c>
      <c r="H1289" s="409">
        <f t="shared" si="263"/>
        <v>21.891597000000001</v>
      </c>
      <c r="I1289" s="409">
        <f t="shared" si="264"/>
        <v>23.575565999999998</v>
      </c>
      <c r="J1289" s="472"/>
      <c r="K1289" s="497"/>
      <c r="L1289" s="497"/>
      <c r="M1289" s="498"/>
      <c r="N1289" s="498"/>
      <c r="O1289" s="498"/>
      <c r="P1289" s="498"/>
    </row>
    <row r="1290" spans="1:16">
      <c r="A1290" s="426"/>
      <c r="B1290" s="426"/>
      <c r="C1290" s="417" t="str">
        <f>[161]Input!$C$47</f>
        <v>Add for MA @ 40%</v>
      </c>
      <c r="D1290" s="432">
        <f>D1289*[161]Input!$D$47</f>
        <v>0</v>
      </c>
      <c r="E1290" s="409">
        <f>E1289*[161]Input!$D$47</f>
        <v>6.7358760000000011</v>
      </c>
      <c r="F1290" s="409">
        <f>F1289*[161]Input!$D$47</f>
        <v>7.4094636000000014</v>
      </c>
      <c r="G1290" s="409">
        <f>G1289*[161]Input!$D$47</f>
        <v>8.0830511999999999</v>
      </c>
      <c r="H1290" s="409">
        <f>H1289*[161]Input!$D$47</f>
        <v>8.7566388000000011</v>
      </c>
      <c r="I1290" s="409">
        <f>I1289*[161]Input!$D$47</f>
        <v>9.4302264000000005</v>
      </c>
      <c r="J1290" s="472"/>
      <c r="K1290" s="497"/>
      <c r="L1290" s="497"/>
      <c r="M1290" s="498"/>
      <c r="N1290" s="498"/>
      <c r="O1290" s="498"/>
      <c r="P1290" s="498"/>
    </row>
    <row r="1291" spans="1:16" ht="13">
      <c r="A1291" s="426"/>
      <c r="B1291" s="426"/>
      <c r="C1291" s="427" t="s">
        <v>742</v>
      </c>
      <c r="D1291" s="409">
        <f t="shared" ref="D1291:I1291" si="265">SUM(D1284:D1290)</f>
        <v>1863.2838080000001</v>
      </c>
      <c r="E1291" s="409">
        <f t="shared" si="265"/>
        <v>1942.3541315</v>
      </c>
      <c r="F1291" s="409">
        <f t="shared" si="265"/>
        <v>1982.8811638500001</v>
      </c>
      <c r="G1291" s="409">
        <f t="shared" si="265"/>
        <v>2024.8081962000003</v>
      </c>
      <c r="H1291" s="409">
        <f t="shared" si="265"/>
        <v>2066.7352285500001</v>
      </c>
      <c r="I1291" s="409">
        <f t="shared" si="265"/>
        <v>2108.6622608999996</v>
      </c>
      <c r="J1291" s="472"/>
      <c r="K1291" s="497"/>
      <c r="L1291" s="497"/>
      <c r="M1291" s="498"/>
      <c r="N1291" s="498"/>
      <c r="O1291" s="498"/>
      <c r="P1291" s="498"/>
    </row>
    <row r="1292" spans="1:16" ht="25">
      <c r="A1292" s="426"/>
      <c r="B1292" s="426"/>
      <c r="C1292" s="417" t="str">
        <f>[161]Input!$C$48</f>
        <v>Overheads &amp; Contractors Profit @ 13.615%</v>
      </c>
      <c r="D1292" s="426">
        <f>ROUND(D1291*[161]Input!$D$48,2)</f>
        <v>253.69</v>
      </c>
      <c r="E1292" s="426">
        <f>ROUND(E1291*[161]Input!$D$48,2)</f>
        <v>264.45</v>
      </c>
      <c r="F1292" s="426">
        <f>ROUND(F1291*[161]Input!$D$48,2)</f>
        <v>269.97000000000003</v>
      </c>
      <c r="G1292" s="426">
        <f>ROUND(G1291*[161]Input!$D$48,2)</f>
        <v>275.68</v>
      </c>
      <c r="H1292" s="426">
        <f>ROUND(H1291*[161]Input!$D$48,2)</f>
        <v>281.39</v>
      </c>
      <c r="I1292" s="426">
        <f>ROUND(I1291*[161]Input!$D$48,2)</f>
        <v>287.08999999999997</v>
      </c>
      <c r="J1292" s="472"/>
      <c r="K1292" s="497"/>
      <c r="L1292" s="497"/>
      <c r="M1292" s="498"/>
      <c r="N1292" s="498"/>
      <c r="O1292" s="498"/>
      <c r="P1292" s="498"/>
    </row>
    <row r="1293" spans="1:16" ht="13">
      <c r="A1293" s="426"/>
      <c r="B1293" s="426"/>
      <c r="C1293" s="427" t="s">
        <v>742</v>
      </c>
      <c r="D1293" s="409">
        <f t="shared" ref="D1293:I1293" si="266">SUM(D1291:D1292)</f>
        <v>2116.9738080000002</v>
      </c>
      <c r="E1293" s="409">
        <f t="shared" si="266"/>
        <v>2206.8041315</v>
      </c>
      <c r="F1293" s="409">
        <f t="shared" si="266"/>
        <v>2252.8511638500004</v>
      </c>
      <c r="G1293" s="409">
        <f t="shared" si="266"/>
        <v>2300.4881962000004</v>
      </c>
      <c r="H1293" s="409">
        <f t="shared" si="266"/>
        <v>2348.12522855</v>
      </c>
      <c r="I1293" s="409">
        <f t="shared" si="266"/>
        <v>2395.7522608999998</v>
      </c>
      <c r="J1293" s="472"/>
      <c r="K1293" s="497"/>
      <c r="L1293" s="497"/>
      <c r="M1293" s="498"/>
      <c r="N1293" s="498"/>
      <c r="O1293" s="498"/>
      <c r="P1293" s="498"/>
    </row>
    <row r="1294" spans="1:16" ht="13">
      <c r="A1294" s="426"/>
      <c r="B1294" s="426"/>
      <c r="C1294" s="514" t="s">
        <v>726</v>
      </c>
      <c r="D1294" s="416">
        <f t="shared" ref="D1294:I1294" si="267">ROUND(D1293,0)</f>
        <v>2117</v>
      </c>
      <c r="E1294" s="416">
        <f t="shared" si="267"/>
        <v>2207</v>
      </c>
      <c r="F1294" s="416">
        <f t="shared" si="267"/>
        <v>2253</v>
      </c>
      <c r="G1294" s="416">
        <f t="shared" si="267"/>
        <v>2300</v>
      </c>
      <c r="H1294" s="416">
        <f t="shared" si="267"/>
        <v>2348</v>
      </c>
      <c r="I1294" s="416">
        <f t="shared" si="267"/>
        <v>2396</v>
      </c>
      <c r="J1294" s="472"/>
      <c r="K1294" s="497"/>
      <c r="L1294" s="497"/>
      <c r="M1294" s="498"/>
      <c r="N1294" s="498"/>
      <c r="O1294" s="498"/>
      <c r="P1294" s="498"/>
    </row>
    <row r="1295" spans="1:16" ht="13">
      <c r="A1295" s="426"/>
      <c r="B1295" s="426"/>
      <c r="C1295" s="417"/>
      <c r="D1295" s="409"/>
      <c r="E1295" s="426"/>
      <c r="F1295" s="409"/>
      <c r="G1295" s="410"/>
      <c r="H1295" s="426"/>
      <c r="I1295" s="414"/>
      <c r="J1295" s="472"/>
      <c r="K1295" s="497"/>
      <c r="L1295" s="497"/>
      <c r="M1295" s="498"/>
      <c r="N1295" s="498"/>
      <c r="O1295" s="498"/>
      <c r="P1295" s="498"/>
    </row>
    <row r="1296" spans="1:16" ht="26">
      <c r="A1296" s="426"/>
      <c r="B1296" s="474" t="s">
        <v>957</v>
      </c>
      <c r="C1296" s="451" t="s">
        <v>1016</v>
      </c>
      <c r="D1296" s="426"/>
      <c r="E1296" s="426"/>
      <c r="F1296" s="426"/>
      <c r="G1296" s="410"/>
      <c r="H1296" s="426"/>
      <c r="I1296" s="434"/>
      <c r="J1296" s="472"/>
      <c r="K1296" s="497"/>
      <c r="L1296" s="497"/>
      <c r="M1296" s="498"/>
      <c r="N1296" s="498"/>
      <c r="O1296" s="498"/>
      <c r="P1296" s="498"/>
    </row>
    <row r="1297" spans="1:16" ht="13">
      <c r="A1297" s="426"/>
      <c r="B1297" s="426"/>
      <c r="C1297" s="427" t="s">
        <v>953</v>
      </c>
      <c r="D1297" s="474" t="s">
        <v>1009</v>
      </c>
      <c r="E1297" s="474" t="s">
        <v>943</v>
      </c>
      <c r="F1297" s="492" t="s">
        <v>944</v>
      </c>
      <c r="G1297" s="492" t="s">
        <v>945</v>
      </c>
      <c r="H1297" s="492" t="s">
        <v>946</v>
      </c>
      <c r="I1297" s="492" t="s">
        <v>947</v>
      </c>
      <c r="J1297" s="472"/>
      <c r="K1297" s="497"/>
      <c r="L1297" s="497"/>
      <c r="M1297" s="498"/>
      <c r="N1297" s="498"/>
      <c r="O1297" s="498"/>
      <c r="P1297" s="498"/>
    </row>
    <row r="1298" spans="1:16">
      <c r="A1298" s="426"/>
      <c r="B1298" s="426"/>
      <c r="C1298" s="417" t="s">
        <v>954</v>
      </c>
      <c r="D1298" s="409">
        <f t="shared" ref="D1298:I1298" si="268">$I$1266</f>
        <v>1215.4838080000002</v>
      </c>
      <c r="E1298" s="409">
        <f t="shared" si="268"/>
        <v>1215.4838080000002</v>
      </c>
      <c r="F1298" s="409">
        <f t="shared" si="268"/>
        <v>1215.4838080000002</v>
      </c>
      <c r="G1298" s="409">
        <f t="shared" si="268"/>
        <v>1215.4838080000002</v>
      </c>
      <c r="H1298" s="409">
        <f t="shared" si="268"/>
        <v>1215.4838080000002</v>
      </c>
      <c r="I1298" s="409">
        <f t="shared" si="268"/>
        <v>1215.4838080000002</v>
      </c>
      <c r="J1298" s="472"/>
      <c r="K1298" s="497"/>
      <c r="L1298" s="497"/>
      <c r="M1298" s="498"/>
      <c r="N1298" s="498"/>
      <c r="O1298" s="498"/>
      <c r="P1298" s="498"/>
    </row>
    <row r="1299" spans="1:16">
      <c r="A1299" s="426"/>
      <c r="B1299" s="426"/>
      <c r="C1299" s="417" t="s">
        <v>921</v>
      </c>
      <c r="D1299" s="409">
        <f>'[161]Civil-SOR'!$F$270+('[161]Civil-SOR'!$F$270*16.66%)</f>
        <v>319.64839999999998</v>
      </c>
      <c r="E1299" s="409">
        <f>'[161]Civil-SOR'!$F$270+('[161]Civil-SOR'!$F$270*16.66%)</f>
        <v>319.64839999999998</v>
      </c>
      <c r="F1299" s="409">
        <f>'[161]Civil-SOR'!$F$270+('[161]Civil-SOR'!$F$270*16.66%)</f>
        <v>319.64839999999998</v>
      </c>
      <c r="G1299" s="409">
        <f>'[161]Civil-SOR'!$F$270+('[161]Civil-SOR'!$F$270*16.66%)</f>
        <v>319.64839999999998</v>
      </c>
      <c r="H1299" s="409">
        <f>'[161]Civil-SOR'!$F$270+('[161]Civil-SOR'!$F$270*16.66%)</f>
        <v>319.64839999999998</v>
      </c>
      <c r="I1299" s="409">
        <f>'[161]Civil-SOR'!$F$270+('[161]Civil-SOR'!$F$270*16.66%)</f>
        <v>319.64839999999998</v>
      </c>
      <c r="J1299" s="472"/>
      <c r="K1299" s="497"/>
      <c r="L1299" s="497"/>
      <c r="M1299" s="498"/>
      <c r="N1299" s="498"/>
      <c r="O1299" s="498"/>
      <c r="P1299" s="498"/>
    </row>
    <row r="1300" spans="1:16">
      <c r="A1300" s="426"/>
      <c r="B1300" s="426"/>
      <c r="C1300" s="417" t="s">
        <v>1010</v>
      </c>
      <c r="D1300" s="408">
        <f>'[161]Civil-SOR'!$G$270+('[161]Civil-SOR'!$G$270*16.66%)</f>
        <v>311.48219999999998</v>
      </c>
      <c r="E1300" s="408">
        <f>'[161]Civil-SOR'!$H$270+('[161]Civil-SOR'!$H$270*16.66%)</f>
        <v>342.98039999999997</v>
      </c>
      <c r="F1300" s="408">
        <f>'[161]Civil-SOR'!$I$270+('[161]Civil-SOR'!$I$270*16.66%)</f>
        <v>373.31200000000001</v>
      </c>
      <c r="G1300" s="408">
        <f>'[161]Civil-SOR'!$J$270+('[161]Civil-SOR'!$J$270*16.66%)</f>
        <v>404.81020000000001</v>
      </c>
      <c r="H1300" s="408">
        <f>'[161]Civil-SOR'!$K$270+('[161]Civil-SOR'!$K$270*16.66%)</f>
        <v>436.30840000000001</v>
      </c>
      <c r="I1300" s="408">
        <f>'[161]Civil-SOR'!$L$270+('[161]Civil-SOR'!$L$270*16.66%)</f>
        <v>467.8066</v>
      </c>
      <c r="J1300" s="472"/>
      <c r="K1300" s="497"/>
      <c r="L1300" s="497"/>
      <c r="M1300" s="498"/>
      <c r="N1300" s="498"/>
      <c r="O1300" s="498"/>
      <c r="P1300" s="498"/>
    </row>
    <row r="1301" spans="1:16">
      <c r="A1301" s="426"/>
      <c r="B1301" s="426"/>
      <c r="C1301" s="417" t="str">
        <f>[161]Input!$C$47</f>
        <v>Add for MA @ 40%</v>
      </c>
      <c r="D1301" s="409">
        <f>D1300*[161]Input!$D$47</f>
        <v>124.59287999999999</v>
      </c>
      <c r="E1301" s="409">
        <f>E1300*[161]Input!$D$47</f>
        <v>137.19216</v>
      </c>
      <c r="F1301" s="409">
        <f>F1300*[161]Input!$D$47</f>
        <v>149.32480000000001</v>
      </c>
      <c r="G1301" s="409">
        <f>G1300*[161]Input!$D$47</f>
        <v>161.92408</v>
      </c>
      <c r="H1301" s="409">
        <f>H1300*[161]Input!$D$47</f>
        <v>174.52336000000003</v>
      </c>
      <c r="I1301" s="409">
        <f>I1300*[161]Input!$D$47</f>
        <v>187.12264000000002</v>
      </c>
      <c r="J1301" s="472"/>
      <c r="K1301" s="497"/>
      <c r="L1301" s="497"/>
      <c r="M1301" s="498"/>
      <c r="N1301" s="498"/>
      <c r="O1301" s="498"/>
      <c r="P1301" s="498"/>
    </row>
    <row r="1302" spans="1:16">
      <c r="A1302" s="426"/>
      <c r="B1302" s="426"/>
      <c r="C1302" s="417" t="s">
        <v>994</v>
      </c>
      <c r="D1302" s="409">
        <v>0</v>
      </c>
      <c r="E1302" s="409">
        <f>$D$1266*$F$1025*0.1</f>
        <v>29.960875000000001</v>
      </c>
      <c r="F1302" s="409">
        <f>$D$1266*$F$1025*0.2</f>
        <v>59.921750000000003</v>
      </c>
      <c r="G1302" s="409">
        <f>$D$1266*$F$1025*0.3</f>
        <v>89.88262499999999</v>
      </c>
      <c r="H1302" s="409">
        <f>$D$1266*$F$1025*0.4</f>
        <v>119.84350000000001</v>
      </c>
      <c r="I1302" s="409">
        <f>$D$1266*$F$1025*0.5</f>
        <v>149.80437499999999</v>
      </c>
      <c r="J1302" s="472"/>
      <c r="K1302" s="497"/>
      <c r="L1302" s="497"/>
      <c r="M1302" s="498"/>
      <c r="N1302" s="498"/>
      <c r="O1302" s="498"/>
      <c r="P1302" s="498"/>
    </row>
    <row r="1303" spans="1:16">
      <c r="A1303" s="426"/>
      <c r="B1303" s="426"/>
      <c r="C1303" s="417" t="str">
        <f>[161]Input!$C$47</f>
        <v>Add for MA @ 40%</v>
      </c>
      <c r="D1303" s="432">
        <f>D1302*[161]Input!$D$47</f>
        <v>0</v>
      </c>
      <c r="E1303" s="409">
        <f>E1302*[161]Input!$D$47</f>
        <v>11.984350000000001</v>
      </c>
      <c r="F1303" s="409">
        <f>F1302*[161]Input!$D$47</f>
        <v>23.968700000000002</v>
      </c>
      <c r="G1303" s="409">
        <f>G1302*[161]Input!$D$47</f>
        <v>35.953049999999998</v>
      </c>
      <c r="H1303" s="409">
        <f>H1302*[161]Input!$D$47</f>
        <v>47.937400000000004</v>
      </c>
      <c r="I1303" s="409">
        <f>I1302*[161]Input!$D$47</f>
        <v>59.921750000000003</v>
      </c>
      <c r="J1303" s="472"/>
      <c r="K1303" s="497"/>
      <c r="L1303" s="497"/>
      <c r="M1303" s="498"/>
      <c r="N1303" s="498"/>
      <c r="O1303" s="498"/>
      <c r="P1303" s="498"/>
    </row>
    <row r="1304" spans="1:16" ht="13">
      <c r="A1304" s="426"/>
      <c r="B1304" s="426"/>
      <c r="C1304" s="427" t="s">
        <v>742</v>
      </c>
      <c r="D1304" s="409">
        <f t="shared" ref="D1304:I1304" si="269">SUM(D1298:D1303)</f>
        <v>1971.2072880000001</v>
      </c>
      <c r="E1304" s="409">
        <f t="shared" si="269"/>
        <v>2057.2499930000004</v>
      </c>
      <c r="F1304" s="409">
        <f t="shared" si="269"/>
        <v>2141.6594580000001</v>
      </c>
      <c r="G1304" s="409">
        <f t="shared" si="269"/>
        <v>2227.7021630000008</v>
      </c>
      <c r="H1304" s="409">
        <f t="shared" si="269"/>
        <v>2313.7448680000002</v>
      </c>
      <c r="I1304" s="409">
        <f t="shared" si="269"/>
        <v>2399.7875730000005</v>
      </c>
      <c r="J1304" s="472"/>
      <c r="K1304" s="497"/>
      <c r="L1304" s="497"/>
      <c r="M1304" s="498"/>
      <c r="N1304" s="498"/>
      <c r="O1304" s="498"/>
      <c r="P1304" s="498"/>
    </row>
    <row r="1305" spans="1:16" ht="25">
      <c r="A1305" s="426"/>
      <c r="B1305" s="426"/>
      <c r="C1305" s="417" t="str">
        <f>[161]Input!$C$48</f>
        <v>Overheads &amp; Contractors Profit @ 13.615%</v>
      </c>
      <c r="D1305" s="426">
        <f>ROUND(D1304*[161]Input!$D$48,2)</f>
        <v>268.38</v>
      </c>
      <c r="E1305" s="426">
        <f>ROUND(E1304*[161]Input!$D$48,2)</f>
        <v>280.08999999999997</v>
      </c>
      <c r="F1305" s="426">
        <f>ROUND(F1304*[161]Input!$D$48,2)</f>
        <v>291.58999999999997</v>
      </c>
      <c r="G1305" s="426">
        <f>ROUND(G1304*[161]Input!$D$48,2)</f>
        <v>303.3</v>
      </c>
      <c r="H1305" s="426">
        <f>ROUND(H1304*[161]Input!$D$48,2)</f>
        <v>315.02</v>
      </c>
      <c r="I1305" s="426">
        <f>ROUND(I1304*[161]Input!$D$48,2)</f>
        <v>326.73</v>
      </c>
      <c r="J1305" s="472"/>
      <c r="K1305" s="497"/>
      <c r="L1305" s="497"/>
      <c r="M1305" s="498"/>
      <c r="N1305" s="498"/>
      <c r="O1305" s="498"/>
      <c r="P1305" s="498"/>
    </row>
    <row r="1306" spans="1:16" ht="13">
      <c r="A1306" s="426"/>
      <c r="B1306" s="426"/>
      <c r="C1306" s="427" t="s">
        <v>742</v>
      </c>
      <c r="D1306" s="409">
        <f t="shared" ref="D1306:I1306" si="270">SUM(D1304:D1305)</f>
        <v>2239.5872880000002</v>
      </c>
      <c r="E1306" s="409">
        <f t="shared" si="270"/>
        <v>2337.3399930000005</v>
      </c>
      <c r="F1306" s="409">
        <f t="shared" si="270"/>
        <v>2433.2494580000002</v>
      </c>
      <c r="G1306" s="409">
        <f t="shared" si="270"/>
        <v>2531.002163000001</v>
      </c>
      <c r="H1306" s="409">
        <f t="shared" si="270"/>
        <v>2628.7648680000002</v>
      </c>
      <c r="I1306" s="409">
        <f t="shared" si="270"/>
        <v>2726.5175730000005</v>
      </c>
      <c r="J1306" s="472"/>
      <c r="K1306" s="497"/>
      <c r="L1306" s="497"/>
      <c r="M1306" s="498"/>
      <c r="N1306" s="498"/>
      <c r="O1306" s="498"/>
      <c r="P1306" s="498"/>
    </row>
    <row r="1307" spans="1:16" ht="13">
      <c r="A1307" s="426"/>
      <c r="B1307" s="426"/>
      <c r="C1307" s="514" t="s">
        <v>726</v>
      </c>
      <c r="D1307" s="416">
        <f t="shared" ref="D1307:I1307" si="271">ROUND(D1306,0)</f>
        <v>2240</v>
      </c>
      <c r="E1307" s="416">
        <f t="shared" si="271"/>
        <v>2337</v>
      </c>
      <c r="F1307" s="416">
        <f t="shared" si="271"/>
        <v>2433</v>
      </c>
      <c r="G1307" s="416">
        <f t="shared" si="271"/>
        <v>2531</v>
      </c>
      <c r="H1307" s="416">
        <f t="shared" si="271"/>
        <v>2629</v>
      </c>
      <c r="I1307" s="416">
        <f t="shared" si="271"/>
        <v>2727</v>
      </c>
      <c r="J1307" s="472"/>
      <c r="K1307" s="497"/>
      <c r="L1307" s="497"/>
      <c r="M1307" s="498"/>
      <c r="N1307" s="498"/>
      <c r="O1307" s="498"/>
      <c r="P1307" s="498"/>
    </row>
    <row r="1308" spans="1:16" ht="13">
      <c r="A1308" s="426"/>
      <c r="B1308" s="426"/>
      <c r="C1308" s="417"/>
      <c r="D1308" s="409"/>
      <c r="E1308" s="426"/>
      <c r="F1308" s="409"/>
      <c r="G1308" s="410"/>
      <c r="H1308" s="426"/>
      <c r="I1308" s="414"/>
      <c r="J1308" s="472"/>
      <c r="K1308" s="497"/>
      <c r="L1308" s="497"/>
      <c r="M1308" s="498"/>
      <c r="N1308" s="498"/>
      <c r="O1308" s="498"/>
      <c r="P1308" s="498"/>
    </row>
    <row r="1309" spans="1:16" ht="12.75" customHeight="1">
      <c r="A1309" s="426"/>
      <c r="B1309" s="426"/>
      <c r="C1309" s="1294" t="s">
        <v>1013</v>
      </c>
      <c r="D1309" s="1294"/>
      <c r="E1309" s="1294"/>
      <c r="F1309" s="416"/>
      <c r="G1309" s="416"/>
      <c r="H1309" s="416"/>
      <c r="I1309" s="414"/>
      <c r="J1309" s="472"/>
      <c r="K1309" s="497"/>
      <c r="L1309" s="497"/>
      <c r="M1309" s="498"/>
      <c r="N1309" s="498"/>
      <c r="O1309" s="498"/>
      <c r="P1309" s="498"/>
    </row>
    <row r="1310" spans="1:16" ht="13">
      <c r="A1310" s="426"/>
      <c r="B1310" s="474" t="s">
        <v>957</v>
      </c>
      <c r="C1310" s="451" t="s">
        <v>958</v>
      </c>
      <c r="D1310" s="426"/>
      <c r="E1310" s="426"/>
      <c r="F1310" s="426"/>
      <c r="G1310" s="410"/>
      <c r="H1310" s="426"/>
      <c r="I1310" s="434"/>
      <c r="J1310" s="472"/>
      <c r="K1310" s="497"/>
      <c r="L1310" s="497"/>
      <c r="M1310" s="498"/>
      <c r="N1310" s="498"/>
      <c r="O1310" s="498"/>
      <c r="P1310" s="498"/>
    </row>
    <row r="1311" spans="1:16" ht="13">
      <c r="A1311" s="426"/>
      <c r="B1311" s="426"/>
      <c r="C1311" s="427" t="s">
        <v>953</v>
      </c>
      <c r="D1311" s="474" t="s">
        <v>1009</v>
      </c>
      <c r="E1311" s="474" t="s">
        <v>943</v>
      </c>
      <c r="F1311" s="492" t="s">
        <v>944</v>
      </c>
      <c r="G1311" s="492" t="s">
        <v>945</v>
      </c>
      <c r="H1311" s="492" t="s">
        <v>946</v>
      </c>
      <c r="I1311" s="492" t="s">
        <v>947</v>
      </c>
      <c r="J1311" s="472"/>
      <c r="K1311" s="497"/>
      <c r="L1311" s="497"/>
      <c r="M1311" s="498"/>
      <c r="N1311" s="498"/>
      <c r="O1311" s="498"/>
      <c r="P1311" s="498"/>
    </row>
    <row r="1312" spans="1:16">
      <c r="A1312" s="426"/>
      <c r="B1312" s="426"/>
      <c r="C1312" s="417" t="s">
        <v>954</v>
      </c>
      <c r="D1312" s="409">
        <f t="shared" ref="D1312:I1312" si="272">$I$1266</f>
        <v>1215.4838080000002</v>
      </c>
      <c r="E1312" s="409">
        <f t="shared" si="272"/>
        <v>1215.4838080000002</v>
      </c>
      <c r="F1312" s="409">
        <f t="shared" si="272"/>
        <v>1215.4838080000002</v>
      </c>
      <c r="G1312" s="409">
        <f t="shared" si="272"/>
        <v>1215.4838080000002</v>
      </c>
      <c r="H1312" s="409">
        <f t="shared" si="272"/>
        <v>1215.4838080000002</v>
      </c>
      <c r="I1312" s="409">
        <f t="shared" si="272"/>
        <v>1215.4838080000002</v>
      </c>
      <c r="J1312" s="472"/>
      <c r="K1312" s="497"/>
      <c r="L1312" s="497"/>
      <c r="M1312" s="498"/>
      <c r="N1312" s="498"/>
      <c r="O1312" s="498"/>
      <c r="P1312" s="498"/>
    </row>
    <row r="1313" spans="1:16">
      <c r="A1313" s="426"/>
      <c r="B1313" s="426"/>
      <c r="C1313" s="417" t="s">
        <v>921</v>
      </c>
      <c r="D1313" s="409">
        <f>'[161]Civil-SOR'!$F$270+('[161]Civil-SOR'!$F$270*16.66%)</f>
        <v>319.64839999999998</v>
      </c>
      <c r="E1313" s="409">
        <f>'[161]Civil-SOR'!$F$270+('[161]Civil-SOR'!$F$270*16.66%)</f>
        <v>319.64839999999998</v>
      </c>
      <c r="F1313" s="409">
        <f>'[161]Civil-SOR'!$F$270+('[161]Civil-SOR'!$F$270*16.66%)</f>
        <v>319.64839999999998</v>
      </c>
      <c r="G1313" s="409">
        <f>'[161]Civil-SOR'!$F$270+('[161]Civil-SOR'!$F$270*16.66%)</f>
        <v>319.64839999999998</v>
      </c>
      <c r="H1313" s="409">
        <f>'[161]Civil-SOR'!$F$270+('[161]Civil-SOR'!$F$270*16.66%)</f>
        <v>319.64839999999998</v>
      </c>
      <c r="I1313" s="409">
        <f>'[161]Civil-SOR'!$F$270+('[161]Civil-SOR'!$F$270*16.66%)</f>
        <v>319.64839999999998</v>
      </c>
      <c r="J1313" s="472"/>
      <c r="K1313" s="497"/>
      <c r="L1313" s="497"/>
      <c r="M1313" s="498"/>
      <c r="N1313" s="498"/>
      <c r="O1313" s="498"/>
      <c r="P1313" s="498"/>
    </row>
    <row r="1314" spans="1:16">
      <c r="A1314" s="426"/>
      <c r="B1314" s="426"/>
      <c r="C1314" s="417" t="s">
        <v>1010</v>
      </c>
      <c r="D1314" s="408">
        <f>'[161]Civil-SOR'!$G$270+('[161]Civil-SOR'!$G$270*16.66%)</f>
        <v>311.48219999999998</v>
      </c>
      <c r="E1314" s="408">
        <f>'[161]Civil-SOR'!$H$270+('[161]Civil-SOR'!$H$270*16.66%)</f>
        <v>342.98039999999997</v>
      </c>
      <c r="F1314" s="408">
        <f>'[161]Civil-SOR'!$I$270+('[161]Civil-SOR'!$I$270*16.66%)</f>
        <v>373.31200000000001</v>
      </c>
      <c r="G1314" s="408">
        <f>'[161]Civil-SOR'!$J$270+('[161]Civil-SOR'!$J$270*16.66%)</f>
        <v>404.81020000000001</v>
      </c>
      <c r="H1314" s="408">
        <f>'[161]Civil-SOR'!$K$270+('[161]Civil-SOR'!$K$270*16.66%)</f>
        <v>436.30840000000001</v>
      </c>
      <c r="I1314" s="408">
        <f>'[161]Civil-SOR'!$L$270+('[161]Civil-SOR'!$L$270*16.66%)</f>
        <v>467.8066</v>
      </c>
      <c r="J1314" s="472"/>
      <c r="K1314" s="497"/>
      <c r="L1314" s="497"/>
      <c r="M1314" s="498"/>
      <c r="N1314" s="498"/>
      <c r="O1314" s="498"/>
      <c r="P1314" s="498"/>
    </row>
    <row r="1315" spans="1:16">
      <c r="A1315" s="426"/>
      <c r="B1315" s="426"/>
      <c r="C1315" s="417" t="str">
        <f>[161]Input!$C$47</f>
        <v>Add for MA @ 40%</v>
      </c>
      <c r="D1315" s="409">
        <f>D1314*[161]Input!$D$47</f>
        <v>124.59287999999999</v>
      </c>
      <c r="E1315" s="409">
        <f>E1314*[161]Input!$D$47</f>
        <v>137.19216</v>
      </c>
      <c r="F1315" s="409">
        <f>F1314*[161]Input!$D$47</f>
        <v>149.32480000000001</v>
      </c>
      <c r="G1315" s="409">
        <f>G1314*[161]Input!$D$47</f>
        <v>161.92408</v>
      </c>
      <c r="H1315" s="409">
        <f>H1314*[161]Input!$D$47</f>
        <v>174.52336000000003</v>
      </c>
      <c r="I1315" s="409">
        <f>I1314*[161]Input!$D$47</f>
        <v>187.12264000000002</v>
      </c>
      <c r="J1315" s="472"/>
      <c r="K1315" s="497"/>
      <c r="L1315" s="497"/>
      <c r="M1315" s="498"/>
      <c r="N1315" s="498"/>
      <c r="O1315" s="498"/>
      <c r="P1315" s="498"/>
    </row>
    <row r="1316" spans="1:16" ht="25">
      <c r="A1316" s="426"/>
      <c r="B1316" s="426"/>
      <c r="C1316" s="417" t="s">
        <v>1011</v>
      </c>
      <c r="D1316" s="409">
        <v>0</v>
      </c>
      <c r="E1316" s="409">
        <f>0.267*$D$1266*'[161]Civil-SOR'!$G$334</f>
        <v>17.694757500000001</v>
      </c>
      <c r="F1316" s="409">
        <f t="shared" ref="F1316:F1317" si="273">E1316*1.1</f>
        <v>19.464233250000003</v>
      </c>
      <c r="G1316" s="409">
        <f t="shared" ref="G1316:G1317" si="274">E1316*1.2</f>
        <v>21.233709000000001</v>
      </c>
      <c r="H1316" s="409">
        <f t="shared" ref="H1316:H1317" si="275">E1316*1.3</f>
        <v>23.003184750000003</v>
      </c>
      <c r="I1316" s="409">
        <f t="shared" ref="I1316:I1317" si="276">E1316*1.4</f>
        <v>24.772660500000001</v>
      </c>
      <c r="J1316" s="472"/>
      <c r="K1316" s="497"/>
      <c r="L1316" s="497"/>
      <c r="M1316" s="498"/>
      <c r="N1316" s="498"/>
      <c r="O1316" s="498"/>
      <c r="P1316" s="498"/>
    </row>
    <row r="1317" spans="1:16">
      <c r="A1317" s="426"/>
      <c r="B1317" s="426"/>
      <c r="C1317" s="417" t="s">
        <v>828</v>
      </c>
      <c r="D1317" s="409">
        <v>0</v>
      </c>
      <c r="E1317" s="409">
        <f>0.267*$D$1266*'[161]Civil-SOR'!$J$334</f>
        <v>16.839690000000001</v>
      </c>
      <c r="F1317" s="409">
        <f t="shared" si="273"/>
        <v>18.523659000000002</v>
      </c>
      <c r="G1317" s="409">
        <f t="shared" si="274"/>
        <v>20.207628</v>
      </c>
      <c r="H1317" s="409">
        <f t="shared" si="275"/>
        <v>21.891597000000001</v>
      </c>
      <c r="I1317" s="409">
        <f t="shared" si="276"/>
        <v>23.575565999999998</v>
      </c>
      <c r="J1317" s="472"/>
      <c r="K1317" s="497"/>
      <c r="L1317" s="497"/>
      <c r="M1317" s="498"/>
      <c r="N1317" s="498"/>
      <c r="O1317" s="498"/>
      <c r="P1317" s="498"/>
    </row>
    <row r="1318" spans="1:16">
      <c r="A1318" s="426"/>
      <c r="B1318" s="426"/>
      <c r="C1318" s="417" t="str">
        <f>[161]Input!$C$47</f>
        <v>Add for MA @ 40%</v>
      </c>
      <c r="D1318" s="432">
        <f>D1317*[161]Input!$D$47</f>
        <v>0</v>
      </c>
      <c r="E1318" s="409">
        <f>E1317*[161]Input!$D$47</f>
        <v>6.7358760000000011</v>
      </c>
      <c r="F1318" s="409">
        <f>F1317*[161]Input!$D$47</f>
        <v>7.4094636000000014</v>
      </c>
      <c r="G1318" s="409">
        <f>G1317*[161]Input!$D$47</f>
        <v>8.0830511999999999</v>
      </c>
      <c r="H1318" s="409">
        <f>H1317*[161]Input!$D$47</f>
        <v>8.7566388000000011</v>
      </c>
      <c r="I1318" s="409">
        <f>I1317*[161]Input!$D$47</f>
        <v>9.4302264000000005</v>
      </c>
      <c r="J1318" s="472"/>
      <c r="K1318" s="497"/>
      <c r="L1318" s="497"/>
      <c r="M1318" s="498"/>
      <c r="N1318" s="498"/>
      <c r="O1318" s="498"/>
      <c r="P1318" s="498"/>
    </row>
    <row r="1319" spans="1:16" ht="13">
      <c r="A1319" s="426"/>
      <c r="B1319" s="426"/>
      <c r="C1319" s="427" t="s">
        <v>742</v>
      </c>
      <c r="D1319" s="409">
        <f t="shared" ref="D1319:I1319" si="277">SUM(D1312:D1318)</f>
        <v>1971.2072880000001</v>
      </c>
      <c r="E1319" s="409">
        <f t="shared" si="277"/>
        <v>2056.5750915000003</v>
      </c>
      <c r="F1319" s="409">
        <f t="shared" si="277"/>
        <v>2103.1663638499999</v>
      </c>
      <c r="G1319" s="409">
        <f t="shared" si="277"/>
        <v>2151.390876200001</v>
      </c>
      <c r="H1319" s="409">
        <f t="shared" si="277"/>
        <v>2199.6153885500003</v>
      </c>
      <c r="I1319" s="409">
        <f t="shared" si="277"/>
        <v>2247.8399009</v>
      </c>
      <c r="J1319" s="472"/>
      <c r="K1319" s="497"/>
      <c r="L1319" s="497"/>
      <c r="M1319" s="498"/>
      <c r="N1319" s="498"/>
      <c r="O1319" s="498"/>
      <c r="P1319" s="498"/>
    </row>
    <row r="1320" spans="1:16" ht="25">
      <c r="A1320" s="426"/>
      <c r="B1320" s="426"/>
      <c r="C1320" s="417" t="str">
        <f>[161]Input!$C$48</f>
        <v>Overheads &amp; Contractors Profit @ 13.615%</v>
      </c>
      <c r="D1320" s="426">
        <f>ROUND(D1319*[161]Input!$D$48,2)</f>
        <v>268.38</v>
      </c>
      <c r="E1320" s="426">
        <f>ROUND(E1319*[161]Input!$D$48,2)</f>
        <v>280</v>
      </c>
      <c r="F1320" s="426">
        <f>ROUND(F1319*[161]Input!$D$48,2)</f>
        <v>286.35000000000002</v>
      </c>
      <c r="G1320" s="426">
        <f>ROUND(G1319*[161]Input!$D$48,2)</f>
        <v>292.91000000000003</v>
      </c>
      <c r="H1320" s="426">
        <f>ROUND(H1319*[161]Input!$D$48,2)</f>
        <v>299.48</v>
      </c>
      <c r="I1320" s="426">
        <f>ROUND(I1319*[161]Input!$D$48,2)</f>
        <v>306.04000000000002</v>
      </c>
      <c r="J1320" s="472"/>
      <c r="K1320" s="497"/>
      <c r="L1320" s="497"/>
      <c r="M1320" s="498"/>
      <c r="N1320" s="498"/>
      <c r="O1320" s="498"/>
      <c r="P1320" s="498"/>
    </row>
    <row r="1321" spans="1:16" ht="13">
      <c r="A1321" s="426"/>
      <c r="B1321" s="426"/>
      <c r="C1321" s="427" t="s">
        <v>742</v>
      </c>
      <c r="D1321" s="409">
        <f t="shared" ref="D1321:I1321" si="278">SUM(D1319:D1320)</f>
        <v>2239.5872880000002</v>
      </c>
      <c r="E1321" s="409">
        <f t="shared" si="278"/>
        <v>2336.5750915000003</v>
      </c>
      <c r="F1321" s="409">
        <f t="shared" si="278"/>
        <v>2389.5163638499998</v>
      </c>
      <c r="G1321" s="409">
        <f t="shared" si="278"/>
        <v>2444.3008762000009</v>
      </c>
      <c r="H1321" s="409">
        <f t="shared" si="278"/>
        <v>2499.0953885500003</v>
      </c>
      <c r="I1321" s="409">
        <f t="shared" si="278"/>
        <v>2553.8799008999999</v>
      </c>
      <c r="J1321" s="472"/>
      <c r="K1321" s="497"/>
      <c r="L1321" s="497"/>
      <c r="M1321" s="498"/>
      <c r="N1321" s="498"/>
      <c r="O1321" s="498"/>
      <c r="P1321" s="498"/>
    </row>
    <row r="1322" spans="1:16" ht="13">
      <c r="A1322" s="426"/>
      <c r="B1322" s="426"/>
      <c r="C1322" s="514" t="s">
        <v>726</v>
      </c>
      <c r="D1322" s="416">
        <f t="shared" ref="D1322:I1322" si="279">ROUND(D1321,0)</f>
        <v>2240</v>
      </c>
      <c r="E1322" s="416">
        <f t="shared" si="279"/>
        <v>2337</v>
      </c>
      <c r="F1322" s="416">
        <f t="shared" si="279"/>
        <v>2390</v>
      </c>
      <c r="G1322" s="416">
        <f t="shared" si="279"/>
        <v>2444</v>
      </c>
      <c r="H1322" s="416">
        <f t="shared" si="279"/>
        <v>2499</v>
      </c>
      <c r="I1322" s="416">
        <f t="shared" si="279"/>
        <v>2554</v>
      </c>
      <c r="J1322" s="472"/>
      <c r="K1322" s="497"/>
      <c r="L1322" s="497"/>
      <c r="M1322" s="498"/>
      <c r="N1322" s="498"/>
      <c r="O1322" s="498"/>
      <c r="P1322" s="498"/>
    </row>
    <row r="1323" spans="1:16" ht="13">
      <c r="A1323" s="426"/>
      <c r="B1323" s="426"/>
      <c r="C1323" s="514"/>
      <c r="D1323" s="416"/>
      <c r="E1323" s="416"/>
      <c r="F1323" s="416"/>
      <c r="G1323" s="416"/>
      <c r="H1323" s="416"/>
      <c r="I1323" s="416"/>
      <c r="J1323" s="515"/>
      <c r="K1323" s="516"/>
      <c r="L1323" s="516"/>
      <c r="M1323" s="498"/>
      <c r="N1323" s="498"/>
      <c r="O1323" s="498"/>
      <c r="P1323" s="498"/>
    </row>
    <row r="1324" spans="1:16" ht="13">
      <c r="A1324" s="426"/>
      <c r="B1324" s="474" t="s">
        <v>1017</v>
      </c>
      <c r="C1324" s="451" t="s">
        <v>1018</v>
      </c>
      <c r="D1324" s="426"/>
      <c r="E1324" s="426"/>
      <c r="F1324" s="426"/>
      <c r="G1324" s="410"/>
      <c r="H1324" s="474"/>
      <c r="I1324" s="434"/>
      <c r="J1324" s="400"/>
      <c r="K1324" s="497"/>
      <c r="L1324" s="497"/>
      <c r="M1324" s="498"/>
      <c r="N1324" s="498"/>
      <c r="O1324" s="498"/>
      <c r="P1324" s="498"/>
    </row>
    <row r="1325" spans="1:16" ht="13">
      <c r="A1325" s="426"/>
      <c r="B1325" s="426"/>
      <c r="C1325" s="417" t="s">
        <v>920</v>
      </c>
      <c r="D1325" s="491">
        <v>0.2</v>
      </c>
      <c r="E1325" s="426" t="s">
        <v>57</v>
      </c>
      <c r="F1325" s="409">
        <f>$I$1419</f>
        <v>6945.6217600000009</v>
      </c>
      <c r="G1325" s="410">
        <v>1</v>
      </c>
      <c r="H1325" s="426" t="s">
        <v>57</v>
      </c>
      <c r="I1325" s="414">
        <f>IF(G1325="",D1325*F1325,(D1325*F1325/G1325))</f>
        <v>1389.1243520000003</v>
      </c>
      <c r="J1325" s="400"/>
      <c r="K1325" s="497"/>
      <c r="L1325" s="497"/>
      <c r="M1325" s="498"/>
      <c r="N1325" s="498"/>
      <c r="O1325" s="498"/>
      <c r="P1325" s="498"/>
    </row>
    <row r="1326" spans="1:16" ht="13">
      <c r="A1326" s="426"/>
      <c r="B1326" s="426"/>
      <c r="C1326" s="417"/>
      <c r="D1326" s="426"/>
      <c r="E1326" s="426"/>
      <c r="F1326" s="426"/>
      <c r="G1326" s="410"/>
      <c r="H1326" s="426"/>
      <c r="I1326" s="434"/>
      <c r="J1326" s="400"/>
      <c r="K1326" s="497"/>
      <c r="L1326" s="497"/>
      <c r="M1326" s="498"/>
      <c r="N1326" s="498"/>
      <c r="O1326" s="498"/>
      <c r="P1326" s="498"/>
    </row>
    <row r="1327" spans="1:16" ht="14.65" customHeight="1">
      <c r="A1327" s="406"/>
      <c r="B1327" s="406"/>
      <c r="C1327" s="1294" t="s">
        <v>1019</v>
      </c>
      <c r="D1327" s="1294"/>
      <c r="E1327" s="1294"/>
      <c r="F1327" s="1294"/>
      <c r="G1327" s="407"/>
      <c r="H1327" s="406"/>
      <c r="I1327" s="422"/>
      <c r="J1327" s="561"/>
      <c r="K1327" s="562"/>
      <c r="L1327" s="563"/>
      <c r="M1327" s="498"/>
      <c r="N1327" s="498"/>
      <c r="O1327" s="498"/>
      <c r="P1327" s="498"/>
    </row>
    <row r="1328" spans="1:16" ht="26">
      <c r="A1328" s="407"/>
      <c r="B1328" s="407" t="s">
        <v>951</v>
      </c>
      <c r="C1328" s="427" t="s">
        <v>953</v>
      </c>
      <c r="D1328" s="461" t="s">
        <v>959</v>
      </c>
      <c r="E1328" s="407" t="s">
        <v>943</v>
      </c>
      <c r="F1328" s="436" t="s">
        <v>944</v>
      </c>
      <c r="G1328" s="436" t="s">
        <v>945</v>
      </c>
      <c r="H1328" s="407" t="s">
        <v>946</v>
      </c>
      <c r="I1328" s="407" t="s">
        <v>947</v>
      </c>
      <c r="J1328" s="535" t="s">
        <v>948</v>
      </c>
      <c r="K1328" s="564" t="s">
        <v>949</v>
      </c>
      <c r="L1328" s="564" t="s">
        <v>950</v>
      </c>
      <c r="M1328" s="498"/>
      <c r="N1328" s="498"/>
      <c r="O1328" s="498"/>
      <c r="P1328" s="498"/>
    </row>
    <row r="1329" spans="1:16">
      <c r="A1329" s="406"/>
      <c r="B1329" s="406"/>
      <c r="C1329" s="417" t="s">
        <v>954</v>
      </c>
      <c r="D1329" s="432">
        <f t="shared" ref="D1329:L1329" si="280">+$I$1325</f>
        <v>1389.1243520000003</v>
      </c>
      <c r="E1329" s="432">
        <f t="shared" si="280"/>
        <v>1389.1243520000003</v>
      </c>
      <c r="F1329" s="432">
        <f t="shared" si="280"/>
        <v>1389.1243520000003</v>
      </c>
      <c r="G1329" s="432">
        <f t="shared" si="280"/>
        <v>1389.1243520000003</v>
      </c>
      <c r="H1329" s="432">
        <f t="shared" si="280"/>
        <v>1389.1243520000003</v>
      </c>
      <c r="I1329" s="432">
        <f t="shared" si="280"/>
        <v>1389.1243520000003</v>
      </c>
      <c r="J1329" s="537">
        <f t="shared" si="280"/>
        <v>1389.1243520000003</v>
      </c>
      <c r="K1329" s="538">
        <f t="shared" si="280"/>
        <v>1389.1243520000003</v>
      </c>
      <c r="L1329" s="538">
        <f t="shared" si="280"/>
        <v>1389.1243520000003</v>
      </c>
      <c r="M1329" s="498"/>
      <c r="N1329" s="498"/>
      <c r="O1329" s="498"/>
      <c r="P1329" s="498"/>
    </row>
    <row r="1330" spans="1:16">
      <c r="A1330" s="406"/>
      <c r="B1330" s="406"/>
      <c r="C1330" s="417" t="s">
        <v>921</v>
      </c>
      <c r="D1330" s="432">
        <f>'[161]Civil-SOR'!$F$270</f>
        <v>274</v>
      </c>
      <c r="E1330" s="432">
        <f>'[161]Civil-SOR'!$F$270</f>
        <v>274</v>
      </c>
      <c r="F1330" s="432">
        <f>'[161]Civil-SOR'!$F$270</f>
        <v>274</v>
      </c>
      <c r="G1330" s="432">
        <f>'[161]Civil-SOR'!$F$270</f>
        <v>274</v>
      </c>
      <c r="H1330" s="432">
        <f>'[161]Civil-SOR'!$F$270</f>
        <v>274</v>
      </c>
      <c r="I1330" s="432">
        <f>'[161]Civil-SOR'!$F$270</f>
        <v>274</v>
      </c>
      <c r="J1330" s="537">
        <f>'[161]Civil-SOR'!$F$270</f>
        <v>274</v>
      </c>
      <c r="K1330" s="538">
        <f>'[161]Civil-SOR'!$F$270</f>
        <v>274</v>
      </c>
      <c r="L1330" s="538">
        <f>'[161]Civil-SOR'!$F$270</f>
        <v>274</v>
      </c>
      <c r="M1330" s="498"/>
      <c r="N1330" s="498"/>
      <c r="O1330" s="498"/>
      <c r="P1330" s="498"/>
    </row>
    <row r="1331" spans="1:16">
      <c r="A1331" s="406"/>
      <c r="B1331" s="406"/>
      <c r="C1331" s="417" t="s">
        <v>993</v>
      </c>
      <c r="D1331" s="459">
        <f>'[161]Civil-SOR'!$G$270</f>
        <v>267</v>
      </c>
      <c r="E1331" s="459">
        <f>'[161]Civil-SOR'!$H$270</f>
        <v>294</v>
      </c>
      <c r="F1331" s="459">
        <f>'[161]Civil-SOR'!$I$270</f>
        <v>320</v>
      </c>
      <c r="G1331" s="459">
        <f>'[161]Civil-SOR'!$J$270</f>
        <v>347</v>
      </c>
      <c r="H1331" s="459">
        <f>'[161]Civil-SOR'!$K$270</f>
        <v>374</v>
      </c>
      <c r="I1331" s="459">
        <f>'[161]Civil-SOR'!$L$270</f>
        <v>401</v>
      </c>
      <c r="J1331" s="565">
        <f>'[161]Civil-SOR'!$M$270</f>
        <v>427</v>
      </c>
      <c r="K1331" s="566">
        <f>'[161]Civil-SOR'!$N$270</f>
        <v>454</v>
      </c>
      <c r="L1331" s="566">
        <f>'[161]Civil-SOR'!$O$270</f>
        <v>481</v>
      </c>
      <c r="M1331" s="498"/>
      <c r="N1331" s="498"/>
      <c r="O1331" s="498"/>
      <c r="P1331" s="498"/>
    </row>
    <row r="1332" spans="1:16">
      <c r="A1332" s="406"/>
      <c r="B1332" s="406"/>
      <c r="C1332" s="417" t="str">
        <f>[161]Input!$C$47</f>
        <v>Add for MA @ 40%</v>
      </c>
      <c r="D1332" s="432">
        <f>D1331*[161]Input!$D$47</f>
        <v>106.80000000000001</v>
      </c>
      <c r="E1332" s="432">
        <f>E1331*[161]Input!$D$47</f>
        <v>117.60000000000001</v>
      </c>
      <c r="F1332" s="432">
        <f>F1331*[161]Input!$D$47</f>
        <v>128</v>
      </c>
      <c r="G1332" s="432">
        <f>G1331*[161]Input!$D$47</f>
        <v>138.80000000000001</v>
      </c>
      <c r="H1332" s="432">
        <f>H1331*[161]Input!$D$47</f>
        <v>149.6</v>
      </c>
      <c r="I1332" s="432">
        <f>I1331*[161]Input!$D$47</f>
        <v>160.4</v>
      </c>
      <c r="J1332" s="537">
        <f>J1331*[161]Input!$D$47</f>
        <v>170.8</v>
      </c>
      <c r="K1332" s="567">
        <f>K1331*[161]Input!$D$47</f>
        <v>181.60000000000002</v>
      </c>
      <c r="L1332" s="567">
        <f>L1331*[161]Input!$D$47</f>
        <v>192.4</v>
      </c>
      <c r="M1332" s="498"/>
      <c r="N1332" s="498"/>
      <c r="O1332" s="498"/>
      <c r="P1332" s="498"/>
    </row>
    <row r="1333" spans="1:16">
      <c r="A1333" s="406"/>
      <c r="B1333" s="406"/>
      <c r="C1333" s="417" t="s">
        <v>979</v>
      </c>
      <c r="D1333" s="432">
        <v>0</v>
      </c>
      <c r="E1333" s="432">
        <f>$F$1411*D1325*10%</f>
        <v>34.241000000000007</v>
      </c>
      <c r="F1333" s="432">
        <f>$F$1411*D1325*20%</f>
        <v>68.482000000000014</v>
      </c>
      <c r="G1333" s="432">
        <f>$F$1411*D1325*30%</f>
        <v>102.723</v>
      </c>
      <c r="H1333" s="432">
        <f>$F$1411*D1325*40%</f>
        <v>136.96400000000003</v>
      </c>
      <c r="I1333" s="432">
        <f>$F$1411*D1325*50%</f>
        <v>171.20500000000001</v>
      </c>
      <c r="J1333" s="537">
        <f>$F$1411*D1325*60%</f>
        <v>205.446</v>
      </c>
      <c r="K1333" s="567">
        <f>$F$1411*D1325*70%</f>
        <v>239.68700000000001</v>
      </c>
      <c r="L1333" s="567">
        <f>$F$1411*D1325*80%</f>
        <v>273.92800000000005</v>
      </c>
      <c r="M1333" s="498"/>
      <c r="N1333" s="498"/>
      <c r="O1333" s="498"/>
      <c r="P1333" s="498"/>
    </row>
    <row r="1334" spans="1:16">
      <c r="A1334" s="406"/>
      <c r="B1334" s="406"/>
      <c r="C1334" s="417" t="str">
        <f>[161]Input!$C$47</f>
        <v>Add for MA @ 40%</v>
      </c>
      <c r="D1334" s="432">
        <f>D1333*[161]Input!D443</f>
        <v>0</v>
      </c>
      <c r="E1334" s="432">
        <f>E1333*[161]Input!$D$47</f>
        <v>13.696400000000004</v>
      </c>
      <c r="F1334" s="432">
        <f>F1333*[161]Input!$D$47</f>
        <v>27.392800000000008</v>
      </c>
      <c r="G1334" s="432">
        <f>G1333*[161]Input!$D$47</f>
        <v>41.089200000000005</v>
      </c>
      <c r="H1334" s="432">
        <f>H1333*[161]Input!$D$47</f>
        <v>54.785600000000017</v>
      </c>
      <c r="I1334" s="432">
        <f>I1333*[161]Input!$D$47</f>
        <v>68.482000000000014</v>
      </c>
      <c r="J1334" s="537">
        <f>J1333*[161]Input!$D$47</f>
        <v>82.178400000000011</v>
      </c>
      <c r="K1334" s="567">
        <f>K1333*[161]Input!$D$47</f>
        <v>95.874800000000008</v>
      </c>
      <c r="L1334" s="567">
        <f>L1333*[161]Input!$D$47</f>
        <v>109.57120000000003</v>
      </c>
      <c r="M1334" s="498"/>
      <c r="N1334" s="498"/>
      <c r="O1334" s="498"/>
      <c r="P1334" s="498"/>
    </row>
    <row r="1335" spans="1:16" ht="13">
      <c r="A1335" s="406"/>
      <c r="B1335" s="406"/>
      <c r="C1335" s="427" t="s">
        <v>742</v>
      </c>
      <c r="D1335" s="432">
        <f t="shared" ref="D1335:L1335" si="281">SUM(D1329:D1334)</f>
        <v>2036.9243520000002</v>
      </c>
      <c r="E1335" s="432">
        <f t="shared" si="281"/>
        <v>2122.661752</v>
      </c>
      <c r="F1335" s="432">
        <f t="shared" si="281"/>
        <v>2206.9991520000003</v>
      </c>
      <c r="G1335" s="432">
        <f t="shared" si="281"/>
        <v>2292.7365520000003</v>
      </c>
      <c r="H1335" s="432">
        <f t="shared" si="281"/>
        <v>2378.4739520000003</v>
      </c>
      <c r="I1335" s="432">
        <f t="shared" si="281"/>
        <v>2464.2113520000003</v>
      </c>
      <c r="J1335" s="537">
        <f t="shared" si="281"/>
        <v>2548.5487520000006</v>
      </c>
      <c r="K1335" s="567">
        <f t="shared" si="281"/>
        <v>2634.2861520000001</v>
      </c>
      <c r="L1335" s="567">
        <f t="shared" si="281"/>
        <v>2720.0235520000001</v>
      </c>
      <c r="M1335" s="498"/>
      <c r="N1335" s="498"/>
      <c r="O1335" s="498"/>
      <c r="P1335" s="498"/>
    </row>
    <row r="1336" spans="1:16" ht="25">
      <c r="A1336" s="406"/>
      <c r="B1336" s="406"/>
      <c r="C1336" s="417" t="str">
        <f>[161]Input!$C$48</f>
        <v>Overheads &amp; Contractors Profit @ 13.615%</v>
      </c>
      <c r="D1336" s="406">
        <f>ROUND(D1335*[161]Input!$D$48,2)</f>
        <v>277.33</v>
      </c>
      <c r="E1336" s="406">
        <f>ROUND(E1335*[161]Input!$D$48,2)</f>
        <v>289</v>
      </c>
      <c r="F1336" s="406">
        <f>ROUND(F1335*[161]Input!$D$48,2)</f>
        <v>300.48</v>
      </c>
      <c r="G1336" s="406">
        <f>ROUND(G1335*[161]Input!$D$48,2)</f>
        <v>312.16000000000003</v>
      </c>
      <c r="H1336" s="406">
        <f>ROUND(H1335*[161]Input!$D$48,2)</f>
        <v>323.83</v>
      </c>
      <c r="I1336" s="406">
        <f>ROUND(I1335*[161]Input!$D$48,2)</f>
        <v>335.5</v>
      </c>
      <c r="J1336" s="539">
        <f>ROUND(J1335*[161]Input!$D$48,2)</f>
        <v>346.98</v>
      </c>
      <c r="K1336" s="568">
        <f>ROUND(K1335*[161]Input!$D$48,2)</f>
        <v>358.66</v>
      </c>
      <c r="L1336" s="568">
        <f>ROUND(L1335*[161]Input!$D$48,2)</f>
        <v>370.33</v>
      </c>
      <c r="M1336" s="498"/>
      <c r="N1336" s="498"/>
      <c r="O1336" s="498"/>
      <c r="P1336" s="498"/>
    </row>
    <row r="1337" spans="1:16" ht="13">
      <c r="A1337" s="406"/>
      <c r="B1337" s="406"/>
      <c r="C1337" s="473" t="s">
        <v>742</v>
      </c>
      <c r="D1337" s="432">
        <f t="shared" ref="D1337:L1337" si="282">SUM(D1335:D1336)</f>
        <v>2314.2543520000004</v>
      </c>
      <c r="E1337" s="432">
        <f t="shared" si="282"/>
        <v>2411.661752</v>
      </c>
      <c r="F1337" s="432">
        <f t="shared" si="282"/>
        <v>2507.4791520000003</v>
      </c>
      <c r="G1337" s="432">
        <f t="shared" si="282"/>
        <v>2604.8965520000002</v>
      </c>
      <c r="H1337" s="432">
        <f t="shared" si="282"/>
        <v>2702.3039520000002</v>
      </c>
      <c r="I1337" s="432">
        <f t="shared" si="282"/>
        <v>2799.7113520000003</v>
      </c>
      <c r="J1337" s="541">
        <f t="shared" si="282"/>
        <v>2895.5287520000006</v>
      </c>
      <c r="K1337" s="569">
        <f t="shared" si="282"/>
        <v>2992.946152</v>
      </c>
      <c r="L1337" s="569">
        <f t="shared" si="282"/>
        <v>3090.353552</v>
      </c>
      <c r="M1337" s="504"/>
      <c r="N1337" s="504"/>
      <c r="O1337" s="504"/>
      <c r="P1337" s="498"/>
    </row>
    <row r="1338" spans="1:16" ht="13">
      <c r="A1338" s="406"/>
      <c r="B1338" s="406"/>
      <c r="C1338" s="514" t="s">
        <v>726</v>
      </c>
      <c r="D1338" s="570">
        <f t="shared" ref="D1338:L1338" si="283">ROUND(D1337,0)</f>
        <v>2314</v>
      </c>
      <c r="E1338" s="570">
        <f t="shared" si="283"/>
        <v>2412</v>
      </c>
      <c r="F1338" s="570">
        <f t="shared" si="283"/>
        <v>2507</v>
      </c>
      <c r="G1338" s="570">
        <f t="shared" si="283"/>
        <v>2605</v>
      </c>
      <c r="H1338" s="570">
        <f t="shared" si="283"/>
        <v>2702</v>
      </c>
      <c r="I1338" s="570">
        <f t="shared" si="283"/>
        <v>2800</v>
      </c>
      <c r="J1338" s="571">
        <f t="shared" si="283"/>
        <v>2896</v>
      </c>
      <c r="K1338" s="572">
        <f t="shared" si="283"/>
        <v>2993</v>
      </c>
      <c r="L1338" s="572">
        <f t="shared" si="283"/>
        <v>3090</v>
      </c>
      <c r="M1338" s="504"/>
      <c r="N1338" s="504"/>
      <c r="O1338" s="504"/>
      <c r="P1338" s="498"/>
    </row>
    <row r="1339" spans="1:16" ht="13">
      <c r="A1339" s="426"/>
      <c r="B1339" s="426"/>
      <c r="C1339" s="550"/>
      <c r="D1339" s="416"/>
      <c r="E1339" s="416"/>
      <c r="F1339" s="416"/>
      <c r="G1339" s="416"/>
      <c r="H1339" s="416"/>
      <c r="I1339" s="414"/>
      <c r="J1339" s="400"/>
      <c r="K1339" s="497"/>
      <c r="L1339" s="497"/>
      <c r="M1339" s="498"/>
      <c r="N1339" s="498"/>
      <c r="O1339" s="498"/>
      <c r="P1339" s="498"/>
    </row>
    <row r="1340" spans="1:16" ht="13">
      <c r="A1340" s="426"/>
      <c r="B1340" s="474" t="s">
        <v>957</v>
      </c>
      <c r="C1340" s="451" t="s">
        <v>958</v>
      </c>
      <c r="D1340" s="426"/>
      <c r="E1340" s="426"/>
      <c r="F1340" s="426"/>
      <c r="G1340" s="410"/>
      <c r="H1340" s="426"/>
      <c r="I1340" s="434"/>
      <c r="J1340" s="400"/>
      <c r="K1340" s="497"/>
      <c r="L1340" s="497"/>
      <c r="M1340" s="498"/>
      <c r="N1340" s="498"/>
      <c r="O1340" s="498"/>
      <c r="P1340" s="498"/>
    </row>
    <row r="1341" spans="1:16" ht="13">
      <c r="A1341" s="426"/>
      <c r="B1341" s="426"/>
      <c r="C1341" s="427" t="s">
        <v>953</v>
      </c>
      <c r="D1341" s="414" t="s">
        <v>959</v>
      </c>
      <c r="E1341" s="474" t="s">
        <v>943</v>
      </c>
      <c r="F1341" s="492" t="s">
        <v>944</v>
      </c>
      <c r="G1341" s="492" t="s">
        <v>945</v>
      </c>
      <c r="H1341" s="474" t="s">
        <v>946</v>
      </c>
      <c r="I1341" s="474" t="s">
        <v>947</v>
      </c>
      <c r="J1341" s="573" t="s">
        <v>948</v>
      </c>
      <c r="K1341" s="497"/>
      <c r="L1341" s="497"/>
      <c r="M1341" s="498"/>
      <c r="N1341" s="498"/>
      <c r="O1341" s="498"/>
      <c r="P1341" s="498"/>
    </row>
    <row r="1342" spans="1:16">
      <c r="A1342" s="426"/>
      <c r="B1342" s="426"/>
      <c r="C1342" s="417" t="s">
        <v>954</v>
      </c>
      <c r="D1342" s="409">
        <f t="shared" ref="D1342:J1342" si="284">$I$1325</f>
        <v>1389.1243520000003</v>
      </c>
      <c r="E1342" s="409">
        <f t="shared" si="284"/>
        <v>1389.1243520000003</v>
      </c>
      <c r="F1342" s="409">
        <f t="shared" si="284"/>
        <v>1389.1243520000003</v>
      </c>
      <c r="G1342" s="409">
        <f t="shared" si="284"/>
        <v>1389.1243520000003</v>
      </c>
      <c r="H1342" s="409">
        <f t="shared" si="284"/>
        <v>1389.1243520000003</v>
      </c>
      <c r="I1342" s="409">
        <f t="shared" si="284"/>
        <v>1389.1243520000003</v>
      </c>
      <c r="J1342" s="574">
        <f t="shared" si="284"/>
        <v>1389.1243520000003</v>
      </c>
      <c r="K1342" s="497"/>
      <c r="L1342" s="497"/>
      <c r="M1342" s="498"/>
      <c r="N1342" s="498"/>
      <c r="O1342" s="498"/>
      <c r="P1342" s="498"/>
    </row>
    <row r="1343" spans="1:16">
      <c r="A1343" s="426"/>
      <c r="B1343" s="426"/>
      <c r="C1343" s="417" t="s">
        <v>921</v>
      </c>
      <c r="D1343" s="409">
        <f>'[161]Civil-SOR'!$F$270</f>
        <v>274</v>
      </c>
      <c r="E1343" s="409">
        <f>'[161]Civil-SOR'!$F$270</f>
        <v>274</v>
      </c>
      <c r="F1343" s="409">
        <f>'[161]Civil-SOR'!$F$270</f>
        <v>274</v>
      </c>
      <c r="G1343" s="409">
        <f>'[161]Civil-SOR'!$F$270</f>
        <v>274</v>
      </c>
      <c r="H1343" s="409">
        <f>'[161]Civil-SOR'!$F$270</f>
        <v>274</v>
      </c>
      <c r="I1343" s="409">
        <f>'[161]Civil-SOR'!$F$270</f>
        <v>274</v>
      </c>
      <c r="J1343" s="574">
        <f>'[161]Civil-SOR'!$F$270</f>
        <v>274</v>
      </c>
      <c r="K1343" s="497"/>
      <c r="L1343" s="497"/>
      <c r="M1343" s="498"/>
      <c r="N1343" s="498"/>
      <c r="O1343" s="498"/>
      <c r="P1343" s="498"/>
    </row>
    <row r="1344" spans="1:16">
      <c r="A1344" s="426"/>
      <c r="B1344" s="426"/>
      <c r="C1344" s="417" t="s">
        <v>993</v>
      </c>
      <c r="D1344" s="408">
        <f>'[161]Civil-SOR'!$G$270</f>
        <v>267</v>
      </c>
      <c r="E1344" s="408">
        <f>'[161]Civil-SOR'!$H$270</f>
        <v>294</v>
      </c>
      <c r="F1344" s="408">
        <f>'[161]Civil-SOR'!$I$270</f>
        <v>320</v>
      </c>
      <c r="G1344" s="408">
        <f>'[161]Civil-SOR'!$J$270</f>
        <v>347</v>
      </c>
      <c r="H1344" s="408">
        <f>'[161]Civil-SOR'!$K$270</f>
        <v>374</v>
      </c>
      <c r="I1344" s="408">
        <f>'[161]Civil-SOR'!$L$270</f>
        <v>401</v>
      </c>
      <c r="J1344" s="575">
        <f>'[161]Civil-SOR'!$M$270</f>
        <v>427</v>
      </c>
      <c r="K1344" s="497"/>
      <c r="L1344" s="497"/>
      <c r="M1344" s="498"/>
      <c r="N1344" s="498"/>
      <c r="O1344" s="498"/>
      <c r="P1344" s="498"/>
    </row>
    <row r="1345" spans="1:16">
      <c r="A1345" s="426"/>
      <c r="B1345" s="426"/>
      <c r="C1345" s="417" t="str">
        <f>[161]Input!$C$47</f>
        <v>Add for MA @ 40%</v>
      </c>
      <c r="D1345" s="409">
        <f>D1344*[161]Input!$D$47</f>
        <v>106.80000000000001</v>
      </c>
      <c r="E1345" s="409">
        <f>E1344*[161]Input!$D$47</f>
        <v>117.60000000000001</v>
      </c>
      <c r="F1345" s="409">
        <f>F1344*[161]Input!$D$47</f>
        <v>128</v>
      </c>
      <c r="G1345" s="409">
        <f>G1344*[161]Input!$D$47</f>
        <v>138.80000000000001</v>
      </c>
      <c r="H1345" s="409">
        <f>H1344*[161]Input!$D$47</f>
        <v>149.6</v>
      </c>
      <c r="I1345" s="409">
        <f>I1344*[161]Input!$D$47</f>
        <v>160.4</v>
      </c>
      <c r="J1345" s="574">
        <f>J1344*[161]Input!$D$47</f>
        <v>170.8</v>
      </c>
      <c r="K1345" s="497"/>
      <c r="L1345" s="497"/>
      <c r="M1345" s="498"/>
      <c r="N1345" s="498"/>
      <c r="O1345" s="498"/>
      <c r="P1345" s="498"/>
    </row>
    <row r="1346" spans="1:16" ht="25">
      <c r="A1346" s="426"/>
      <c r="B1346" s="426"/>
      <c r="C1346" s="417" t="s">
        <v>995</v>
      </c>
      <c r="D1346" s="409">
        <v>0</v>
      </c>
      <c r="E1346" s="409">
        <f>0.267*$D$1325*'[161]Civil-SOR'!$G$334</f>
        <v>20.222580000000004</v>
      </c>
      <c r="F1346" s="409">
        <f t="shared" ref="F1346:F1347" si="285">E1346*1.1</f>
        <v>22.244838000000005</v>
      </c>
      <c r="G1346" s="409">
        <f t="shared" ref="G1346:G1347" si="286">E1346*1.2</f>
        <v>24.267096000000006</v>
      </c>
      <c r="H1346" s="409">
        <f t="shared" ref="H1346:H1347" si="287">E1346*1.3</f>
        <v>26.289354000000007</v>
      </c>
      <c r="I1346" s="409">
        <f t="shared" ref="I1346:I1347" si="288">E1346*1.4</f>
        <v>28.311612000000004</v>
      </c>
      <c r="J1346" s="574">
        <f t="shared" ref="J1346:J1347" si="289">F1346*1.5</f>
        <v>33.367257000000009</v>
      </c>
      <c r="K1346" s="497"/>
      <c r="L1346" s="497"/>
      <c r="M1346" s="498"/>
      <c r="N1346" s="498"/>
      <c r="O1346" s="498"/>
      <c r="P1346" s="498"/>
    </row>
    <row r="1347" spans="1:16">
      <c r="A1347" s="426"/>
      <c r="B1347" s="426"/>
      <c r="C1347" s="417" t="s">
        <v>828</v>
      </c>
      <c r="D1347" s="409"/>
      <c r="E1347" s="409">
        <f>0.267*$D$1325*'[161]Civil-SOR'!$J$334</f>
        <v>19.245360000000002</v>
      </c>
      <c r="F1347" s="409">
        <f t="shared" si="285"/>
        <v>21.169896000000005</v>
      </c>
      <c r="G1347" s="409">
        <f t="shared" si="286"/>
        <v>23.094432000000001</v>
      </c>
      <c r="H1347" s="409">
        <f t="shared" si="287"/>
        <v>25.018968000000005</v>
      </c>
      <c r="I1347" s="409">
        <f t="shared" si="288"/>
        <v>26.943504000000001</v>
      </c>
      <c r="J1347" s="574">
        <f t="shared" si="289"/>
        <v>31.754844000000006</v>
      </c>
      <c r="K1347" s="497"/>
      <c r="L1347" s="497"/>
      <c r="M1347" s="498"/>
      <c r="N1347" s="498"/>
      <c r="O1347" s="498"/>
      <c r="P1347" s="498"/>
    </row>
    <row r="1348" spans="1:16">
      <c r="A1348" s="426"/>
      <c r="B1348" s="426"/>
      <c r="C1348" s="417" t="str">
        <f>[161]Input!$C$47</f>
        <v>Add for MA @ 40%</v>
      </c>
      <c r="D1348" s="409">
        <f>D1346*[161]Input!D456</f>
        <v>0</v>
      </c>
      <c r="E1348" s="409">
        <f>E1347*[161]Input!$D$47</f>
        <v>7.698144000000001</v>
      </c>
      <c r="F1348" s="409">
        <f>F1347*[161]Input!$D$47</f>
        <v>8.4679584000000023</v>
      </c>
      <c r="G1348" s="409">
        <f>G1347*[161]Input!$D$47</f>
        <v>9.2377728000000001</v>
      </c>
      <c r="H1348" s="409">
        <f>H1347*[161]Input!$D$47</f>
        <v>10.007587200000003</v>
      </c>
      <c r="I1348" s="409">
        <f>I1347*[161]Input!$D$47</f>
        <v>10.777401600000001</v>
      </c>
      <c r="J1348" s="574">
        <f>J1347*[161]Input!$D$47</f>
        <v>12.701937600000003</v>
      </c>
      <c r="K1348" s="497"/>
      <c r="L1348" s="497"/>
      <c r="M1348" s="498"/>
      <c r="N1348" s="498"/>
      <c r="O1348" s="498"/>
      <c r="P1348" s="498"/>
    </row>
    <row r="1349" spans="1:16" ht="13">
      <c r="A1349" s="426"/>
      <c r="B1349" s="426"/>
      <c r="C1349" s="427" t="s">
        <v>742</v>
      </c>
      <c r="D1349" s="409">
        <f t="shared" ref="D1349:J1349" si="290">SUM(D1342:D1348)</f>
        <v>2036.9243520000002</v>
      </c>
      <c r="E1349" s="409">
        <f t="shared" si="290"/>
        <v>2121.8904360000001</v>
      </c>
      <c r="F1349" s="409">
        <f t="shared" si="290"/>
        <v>2163.0070444000003</v>
      </c>
      <c r="G1349" s="409">
        <f t="shared" si="290"/>
        <v>2205.5236528000005</v>
      </c>
      <c r="H1349" s="409">
        <f t="shared" si="290"/>
        <v>2248.0402612000003</v>
      </c>
      <c r="I1349" s="409">
        <f t="shared" si="290"/>
        <v>2290.5568696</v>
      </c>
      <c r="J1349" s="574">
        <f t="shared" si="290"/>
        <v>2338.7483906000002</v>
      </c>
      <c r="K1349" s="497"/>
      <c r="L1349" s="497"/>
      <c r="M1349" s="498"/>
      <c r="N1349" s="498"/>
      <c r="O1349" s="498"/>
      <c r="P1349" s="498"/>
    </row>
    <row r="1350" spans="1:16" ht="25">
      <c r="A1350" s="426"/>
      <c r="B1350" s="426"/>
      <c r="C1350" s="417" t="str">
        <f>[161]Input!$C$48</f>
        <v>Overheads &amp; Contractors Profit @ 13.615%</v>
      </c>
      <c r="D1350" s="426">
        <f>ROUND(D1349*[161]Input!$D$48,2)</f>
        <v>277.33</v>
      </c>
      <c r="E1350" s="426">
        <f>ROUND(E1349*[161]Input!$D$48,2)</f>
        <v>288.89999999999998</v>
      </c>
      <c r="F1350" s="426">
        <f>ROUND(F1349*[161]Input!$D$48,2)</f>
        <v>294.49</v>
      </c>
      <c r="G1350" s="426">
        <f>ROUND(G1349*[161]Input!$D$48,2)</f>
        <v>300.27999999999997</v>
      </c>
      <c r="H1350" s="426">
        <f>ROUND(H1349*[161]Input!$D$48,2)</f>
        <v>306.07</v>
      </c>
      <c r="I1350" s="426">
        <f>ROUND(I1349*[161]Input!$D$48,2)</f>
        <v>311.86</v>
      </c>
      <c r="J1350" s="446">
        <f>ROUND(J1349*[161]Input!$D$48,2)</f>
        <v>318.42</v>
      </c>
      <c r="K1350" s="497"/>
      <c r="L1350" s="497"/>
      <c r="M1350" s="498"/>
      <c r="N1350" s="498"/>
      <c r="O1350" s="498"/>
      <c r="P1350" s="498"/>
    </row>
    <row r="1351" spans="1:16" ht="13">
      <c r="A1351" s="426"/>
      <c r="B1351" s="426"/>
      <c r="C1351" s="427" t="s">
        <v>742</v>
      </c>
      <c r="D1351" s="409">
        <f t="shared" ref="D1351:J1351" si="291">SUM(D1349:D1350)</f>
        <v>2314.2543520000004</v>
      </c>
      <c r="E1351" s="409">
        <f t="shared" si="291"/>
        <v>2410.7904360000002</v>
      </c>
      <c r="F1351" s="409">
        <f t="shared" si="291"/>
        <v>2457.4970444</v>
      </c>
      <c r="G1351" s="409">
        <f t="shared" si="291"/>
        <v>2505.8036528000002</v>
      </c>
      <c r="H1351" s="409">
        <f t="shared" si="291"/>
        <v>2554.1102612000004</v>
      </c>
      <c r="I1351" s="409">
        <f t="shared" si="291"/>
        <v>2602.4168696000002</v>
      </c>
      <c r="J1351" s="576">
        <f t="shared" si="291"/>
        <v>2657.1683906000003</v>
      </c>
      <c r="K1351" s="503"/>
      <c r="L1351" s="503"/>
      <c r="M1351" s="504"/>
      <c r="N1351" s="504"/>
      <c r="O1351" s="504"/>
      <c r="P1351" s="498"/>
    </row>
    <row r="1352" spans="1:16" ht="13">
      <c r="A1352" s="426"/>
      <c r="B1352" s="426"/>
      <c r="C1352" s="514" t="s">
        <v>726</v>
      </c>
      <c r="D1352" s="416">
        <f t="shared" ref="D1352:J1352" si="292">ROUND(D1351,0)</f>
        <v>2314</v>
      </c>
      <c r="E1352" s="416">
        <f t="shared" si="292"/>
        <v>2411</v>
      </c>
      <c r="F1352" s="416">
        <f t="shared" si="292"/>
        <v>2457</v>
      </c>
      <c r="G1352" s="416">
        <f t="shared" si="292"/>
        <v>2506</v>
      </c>
      <c r="H1352" s="416">
        <f t="shared" si="292"/>
        <v>2554</v>
      </c>
      <c r="I1352" s="416">
        <f t="shared" si="292"/>
        <v>2602</v>
      </c>
      <c r="J1352" s="533">
        <f t="shared" si="292"/>
        <v>2657</v>
      </c>
      <c r="K1352" s="503"/>
      <c r="L1352" s="503"/>
      <c r="M1352" s="504"/>
      <c r="N1352" s="504"/>
      <c r="O1352" s="504"/>
      <c r="P1352" s="498"/>
    </row>
    <row r="1353" spans="1:16" ht="13">
      <c r="A1353" s="426"/>
      <c r="B1353" s="426"/>
      <c r="C1353" s="514"/>
      <c r="D1353" s="416"/>
      <c r="E1353" s="416"/>
      <c r="F1353" s="416"/>
      <c r="G1353" s="416"/>
      <c r="H1353" s="416"/>
      <c r="I1353" s="416"/>
      <c r="J1353" s="533"/>
      <c r="K1353" s="503"/>
      <c r="L1353" s="503"/>
      <c r="M1353" s="504"/>
      <c r="N1353" s="504"/>
      <c r="O1353" s="504"/>
      <c r="P1353" s="498"/>
    </row>
    <row r="1354" spans="1:16" ht="14.65" customHeight="1">
      <c r="A1354" s="426"/>
      <c r="B1354" s="406"/>
      <c r="C1354" s="1294" t="s">
        <v>1020</v>
      </c>
      <c r="D1354" s="1294"/>
      <c r="E1354" s="1294"/>
      <c r="F1354" s="1294"/>
      <c r="G1354" s="407"/>
      <c r="H1354" s="406"/>
      <c r="I1354" s="422"/>
      <c r="J1354" s="561"/>
      <c r="K1354" s="562"/>
      <c r="L1354" s="563"/>
      <c r="M1354" s="498"/>
      <c r="N1354" s="498"/>
      <c r="O1354" s="498"/>
      <c r="P1354" s="498"/>
    </row>
    <row r="1355" spans="1:16" ht="26">
      <c r="A1355" s="426"/>
      <c r="B1355" s="407" t="s">
        <v>951</v>
      </c>
      <c r="C1355" s="427" t="s">
        <v>953</v>
      </c>
      <c r="D1355" s="461" t="s">
        <v>959</v>
      </c>
      <c r="E1355" s="407" t="s">
        <v>943</v>
      </c>
      <c r="F1355" s="436" t="s">
        <v>944</v>
      </c>
      <c r="G1355" s="436" t="s">
        <v>945</v>
      </c>
      <c r="H1355" s="407" t="s">
        <v>946</v>
      </c>
      <c r="I1355" s="407" t="s">
        <v>947</v>
      </c>
      <c r="J1355" s="535" t="s">
        <v>948</v>
      </c>
      <c r="K1355" s="562"/>
      <c r="L1355" s="563"/>
      <c r="M1355" s="498"/>
      <c r="N1355" s="498"/>
      <c r="O1355" s="498"/>
      <c r="P1355" s="498"/>
    </row>
    <row r="1356" spans="1:16" ht="13">
      <c r="A1356" s="426"/>
      <c r="B1356" s="426"/>
      <c r="C1356" s="417" t="s">
        <v>954</v>
      </c>
      <c r="D1356" s="409">
        <f t="shared" ref="D1356:J1356" si="293">$I$1325</f>
        <v>1389.1243520000003</v>
      </c>
      <c r="E1356" s="409">
        <f t="shared" si="293"/>
        <v>1389.1243520000003</v>
      </c>
      <c r="F1356" s="409">
        <f t="shared" si="293"/>
        <v>1389.1243520000003</v>
      </c>
      <c r="G1356" s="409">
        <f t="shared" si="293"/>
        <v>1389.1243520000003</v>
      </c>
      <c r="H1356" s="409">
        <f t="shared" si="293"/>
        <v>1389.1243520000003</v>
      </c>
      <c r="I1356" s="409">
        <f t="shared" si="293"/>
        <v>1389.1243520000003</v>
      </c>
      <c r="J1356" s="574">
        <f t="shared" si="293"/>
        <v>1389.1243520000003</v>
      </c>
      <c r="K1356" s="562"/>
      <c r="L1356" s="563"/>
      <c r="M1356" s="498"/>
      <c r="N1356" s="504"/>
      <c r="O1356" s="504"/>
      <c r="P1356" s="498"/>
    </row>
    <row r="1357" spans="1:16">
      <c r="A1357" s="426"/>
      <c r="B1357" s="426"/>
      <c r="C1357" s="417" t="s">
        <v>921</v>
      </c>
      <c r="D1357" s="409">
        <f>'[161]Civil-SOR'!$F$270*1.1666</f>
        <v>319.64840000000004</v>
      </c>
      <c r="E1357" s="409">
        <f>'[161]Civil-SOR'!$F$270*1.1666</f>
        <v>319.64840000000004</v>
      </c>
      <c r="F1357" s="409">
        <f>'[161]Civil-SOR'!$F$270*1.1666</f>
        <v>319.64840000000004</v>
      </c>
      <c r="G1357" s="409">
        <f>'[161]Civil-SOR'!$F$270*1.1666</f>
        <v>319.64840000000004</v>
      </c>
      <c r="H1357" s="409">
        <f>'[161]Civil-SOR'!$F$270*1.1666</f>
        <v>319.64840000000004</v>
      </c>
      <c r="I1357" s="409">
        <f>'[161]Civil-SOR'!$F$270*1.1666</f>
        <v>319.64840000000004</v>
      </c>
      <c r="J1357" s="577">
        <f>'[161]Civil-SOR'!$F$270*1.1666</f>
        <v>319.64840000000004</v>
      </c>
      <c r="K1357" s="497"/>
      <c r="L1357" s="497"/>
      <c r="M1357" s="498"/>
      <c r="N1357" s="504"/>
      <c r="O1357" s="504"/>
      <c r="P1357" s="498"/>
    </row>
    <row r="1358" spans="1:16">
      <c r="A1358" s="426"/>
      <c r="B1358" s="426"/>
      <c r="C1358" s="417" t="s">
        <v>993</v>
      </c>
      <c r="D1358" s="408">
        <f>'[161]Civil-SOR'!$G$270*1.1666</f>
        <v>311.48220000000003</v>
      </c>
      <c r="E1358" s="408">
        <f>'[161]Civil-SOR'!$H$270*1.1666</f>
        <v>342.98040000000003</v>
      </c>
      <c r="F1358" s="408">
        <f>'[161]Civil-SOR'!$I$270*1.1666</f>
        <v>373.31200000000001</v>
      </c>
      <c r="G1358" s="408">
        <f>'[161]Civil-SOR'!$J$270*1.1666</f>
        <v>404.81020000000001</v>
      </c>
      <c r="H1358" s="408">
        <f>'[161]Civil-SOR'!$K$270*1.1666</f>
        <v>436.30840000000001</v>
      </c>
      <c r="I1358" s="408">
        <f>'[161]Civil-SOR'!$L$270*1.1666</f>
        <v>467.80660000000006</v>
      </c>
      <c r="J1358" s="510">
        <f>'[161]Civil-SOR'!$M$270*1.1666</f>
        <v>498.13820000000004</v>
      </c>
      <c r="K1358" s="497"/>
      <c r="L1358" s="497"/>
      <c r="M1358" s="498"/>
      <c r="N1358" s="504"/>
      <c r="O1358" s="504"/>
      <c r="P1358" s="498"/>
    </row>
    <row r="1359" spans="1:16">
      <c r="A1359" s="426"/>
      <c r="B1359" s="426"/>
      <c r="C1359" s="417" t="str">
        <f>[161]Input!$C$47</f>
        <v>Add for MA @ 40%</v>
      </c>
      <c r="D1359" s="409">
        <f>D1358*[161]Input!$D$47</f>
        <v>124.59288000000002</v>
      </c>
      <c r="E1359" s="409">
        <f>E1358*[161]Input!$D$47</f>
        <v>137.19216000000003</v>
      </c>
      <c r="F1359" s="409">
        <f>F1358*[161]Input!$D$47</f>
        <v>149.32480000000001</v>
      </c>
      <c r="G1359" s="409">
        <f>G1358*[161]Input!$D$47</f>
        <v>161.92408</v>
      </c>
      <c r="H1359" s="409">
        <f>H1358*[161]Input!$D$47</f>
        <v>174.52336000000003</v>
      </c>
      <c r="I1359" s="409">
        <f>I1358*[161]Input!$D$47</f>
        <v>187.12264000000005</v>
      </c>
      <c r="J1359" s="574">
        <f>J1358*[161]Input!$D$47</f>
        <v>199.25528000000003</v>
      </c>
      <c r="K1359" s="497"/>
      <c r="L1359" s="497"/>
      <c r="M1359" s="498"/>
      <c r="N1359" s="504"/>
      <c r="O1359" s="504"/>
      <c r="P1359" s="498"/>
    </row>
    <row r="1360" spans="1:16" ht="25">
      <c r="A1360" s="426"/>
      <c r="B1360" s="426"/>
      <c r="C1360" s="417" t="s">
        <v>995</v>
      </c>
      <c r="D1360" s="409">
        <v>0</v>
      </c>
      <c r="E1360" s="409">
        <f>0.267*$D$1325*'[161]Civil-SOR'!$G$334</f>
        <v>20.222580000000004</v>
      </c>
      <c r="F1360" s="409">
        <f t="shared" ref="F1360:F1361" si="294">E1360*1.1</f>
        <v>22.244838000000005</v>
      </c>
      <c r="G1360" s="409">
        <f t="shared" ref="G1360:G1361" si="295">E1360*1.2</f>
        <v>24.267096000000006</v>
      </c>
      <c r="H1360" s="409">
        <f t="shared" ref="H1360:H1361" si="296">E1360*1.3</f>
        <v>26.289354000000007</v>
      </c>
      <c r="I1360" s="409">
        <f t="shared" ref="I1360:I1361" si="297">E1360*1.4</f>
        <v>28.311612000000004</v>
      </c>
      <c r="J1360" s="574">
        <f t="shared" ref="J1360:J1361" si="298">F1360*1.5</f>
        <v>33.367257000000009</v>
      </c>
      <c r="K1360" s="497"/>
      <c r="L1360" s="497"/>
      <c r="M1360" s="498"/>
      <c r="N1360" s="504"/>
      <c r="O1360" s="504"/>
      <c r="P1360" s="498"/>
    </row>
    <row r="1361" spans="1:16">
      <c r="A1361" s="426"/>
      <c r="B1361" s="426"/>
      <c r="C1361" s="417" t="s">
        <v>828</v>
      </c>
      <c r="D1361" s="409"/>
      <c r="E1361" s="409">
        <f>0.267*$D$1325*'[161]Civil-SOR'!$J$334</f>
        <v>19.245360000000002</v>
      </c>
      <c r="F1361" s="409">
        <f t="shared" si="294"/>
        <v>21.169896000000005</v>
      </c>
      <c r="G1361" s="409">
        <f t="shared" si="295"/>
        <v>23.094432000000001</v>
      </c>
      <c r="H1361" s="409">
        <f t="shared" si="296"/>
        <v>25.018968000000005</v>
      </c>
      <c r="I1361" s="409">
        <f t="shared" si="297"/>
        <v>26.943504000000001</v>
      </c>
      <c r="J1361" s="574">
        <f t="shared" si="298"/>
        <v>31.754844000000006</v>
      </c>
      <c r="K1361" s="497"/>
      <c r="L1361" s="497"/>
      <c r="M1361" s="498"/>
      <c r="N1361" s="504"/>
      <c r="O1361" s="504"/>
      <c r="P1361" s="498"/>
    </row>
    <row r="1362" spans="1:16">
      <c r="A1362" s="426"/>
      <c r="B1362" s="426"/>
      <c r="C1362" s="417" t="str">
        <f>[161]Input!$C$47</f>
        <v>Add for MA @ 40%</v>
      </c>
      <c r="D1362" s="409">
        <f>D1360*[161]Input!D471</f>
        <v>0</v>
      </c>
      <c r="E1362" s="409">
        <f>E1361*[161]Input!$D$47</f>
        <v>7.698144000000001</v>
      </c>
      <c r="F1362" s="409">
        <f>F1361*[161]Input!$D$47</f>
        <v>8.4679584000000023</v>
      </c>
      <c r="G1362" s="409">
        <f>G1361*[161]Input!$D$47</f>
        <v>9.2377728000000001</v>
      </c>
      <c r="H1362" s="409">
        <f>H1361*[161]Input!$D$47</f>
        <v>10.007587200000003</v>
      </c>
      <c r="I1362" s="409">
        <f>I1361*[161]Input!$D$47</f>
        <v>10.777401600000001</v>
      </c>
      <c r="J1362" s="574">
        <f>J1361*[161]Input!$D$47</f>
        <v>12.701937600000003</v>
      </c>
      <c r="K1362" s="497"/>
      <c r="L1362" s="497"/>
      <c r="M1362" s="498"/>
      <c r="N1362" s="504"/>
      <c r="O1362" s="504"/>
      <c r="P1362" s="498"/>
    </row>
    <row r="1363" spans="1:16" ht="13">
      <c r="A1363" s="426"/>
      <c r="B1363" s="426"/>
      <c r="C1363" s="427" t="s">
        <v>742</v>
      </c>
      <c r="D1363" s="409">
        <f t="shared" ref="D1363:J1363" si="299">SUM(D1356:D1362)</f>
        <v>2144.8478320000004</v>
      </c>
      <c r="E1363" s="409">
        <f t="shared" si="299"/>
        <v>2236.1113960000002</v>
      </c>
      <c r="F1363" s="409">
        <f t="shared" si="299"/>
        <v>2283.2922444000001</v>
      </c>
      <c r="G1363" s="409">
        <f t="shared" si="299"/>
        <v>2332.1063328000005</v>
      </c>
      <c r="H1363" s="409">
        <f t="shared" si="299"/>
        <v>2380.9204212000004</v>
      </c>
      <c r="I1363" s="409">
        <f t="shared" si="299"/>
        <v>2429.7345095999999</v>
      </c>
      <c r="J1363" s="574">
        <f t="shared" si="299"/>
        <v>2483.9902705999998</v>
      </c>
      <c r="K1363" s="497"/>
      <c r="L1363" s="497"/>
      <c r="M1363" s="498"/>
      <c r="N1363" s="504"/>
      <c r="O1363" s="504"/>
      <c r="P1363" s="498"/>
    </row>
    <row r="1364" spans="1:16" ht="25">
      <c r="A1364" s="426"/>
      <c r="B1364" s="426"/>
      <c r="C1364" s="417" t="str">
        <f>[161]Input!$C$48</f>
        <v>Overheads &amp; Contractors Profit @ 13.615%</v>
      </c>
      <c r="D1364" s="426">
        <f>ROUND(D1363*[161]Input!$D$48,2)</f>
        <v>292.02</v>
      </c>
      <c r="E1364" s="426">
        <f>ROUND(E1363*[161]Input!$D$48,2)</f>
        <v>304.45</v>
      </c>
      <c r="F1364" s="426">
        <f>ROUND(F1363*[161]Input!$D$48,2)</f>
        <v>310.87</v>
      </c>
      <c r="G1364" s="426">
        <f>ROUND(G1363*[161]Input!$D$48,2)</f>
        <v>317.52</v>
      </c>
      <c r="H1364" s="426">
        <f>ROUND(H1363*[161]Input!$D$48,2)</f>
        <v>324.16000000000003</v>
      </c>
      <c r="I1364" s="426">
        <f>ROUND(I1363*[161]Input!$D$48,2)</f>
        <v>330.81</v>
      </c>
      <c r="J1364" s="446">
        <f>ROUND(J1363*[161]Input!$D$48,2)</f>
        <v>338.2</v>
      </c>
      <c r="K1364" s="497"/>
      <c r="L1364" s="497"/>
      <c r="M1364" s="498"/>
      <c r="N1364" s="504"/>
      <c r="O1364" s="504"/>
      <c r="P1364" s="498"/>
    </row>
    <row r="1365" spans="1:16" ht="13">
      <c r="A1365" s="426"/>
      <c r="B1365" s="426"/>
      <c r="C1365" s="427" t="s">
        <v>742</v>
      </c>
      <c r="D1365" s="409">
        <f t="shared" ref="D1365:J1365" si="300">SUM(D1363:D1364)</f>
        <v>2436.8678320000004</v>
      </c>
      <c r="E1365" s="409">
        <f t="shared" si="300"/>
        <v>2540.5613960000001</v>
      </c>
      <c r="F1365" s="409">
        <f t="shared" si="300"/>
        <v>2594.1622444</v>
      </c>
      <c r="G1365" s="409">
        <f t="shared" si="300"/>
        <v>2649.6263328000005</v>
      </c>
      <c r="H1365" s="409">
        <f t="shared" si="300"/>
        <v>2705.0804212000003</v>
      </c>
      <c r="I1365" s="409">
        <f t="shared" si="300"/>
        <v>2760.5445095999999</v>
      </c>
      <c r="J1365" s="576">
        <f t="shared" si="300"/>
        <v>2822.1902705999996</v>
      </c>
      <c r="K1365" s="503"/>
      <c r="L1365" s="503"/>
      <c r="M1365" s="504"/>
      <c r="N1365" s="504"/>
      <c r="O1365" s="504"/>
      <c r="P1365" s="498"/>
    </row>
    <row r="1366" spans="1:16" ht="13">
      <c r="A1366" s="426"/>
      <c r="B1366" s="426"/>
      <c r="C1366" s="514" t="s">
        <v>726</v>
      </c>
      <c r="D1366" s="416">
        <f t="shared" ref="D1366:J1366" si="301">ROUND(D1365,0)</f>
        <v>2437</v>
      </c>
      <c r="E1366" s="416">
        <f t="shared" si="301"/>
        <v>2541</v>
      </c>
      <c r="F1366" s="416">
        <f t="shared" si="301"/>
        <v>2594</v>
      </c>
      <c r="G1366" s="416">
        <f t="shared" si="301"/>
        <v>2650</v>
      </c>
      <c r="H1366" s="416">
        <f t="shared" si="301"/>
        <v>2705</v>
      </c>
      <c r="I1366" s="416">
        <f t="shared" si="301"/>
        <v>2761</v>
      </c>
      <c r="J1366" s="533">
        <f t="shared" si="301"/>
        <v>2822</v>
      </c>
      <c r="K1366" s="503"/>
      <c r="L1366" s="503"/>
      <c r="M1366" s="504"/>
      <c r="N1366" s="504"/>
      <c r="O1366" s="504"/>
      <c r="P1366" s="498"/>
    </row>
    <row r="1367" spans="1:16" ht="13">
      <c r="A1367" s="426"/>
      <c r="B1367" s="426"/>
      <c r="C1367" s="514"/>
      <c r="D1367" s="416"/>
      <c r="E1367" s="416"/>
      <c r="F1367" s="416"/>
      <c r="G1367" s="416"/>
      <c r="H1367" s="416"/>
      <c r="I1367" s="416"/>
      <c r="J1367" s="533"/>
      <c r="K1367" s="503"/>
      <c r="L1367" s="503"/>
      <c r="M1367" s="504"/>
      <c r="N1367" s="504"/>
      <c r="O1367" s="504"/>
      <c r="P1367" s="498"/>
    </row>
    <row r="1368" spans="1:16" ht="13">
      <c r="A1368" s="426"/>
      <c r="B1368" s="474" t="s">
        <v>746</v>
      </c>
      <c r="C1368" s="451" t="s">
        <v>1021</v>
      </c>
      <c r="D1368" s="426"/>
      <c r="E1368" s="426"/>
      <c r="F1368" s="426"/>
      <c r="G1368" s="410"/>
      <c r="H1368" s="474"/>
      <c r="I1368" s="434"/>
      <c r="J1368" s="472"/>
      <c r="K1368" s="497"/>
      <c r="L1368" s="497"/>
      <c r="M1368" s="498"/>
      <c r="N1368" s="498"/>
      <c r="O1368" s="498"/>
      <c r="P1368" s="498"/>
    </row>
    <row r="1369" spans="1:16" ht="13">
      <c r="A1369" s="426"/>
      <c r="B1369" s="426"/>
      <c r="C1369" s="417" t="s">
        <v>920</v>
      </c>
      <c r="D1369" s="491">
        <v>0.22500000000000001</v>
      </c>
      <c r="E1369" s="426" t="s">
        <v>57</v>
      </c>
      <c r="F1369" s="409">
        <f>$I$1419</f>
        <v>6945.6217600000009</v>
      </c>
      <c r="G1369" s="410">
        <v>1</v>
      </c>
      <c r="H1369" s="426" t="s">
        <v>57</v>
      </c>
      <c r="I1369" s="414">
        <f>IF(G1369="",D1369*F1369,(D1369*F1369/G1369))</f>
        <v>1562.7648960000001</v>
      </c>
      <c r="J1369" s="472"/>
      <c r="K1369" s="497"/>
      <c r="L1369" s="497"/>
      <c r="M1369" s="498"/>
      <c r="N1369" s="498"/>
      <c r="O1369" s="498"/>
      <c r="P1369" s="498"/>
    </row>
    <row r="1370" spans="1:16" ht="13">
      <c r="A1370" s="426"/>
      <c r="B1370" s="426"/>
      <c r="C1370" s="514"/>
      <c r="D1370" s="416"/>
      <c r="E1370" s="416"/>
      <c r="F1370" s="416"/>
      <c r="G1370" s="416"/>
      <c r="H1370" s="416"/>
      <c r="I1370" s="416"/>
      <c r="J1370" s="515"/>
      <c r="K1370" s="516"/>
      <c r="L1370" s="516"/>
      <c r="M1370" s="504"/>
      <c r="N1370" s="504"/>
      <c r="O1370" s="504"/>
      <c r="P1370" s="498"/>
    </row>
    <row r="1371" spans="1:16" ht="13">
      <c r="A1371" s="426"/>
      <c r="B1371" s="474" t="s">
        <v>957</v>
      </c>
      <c r="C1371" s="451" t="s">
        <v>958</v>
      </c>
      <c r="D1371" s="426"/>
      <c r="E1371" s="426"/>
      <c r="F1371" s="426"/>
      <c r="G1371" s="410"/>
      <c r="H1371" s="426"/>
      <c r="I1371" s="434"/>
      <c r="J1371" s="578"/>
      <c r="K1371" s="497"/>
      <c r="L1371" s="579"/>
      <c r="M1371" s="498"/>
      <c r="N1371" s="498"/>
      <c r="O1371" s="498"/>
      <c r="P1371" s="498"/>
    </row>
    <row r="1372" spans="1:16" ht="13">
      <c r="A1372" s="426"/>
      <c r="B1372" s="426"/>
      <c r="C1372" s="427" t="s">
        <v>953</v>
      </c>
      <c r="D1372" s="414" t="s">
        <v>959</v>
      </c>
      <c r="E1372" s="474" t="s">
        <v>943</v>
      </c>
      <c r="F1372" s="492" t="s">
        <v>944</v>
      </c>
      <c r="G1372" s="492" t="s">
        <v>945</v>
      </c>
      <c r="H1372" s="492" t="s">
        <v>946</v>
      </c>
      <c r="I1372" s="492" t="s">
        <v>947</v>
      </c>
      <c r="J1372" s="472"/>
      <c r="K1372" s="497"/>
      <c r="L1372" s="497"/>
      <c r="M1372" s="498"/>
      <c r="N1372" s="498"/>
      <c r="O1372" s="498"/>
      <c r="P1372" s="498"/>
    </row>
    <row r="1373" spans="1:16">
      <c r="A1373" s="426"/>
      <c r="B1373" s="426"/>
      <c r="C1373" s="417" t="s">
        <v>954</v>
      </c>
      <c r="D1373" s="409">
        <f t="shared" ref="D1373:I1373" si="302">$I$1369</f>
        <v>1562.7648960000001</v>
      </c>
      <c r="E1373" s="409">
        <f t="shared" si="302"/>
        <v>1562.7648960000001</v>
      </c>
      <c r="F1373" s="409">
        <f t="shared" si="302"/>
        <v>1562.7648960000001</v>
      </c>
      <c r="G1373" s="409">
        <f t="shared" si="302"/>
        <v>1562.7648960000001</v>
      </c>
      <c r="H1373" s="409">
        <f t="shared" si="302"/>
        <v>1562.7648960000001</v>
      </c>
      <c r="I1373" s="409">
        <f t="shared" si="302"/>
        <v>1562.7648960000001</v>
      </c>
      <c r="J1373" s="472"/>
      <c r="K1373" s="497"/>
      <c r="L1373" s="497"/>
      <c r="M1373" s="498"/>
      <c r="N1373" s="498"/>
      <c r="O1373" s="498"/>
      <c r="P1373" s="498"/>
    </row>
    <row r="1374" spans="1:16">
      <c r="A1374" s="426"/>
      <c r="B1374" s="426"/>
      <c r="C1374" s="417" t="s">
        <v>921</v>
      </c>
      <c r="D1374" s="409">
        <f>'[161]Civil-SOR'!$F$270</f>
        <v>274</v>
      </c>
      <c r="E1374" s="409">
        <f>'[161]Civil-SOR'!$F$270</f>
        <v>274</v>
      </c>
      <c r="F1374" s="409">
        <f>'[161]Civil-SOR'!$F$270</f>
        <v>274</v>
      </c>
      <c r="G1374" s="409">
        <f>'[161]Civil-SOR'!$F$270</f>
        <v>274</v>
      </c>
      <c r="H1374" s="409">
        <f>'[161]Civil-SOR'!$F$270</f>
        <v>274</v>
      </c>
      <c r="I1374" s="409">
        <f>'[161]Civil-SOR'!$F$270</f>
        <v>274</v>
      </c>
      <c r="J1374" s="472"/>
      <c r="K1374" s="497"/>
      <c r="L1374" s="497"/>
      <c r="M1374" s="498"/>
      <c r="N1374" s="498"/>
      <c r="O1374" s="498"/>
      <c r="P1374" s="498"/>
    </row>
    <row r="1375" spans="1:16">
      <c r="A1375" s="426"/>
      <c r="B1375" s="426"/>
      <c r="C1375" s="417" t="s">
        <v>993</v>
      </c>
      <c r="D1375" s="408">
        <f>'[161]Civil-SOR'!$G$270</f>
        <v>267</v>
      </c>
      <c r="E1375" s="408">
        <f>'[161]Civil-SOR'!$H$270</f>
        <v>294</v>
      </c>
      <c r="F1375" s="408">
        <f>'[161]Civil-SOR'!$I$270</f>
        <v>320</v>
      </c>
      <c r="G1375" s="408">
        <f>'[161]Civil-SOR'!$J$270</f>
        <v>347</v>
      </c>
      <c r="H1375" s="408">
        <f>'[161]Civil-SOR'!$K$270</f>
        <v>374</v>
      </c>
      <c r="I1375" s="408">
        <f>'[161]Civil-SOR'!$L$270</f>
        <v>401</v>
      </c>
      <c r="J1375" s="472"/>
      <c r="K1375" s="497"/>
      <c r="L1375" s="497"/>
      <c r="M1375" s="498"/>
      <c r="N1375" s="498"/>
      <c r="O1375" s="498"/>
      <c r="P1375" s="498"/>
    </row>
    <row r="1376" spans="1:16">
      <c r="A1376" s="426"/>
      <c r="B1376" s="426"/>
      <c r="C1376" s="417" t="str">
        <f>[161]Input!$C$47</f>
        <v>Add for MA @ 40%</v>
      </c>
      <c r="D1376" s="409">
        <f>D1375*[161]Input!$D$47</f>
        <v>106.80000000000001</v>
      </c>
      <c r="E1376" s="409">
        <f>E1375*[161]Input!$D$47</f>
        <v>117.60000000000001</v>
      </c>
      <c r="F1376" s="409">
        <f>F1375*[161]Input!$D$47</f>
        <v>128</v>
      </c>
      <c r="G1376" s="409">
        <f>G1375*[161]Input!$D$47</f>
        <v>138.80000000000001</v>
      </c>
      <c r="H1376" s="409">
        <f>H1375*[161]Input!$D$47</f>
        <v>149.6</v>
      </c>
      <c r="I1376" s="409">
        <f>I1375*[161]Input!$D$47</f>
        <v>160.4</v>
      </c>
      <c r="J1376" s="472"/>
      <c r="K1376" s="497"/>
      <c r="L1376" s="497"/>
      <c r="M1376" s="498"/>
      <c r="N1376" s="498"/>
      <c r="O1376" s="498"/>
      <c r="P1376" s="498"/>
    </row>
    <row r="1377" spans="1:16" ht="25">
      <c r="A1377" s="426"/>
      <c r="B1377" s="426"/>
      <c r="C1377" s="417" t="s">
        <v>995</v>
      </c>
      <c r="D1377" s="409">
        <v>0</v>
      </c>
      <c r="E1377" s="409">
        <f>0.267*$D$1369*'[161]Civil-SOR'!$G$334</f>
        <v>22.750402500000003</v>
      </c>
      <c r="F1377" s="409">
        <f t="shared" ref="F1377:F1378" si="303">E1377*1.1</f>
        <v>25.025442750000007</v>
      </c>
      <c r="G1377" s="409">
        <f t="shared" ref="G1377:I1378" si="304">E1377*1.2</f>
        <v>27.300483000000003</v>
      </c>
      <c r="H1377" s="409">
        <f t="shared" si="304"/>
        <v>30.030531300000007</v>
      </c>
      <c r="I1377" s="409">
        <f t="shared" si="304"/>
        <v>32.7605796</v>
      </c>
      <c r="J1377" s="472"/>
      <c r="K1377" s="497"/>
      <c r="L1377" s="497"/>
      <c r="M1377" s="498"/>
      <c r="N1377" s="498"/>
      <c r="O1377" s="498"/>
      <c r="P1377" s="498"/>
    </row>
    <row r="1378" spans="1:16">
      <c r="A1378" s="426"/>
      <c r="B1378" s="426"/>
      <c r="C1378" s="417" t="s">
        <v>828</v>
      </c>
      <c r="D1378" s="409"/>
      <c r="E1378" s="409">
        <f>0.267*D1369*'[161]Civil-SOR'!$J$334</f>
        <v>21.651029999999999</v>
      </c>
      <c r="F1378" s="409">
        <f t="shared" si="303"/>
        <v>23.816133000000001</v>
      </c>
      <c r="G1378" s="409">
        <f t="shared" si="304"/>
        <v>25.981235999999999</v>
      </c>
      <c r="H1378" s="409">
        <f t="shared" si="304"/>
        <v>28.5793596</v>
      </c>
      <c r="I1378" s="409">
        <f t="shared" si="304"/>
        <v>31.177483199999998</v>
      </c>
      <c r="J1378" s="472"/>
      <c r="K1378" s="497"/>
      <c r="L1378" s="497"/>
      <c r="M1378" s="498"/>
      <c r="N1378" s="498"/>
      <c r="O1378" s="498"/>
      <c r="P1378" s="498"/>
    </row>
    <row r="1379" spans="1:16">
      <c r="A1379" s="426"/>
      <c r="B1379" s="426"/>
      <c r="C1379" s="417" t="str">
        <f>[161]Input!$C$47</f>
        <v>Add for MA @ 40%</v>
      </c>
      <c r="D1379" s="409">
        <f>D1377*[161]Input!D442</f>
        <v>0</v>
      </c>
      <c r="E1379" s="409">
        <f>E1378*[161]Input!$D$47</f>
        <v>8.6604119999999991</v>
      </c>
      <c r="F1379" s="409">
        <f>F1378*[161]Input!$D$47</f>
        <v>9.5264532000000006</v>
      </c>
      <c r="G1379" s="409">
        <f>G1378*[161]Input!$D$47</f>
        <v>10.3924944</v>
      </c>
      <c r="H1379" s="409">
        <f>H1378*[161]Input!$D$47</f>
        <v>11.431743840000001</v>
      </c>
      <c r="I1379" s="409">
        <f>I1378*[161]Input!$D$47</f>
        <v>12.47099328</v>
      </c>
      <c r="J1379" s="472"/>
      <c r="K1379" s="497"/>
      <c r="L1379" s="497"/>
      <c r="M1379" s="498"/>
      <c r="N1379" s="498"/>
      <c r="O1379" s="498"/>
      <c r="P1379" s="498"/>
    </row>
    <row r="1380" spans="1:16" ht="13">
      <c r="A1380" s="426"/>
      <c r="B1380" s="426"/>
      <c r="C1380" s="427" t="s">
        <v>742</v>
      </c>
      <c r="D1380" s="409">
        <f t="shared" ref="D1380:I1380" si="305">SUM(D1373:D1379)</f>
        <v>2210.5648960000003</v>
      </c>
      <c r="E1380" s="409">
        <f t="shared" si="305"/>
        <v>2301.4267405000001</v>
      </c>
      <c r="F1380" s="409">
        <f t="shared" si="305"/>
        <v>2343.13292495</v>
      </c>
      <c r="G1380" s="409">
        <f t="shared" si="305"/>
        <v>2386.2391094000004</v>
      </c>
      <c r="H1380" s="409">
        <f t="shared" si="305"/>
        <v>2430.4065307399997</v>
      </c>
      <c r="I1380" s="409">
        <f t="shared" si="305"/>
        <v>2474.5739520800003</v>
      </c>
      <c r="J1380" s="472"/>
      <c r="K1380" s="497"/>
      <c r="L1380" s="497"/>
      <c r="M1380" s="498"/>
      <c r="N1380" s="498"/>
      <c r="O1380" s="498"/>
      <c r="P1380" s="498"/>
    </row>
    <row r="1381" spans="1:16" ht="25">
      <c r="A1381" s="426"/>
      <c r="B1381" s="426"/>
      <c r="C1381" s="417" t="str">
        <f>[161]Input!$C$48</f>
        <v>Overheads &amp; Contractors Profit @ 13.615%</v>
      </c>
      <c r="D1381" s="426">
        <f>ROUND(D1380*[161]Input!$D$48,2)</f>
        <v>300.97000000000003</v>
      </c>
      <c r="E1381" s="426">
        <f>ROUND(E1380*[161]Input!$D$48,2)</f>
        <v>313.33999999999997</v>
      </c>
      <c r="F1381" s="426">
        <f>ROUND(F1380*[161]Input!$D$48,2)</f>
        <v>319.02</v>
      </c>
      <c r="G1381" s="426">
        <f>ROUND(G1380*[161]Input!$D$48,2)</f>
        <v>324.89</v>
      </c>
      <c r="H1381" s="426">
        <f>ROUND(H1380*[161]Input!$D$48,2)</f>
        <v>330.9</v>
      </c>
      <c r="I1381" s="426">
        <f>ROUND(I1380*[161]Input!$D$48,2)</f>
        <v>336.91</v>
      </c>
      <c r="J1381" s="472"/>
      <c r="K1381" s="497"/>
      <c r="L1381" s="497"/>
      <c r="M1381" s="498"/>
      <c r="N1381" s="498"/>
      <c r="O1381" s="498"/>
      <c r="P1381" s="498"/>
    </row>
    <row r="1382" spans="1:16" ht="13">
      <c r="A1382" s="426"/>
      <c r="B1382" s="426"/>
      <c r="C1382" s="427" t="s">
        <v>742</v>
      </c>
      <c r="D1382" s="409">
        <f t="shared" ref="D1382:I1382" si="306">SUM(D1380:D1381)</f>
        <v>2511.5348960000001</v>
      </c>
      <c r="E1382" s="409">
        <f t="shared" si="306"/>
        <v>2614.7667405000002</v>
      </c>
      <c r="F1382" s="409">
        <f t="shared" si="306"/>
        <v>2662.1529249499999</v>
      </c>
      <c r="G1382" s="409">
        <f t="shared" si="306"/>
        <v>2711.1291094000003</v>
      </c>
      <c r="H1382" s="409">
        <f t="shared" si="306"/>
        <v>2761.3065307399997</v>
      </c>
      <c r="I1382" s="409">
        <f t="shared" si="306"/>
        <v>2811.4839520800001</v>
      </c>
      <c r="J1382" s="502"/>
      <c r="K1382" s="503"/>
      <c r="L1382" s="503"/>
      <c r="M1382" s="504"/>
      <c r="N1382" s="504"/>
      <c r="O1382" s="504"/>
      <c r="P1382" s="498"/>
    </row>
    <row r="1383" spans="1:16" ht="13">
      <c r="A1383" s="426"/>
      <c r="B1383" s="426"/>
      <c r="C1383" s="514" t="s">
        <v>726</v>
      </c>
      <c r="D1383" s="416">
        <f t="shared" ref="D1383:I1383" si="307">ROUND(D1382,0)</f>
        <v>2512</v>
      </c>
      <c r="E1383" s="416">
        <f t="shared" si="307"/>
        <v>2615</v>
      </c>
      <c r="F1383" s="416">
        <f t="shared" si="307"/>
        <v>2662</v>
      </c>
      <c r="G1383" s="416">
        <f t="shared" si="307"/>
        <v>2711</v>
      </c>
      <c r="H1383" s="416">
        <f t="shared" si="307"/>
        <v>2761</v>
      </c>
      <c r="I1383" s="416">
        <f t="shared" si="307"/>
        <v>2811</v>
      </c>
      <c r="J1383" s="502"/>
      <c r="K1383" s="503"/>
      <c r="L1383" s="503"/>
      <c r="M1383" s="504"/>
      <c r="N1383" s="504"/>
      <c r="O1383" s="504"/>
      <c r="P1383" s="498"/>
    </row>
    <row r="1384" spans="1:16" ht="13">
      <c r="A1384" s="426"/>
      <c r="B1384" s="426"/>
      <c r="C1384" s="514"/>
      <c r="D1384" s="416"/>
      <c r="E1384" s="416"/>
      <c r="F1384" s="416"/>
      <c r="G1384" s="416"/>
      <c r="H1384" s="416"/>
      <c r="I1384" s="416"/>
      <c r="J1384" s="502"/>
      <c r="K1384" s="503"/>
      <c r="L1384" s="503"/>
      <c r="M1384" s="504"/>
      <c r="N1384" s="504"/>
      <c r="O1384" s="504"/>
      <c r="P1384" s="498"/>
    </row>
    <row r="1385" spans="1:16" ht="26">
      <c r="A1385" s="426"/>
      <c r="B1385" s="426"/>
      <c r="C1385" s="550" t="s">
        <v>1022</v>
      </c>
      <c r="D1385" s="416"/>
      <c r="E1385" s="416"/>
      <c r="F1385" s="416"/>
      <c r="G1385" s="416"/>
      <c r="H1385" s="416"/>
      <c r="I1385" s="414"/>
      <c r="J1385" s="472"/>
      <c r="K1385" s="497"/>
      <c r="L1385" s="497"/>
      <c r="M1385" s="498"/>
      <c r="N1385" s="498"/>
      <c r="O1385" s="498"/>
      <c r="P1385" s="498"/>
    </row>
    <row r="1386" spans="1:16" ht="13">
      <c r="A1386" s="426"/>
      <c r="B1386" s="474" t="s">
        <v>957</v>
      </c>
      <c r="C1386" s="451" t="s">
        <v>958</v>
      </c>
      <c r="D1386" s="426"/>
      <c r="E1386" s="426"/>
      <c r="F1386" s="426"/>
      <c r="G1386" s="410"/>
      <c r="H1386" s="426"/>
      <c r="I1386" s="434"/>
      <c r="J1386" s="578"/>
      <c r="K1386" s="497"/>
      <c r="L1386" s="579"/>
      <c r="M1386" s="498"/>
      <c r="N1386" s="498"/>
      <c r="O1386" s="498"/>
      <c r="P1386" s="498"/>
    </row>
    <row r="1387" spans="1:16" ht="13">
      <c r="A1387" s="426"/>
      <c r="B1387" s="426"/>
      <c r="C1387" s="427" t="s">
        <v>953</v>
      </c>
      <c r="D1387" s="414" t="s">
        <v>959</v>
      </c>
      <c r="E1387" s="474" t="s">
        <v>943</v>
      </c>
      <c r="F1387" s="492" t="s">
        <v>944</v>
      </c>
      <c r="G1387" s="492" t="s">
        <v>945</v>
      </c>
      <c r="H1387" s="474" t="s">
        <v>946</v>
      </c>
      <c r="I1387" s="474" t="s">
        <v>947</v>
      </c>
      <c r="J1387" s="580" t="s">
        <v>948</v>
      </c>
      <c r="K1387" s="564" t="s">
        <v>949</v>
      </c>
      <c r="L1387" s="564" t="s">
        <v>950</v>
      </c>
      <c r="M1387" s="498"/>
      <c r="N1387" s="498"/>
      <c r="O1387" s="498"/>
      <c r="P1387" s="498"/>
    </row>
    <row r="1388" spans="1:16">
      <c r="A1388" s="426"/>
      <c r="B1388" s="426"/>
      <c r="C1388" s="417" t="s">
        <v>954</v>
      </c>
      <c r="D1388" s="409">
        <f t="shared" ref="D1388:L1388" si="308">$I$1369</f>
        <v>1562.7648960000001</v>
      </c>
      <c r="E1388" s="409">
        <f t="shared" si="308"/>
        <v>1562.7648960000001</v>
      </c>
      <c r="F1388" s="409">
        <f t="shared" si="308"/>
        <v>1562.7648960000001</v>
      </c>
      <c r="G1388" s="409">
        <f t="shared" si="308"/>
        <v>1562.7648960000001</v>
      </c>
      <c r="H1388" s="409">
        <f t="shared" si="308"/>
        <v>1562.7648960000001</v>
      </c>
      <c r="I1388" s="409">
        <f t="shared" si="308"/>
        <v>1562.7648960000001</v>
      </c>
      <c r="J1388" s="577">
        <f t="shared" si="308"/>
        <v>1562.7648960000001</v>
      </c>
      <c r="K1388" s="581">
        <f t="shared" si="308"/>
        <v>1562.7648960000001</v>
      </c>
      <c r="L1388" s="581">
        <f t="shared" si="308"/>
        <v>1562.7648960000001</v>
      </c>
      <c r="M1388" s="498"/>
      <c r="N1388" s="498"/>
      <c r="O1388" s="498"/>
      <c r="P1388" s="498"/>
    </row>
    <row r="1389" spans="1:16">
      <c r="A1389" s="426"/>
      <c r="B1389" s="426"/>
      <c r="C1389" s="417" t="s">
        <v>921</v>
      </c>
      <c r="D1389" s="409">
        <f>'[161]Civil-SOR'!$F$270*1.1666</f>
        <v>319.64840000000004</v>
      </c>
      <c r="E1389" s="409">
        <f>'[161]Civil-SOR'!$F$270*1.1666</f>
        <v>319.64840000000004</v>
      </c>
      <c r="F1389" s="409">
        <f>'[161]Civil-SOR'!$F$270*1.1666</f>
        <v>319.64840000000004</v>
      </c>
      <c r="G1389" s="409">
        <f>'[161]Civil-SOR'!$F$270*1.1666</f>
        <v>319.64840000000004</v>
      </c>
      <c r="H1389" s="409">
        <f>'[161]Civil-SOR'!$F$270*1.1666</f>
        <v>319.64840000000004</v>
      </c>
      <c r="I1389" s="409">
        <f>'[161]Civil-SOR'!$F$270*1.1666</f>
        <v>319.64840000000004</v>
      </c>
      <c r="J1389" s="577">
        <f>'[161]Civil-SOR'!$F$270*1.1666</f>
        <v>319.64840000000004</v>
      </c>
      <c r="K1389" s="581">
        <f>'[161]Civil-SOR'!$F$270*1.1666</f>
        <v>319.64840000000004</v>
      </c>
      <c r="L1389" s="581">
        <f>'[161]Civil-SOR'!$F$270*1.1666</f>
        <v>319.64840000000004</v>
      </c>
      <c r="M1389" s="498"/>
      <c r="N1389" s="498"/>
      <c r="O1389" s="498"/>
      <c r="P1389" s="498"/>
    </row>
    <row r="1390" spans="1:16">
      <c r="A1390" s="426"/>
      <c r="B1390" s="426"/>
      <c r="C1390" s="417" t="s">
        <v>993</v>
      </c>
      <c r="D1390" s="408">
        <f>'[161]Civil-SOR'!$G$270*1.1666</f>
        <v>311.48220000000003</v>
      </c>
      <c r="E1390" s="408">
        <f>'[161]Civil-SOR'!$H$270*1.1666</f>
        <v>342.98040000000003</v>
      </c>
      <c r="F1390" s="408">
        <f>'[161]Civil-SOR'!$I$270*1.1666</f>
        <v>373.31200000000001</v>
      </c>
      <c r="G1390" s="408">
        <f>'[161]Civil-SOR'!$J$270*1.1666</f>
        <v>404.81020000000001</v>
      </c>
      <c r="H1390" s="408">
        <f>'[161]Civil-SOR'!$K$270*1.1666</f>
        <v>436.30840000000001</v>
      </c>
      <c r="I1390" s="408">
        <f>'[161]Civil-SOR'!$L$270*1.1666</f>
        <v>467.80660000000006</v>
      </c>
      <c r="J1390" s="510">
        <f>'[161]Civil-SOR'!$M$270*1.1666</f>
        <v>498.13820000000004</v>
      </c>
      <c r="K1390" s="511">
        <f>'[161]Civil-SOR'!$N$270*1.1666</f>
        <v>529.63639999999998</v>
      </c>
      <c r="L1390" s="511">
        <f>'[161]Civil-SOR'!$O$270*1.1666</f>
        <v>561.13460000000009</v>
      </c>
      <c r="M1390" s="498"/>
      <c r="N1390" s="498"/>
      <c r="O1390" s="498"/>
      <c r="P1390" s="498"/>
    </row>
    <row r="1391" spans="1:16">
      <c r="A1391" s="426"/>
      <c r="B1391" s="426"/>
      <c r="C1391" s="417" t="str">
        <f>[161]Input!$C$47</f>
        <v>Add for MA @ 40%</v>
      </c>
      <c r="D1391" s="409">
        <f>D1390*[161]Input!$D$47</f>
        <v>124.59288000000002</v>
      </c>
      <c r="E1391" s="409">
        <f>E1390*[161]Input!$D$47</f>
        <v>137.19216000000003</v>
      </c>
      <c r="F1391" s="409">
        <f>F1390*[161]Input!$D$47</f>
        <v>149.32480000000001</v>
      </c>
      <c r="G1391" s="409">
        <f>G1390*[161]Input!$D$47</f>
        <v>161.92408</v>
      </c>
      <c r="H1391" s="409">
        <f>H1390*[161]Input!$D$47</f>
        <v>174.52336000000003</v>
      </c>
      <c r="I1391" s="409">
        <f>I1390*[161]Input!$D$47</f>
        <v>187.12264000000005</v>
      </c>
      <c r="J1391" s="508">
        <f>J1390*[161]Input!$D$47</f>
        <v>199.25528000000003</v>
      </c>
      <c r="K1391" s="509">
        <f>K1390*[161]Input!$D$47</f>
        <v>211.85455999999999</v>
      </c>
      <c r="L1391" s="509">
        <f>L1390*[161]Input!$D$47</f>
        <v>224.45384000000004</v>
      </c>
      <c r="M1391" s="498"/>
      <c r="N1391" s="498"/>
      <c r="O1391" s="498"/>
      <c r="P1391" s="498"/>
    </row>
    <row r="1392" spans="1:16" ht="25">
      <c r="A1392" s="426"/>
      <c r="B1392" s="426"/>
      <c r="C1392" s="417" t="s">
        <v>995</v>
      </c>
      <c r="D1392" s="409">
        <v>0</v>
      </c>
      <c r="E1392" s="409">
        <f>0.267*$D$1369*'[161]Civil-SOR'!$G$334</f>
        <v>22.750402500000003</v>
      </c>
      <c r="F1392" s="409">
        <f t="shared" ref="F1392:F1393" si="309">E1392*1.1</f>
        <v>25.025442750000007</v>
      </c>
      <c r="G1392" s="409">
        <f t="shared" ref="G1392:G1393" si="310">E1392*1.2</f>
        <v>27.300483000000003</v>
      </c>
      <c r="H1392" s="409">
        <f t="shared" ref="H1392:H1393" si="311">E1392*1.3</f>
        <v>29.575523250000007</v>
      </c>
      <c r="I1392" s="409">
        <f t="shared" ref="I1392:I1393" si="312">E1392*1.4</f>
        <v>31.850563500000003</v>
      </c>
      <c r="J1392" s="508">
        <f t="shared" ref="J1392:J1393" si="313">E1392*1.5</f>
        <v>34.125603750000003</v>
      </c>
      <c r="K1392" s="509">
        <f t="shared" ref="K1392:K1393" si="314">E1392*1.6</f>
        <v>36.400644000000007</v>
      </c>
      <c r="L1392" s="509">
        <f t="shared" ref="L1392:L1393" si="315">E1392*1.7</f>
        <v>38.675684250000003</v>
      </c>
      <c r="M1392" s="498"/>
      <c r="N1392" s="498"/>
      <c r="O1392" s="498"/>
      <c r="P1392" s="498"/>
    </row>
    <row r="1393" spans="1:16">
      <c r="A1393" s="426"/>
      <c r="B1393" s="426"/>
      <c r="C1393" s="417" t="s">
        <v>828</v>
      </c>
      <c r="D1393" s="409"/>
      <c r="E1393" s="409">
        <f>0.267*D1369*'[161]Civil-SOR'!$J$334</f>
        <v>21.651029999999999</v>
      </c>
      <c r="F1393" s="409">
        <f t="shared" si="309"/>
        <v>23.816133000000001</v>
      </c>
      <c r="G1393" s="409">
        <f t="shared" si="310"/>
        <v>25.981235999999999</v>
      </c>
      <c r="H1393" s="409">
        <f t="shared" si="311"/>
        <v>28.146338999999998</v>
      </c>
      <c r="I1393" s="409">
        <f t="shared" si="312"/>
        <v>30.311441999999996</v>
      </c>
      <c r="J1393" s="508">
        <f t="shared" si="313"/>
        <v>32.476545000000002</v>
      </c>
      <c r="K1393" s="509">
        <f t="shared" si="314"/>
        <v>34.641647999999996</v>
      </c>
      <c r="L1393" s="509">
        <f t="shared" si="315"/>
        <v>36.806750999999998</v>
      </c>
      <c r="M1393" s="498"/>
      <c r="N1393" s="498"/>
      <c r="O1393" s="498"/>
      <c r="P1393" s="498"/>
    </row>
    <row r="1394" spans="1:16">
      <c r="A1394" s="426"/>
      <c r="B1394" s="426"/>
      <c r="C1394" s="417" t="str">
        <f>[161]Input!$C$47</f>
        <v>Add for MA @ 40%</v>
      </c>
      <c r="D1394" s="409">
        <f>D1392*[161]Input!D427</f>
        <v>0</v>
      </c>
      <c r="E1394" s="409">
        <f>E1393*[161]Input!$D$47</f>
        <v>8.6604119999999991</v>
      </c>
      <c r="F1394" s="409">
        <f>F1393*[161]Input!$D$47</f>
        <v>9.5264532000000006</v>
      </c>
      <c r="G1394" s="409">
        <f>G1393*[161]Input!$D$47</f>
        <v>10.3924944</v>
      </c>
      <c r="H1394" s="409">
        <f>H1393*[161]Input!$D$47</f>
        <v>11.2585356</v>
      </c>
      <c r="I1394" s="409">
        <f>I1393*[161]Input!$D$47</f>
        <v>12.1245768</v>
      </c>
      <c r="J1394" s="508">
        <f>J1393*[161]Input!$D$47</f>
        <v>12.990618000000001</v>
      </c>
      <c r="K1394" s="509">
        <f>K1393*[161]Input!$D$47</f>
        <v>13.856659199999999</v>
      </c>
      <c r="L1394" s="509">
        <f>L1393*[161]Input!$D$47</f>
        <v>14.722700400000001</v>
      </c>
      <c r="M1394" s="498"/>
      <c r="N1394" s="498"/>
      <c r="O1394" s="498"/>
      <c r="P1394" s="498"/>
    </row>
    <row r="1395" spans="1:16" ht="13">
      <c r="A1395" s="426"/>
      <c r="B1395" s="426"/>
      <c r="C1395" s="427" t="s">
        <v>742</v>
      </c>
      <c r="D1395" s="409">
        <f t="shared" ref="D1395:L1395" si="316">SUM(D1388:D1394)</f>
        <v>2318.4883760000002</v>
      </c>
      <c r="E1395" s="409">
        <f t="shared" si="316"/>
        <v>2415.6477005000002</v>
      </c>
      <c r="F1395" s="409">
        <f t="shared" si="316"/>
        <v>2463.4181249499998</v>
      </c>
      <c r="G1395" s="409">
        <f t="shared" si="316"/>
        <v>2512.8217894000004</v>
      </c>
      <c r="H1395" s="409">
        <f t="shared" si="316"/>
        <v>2562.2254538500001</v>
      </c>
      <c r="I1395" s="409">
        <f t="shared" si="316"/>
        <v>2611.6291183000003</v>
      </c>
      <c r="J1395" s="508">
        <f t="shared" si="316"/>
        <v>2659.3995427499999</v>
      </c>
      <c r="K1395" s="509">
        <f t="shared" si="316"/>
        <v>2708.8032071999996</v>
      </c>
      <c r="L1395" s="509">
        <f t="shared" si="316"/>
        <v>2758.2068716500003</v>
      </c>
      <c r="M1395" s="498"/>
      <c r="N1395" s="498"/>
      <c r="O1395" s="498"/>
      <c r="P1395" s="498"/>
    </row>
    <row r="1396" spans="1:16" ht="25">
      <c r="A1396" s="426"/>
      <c r="B1396" s="426"/>
      <c r="C1396" s="417" t="str">
        <f>[161]Input!$C$48</f>
        <v>Overheads &amp; Contractors Profit @ 13.615%</v>
      </c>
      <c r="D1396" s="426">
        <f>ROUND(D1395*[161]Input!$D$48,2)</f>
        <v>315.66000000000003</v>
      </c>
      <c r="E1396" s="426">
        <f>ROUND(E1395*[161]Input!$D$48,2)</f>
        <v>328.89</v>
      </c>
      <c r="F1396" s="426">
        <f>ROUND(F1395*[161]Input!$D$48,2)</f>
        <v>335.39</v>
      </c>
      <c r="G1396" s="426">
        <f>ROUND(G1395*[161]Input!$D$48,2)</f>
        <v>342.12</v>
      </c>
      <c r="H1396" s="426">
        <f>ROUND(H1395*[161]Input!$D$48,2)</f>
        <v>348.85</v>
      </c>
      <c r="I1396" s="426">
        <f>ROUND(I1395*[161]Input!$D$48,2)</f>
        <v>355.57</v>
      </c>
      <c r="J1396" s="547">
        <f>ROUND(J1395*[161]Input!$D$48,2)</f>
        <v>362.08</v>
      </c>
      <c r="K1396" s="548">
        <f>ROUND(K1395*[161]Input!$D$48,2)</f>
        <v>368.8</v>
      </c>
      <c r="L1396" s="548">
        <f>ROUND(L1395*[161]Input!$D$48,2)</f>
        <v>375.53</v>
      </c>
      <c r="M1396" s="498"/>
      <c r="N1396" s="498"/>
      <c r="O1396" s="498"/>
      <c r="P1396" s="498"/>
    </row>
    <row r="1397" spans="1:16" ht="13">
      <c r="A1397" s="426"/>
      <c r="B1397" s="426"/>
      <c r="C1397" s="427" t="s">
        <v>742</v>
      </c>
      <c r="D1397" s="409">
        <f t="shared" ref="D1397:L1397" si="317">SUM(D1395:D1396)</f>
        <v>2634.1483760000001</v>
      </c>
      <c r="E1397" s="409">
        <f t="shared" si="317"/>
        <v>2744.5377005</v>
      </c>
      <c r="F1397" s="409">
        <f t="shared" si="317"/>
        <v>2798.8081249499996</v>
      </c>
      <c r="G1397" s="409">
        <f t="shared" si="317"/>
        <v>2854.9417894000003</v>
      </c>
      <c r="H1397" s="409">
        <f t="shared" si="317"/>
        <v>2911.07545385</v>
      </c>
      <c r="I1397" s="409">
        <f t="shared" si="317"/>
        <v>2967.1991183000005</v>
      </c>
      <c r="J1397" s="512">
        <f t="shared" si="317"/>
        <v>3021.4795427499998</v>
      </c>
      <c r="K1397" s="513">
        <f t="shared" si="317"/>
        <v>3077.6032071999998</v>
      </c>
      <c r="L1397" s="513">
        <f t="shared" si="317"/>
        <v>3133.7368716500005</v>
      </c>
      <c r="M1397" s="498"/>
      <c r="N1397" s="498"/>
      <c r="O1397" s="498"/>
      <c r="P1397" s="498"/>
    </row>
    <row r="1398" spans="1:16" ht="13">
      <c r="A1398" s="426"/>
      <c r="B1398" s="426"/>
      <c r="C1398" s="514" t="s">
        <v>726</v>
      </c>
      <c r="D1398" s="416">
        <f t="shared" ref="D1398:L1398" si="318">ROUND(D1397,0)</f>
        <v>2634</v>
      </c>
      <c r="E1398" s="416">
        <f t="shared" si="318"/>
        <v>2745</v>
      </c>
      <c r="F1398" s="416">
        <f t="shared" si="318"/>
        <v>2799</v>
      </c>
      <c r="G1398" s="416">
        <f t="shared" si="318"/>
        <v>2855</v>
      </c>
      <c r="H1398" s="416">
        <f t="shared" si="318"/>
        <v>2911</v>
      </c>
      <c r="I1398" s="416">
        <f t="shared" si="318"/>
        <v>2967</v>
      </c>
      <c r="J1398" s="515">
        <f t="shared" si="318"/>
        <v>3021</v>
      </c>
      <c r="K1398" s="516">
        <f t="shared" si="318"/>
        <v>3078</v>
      </c>
      <c r="L1398" s="516">
        <f t="shared" si="318"/>
        <v>3134</v>
      </c>
      <c r="M1398" s="498"/>
      <c r="N1398" s="498"/>
      <c r="O1398" s="498"/>
      <c r="P1398" s="498"/>
    </row>
    <row r="1399" spans="1:16" ht="13">
      <c r="A1399" s="426"/>
      <c r="B1399" s="426"/>
      <c r="C1399" s="514"/>
      <c r="D1399" s="416"/>
      <c r="E1399" s="416"/>
      <c r="F1399" s="416"/>
      <c r="G1399" s="416"/>
      <c r="H1399" s="416"/>
      <c r="I1399" s="416"/>
      <c r="J1399" s="515"/>
      <c r="K1399" s="516"/>
      <c r="L1399" s="516"/>
      <c r="M1399" s="498"/>
      <c r="N1399" s="498"/>
      <c r="O1399" s="498"/>
      <c r="P1399" s="498"/>
    </row>
    <row r="1400" spans="1:16" ht="92.5" customHeight="1">
      <c r="A1400" s="410">
        <f>1+A1014</f>
        <v>17</v>
      </c>
      <c r="B1400" s="410"/>
      <c r="C1400" s="1276" t="s">
        <v>1023</v>
      </c>
      <c r="D1400" s="1276"/>
      <c r="E1400" s="1276"/>
      <c r="F1400" s="1276"/>
      <c r="G1400" s="1276"/>
      <c r="H1400" s="1276"/>
      <c r="I1400" s="1276"/>
      <c r="J1400" s="472"/>
      <c r="K1400" s="497"/>
      <c r="L1400" s="497"/>
      <c r="M1400" s="498"/>
      <c r="N1400" s="498"/>
      <c r="O1400" s="498"/>
      <c r="P1400" s="498"/>
    </row>
    <row r="1401" spans="1:16" ht="13">
      <c r="A1401" s="426"/>
      <c r="B1401" s="426"/>
      <c r="C1401" s="473" t="s">
        <v>987</v>
      </c>
      <c r="D1401" s="426"/>
      <c r="E1401" s="426"/>
      <c r="F1401" s="426"/>
      <c r="G1401" s="410"/>
      <c r="H1401" s="474"/>
      <c r="I1401" s="434"/>
      <c r="J1401" s="472"/>
      <c r="K1401" s="497"/>
      <c r="L1401" s="497"/>
      <c r="M1401" s="498"/>
      <c r="N1401" s="498"/>
      <c r="O1401" s="498"/>
      <c r="P1401" s="498"/>
    </row>
    <row r="1402" spans="1:16" ht="13">
      <c r="A1402" s="426"/>
      <c r="B1402" s="426"/>
      <c r="C1402" s="558" t="s">
        <v>988</v>
      </c>
      <c r="D1402" s="426"/>
      <c r="E1402" s="426"/>
      <c r="F1402" s="426"/>
      <c r="G1402" s="410"/>
      <c r="H1402" s="474"/>
      <c r="I1402" s="434"/>
      <c r="J1402" s="472"/>
      <c r="K1402" s="497"/>
      <c r="L1402" s="497"/>
      <c r="M1402" s="498"/>
      <c r="N1402" s="498"/>
      <c r="O1402" s="498"/>
      <c r="P1402" s="498"/>
    </row>
    <row r="1403" spans="1:16" ht="13">
      <c r="A1403" s="426"/>
      <c r="B1403" s="426"/>
      <c r="C1403" s="451" t="s">
        <v>873</v>
      </c>
      <c r="D1403" s="406"/>
      <c r="E1403" s="406"/>
      <c r="F1403" s="406"/>
      <c r="G1403" s="406"/>
      <c r="H1403" s="406"/>
      <c r="I1403" s="432"/>
      <c r="J1403" s="472"/>
      <c r="K1403" s="497"/>
      <c r="L1403" s="497"/>
      <c r="M1403" s="498"/>
      <c r="N1403" s="498"/>
      <c r="O1403" s="498"/>
      <c r="P1403" s="498"/>
    </row>
    <row r="1404" spans="1:16">
      <c r="A1404" s="426"/>
      <c r="B1404" s="426"/>
      <c r="C1404" s="417" t="s">
        <v>504</v>
      </c>
      <c r="D1404" s="409">
        <v>380</v>
      </c>
      <c r="E1404" s="426" t="s">
        <v>833</v>
      </c>
      <c r="F1404" s="409">
        <f>[161]LEAD!$N$6</f>
        <v>5200</v>
      </c>
      <c r="G1404" s="410">
        <v>1000</v>
      </c>
      <c r="H1404" s="426" t="s">
        <v>833</v>
      </c>
      <c r="I1404" s="408">
        <f t="shared" ref="I1404:I1406" si="319">IF(G1404="",D1404*F1404,(D1404*F1404/G1404))</f>
        <v>1976</v>
      </c>
      <c r="J1404" s="499"/>
      <c r="K1404" s="500"/>
      <c r="L1404" s="500"/>
      <c r="M1404" s="501"/>
      <c r="N1404" s="501"/>
      <c r="O1404" s="501"/>
      <c r="P1404" s="501"/>
    </row>
    <row r="1405" spans="1:16">
      <c r="A1405" s="426"/>
      <c r="B1405" s="426"/>
      <c r="C1405" s="417" t="s">
        <v>910</v>
      </c>
      <c r="D1405" s="409">
        <v>0.8</v>
      </c>
      <c r="E1405" s="426" t="s">
        <v>57</v>
      </c>
      <c r="F1405" s="408">
        <f>$F$16</f>
        <v>1447.96</v>
      </c>
      <c r="G1405" s="410">
        <v>1</v>
      </c>
      <c r="H1405" s="426" t="s">
        <v>57</v>
      </c>
      <c r="I1405" s="408">
        <f t="shared" si="319"/>
        <v>1158.3680000000002</v>
      </c>
      <c r="J1405" s="499"/>
      <c r="K1405" s="500"/>
      <c r="L1405" s="500"/>
      <c r="M1405" s="501"/>
      <c r="N1405" s="501"/>
      <c r="O1405" s="501"/>
      <c r="P1405" s="501"/>
    </row>
    <row r="1406" spans="1:16">
      <c r="A1406" s="426"/>
      <c r="B1406" s="426"/>
      <c r="C1406" s="417" t="s">
        <v>481</v>
      </c>
      <c r="D1406" s="409">
        <v>0.4</v>
      </c>
      <c r="E1406" s="426" t="s">
        <v>57</v>
      </c>
      <c r="F1406" s="409">
        <f>[161]LEAD!$N$12</f>
        <v>2253.91</v>
      </c>
      <c r="G1406" s="410">
        <v>1</v>
      </c>
      <c r="H1406" s="426" t="s">
        <v>57</v>
      </c>
      <c r="I1406" s="408">
        <f t="shared" si="319"/>
        <v>901.56399999999996</v>
      </c>
      <c r="J1406" s="499"/>
      <c r="K1406" s="500"/>
      <c r="L1406" s="500"/>
      <c r="M1406" s="501"/>
      <c r="N1406" s="501"/>
      <c r="O1406" s="501"/>
      <c r="P1406" s="501"/>
    </row>
    <row r="1407" spans="1:16" ht="13">
      <c r="A1407" s="426"/>
      <c r="B1407" s="426"/>
      <c r="C1407" s="427" t="s">
        <v>911</v>
      </c>
      <c r="D1407" s="426"/>
      <c r="E1407" s="426"/>
      <c r="F1407" s="426"/>
      <c r="G1407" s="426"/>
      <c r="H1407" s="426"/>
      <c r="I1407" s="409"/>
      <c r="J1407" s="499"/>
      <c r="K1407" s="500"/>
      <c r="L1407" s="500"/>
      <c r="M1407" s="501"/>
      <c r="N1407" s="501"/>
      <c r="O1407" s="501"/>
      <c r="P1407" s="501"/>
    </row>
    <row r="1408" spans="1:16">
      <c r="A1408" s="426"/>
      <c r="B1408" s="426"/>
      <c r="C1408" s="417" t="s">
        <v>912</v>
      </c>
      <c r="D1408" s="491">
        <v>6.7000000000000004E-2</v>
      </c>
      <c r="E1408" s="426" t="s">
        <v>14</v>
      </c>
      <c r="F1408" s="409">
        <f>'[161]Civil-SOR'!$G$293</f>
        <v>580</v>
      </c>
      <c r="G1408" s="410">
        <v>1</v>
      </c>
      <c r="H1408" s="426" t="s">
        <v>572</v>
      </c>
      <c r="I1408" s="408">
        <f t="shared" ref="I1408:I1411" si="320">IF(G1408="",D1408*F1408,(D1408*F1408/G1408))</f>
        <v>38.86</v>
      </c>
      <c r="J1408" s="499"/>
      <c r="K1408" s="500"/>
      <c r="L1408" s="500"/>
      <c r="M1408" s="501"/>
      <c r="N1408" s="501"/>
      <c r="O1408" s="501"/>
      <c r="P1408" s="501"/>
    </row>
    <row r="1409" spans="1:16">
      <c r="A1409" s="426"/>
      <c r="B1409" s="426"/>
      <c r="C1409" s="417" t="s">
        <v>913</v>
      </c>
      <c r="D1409" s="491">
        <v>0.13300000000000001</v>
      </c>
      <c r="E1409" s="426" t="s">
        <v>14</v>
      </c>
      <c r="F1409" s="409">
        <f>'[161]Civil-SOR'!$G$302</f>
        <v>550</v>
      </c>
      <c r="G1409" s="410">
        <v>1</v>
      </c>
      <c r="H1409" s="426" t="str">
        <f>H1408</f>
        <v>Each</v>
      </c>
      <c r="I1409" s="408">
        <f t="shared" si="320"/>
        <v>73.150000000000006</v>
      </c>
      <c r="J1409" s="499"/>
      <c r="K1409" s="500"/>
      <c r="L1409" s="500"/>
      <c r="M1409" s="501"/>
      <c r="N1409" s="501"/>
      <c r="O1409" s="501"/>
      <c r="P1409" s="501"/>
    </row>
    <row r="1410" spans="1:16">
      <c r="A1410" s="426"/>
      <c r="B1410" s="426"/>
      <c r="C1410" s="417" t="s">
        <v>989</v>
      </c>
      <c r="D1410" s="491">
        <v>3.077</v>
      </c>
      <c r="E1410" s="426" t="s">
        <v>14</v>
      </c>
      <c r="F1410" s="409">
        <f>'[161]Civil-SOR'!$G$307</f>
        <v>520</v>
      </c>
      <c r="G1410" s="410">
        <v>1</v>
      </c>
      <c r="H1410" s="426" t="str">
        <f>H1408</f>
        <v>Each</v>
      </c>
      <c r="I1410" s="408">
        <f t="shared" si="320"/>
        <v>1600.04</v>
      </c>
      <c r="J1410" s="499"/>
      <c r="K1410" s="500"/>
      <c r="L1410" s="500"/>
      <c r="M1410" s="501"/>
      <c r="N1410" s="501"/>
      <c r="O1410" s="501"/>
      <c r="P1410" s="501"/>
    </row>
    <row r="1411" spans="1:16">
      <c r="A1411" s="426"/>
      <c r="B1411" s="426"/>
      <c r="C1411" s="417" t="str">
        <f>[161]Input!$C$47</f>
        <v>Add for MA @ 40%</v>
      </c>
      <c r="D1411" s="409">
        <f>[161]Input!$D$47</f>
        <v>0.4</v>
      </c>
      <c r="E1411" s="426"/>
      <c r="F1411" s="409">
        <f>SUM(I1408:I1410)</f>
        <v>1712.05</v>
      </c>
      <c r="G1411" s="410"/>
      <c r="H1411" s="426"/>
      <c r="I1411" s="408">
        <f t="shared" si="320"/>
        <v>684.82</v>
      </c>
      <c r="J1411" s="499"/>
      <c r="K1411" s="500"/>
      <c r="L1411" s="500"/>
      <c r="M1411" s="501"/>
      <c r="N1411" s="501"/>
      <c r="O1411" s="501"/>
      <c r="P1411" s="501"/>
    </row>
    <row r="1412" spans="1:16" ht="13">
      <c r="A1412" s="426"/>
      <c r="B1412" s="426"/>
      <c r="C1412" s="427" t="s">
        <v>915</v>
      </c>
      <c r="D1412" s="409"/>
      <c r="E1412" s="426"/>
      <c r="F1412" s="409"/>
      <c r="G1412" s="410"/>
      <c r="H1412" s="426"/>
      <c r="I1412" s="408"/>
      <c r="J1412" s="499"/>
      <c r="K1412" s="500"/>
      <c r="L1412" s="500"/>
      <c r="M1412" s="501"/>
      <c r="N1412" s="501"/>
      <c r="O1412" s="501"/>
      <c r="P1412" s="501"/>
    </row>
    <row r="1413" spans="1:16">
      <c r="A1413" s="426"/>
      <c r="B1413" s="426"/>
      <c r="C1413" s="417" t="s">
        <v>916</v>
      </c>
      <c r="D1413" s="491">
        <v>0.308</v>
      </c>
      <c r="E1413" s="426" t="s">
        <v>796</v>
      </c>
      <c r="F1413" s="409">
        <f>'[161]Civil-SOR'!$G$329</f>
        <v>265.79999999999995</v>
      </c>
      <c r="G1413" s="410">
        <v>1</v>
      </c>
      <c r="H1413" s="426" t="s">
        <v>826</v>
      </c>
      <c r="I1413" s="408">
        <f t="shared" ref="I1413:I1418" si="321">IF(G1413="",D1413*F1413,(D1413*F1413/G1413))</f>
        <v>81.866399999999985</v>
      </c>
      <c r="J1413" s="499"/>
      <c r="K1413" s="500"/>
      <c r="L1413" s="500"/>
      <c r="M1413" s="501"/>
      <c r="N1413" s="501"/>
      <c r="O1413" s="501"/>
      <c r="P1413" s="501"/>
    </row>
    <row r="1414" spans="1:16">
      <c r="A1414" s="426"/>
      <c r="B1414" s="426"/>
      <c r="C1414" s="417" t="s">
        <v>828</v>
      </c>
      <c r="D1414" s="491">
        <v>0.308</v>
      </c>
      <c r="E1414" s="426" t="s">
        <v>796</v>
      </c>
      <c r="F1414" s="409">
        <f>'[161]Civil-SOR'!$J$329</f>
        <v>454.8</v>
      </c>
      <c r="G1414" s="410">
        <v>1</v>
      </c>
      <c r="H1414" s="426" t="s">
        <v>826</v>
      </c>
      <c r="I1414" s="408">
        <f t="shared" si="321"/>
        <v>140.07839999999999</v>
      </c>
      <c r="J1414" s="499"/>
      <c r="K1414" s="500"/>
      <c r="L1414" s="500"/>
      <c r="M1414" s="501"/>
      <c r="N1414" s="501"/>
      <c r="O1414" s="501"/>
      <c r="P1414" s="501"/>
    </row>
    <row r="1415" spans="1:16">
      <c r="A1415" s="426"/>
      <c r="B1415" s="426"/>
      <c r="C1415" s="417" t="s">
        <v>917</v>
      </c>
      <c r="D1415" s="491">
        <v>0.308</v>
      </c>
      <c r="E1415" s="426" t="s">
        <v>796</v>
      </c>
      <c r="F1415" s="409">
        <f>'[161]Civil-SOR'!$G$332</f>
        <v>36.5</v>
      </c>
      <c r="G1415" s="410">
        <v>1</v>
      </c>
      <c r="H1415" s="426" t="s">
        <v>826</v>
      </c>
      <c r="I1415" s="408">
        <f t="shared" si="321"/>
        <v>11.241999999999999</v>
      </c>
      <c r="J1415" s="499"/>
      <c r="K1415" s="500"/>
      <c r="L1415" s="500"/>
      <c r="M1415" s="501"/>
      <c r="N1415" s="501"/>
      <c r="O1415" s="501"/>
      <c r="P1415" s="501"/>
    </row>
    <row r="1416" spans="1:16">
      <c r="A1416" s="426"/>
      <c r="B1416" s="426"/>
      <c r="C1416" s="417" t="s">
        <v>828</v>
      </c>
      <c r="D1416" s="491">
        <v>0.308</v>
      </c>
      <c r="E1416" s="426" t="s">
        <v>796</v>
      </c>
      <c r="F1416" s="409">
        <f>'[161]Civil-SOR'!$J$332</f>
        <v>218</v>
      </c>
      <c r="G1416" s="410">
        <v>1</v>
      </c>
      <c r="H1416" s="426" t="s">
        <v>826</v>
      </c>
      <c r="I1416" s="408">
        <f t="shared" si="321"/>
        <v>67.144000000000005</v>
      </c>
      <c r="J1416" s="499"/>
      <c r="K1416" s="500"/>
      <c r="L1416" s="500"/>
      <c r="M1416" s="501"/>
      <c r="N1416" s="501"/>
      <c r="O1416" s="501"/>
      <c r="P1416" s="501"/>
    </row>
    <row r="1417" spans="1:16">
      <c r="A1417" s="426"/>
      <c r="B1417" s="426"/>
      <c r="C1417" s="417" t="s">
        <v>799</v>
      </c>
      <c r="D1417" s="409">
        <f>[161]Input!$D$47</f>
        <v>0.4</v>
      </c>
      <c r="E1417" s="426"/>
      <c r="F1417" s="409">
        <f>$I$1414+$I$1416</f>
        <v>207.22239999999999</v>
      </c>
      <c r="G1417" s="410"/>
      <c r="H1417" s="426"/>
      <c r="I1417" s="408">
        <f t="shared" si="321"/>
        <v>82.888959999999997</v>
      </c>
      <c r="J1417" s="499"/>
      <c r="K1417" s="500"/>
      <c r="L1417" s="500"/>
      <c r="M1417" s="501"/>
      <c r="N1417" s="501"/>
      <c r="O1417" s="501"/>
      <c r="P1417" s="501"/>
    </row>
    <row r="1418" spans="1:16">
      <c r="A1418" s="426"/>
      <c r="B1418" s="426"/>
      <c r="C1418" s="417" t="s">
        <v>918</v>
      </c>
      <c r="D1418" s="408">
        <v>1.2</v>
      </c>
      <c r="E1418" s="408" t="s">
        <v>877</v>
      </c>
      <c r="F1418" s="408">
        <f>[161]Input!$D$53</f>
        <v>108</v>
      </c>
      <c r="G1418" s="430">
        <v>1</v>
      </c>
      <c r="H1418" s="456" t="str">
        <f>IF(E1418="","",IF(E1418="No.","Each",IF(E1418="Nos.","Each",E1418)))</f>
        <v>kl</v>
      </c>
      <c r="I1418" s="408">
        <f t="shared" si="321"/>
        <v>129.6</v>
      </c>
      <c r="J1418" s="499"/>
      <c r="K1418" s="500"/>
      <c r="L1418" s="500"/>
      <c r="M1418" s="501"/>
      <c r="N1418" s="501"/>
      <c r="O1418" s="501"/>
      <c r="P1418" s="501"/>
    </row>
    <row r="1419" spans="1:16" ht="13">
      <c r="A1419" s="426"/>
      <c r="B1419" s="426"/>
      <c r="C1419" s="427" t="s">
        <v>724</v>
      </c>
      <c r="D1419" s="426"/>
      <c r="E1419" s="426"/>
      <c r="F1419" s="426"/>
      <c r="G1419" s="492"/>
      <c r="H1419" s="426"/>
      <c r="I1419" s="434">
        <f>SUM(I1404:I1418)</f>
        <v>6945.6217600000009</v>
      </c>
      <c r="J1419" s="502"/>
      <c r="K1419" s="503"/>
      <c r="L1419" s="503"/>
      <c r="M1419" s="504"/>
      <c r="N1419" s="504"/>
      <c r="O1419" s="504"/>
      <c r="P1419" s="504"/>
    </row>
    <row r="1420" spans="1:16">
      <c r="A1420" s="426"/>
      <c r="B1420" s="426"/>
      <c r="C1420" s="435"/>
      <c r="D1420" s="426"/>
      <c r="E1420" s="426"/>
      <c r="F1420" s="426"/>
      <c r="G1420" s="426"/>
      <c r="H1420" s="426"/>
      <c r="I1420" s="409"/>
      <c r="J1420" s="472"/>
      <c r="K1420" s="497"/>
      <c r="L1420" s="497"/>
      <c r="M1420" s="498"/>
      <c r="N1420" s="498"/>
      <c r="O1420" s="498"/>
      <c r="P1420" s="498"/>
    </row>
    <row r="1421" spans="1:16" ht="13">
      <c r="A1421" s="426"/>
      <c r="B1421" s="426" t="s">
        <v>720</v>
      </c>
      <c r="C1421" s="553" t="s">
        <v>990</v>
      </c>
      <c r="D1421" s="426"/>
      <c r="E1421" s="426"/>
      <c r="F1421" s="426"/>
      <c r="G1421" s="410"/>
      <c r="H1421" s="426"/>
      <c r="I1421" s="434"/>
      <c r="J1421" s="578"/>
      <c r="K1421" s="497"/>
      <c r="L1421" s="579"/>
      <c r="M1421" s="498"/>
      <c r="N1421" s="498"/>
      <c r="O1421" s="498"/>
      <c r="P1421" s="498"/>
    </row>
    <row r="1422" spans="1:16" ht="13">
      <c r="A1422" s="426"/>
      <c r="B1422" s="426"/>
      <c r="C1422" s="451" t="s">
        <v>1024</v>
      </c>
      <c r="D1422" s="426"/>
      <c r="E1422" s="426"/>
      <c r="F1422" s="426"/>
      <c r="G1422" s="410"/>
      <c r="H1422" s="426"/>
      <c r="I1422" s="434"/>
      <c r="J1422" s="578"/>
      <c r="K1422" s="497"/>
      <c r="L1422" s="579"/>
      <c r="M1422" s="498"/>
      <c r="N1422" s="498"/>
      <c r="O1422" s="498"/>
      <c r="P1422" s="498"/>
    </row>
    <row r="1423" spans="1:16" ht="13">
      <c r="A1423" s="426"/>
      <c r="B1423" s="426" t="s">
        <v>951</v>
      </c>
      <c r="C1423" s="451" t="s">
        <v>952</v>
      </c>
      <c r="D1423" s="426"/>
      <c r="E1423" s="426"/>
      <c r="F1423" s="426"/>
      <c r="G1423" s="410"/>
      <c r="H1423" s="426"/>
      <c r="I1423" s="434"/>
      <c r="J1423" s="578"/>
      <c r="K1423" s="497"/>
      <c r="L1423" s="579"/>
      <c r="M1423" s="498"/>
      <c r="N1423" s="498"/>
      <c r="O1423" s="498"/>
      <c r="P1423" s="498"/>
    </row>
    <row r="1424" spans="1:16" ht="13">
      <c r="A1424" s="426"/>
      <c r="B1424" s="426"/>
      <c r="C1424" s="427" t="s">
        <v>953</v>
      </c>
      <c r="D1424" s="414" t="s">
        <v>959</v>
      </c>
      <c r="E1424" s="474" t="s">
        <v>943</v>
      </c>
      <c r="F1424" s="492" t="s">
        <v>944</v>
      </c>
      <c r="G1424" s="492" t="s">
        <v>945</v>
      </c>
      <c r="H1424" s="492" t="s">
        <v>946</v>
      </c>
      <c r="I1424" s="492" t="s">
        <v>947</v>
      </c>
      <c r="J1424" s="580" t="s">
        <v>948</v>
      </c>
      <c r="K1424" s="564" t="s">
        <v>949</v>
      </c>
      <c r="L1424" s="564" t="s">
        <v>950</v>
      </c>
      <c r="M1424" s="498"/>
      <c r="N1424" s="498"/>
      <c r="O1424" s="498"/>
      <c r="P1424" s="498"/>
    </row>
    <row r="1425" spans="1:16">
      <c r="A1425" s="426"/>
      <c r="B1425" s="426"/>
      <c r="C1425" s="417" t="s">
        <v>954</v>
      </c>
      <c r="D1425" s="409">
        <f t="shared" ref="D1425:L1425" si="322">$I$1419</f>
        <v>6945.6217600000009</v>
      </c>
      <c r="E1425" s="409">
        <f t="shared" si="322"/>
        <v>6945.6217600000009</v>
      </c>
      <c r="F1425" s="409">
        <f t="shared" si="322"/>
        <v>6945.6217600000009</v>
      </c>
      <c r="G1425" s="409">
        <f t="shared" si="322"/>
        <v>6945.6217600000009</v>
      </c>
      <c r="H1425" s="409">
        <f t="shared" si="322"/>
        <v>6945.6217600000009</v>
      </c>
      <c r="I1425" s="409">
        <f t="shared" si="322"/>
        <v>6945.6217600000009</v>
      </c>
      <c r="J1425" s="508">
        <f t="shared" si="322"/>
        <v>6945.6217600000009</v>
      </c>
      <c r="K1425" s="509">
        <f t="shared" si="322"/>
        <v>6945.6217600000009</v>
      </c>
      <c r="L1425" s="509">
        <f t="shared" si="322"/>
        <v>6945.6217600000009</v>
      </c>
      <c r="M1425" s="501"/>
      <c r="N1425" s="501"/>
      <c r="O1425" s="501"/>
      <c r="P1425" s="501"/>
    </row>
    <row r="1426" spans="1:16">
      <c r="A1426" s="426"/>
      <c r="B1426" s="426"/>
      <c r="C1426" s="417" t="s">
        <v>921</v>
      </c>
      <c r="D1426" s="409">
        <f>'[161]Civil-SOR'!$F$279</f>
        <v>1566</v>
      </c>
      <c r="E1426" s="409">
        <f>'[161]Civil-SOR'!$F$279</f>
        <v>1566</v>
      </c>
      <c r="F1426" s="409">
        <f>'[161]Civil-SOR'!$F$279</f>
        <v>1566</v>
      </c>
      <c r="G1426" s="409">
        <f>'[161]Civil-SOR'!$F$279</f>
        <v>1566</v>
      </c>
      <c r="H1426" s="409">
        <f>'[161]Civil-SOR'!$F$279</f>
        <v>1566</v>
      </c>
      <c r="I1426" s="409">
        <f>'[161]Civil-SOR'!$F$279</f>
        <v>1566</v>
      </c>
      <c r="J1426" s="508">
        <f>'[161]Civil-SOR'!$F$279</f>
        <v>1566</v>
      </c>
      <c r="K1426" s="509">
        <f>'[161]Civil-SOR'!$F$279</f>
        <v>1566</v>
      </c>
      <c r="L1426" s="509">
        <f>'[161]Civil-SOR'!$F$279</f>
        <v>1566</v>
      </c>
      <c r="M1426" s="501"/>
      <c r="N1426" s="501"/>
      <c r="O1426" s="501"/>
      <c r="P1426" s="501"/>
    </row>
    <row r="1427" spans="1:16">
      <c r="A1427" s="426"/>
      <c r="B1427" s="426"/>
      <c r="C1427" s="417" t="s">
        <v>993</v>
      </c>
      <c r="D1427" s="408">
        <f>'[161]Civil-SOR'!$G$279</f>
        <v>1753</v>
      </c>
      <c r="E1427" s="408">
        <f>'[161]Civil-SOR'!$H$279</f>
        <v>1928</v>
      </c>
      <c r="F1427" s="408">
        <f>'[161]Civil-SOR'!$I$279</f>
        <v>2104</v>
      </c>
      <c r="G1427" s="408">
        <f>'[161]Civil-SOR'!$J$279</f>
        <v>2279</v>
      </c>
      <c r="H1427" s="408">
        <f>'[161]Civil-SOR'!$K$279</f>
        <v>2454</v>
      </c>
      <c r="I1427" s="408">
        <f>'[161]Civil-SOR'!$L$279</f>
        <v>2630</v>
      </c>
      <c r="J1427" s="510">
        <f>'[161]Civil-SOR'!$M$279</f>
        <v>2805</v>
      </c>
      <c r="K1427" s="511">
        <f>'[161]Civil-SOR'!$N$279</f>
        <v>2980</v>
      </c>
      <c r="L1427" s="511">
        <f>'[161]Civil-SOR'!$O$279</f>
        <v>3155</v>
      </c>
      <c r="M1427" s="501"/>
      <c r="N1427" s="501"/>
      <c r="O1427" s="501"/>
      <c r="P1427" s="501"/>
    </row>
    <row r="1428" spans="1:16">
      <c r="A1428" s="426"/>
      <c r="B1428" s="426"/>
      <c r="C1428" s="417" t="str">
        <f>[161]Input!C47</f>
        <v>Add for MA @ 40%</v>
      </c>
      <c r="D1428" s="409">
        <f>D1427*[161]Input!$D$47</f>
        <v>701.2</v>
      </c>
      <c r="E1428" s="409">
        <f>E1427*[161]Input!$D$47</f>
        <v>771.2</v>
      </c>
      <c r="F1428" s="409">
        <f>F1427*[161]Input!$D$47</f>
        <v>841.6</v>
      </c>
      <c r="G1428" s="409">
        <f>G1427*[161]Input!$D$47</f>
        <v>911.6</v>
      </c>
      <c r="H1428" s="409">
        <f>H1427*[161]Input!$D$47</f>
        <v>981.6</v>
      </c>
      <c r="I1428" s="409">
        <f>I1427*[161]Input!$D$47</f>
        <v>1052</v>
      </c>
      <c r="J1428" s="508">
        <f>J1427*[161]Input!$D$47</f>
        <v>1122</v>
      </c>
      <c r="K1428" s="509">
        <f>K1427*[161]Input!$D$47</f>
        <v>1192</v>
      </c>
      <c r="L1428" s="509">
        <f>L1427*[161]Input!$D$47</f>
        <v>1262</v>
      </c>
      <c r="M1428" s="501"/>
      <c r="N1428" s="501"/>
      <c r="O1428" s="501"/>
      <c r="P1428" s="501"/>
    </row>
    <row r="1429" spans="1:16">
      <c r="A1429" s="426"/>
      <c r="B1429" s="426"/>
      <c r="C1429" s="417" t="s">
        <v>956</v>
      </c>
      <c r="D1429" s="409">
        <v>0</v>
      </c>
      <c r="E1429" s="409">
        <f>$F$1411*10%</f>
        <v>171.20500000000001</v>
      </c>
      <c r="F1429" s="409">
        <f>$F$1411*20%</f>
        <v>342.41</v>
      </c>
      <c r="G1429" s="409">
        <f>$F$1411*30%</f>
        <v>513.61500000000001</v>
      </c>
      <c r="H1429" s="409">
        <f>$F$1411*40%</f>
        <v>684.82</v>
      </c>
      <c r="I1429" s="409">
        <f>$F$1411*50%</f>
        <v>856.02499999999998</v>
      </c>
      <c r="J1429" s="508">
        <f>$F$1411*60%</f>
        <v>1027.23</v>
      </c>
      <c r="K1429" s="509">
        <f>$F$1411*70%</f>
        <v>1198.4349999999999</v>
      </c>
      <c r="L1429" s="509">
        <f>$F$1411*80%</f>
        <v>1369.64</v>
      </c>
      <c r="M1429" s="501"/>
      <c r="N1429" s="501"/>
      <c r="O1429" s="501"/>
      <c r="P1429" s="501"/>
    </row>
    <row r="1430" spans="1:16">
      <c r="A1430" s="426"/>
      <c r="B1430" s="426"/>
      <c r="C1430" s="417" t="str">
        <f>[161]Input!$C$47</f>
        <v>Add for MA @ 40%</v>
      </c>
      <c r="D1430" s="409">
        <f>D1429*[161]Input!D47</f>
        <v>0</v>
      </c>
      <c r="E1430" s="409">
        <f>E1429*[161]Input!$D$47</f>
        <v>68.482000000000014</v>
      </c>
      <c r="F1430" s="409">
        <f>F1429*[161]Input!$D$47</f>
        <v>136.96400000000003</v>
      </c>
      <c r="G1430" s="409">
        <f>G1429*[161]Input!$D$47</f>
        <v>205.44600000000003</v>
      </c>
      <c r="H1430" s="409">
        <f>H1429*[161]Input!$D$47</f>
        <v>273.92800000000005</v>
      </c>
      <c r="I1430" s="409">
        <f>I1429*[161]Input!$D$47</f>
        <v>342.41</v>
      </c>
      <c r="J1430" s="508">
        <f>J1429*[161]Input!$D$47</f>
        <v>410.89200000000005</v>
      </c>
      <c r="K1430" s="509">
        <f>K1429*[161]Input!$D$47</f>
        <v>479.37400000000002</v>
      </c>
      <c r="L1430" s="509">
        <f>L1429*[161]Input!$D$47</f>
        <v>547.85600000000011</v>
      </c>
      <c r="M1430" s="501"/>
      <c r="N1430" s="501"/>
      <c r="O1430" s="501"/>
      <c r="P1430" s="501"/>
    </row>
    <row r="1431" spans="1:16" ht="13">
      <c r="A1431" s="426"/>
      <c r="B1431" s="426"/>
      <c r="C1431" s="427" t="s">
        <v>904</v>
      </c>
      <c r="D1431" s="409">
        <f t="shared" ref="D1431:L1431" si="323">SUM(D1425:D1430)</f>
        <v>10965.821760000003</v>
      </c>
      <c r="E1431" s="409">
        <f t="shared" si="323"/>
        <v>11450.508760000002</v>
      </c>
      <c r="F1431" s="409">
        <f t="shared" si="323"/>
        <v>11936.595760000002</v>
      </c>
      <c r="G1431" s="409">
        <f t="shared" si="323"/>
        <v>12421.282760000002</v>
      </c>
      <c r="H1431" s="409">
        <f t="shared" si="323"/>
        <v>12905.969760000002</v>
      </c>
      <c r="I1431" s="409">
        <f t="shared" si="323"/>
        <v>13392.056760000001</v>
      </c>
      <c r="J1431" s="508">
        <f t="shared" si="323"/>
        <v>13876.743760000001</v>
      </c>
      <c r="K1431" s="509">
        <f t="shared" si="323"/>
        <v>14361.430760000001</v>
      </c>
      <c r="L1431" s="509">
        <f t="shared" si="323"/>
        <v>14846.117760000001</v>
      </c>
      <c r="M1431" s="501"/>
      <c r="N1431" s="501"/>
      <c r="O1431" s="501"/>
      <c r="P1431" s="501"/>
    </row>
    <row r="1432" spans="1:16" ht="25">
      <c r="A1432" s="426"/>
      <c r="B1432" s="426"/>
      <c r="C1432" s="417" t="str">
        <f>[161]Input!$C$48</f>
        <v>Overheads &amp; Contractors Profit @ 13.615%</v>
      </c>
      <c r="D1432" s="426">
        <f>ROUND(D1431*[161]Input!$D$48,2)</f>
        <v>1493</v>
      </c>
      <c r="E1432" s="426">
        <f>ROUND(E1431*[161]Input!$D$48,2)</f>
        <v>1558.99</v>
      </c>
      <c r="F1432" s="426">
        <f>ROUND(F1431*[161]Input!$D$48,2)</f>
        <v>1625.17</v>
      </c>
      <c r="G1432" s="426">
        <f>ROUND(G1431*[161]Input!$D$48,2)</f>
        <v>1691.16</v>
      </c>
      <c r="H1432" s="426">
        <f>ROUND(H1431*[161]Input!$D$48,2)</f>
        <v>1757.15</v>
      </c>
      <c r="I1432" s="426">
        <f>ROUND(I1431*[161]Input!$D$48,2)</f>
        <v>1823.33</v>
      </c>
      <c r="J1432" s="547">
        <f>ROUND(J1431*[161]Input!$D$48,2)</f>
        <v>1889.32</v>
      </c>
      <c r="K1432" s="548">
        <f>ROUND(K1431*[161]Input!$D$48,2)</f>
        <v>1955.31</v>
      </c>
      <c r="L1432" s="548">
        <f>ROUND(L1431*[161]Input!$D$48,2)</f>
        <v>2021.3</v>
      </c>
      <c r="M1432" s="501"/>
      <c r="N1432" s="501"/>
      <c r="O1432" s="501"/>
      <c r="P1432" s="501"/>
    </row>
    <row r="1433" spans="1:16" ht="13">
      <c r="A1433" s="426"/>
      <c r="B1433" s="426"/>
      <c r="C1433" s="473" t="s">
        <v>724</v>
      </c>
      <c r="D1433" s="409">
        <f t="shared" ref="D1433:L1433" si="324">SUM(D1431:D1432)</f>
        <v>12458.821760000003</v>
      </c>
      <c r="E1433" s="409">
        <f t="shared" si="324"/>
        <v>13009.498760000002</v>
      </c>
      <c r="F1433" s="409">
        <f t="shared" si="324"/>
        <v>13561.765760000002</v>
      </c>
      <c r="G1433" s="409">
        <f t="shared" si="324"/>
        <v>14112.442760000002</v>
      </c>
      <c r="H1433" s="409">
        <f t="shared" si="324"/>
        <v>14663.119760000001</v>
      </c>
      <c r="I1433" s="409">
        <f t="shared" si="324"/>
        <v>15215.386760000001</v>
      </c>
      <c r="J1433" s="512">
        <f t="shared" si="324"/>
        <v>15766.063760000001</v>
      </c>
      <c r="K1433" s="513">
        <f t="shared" si="324"/>
        <v>16316.740760000001</v>
      </c>
      <c r="L1433" s="513">
        <f t="shared" si="324"/>
        <v>16867.41776</v>
      </c>
      <c r="M1433" s="504"/>
      <c r="N1433" s="504"/>
      <c r="O1433" s="504"/>
      <c r="P1433" s="504"/>
    </row>
    <row r="1434" spans="1:16" ht="13">
      <c r="A1434" s="426"/>
      <c r="B1434" s="426"/>
      <c r="C1434" s="514" t="s">
        <v>726</v>
      </c>
      <c r="D1434" s="416">
        <f t="shared" ref="D1434:L1434" si="325">ROUND(D1433,0)</f>
        <v>12459</v>
      </c>
      <c r="E1434" s="416">
        <f t="shared" si="325"/>
        <v>13009</v>
      </c>
      <c r="F1434" s="416">
        <f t="shared" si="325"/>
        <v>13562</v>
      </c>
      <c r="G1434" s="416">
        <f t="shared" si="325"/>
        <v>14112</v>
      </c>
      <c r="H1434" s="416">
        <f t="shared" si="325"/>
        <v>14663</v>
      </c>
      <c r="I1434" s="416">
        <f t="shared" si="325"/>
        <v>15215</v>
      </c>
      <c r="J1434" s="515">
        <f t="shared" si="325"/>
        <v>15766</v>
      </c>
      <c r="K1434" s="516">
        <f t="shared" si="325"/>
        <v>16317</v>
      </c>
      <c r="L1434" s="516">
        <f t="shared" si="325"/>
        <v>16867</v>
      </c>
      <c r="M1434" s="504"/>
      <c r="N1434" s="504"/>
      <c r="O1434" s="504"/>
      <c r="P1434" s="504"/>
    </row>
    <row r="1435" spans="1:16" ht="13">
      <c r="A1435" s="426"/>
      <c r="B1435" s="426"/>
      <c r="C1435" s="550"/>
      <c r="D1435" s="416"/>
      <c r="E1435" s="416"/>
      <c r="F1435" s="416"/>
      <c r="G1435" s="416"/>
      <c r="H1435" s="416"/>
      <c r="I1435" s="414"/>
      <c r="J1435" s="544"/>
      <c r="K1435" s="545"/>
      <c r="L1435" s="551"/>
      <c r="M1435" s="498"/>
      <c r="N1435" s="498"/>
      <c r="O1435" s="498"/>
      <c r="P1435" s="498"/>
    </row>
    <row r="1436" spans="1:16" ht="13">
      <c r="A1436" s="426"/>
      <c r="B1436" s="474" t="s">
        <v>957</v>
      </c>
      <c r="C1436" s="451" t="s">
        <v>958</v>
      </c>
      <c r="D1436" s="426"/>
      <c r="E1436" s="426"/>
      <c r="F1436" s="426"/>
      <c r="G1436" s="410"/>
      <c r="H1436" s="426"/>
      <c r="I1436" s="434"/>
      <c r="J1436" s="578"/>
      <c r="K1436" s="497"/>
      <c r="L1436" s="579"/>
      <c r="M1436" s="498"/>
      <c r="N1436" s="498"/>
      <c r="O1436" s="498"/>
      <c r="P1436" s="498"/>
    </row>
    <row r="1437" spans="1:16" ht="13">
      <c r="A1437" s="426"/>
      <c r="B1437" s="426"/>
      <c r="C1437" s="427" t="s">
        <v>953</v>
      </c>
      <c r="D1437" s="414" t="s">
        <v>959</v>
      </c>
      <c r="E1437" s="474" t="s">
        <v>943</v>
      </c>
      <c r="F1437" s="492" t="s">
        <v>944</v>
      </c>
      <c r="G1437" s="492" t="s">
        <v>945</v>
      </c>
      <c r="H1437" s="492" t="s">
        <v>946</v>
      </c>
      <c r="I1437" s="492" t="s">
        <v>947</v>
      </c>
      <c r="J1437" s="472"/>
      <c r="K1437" s="497"/>
      <c r="L1437" s="497"/>
      <c r="M1437" s="498"/>
      <c r="N1437" s="498"/>
      <c r="O1437" s="498"/>
      <c r="P1437" s="498"/>
    </row>
    <row r="1438" spans="1:16">
      <c r="A1438" s="406"/>
      <c r="B1438" s="406"/>
      <c r="C1438" s="417" t="s">
        <v>954</v>
      </c>
      <c r="D1438" s="432">
        <f t="shared" ref="D1438:I1438" si="326">$I$1419</f>
        <v>6945.6217600000009</v>
      </c>
      <c r="E1438" s="432">
        <f t="shared" si="326"/>
        <v>6945.6217600000009</v>
      </c>
      <c r="F1438" s="432">
        <f t="shared" si="326"/>
        <v>6945.6217600000009</v>
      </c>
      <c r="G1438" s="432">
        <f t="shared" si="326"/>
        <v>6945.6217600000009</v>
      </c>
      <c r="H1438" s="432">
        <f t="shared" si="326"/>
        <v>6945.6217600000009</v>
      </c>
      <c r="I1438" s="432">
        <f t="shared" si="326"/>
        <v>6945.6217600000009</v>
      </c>
      <c r="J1438" s="582"/>
      <c r="K1438" s="562"/>
      <c r="L1438" s="562"/>
      <c r="M1438" s="583"/>
      <c r="N1438" s="583"/>
      <c r="O1438" s="583"/>
      <c r="P1438" s="583"/>
    </row>
    <row r="1439" spans="1:16">
      <c r="A1439" s="406"/>
      <c r="B1439" s="406"/>
      <c r="C1439" s="417" t="s">
        <v>921</v>
      </c>
      <c r="D1439" s="432">
        <f>'[161]Civil-SOR'!$F$279</f>
        <v>1566</v>
      </c>
      <c r="E1439" s="432">
        <f>'[161]Civil-SOR'!$F$279</f>
        <v>1566</v>
      </c>
      <c r="F1439" s="432">
        <f>'[161]Civil-SOR'!$F$279</f>
        <v>1566</v>
      </c>
      <c r="G1439" s="432">
        <f>'[161]Civil-SOR'!$F$279</f>
        <v>1566</v>
      </c>
      <c r="H1439" s="432">
        <f>'[161]Civil-SOR'!$F$279</f>
        <v>1566</v>
      </c>
      <c r="I1439" s="432">
        <f>'[161]Civil-SOR'!$F$279</f>
        <v>1566</v>
      </c>
      <c r="J1439" s="582"/>
      <c r="K1439" s="562"/>
      <c r="L1439" s="562"/>
      <c r="M1439" s="583"/>
      <c r="N1439" s="583"/>
      <c r="O1439" s="583"/>
      <c r="P1439" s="583"/>
    </row>
    <row r="1440" spans="1:16">
      <c r="A1440" s="406"/>
      <c r="B1440" s="406"/>
      <c r="C1440" s="417" t="s">
        <v>993</v>
      </c>
      <c r="D1440" s="459">
        <f>'[161]Civil-SOR'!$G$279</f>
        <v>1753</v>
      </c>
      <c r="E1440" s="459">
        <f>'[161]Civil-SOR'!$H$279</f>
        <v>1928</v>
      </c>
      <c r="F1440" s="459">
        <f>'[161]Civil-SOR'!$I$279</f>
        <v>2104</v>
      </c>
      <c r="G1440" s="459">
        <f>'[161]Civil-SOR'!$J$279</f>
        <v>2279</v>
      </c>
      <c r="H1440" s="459">
        <f>'[161]Civil-SOR'!$K$279</f>
        <v>2454</v>
      </c>
      <c r="I1440" s="459">
        <f>'[161]Civil-SOR'!$L$279</f>
        <v>2630</v>
      </c>
      <c r="J1440" s="582"/>
      <c r="K1440" s="562"/>
      <c r="L1440" s="562"/>
      <c r="M1440" s="583"/>
      <c r="N1440" s="583"/>
      <c r="O1440" s="583"/>
      <c r="P1440" s="583"/>
    </row>
    <row r="1441" spans="1:16">
      <c r="A1441" s="406"/>
      <c r="B1441" s="406"/>
      <c r="C1441" s="417" t="str">
        <f>[161]Input!$C$47</f>
        <v>Add for MA @ 40%</v>
      </c>
      <c r="D1441" s="432">
        <f>D1440*[161]Input!$D$47</f>
        <v>701.2</v>
      </c>
      <c r="E1441" s="432">
        <f>E1440*[161]Input!$D$47</f>
        <v>771.2</v>
      </c>
      <c r="F1441" s="432">
        <f>F1440*[161]Input!$D$47</f>
        <v>841.6</v>
      </c>
      <c r="G1441" s="432">
        <f>G1440*[161]Input!$D$47</f>
        <v>911.6</v>
      </c>
      <c r="H1441" s="432">
        <f>H1440*[161]Input!$D$47</f>
        <v>981.6</v>
      </c>
      <c r="I1441" s="432">
        <f>I1440*[161]Input!$D$47</f>
        <v>1052</v>
      </c>
      <c r="J1441" s="582"/>
      <c r="K1441" s="562"/>
      <c r="L1441" s="562"/>
      <c r="M1441" s="583"/>
      <c r="N1441" s="583"/>
      <c r="O1441" s="583"/>
      <c r="P1441" s="583"/>
    </row>
    <row r="1442" spans="1:16" ht="25">
      <c r="A1442" s="406"/>
      <c r="B1442" s="406"/>
      <c r="C1442" s="417" t="s">
        <v>995</v>
      </c>
      <c r="D1442" s="432">
        <v>0</v>
      </c>
      <c r="E1442" s="432">
        <f>0.267*'[161]Civil-SOR'!$G$334</f>
        <v>101.11290000000002</v>
      </c>
      <c r="F1442" s="432">
        <f t="shared" ref="F1442:F1443" si="327">E1442*1.1</f>
        <v>111.22419000000004</v>
      </c>
      <c r="G1442" s="432">
        <f t="shared" ref="G1442:G1443" si="328">E1442*1.2</f>
        <v>121.33548000000002</v>
      </c>
      <c r="H1442" s="432">
        <f t="shared" ref="H1442:H1443" si="329">E1442*1.3</f>
        <v>131.44677000000004</v>
      </c>
      <c r="I1442" s="432">
        <f t="shared" ref="I1442:I1443" si="330">E1442*1.4</f>
        <v>141.55806000000001</v>
      </c>
      <c r="J1442" s="582"/>
      <c r="K1442" s="562"/>
      <c r="L1442" s="562"/>
      <c r="M1442" s="583"/>
      <c r="N1442" s="583"/>
      <c r="O1442" s="583"/>
      <c r="P1442" s="583"/>
    </row>
    <row r="1443" spans="1:16">
      <c r="A1443" s="406"/>
      <c r="B1443" s="406"/>
      <c r="C1443" s="417" t="s">
        <v>828</v>
      </c>
      <c r="D1443" s="432"/>
      <c r="E1443" s="432">
        <f>0.267*'[161]Civil-SOR'!$J$334</f>
        <v>96.226799999999997</v>
      </c>
      <c r="F1443" s="432">
        <f t="shared" si="327"/>
        <v>105.84948</v>
      </c>
      <c r="G1443" s="432">
        <f t="shared" si="328"/>
        <v>115.47215999999999</v>
      </c>
      <c r="H1443" s="432">
        <f t="shared" si="329"/>
        <v>125.09484</v>
      </c>
      <c r="I1443" s="432">
        <f t="shared" si="330"/>
        <v>134.71751999999998</v>
      </c>
      <c r="J1443" s="582"/>
      <c r="K1443" s="562"/>
      <c r="L1443" s="562"/>
      <c r="M1443" s="583"/>
      <c r="N1443" s="583"/>
      <c r="O1443" s="583"/>
      <c r="P1443" s="583"/>
    </row>
    <row r="1444" spans="1:16">
      <c r="A1444" s="406"/>
      <c r="B1444" s="406"/>
      <c r="C1444" s="417" t="str">
        <f>[161]Input!$C$47</f>
        <v>Add for MA @ 40%</v>
      </c>
      <c r="D1444" s="432">
        <f>D1442*[161]Input!D60</f>
        <v>0</v>
      </c>
      <c r="E1444" s="432">
        <f>E1443*[161]Input!$D$47</f>
        <v>38.490720000000003</v>
      </c>
      <c r="F1444" s="432">
        <f>F1443*[161]Input!$D$47</f>
        <v>42.339792000000003</v>
      </c>
      <c r="G1444" s="432">
        <f>G1443*[161]Input!$D$47</f>
        <v>46.188863999999995</v>
      </c>
      <c r="H1444" s="432">
        <f>H1443*[161]Input!$D$47</f>
        <v>50.037936000000002</v>
      </c>
      <c r="I1444" s="432">
        <f>I1443*[161]Input!$D$47</f>
        <v>53.887007999999994</v>
      </c>
      <c r="J1444" s="582"/>
      <c r="K1444" s="562"/>
      <c r="L1444" s="562"/>
      <c r="M1444" s="583"/>
      <c r="N1444" s="583"/>
      <c r="O1444" s="583"/>
      <c r="P1444" s="583"/>
    </row>
    <row r="1445" spans="1:16" ht="13">
      <c r="A1445" s="406"/>
      <c r="B1445" s="406"/>
      <c r="C1445" s="427" t="s">
        <v>904</v>
      </c>
      <c r="D1445" s="432">
        <f t="shared" ref="D1445:I1445" si="331">SUM(D1438:D1444)</f>
        <v>10965.821760000003</v>
      </c>
      <c r="E1445" s="432">
        <f t="shared" si="331"/>
        <v>11446.652180000003</v>
      </c>
      <c r="F1445" s="432">
        <f t="shared" si="331"/>
        <v>11716.635222000004</v>
      </c>
      <c r="G1445" s="432">
        <f t="shared" si="331"/>
        <v>11985.218264000001</v>
      </c>
      <c r="H1445" s="432">
        <f t="shared" si="331"/>
        <v>12253.801306000003</v>
      </c>
      <c r="I1445" s="432">
        <f t="shared" si="331"/>
        <v>12523.784348000001</v>
      </c>
      <c r="J1445" s="582"/>
      <c r="K1445" s="562"/>
      <c r="L1445" s="562"/>
      <c r="M1445" s="583"/>
      <c r="N1445" s="583"/>
      <c r="O1445" s="583"/>
      <c r="P1445" s="583"/>
    </row>
    <row r="1446" spans="1:16" ht="25">
      <c r="A1446" s="406"/>
      <c r="B1446" s="406"/>
      <c r="C1446" s="417" t="str">
        <f>[161]Input!$C$48</f>
        <v>Overheads &amp; Contractors Profit @ 13.615%</v>
      </c>
      <c r="D1446" s="406">
        <f>ROUND(D1445*[161]Input!$D$48,2)</f>
        <v>1493</v>
      </c>
      <c r="E1446" s="406">
        <f>ROUND(E1445*[161]Input!$D$48,2)</f>
        <v>1558.46</v>
      </c>
      <c r="F1446" s="406">
        <f>ROUND(F1445*[161]Input!$D$48,2)</f>
        <v>1595.22</v>
      </c>
      <c r="G1446" s="406">
        <f>ROUND(G1445*[161]Input!$D$48,2)</f>
        <v>1631.79</v>
      </c>
      <c r="H1446" s="406">
        <f>ROUND(H1445*[161]Input!$D$48,2)</f>
        <v>1668.36</v>
      </c>
      <c r="I1446" s="406">
        <f>ROUND(I1445*[161]Input!$D$48,2)</f>
        <v>1705.11</v>
      </c>
      <c r="J1446" s="582"/>
      <c r="K1446" s="562"/>
      <c r="L1446" s="562"/>
      <c r="M1446" s="583"/>
      <c r="N1446" s="583"/>
      <c r="O1446" s="583"/>
      <c r="P1446" s="583"/>
    </row>
    <row r="1447" spans="1:16" ht="13">
      <c r="A1447" s="426"/>
      <c r="B1447" s="426"/>
      <c r="C1447" s="427" t="s">
        <v>724</v>
      </c>
      <c r="D1447" s="409">
        <f t="shared" ref="D1447:I1447" si="332">SUM(D1445:D1446)</f>
        <v>12458.821760000003</v>
      </c>
      <c r="E1447" s="409">
        <f t="shared" si="332"/>
        <v>13005.112180000004</v>
      </c>
      <c r="F1447" s="409">
        <f t="shared" si="332"/>
        <v>13311.855222000004</v>
      </c>
      <c r="G1447" s="409">
        <f t="shared" si="332"/>
        <v>13617.008264</v>
      </c>
      <c r="H1447" s="409">
        <f t="shared" si="332"/>
        <v>13922.161306000004</v>
      </c>
      <c r="I1447" s="409">
        <f t="shared" si="332"/>
        <v>14228.894348000002</v>
      </c>
      <c r="J1447" s="502"/>
      <c r="K1447" s="503"/>
      <c r="L1447" s="503"/>
      <c r="M1447" s="504"/>
      <c r="N1447" s="504"/>
      <c r="O1447" s="504"/>
      <c r="P1447" s="504"/>
    </row>
    <row r="1448" spans="1:16" ht="13">
      <c r="A1448" s="426"/>
      <c r="B1448" s="426"/>
      <c r="C1448" s="514" t="s">
        <v>726</v>
      </c>
      <c r="D1448" s="416">
        <f t="shared" ref="D1448:I1448" si="333">ROUND(D1447,0)</f>
        <v>12459</v>
      </c>
      <c r="E1448" s="416">
        <f t="shared" si="333"/>
        <v>13005</v>
      </c>
      <c r="F1448" s="416">
        <f t="shared" si="333"/>
        <v>13312</v>
      </c>
      <c r="G1448" s="416">
        <f t="shared" si="333"/>
        <v>13617</v>
      </c>
      <c r="H1448" s="416">
        <f t="shared" si="333"/>
        <v>13922</v>
      </c>
      <c r="I1448" s="416">
        <f t="shared" si="333"/>
        <v>14229</v>
      </c>
      <c r="J1448" s="502"/>
      <c r="K1448" s="503"/>
      <c r="L1448" s="503"/>
      <c r="M1448" s="504"/>
      <c r="N1448" s="504"/>
      <c r="O1448" s="504"/>
      <c r="P1448" s="504"/>
    </row>
    <row r="1449" spans="1:16" ht="13">
      <c r="A1449" s="426"/>
      <c r="B1449" s="426"/>
      <c r="C1449" s="553" t="s">
        <v>990</v>
      </c>
      <c r="D1449" s="416"/>
      <c r="E1449" s="416"/>
      <c r="F1449" s="416"/>
      <c r="G1449" s="416"/>
      <c r="H1449" s="416"/>
      <c r="I1449" s="416"/>
      <c r="J1449" s="515"/>
      <c r="K1449" s="516"/>
      <c r="L1449" s="516"/>
      <c r="M1449" s="504"/>
      <c r="N1449" s="504"/>
      <c r="O1449" s="504"/>
      <c r="P1449" s="504"/>
    </row>
    <row r="1450" spans="1:16" ht="13">
      <c r="A1450" s="426"/>
      <c r="B1450" s="426"/>
      <c r="C1450" s="427" t="s">
        <v>953</v>
      </c>
      <c r="D1450" s="492" t="s">
        <v>948</v>
      </c>
      <c r="E1450" s="492" t="s">
        <v>949</v>
      </c>
      <c r="F1450" s="492" t="s">
        <v>950</v>
      </c>
      <c r="G1450" s="416"/>
      <c r="H1450" s="416"/>
      <c r="I1450" s="416"/>
      <c r="J1450" s="515"/>
      <c r="K1450" s="516"/>
      <c r="L1450" s="516"/>
      <c r="M1450" s="504"/>
      <c r="N1450" s="504"/>
      <c r="O1450" s="504"/>
      <c r="P1450" s="504"/>
    </row>
    <row r="1451" spans="1:16" ht="13">
      <c r="A1451" s="426"/>
      <c r="B1451" s="426"/>
      <c r="C1451" s="417" t="s">
        <v>954</v>
      </c>
      <c r="D1451" s="432">
        <f>$I$1419</f>
        <v>6945.6217600000009</v>
      </c>
      <c r="E1451" s="432">
        <f>$I$1419</f>
        <v>6945.6217600000009</v>
      </c>
      <c r="F1451" s="432">
        <f>$I$1419</f>
        <v>6945.6217600000009</v>
      </c>
      <c r="G1451" s="416"/>
      <c r="H1451" s="416"/>
      <c r="I1451" s="416"/>
      <c r="J1451" s="515"/>
      <c r="K1451" s="516"/>
      <c r="L1451" s="516"/>
      <c r="M1451" s="504"/>
      <c r="N1451" s="504"/>
      <c r="O1451" s="504"/>
      <c r="P1451" s="504"/>
    </row>
    <row r="1452" spans="1:16" ht="13">
      <c r="A1452" s="426"/>
      <c r="B1452" s="426"/>
      <c r="C1452" s="417" t="s">
        <v>921</v>
      </c>
      <c r="D1452" s="432">
        <f>'[161]Civil-SOR'!$F$279</f>
        <v>1566</v>
      </c>
      <c r="E1452" s="432">
        <f>'[161]Civil-SOR'!$F$279</f>
        <v>1566</v>
      </c>
      <c r="F1452" s="432">
        <f>'[161]Civil-SOR'!$F$279</f>
        <v>1566</v>
      </c>
      <c r="G1452" s="416"/>
      <c r="H1452" s="416"/>
      <c r="I1452" s="416"/>
      <c r="J1452" s="515"/>
      <c r="K1452" s="516"/>
      <c r="L1452" s="516"/>
      <c r="M1452" s="504"/>
      <c r="N1452" s="504"/>
      <c r="O1452" s="504"/>
      <c r="P1452" s="504"/>
    </row>
    <row r="1453" spans="1:16" ht="13">
      <c r="A1453" s="426"/>
      <c r="B1453" s="426"/>
      <c r="C1453" s="417" t="s">
        <v>993</v>
      </c>
      <c r="D1453" s="459">
        <f>'[161]Civil-SOR'!$M$279</f>
        <v>2805</v>
      </c>
      <c r="E1453" s="459">
        <f>'[161]Civil-SOR'!$N$279</f>
        <v>2980</v>
      </c>
      <c r="F1453" s="459">
        <f>'[161]Civil-SOR'!$O$279</f>
        <v>3155</v>
      </c>
      <c r="G1453" s="416"/>
      <c r="H1453" s="416"/>
      <c r="I1453" s="416"/>
      <c r="J1453" s="515"/>
      <c r="K1453" s="516"/>
      <c r="L1453" s="516"/>
      <c r="M1453" s="504"/>
      <c r="N1453" s="504"/>
      <c r="O1453" s="504"/>
      <c r="P1453" s="504"/>
    </row>
    <row r="1454" spans="1:16" ht="13">
      <c r="A1454" s="426"/>
      <c r="B1454" s="426"/>
      <c r="C1454" s="417" t="str">
        <f>[161]Input!$C$47</f>
        <v>Add for MA @ 40%</v>
      </c>
      <c r="D1454" s="432">
        <f>D1453*[161]Input!$D$47</f>
        <v>1122</v>
      </c>
      <c r="E1454" s="432">
        <f>E1453*[161]Input!$D$47</f>
        <v>1192</v>
      </c>
      <c r="F1454" s="432">
        <f>F1453*[161]Input!$D$47</f>
        <v>1262</v>
      </c>
      <c r="G1454" s="416"/>
      <c r="H1454" s="416"/>
      <c r="I1454" s="416"/>
      <c r="J1454" s="515"/>
      <c r="K1454" s="516"/>
      <c r="L1454" s="516"/>
      <c r="M1454" s="504"/>
      <c r="N1454" s="504"/>
      <c r="O1454" s="504"/>
      <c r="P1454" s="504"/>
    </row>
    <row r="1455" spans="1:16" ht="25">
      <c r="A1455" s="426"/>
      <c r="B1455" s="426"/>
      <c r="C1455" s="417" t="s">
        <v>995</v>
      </c>
      <c r="D1455" s="432">
        <f t="shared" ref="D1455:D1456" si="334">E1442*1.5</f>
        <v>151.66935000000004</v>
      </c>
      <c r="E1455" s="432">
        <f t="shared" ref="E1455:E1456" si="335">E1442*1.6</f>
        <v>161.78064000000006</v>
      </c>
      <c r="F1455" s="432">
        <f t="shared" ref="F1455:F1456" si="336">E1442*1.7</f>
        <v>171.89193000000003</v>
      </c>
      <c r="G1455" s="416"/>
      <c r="H1455" s="416"/>
      <c r="I1455" s="416"/>
      <c r="J1455" s="515"/>
      <c r="K1455" s="516"/>
      <c r="L1455" s="516"/>
      <c r="M1455" s="504"/>
      <c r="N1455" s="504"/>
      <c r="O1455" s="504"/>
      <c r="P1455" s="504"/>
    </row>
    <row r="1456" spans="1:16" ht="13">
      <c r="A1456" s="426"/>
      <c r="B1456" s="426"/>
      <c r="C1456" s="417" t="s">
        <v>828</v>
      </c>
      <c r="D1456" s="432">
        <f t="shared" si="334"/>
        <v>144.34019999999998</v>
      </c>
      <c r="E1456" s="432">
        <f t="shared" si="335"/>
        <v>153.96288000000001</v>
      </c>
      <c r="F1456" s="432">
        <f t="shared" si="336"/>
        <v>163.58555999999999</v>
      </c>
      <c r="G1456" s="416"/>
      <c r="H1456" s="416"/>
      <c r="I1456" s="416"/>
      <c r="J1456" s="515"/>
      <c r="K1456" s="516"/>
      <c r="L1456" s="516"/>
      <c r="M1456" s="504"/>
      <c r="N1456" s="504"/>
      <c r="O1456" s="504"/>
      <c r="P1456" s="504"/>
    </row>
    <row r="1457" spans="1:16" ht="13">
      <c r="A1457" s="426"/>
      <c r="B1457" s="426"/>
      <c r="C1457" s="417" t="str">
        <f>[161]Input!$C$47</f>
        <v>Add for MA @ 40%</v>
      </c>
      <c r="D1457" s="432">
        <f>D1456*[161]Input!$D$47</f>
        <v>57.736079999999994</v>
      </c>
      <c r="E1457" s="432">
        <f>E1456*[161]Input!$D$47</f>
        <v>61.585152000000008</v>
      </c>
      <c r="F1457" s="432">
        <f>F1456*[161]Input!$D$47</f>
        <v>65.434224</v>
      </c>
      <c r="G1457" s="416"/>
      <c r="H1457" s="416"/>
      <c r="I1457" s="416"/>
      <c r="J1457" s="515"/>
      <c r="K1457" s="516"/>
      <c r="L1457" s="516"/>
      <c r="M1457" s="504"/>
      <c r="N1457" s="504"/>
      <c r="O1457" s="504"/>
      <c r="P1457" s="504"/>
    </row>
    <row r="1458" spans="1:16" ht="13">
      <c r="A1458" s="426"/>
      <c r="B1458" s="426"/>
      <c r="C1458" s="427" t="s">
        <v>904</v>
      </c>
      <c r="D1458" s="432">
        <f>SUM(D1451:D1457)</f>
        <v>12792.367390000003</v>
      </c>
      <c r="E1458" s="432">
        <f>SUM(E1451:E1457)</f>
        <v>13060.950432000001</v>
      </c>
      <c r="F1458" s="432">
        <f>SUM(F1451:F1457)</f>
        <v>13329.533474000002</v>
      </c>
      <c r="G1458" s="416"/>
      <c r="H1458" s="416"/>
      <c r="I1458" s="416"/>
      <c r="J1458" s="515"/>
      <c r="K1458" s="516"/>
      <c r="L1458" s="516"/>
      <c r="M1458" s="504"/>
      <c r="N1458" s="504"/>
      <c r="O1458" s="504"/>
      <c r="P1458" s="504"/>
    </row>
    <row r="1459" spans="1:16" ht="25">
      <c r="A1459" s="426"/>
      <c r="B1459" s="426"/>
      <c r="C1459" s="417" t="str">
        <f>[161]Input!$C$48</f>
        <v>Overheads &amp; Contractors Profit @ 13.615%</v>
      </c>
      <c r="D1459" s="406">
        <f>ROUND(D1458*[161]Input!$D$48,2)</f>
        <v>1741.68</v>
      </c>
      <c r="E1459" s="406">
        <f>ROUND(E1458*[161]Input!$D$48,2)</f>
        <v>1778.25</v>
      </c>
      <c r="F1459" s="406">
        <f>ROUND(F1458*[161]Input!$D$48,2)</f>
        <v>1814.82</v>
      </c>
      <c r="G1459" s="416"/>
      <c r="H1459" s="416"/>
      <c r="I1459" s="416"/>
      <c r="J1459" s="515"/>
      <c r="K1459" s="516"/>
      <c r="L1459" s="516"/>
      <c r="M1459" s="504"/>
      <c r="N1459" s="504"/>
      <c r="O1459" s="504"/>
      <c r="P1459" s="504"/>
    </row>
    <row r="1460" spans="1:16" ht="13">
      <c r="A1460" s="426"/>
      <c r="B1460" s="426"/>
      <c r="C1460" s="427" t="s">
        <v>724</v>
      </c>
      <c r="D1460" s="409">
        <f>SUM(D1458:D1459)</f>
        <v>14534.047390000003</v>
      </c>
      <c r="E1460" s="409">
        <f>SUM(E1458:E1459)</f>
        <v>14839.200432000001</v>
      </c>
      <c r="F1460" s="409">
        <f>SUM(F1458:F1459)</f>
        <v>15144.353474000001</v>
      </c>
      <c r="G1460" s="416"/>
      <c r="H1460" s="416"/>
      <c r="I1460" s="416"/>
      <c r="J1460" s="515"/>
      <c r="K1460" s="516"/>
      <c r="L1460" s="516"/>
      <c r="M1460" s="504"/>
      <c r="N1460" s="504"/>
      <c r="O1460" s="504"/>
      <c r="P1460" s="504"/>
    </row>
    <row r="1461" spans="1:16" ht="13">
      <c r="A1461" s="426"/>
      <c r="B1461" s="426"/>
      <c r="C1461" s="514" t="s">
        <v>726</v>
      </c>
      <c r="D1461" s="416">
        <f>ROUND(D1460,0)</f>
        <v>14534</v>
      </c>
      <c r="E1461" s="416">
        <f>ROUND(E1460,0)</f>
        <v>14839</v>
      </c>
      <c r="F1461" s="416">
        <f>ROUND(F1460,0)</f>
        <v>15144</v>
      </c>
      <c r="G1461" s="416"/>
      <c r="H1461" s="416"/>
      <c r="I1461" s="416"/>
      <c r="J1461" s="515"/>
      <c r="K1461" s="516"/>
      <c r="L1461" s="516"/>
      <c r="M1461" s="504"/>
      <c r="N1461" s="504"/>
      <c r="O1461" s="504"/>
      <c r="P1461" s="504"/>
    </row>
    <row r="1462" spans="1:16" ht="13">
      <c r="A1462" s="426"/>
      <c r="B1462" s="426"/>
      <c r="C1462" s="514"/>
      <c r="D1462" s="416"/>
      <c r="E1462" s="416"/>
      <c r="F1462" s="416"/>
      <c r="G1462" s="416"/>
      <c r="H1462" s="416"/>
      <c r="I1462" s="416"/>
      <c r="J1462" s="515"/>
      <c r="K1462" s="516"/>
      <c r="L1462" s="516"/>
      <c r="M1462" s="504"/>
      <c r="N1462" s="504"/>
      <c r="O1462" s="504"/>
      <c r="P1462" s="504"/>
    </row>
    <row r="1463" spans="1:16" ht="13">
      <c r="A1463" s="426"/>
      <c r="B1463" s="474"/>
      <c r="C1463" s="584" t="s">
        <v>1025</v>
      </c>
      <c r="D1463" s="416"/>
      <c r="E1463" s="416"/>
      <c r="F1463" s="416"/>
      <c r="G1463" s="416"/>
      <c r="H1463" s="416"/>
      <c r="I1463" s="414"/>
      <c r="J1463" s="544"/>
      <c r="K1463" s="545"/>
      <c r="L1463" s="546"/>
      <c r="M1463" s="498"/>
      <c r="N1463" s="498"/>
      <c r="O1463" s="498"/>
      <c r="P1463" s="498"/>
    </row>
    <row r="1464" spans="1:16" ht="13">
      <c r="A1464" s="426"/>
      <c r="B1464" s="426"/>
      <c r="C1464" s="550"/>
      <c r="D1464" s="416"/>
      <c r="E1464" s="416"/>
      <c r="F1464" s="416"/>
      <c r="G1464" s="416"/>
      <c r="H1464" s="416"/>
      <c r="I1464" s="414"/>
      <c r="J1464" s="544"/>
      <c r="K1464" s="545"/>
      <c r="L1464" s="546"/>
      <c r="M1464" s="498"/>
      <c r="N1464" s="498"/>
      <c r="O1464" s="498"/>
      <c r="P1464" s="498"/>
    </row>
    <row r="1465" spans="1:16" ht="26">
      <c r="A1465" s="426"/>
      <c r="B1465" s="474" t="s">
        <v>727</v>
      </c>
      <c r="C1465" s="451" t="s">
        <v>999</v>
      </c>
      <c r="D1465" s="426"/>
      <c r="E1465" s="426"/>
      <c r="F1465" s="426"/>
      <c r="G1465" s="410"/>
      <c r="H1465" s="474"/>
      <c r="I1465" s="434"/>
      <c r="J1465" s="578"/>
      <c r="K1465" s="585"/>
      <c r="L1465" s="579"/>
      <c r="M1465" s="498"/>
      <c r="N1465" s="498"/>
      <c r="O1465" s="498"/>
      <c r="P1465" s="498"/>
    </row>
    <row r="1466" spans="1:16" ht="13">
      <c r="A1466" s="426"/>
      <c r="B1466" s="474"/>
      <c r="C1466" s="417" t="s">
        <v>920</v>
      </c>
      <c r="D1466" s="491">
        <v>0.125</v>
      </c>
      <c r="E1466" s="426" t="s">
        <v>57</v>
      </c>
      <c r="F1466" s="409">
        <f>$I$1419</f>
        <v>6945.6217600000009</v>
      </c>
      <c r="G1466" s="410">
        <v>1</v>
      </c>
      <c r="H1466" s="426" t="s">
        <v>57</v>
      </c>
      <c r="I1466" s="414">
        <f>IF(G1466="",D1466*F1466,(D1466*F1466/G1466))</f>
        <v>868.20272000000011</v>
      </c>
      <c r="J1466" s="578"/>
      <c r="K1466" s="497"/>
      <c r="L1466" s="546"/>
      <c r="M1466" s="498"/>
      <c r="N1466" s="498"/>
      <c r="O1466" s="498"/>
      <c r="P1466" s="498"/>
    </row>
    <row r="1467" spans="1:16" ht="13">
      <c r="A1467" s="426"/>
      <c r="B1467" s="474"/>
      <c r="C1467" s="417"/>
      <c r="D1467" s="426"/>
      <c r="E1467" s="426"/>
      <c r="F1467" s="426"/>
      <c r="G1467" s="410"/>
      <c r="H1467" s="426"/>
      <c r="I1467" s="434"/>
      <c r="J1467" s="578"/>
      <c r="K1467" s="497"/>
      <c r="L1467" s="579"/>
      <c r="M1467" s="498"/>
      <c r="N1467" s="498"/>
      <c r="O1467" s="498"/>
      <c r="P1467" s="498"/>
    </row>
    <row r="1468" spans="1:16" ht="13">
      <c r="A1468" s="426"/>
      <c r="B1468" s="474" t="s">
        <v>951</v>
      </c>
      <c r="C1468" s="451" t="s">
        <v>952</v>
      </c>
      <c r="D1468" s="426"/>
      <c r="E1468" s="426"/>
      <c r="F1468" s="426"/>
      <c r="G1468" s="410"/>
      <c r="H1468" s="426"/>
      <c r="I1468" s="434"/>
      <c r="J1468" s="578"/>
      <c r="K1468" s="497"/>
      <c r="L1468" s="579"/>
      <c r="M1468" s="498"/>
      <c r="N1468" s="498"/>
      <c r="O1468" s="498"/>
      <c r="P1468" s="498"/>
    </row>
    <row r="1469" spans="1:16" ht="13">
      <c r="A1469" s="426"/>
      <c r="B1469" s="474"/>
      <c r="C1469" s="427" t="s">
        <v>953</v>
      </c>
      <c r="D1469" s="414" t="s">
        <v>959</v>
      </c>
      <c r="E1469" s="474" t="s">
        <v>943</v>
      </c>
      <c r="F1469" s="492" t="s">
        <v>944</v>
      </c>
      <c r="G1469" s="492" t="s">
        <v>945</v>
      </c>
      <c r="H1469" s="492" t="s">
        <v>946</v>
      </c>
      <c r="I1469" s="492" t="s">
        <v>947</v>
      </c>
      <c r="J1469" s="580" t="s">
        <v>948</v>
      </c>
      <c r="K1469" s="564" t="s">
        <v>949</v>
      </c>
      <c r="L1469" s="564" t="s">
        <v>950</v>
      </c>
      <c r="M1469" s="498"/>
      <c r="N1469" s="498"/>
      <c r="O1469" s="498"/>
      <c r="P1469" s="498"/>
    </row>
    <row r="1470" spans="1:16">
      <c r="A1470" s="426"/>
      <c r="B1470" s="426"/>
      <c r="C1470" s="417" t="s">
        <v>954</v>
      </c>
      <c r="D1470" s="409">
        <f t="shared" ref="D1470:L1470" si="337">$I$1466</f>
        <v>868.20272000000011</v>
      </c>
      <c r="E1470" s="409">
        <f t="shared" si="337"/>
        <v>868.20272000000011</v>
      </c>
      <c r="F1470" s="409">
        <f t="shared" si="337"/>
        <v>868.20272000000011</v>
      </c>
      <c r="G1470" s="409">
        <f t="shared" si="337"/>
        <v>868.20272000000011</v>
      </c>
      <c r="H1470" s="409">
        <f t="shared" si="337"/>
        <v>868.20272000000011</v>
      </c>
      <c r="I1470" s="409">
        <f t="shared" si="337"/>
        <v>868.20272000000011</v>
      </c>
      <c r="J1470" s="508">
        <f t="shared" si="337"/>
        <v>868.20272000000011</v>
      </c>
      <c r="K1470" s="509">
        <f t="shared" si="337"/>
        <v>868.20272000000011</v>
      </c>
      <c r="L1470" s="509">
        <f t="shared" si="337"/>
        <v>868.20272000000011</v>
      </c>
      <c r="M1470" s="501"/>
      <c r="N1470" s="501"/>
      <c r="O1470" s="501"/>
      <c r="P1470" s="501"/>
    </row>
    <row r="1471" spans="1:16">
      <c r="A1471" s="426"/>
      <c r="B1471" s="426"/>
      <c r="C1471" s="417" t="s">
        <v>921</v>
      </c>
      <c r="D1471" s="409">
        <f>'[161]Civil-SOR'!$F$280</f>
        <v>177</v>
      </c>
      <c r="E1471" s="409">
        <f>'[161]Civil-SOR'!$F$280</f>
        <v>177</v>
      </c>
      <c r="F1471" s="409">
        <f>'[161]Civil-SOR'!$F$280</f>
        <v>177</v>
      </c>
      <c r="G1471" s="409">
        <f>'[161]Civil-SOR'!$F$280</f>
        <v>177</v>
      </c>
      <c r="H1471" s="409">
        <f>'[161]Civil-SOR'!$F$280</f>
        <v>177</v>
      </c>
      <c r="I1471" s="409">
        <f>'[161]Civil-SOR'!$F$280</f>
        <v>177</v>
      </c>
      <c r="J1471" s="508">
        <f>'[161]Civil-SOR'!$F$280</f>
        <v>177</v>
      </c>
      <c r="K1471" s="509">
        <f>'[161]Civil-SOR'!$F$280</f>
        <v>177</v>
      </c>
      <c r="L1471" s="509">
        <f>'[161]Civil-SOR'!$F$280</f>
        <v>177</v>
      </c>
      <c r="M1471" s="501"/>
      <c r="N1471" s="501"/>
      <c r="O1471" s="501"/>
      <c r="P1471" s="501"/>
    </row>
    <row r="1472" spans="1:16">
      <c r="A1472" s="426"/>
      <c r="B1472" s="426"/>
      <c r="C1472" s="417" t="s">
        <v>1001</v>
      </c>
      <c r="D1472" s="408">
        <f>'[161]Civil-SOR'!$G$280</f>
        <v>199</v>
      </c>
      <c r="E1472" s="408">
        <f>'[161]Civil-SOR'!$H$280</f>
        <v>219</v>
      </c>
      <c r="F1472" s="408">
        <f>'[161]Civil-SOR'!$I$280</f>
        <v>239</v>
      </c>
      <c r="G1472" s="408">
        <f>'[161]Civil-SOR'!$J$280</f>
        <v>259</v>
      </c>
      <c r="H1472" s="408">
        <f>'[161]Civil-SOR'!$K$280</f>
        <v>279</v>
      </c>
      <c r="I1472" s="408">
        <f>'[161]Civil-SOR'!$L$280</f>
        <v>299</v>
      </c>
      <c r="J1472" s="510">
        <f>'[161]Civil-SOR'!$M$280</f>
        <v>318</v>
      </c>
      <c r="K1472" s="511">
        <f>'[161]Civil-SOR'!$N$280</f>
        <v>338</v>
      </c>
      <c r="L1472" s="511">
        <f>'[161]Civil-SOR'!$O$280</f>
        <v>358</v>
      </c>
      <c r="M1472" s="501"/>
      <c r="N1472" s="501"/>
      <c r="O1472" s="501"/>
      <c r="P1472" s="501"/>
    </row>
    <row r="1473" spans="1:16">
      <c r="A1473" s="426"/>
      <c r="B1473" s="426"/>
      <c r="C1473" s="417" t="str">
        <f>[161]Input!$C$47</f>
        <v>Add for MA @ 40%</v>
      </c>
      <c r="D1473" s="409">
        <f>D1472*[161]Input!$D$47</f>
        <v>79.600000000000009</v>
      </c>
      <c r="E1473" s="409">
        <f>E1472*[161]Input!$D$47</f>
        <v>87.600000000000009</v>
      </c>
      <c r="F1473" s="409">
        <f>F1472*[161]Input!$D$47</f>
        <v>95.600000000000009</v>
      </c>
      <c r="G1473" s="409">
        <f>G1472*[161]Input!$D$47</f>
        <v>103.60000000000001</v>
      </c>
      <c r="H1473" s="409">
        <f>H1472*[161]Input!$D$47</f>
        <v>111.60000000000001</v>
      </c>
      <c r="I1473" s="409">
        <f>I1472*[161]Input!$D$47</f>
        <v>119.60000000000001</v>
      </c>
      <c r="J1473" s="508">
        <f>J1472*[161]Input!$D$47</f>
        <v>127.2</v>
      </c>
      <c r="K1473" s="509">
        <f>K1472*[161]Input!$D$47</f>
        <v>135.20000000000002</v>
      </c>
      <c r="L1473" s="509">
        <f>L1472*[161]Input!$D$47</f>
        <v>143.20000000000002</v>
      </c>
      <c r="M1473" s="501"/>
      <c r="N1473" s="501"/>
      <c r="O1473" s="501"/>
      <c r="P1473" s="501"/>
    </row>
    <row r="1474" spans="1:16">
      <c r="A1474" s="426"/>
      <c r="B1474" s="426"/>
      <c r="C1474" s="417" t="s">
        <v>979</v>
      </c>
      <c r="D1474" s="409">
        <v>0</v>
      </c>
      <c r="E1474" s="409">
        <f>$F$1411*D1466*10%</f>
        <v>21.400625000000002</v>
      </c>
      <c r="F1474" s="409">
        <f>$F$1411*D1466*20%</f>
        <v>42.801250000000003</v>
      </c>
      <c r="G1474" s="409">
        <f>$F$1411*D1466*30%</f>
        <v>64.201875000000001</v>
      </c>
      <c r="H1474" s="409">
        <f>$F$1411*$D$1466*40%</f>
        <v>85.602500000000006</v>
      </c>
      <c r="I1474" s="409">
        <f>$F$1411*$D$1466*50%</f>
        <v>107.003125</v>
      </c>
      <c r="J1474" s="508">
        <f>$F$1411*D1466*60%</f>
        <v>128.40375</v>
      </c>
      <c r="K1474" s="509">
        <f>$F$1411*$D$1466*70%</f>
        <v>149.80437499999999</v>
      </c>
      <c r="L1474" s="509">
        <f>$F$1411*$D$1466*80%</f>
        <v>171.20500000000001</v>
      </c>
      <c r="M1474" s="501"/>
      <c r="N1474" s="501"/>
      <c r="O1474" s="501"/>
      <c r="P1474" s="501"/>
    </row>
    <row r="1475" spans="1:16">
      <c r="A1475" s="426"/>
      <c r="B1475" s="426"/>
      <c r="C1475" s="417" t="str">
        <f>[161]Input!$C$47</f>
        <v>Add for MA @ 40%</v>
      </c>
      <c r="D1475" s="409">
        <f>D1474*[161]Input!D88</f>
        <v>0</v>
      </c>
      <c r="E1475" s="409">
        <f>E1474*[161]Input!$D$47</f>
        <v>8.5602500000000017</v>
      </c>
      <c r="F1475" s="409">
        <f>F1474*[161]Input!$D$47</f>
        <v>17.120500000000003</v>
      </c>
      <c r="G1475" s="409">
        <f>G1474*[161]Input!$D$47</f>
        <v>25.680750000000003</v>
      </c>
      <c r="H1475" s="409">
        <f>H1474*[161]Input!$D$47</f>
        <v>34.241000000000007</v>
      </c>
      <c r="I1475" s="409">
        <f>I1474*[161]Input!$D$47</f>
        <v>42.801250000000003</v>
      </c>
      <c r="J1475" s="508">
        <f>J1474*[161]Input!$D$47</f>
        <v>51.361500000000007</v>
      </c>
      <c r="K1475" s="509">
        <f>K1474*[161]Input!$D$47</f>
        <v>59.921750000000003</v>
      </c>
      <c r="L1475" s="509">
        <f>L1474*[161]Input!$D$47</f>
        <v>68.482000000000014</v>
      </c>
      <c r="M1475" s="501"/>
      <c r="N1475" s="501"/>
      <c r="O1475" s="501"/>
      <c r="P1475" s="501"/>
    </row>
    <row r="1476" spans="1:16" ht="13">
      <c r="A1476" s="426"/>
      <c r="B1476" s="426"/>
      <c r="C1476" s="427" t="s">
        <v>742</v>
      </c>
      <c r="D1476" s="409">
        <f t="shared" ref="D1476:L1476" si="338">SUM(D1470:D1475)</f>
        <v>1323.8027200000001</v>
      </c>
      <c r="E1476" s="409">
        <f t="shared" si="338"/>
        <v>1381.7635950000001</v>
      </c>
      <c r="F1476" s="409">
        <f t="shared" si="338"/>
        <v>1439.7244700000001</v>
      </c>
      <c r="G1476" s="409">
        <f t="shared" si="338"/>
        <v>1497.6853450000001</v>
      </c>
      <c r="H1476" s="409">
        <f t="shared" si="338"/>
        <v>1555.6462200000001</v>
      </c>
      <c r="I1476" s="409">
        <f t="shared" si="338"/>
        <v>1613.6070950000001</v>
      </c>
      <c r="J1476" s="512">
        <f t="shared" si="338"/>
        <v>1670.1679700000002</v>
      </c>
      <c r="K1476" s="513">
        <f t="shared" si="338"/>
        <v>1728.1288450000002</v>
      </c>
      <c r="L1476" s="513">
        <f t="shared" si="338"/>
        <v>1786.0897200000002</v>
      </c>
      <c r="M1476" s="504"/>
      <c r="N1476" s="504"/>
      <c r="O1476" s="504"/>
      <c r="P1476" s="504"/>
    </row>
    <row r="1477" spans="1:16" ht="25">
      <c r="A1477" s="426"/>
      <c r="B1477" s="426"/>
      <c r="C1477" s="417" t="str">
        <f>[161]Input!$C$48</f>
        <v>Overheads &amp; Contractors Profit @ 13.615%</v>
      </c>
      <c r="D1477" s="426">
        <f>ROUND(D1476*[161]Input!$D$48,2)</f>
        <v>180.24</v>
      </c>
      <c r="E1477" s="426">
        <f>ROUND(E1476*[161]Input!$D$48,2)</f>
        <v>188.13</v>
      </c>
      <c r="F1477" s="426">
        <f>ROUND(F1476*[161]Input!$D$48,2)</f>
        <v>196.02</v>
      </c>
      <c r="G1477" s="426">
        <f>ROUND(G1476*[161]Input!$D$48,2)</f>
        <v>203.91</v>
      </c>
      <c r="H1477" s="426">
        <f>ROUND(H1476*[161]Input!$D$48,2)</f>
        <v>211.8</v>
      </c>
      <c r="I1477" s="426">
        <f>ROUND(I1476*[161]Input!$D$48,2)</f>
        <v>219.69</v>
      </c>
      <c r="J1477" s="547">
        <f>ROUND(J1476*[161]Input!$D$48,2)</f>
        <v>227.39</v>
      </c>
      <c r="K1477" s="548">
        <f>ROUND(K1476*[161]Input!$D$48,2)</f>
        <v>235.28</v>
      </c>
      <c r="L1477" s="548">
        <f>ROUND(L1476*[161]Input!$D$48,2)</f>
        <v>243.18</v>
      </c>
      <c r="M1477" s="501"/>
      <c r="N1477" s="501"/>
      <c r="O1477" s="501"/>
      <c r="P1477" s="501"/>
    </row>
    <row r="1478" spans="1:16" ht="13">
      <c r="A1478" s="426"/>
      <c r="B1478" s="426"/>
      <c r="C1478" s="473" t="s">
        <v>742</v>
      </c>
      <c r="D1478" s="409">
        <f t="shared" ref="D1478:L1478" si="339">SUM(D1476:D1477)</f>
        <v>1504.0427200000001</v>
      </c>
      <c r="E1478" s="409">
        <f t="shared" si="339"/>
        <v>1569.893595</v>
      </c>
      <c r="F1478" s="409">
        <f t="shared" si="339"/>
        <v>1635.7444700000001</v>
      </c>
      <c r="G1478" s="409">
        <f t="shared" si="339"/>
        <v>1701.5953450000002</v>
      </c>
      <c r="H1478" s="409">
        <f t="shared" si="339"/>
        <v>1767.44622</v>
      </c>
      <c r="I1478" s="409">
        <f t="shared" si="339"/>
        <v>1833.2970950000001</v>
      </c>
      <c r="J1478" s="586">
        <f t="shared" si="339"/>
        <v>1897.5579700000003</v>
      </c>
      <c r="K1478" s="587">
        <f t="shared" si="339"/>
        <v>1963.4088450000002</v>
      </c>
      <c r="L1478" s="587">
        <f t="shared" si="339"/>
        <v>2029.2697200000002</v>
      </c>
      <c r="M1478" s="498"/>
      <c r="N1478" s="498"/>
      <c r="O1478" s="498"/>
      <c r="P1478" s="498"/>
    </row>
    <row r="1479" spans="1:16" ht="13">
      <c r="A1479" s="426"/>
      <c r="B1479" s="426"/>
      <c r="C1479" s="514" t="s">
        <v>726</v>
      </c>
      <c r="D1479" s="416">
        <f t="shared" ref="D1479:L1479" si="340">ROUND(D1478,0)</f>
        <v>1504</v>
      </c>
      <c r="E1479" s="416">
        <f t="shared" si="340"/>
        <v>1570</v>
      </c>
      <c r="F1479" s="416">
        <f t="shared" si="340"/>
        <v>1636</v>
      </c>
      <c r="G1479" s="416">
        <f t="shared" si="340"/>
        <v>1702</v>
      </c>
      <c r="H1479" s="416">
        <f t="shared" si="340"/>
        <v>1767</v>
      </c>
      <c r="I1479" s="416">
        <f t="shared" si="340"/>
        <v>1833</v>
      </c>
      <c r="J1479" s="515">
        <f t="shared" si="340"/>
        <v>1898</v>
      </c>
      <c r="K1479" s="516">
        <f t="shared" si="340"/>
        <v>1963</v>
      </c>
      <c r="L1479" s="516">
        <f t="shared" si="340"/>
        <v>2029</v>
      </c>
      <c r="M1479" s="519"/>
      <c r="N1479" s="519"/>
      <c r="O1479" s="519"/>
      <c r="P1479" s="519"/>
    </row>
    <row r="1480" spans="1:16" ht="13">
      <c r="A1480" s="426"/>
      <c r="B1480" s="426"/>
      <c r="C1480" s="550"/>
      <c r="D1480" s="416"/>
      <c r="E1480" s="416"/>
      <c r="F1480" s="416"/>
      <c r="G1480" s="416"/>
      <c r="H1480" s="416"/>
      <c r="I1480" s="414"/>
      <c r="J1480" s="544"/>
      <c r="K1480" s="545"/>
      <c r="L1480" s="546"/>
      <c r="M1480" s="498"/>
      <c r="N1480" s="498"/>
      <c r="O1480" s="498"/>
      <c r="P1480" s="498"/>
    </row>
    <row r="1481" spans="1:16" ht="13">
      <c r="A1481" s="426"/>
      <c r="B1481" s="474" t="s">
        <v>957</v>
      </c>
      <c r="C1481" s="558" t="s">
        <v>958</v>
      </c>
      <c r="D1481" s="426"/>
      <c r="E1481" s="426"/>
      <c r="F1481" s="426"/>
      <c r="G1481" s="410"/>
      <c r="H1481" s="426"/>
      <c r="I1481" s="434"/>
      <c r="J1481" s="578"/>
      <c r="K1481" s="497"/>
      <c r="L1481" s="579"/>
      <c r="M1481" s="498"/>
      <c r="N1481" s="498"/>
      <c r="O1481" s="498"/>
      <c r="P1481" s="498"/>
    </row>
    <row r="1482" spans="1:16" ht="13">
      <c r="A1482" s="406"/>
      <c r="B1482" s="406"/>
      <c r="C1482" s="427" t="s">
        <v>953</v>
      </c>
      <c r="D1482" s="461" t="s">
        <v>959</v>
      </c>
      <c r="E1482" s="407" t="s">
        <v>943</v>
      </c>
      <c r="F1482" s="436" t="s">
        <v>944</v>
      </c>
      <c r="G1482" s="436" t="s">
        <v>945</v>
      </c>
      <c r="H1482" s="436" t="s">
        <v>946</v>
      </c>
      <c r="I1482" s="436" t="s">
        <v>947</v>
      </c>
      <c r="J1482" s="582"/>
      <c r="K1482" s="562"/>
      <c r="L1482" s="562"/>
      <c r="M1482" s="583"/>
      <c r="N1482" s="583"/>
      <c r="O1482" s="583"/>
      <c r="P1482" s="583"/>
    </row>
    <row r="1483" spans="1:16">
      <c r="A1483" s="406"/>
      <c r="B1483" s="406"/>
      <c r="C1483" s="417" t="s">
        <v>954</v>
      </c>
      <c r="D1483" s="432">
        <f t="shared" ref="D1483:I1483" si="341">$I$1466</f>
        <v>868.20272000000011</v>
      </c>
      <c r="E1483" s="432">
        <f t="shared" si="341"/>
        <v>868.20272000000011</v>
      </c>
      <c r="F1483" s="432">
        <f t="shared" si="341"/>
        <v>868.20272000000011</v>
      </c>
      <c r="G1483" s="432">
        <f t="shared" si="341"/>
        <v>868.20272000000011</v>
      </c>
      <c r="H1483" s="432">
        <f t="shared" si="341"/>
        <v>868.20272000000011</v>
      </c>
      <c r="I1483" s="432">
        <f t="shared" si="341"/>
        <v>868.20272000000011</v>
      </c>
      <c r="J1483" s="582"/>
      <c r="K1483" s="562"/>
      <c r="L1483" s="562"/>
      <c r="M1483" s="583"/>
      <c r="N1483" s="583"/>
      <c r="O1483" s="583"/>
      <c r="P1483" s="583"/>
    </row>
    <row r="1484" spans="1:16">
      <c r="A1484" s="406"/>
      <c r="B1484" s="406"/>
      <c r="C1484" s="417" t="s">
        <v>921</v>
      </c>
      <c r="D1484" s="432">
        <f>'[161]Civil-SOR'!$F$280</f>
        <v>177</v>
      </c>
      <c r="E1484" s="432">
        <f>'[161]Civil-SOR'!$F$280</f>
        <v>177</v>
      </c>
      <c r="F1484" s="432">
        <f>'[161]Civil-SOR'!$F$280</f>
        <v>177</v>
      </c>
      <c r="G1484" s="432">
        <f>'[161]Civil-SOR'!$F$280</f>
        <v>177</v>
      </c>
      <c r="H1484" s="432">
        <f>'[161]Civil-SOR'!$F$280</f>
        <v>177</v>
      </c>
      <c r="I1484" s="432">
        <f>'[161]Civil-SOR'!$F$280</f>
        <v>177</v>
      </c>
      <c r="J1484" s="582"/>
      <c r="K1484" s="562"/>
      <c r="L1484" s="562"/>
      <c r="M1484" s="583"/>
      <c r="N1484" s="583"/>
      <c r="O1484" s="583"/>
      <c r="P1484" s="583"/>
    </row>
    <row r="1485" spans="1:16">
      <c r="A1485" s="406"/>
      <c r="B1485" s="406"/>
      <c r="C1485" s="417" t="s">
        <v>1001</v>
      </c>
      <c r="D1485" s="459">
        <f>'[161]Civil-SOR'!$G$280</f>
        <v>199</v>
      </c>
      <c r="E1485" s="459">
        <f>'[161]Civil-SOR'!$H$280</f>
        <v>219</v>
      </c>
      <c r="F1485" s="459">
        <f>'[161]Civil-SOR'!$I$280</f>
        <v>239</v>
      </c>
      <c r="G1485" s="459">
        <f>'[161]Civil-SOR'!$J$280</f>
        <v>259</v>
      </c>
      <c r="H1485" s="459">
        <f>'[161]Civil-SOR'!$K$280</f>
        <v>279</v>
      </c>
      <c r="I1485" s="459">
        <f>'[161]Civil-SOR'!$L$280</f>
        <v>299</v>
      </c>
      <c r="J1485" s="582"/>
      <c r="K1485" s="562"/>
      <c r="L1485" s="562"/>
      <c r="M1485" s="583"/>
      <c r="N1485" s="583"/>
      <c r="O1485" s="583"/>
      <c r="P1485" s="583"/>
    </row>
    <row r="1486" spans="1:16">
      <c r="A1486" s="406"/>
      <c r="B1486" s="406"/>
      <c r="C1486" s="417" t="str">
        <f>[161]Input!$C$47</f>
        <v>Add for MA @ 40%</v>
      </c>
      <c r="D1486" s="432">
        <f>D1485*[161]Input!$D$47</f>
        <v>79.600000000000009</v>
      </c>
      <c r="E1486" s="432">
        <f>E1485*[161]Input!$D$47</f>
        <v>87.600000000000009</v>
      </c>
      <c r="F1486" s="432">
        <f>F1485*[161]Input!$D$47</f>
        <v>95.600000000000009</v>
      </c>
      <c r="G1486" s="432">
        <f>G1485*[161]Input!$D$47</f>
        <v>103.60000000000001</v>
      </c>
      <c r="H1486" s="432">
        <f>H1485*[161]Input!$D$47</f>
        <v>111.60000000000001</v>
      </c>
      <c r="I1486" s="432">
        <f>I1485*[161]Input!$D$47</f>
        <v>119.60000000000001</v>
      </c>
      <c r="J1486" s="582"/>
      <c r="K1486" s="562"/>
      <c r="L1486" s="562"/>
      <c r="M1486" s="583"/>
      <c r="N1486" s="583"/>
      <c r="O1486" s="583"/>
      <c r="P1486" s="583"/>
    </row>
    <row r="1487" spans="1:16" ht="25">
      <c r="A1487" s="406"/>
      <c r="B1487" s="406"/>
      <c r="C1487" s="417" t="s">
        <v>995</v>
      </c>
      <c r="D1487" s="432">
        <v>0</v>
      </c>
      <c r="E1487" s="432">
        <f>0.267*$D$1466*'[161]Civil-SOR'!$G$334</f>
        <v>12.639112500000003</v>
      </c>
      <c r="F1487" s="432">
        <f t="shared" ref="F1487:F1488" si="342">E1487*1.1</f>
        <v>13.903023750000004</v>
      </c>
      <c r="G1487" s="432">
        <f t="shared" ref="G1487:G1488" si="343">E1487*1.2</f>
        <v>15.166935000000002</v>
      </c>
      <c r="H1487" s="432">
        <f t="shared" ref="H1487:H1488" si="344">E1487*1.3</f>
        <v>16.430846250000005</v>
      </c>
      <c r="I1487" s="432">
        <f t="shared" ref="I1487:I1488" si="345">E1487*1.4</f>
        <v>17.694757500000001</v>
      </c>
      <c r="J1487" s="582"/>
      <c r="K1487" s="562"/>
      <c r="L1487" s="562"/>
      <c r="M1487" s="583"/>
      <c r="N1487" s="583"/>
      <c r="O1487" s="583"/>
      <c r="P1487" s="583"/>
    </row>
    <row r="1488" spans="1:16">
      <c r="A1488" s="406"/>
      <c r="B1488" s="406"/>
      <c r="C1488" s="417" t="s">
        <v>828</v>
      </c>
      <c r="D1488" s="432"/>
      <c r="E1488" s="432">
        <f>0.267*$D$1466*'[161]Civil-SOR'!$J$334</f>
        <v>12.02835</v>
      </c>
      <c r="F1488" s="432">
        <f t="shared" si="342"/>
        <v>13.231185</v>
      </c>
      <c r="G1488" s="432">
        <f t="shared" si="343"/>
        <v>14.434019999999999</v>
      </c>
      <c r="H1488" s="432">
        <f t="shared" si="344"/>
        <v>15.636855000000001</v>
      </c>
      <c r="I1488" s="432">
        <f t="shared" si="345"/>
        <v>16.839689999999997</v>
      </c>
      <c r="J1488" s="582"/>
      <c r="K1488" s="562"/>
      <c r="L1488" s="562"/>
      <c r="M1488" s="583"/>
      <c r="N1488" s="583"/>
      <c r="O1488" s="583"/>
      <c r="P1488" s="583"/>
    </row>
    <row r="1489" spans="1:16">
      <c r="A1489" s="406"/>
      <c r="B1489" s="406"/>
      <c r="C1489" s="417" t="str">
        <f>[161]Input!$C$47</f>
        <v>Add for MA @ 40%</v>
      </c>
      <c r="D1489" s="432">
        <f>D1487*[161]Input!D101</f>
        <v>0</v>
      </c>
      <c r="E1489" s="432">
        <f>E1488*[161]Input!$D$47</f>
        <v>4.8113400000000004</v>
      </c>
      <c r="F1489" s="432">
        <f>F1488*[161]Input!$D$47</f>
        <v>5.2924740000000003</v>
      </c>
      <c r="G1489" s="432">
        <f>G1488*[161]Input!$D$47</f>
        <v>5.7736079999999994</v>
      </c>
      <c r="H1489" s="432">
        <f>H1488*[161]Input!$D$47</f>
        <v>6.2547420000000002</v>
      </c>
      <c r="I1489" s="432">
        <f>I1488*[161]Input!$D$47</f>
        <v>6.7358759999999993</v>
      </c>
      <c r="J1489" s="582"/>
      <c r="K1489" s="562"/>
      <c r="L1489" s="562"/>
      <c r="M1489" s="583"/>
      <c r="N1489" s="583"/>
      <c r="O1489" s="583"/>
      <c r="P1489" s="583"/>
    </row>
    <row r="1490" spans="1:16" ht="13">
      <c r="A1490" s="406"/>
      <c r="B1490" s="406"/>
      <c r="C1490" s="427" t="s">
        <v>742</v>
      </c>
      <c r="D1490" s="432">
        <f t="shared" ref="D1490:I1490" si="346">SUM(D1483:D1489)</f>
        <v>1323.8027200000001</v>
      </c>
      <c r="E1490" s="432">
        <f t="shared" si="346"/>
        <v>1381.2815225000002</v>
      </c>
      <c r="F1490" s="432">
        <f t="shared" si="346"/>
        <v>1412.2294027500004</v>
      </c>
      <c r="G1490" s="432">
        <f t="shared" si="346"/>
        <v>1443.177283</v>
      </c>
      <c r="H1490" s="432">
        <f t="shared" si="346"/>
        <v>1474.1251632500002</v>
      </c>
      <c r="I1490" s="432">
        <f t="shared" si="346"/>
        <v>1505.0730435</v>
      </c>
      <c r="J1490" s="582"/>
      <c r="K1490" s="562"/>
      <c r="L1490" s="562"/>
      <c r="M1490" s="583"/>
      <c r="N1490" s="583"/>
      <c r="O1490" s="583"/>
      <c r="P1490" s="583"/>
    </row>
    <row r="1491" spans="1:16" ht="25">
      <c r="A1491" s="406"/>
      <c r="B1491" s="406"/>
      <c r="C1491" s="417" t="str">
        <f>[161]Input!$C$48</f>
        <v>Overheads &amp; Contractors Profit @ 13.615%</v>
      </c>
      <c r="D1491" s="406">
        <f>ROUND(D1490*[161]Input!$D$48,2)</f>
        <v>180.24</v>
      </c>
      <c r="E1491" s="406">
        <f>ROUND(E1490*[161]Input!$D$48,2)</f>
        <v>188.06</v>
      </c>
      <c r="F1491" s="406">
        <f>ROUND(F1490*[161]Input!$D$48,2)</f>
        <v>192.28</v>
      </c>
      <c r="G1491" s="406">
        <f>ROUND(G1490*[161]Input!$D$48,2)</f>
        <v>196.49</v>
      </c>
      <c r="H1491" s="406">
        <f>ROUND(H1490*[161]Input!$D$48,2)</f>
        <v>200.7</v>
      </c>
      <c r="I1491" s="406">
        <f>ROUND(I1490*[161]Input!$D$48,2)</f>
        <v>204.92</v>
      </c>
      <c r="J1491" s="582"/>
      <c r="K1491" s="562"/>
      <c r="L1491" s="562"/>
      <c r="M1491" s="583"/>
      <c r="N1491" s="583"/>
      <c r="O1491" s="583"/>
      <c r="P1491" s="583"/>
    </row>
    <row r="1492" spans="1:16" ht="13">
      <c r="A1492" s="426"/>
      <c r="B1492" s="426"/>
      <c r="C1492" s="427" t="s">
        <v>742</v>
      </c>
      <c r="D1492" s="409">
        <f t="shared" ref="D1492:I1492" si="347">SUM(D1490:D1491)</f>
        <v>1504.0427200000001</v>
      </c>
      <c r="E1492" s="409">
        <f t="shared" si="347"/>
        <v>1569.3415225000001</v>
      </c>
      <c r="F1492" s="409">
        <f t="shared" si="347"/>
        <v>1604.5094027500004</v>
      </c>
      <c r="G1492" s="409">
        <f t="shared" si="347"/>
        <v>1639.667283</v>
      </c>
      <c r="H1492" s="409">
        <f t="shared" si="347"/>
        <v>1674.8251632500003</v>
      </c>
      <c r="I1492" s="409">
        <f t="shared" si="347"/>
        <v>1709.9930435000001</v>
      </c>
      <c r="J1492" s="502"/>
      <c r="K1492" s="503"/>
      <c r="L1492" s="503"/>
      <c r="M1492" s="504"/>
      <c r="N1492" s="504"/>
      <c r="O1492" s="504"/>
      <c r="P1492" s="504"/>
    </row>
    <row r="1493" spans="1:16" ht="13">
      <c r="A1493" s="426"/>
      <c r="B1493" s="426"/>
      <c r="C1493" s="514" t="s">
        <v>726</v>
      </c>
      <c r="D1493" s="416">
        <f t="shared" ref="D1493:I1493" si="348">ROUND(D1492,0)</f>
        <v>1504</v>
      </c>
      <c r="E1493" s="416">
        <f t="shared" si="348"/>
        <v>1569</v>
      </c>
      <c r="F1493" s="416">
        <f t="shared" si="348"/>
        <v>1605</v>
      </c>
      <c r="G1493" s="416">
        <f t="shared" si="348"/>
        <v>1640</v>
      </c>
      <c r="H1493" s="416">
        <f t="shared" si="348"/>
        <v>1675</v>
      </c>
      <c r="I1493" s="416">
        <f t="shared" si="348"/>
        <v>1710</v>
      </c>
      <c r="J1493" s="502"/>
      <c r="K1493" s="503"/>
      <c r="L1493" s="503"/>
      <c r="M1493" s="504"/>
      <c r="N1493" s="504"/>
      <c r="O1493" s="504"/>
      <c r="P1493" s="504"/>
    </row>
    <row r="1494" spans="1:16" ht="13">
      <c r="A1494" s="426"/>
      <c r="B1494" s="426"/>
      <c r="C1494" s="550"/>
      <c r="D1494" s="416"/>
      <c r="E1494" s="416"/>
      <c r="F1494" s="416"/>
      <c r="G1494" s="416"/>
      <c r="H1494" s="416"/>
      <c r="I1494" s="414"/>
      <c r="J1494" s="544"/>
      <c r="K1494" s="545"/>
      <c r="L1494" s="546"/>
      <c r="M1494" s="498"/>
      <c r="N1494" s="498"/>
      <c r="O1494" s="498"/>
      <c r="P1494" s="498"/>
    </row>
    <row r="1495" spans="1:16" ht="13">
      <c r="A1495" s="426"/>
      <c r="B1495" s="426"/>
      <c r="C1495" s="427" t="s">
        <v>953</v>
      </c>
      <c r="D1495" s="492" t="s">
        <v>948</v>
      </c>
      <c r="E1495" s="492" t="s">
        <v>949</v>
      </c>
      <c r="F1495" s="492" t="s">
        <v>950</v>
      </c>
      <c r="G1495" s="416"/>
      <c r="H1495" s="416"/>
      <c r="I1495" s="414"/>
      <c r="J1495" s="544"/>
      <c r="K1495" s="545"/>
      <c r="L1495" s="546"/>
      <c r="M1495" s="498"/>
      <c r="N1495" s="498"/>
      <c r="O1495" s="498"/>
      <c r="P1495" s="498"/>
    </row>
    <row r="1496" spans="1:16" ht="13">
      <c r="A1496" s="426"/>
      <c r="B1496" s="426"/>
      <c r="C1496" s="417" t="s">
        <v>954</v>
      </c>
      <c r="D1496" s="432">
        <f>$I$1466</f>
        <v>868.20272000000011</v>
      </c>
      <c r="E1496" s="432">
        <f>$I$1466</f>
        <v>868.20272000000011</v>
      </c>
      <c r="F1496" s="432">
        <f>$I$1466</f>
        <v>868.20272000000011</v>
      </c>
      <c r="G1496" s="416"/>
      <c r="H1496" s="416"/>
      <c r="I1496" s="414"/>
      <c r="J1496" s="544"/>
      <c r="K1496" s="545"/>
      <c r="L1496" s="546"/>
      <c r="M1496" s="498"/>
      <c r="N1496" s="498"/>
      <c r="O1496" s="498"/>
      <c r="P1496" s="498"/>
    </row>
    <row r="1497" spans="1:16" ht="13">
      <c r="A1497" s="426"/>
      <c r="B1497" s="426"/>
      <c r="C1497" s="417" t="s">
        <v>921</v>
      </c>
      <c r="D1497" s="432">
        <f>'[161]Civil-SOR'!$F$280</f>
        <v>177</v>
      </c>
      <c r="E1497" s="432">
        <f>'[161]Civil-SOR'!$F$280</f>
        <v>177</v>
      </c>
      <c r="F1497" s="432">
        <f>'[161]Civil-SOR'!$F$280</f>
        <v>177</v>
      </c>
      <c r="G1497" s="416"/>
      <c r="H1497" s="416"/>
      <c r="I1497" s="414"/>
      <c r="J1497" s="544"/>
      <c r="K1497" s="545"/>
      <c r="L1497" s="546"/>
      <c r="M1497" s="498"/>
      <c r="N1497" s="498"/>
      <c r="O1497" s="498"/>
      <c r="P1497" s="498"/>
    </row>
    <row r="1498" spans="1:16" ht="13">
      <c r="A1498" s="426"/>
      <c r="B1498" s="426"/>
      <c r="C1498" s="417" t="s">
        <v>1026</v>
      </c>
      <c r="D1498" s="459">
        <f>'[161]Civil-SOR'!$M$280</f>
        <v>318</v>
      </c>
      <c r="E1498" s="459">
        <f>'[161]Civil-SOR'!$N$280</f>
        <v>338</v>
      </c>
      <c r="F1498" s="459">
        <f>'[161]Civil-SOR'!$O$280</f>
        <v>358</v>
      </c>
      <c r="G1498" s="416"/>
      <c r="H1498" s="416"/>
      <c r="I1498" s="414"/>
      <c r="J1498" s="544"/>
      <c r="K1498" s="545"/>
      <c r="L1498" s="546"/>
      <c r="M1498" s="498"/>
      <c r="N1498" s="498"/>
      <c r="O1498" s="498"/>
      <c r="P1498" s="498"/>
    </row>
    <row r="1499" spans="1:16" ht="13">
      <c r="A1499" s="426"/>
      <c r="B1499" s="426"/>
      <c r="C1499" s="417" t="str">
        <f>[161]Input!$C$47</f>
        <v>Add for MA @ 40%</v>
      </c>
      <c r="D1499" s="432">
        <f>D1498*[161]Input!$D$47</f>
        <v>127.2</v>
      </c>
      <c r="E1499" s="432">
        <f>E1498*[161]Input!$D$47</f>
        <v>135.20000000000002</v>
      </c>
      <c r="F1499" s="432">
        <f>F1498*[161]Input!$D$47</f>
        <v>143.20000000000002</v>
      </c>
      <c r="G1499" s="416"/>
      <c r="H1499" s="416"/>
      <c r="I1499" s="414"/>
      <c r="J1499" s="544"/>
      <c r="K1499" s="545"/>
      <c r="L1499" s="546"/>
      <c r="M1499" s="498"/>
      <c r="N1499" s="498"/>
      <c r="O1499" s="498"/>
      <c r="P1499" s="498"/>
    </row>
    <row r="1500" spans="1:16" ht="25">
      <c r="A1500" s="426"/>
      <c r="B1500" s="426"/>
      <c r="C1500" s="417" t="s">
        <v>995</v>
      </c>
      <c r="D1500" s="432">
        <f t="shared" ref="D1500:D1501" si="349">E1487*1.5</f>
        <v>18.958668750000005</v>
      </c>
      <c r="E1500" s="432">
        <f t="shared" ref="E1500:E1501" si="350">E1487*1.6</f>
        <v>20.222580000000008</v>
      </c>
      <c r="F1500" s="432">
        <f t="shared" ref="F1500:F1501" si="351">E1487*1.7</f>
        <v>21.486491250000004</v>
      </c>
      <c r="G1500" s="416"/>
      <c r="H1500" s="416"/>
      <c r="I1500" s="414"/>
      <c r="J1500" s="544"/>
      <c r="K1500" s="545"/>
      <c r="L1500" s="546"/>
      <c r="M1500" s="498"/>
      <c r="N1500" s="498"/>
      <c r="O1500" s="498"/>
      <c r="P1500" s="498"/>
    </row>
    <row r="1501" spans="1:16" ht="13">
      <c r="A1501" s="426"/>
      <c r="B1501" s="426"/>
      <c r="C1501" s="417" t="s">
        <v>828</v>
      </c>
      <c r="D1501" s="432">
        <f t="shared" si="349"/>
        <v>18.042524999999998</v>
      </c>
      <c r="E1501" s="432">
        <f t="shared" si="350"/>
        <v>19.245360000000002</v>
      </c>
      <c r="F1501" s="432">
        <f t="shared" si="351"/>
        <v>20.448194999999998</v>
      </c>
      <c r="G1501" s="416"/>
      <c r="H1501" s="416"/>
      <c r="I1501" s="414"/>
      <c r="J1501" s="544"/>
      <c r="K1501" s="545"/>
      <c r="L1501" s="546"/>
      <c r="M1501" s="498"/>
      <c r="N1501" s="498"/>
      <c r="O1501" s="498"/>
      <c r="P1501" s="498"/>
    </row>
    <row r="1502" spans="1:16" ht="13">
      <c r="A1502" s="426"/>
      <c r="B1502" s="426"/>
      <c r="C1502" s="417" t="str">
        <f>[161]Input!$C$47</f>
        <v>Add for MA @ 40%</v>
      </c>
      <c r="D1502" s="432">
        <f>D1501*[161]Input!$D$47</f>
        <v>7.2170099999999993</v>
      </c>
      <c r="E1502" s="432">
        <f>E1501*[161]Input!$D$47</f>
        <v>7.698144000000001</v>
      </c>
      <c r="F1502" s="432">
        <f>F1501*[161]Input!$D$47</f>
        <v>8.179278</v>
      </c>
      <c r="G1502" s="416"/>
      <c r="H1502" s="416"/>
      <c r="I1502" s="414"/>
      <c r="J1502" s="544"/>
      <c r="K1502" s="545"/>
      <c r="L1502" s="546"/>
      <c r="M1502" s="498"/>
      <c r="N1502" s="498"/>
      <c r="O1502" s="498"/>
      <c r="P1502" s="498"/>
    </row>
    <row r="1503" spans="1:16" ht="13">
      <c r="A1503" s="426"/>
      <c r="B1503" s="426"/>
      <c r="C1503" s="427" t="s">
        <v>742</v>
      </c>
      <c r="D1503" s="432">
        <f>SUM(D1496:D1502)</f>
        <v>1534.6209237500004</v>
      </c>
      <c r="E1503" s="432">
        <f>SUM(E1496:E1502)</f>
        <v>1565.5688040000002</v>
      </c>
      <c r="F1503" s="432">
        <f>SUM(F1496:F1502)</f>
        <v>1596.5166842500003</v>
      </c>
      <c r="G1503" s="416"/>
      <c r="H1503" s="416"/>
      <c r="I1503" s="414"/>
      <c r="J1503" s="544"/>
      <c r="K1503" s="545"/>
      <c r="L1503" s="546"/>
      <c r="M1503" s="498"/>
      <c r="N1503" s="498"/>
      <c r="O1503" s="498"/>
      <c r="P1503" s="498"/>
    </row>
    <row r="1504" spans="1:16" ht="25">
      <c r="A1504" s="426"/>
      <c r="B1504" s="426"/>
      <c r="C1504" s="417" t="str">
        <f>[161]Input!$C$48</f>
        <v>Overheads &amp; Contractors Profit @ 13.615%</v>
      </c>
      <c r="D1504" s="406">
        <f>ROUND(D1503*[161]Input!$D$48,2)</f>
        <v>208.94</v>
      </c>
      <c r="E1504" s="406">
        <f>ROUND(E1503*[161]Input!$D$48,2)</f>
        <v>213.15</v>
      </c>
      <c r="F1504" s="406">
        <f>ROUND(F1503*[161]Input!$D$48,2)</f>
        <v>217.37</v>
      </c>
      <c r="G1504" s="416"/>
      <c r="H1504" s="416"/>
      <c r="I1504" s="414"/>
      <c r="J1504" s="544"/>
      <c r="K1504" s="545"/>
      <c r="L1504" s="546"/>
      <c r="M1504" s="498"/>
      <c r="N1504" s="498"/>
      <c r="O1504" s="498"/>
      <c r="P1504" s="498"/>
    </row>
    <row r="1505" spans="1:16" ht="13">
      <c r="A1505" s="426"/>
      <c r="B1505" s="426"/>
      <c r="C1505" s="427" t="s">
        <v>742</v>
      </c>
      <c r="D1505" s="409">
        <f>SUM(D1503:D1504)</f>
        <v>1743.5609237500005</v>
      </c>
      <c r="E1505" s="409">
        <f>SUM(E1503:E1504)</f>
        <v>1778.7188040000003</v>
      </c>
      <c r="F1505" s="409">
        <f>SUM(F1503:F1504)</f>
        <v>1813.8866842500001</v>
      </c>
      <c r="G1505" s="416"/>
      <c r="H1505" s="416"/>
      <c r="I1505" s="414"/>
      <c r="J1505" s="544"/>
      <c r="K1505" s="545"/>
      <c r="L1505" s="546"/>
      <c r="M1505" s="498"/>
      <c r="N1505" s="498"/>
      <c r="O1505" s="498"/>
      <c r="P1505" s="498"/>
    </row>
    <row r="1506" spans="1:16" ht="13">
      <c r="A1506" s="426"/>
      <c r="B1506" s="426"/>
      <c r="C1506" s="514" t="s">
        <v>726</v>
      </c>
      <c r="D1506" s="416">
        <f>ROUND(D1505,0)</f>
        <v>1744</v>
      </c>
      <c r="E1506" s="416">
        <f>ROUND(E1505,0)</f>
        <v>1779</v>
      </c>
      <c r="F1506" s="416">
        <f>ROUND(F1505,0)</f>
        <v>1814</v>
      </c>
      <c r="G1506" s="416"/>
      <c r="H1506" s="416"/>
      <c r="I1506" s="414"/>
      <c r="J1506" s="544"/>
      <c r="K1506" s="545"/>
      <c r="L1506" s="546"/>
      <c r="M1506" s="498"/>
      <c r="N1506" s="498"/>
      <c r="O1506" s="498"/>
      <c r="P1506" s="498"/>
    </row>
    <row r="1507" spans="1:16" ht="13">
      <c r="A1507" s="426"/>
      <c r="B1507" s="426"/>
      <c r="C1507" s="550"/>
      <c r="D1507" s="416"/>
      <c r="E1507" s="416"/>
      <c r="F1507" s="416"/>
      <c r="G1507" s="416"/>
      <c r="H1507" s="416"/>
      <c r="I1507" s="414"/>
      <c r="J1507" s="544"/>
      <c r="K1507" s="545"/>
      <c r="L1507" s="546"/>
      <c r="M1507" s="498"/>
      <c r="N1507" s="498"/>
      <c r="O1507" s="498"/>
      <c r="P1507" s="498"/>
    </row>
    <row r="1508" spans="1:16" ht="13">
      <c r="A1508" s="426"/>
      <c r="B1508" s="474" t="s">
        <v>730</v>
      </c>
      <c r="C1508" s="451" t="s">
        <v>1006</v>
      </c>
      <c r="D1508" s="426"/>
      <c r="E1508" s="426"/>
      <c r="F1508" s="426"/>
      <c r="G1508" s="410"/>
      <c r="H1508" s="474"/>
      <c r="I1508" s="434"/>
      <c r="J1508" s="578"/>
      <c r="K1508" s="585"/>
      <c r="L1508" s="579"/>
      <c r="M1508" s="498"/>
      <c r="N1508" s="498"/>
      <c r="O1508" s="498"/>
      <c r="P1508" s="498"/>
    </row>
    <row r="1509" spans="1:16" ht="13">
      <c r="A1509" s="426"/>
      <c r="B1509" s="426"/>
      <c r="C1509" s="417" t="s">
        <v>920</v>
      </c>
      <c r="D1509" s="409">
        <v>0.15</v>
      </c>
      <c r="E1509" s="426" t="s">
        <v>57</v>
      </c>
      <c r="F1509" s="409">
        <f>$I$1419</f>
        <v>6945.6217600000009</v>
      </c>
      <c r="G1509" s="410">
        <v>1</v>
      </c>
      <c r="H1509" s="426" t="s">
        <v>57</v>
      </c>
      <c r="I1509" s="414">
        <f>IF(G1509="",D1509*F1509,(D1509*F1509/G1509))</f>
        <v>1041.8432640000001</v>
      </c>
      <c r="J1509" s="578"/>
      <c r="K1509" s="497"/>
      <c r="L1509" s="546"/>
      <c r="M1509" s="498"/>
      <c r="N1509" s="498"/>
      <c r="O1509" s="498"/>
      <c r="P1509" s="498"/>
    </row>
    <row r="1510" spans="1:16" ht="13">
      <c r="A1510" s="426"/>
      <c r="B1510" s="426"/>
      <c r="C1510" s="417"/>
      <c r="D1510" s="409"/>
      <c r="E1510" s="426"/>
      <c r="F1510" s="409"/>
      <c r="G1510" s="410"/>
      <c r="H1510" s="426"/>
      <c r="I1510" s="414"/>
      <c r="J1510" s="578"/>
      <c r="K1510" s="497"/>
      <c r="L1510" s="546"/>
      <c r="M1510" s="498"/>
      <c r="N1510" s="498"/>
      <c r="O1510" s="498"/>
      <c r="P1510" s="498"/>
    </row>
    <row r="1511" spans="1:16" ht="13">
      <c r="A1511" s="426"/>
      <c r="B1511" s="474" t="s">
        <v>951</v>
      </c>
      <c r="C1511" s="1307" t="s">
        <v>1027</v>
      </c>
      <c r="D1511" s="1307"/>
      <c r="E1511" s="1307"/>
      <c r="F1511" s="426"/>
      <c r="G1511" s="410"/>
      <c r="H1511" s="426"/>
      <c r="I1511" s="434"/>
      <c r="J1511" s="578"/>
      <c r="K1511" s="497"/>
      <c r="L1511" s="579"/>
      <c r="M1511" s="498"/>
      <c r="N1511" s="498"/>
      <c r="O1511" s="498"/>
      <c r="P1511" s="498"/>
    </row>
    <row r="1512" spans="1:16" ht="13">
      <c r="A1512" s="426"/>
      <c r="B1512" s="426"/>
      <c r="C1512" s="427" t="s">
        <v>953</v>
      </c>
      <c r="D1512" s="414" t="s">
        <v>959</v>
      </c>
      <c r="E1512" s="474" t="s">
        <v>943</v>
      </c>
      <c r="F1512" s="492" t="s">
        <v>944</v>
      </c>
      <c r="G1512" s="492" t="s">
        <v>945</v>
      </c>
      <c r="H1512" s="492" t="s">
        <v>946</v>
      </c>
      <c r="I1512" s="492" t="s">
        <v>947</v>
      </c>
      <c r="J1512" s="580" t="s">
        <v>948</v>
      </c>
      <c r="K1512" s="564" t="s">
        <v>949</v>
      </c>
      <c r="L1512" s="564" t="s">
        <v>950</v>
      </c>
      <c r="M1512" s="498"/>
      <c r="N1512" s="498"/>
      <c r="O1512" s="498"/>
      <c r="P1512" s="498"/>
    </row>
    <row r="1513" spans="1:16">
      <c r="A1513" s="426"/>
      <c r="B1513" s="426"/>
      <c r="C1513" s="417" t="s">
        <v>954</v>
      </c>
      <c r="D1513" s="409">
        <f t="shared" ref="D1513:L1513" si="352">$I$1509</f>
        <v>1041.8432640000001</v>
      </c>
      <c r="E1513" s="409">
        <f t="shared" si="352"/>
        <v>1041.8432640000001</v>
      </c>
      <c r="F1513" s="409">
        <f t="shared" si="352"/>
        <v>1041.8432640000001</v>
      </c>
      <c r="G1513" s="409">
        <f t="shared" si="352"/>
        <v>1041.8432640000001</v>
      </c>
      <c r="H1513" s="409">
        <f t="shared" si="352"/>
        <v>1041.8432640000001</v>
      </c>
      <c r="I1513" s="409">
        <f t="shared" si="352"/>
        <v>1041.8432640000001</v>
      </c>
      <c r="J1513" s="508">
        <f t="shared" si="352"/>
        <v>1041.8432640000001</v>
      </c>
      <c r="K1513" s="509">
        <f t="shared" si="352"/>
        <v>1041.8432640000001</v>
      </c>
      <c r="L1513" s="509">
        <f t="shared" si="352"/>
        <v>1041.8432640000001</v>
      </c>
      <c r="M1513" s="498"/>
      <c r="N1513" s="498"/>
      <c r="O1513" s="498"/>
      <c r="P1513" s="498"/>
    </row>
    <row r="1514" spans="1:16">
      <c r="A1514" s="426"/>
      <c r="B1514" s="426"/>
      <c r="C1514" s="417" t="s">
        <v>921</v>
      </c>
      <c r="D1514" s="409">
        <f>'[161]Civil-SOR'!$F$280</f>
        <v>177</v>
      </c>
      <c r="E1514" s="409">
        <f>'[161]Civil-SOR'!$F$280</f>
        <v>177</v>
      </c>
      <c r="F1514" s="409">
        <f>'[161]Civil-SOR'!$F$280</f>
        <v>177</v>
      </c>
      <c r="G1514" s="409">
        <f>'[161]Civil-SOR'!$F$280</f>
        <v>177</v>
      </c>
      <c r="H1514" s="409">
        <f>'[161]Civil-SOR'!$F$280</f>
        <v>177</v>
      </c>
      <c r="I1514" s="409">
        <f>'[161]Civil-SOR'!$F$280</f>
        <v>177</v>
      </c>
      <c r="J1514" s="508">
        <f>'[161]Civil-SOR'!$F$280</f>
        <v>177</v>
      </c>
      <c r="K1514" s="509">
        <f>'[161]Civil-SOR'!$F$280</f>
        <v>177</v>
      </c>
      <c r="L1514" s="509">
        <f>'[161]Civil-SOR'!$F$280</f>
        <v>177</v>
      </c>
      <c r="M1514" s="501"/>
      <c r="N1514" s="501"/>
      <c r="O1514" s="501"/>
      <c r="P1514" s="501"/>
    </row>
    <row r="1515" spans="1:16">
      <c r="A1515" s="426"/>
      <c r="B1515" s="426"/>
      <c r="C1515" s="417" t="s">
        <v>1010</v>
      </c>
      <c r="D1515" s="408">
        <f>'[161]Civil-SOR'!$G$280</f>
        <v>199</v>
      </c>
      <c r="E1515" s="408">
        <f>'[161]Civil-SOR'!$H$280</f>
        <v>219</v>
      </c>
      <c r="F1515" s="408">
        <f>'[161]Civil-SOR'!$I$280</f>
        <v>239</v>
      </c>
      <c r="G1515" s="408">
        <f>'[161]Civil-SOR'!$J$280</f>
        <v>259</v>
      </c>
      <c r="H1515" s="408">
        <f>'[161]Civil-SOR'!$K$280</f>
        <v>279</v>
      </c>
      <c r="I1515" s="408">
        <f>'[161]Civil-SOR'!$L$280</f>
        <v>299</v>
      </c>
      <c r="J1515" s="510">
        <f>'[161]Civil-SOR'!$M$280</f>
        <v>318</v>
      </c>
      <c r="K1515" s="511">
        <f>'[161]Civil-SOR'!$N$280</f>
        <v>338</v>
      </c>
      <c r="L1515" s="511">
        <f>'[161]Civil-SOR'!$O$280</f>
        <v>358</v>
      </c>
      <c r="M1515" s="501"/>
      <c r="N1515" s="501"/>
      <c r="O1515" s="501"/>
      <c r="P1515" s="501"/>
    </row>
    <row r="1516" spans="1:16">
      <c r="A1516" s="426"/>
      <c r="B1516" s="426"/>
      <c r="C1516" s="417" t="str">
        <f>[161]Input!$C$47</f>
        <v>Add for MA @ 40%</v>
      </c>
      <c r="D1516" s="409">
        <f>D1515*[161]Input!$D$47</f>
        <v>79.600000000000009</v>
      </c>
      <c r="E1516" s="409">
        <f>E1515*[161]Input!$D$47</f>
        <v>87.600000000000009</v>
      </c>
      <c r="F1516" s="409">
        <f>F1515*[161]Input!$D$47</f>
        <v>95.600000000000009</v>
      </c>
      <c r="G1516" s="409">
        <f>G1515*[161]Input!$D$47</f>
        <v>103.60000000000001</v>
      </c>
      <c r="H1516" s="409">
        <f>H1515*[161]Input!$D$47</f>
        <v>111.60000000000001</v>
      </c>
      <c r="I1516" s="409">
        <f>I1515*[161]Input!$D$47</f>
        <v>119.60000000000001</v>
      </c>
      <c r="J1516" s="508">
        <f>J1515*[161]Input!$D$47</f>
        <v>127.2</v>
      </c>
      <c r="K1516" s="509">
        <f>K1515*[161]Input!$D$47</f>
        <v>135.20000000000002</v>
      </c>
      <c r="L1516" s="509">
        <f>L1515*[161]Input!$D$47</f>
        <v>143.20000000000002</v>
      </c>
      <c r="M1516" s="501"/>
      <c r="N1516" s="501"/>
      <c r="O1516" s="501"/>
      <c r="P1516" s="501"/>
    </row>
    <row r="1517" spans="1:16">
      <c r="A1517" s="426"/>
      <c r="B1517" s="426"/>
      <c r="C1517" s="417" t="s">
        <v>979</v>
      </c>
      <c r="D1517" s="409">
        <v>0</v>
      </c>
      <c r="E1517" s="409">
        <f>$F$1411*D1509*10%</f>
        <v>25.680750000000003</v>
      </c>
      <c r="F1517" s="409">
        <f>$F$1411*D1509*20%</f>
        <v>51.361500000000007</v>
      </c>
      <c r="G1517" s="409">
        <f>$F$1411*D1509*30%</f>
        <v>77.042249999999996</v>
      </c>
      <c r="H1517" s="409">
        <f>$F$1411*D1509*40%</f>
        <v>102.72300000000001</v>
      </c>
      <c r="I1517" s="409">
        <f>$F$1411*D1509*50%</f>
        <v>128.40375</v>
      </c>
      <c r="J1517" s="508">
        <f>$F$1411*D1509*60%</f>
        <v>154.08449999999999</v>
      </c>
      <c r="K1517" s="509">
        <f>$F$1411*D1509*70%</f>
        <v>179.76524999999998</v>
      </c>
      <c r="L1517" s="509">
        <f>$F$1411*D1509*80%</f>
        <v>205.44600000000003</v>
      </c>
      <c r="M1517" s="501"/>
      <c r="N1517" s="501"/>
      <c r="O1517" s="501"/>
      <c r="P1517" s="501"/>
    </row>
    <row r="1518" spans="1:16">
      <c r="A1518" s="426"/>
      <c r="B1518" s="426"/>
      <c r="C1518" s="417" t="str">
        <f>[161]Input!$C$47</f>
        <v>Add for MA @ 40%</v>
      </c>
      <c r="D1518" s="409">
        <f>D1517*[161]Input!D107</f>
        <v>0</v>
      </c>
      <c r="E1518" s="409">
        <f>E1517*[161]Input!$D$47</f>
        <v>10.272300000000001</v>
      </c>
      <c r="F1518" s="409">
        <f>F1517*[161]Input!$D$47</f>
        <v>20.544600000000003</v>
      </c>
      <c r="G1518" s="409">
        <f>G1517*[161]Input!$D$47</f>
        <v>30.8169</v>
      </c>
      <c r="H1518" s="409">
        <f>H1517*[161]Input!$D$47</f>
        <v>41.089200000000005</v>
      </c>
      <c r="I1518" s="409">
        <f>I1517*[161]Input!$D$47</f>
        <v>51.361500000000007</v>
      </c>
      <c r="J1518" s="508">
        <f>J1517*[161]Input!$D$47</f>
        <v>61.633800000000001</v>
      </c>
      <c r="K1518" s="509">
        <f>K1517*[161]Input!$D$47</f>
        <v>71.906099999999995</v>
      </c>
      <c r="L1518" s="509">
        <f>L1517*[161]Input!$D$47</f>
        <v>82.178400000000011</v>
      </c>
      <c r="M1518" s="501"/>
      <c r="N1518" s="501"/>
      <c r="O1518" s="501"/>
      <c r="P1518" s="501"/>
    </row>
    <row r="1519" spans="1:16" ht="13">
      <c r="A1519" s="426"/>
      <c r="B1519" s="426"/>
      <c r="C1519" s="427" t="s">
        <v>742</v>
      </c>
      <c r="D1519" s="409">
        <f t="shared" ref="D1519:L1519" si="353">SUM(D1513:D1518)</f>
        <v>1497.443264</v>
      </c>
      <c r="E1519" s="409">
        <f t="shared" si="353"/>
        <v>1561.3963140000001</v>
      </c>
      <c r="F1519" s="409">
        <f t="shared" si="353"/>
        <v>1625.3493639999999</v>
      </c>
      <c r="G1519" s="409">
        <f t="shared" si="353"/>
        <v>1689.302414</v>
      </c>
      <c r="H1519" s="409">
        <f t="shared" si="353"/>
        <v>1753.2554639999998</v>
      </c>
      <c r="I1519" s="409">
        <f t="shared" si="353"/>
        <v>1817.2085139999999</v>
      </c>
      <c r="J1519" s="508">
        <f t="shared" si="353"/>
        <v>1879.7615640000001</v>
      </c>
      <c r="K1519" s="509">
        <f t="shared" si="353"/>
        <v>1943.714614</v>
      </c>
      <c r="L1519" s="509">
        <f t="shared" si="353"/>
        <v>2007.6676640000003</v>
      </c>
      <c r="M1519" s="501"/>
      <c r="N1519" s="501"/>
      <c r="O1519" s="501"/>
      <c r="P1519" s="501"/>
    </row>
    <row r="1520" spans="1:16" ht="25">
      <c r="A1520" s="426"/>
      <c r="B1520" s="426"/>
      <c r="C1520" s="417" t="str">
        <f>[161]Input!$C$48</f>
        <v>Overheads &amp; Contractors Profit @ 13.615%</v>
      </c>
      <c r="D1520" s="426">
        <f>ROUND(D1519*[161]Input!$D$48,2)</f>
        <v>203.88</v>
      </c>
      <c r="E1520" s="426">
        <f>ROUND(E1519*[161]Input!$D$48,2)</f>
        <v>212.58</v>
      </c>
      <c r="F1520" s="426">
        <f>ROUND(F1519*[161]Input!$D$48,2)</f>
        <v>221.29</v>
      </c>
      <c r="G1520" s="426">
        <f>ROUND(G1519*[161]Input!$D$48,2)</f>
        <v>230</v>
      </c>
      <c r="H1520" s="426">
        <f>ROUND(H1519*[161]Input!$D$48,2)</f>
        <v>238.71</v>
      </c>
      <c r="I1520" s="426">
        <f>ROUND(I1519*[161]Input!$D$48,2)</f>
        <v>247.41</v>
      </c>
      <c r="J1520" s="547">
        <f>ROUND(J1519*[161]Input!$D$48,2)</f>
        <v>255.93</v>
      </c>
      <c r="K1520" s="548">
        <f>ROUND(K1519*[161]Input!$D$48,2)</f>
        <v>264.64</v>
      </c>
      <c r="L1520" s="548">
        <f>ROUND(L1519*[161]Input!$D$48,2)</f>
        <v>273.33999999999997</v>
      </c>
      <c r="M1520" s="501"/>
      <c r="N1520" s="501"/>
      <c r="O1520" s="501"/>
      <c r="P1520" s="501"/>
    </row>
    <row r="1521" spans="1:16" ht="13">
      <c r="A1521" s="426"/>
      <c r="B1521" s="426"/>
      <c r="C1521" s="427" t="s">
        <v>742</v>
      </c>
      <c r="D1521" s="409">
        <f t="shared" ref="D1521:L1521" si="354">SUM(D1519:D1520)</f>
        <v>1701.3232640000001</v>
      </c>
      <c r="E1521" s="409">
        <f t="shared" si="354"/>
        <v>1773.976314</v>
      </c>
      <c r="F1521" s="409">
        <f t="shared" si="354"/>
        <v>1846.6393639999999</v>
      </c>
      <c r="G1521" s="409">
        <f t="shared" si="354"/>
        <v>1919.302414</v>
      </c>
      <c r="H1521" s="409">
        <f t="shared" si="354"/>
        <v>1991.9654639999999</v>
      </c>
      <c r="I1521" s="409">
        <f t="shared" si="354"/>
        <v>2064.6185139999998</v>
      </c>
      <c r="J1521" s="512">
        <f t="shared" si="354"/>
        <v>2135.6915640000002</v>
      </c>
      <c r="K1521" s="513">
        <f t="shared" si="354"/>
        <v>2208.3546139999999</v>
      </c>
      <c r="L1521" s="513">
        <f t="shared" si="354"/>
        <v>2281.0076640000002</v>
      </c>
      <c r="M1521" s="504"/>
      <c r="N1521" s="504"/>
      <c r="O1521" s="504"/>
      <c r="P1521" s="504"/>
    </row>
    <row r="1522" spans="1:16" ht="13">
      <c r="A1522" s="426"/>
      <c r="B1522" s="426"/>
      <c r="C1522" s="514" t="s">
        <v>726</v>
      </c>
      <c r="D1522" s="416">
        <f t="shared" ref="D1522:L1522" si="355">ROUND(D1521,0)</f>
        <v>1701</v>
      </c>
      <c r="E1522" s="416">
        <f t="shared" si="355"/>
        <v>1774</v>
      </c>
      <c r="F1522" s="416">
        <f t="shared" si="355"/>
        <v>1847</v>
      </c>
      <c r="G1522" s="416">
        <f t="shared" si="355"/>
        <v>1919</v>
      </c>
      <c r="H1522" s="416">
        <f t="shared" si="355"/>
        <v>1992</v>
      </c>
      <c r="I1522" s="416">
        <f t="shared" si="355"/>
        <v>2065</v>
      </c>
      <c r="J1522" s="515">
        <f t="shared" si="355"/>
        <v>2136</v>
      </c>
      <c r="K1522" s="516">
        <f t="shared" si="355"/>
        <v>2208</v>
      </c>
      <c r="L1522" s="516">
        <f t="shared" si="355"/>
        <v>2281</v>
      </c>
      <c r="M1522" s="504"/>
      <c r="N1522" s="504"/>
      <c r="O1522" s="504"/>
      <c r="P1522" s="504"/>
    </row>
    <row r="1523" spans="1:16" ht="13">
      <c r="A1523" s="426"/>
      <c r="B1523" s="426"/>
      <c r="C1523" s="550"/>
      <c r="D1523" s="416"/>
      <c r="E1523" s="416"/>
      <c r="F1523" s="416"/>
      <c r="G1523" s="416"/>
      <c r="H1523" s="416"/>
      <c r="I1523" s="414"/>
      <c r="J1523" s="544"/>
      <c r="K1523" s="545"/>
      <c r="L1523" s="546"/>
      <c r="M1523" s="498"/>
      <c r="N1523" s="498"/>
      <c r="O1523" s="498"/>
      <c r="P1523" s="498"/>
    </row>
    <row r="1524" spans="1:16" ht="13">
      <c r="A1524" s="426"/>
      <c r="B1524" s="474" t="s">
        <v>957</v>
      </c>
      <c r="C1524" s="451" t="s">
        <v>958</v>
      </c>
      <c r="D1524" s="426"/>
      <c r="E1524" s="426"/>
      <c r="F1524" s="426"/>
      <c r="G1524" s="410"/>
      <c r="H1524" s="426"/>
      <c r="I1524" s="434"/>
      <c r="J1524" s="578"/>
      <c r="K1524" s="497"/>
      <c r="L1524" s="579"/>
      <c r="M1524" s="498"/>
      <c r="N1524" s="498"/>
      <c r="O1524" s="498"/>
      <c r="P1524" s="498"/>
    </row>
    <row r="1525" spans="1:16" ht="13">
      <c r="A1525" s="426"/>
      <c r="B1525" s="426"/>
      <c r="C1525" s="427" t="s">
        <v>953</v>
      </c>
      <c r="D1525" s="474" t="s">
        <v>1009</v>
      </c>
      <c r="E1525" s="474" t="s">
        <v>943</v>
      </c>
      <c r="F1525" s="492" t="s">
        <v>944</v>
      </c>
      <c r="G1525" s="492" t="s">
        <v>945</v>
      </c>
      <c r="H1525" s="492" t="s">
        <v>946</v>
      </c>
      <c r="I1525" s="492" t="s">
        <v>947</v>
      </c>
      <c r="J1525" s="472"/>
      <c r="K1525" s="497"/>
      <c r="L1525" s="497"/>
      <c r="M1525" s="498"/>
      <c r="N1525" s="498"/>
      <c r="O1525" s="498"/>
      <c r="P1525" s="498"/>
    </row>
    <row r="1526" spans="1:16">
      <c r="A1526" s="426"/>
      <c r="B1526" s="426"/>
      <c r="C1526" s="417" t="s">
        <v>954</v>
      </c>
      <c r="D1526" s="409">
        <f t="shared" ref="D1526:I1526" si="356">$I$1509</f>
        <v>1041.8432640000001</v>
      </c>
      <c r="E1526" s="409">
        <f t="shared" si="356"/>
        <v>1041.8432640000001</v>
      </c>
      <c r="F1526" s="409">
        <f t="shared" si="356"/>
        <v>1041.8432640000001</v>
      </c>
      <c r="G1526" s="409">
        <f t="shared" si="356"/>
        <v>1041.8432640000001</v>
      </c>
      <c r="H1526" s="409">
        <f t="shared" si="356"/>
        <v>1041.8432640000001</v>
      </c>
      <c r="I1526" s="409">
        <f t="shared" si="356"/>
        <v>1041.8432640000001</v>
      </c>
      <c r="J1526" s="499"/>
      <c r="K1526" s="500"/>
      <c r="L1526" s="500"/>
      <c r="M1526" s="501"/>
      <c r="N1526" s="501"/>
      <c r="O1526" s="501"/>
      <c r="P1526" s="501"/>
    </row>
    <row r="1527" spans="1:16">
      <c r="A1527" s="426"/>
      <c r="B1527" s="426"/>
      <c r="C1527" s="417" t="s">
        <v>921</v>
      </c>
      <c r="D1527" s="409">
        <f>'[161]Civil-SOR'!$F$280</f>
        <v>177</v>
      </c>
      <c r="E1527" s="409">
        <f>'[161]Civil-SOR'!$F$280</f>
        <v>177</v>
      </c>
      <c r="F1527" s="409">
        <f>'[161]Civil-SOR'!$F$280</f>
        <v>177</v>
      </c>
      <c r="G1527" s="409">
        <f>'[161]Civil-SOR'!$F$280</f>
        <v>177</v>
      </c>
      <c r="H1527" s="409">
        <f>'[161]Civil-SOR'!$F$280</f>
        <v>177</v>
      </c>
      <c r="I1527" s="409">
        <f>'[161]Civil-SOR'!$F$280</f>
        <v>177</v>
      </c>
      <c r="J1527" s="499"/>
      <c r="K1527" s="500"/>
      <c r="L1527" s="500"/>
      <c r="M1527" s="501"/>
      <c r="N1527" s="501"/>
      <c r="O1527" s="501"/>
      <c r="P1527" s="501"/>
    </row>
    <row r="1528" spans="1:16">
      <c r="A1528" s="426"/>
      <c r="B1528" s="426"/>
      <c r="C1528" s="417" t="s">
        <v>1010</v>
      </c>
      <c r="D1528" s="408">
        <f>'[161]Civil-SOR'!$G$280</f>
        <v>199</v>
      </c>
      <c r="E1528" s="408">
        <f>'[161]Civil-SOR'!$H$280</f>
        <v>219</v>
      </c>
      <c r="F1528" s="408">
        <f>'[161]Civil-SOR'!$I$280</f>
        <v>239</v>
      </c>
      <c r="G1528" s="408">
        <f>'[161]Civil-SOR'!$J$280</f>
        <v>259</v>
      </c>
      <c r="H1528" s="408">
        <f>'[161]Civil-SOR'!$K$280</f>
        <v>279</v>
      </c>
      <c r="I1528" s="408">
        <f>'[161]Civil-SOR'!$L$280</f>
        <v>299</v>
      </c>
      <c r="J1528" s="499"/>
      <c r="K1528" s="500"/>
      <c r="L1528" s="500"/>
      <c r="M1528" s="501"/>
      <c r="N1528" s="501"/>
      <c r="O1528" s="501"/>
      <c r="P1528" s="501"/>
    </row>
    <row r="1529" spans="1:16">
      <c r="A1529" s="426"/>
      <c r="B1529" s="426"/>
      <c r="C1529" s="417" t="str">
        <f>[161]Input!$C$47</f>
        <v>Add for MA @ 40%</v>
      </c>
      <c r="D1529" s="409">
        <f>D1528*[161]Input!$D$47</f>
        <v>79.600000000000009</v>
      </c>
      <c r="E1529" s="409">
        <f>E1528*[161]Input!$D$47</f>
        <v>87.600000000000009</v>
      </c>
      <c r="F1529" s="409">
        <f>F1528*[161]Input!$D$47</f>
        <v>95.600000000000009</v>
      </c>
      <c r="G1529" s="409">
        <f>G1528*[161]Input!$D$47</f>
        <v>103.60000000000001</v>
      </c>
      <c r="H1529" s="409">
        <f>H1528*[161]Input!$D$47</f>
        <v>111.60000000000001</v>
      </c>
      <c r="I1529" s="409">
        <f>I1528*[161]Input!$D$47</f>
        <v>119.60000000000001</v>
      </c>
      <c r="J1529" s="499"/>
      <c r="K1529" s="500"/>
      <c r="L1529" s="500"/>
      <c r="M1529" s="501"/>
      <c r="N1529" s="501"/>
      <c r="O1529" s="501"/>
      <c r="P1529" s="501"/>
    </row>
    <row r="1530" spans="1:16" ht="25">
      <c r="A1530" s="426"/>
      <c r="B1530" s="426"/>
      <c r="C1530" s="417" t="s">
        <v>1011</v>
      </c>
      <c r="D1530" s="409">
        <v>0</v>
      </c>
      <c r="E1530" s="409">
        <f>0.267*$D$1509*'[161]Civil-SOR'!$G$334</f>
        <v>15.166935000000002</v>
      </c>
      <c r="F1530" s="409">
        <f t="shared" ref="F1530:F1531" si="357">E1530*1.1</f>
        <v>16.683628500000005</v>
      </c>
      <c r="G1530" s="409">
        <f t="shared" ref="G1530:G1531" si="358">E1530*1.2</f>
        <v>18.200322000000003</v>
      </c>
      <c r="H1530" s="409">
        <f t="shared" ref="H1530:H1531" si="359">E1530*1.3</f>
        <v>19.717015500000002</v>
      </c>
      <c r="I1530" s="409">
        <f t="shared" ref="I1530:I1531" si="360">E1530*1.4</f>
        <v>21.233709000000001</v>
      </c>
      <c r="J1530" s="499"/>
      <c r="K1530" s="500"/>
      <c r="L1530" s="500"/>
      <c r="M1530" s="501"/>
      <c r="N1530" s="501"/>
      <c r="O1530" s="501"/>
      <c r="P1530" s="501"/>
    </row>
    <row r="1531" spans="1:16">
      <c r="A1531" s="426"/>
      <c r="B1531" s="426"/>
      <c r="C1531" s="417" t="s">
        <v>828</v>
      </c>
      <c r="D1531" s="409">
        <v>0</v>
      </c>
      <c r="E1531" s="409">
        <f>0.267*$D$1509*'[161]Civil-SOR'!$J$334</f>
        <v>14.43402</v>
      </c>
      <c r="F1531" s="409">
        <f t="shared" si="357"/>
        <v>15.877422000000001</v>
      </c>
      <c r="G1531" s="409">
        <f t="shared" si="358"/>
        <v>17.320823999999998</v>
      </c>
      <c r="H1531" s="409">
        <f t="shared" si="359"/>
        <v>18.764226000000001</v>
      </c>
      <c r="I1531" s="409">
        <f t="shared" si="360"/>
        <v>20.207628</v>
      </c>
      <c r="J1531" s="499"/>
      <c r="K1531" s="500"/>
      <c r="L1531" s="500"/>
      <c r="M1531" s="501"/>
      <c r="N1531" s="501"/>
      <c r="O1531" s="501"/>
      <c r="P1531" s="501"/>
    </row>
    <row r="1532" spans="1:16">
      <c r="A1532" s="426"/>
      <c r="B1532" s="426"/>
      <c r="C1532" s="417" t="str">
        <f>[161]Input!$C$47</f>
        <v>Add for MA @ 40%</v>
      </c>
      <c r="D1532" s="409">
        <f>D1530*[161]Input!D120</f>
        <v>0</v>
      </c>
      <c r="E1532" s="409">
        <f>E1531*[161]Input!$D$47</f>
        <v>5.7736080000000003</v>
      </c>
      <c r="F1532" s="409">
        <f>F1531*[161]Input!$D$47</f>
        <v>6.3509688000000004</v>
      </c>
      <c r="G1532" s="409">
        <f>G1531*[161]Input!$D$47</f>
        <v>6.9283295999999996</v>
      </c>
      <c r="H1532" s="409">
        <f>H1531*[161]Input!$D$47</f>
        <v>7.5056904000000007</v>
      </c>
      <c r="I1532" s="409">
        <f>I1531*[161]Input!$D$47</f>
        <v>8.0830511999999999</v>
      </c>
      <c r="J1532" s="499"/>
      <c r="K1532" s="500"/>
      <c r="L1532" s="500"/>
      <c r="M1532" s="501"/>
      <c r="N1532" s="501"/>
      <c r="O1532" s="501"/>
      <c r="P1532" s="501"/>
    </row>
    <row r="1533" spans="1:16" ht="13">
      <c r="A1533" s="426"/>
      <c r="B1533" s="426"/>
      <c r="C1533" s="427" t="s">
        <v>742</v>
      </c>
      <c r="D1533" s="409">
        <f t="shared" ref="D1533:I1533" si="361">SUM(D1526:D1532)</f>
        <v>1497.443264</v>
      </c>
      <c r="E1533" s="409">
        <f t="shared" si="361"/>
        <v>1560.8178269999999</v>
      </c>
      <c r="F1533" s="409">
        <f t="shared" si="361"/>
        <v>1592.3552832999999</v>
      </c>
      <c r="G1533" s="409">
        <f t="shared" si="361"/>
        <v>1623.8927395999999</v>
      </c>
      <c r="H1533" s="409">
        <f t="shared" si="361"/>
        <v>1655.4301958999999</v>
      </c>
      <c r="I1533" s="409">
        <f t="shared" si="361"/>
        <v>1686.9676522000002</v>
      </c>
      <c r="J1533" s="502"/>
      <c r="K1533" s="503"/>
      <c r="L1533" s="503"/>
      <c r="M1533" s="504"/>
      <c r="N1533" s="504"/>
      <c r="O1533" s="504"/>
      <c r="P1533" s="504"/>
    </row>
    <row r="1534" spans="1:16" ht="25">
      <c r="A1534" s="426"/>
      <c r="B1534" s="426"/>
      <c r="C1534" s="417" t="str">
        <f>[161]Input!$C$48</f>
        <v>Overheads &amp; Contractors Profit @ 13.615%</v>
      </c>
      <c r="D1534" s="426">
        <f>ROUND(D1533*[161]Input!$D$48,2)</f>
        <v>203.88</v>
      </c>
      <c r="E1534" s="426">
        <f>ROUND(E1533*[161]Input!$D$48,2)</f>
        <v>212.51</v>
      </c>
      <c r="F1534" s="426">
        <f>ROUND(F1533*[161]Input!$D$48,2)</f>
        <v>216.8</v>
      </c>
      <c r="G1534" s="426">
        <f>ROUND(G1533*[161]Input!$D$48,2)</f>
        <v>221.09</v>
      </c>
      <c r="H1534" s="426">
        <f>ROUND(H1533*[161]Input!$D$48,2)</f>
        <v>225.39</v>
      </c>
      <c r="I1534" s="426">
        <f>ROUND(I1533*[161]Input!$D$48,2)</f>
        <v>229.68</v>
      </c>
      <c r="J1534" s="499"/>
      <c r="K1534" s="500"/>
      <c r="L1534" s="500"/>
      <c r="M1534" s="501"/>
      <c r="N1534" s="501"/>
      <c r="O1534" s="501"/>
      <c r="P1534" s="501"/>
    </row>
    <row r="1535" spans="1:16" ht="13">
      <c r="A1535" s="426"/>
      <c r="B1535" s="426"/>
      <c r="C1535" s="427" t="s">
        <v>742</v>
      </c>
      <c r="D1535" s="409">
        <f t="shared" ref="D1535:I1535" si="362">SUM(D1533:D1534)</f>
        <v>1701.3232640000001</v>
      </c>
      <c r="E1535" s="409">
        <f t="shared" si="362"/>
        <v>1773.3278269999998</v>
      </c>
      <c r="F1535" s="409">
        <f t="shared" si="362"/>
        <v>1809.1552832999998</v>
      </c>
      <c r="G1535" s="409">
        <f t="shared" si="362"/>
        <v>1844.9827395999998</v>
      </c>
      <c r="H1535" s="409">
        <f t="shared" si="362"/>
        <v>1880.8201958999998</v>
      </c>
      <c r="I1535" s="409">
        <f t="shared" si="362"/>
        <v>1916.6476522000003</v>
      </c>
      <c r="J1535" s="502"/>
      <c r="K1535" s="503"/>
      <c r="L1535" s="503"/>
      <c r="M1535" s="504"/>
      <c r="N1535" s="504"/>
      <c r="O1535" s="504"/>
      <c r="P1535" s="504"/>
    </row>
    <row r="1536" spans="1:16" ht="13">
      <c r="A1536" s="426"/>
      <c r="B1536" s="426"/>
      <c r="C1536" s="514" t="s">
        <v>726</v>
      </c>
      <c r="D1536" s="416">
        <f t="shared" ref="D1536:I1536" si="363">ROUND(D1535,0)</f>
        <v>1701</v>
      </c>
      <c r="E1536" s="416">
        <f t="shared" si="363"/>
        <v>1773</v>
      </c>
      <c r="F1536" s="416">
        <f t="shared" si="363"/>
        <v>1809</v>
      </c>
      <c r="G1536" s="416">
        <f t="shared" si="363"/>
        <v>1845</v>
      </c>
      <c r="H1536" s="416">
        <f t="shared" si="363"/>
        <v>1881</v>
      </c>
      <c r="I1536" s="416">
        <f t="shared" si="363"/>
        <v>1917</v>
      </c>
      <c r="J1536" s="502"/>
      <c r="K1536" s="503"/>
      <c r="L1536" s="503"/>
      <c r="M1536" s="504"/>
      <c r="N1536" s="504"/>
      <c r="O1536" s="504"/>
      <c r="P1536" s="504"/>
    </row>
    <row r="1537" spans="1:16" ht="13">
      <c r="A1537" s="426"/>
      <c r="B1537" s="426"/>
      <c r="C1537" s="514"/>
      <c r="D1537" s="416"/>
      <c r="E1537" s="416"/>
      <c r="F1537" s="416"/>
      <c r="G1537" s="416"/>
      <c r="H1537" s="416"/>
      <c r="I1537" s="416"/>
      <c r="J1537" s="515"/>
      <c r="K1537" s="516"/>
      <c r="L1537" s="516"/>
      <c r="M1537" s="504"/>
      <c r="N1537" s="504"/>
      <c r="O1537" s="504"/>
      <c r="P1537" s="504"/>
    </row>
    <row r="1538" spans="1:16" ht="13">
      <c r="A1538" s="426"/>
      <c r="B1538" s="426"/>
      <c r="C1538" s="427" t="s">
        <v>953</v>
      </c>
      <c r="D1538" s="492" t="s">
        <v>948</v>
      </c>
      <c r="E1538" s="492" t="s">
        <v>949</v>
      </c>
      <c r="F1538" s="492" t="s">
        <v>950</v>
      </c>
      <c r="G1538" s="416"/>
      <c r="H1538" s="416"/>
      <c r="I1538" s="416"/>
      <c r="J1538" s="515"/>
      <c r="K1538" s="516"/>
      <c r="L1538" s="516"/>
      <c r="M1538" s="504"/>
      <c r="N1538" s="504"/>
      <c r="O1538" s="504"/>
      <c r="P1538" s="504"/>
    </row>
    <row r="1539" spans="1:16" ht="13">
      <c r="A1539" s="426"/>
      <c r="B1539" s="426"/>
      <c r="C1539" s="417" t="s">
        <v>954</v>
      </c>
      <c r="D1539" s="409">
        <f>$I$1509</f>
        <v>1041.8432640000001</v>
      </c>
      <c r="E1539" s="409">
        <f>$I$1509</f>
        <v>1041.8432640000001</v>
      </c>
      <c r="F1539" s="409">
        <f>$I$1509</f>
        <v>1041.8432640000001</v>
      </c>
      <c r="G1539" s="416"/>
      <c r="H1539" s="416"/>
      <c r="I1539" s="416"/>
      <c r="J1539" s="515"/>
      <c r="K1539" s="516"/>
      <c r="L1539" s="516"/>
      <c r="M1539" s="504"/>
      <c r="N1539" s="504"/>
      <c r="O1539" s="504"/>
      <c r="P1539" s="504"/>
    </row>
    <row r="1540" spans="1:16" ht="13">
      <c r="A1540" s="426"/>
      <c r="B1540" s="426"/>
      <c r="C1540" s="417" t="s">
        <v>921</v>
      </c>
      <c r="D1540" s="409">
        <f>'[161]Civil-SOR'!$F$280</f>
        <v>177</v>
      </c>
      <c r="E1540" s="409">
        <f>'[161]Civil-SOR'!$F$280</f>
        <v>177</v>
      </c>
      <c r="F1540" s="409">
        <f>'[161]Civil-SOR'!$F$280</f>
        <v>177</v>
      </c>
      <c r="G1540" s="416"/>
      <c r="H1540" s="416"/>
      <c r="I1540" s="416"/>
      <c r="J1540" s="515"/>
      <c r="K1540" s="516"/>
      <c r="L1540" s="516"/>
      <c r="M1540" s="504"/>
      <c r="N1540" s="504"/>
      <c r="O1540" s="504"/>
      <c r="P1540" s="504"/>
    </row>
    <row r="1541" spans="1:16" ht="13">
      <c r="A1541" s="426"/>
      <c r="B1541" s="426"/>
      <c r="C1541" s="417" t="s">
        <v>1010</v>
      </c>
      <c r="D1541" s="408">
        <f>'[161]Civil-SOR'!$M$280</f>
        <v>318</v>
      </c>
      <c r="E1541" s="408">
        <f>'[161]Civil-SOR'!$N$280</f>
        <v>338</v>
      </c>
      <c r="F1541" s="408">
        <f>'[161]Civil-SOR'!$O$280</f>
        <v>358</v>
      </c>
      <c r="G1541" s="416"/>
      <c r="H1541" s="416"/>
      <c r="I1541" s="416"/>
      <c r="J1541" s="515"/>
      <c r="K1541" s="516"/>
      <c r="L1541" s="516"/>
      <c r="M1541" s="504"/>
      <c r="N1541" s="504"/>
      <c r="O1541" s="504"/>
      <c r="P1541" s="504"/>
    </row>
    <row r="1542" spans="1:16" ht="13">
      <c r="A1542" s="426"/>
      <c r="B1542" s="426"/>
      <c r="C1542" s="417" t="str">
        <f>[161]Input!$C$47</f>
        <v>Add for MA @ 40%</v>
      </c>
      <c r="D1542" s="409">
        <f>D1541*[161]Input!$D$47</f>
        <v>127.2</v>
      </c>
      <c r="E1542" s="409">
        <f>E1541*[161]Input!$D$47</f>
        <v>135.20000000000002</v>
      </c>
      <c r="F1542" s="409">
        <f>F1541*[161]Input!$D$47</f>
        <v>143.20000000000002</v>
      </c>
      <c r="G1542" s="416"/>
      <c r="H1542" s="416"/>
      <c r="I1542" s="416"/>
      <c r="J1542" s="515"/>
      <c r="K1542" s="516"/>
      <c r="L1542" s="516"/>
      <c r="M1542" s="504"/>
      <c r="N1542" s="504"/>
      <c r="O1542" s="504"/>
      <c r="P1542" s="504"/>
    </row>
    <row r="1543" spans="1:16" ht="25">
      <c r="A1543" s="426"/>
      <c r="B1543" s="426"/>
      <c r="C1543" s="417" t="s">
        <v>1011</v>
      </c>
      <c r="D1543" s="409">
        <f t="shared" ref="D1543:D1544" si="364">E1530*1.5</f>
        <v>22.750402500000003</v>
      </c>
      <c r="E1543" s="409">
        <f t="shared" ref="E1543:E1544" si="365">E1530*1.6</f>
        <v>24.267096000000006</v>
      </c>
      <c r="F1543" s="409">
        <f t="shared" ref="F1543:F1544" si="366">E1530*1.7</f>
        <v>25.783789500000005</v>
      </c>
      <c r="G1543" s="416"/>
      <c r="H1543" s="416"/>
      <c r="I1543" s="416"/>
      <c r="J1543" s="515"/>
      <c r="K1543" s="516"/>
      <c r="L1543" s="516"/>
      <c r="M1543" s="504"/>
      <c r="N1543" s="504"/>
      <c r="O1543" s="504"/>
      <c r="P1543" s="504"/>
    </row>
    <row r="1544" spans="1:16" ht="13">
      <c r="A1544" s="426"/>
      <c r="B1544" s="426"/>
      <c r="C1544" s="417" t="s">
        <v>828</v>
      </c>
      <c r="D1544" s="409">
        <f t="shared" si="364"/>
        <v>21.651029999999999</v>
      </c>
      <c r="E1544" s="409">
        <f t="shared" si="365"/>
        <v>23.094432000000001</v>
      </c>
      <c r="F1544" s="409">
        <f t="shared" si="366"/>
        <v>24.537834</v>
      </c>
      <c r="G1544" s="416"/>
      <c r="H1544" s="416"/>
      <c r="I1544" s="416"/>
      <c r="J1544" s="515"/>
      <c r="K1544" s="516"/>
      <c r="L1544" s="516"/>
      <c r="M1544" s="504"/>
      <c r="N1544" s="504"/>
      <c r="O1544" s="504"/>
      <c r="P1544" s="504"/>
    </row>
    <row r="1545" spans="1:16" ht="13">
      <c r="A1545" s="426"/>
      <c r="B1545" s="426"/>
      <c r="C1545" s="417" t="str">
        <f>[161]Input!$C$47</f>
        <v>Add for MA @ 40%</v>
      </c>
      <c r="D1545" s="409">
        <f>D1544*[161]Input!$D$47</f>
        <v>8.6604119999999991</v>
      </c>
      <c r="E1545" s="409">
        <f>E1544*[161]Input!$D$47</f>
        <v>9.2377728000000001</v>
      </c>
      <c r="F1545" s="409">
        <f>F1544*[161]Input!$D$47</f>
        <v>9.8151336000000011</v>
      </c>
      <c r="G1545" s="416"/>
      <c r="H1545" s="416"/>
      <c r="I1545" s="416"/>
      <c r="J1545" s="515"/>
      <c r="K1545" s="516"/>
      <c r="L1545" s="516"/>
      <c r="M1545" s="504"/>
      <c r="N1545" s="504"/>
      <c r="O1545" s="504"/>
      <c r="P1545" s="504"/>
    </row>
    <row r="1546" spans="1:16" ht="13">
      <c r="A1546" s="426"/>
      <c r="B1546" s="426"/>
      <c r="C1546" s="427" t="s">
        <v>742</v>
      </c>
      <c r="D1546" s="409">
        <f>SUM(D1539:D1545)</f>
        <v>1717.1051085000001</v>
      </c>
      <c r="E1546" s="409">
        <f>SUM(E1539:E1545)</f>
        <v>1748.6425648000002</v>
      </c>
      <c r="F1546" s="409">
        <f>SUM(F1539:F1545)</f>
        <v>1780.1800211000002</v>
      </c>
      <c r="G1546" s="416"/>
      <c r="H1546" s="416"/>
      <c r="I1546" s="416"/>
      <c r="J1546" s="515"/>
      <c r="K1546" s="516"/>
      <c r="L1546" s="516"/>
      <c r="M1546" s="504"/>
      <c r="N1546" s="504"/>
      <c r="O1546" s="504"/>
      <c r="P1546" s="504"/>
    </row>
    <row r="1547" spans="1:16" ht="25">
      <c r="A1547" s="426"/>
      <c r="B1547" s="426"/>
      <c r="C1547" s="417" t="str">
        <f>[161]Input!$C$48</f>
        <v>Overheads &amp; Contractors Profit @ 13.615%</v>
      </c>
      <c r="D1547" s="426">
        <f>ROUND(D1546*[161]Input!$D$48,2)</f>
        <v>233.78</v>
      </c>
      <c r="E1547" s="426">
        <f>ROUND(E1546*[161]Input!$D$48,2)</f>
        <v>238.08</v>
      </c>
      <c r="F1547" s="426">
        <f>ROUND(F1546*[161]Input!$D$48,2)</f>
        <v>242.37</v>
      </c>
      <c r="G1547" s="416"/>
      <c r="H1547" s="416"/>
      <c r="I1547" s="416"/>
      <c r="J1547" s="515"/>
      <c r="K1547" s="516"/>
      <c r="L1547" s="516"/>
      <c r="M1547" s="504"/>
      <c r="N1547" s="504"/>
      <c r="O1547" s="504"/>
      <c r="P1547" s="504"/>
    </row>
    <row r="1548" spans="1:16" ht="13">
      <c r="A1548" s="426"/>
      <c r="B1548" s="426"/>
      <c r="C1548" s="427" t="s">
        <v>742</v>
      </c>
      <c r="D1548" s="409">
        <f>SUM(D1546:D1547)</f>
        <v>1950.8851085000001</v>
      </c>
      <c r="E1548" s="409">
        <f>SUM(E1546:E1547)</f>
        <v>1986.7225648000001</v>
      </c>
      <c r="F1548" s="409">
        <f>SUM(F1546:F1547)</f>
        <v>2022.5500211000003</v>
      </c>
      <c r="G1548" s="416"/>
      <c r="H1548" s="416"/>
      <c r="I1548" s="416"/>
      <c r="J1548" s="515"/>
      <c r="K1548" s="516"/>
      <c r="L1548" s="516"/>
      <c r="M1548" s="504"/>
      <c r="N1548" s="504"/>
      <c r="O1548" s="504"/>
      <c r="P1548" s="504"/>
    </row>
    <row r="1549" spans="1:16" ht="13">
      <c r="A1549" s="426"/>
      <c r="B1549" s="426"/>
      <c r="C1549" s="514" t="s">
        <v>726</v>
      </c>
      <c r="D1549" s="416">
        <f>ROUND(D1548,0)</f>
        <v>1951</v>
      </c>
      <c r="E1549" s="416">
        <f>ROUND(E1548,0)</f>
        <v>1987</v>
      </c>
      <c r="F1549" s="416">
        <f>ROUND(F1548,0)</f>
        <v>2023</v>
      </c>
      <c r="G1549" s="416"/>
      <c r="H1549" s="416"/>
      <c r="I1549" s="416"/>
      <c r="J1549" s="515"/>
      <c r="K1549" s="516"/>
      <c r="L1549" s="516"/>
      <c r="M1549" s="504"/>
      <c r="N1549" s="504"/>
      <c r="O1549" s="504"/>
      <c r="P1549" s="504"/>
    </row>
    <row r="1550" spans="1:16" ht="13">
      <c r="A1550" s="426"/>
      <c r="B1550" s="426"/>
      <c r="C1550" s="514"/>
      <c r="D1550" s="416"/>
      <c r="E1550" s="416"/>
      <c r="F1550" s="416"/>
      <c r="G1550" s="416"/>
      <c r="H1550" s="416"/>
      <c r="I1550" s="416"/>
      <c r="J1550" s="515"/>
      <c r="K1550" s="516"/>
      <c r="L1550" s="516"/>
      <c r="M1550" s="504"/>
      <c r="N1550" s="504"/>
      <c r="O1550" s="504"/>
      <c r="P1550" s="504"/>
    </row>
    <row r="1551" spans="1:16" ht="13">
      <c r="A1551" s="426"/>
      <c r="B1551" s="474" t="s">
        <v>733</v>
      </c>
      <c r="C1551" s="451" t="s">
        <v>1015</v>
      </c>
      <c r="D1551" s="426"/>
      <c r="E1551" s="426"/>
      <c r="F1551" s="426"/>
      <c r="G1551" s="410"/>
      <c r="H1551" s="474"/>
      <c r="I1551" s="434"/>
      <c r="J1551" s="472"/>
      <c r="K1551" s="497"/>
      <c r="L1551" s="497"/>
      <c r="M1551" s="498"/>
      <c r="N1551" s="498"/>
      <c r="O1551" s="498"/>
      <c r="P1551" s="498"/>
    </row>
    <row r="1552" spans="1:16" ht="13">
      <c r="A1552" s="426"/>
      <c r="B1552" s="426"/>
      <c r="C1552" s="417" t="s">
        <v>920</v>
      </c>
      <c r="D1552" s="491">
        <v>0.17499999999999999</v>
      </c>
      <c r="E1552" s="426" t="s">
        <v>57</v>
      </c>
      <c r="F1552" s="409">
        <f>$I$1419</f>
        <v>6945.6217600000009</v>
      </c>
      <c r="G1552" s="410">
        <v>1</v>
      </c>
      <c r="H1552" s="426" t="s">
        <v>57</v>
      </c>
      <c r="I1552" s="414">
        <f>IF(G1552="",D1552*F1552,(D1552*F1552/G1552))</f>
        <v>1215.4838080000002</v>
      </c>
      <c r="J1552" s="472"/>
      <c r="K1552" s="497"/>
      <c r="L1552" s="497"/>
      <c r="M1552" s="498"/>
      <c r="N1552" s="498"/>
      <c r="O1552" s="498"/>
      <c r="P1552" s="498"/>
    </row>
    <row r="1553" spans="1:16" ht="13">
      <c r="A1553" s="426"/>
      <c r="B1553" s="426"/>
      <c r="C1553" s="417"/>
      <c r="D1553" s="426"/>
      <c r="E1553" s="426"/>
      <c r="F1553" s="426"/>
      <c r="G1553" s="410"/>
      <c r="H1553" s="426"/>
      <c r="I1553" s="434"/>
      <c r="J1553" s="472"/>
      <c r="K1553" s="497"/>
      <c r="L1553" s="497"/>
      <c r="M1553" s="498"/>
      <c r="N1553" s="498"/>
      <c r="O1553" s="498"/>
      <c r="P1553" s="498"/>
    </row>
    <row r="1554" spans="1:16" ht="12.75" customHeight="1">
      <c r="A1554" s="406"/>
      <c r="B1554" s="406"/>
      <c r="C1554" s="1294" t="s">
        <v>1019</v>
      </c>
      <c r="D1554" s="1294"/>
      <c r="E1554" s="1294"/>
      <c r="F1554" s="1294"/>
      <c r="G1554" s="407"/>
      <c r="H1554" s="406"/>
      <c r="I1554" s="422"/>
      <c r="J1554" s="589"/>
      <c r="K1554" s="562"/>
      <c r="L1554" s="563"/>
      <c r="M1554" s="498"/>
      <c r="N1554" s="498"/>
      <c r="O1554" s="498"/>
      <c r="P1554" s="498"/>
    </row>
    <row r="1555" spans="1:16" ht="12.75" customHeight="1">
      <c r="A1555" s="474"/>
      <c r="B1555" s="474" t="s">
        <v>951</v>
      </c>
      <c r="C1555" s="427" t="s">
        <v>953</v>
      </c>
      <c r="D1555" s="461" t="s">
        <v>959</v>
      </c>
      <c r="E1555" s="407" t="s">
        <v>943</v>
      </c>
      <c r="F1555" s="436" t="s">
        <v>944</v>
      </c>
      <c r="G1555" s="436" t="s">
        <v>945</v>
      </c>
      <c r="H1555" s="407" t="s">
        <v>946</v>
      </c>
      <c r="I1555" s="407" t="s">
        <v>947</v>
      </c>
      <c r="J1555" s="580" t="s">
        <v>948</v>
      </c>
      <c r="K1555" s="564" t="s">
        <v>949</v>
      </c>
      <c r="L1555" s="564" t="s">
        <v>950</v>
      </c>
      <c r="M1555" s="498"/>
      <c r="N1555" s="498"/>
      <c r="O1555" s="498"/>
      <c r="P1555" s="498"/>
    </row>
    <row r="1556" spans="1:16">
      <c r="A1556" s="406"/>
      <c r="B1556" s="406"/>
      <c r="C1556" s="417" t="s">
        <v>954</v>
      </c>
      <c r="D1556" s="432">
        <f t="shared" ref="D1556:L1556" si="367">$I$1552</f>
        <v>1215.4838080000002</v>
      </c>
      <c r="E1556" s="432">
        <f t="shared" si="367"/>
        <v>1215.4838080000002</v>
      </c>
      <c r="F1556" s="432">
        <f t="shared" si="367"/>
        <v>1215.4838080000002</v>
      </c>
      <c r="G1556" s="432">
        <f t="shared" si="367"/>
        <v>1215.4838080000002</v>
      </c>
      <c r="H1556" s="432">
        <f t="shared" si="367"/>
        <v>1215.4838080000002</v>
      </c>
      <c r="I1556" s="432">
        <f t="shared" si="367"/>
        <v>1215.4838080000002</v>
      </c>
      <c r="J1556" s="590">
        <f t="shared" si="367"/>
        <v>1215.4838080000002</v>
      </c>
      <c r="K1556" s="567">
        <f t="shared" si="367"/>
        <v>1215.4838080000002</v>
      </c>
      <c r="L1556" s="567">
        <f t="shared" si="367"/>
        <v>1215.4838080000002</v>
      </c>
      <c r="M1556" s="498"/>
      <c r="N1556" s="498"/>
      <c r="O1556" s="498"/>
      <c r="P1556" s="498"/>
    </row>
    <row r="1557" spans="1:16">
      <c r="A1557" s="406"/>
      <c r="B1557" s="406"/>
      <c r="C1557" s="417" t="s">
        <v>921</v>
      </c>
      <c r="D1557" s="432">
        <f>'[161]Civil-SOR'!$F$281</f>
        <v>183</v>
      </c>
      <c r="E1557" s="432">
        <f>'[161]Civil-SOR'!$F$281</f>
        <v>183</v>
      </c>
      <c r="F1557" s="432">
        <f>'[161]Civil-SOR'!$F$281</f>
        <v>183</v>
      </c>
      <c r="G1557" s="432">
        <f>'[161]Civil-SOR'!$F$281</f>
        <v>183</v>
      </c>
      <c r="H1557" s="432">
        <f>'[161]Civil-SOR'!$F$281</f>
        <v>183</v>
      </c>
      <c r="I1557" s="432">
        <f>'[161]Civil-SOR'!$F$281</f>
        <v>183</v>
      </c>
      <c r="J1557" s="590">
        <f>'[161]Civil-SOR'!$F$281</f>
        <v>183</v>
      </c>
      <c r="K1557" s="567">
        <f>'[161]Civil-SOR'!$F$281</f>
        <v>183</v>
      </c>
      <c r="L1557" s="567">
        <f>'[161]Civil-SOR'!$F$281</f>
        <v>183</v>
      </c>
      <c r="M1557" s="498"/>
      <c r="N1557" s="498"/>
      <c r="O1557" s="498"/>
      <c r="P1557" s="498"/>
    </row>
    <row r="1558" spans="1:16">
      <c r="A1558" s="406"/>
      <c r="B1558" s="406"/>
      <c r="C1558" s="417" t="s">
        <v>993</v>
      </c>
      <c r="D1558" s="459">
        <f>'[161]Civil-SOR'!$G$281</f>
        <v>204</v>
      </c>
      <c r="E1558" s="459">
        <f>'[161]Civil-SOR'!$H$281</f>
        <v>224</v>
      </c>
      <c r="F1558" s="459">
        <f>'[161]Civil-SOR'!$I$281</f>
        <v>245</v>
      </c>
      <c r="G1558" s="459">
        <f>'[161]Civil-SOR'!$J$281</f>
        <v>265</v>
      </c>
      <c r="H1558" s="459">
        <f>'[161]Civil-SOR'!$K$281</f>
        <v>286</v>
      </c>
      <c r="I1558" s="459">
        <f>'[161]Civil-SOR'!$L$281</f>
        <v>306</v>
      </c>
      <c r="J1558" s="591">
        <f>'[161]Civil-SOR'!$M$281</f>
        <v>326</v>
      </c>
      <c r="K1558" s="566">
        <f>'[161]Civil-SOR'!$N$281</f>
        <v>347</v>
      </c>
      <c r="L1558" s="566">
        <f>'[161]Civil-SOR'!$O$281</f>
        <v>367</v>
      </c>
      <c r="M1558" s="498"/>
      <c r="N1558" s="498"/>
      <c r="O1558" s="498"/>
      <c r="P1558" s="498"/>
    </row>
    <row r="1559" spans="1:16">
      <c r="A1559" s="406"/>
      <c r="B1559" s="406"/>
      <c r="C1559" s="417" t="str">
        <f>[161]Input!$C$47</f>
        <v>Add for MA @ 40%</v>
      </c>
      <c r="D1559" s="432">
        <f>D1558*[161]Input!$D$47</f>
        <v>81.600000000000009</v>
      </c>
      <c r="E1559" s="432">
        <f>E1558*[161]Input!$D$47</f>
        <v>89.600000000000009</v>
      </c>
      <c r="F1559" s="432">
        <f>F1558*[161]Input!$D$47</f>
        <v>98</v>
      </c>
      <c r="G1559" s="432">
        <f>G1558*[161]Input!$D$47</f>
        <v>106</v>
      </c>
      <c r="H1559" s="432">
        <f>H1558*[161]Input!$D$47</f>
        <v>114.4</v>
      </c>
      <c r="I1559" s="432">
        <f>I1558*[161]Input!$D$47</f>
        <v>122.4</v>
      </c>
      <c r="J1559" s="590">
        <f>J1558*[161]Input!$D$47</f>
        <v>130.4</v>
      </c>
      <c r="K1559" s="567">
        <f>K1558*[161]Input!$D$47</f>
        <v>138.80000000000001</v>
      </c>
      <c r="L1559" s="567">
        <f>L1558*[161]Input!$D$47</f>
        <v>146.80000000000001</v>
      </c>
      <c r="M1559" s="498"/>
      <c r="N1559" s="498"/>
      <c r="O1559" s="498"/>
      <c r="P1559" s="498"/>
    </row>
    <row r="1560" spans="1:16">
      <c r="A1560" s="406"/>
      <c r="B1560" s="406"/>
      <c r="C1560" s="417" t="s">
        <v>979</v>
      </c>
      <c r="D1560" s="432">
        <v>0</v>
      </c>
      <c r="E1560" s="432">
        <f>$F$1411*D1552*10%</f>
        <v>29.960875000000001</v>
      </c>
      <c r="F1560" s="432">
        <f>$F$1411*D1552*20%</f>
        <v>59.921750000000003</v>
      </c>
      <c r="G1560" s="432">
        <f>$F$1411*D1552*30%</f>
        <v>89.88262499999999</v>
      </c>
      <c r="H1560" s="432">
        <f>$F$1411*D1552*40%</f>
        <v>119.84350000000001</v>
      </c>
      <c r="I1560" s="432">
        <f>$F$1411*D1552*50%</f>
        <v>149.80437499999999</v>
      </c>
      <c r="J1560" s="590">
        <f>$F$1411*D1552*60%</f>
        <v>179.76524999999998</v>
      </c>
      <c r="K1560" s="567">
        <f>$F$1411*D1552*70%</f>
        <v>209.72612499999997</v>
      </c>
      <c r="L1560" s="567">
        <f>$F$1411*D1552*80%</f>
        <v>239.68700000000001</v>
      </c>
      <c r="M1560" s="498"/>
      <c r="N1560" s="498"/>
      <c r="O1560" s="498"/>
      <c r="P1560" s="498"/>
    </row>
    <row r="1561" spans="1:16">
      <c r="A1561" s="406"/>
      <c r="B1561" s="406"/>
      <c r="C1561" s="417" t="str">
        <f>[161]Input!$C$47</f>
        <v>Add for MA @ 40%</v>
      </c>
      <c r="D1561" s="432">
        <f>D1560*[161]Input!D126</f>
        <v>0</v>
      </c>
      <c r="E1561" s="432">
        <f>E1560*[161]Input!$D$47</f>
        <v>11.984350000000001</v>
      </c>
      <c r="F1561" s="432">
        <f>F1560*[161]Input!$D$47</f>
        <v>23.968700000000002</v>
      </c>
      <c r="G1561" s="432">
        <f>G1560*[161]Input!$D$47</f>
        <v>35.953049999999998</v>
      </c>
      <c r="H1561" s="432">
        <f>H1560*[161]Input!$D$47</f>
        <v>47.937400000000004</v>
      </c>
      <c r="I1561" s="432">
        <f>I1560*[161]Input!$D$47</f>
        <v>59.921750000000003</v>
      </c>
      <c r="J1561" s="590">
        <f>J1560*[161]Input!$D$47</f>
        <v>71.906099999999995</v>
      </c>
      <c r="K1561" s="567">
        <f>K1560*[161]Input!$D$47</f>
        <v>83.890449999999987</v>
      </c>
      <c r="L1561" s="567">
        <f>L1560*[161]Input!$D$47</f>
        <v>95.874800000000008</v>
      </c>
      <c r="M1561" s="498"/>
      <c r="N1561" s="498"/>
      <c r="O1561" s="498"/>
      <c r="P1561" s="498"/>
    </row>
    <row r="1562" spans="1:16" ht="13">
      <c r="A1562" s="406"/>
      <c r="B1562" s="406"/>
      <c r="C1562" s="427" t="s">
        <v>742</v>
      </c>
      <c r="D1562" s="432">
        <f t="shared" ref="D1562:L1562" si="368">SUM(D1556:D1561)</f>
        <v>1684.0838080000001</v>
      </c>
      <c r="E1562" s="432">
        <f t="shared" si="368"/>
        <v>1754.029033</v>
      </c>
      <c r="F1562" s="432">
        <f t="shared" si="368"/>
        <v>1825.3742580000001</v>
      </c>
      <c r="G1562" s="432">
        <f t="shared" si="368"/>
        <v>1895.3194830000002</v>
      </c>
      <c r="H1562" s="432">
        <f t="shared" si="368"/>
        <v>1966.6647080000002</v>
      </c>
      <c r="I1562" s="432">
        <f t="shared" si="368"/>
        <v>2036.6099330000002</v>
      </c>
      <c r="J1562" s="590">
        <f t="shared" si="368"/>
        <v>2106.5551580000001</v>
      </c>
      <c r="K1562" s="567">
        <f t="shared" si="368"/>
        <v>2177.9003830000001</v>
      </c>
      <c r="L1562" s="567">
        <f t="shared" si="368"/>
        <v>2247.8456080000001</v>
      </c>
      <c r="M1562" s="498"/>
      <c r="N1562" s="498"/>
      <c r="O1562" s="498"/>
      <c r="P1562" s="498"/>
    </row>
    <row r="1563" spans="1:16" ht="25">
      <c r="A1563" s="406"/>
      <c r="B1563" s="406"/>
      <c r="C1563" s="417" t="str">
        <f>[161]Input!$C$48</f>
        <v>Overheads &amp; Contractors Profit @ 13.615%</v>
      </c>
      <c r="D1563" s="406">
        <f>ROUND(D1562*[161]Input!$D$48,2)</f>
        <v>229.29</v>
      </c>
      <c r="E1563" s="406">
        <f>ROUND(E1562*[161]Input!$D$48,2)</f>
        <v>238.81</v>
      </c>
      <c r="F1563" s="406">
        <f>ROUND(F1562*[161]Input!$D$48,2)</f>
        <v>248.52</v>
      </c>
      <c r="G1563" s="406">
        <f>ROUND(G1562*[161]Input!$D$48,2)</f>
        <v>258.05</v>
      </c>
      <c r="H1563" s="406">
        <f>ROUND(H1562*[161]Input!$D$48,2)</f>
        <v>267.76</v>
      </c>
      <c r="I1563" s="406">
        <f>ROUND(I1562*[161]Input!$D$48,2)</f>
        <v>277.27999999999997</v>
      </c>
      <c r="J1563" s="592">
        <f>ROUND(J1562*[161]Input!$D$48,2)</f>
        <v>286.81</v>
      </c>
      <c r="K1563" s="568">
        <f>ROUND(K1562*[161]Input!$D$48,2)</f>
        <v>296.52</v>
      </c>
      <c r="L1563" s="568">
        <f>ROUND(L1562*[161]Input!$D$48,2)</f>
        <v>306.04000000000002</v>
      </c>
      <c r="M1563" s="498"/>
      <c r="N1563" s="498"/>
      <c r="O1563" s="498"/>
      <c r="P1563" s="498"/>
    </row>
    <row r="1564" spans="1:16" ht="13">
      <c r="A1564" s="406"/>
      <c r="B1564" s="406"/>
      <c r="C1564" s="473" t="s">
        <v>742</v>
      </c>
      <c r="D1564" s="432">
        <f t="shared" ref="D1564:L1564" si="369">SUM(D1562:D1563)</f>
        <v>1913.3738080000001</v>
      </c>
      <c r="E1564" s="432">
        <f t="shared" si="369"/>
        <v>1992.839033</v>
      </c>
      <c r="F1564" s="432">
        <f t="shared" si="369"/>
        <v>2073.8942580000003</v>
      </c>
      <c r="G1564" s="432">
        <f t="shared" si="369"/>
        <v>2153.3694830000004</v>
      </c>
      <c r="H1564" s="432">
        <f t="shared" si="369"/>
        <v>2234.4247080000005</v>
      </c>
      <c r="I1564" s="432">
        <f t="shared" si="369"/>
        <v>2313.8899330000004</v>
      </c>
      <c r="J1564" s="593">
        <f t="shared" si="369"/>
        <v>2393.3651580000001</v>
      </c>
      <c r="K1564" s="594">
        <f t="shared" si="369"/>
        <v>2474.4203830000001</v>
      </c>
      <c r="L1564" s="594">
        <f t="shared" si="369"/>
        <v>2553.885608</v>
      </c>
      <c r="M1564" s="504"/>
      <c r="N1564" s="504"/>
      <c r="O1564" s="504"/>
      <c r="P1564" s="504"/>
    </row>
    <row r="1565" spans="1:16" ht="13">
      <c r="A1565" s="406"/>
      <c r="B1565" s="406"/>
      <c r="C1565" s="514" t="s">
        <v>726</v>
      </c>
      <c r="D1565" s="570">
        <f t="shared" ref="D1565:L1565" si="370">ROUND(D1564,0)</f>
        <v>1913</v>
      </c>
      <c r="E1565" s="570">
        <f t="shared" si="370"/>
        <v>1993</v>
      </c>
      <c r="F1565" s="570">
        <f t="shared" si="370"/>
        <v>2074</v>
      </c>
      <c r="G1565" s="570">
        <f t="shared" si="370"/>
        <v>2153</v>
      </c>
      <c r="H1565" s="570">
        <f t="shared" si="370"/>
        <v>2234</v>
      </c>
      <c r="I1565" s="570">
        <f t="shared" si="370"/>
        <v>2314</v>
      </c>
      <c r="J1565" s="595">
        <f t="shared" si="370"/>
        <v>2393</v>
      </c>
      <c r="K1565" s="572">
        <f t="shared" si="370"/>
        <v>2474</v>
      </c>
      <c r="L1565" s="572">
        <f t="shared" si="370"/>
        <v>2554</v>
      </c>
      <c r="M1565" s="504"/>
      <c r="N1565" s="504"/>
      <c r="O1565" s="504"/>
      <c r="P1565" s="504"/>
    </row>
    <row r="1566" spans="1:16" ht="13">
      <c r="A1566" s="426"/>
      <c r="B1566" s="426"/>
      <c r="C1566" s="550"/>
      <c r="D1566" s="416"/>
      <c r="E1566" s="416"/>
      <c r="F1566" s="416"/>
      <c r="G1566" s="416"/>
      <c r="H1566" s="416"/>
      <c r="I1566" s="414"/>
      <c r="J1566" s="472"/>
      <c r="K1566" s="497"/>
      <c r="L1566" s="497"/>
      <c r="M1566" s="498"/>
      <c r="N1566" s="498"/>
      <c r="O1566" s="498"/>
      <c r="P1566" s="498"/>
    </row>
    <row r="1567" spans="1:16" ht="13">
      <c r="A1567" s="426"/>
      <c r="B1567" s="474" t="s">
        <v>957</v>
      </c>
      <c r="C1567" s="451" t="s">
        <v>958</v>
      </c>
      <c r="D1567" s="426"/>
      <c r="E1567" s="426"/>
      <c r="F1567" s="426"/>
      <c r="G1567" s="410"/>
      <c r="H1567" s="426"/>
      <c r="I1567" s="434"/>
      <c r="J1567" s="578"/>
      <c r="K1567" s="497"/>
      <c r="L1567" s="579"/>
      <c r="M1567" s="498"/>
      <c r="N1567" s="498"/>
      <c r="O1567" s="498"/>
      <c r="P1567" s="498"/>
    </row>
    <row r="1568" spans="1:16" ht="13">
      <c r="A1568" s="426"/>
      <c r="B1568" s="426"/>
      <c r="C1568" s="427" t="s">
        <v>953</v>
      </c>
      <c r="D1568" s="414" t="s">
        <v>959</v>
      </c>
      <c r="E1568" s="474" t="s">
        <v>943</v>
      </c>
      <c r="F1568" s="492" t="s">
        <v>944</v>
      </c>
      <c r="G1568" s="492" t="s">
        <v>945</v>
      </c>
      <c r="H1568" s="474" t="s">
        <v>946</v>
      </c>
      <c r="I1568" s="474" t="s">
        <v>947</v>
      </c>
      <c r="J1568" s="472"/>
      <c r="K1568" s="497"/>
      <c r="L1568" s="497"/>
      <c r="M1568" s="498"/>
      <c r="N1568" s="498"/>
      <c r="O1568" s="498"/>
      <c r="P1568" s="498"/>
    </row>
    <row r="1569" spans="1:16">
      <c r="A1569" s="426"/>
      <c r="B1569" s="426"/>
      <c r="C1569" s="417" t="s">
        <v>954</v>
      </c>
      <c r="D1569" s="409">
        <f t="shared" ref="D1569:I1569" si="371">$I$1552</f>
        <v>1215.4838080000002</v>
      </c>
      <c r="E1569" s="409">
        <f t="shared" si="371"/>
        <v>1215.4838080000002</v>
      </c>
      <c r="F1569" s="409">
        <f t="shared" si="371"/>
        <v>1215.4838080000002</v>
      </c>
      <c r="G1569" s="409">
        <f t="shared" si="371"/>
        <v>1215.4838080000002</v>
      </c>
      <c r="H1569" s="409">
        <f t="shared" si="371"/>
        <v>1215.4838080000002</v>
      </c>
      <c r="I1569" s="409">
        <f t="shared" si="371"/>
        <v>1215.4838080000002</v>
      </c>
      <c r="J1569" s="472"/>
      <c r="K1569" s="497"/>
      <c r="L1569" s="497"/>
      <c r="M1569" s="498"/>
      <c r="N1569" s="498"/>
      <c r="O1569" s="498"/>
      <c r="P1569" s="498"/>
    </row>
    <row r="1570" spans="1:16">
      <c r="A1570" s="426"/>
      <c r="B1570" s="426"/>
      <c r="C1570" s="417" t="s">
        <v>921</v>
      </c>
      <c r="D1570" s="409">
        <f>'[161]Civil-SOR'!$F$281</f>
        <v>183</v>
      </c>
      <c r="E1570" s="409">
        <f>'[161]Civil-SOR'!$F$281</f>
        <v>183</v>
      </c>
      <c r="F1570" s="409">
        <f>'[161]Civil-SOR'!$F$281</f>
        <v>183</v>
      </c>
      <c r="G1570" s="409">
        <f>'[161]Civil-SOR'!$F$281</f>
        <v>183</v>
      </c>
      <c r="H1570" s="409">
        <f>'[161]Civil-SOR'!$F$281</f>
        <v>183</v>
      </c>
      <c r="I1570" s="409">
        <f>'[161]Civil-SOR'!$F$281</f>
        <v>183</v>
      </c>
      <c r="J1570" s="472"/>
      <c r="K1570" s="497"/>
      <c r="L1570" s="497"/>
      <c r="M1570" s="498"/>
      <c r="N1570" s="498"/>
      <c r="O1570" s="498"/>
      <c r="P1570" s="498"/>
    </row>
    <row r="1571" spans="1:16">
      <c r="A1571" s="426"/>
      <c r="B1571" s="426"/>
      <c r="C1571" s="417" t="s">
        <v>993</v>
      </c>
      <c r="D1571" s="408">
        <f>'[161]Civil-SOR'!$G$281</f>
        <v>204</v>
      </c>
      <c r="E1571" s="408">
        <f>'[161]Civil-SOR'!$H$281</f>
        <v>224</v>
      </c>
      <c r="F1571" s="408">
        <f>'[161]Civil-SOR'!$I$281</f>
        <v>245</v>
      </c>
      <c r="G1571" s="408">
        <f>'[161]Civil-SOR'!$J$281</f>
        <v>265</v>
      </c>
      <c r="H1571" s="408">
        <f>'[161]Civil-SOR'!$K$281</f>
        <v>286</v>
      </c>
      <c r="I1571" s="408">
        <f>'[161]Civil-SOR'!$L$281</f>
        <v>306</v>
      </c>
      <c r="J1571" s="472"/>
      <c r="K1571" s="497"/>
      <c r="L1571" s="497"/>
      <c r="M1571" s="498"/>
      <c r="N1571" s="498"/>
      <c r="O1571" s="498"/>
      <c r="P1571" s="498"/>
    </row>
    <row r="1572" spans="1:16">
      <c r="A1572" s="426"/>
      <c r="B1572" s="426"/>
      <c r="C1572" s="417" t="str">
        <f>[161]Input!$C$47</f>
        <v>Add for MA @ 40%</v>
      </c>
      <c r="D1572" s="409">
        <f>D1571*[161]Input!$D$47</f>
        <v>81.600000000000009</v>
      </c>
      <c r="E1572" s="409">
        <f>E1571*[161]Input!$D$47</f>
        <v>89.600000000000009</v>
      </c>
      <c r="F1572" s="409">
        <f>F1571*[161]Input!$D$47</f>
        <v>98</v>
      </c>
      <c r="G1572" s="409">
        <f>G1571*[161]Input!$D$47</f>
        <v>106</v>
      </c>
      <c r="H1572" s="409">
        <f>H1571*[161]Input!$D$47</f>
        <v>114.4</v>
      </c>
      <c r="I1572" s="409">
        <f>I1571*[161]Input!$D$47</f>
        <v>122.4</v>
      </c>
      <c r="J1572" s="472"/>
      <c r="K1572" s="497"/>
      <c r="L1572" s="497"/>
      <c r="M1572" s="498"/>
      <c r="N1572" s="498"/>
      <c r="O1572" s="498"/>
      <c r="P1572" s="498"/>
    </row>
    <row r="1573" spans="1:16" ht="25">
      <c r="A1573" s="426"/>
      <c r="B1573" s="426"/>
      <c r="C1573" s="417" t="s">
        <v>995</v>
      </c>
      <c r="D1573" s="409">
        <v>0</v>
      </c>
      <c r="E1573" s="409">
        <f>0.267*D1552*'[161]Civil-SOR'!$G$334</f>
        <v>17.694757500000001</v>
      </c>
      <c r="F1573" s="409">
        <f t="shared" ref="F1573:F1574" si="372">E1573*1.1</f>
        <v>19.464233250000003</v>
      </c>
      <c r="G1573" s="409">
        <f t="shared" ref="G1573:G1574" si="373">E1573*1.2</f>
        <v>21.233709000000001</v>
      </c>
      <c r="H1573" s="409">
        <f t="shared" ref="H1573:H1574" si="374">E1573*1.3</f>
        <v>23.003184750000003</v>
      </c>
      <c r="I1573" s="409">
        <f t="shared" ref="I1573:I1574" si="375">E1573*1.4</f>
        <v>24.772660500000001</v>
      </c>
      <c r="J1573" s="472"/>
      <c r="K1573" s="497"/>
      <c r="L1573" s="497"/>
      <c r="M1573" s="498"/>
      <c r="N1573" s="498"/>
      <c r="O1573" s="498"/>
      <c r="P1573" s="498"/>
    </row>
    <row r="1574" spans="1:16">
      <c r="A1574" s="426"/>
      <c r="B1574" s="426"/>
      <c r="C1574" s="417" t="s">
        <v>828</v>
      </c>
      <c r="D1574" s="409"/>
      <c r="E1574" s="409">
        <f>0.267*D1552*'[161]Civil-SOR'!$J$334</f>
        <v>16.839690000000001</v>
      </c>
      <c r="F1574" s="409">
        <f t="shared" si="372"/>
        <v>18.523659000000002</v>
      </c>
      <c r="G1574" s="409">
        <f t="shared" si="373"/>
        <v>20.207628</v>
      </c>
      <c r="H1574" s="409">
        <f t="shared" si="374"/>
        <v>21.891597000000001</v>
      </c>
      <c r="I1574" s="409">
        <f t="shared" si="375"/>
        <v>23.575565999999998</v>
      </c>
      <c r="J1574" s="472"/>
      <c r="K1574" s="497"/>
      <c r="L1574" s="497"/>
      <c r="M1574" s="498"/>
      <c r="N1574" s="498"/>
      <c r="O1574" s="498"/>
      <c r="P1574" s="498"/>
    </row>
    <row r="1575" spans="1:16">
      <c r="A1575" s="426"/>
      <c r="B1575" s="426"/>
      <c r="C1575" s="417" t="str">
        <f>[161]Input!$C$47</f>
        <v>Add for MA @ 40%</v>
      </c>
      <c r="D1575" s="409">
        <f>D1573*[161]Input!D139</f>
        <v>0</v>
      </c>
      <c r="E1575" s="409">
        <f>E1574*[161]Input!$D$47</f>
        <v>6.7358760000000011</v>
      </c>
      <c r="F1575" s="409">
        <f>F1574*[161]Input!$D$47</f>
        <v>7.4094636000000014</v>
      </c>
      <c r="G1575" s="409">
        <f>G1574*[161]Input!$D$47</f>
        <v>8.0830511999999999</v>
      </c>
      <c r="H1575" s="409">
        <f>H1574*[161]Input!$D$47</f>
        <v>8.7566388000000011</v>
      </c>
      <c r="I1575" s="409">
        <f>I1574*[161]Input!$D$47</f>
        <v>9.4302264000000005</v>
      </c>
      <c r="J1575" s="472"/>
      <c r="K1575" s="497"/>
      <c r="L1575" s="497"/>
      <c r="M1575" s="498"/>
      <c r="N1575" s="498"/>
      <c r="O1575" s="498"/>
      <c r="P1575" s="498"/>
    </row>
    <row r="1576" spans="1:16" ht="13">
      <c r="A1576" s="426"/>
      <c r="B1576" s="426"/>
      <c r="C1576" s="427" t="s">
        <v>742</v>
      </c>
      <c r="D1576" s="409">
        <f t="shared" ref="D1576:I1576" si="376">SUM(D1569:D1575)</f>
        <v>1684.0838080000001</v>
      </c>
      <c r="E1576" s="409">
        <f t="shared" si="376"/>
        <v>1753.3541315</v>
      </c>
      <c r="F1576" s="409">
        <f t="shared" si="376"/>
        <v>1786.8811638500001</v>
      </c>
      <c r="G1576" s="409">
        <f t="shared" si="376"/>
        <v>1819.0081962000002</v>
      </c>
      <c r="H1576" s="409">
        <f t="shared" si="376"/>
        <v>1852.5352285500003</v>
      </c>
      <c r="I1576" s="409">
        <f t="shared" si="376"/>
        <v>1884.6622609000003</v>
      </c>
      <c r="J1576" s="472"/>
      <c r="K1576" s="497"/>
      <c r="L1576" s="497"/>
      <c r="M1576" s="498"/>
      <c r="N1576" s="498"/>
      <c r="O1576" s="498"/>
      <c r="P1576" s="498"/>
    </row>
    <row r="1577" spans="1:16" ht="25">
      <c r="A1577" s="426"/>
      <c r="B1577" s="426"/>
      <c r="C1577" s="417" t="str">
        <f>[161]Input!$C$48</f>
        <v>Overheads &amp; Contractors Profit @ 13.615%</v>
      </c>
      <c r="D1577" s="426">
        <f>ROUND(D1576*[161]Input!$D$48,2)</f>
        <v>229.29</v>
      </c>
      <c r="E1577" s="426">
        <f>ROUND(E1576*[161]Input!$D$48,2)</f>
        <v>238.72</v>
      </c>
      <c r="F1577" s="426">
        <f>ROUND(F1576*[161]Input!$D$48,2)</f>
        <v>243.28</v>
      </c>
      <c r="G1577" s="426">
        <f>ROUND(G1576*[161]Input!$D$48,2)</f>
        <v>247.66</v>
      </c>
      <c r="H1577" s="426">
        <f>ROUND(H1576*[161]Input!$D$48,2)</f>
        <v>252.22</v>
      </c>
      <c r="I1577" s="426">
        <f>ROUND(I1576*[161]Input!$D$48,2)</f>
        <v>256.60000000000002</v>
      </c>
      <c r="J1577" s="472"/>
      <c r="K1577" s="497"/>
      <c r="L1577" s="497"/>
      <c r="M1577" s="498"/>
      <c r="N1577" s="498"/>
      <c r="O1577" s="498"/>
      <c r="P1577" s="498"/>
    </row>
    <row r="1578" spans="1:16" ht="13">
      <c r="A1578" s="426"/>
      <c r="B1578" s="426"/>
      <c r="C1578" s="427" t="s">
        <v>742</v>
      </c>
      <c r="D1578" s="409">
        <f t="shared" ref="D1578:I1578" si="377">SUM(D1576:D1577)</f>
        <v>1913.3738080000001</v>
      </c>
      <c r="E1578" s="409">
        <f t="shared" si="377"/>
        <v>1992.0741315</v>
      </c>
      <c r="F1578" s="409">
        <f t="shared" si="377"/>
        <v>2030.1611638500001</v>
      </c>
      <c r="G1578" s="409">
        <f t="shared" si="377"/>
        <v>2066.6681962000002</v>
      </c>
      <c r="H1578" s="409">
        <f t="shared" si="377"/>
        <v>2104.7552285500001</v>
      </c>
      <c r="I1578" s="409">
        <f t="shared" si="377"/>
        <v>2141.2622609000005</v>
      </c>
      <c r="J1578" s="502"/>
      <c r="K1578" s="503"/>
      <c r="L1578" s="503"/>
      <c r="M1578" s="504"/>
      <c r="N1578" s="504"/>
      <c r="O1578" s="504"/>
      <c r="P1578" s="504"/>
    </row>
    <row r="1579" spans="1:16" ht="13">
      <c r="A1579" s="426"/>
      <c r="B1579" s="426"/>
      <c r="C1579" s="514" t="s">
        <v>726</v>
      </c>
      <c r="D1579" s="416">
        <f t="shared" ref="D1579:I1579" si="378">ROUND(D1578,0)</f>
        <v>1913</v>
      </c>
      <c r="E1579" s="416">
        <f t="shared" si="378"/>
        <v>1992</v>
      </c>
      <c r="F1579" s="416">
        <f t="shared" si="378"/>
        <v>2030</v>
      </c>
      <c r="G1579" s="416">
        <f t="shared" si="378"/>
        <v>2067</v>
      </c>
      <c r="H1579" s="416">
        <f t="shared" si="378"/>
        <v>2105</v>
      </c>
      <c r="I1579" s="416">
        <f t="shared" si="378"/>
        <v>2141</v>
      </c>
      <c r="J1579" s="502"/>
      <c r="K1579" s="503"/>
      <c r="L1579" s="503"/>
      <c r="M1579" s="504"/>
      <c r="N1579" s="504"/>
      <c r="O1579" s="504"/>
      <c r="P1579" s="504"/>
    </row>
    <row r="1580" spans="1:16" ht="13">
      <c r="A1580" s="426"/>
      <c r="B1580" s="426"/>
      <c r="C1580" s="451" t="s">
        <v>1015</v>
      </c>
      <c r="D1580" s="416"/>
      <c r="E1580" s="416"/>
      <c r="F1580" s="416"/>
      <c r="G1580" s="416"/>
      <c r="H1580" s="416"/>
      <c r="I1580" s="416"/>
      <c r="J1580" s="515"/>
      <c r="K1580" s="516"/>
      <c r="L1580" s="516"/>
      <c r="M1580" s="504"/>
      <c r="N1580" s="504"/>
      <c r="O1580" s="504"/>
      <c r="P1580" s="504"/>
    </row>
    <row r="1581" spans="1:16" ht="13">
      <c r="A1581" s="426"/>
      <c r="B1581" s="426"/>
      <c r="C1581" s="427" t="s">
        <v>953</v>
      </c>
      <c r="D1581" s="492" t="s">
        <v>948</v>
      </c>
      <c r="E1581" s="492" t="s">
        <v>949</v>
      </c>
      <c r="F1581" s="492" t="s">
        <v>950</v>
      </c>
      <c r="G1581" s="416"/>
      <c r="H1581" s="416"/>
      <c r="I1581" s="416"/>
      <c r="J1581" s="515"/>
      <c r="K1581" s="516"/>
      <c r="L1581" s="516"/>
      <c r="M1581" s="504"/>
      <c r="N1581" s="504"/>
      <c r="O1581" s="504"/>
      <c r="P1581" s="504"/>
    </row>
    <row r="1582" spans="1:16" ht="13">
      <c r="A1582" s="426"/>
      <c r="B1582" s="426"/>
      <c r="C1582" s="417" t="s">
        <v>954</v>
      </c>
      <c r="D1582" s="409">
        <f>$I$1552</f>
        <v>1215.4838080000002</v>
      </c>
      <c r="E1582" s="409">
        <f>$I$1552</f>
        <v>1215.4838080000002</v>
      </c>
      <c r="F1582" s="409">
        <f>$I$1552</f>
        <v>1215.4838080000002</v>
      </c>
      <c r="G1582" s="416"/>
      <c r="H1582" s="416"/>
      <c r="I1582" s="416"/>
      <c r="J1582" s="515"/>
      <c r="K1582" s="516"/>
      <c r="L1582" s="516"/>
      <c r="M1582" s="504"/>
      <c r="N1582" s="504"/>
      <c r="O1582" s="504"/>
      <c r="P1582" s="504"/>
    </row>
    <row r="1583" spans="1:16" ht="13">
      <c r="A1583" s="426"/>
      <c r="B1583" s="426"/>
      <c r="C1583" s="417" t="s">
        <v>921</v>
      </c>
      <c r="D1583" s="409">
        <f>'[161]Civil-SOR'!$F$281</f>
        <v>183</v>
      </c>
      <c r="E1583" s="409">
        <f>'[161]Civil-SOR'!$F$281</f>
        <v>183</v>
      </c>
      <c r="F1583" s="409">
        <f>'[161]Civil-SOR'!$F$281</f>
        <v>183</v>
      </c>
      <c r="G1583" s="416"/>
      <c r="H1583" s="416"/>
      <c r="I1583" s="416"/>
      <c r="J1583" s="515"/>
      <c r="K1583" s="516"/>
      <c r="L1583" s="516"/>
      <c r="M1583" s="504"/>
      <c r="N1583" s="504"/>
      <c r="O1583" s="504"/>
      <c r="P1583" s="504"/>
    </row>
    <row r="1584" spans="1:16" ht="13">
      <c r="A1584" s="426"/>
      <c r="B1584" s="426"/>
      <c r="C1584" s="417" t="s">
        <v>1028</v>
      </c>
      <c r="D1584" s="408">
        <f>'[161]Civil-SOR'!$M$281</f>
        <v>326</v>
      </c>
      <c r="E1584" s="408">
        <f>'[161]Civil-SOR'!$N$281</f>
        <v>347</v>
      </c>
      <c r="F1584" s="408">
        <f>'[161]Civil-SOR'!$O$281</f>
        <v>367</v>
      </c>
      <c r="G1584" s="416"/>
      <c r="H1584" s="416"/>
      <c r="I1584" s="416"/>
      <c r="J1584" s="515"/>
      <c r="K1584" s="516"/>
      <c r="L1584" s="516"/>
      <c r="M1584" s="504"/>
      <c r="N1584" s="504"/>
      <c r="O1584" s="504"/>
      <c r="P1584" s="504"/>
    </row>
    <row r="1585" spans="1:16" ht="13">
      <c r="A1585" s="426"/>
      <c r="B1585" s="426"/>
      <c r="C1585" s="417" t="str">
        <f>[161]Input!$C$47</f>
        <v>Add for MA @ 40%</v>
      </c>
      <c r="D1585" s="409">
        <f>D1584*[161]Input!$D$47</f>
        <v>130.4</v>
      </c>
      <c r="E1585" s="409">
        <f>E1584*[161]Input!$D$47</f>
        <v>138.80000000000001</v>
      </c>
      <c r="F1585" s="409">
        <f>F1584*[161]Input!$D$47</f>
        <v>146.80000000000001</v>
      </c>
      <c r="G1585" s="416"/>
      <c r="H1585" s="416"/>
      <c r="I1585" s="416"/>
      <c r="J1585" s="515"/>
      <c r="K1585" s="516"/>
      <c r="L1585" s="516"/>
      <c r="M1585" s="504"/>
      <c r="N1585" s="504"/>
      <c r="O1585" s="504"/>
      <c r="P1585" s="504"/>
    </row>
    <row r="1586" spans="1:16" ht="25">
      <c r="A1586" s="426"/>
      <c r="B1586" s="426"/>
      <c r="C1586" s="417" t="s">
        <v>995</v>
      </c>
      <c r="D1586" s="409">
        <f t="shared" ref="D1586:D1587" si="379">E1573*1.5</f>
        <v>26.542136250000002</v>
      </c>
      <c r="E1586" s="409">
        <f t="shared" ref="E1586:E1587" si="380">E1573*1.6</f>
        <v>28.311612000000004</v>
      </c>
      <c r="F1586" s="409">
        <f t="shared" ref="F1586:F1587" si="381">E1573*1.7</f>
        <v>30.081087750000002</v>
      </c>
      <c r="G1586" s="416"/>
      <c r="H1586" s="416"/>
      <c r="I1586" s="416"/>
      <c r="J1586" s="515"/>
      <c r="K1586" s="516"/>
      <c r="L1586" s="516"/>
      <c r="M1586" s="504"/>
      <c r="N1586" s="504"/>
      <c r="O1586" s="504"/>
      <c r="P1586" s="504"/>
    </row>
    <row r="1587" spans="1:16" ht="13">
      <c r="A1587" s="426"/>
      <c r="B1587" s="426"/>
      <c r="C1587" s="417" t="s">
        <v>828</v>
      </c>
      <c r="D1587" s="409">
        <f t="shared" si="379"/>
        <v>25.259535</v>
      </c>
      <c r="E1587" s="409">
        <f t="shared" si="380"/>
        <v>26.943504000000004</v>
      </c>
      <c r="F1587" s="409">
        <f t="shared" si="381"/>
        <v>28.627473000000002</v>
      </c>
      <c r="G1587" s="416"/>
      <c r="H1587" s="416"/>
      <c r="I1587" s="416"/>
      <c r="J1587" s="515"/>
      <c r="K1587" s="516"/>
      <c r="L1587" s="516"/>
      <c r="M1587" s="504"/>
      <c r="N1587" s="504"/>
      <c r="O1587" s="504"/>
      <c r="P1587" s="504"/>
    </row>
    <row r="1588" spans="1:16" ht="13">
      <c r="A1588" s="426"/>
      <c r="B1588" s="426"/>
      <c r="C1588" s="417" t="str">
        <f>[161]Input!$C$47</f>
        <v>Add for MA @ 40%</v>
      </c>
      <c r="D1588" s="409">
        <f>D1587*[161]Input!$D$47</f>
        <v>10.103814</v>
      </c>
      <c r="E1588" s="409">
        <f>E1587*[161]Input!$D$47</f>
        <v>10.777401600000003</v>
      </c>
      <c r="F1588" s="409">
        <f>F1587*[161]Input!$D$47</f>
        <v>11.450989200000002</v>
      </c>
      <c r="G1588" s="416"/>
      <c r="H1588" s="416"/>
      <c r="I1588" s="416"/>
      <c r="J1588" s="515"/>
      <c r="K1588" s="516"/>
      <c r="L1588" s="516"/>
      <c r="M1588" s="504"/>
      <c r="N1588" s="504"/>
      <c r="O1588" s="504"/>
      <c r="P1588" s="504"/>
    </row>
    <row r="1589" spans="1:16" ht="13">
      <c r="A1589" s="426"/>
      <c r="B1589" s="426"/>
      <c r="C1589" s="427" t="s">
        <v>742</v>
      </c>
      <c r="D1589" s="409">
        <f>SUM(D1582:D1588)</f>
        <v>1916.7892932500004</v>
      </c>
      <c r="E1589" s="409">
        <f>SUM(E1582:E1588)</f>
        <v>1950.3163256000003</v>
      </c>
      <c r="F1589" s="409">
        <f>SUM(F1582:F1588)</f>
        <v>1982.4433579500003</v>
      </c>
      <c r="G1589" s="416"/>
      <c r="H1589" s="416"/>
      <c r="I1589" s="416"/>
      <c r="J1589" s="515"/>
      <c r="K1589" s="516"/>
      <c r="L1589" s="516"/>
      <c r="M1589" s="504"/>
      <c r="N1589" s="504"/>
      <c r="O1589" s="504"/>
      <c r="P1589" s="504"/>
    </row>
    <row r="1590" spans="1:16" ht="25">
      <c r="A1590" s="426"/>
      <c r="B1590" s="426"/>
      <c r="C1590" s="417" t="str">
        <f>[161]Input!$C$48</f>
        <v>Overheads &amp; Contractors Profit @ 13.615%</v>
      </c>
      <c r="D1590" s="426">
        <f>ROUND(D1589*[161]Input!$D$48,2)</f>
        <v>260.97000000000003</v>
      </c>
      <c r="E1590" s="426">
        <f>ROUND(E1589*[161]Input!$D$48,2)</f>
        <v>265.54000000000002</v>
      </c>
      <c r="F1590" s="426">
        <f>ROUND(F1589*[161]Input!$D$48,2)</f>
        <v>269.91000000000003</v>
      </c>
      <c r="G1590" s="416"/>
      <c r="H1590" s="416"/>
      <c r="I1590" s="416"/>
      <c r="J1590" s="515"/>
      <c r="K1590" s="516"/>
      <c r="L1590" s="516"/>
      <c r="M1590" s="504"/>
      <c r="N1590" s="504"/>
      <c r="O1590" s="504"/>
      <c r="P1590" s="504"/>
    </row>
    <row r="1591" spans="1:16" ht="13">
      <c r="A1591" s="426"/>
      <c r="B1591" s="426"/>
      <c r="C1591" s="427" t="s">
        <v>742</v>
      </c>
      <c r="D1591" s="409">
        <f>SUM(D1589:D1590)</f>
        <v>2177.7592932500002</v>
      </c>
      <c r="E1591" s="409">
        <f>SUM(E1589:E1590)</f>
        <v>2215.8563256000002</v>
      </c>
      <c r="F1591" s="409">
        <f>SUM(F1589:F1590)</f>
        <v>2252.3533579500004</v>
      </c>
      <c r="G1591" s="416"/>
      <c r="H1591" s="416"/>
      <c r="I1591" s="416"/>
      <c r="J1591" s="515"/>
      <c r="K1591" s="516"/>
      <c r="L1591" s="516"/>
      <c r="M1591" s="504"/>
      <c r="N1591" s="504"/>
      <c r="O1591" s="504"/>
      <c r="P1591" s="504"/>
    </row>
    <row r="1592" spans="1:16" ht="13">
      <c r="A1592" s="426"/>
      <c r="B1592" s="426"/>
      <c r="C1592" s="514" t="s">
        <v>726</v>
      </c>
      <c r="D1592" s="416">
        <f>ROUND(D1591,0)</f>
        <v>2178</v>
      </c>
      <c r="E1592" s="416">
        <f>ROUND(E1591,0)</f>
        <v>2216</v>
      </c>
      <c r="F1592" s="416">
        <f>ROUND(F1591,0)</f>
        <v>2252</v>
      </c>
      <c r="G1592" s="416"/>
      <c r="H1592" s="416"/>
      <c r="I1592" s="416"/>
      <c r="J1592" s="515"/>
      <c r="K1592" s="516"/>
      <c r="L1592" s="516"/>
      <c r="M1592" s="504"/>
      <c r="N1592" s="504"/>
      <c r="O1592" s="504"/>
      <c r="P1592" s="504"/>
    </row>
    <row r="1593" spans="1:16" ht="13">
      <c r="A1593" s="426"/>
      <c r="B1593" s="426"/>
      <c r="C1593" s="514"/>
      <c r="D1593" s="416"/>
      <c r="E1593" s="416"/>
      <c r="F1593" s="416"/>
      <c r="G1593" s="416"/>
      <c r="H1593" s="416"/>
      <c r="I1593" s="416"/>
      <c r="J1593" s="515"/>
      <c r="K1593" s="516"/>
      <c r="L1593" s="516"/>
      <c r="M1593" s="504"/>
      <c r="N1593" s="504"/>
      <c r="O1593" s="504"/>
      <c r="P1593" s="504"/>
    </row>
    <row r="1594" spans="1:16" ht="13">
      <c r="A1594" s="426"/>
      <c r="B1594" s="474" t="s">
        <v>1017</v>
      </c>
      <c r="C1594" s="451" t="s">
        <v>1018</v>
      </c>
      <c r="D1594" s="1306">
        <v>0.2</v>
      </c>
      <c r="E1594" s="1280" t="s">
        <v>57</v>
      </c>
      <c r="F1594" s="1306">
        <f>$I$1419</f>
        <v>6945.6217600000009</v>
      </c>
      <c r="G1594" s="1292">
        <v>1</v>
      </c>
      <c r="H1594" s="1280" t="s">
        <v>57</v>
      </c>
      <c r="I1594" s="1303">
        <f>IF(G1594="",D1594*F1594,(D1594*F1594/G1594))</f>
        <v>1389.1243520000003</v>
      </c>
      <c r="J1594" s="472"/>
      <c r="K1594" s="497"/>
      <c r="L1594" s="497"/>
      <c r="M1594" s="498"/>
      <c r="N1594" s="498"/>
      <c r="O1594" s="498"/>
      <c r="P1594" s="498"/>
    </row>
    <row r="1595" spans="1:16">
      <c r="A1595" s="426"/>
      <c r="B1595" s="426"/>
      <c r="C1595" s="417" t="s">
        <v>920</v>
      </c>
      <c r="D1595" s="1306"/>
      <c r="E1595" s="1280"/>
      <c r="F1595" s="1306"/>
      <c r="G1595" s="1292"/>
      <c r="H1595" s="1280"/>
      <c r="I1595" s="1303"/>
      <c r="J1595" s="472"/>
      <c r="K1595" s="497"/>
      <c r="L1595" s="497"/>
      <c r="M1595" s="498"/>
      <c r="N1595" s="498"/>
      <c r="O1595" s="498"/>
      <c r="P1595" s="498"/>
    </row>
    <row r="1596" spans="1:16" ht="13">
      <c r="A1596" s="426"/>
      <c r="B1596" s="426"/>
      <c r="C1596" s="417"/>
      <c r="D1596" s="426"/>
      <c r="E1596" s="426"/>
      <c r="F1596" s="426"/>
      <c r="G1596" s="410"/>
      <c r="H1596" s="426"/>
      <c r="I1596" s="434"/>
      <c r="J1596" s="472"/>
      <c r="K1596" s="497"/>
      <c r="L1596" s="497"/>
      <c r="M1596" s="498"/>
      <c r="N1596" s="498"/>
      <c r="O1596" s="498"/>
      <c r="P1596" s="498"/>
    </row>
    <row r="1597" spans="1:16" ht="13">
      <c r="A1597" s="426"/>
      <c r="B1597" s="426"/>
      <c r="C1597" s="451" t="s">
        <v>1029</v>
      </c>
      <c r="D1597" s="426"/>
      <c r="E1597" s="426"/>
      <c r="F1597" s="426"/>
      <c r="G1597" s="410"/>
      <c r="H1597" s="426"/>
      <c r="I1597" s="434"/>
      <c r="J1597" s="578"/>
      <c r="K1597" s="497"/>
      <c r="L1597" s="579"/>
      <c r="M1597" s="498"/>
      <c r="N1597" s="498"/>
      <c r="O1597" s="498"/>
      <c r="P1597" s="498"/>
    </row>
    <row r="1598" spans="1:16" ht="13">
      <c r="A1598" s="426"/>
      <c r="B1598" s="474" t="s">
        <v>951</v>
      </c>
      <c r="C1598" s="451" t="s">
        <v>952</v>
      </c>
      <c r="D1598" s="426"/>
      <c r="E1598" s="426"/>
      <c r="F1598" s="426"/>
      <c r="G1598" s="410"/>
      <c r="H1598" s="426"/>
      <c r="I1598" s="434"/>
      <c r="J1598" s="578"/>
      <c r="K1598" s="497"/>
      <c r="L1598" s="579"/>
      <c r="M1598" s="498"/>
      <c r="N1598" s="498"/>
      <c r="O1598" s="498"/>
      <c r="P1598" s="498"/>
    </row>
    <row r="1599" spans="1:16" ht="13">
      <c r="A1599" s="426"/>
      <c r="B1599" s="426"/>
      <c r="C1599" s="427" t="s">
        <v>953</v>
      </c>
      <c r="D1599" s="414" t="s">
        <v>959</v>
      </c>
      <c r="E1599" s="474" t="s">
        <v>943</v>
      </c>
      <c r="F1599" s="492" t="s">
        <v>944</v>
      </c>
      <c r="G1599" s="492" t="s">
        <v>945</v>
      </c>
      <c r="H1599" s="492" t="s">
        <v>946</v>
      </c>
      <c r="I1599" s="492" t="s">
        <v>947</v>
      </c>
      <c r="J1599" s="472"/>
      <c r="K1599" s="497"/>
      <c r="L1599" s="497"/>
      <c r="M1599" s="498"/>
      <c r="N1599" s="498"/>
      <c r="O1599" s="498"/>
      <c r="P1599" s="498"/>
    </row>
    <row r="1600" spans="1:16">
      <c r="A1600" s="406"/>
      <c r="B1600" s="406"/>
      <c r="C1600" s="417" t="s">
        <v>954</v>
      </c>
      <c r="D1600" s="432">
        <f t="shared" ref="D1600:I1600" si="382">$I$1594</f>
        <v>1389.1243520000003</v>
      </c>
      <c r="E1600" s="432">
        <f t="shared" si="382"/>
        <v>1389.1243520000003</v>
      </c>
      <c r="F1600" s="432">
        <f t="shared" si="382"/>
        <v>1389.1243520000003</v>
      </c>
      <c r="G1600" s="432">
        <f t="shared" si="382"/>
        <v>1389.1243520000003</v>
      </c>
      <c r="H1600" s="432">
        <f t="shared" si="382"/>
        <v>1389.1243520000003</v>
      </c>
      <c r="I1600" s="432">
        <f t="shared" si="382"/>
        <v>1389.1243520000003</v>
      </c>
      <c r="J1600" s="582"/>
      <c r="K1600" s="562"/>
      <c r="L1600" s="562"/>
      <c r="M1600" s="583"/>
      <c r="N1600" s="583"/>
      <c r="O1600" s="583"/>
      <c r="P1600" s="583"/>
    </row>
    <row r="1601" spans="1:64">
      <c r="A1601" s="406"/>
      <c r="B1601" s="406"/>
      <c r="C1601" s="417" t="s">
        <v>921</v>
      </c>
      <c r="D1601" s="432">
        <f>'[161]Civil-SOR'!$F$281</f>
        <v>183</v>
      </c>
      <c r="E1601" s="432">
        <f>'[161]Civil-SOR'!$F$281</f>
        <v>183</v>
      </c>
      <c r="F1601" s="432">
        <f>'[161]Civil-SOR'!$F$281</f>
        <v>183</v>
      </c>
      <c r="G1601" s="432">
        <f>'[161]Civil-SOR'!$F$281</f>
        <v>183</v>
      </c>
      <c r="H1601" s="432">
        <f>'[161]Civil-SOR'!$F$281</f>
        <v>183</v>
      </c>
      <c r="I1601" s="432">
        <f>'[161]Civil-SOR'!$F$281</f>
        <v>183</v>
      </c>
      <c r="J1601" s="582"/>
      <c r="K1601" s="562"/>
      <c r="L1601" s="562"/>
      <c r="M1601" s="583"/>
      <c r="N1601" s="583"/>
      <c r="O1601" s="583"/>
      <c r="P1601" s="583"/>
    </row>
    <row r="1602" spans="1:64">
      <c r="A1602" s="406"/>
      <c r="B1602" s="406"/>
      <c r="C1602" s="417" t="s">
        <v>993</v>
      </c>
      <c r="D1602" s="459">
        <f>'[161]Civil-SOR'!$G$281</f>
        <v>204</v>
      </c>
      <c r="E1602" s="459">
        <f>'[161]Civil-SOR'!$H$281</f>
        <v>224</v>
      </c>
      <c r="F1602" s="459">
        <f>'[161]Civil-SOR'!$I$281</f>
        <v>245</v>
      </c>
      <c r="G1602" s="459">
        <f>'[161]Civil-SOR'!$J$281</f>
        <v>265</v>
      </c>
      <c r="H1602" s="459">
        <f>'[161]Civil-SOR'!$K$281</f>
        <v>286</v>
      </c>
      <c r="I1602" s="459">
        <f>'[161]Civil-SOR'!$L$281</f>
        <v>306</v>
      </c>
      <c r="J1602" s="582"/>
      <c r="K1602" s="562"/>
      <c r="L1602" s="562"/>
      <c r="M1602" s="583"/>
      <c r="N1602" s="583"/>
      <c r="O1602" s="583"/>
      <c r="P1602" s="583"/>
    </row>
    <row r="1603" spans="1:64">
      <c r="A1603" s="406"/>
      <c r="B1603" s="406"/>
      <c r="C1603" s="417" t="str">
        <f>[161]Input!$C$47</f>
        <v>Add for MA @ 40%</v>
      </c>
      <c r="D1603" s="432">
        <f>D1602*[161]Input!$D$47</f>
        <v>81.600000000000009</v>
      </c>
      <c r="E1603" s="432">
        <f>E1602*[161]Input!$D$47</f>
        <v>89.600000000000009</v>
      </c>
      <c r="F1603" s="432">
        <f>F1602*[161]Input!$D$47</f>
        <v>98</v>
      </c>
      <c r="G1603" s="432">
        <f>G1602*[161]Input!$D$47</f>
        <v>106</v>
      </c>
      <c r="H1603" s="432">
        <f>H1602*[161]Input!$D$47</f>
        <v>114.4</v>
      </c>
      <c r="I1603" s="432">
        <f>I1602*[161]Input!$D$47</f>
        <v>122.4</v>
      </c>
      <c r="J1603" s="582"/>
      <c r="K1603" s="562"/>
      <c r="L1603" s="562"/>
      <c r="M1603" s="583"/>
      <c r="N1603" s="583"/>
      <c r="O1603" s="583"/>
      <c r="P1603" s="583"/>
    </row>
    <row r="1604" spans="1:64">
      <c r="A1604" s="406"/>
      <c r="B1604" s="406"/>
      <c r="C1604" s="417" t="s">
        <v>979</v>
      </c>
      <c r="D1604" s="432">
        <v>0</v>
      </c>
      <c r="E1604" s="432">
        <f>$F$1411*D1594*10%</f>
        <v>34.241000000000007</v>
      </c>
      <c r="F1604" s="432">
        <f>$F$1411*$D$1594*20%</f>
        <v>68.482000000000014</v>
      </c>
      <c r="G1604" s="432">
        <f>$F$1411*$D$1594*30%</f>
        <v>102.723</v>
      </c>
      <c r="H1604" s="432">
        <f>$F$1411*$D$1594*40%</f>
        <v>136.96400000000003</v>
      </c>
      <c r="I1604" s="432">
        <f>$F$1411*$D$1594*50%</f>
        <v>171.20500000000001</v>
      </c>
      <c r="J1604" s="582"/>
      <c r="K1604" s="562"/>
      <c r="L1604" s="562"/>
      <c r="M1604" s="583"/>
      <c r="N1604" s="583"/>
      <c r="O1604" s="583"/>
      <c r="P1604" s="583"/>
    </row>
    <row r="1605" spans="1:64">
      <c r="A1605" s="406"/>
      <c r="B1605" s="406"/>
      <c r="C1605" s="417" t="str">
        <f>[161]Input!$C$47</f>
        <v>Add for MA @ 40%</v>
      </c>
      <c r="D1605" s="432">
        <f>D1604*[161]Input!$D$47</f>
        <v>0</v>
      </c>
      <c r="E1605" s="432">
        <f>E1604*[161]Input!$D$47</f>
        <v>13.696400000000004</v>
      </c>
      <c r="F1605" s="432">
        <f>F1604*[161]Input!$D$47</f>
        <v>27.392800000000008</v>
      </c>
      <c r="G1605" s="432">
        <f>G1604*[161]Input!$D$47</f>
        <v>41.089200000000005</v>
      </c>
      <c r="H1605" s="432">
        <f>H1604*[161]Input!$D$47</f>
        <v>54.785600000000017</v>
      </c>
      <c r="I1605" s="432">
        <f>I1604*[161]Input!$D$47</f>
        <v>68.482000000000014</v>
      </c>
      <c r="J1605" s="582"/>
      <c r="K1605" s="562"/>
      <c r="L1605" s="562"/>
      <c r="M1605" s="583"/>
      <c r="N1605" s="583"/>
      <c r="O1605" s="583"/>
      <c r="P1605" s="583"/>
    </row>
    <row r="1606" spans="1:64" ht="13">
      <c r="A1606" s="406"/>
      <c r="B1606" s="406"/>
      <c r="C1606" s="427" t="s">
        <v>742</v>
      </c>
      <c r="D1606" s="432">
        <f t="shared" ref="D1606:I1606" si="383">SUM(D1600:D1605)</f>
        <v>1857.7243520000002</v>
      </c>
      <c r="E1606" s="432">
        <f t="shared" si="383"/>
        <v>1933.6617520000002</v>
      </c>
      <c r="F1606" s="432">
        <f t="shared" si="383"/>
        <v>2010.9991520000003</v>
      </c>
      <c r="G1606" s="432">
        <f t="shared" si="383"/>
        <v>2086.9365520000001</v>
      </c>
      <c r="H1606" s="432">
        <f t="shared" si="383"/>
        <v>2164.2739520000005</v>
      </c>
      <c r="I1606" s="432">
        <f t="shared" si="383"/>
        <v>2240.2113520000003</v>
      </c>
      <c r="J1606" s="582"/>
      <c r="K1606" s="562"/>
      <c r="L1606" s="562"/>
      <c r="M1606" s="583"/>
      <c r="N1606" s="583"/>
      <c r="O1606" s="583"/>
      <c r="P1606" s="583"/>
    </row>
    <row r="1607" spans="1:64" ht="25">
      <c r="A1607" s="406"/>
      <c r="B1607" s="406"/>
      <c r="C1607" s="417" t="str">
        <f>[161]Input!$C$48</f>
        <v>Overheads &amp; Contractors Profit @ 13.615%</v>
      </c>
      <c r="D1607" s="406">
        <f>ROUND(D1606*[161]Input!$D$48,2)</f>
        <v>252.93</v>
      </c>
      <c r="E1607" s="406">
        <f>ROUND(E1606*[161]Input!$D$48,2)</f>
        <v>263.27</v>
      </c>
      <c r="F1607" s="406">
        <f>ROUND(F1606*[161]Input!$D$48,2)</f>
        <v>273.8</v>
      </c>
      <c r="G1607" s="406">
        <f>ROUND(G1606*[161]Input!$D$48,2)</f>
        <v>284.14</v>
      </c>
      <c r="H1607" s="406">
        <f>ROUND(H1606*[161]Input!$D$48,2)</f>
        <v>294.67</v>
      </c>
      <c r="I1607" s="406">
        <f>ROUND(I1606*[161]Input!$D$48,2)</f>
        <v>305</v>
      </c>
      <c r="J1607" s="582"/>
      <c r="K1607" s="562"/>
      <c r="L1607" s="562"/>
      <c r="M1607" s="583"/>
      <c r="N1607" s="583"/>
      <c r="O1607" s="583"/>
      <c r="P1607" s="583"/>
    </row>
    <row r="1608" spans="1:64" ht="13">
      <c r="A1608" s="406"/>
      <c r="B1608" s="406"/>
      <c r="C1608" s="427" t="s">
        <v>742</v>
      </c>
      <c r="D1608" s="432">
        <f t="shared" ref="D1608:I1608" si="384">SUM(D1606:D1607)</f>
        <v>2110.654352</v>
      </c>
      <c r="E1608" s="432">
        <f t="shared" si="384"/>
        <v>2196.9317520000004</v>
      </c>
      <c r="F1608" s="432">
        <f t="shared" si="384"/>
        <v>2284.7991520000005</v>
      </c>
      <c r="G1608" s="432">
        <f t="shared" si="384"/>
        <v>2371.076552</v>
      </c>
      <c r="H1608" s="432">
        <f t="shared" si="384"/>
        <v>2458.9439520000005</v>
      </c>
      <c r="I1608" s="432">
        <f t="shared" si="384"/>
        <v>2545.2113520000003</v>
      </c>
      <c r="J1608" s="596"/>
      <c r="K1608" s="597"/>
      <c r="L1608" s="597"/>
      <c r="M1608" s="598"/>
      <c r="N1608" s="598"/>
      <c r="O1608" s="598"/>
      <c r="P1608" s="598"/>
    </row>
    <row r="1609" spans="1:64" ht="13">
      <c r="A1609" s="426"/>
      <c r="B1609" s="426"/>
      <c r="C1609" s="514" t="s">
        <v>726</v>
      </c>
      <c r="D1609" s="416">
        <f t="shared" ref="D1609:I1609" si="385">ROUND(D1608,0)</f>
        <v>2111</v>
      </c>
      <c r="E1609" s="416">
        <f t="shared" si="385"/>
        <v>2197</v>
      </c>
      <c r="F1609" s="416">
        <f t="shared" si="385"/>
        <v>2285</v>
      </c>
      <c r="G1609" s="416">
        <f t="shared" si="385"/>
        <v>2371</v>
      </c>
      <c r="H1609" s="416">
        <f t="shared" si="385"/>
        <v>2459</v>
      </c>
      <c r="I1609" s="416">
        <f t="shared" si="385"/>
        <v>2545</v>
      </c>
      <c r="J1609" s="502"/>
      <c r="K1609" s="503"/>
      <c r="L1609" s="503"/>
      <c r="M1609" s="504"/>
      <c r="N1609" s="504"/>
      <c r="O1609" s="504"/>
      <c r="P1609" s="504"/>
    </row>
    <row r="1610" spans="1:64" ht="13">
      <c r="A1610" s="426"/>
      <c r="B1610" s="426"/>
      <c r="C1610" s="550"/>
      <c r="D1610" s="416"/>
      <c r="E1610" s="416"/>
      <c r="F1610" s="416"/>
      <c r="G1610" s="416"/>
      <c r="H1610" s="416"/>
      <c r="I1610" s="414"/>
      <c r="J1610" s="472"/>
      <c r="K1610" s="497"/>
      <c r="L1610" s="497"/>
      <c r="M1610" s="498"/>
      <c r="N1610" s="498"/>
      <c r="O1610" s="498"/>
      <c r="P1610" s="498"/>
    </row>
    <row r="1611" spans="1:64" ht="126.25" customHeight="1">
      <c r="A1611" s="431">
        <f>1+A1400</f>
        <v>18</v>
      </c>
      <c r="B1611" s="431"/>
      <c r="C1611" s="1276" t="s">
        <v>1030</v>
      </c>
      <c r="D1611" s="1276"/>
      <c r="E1611" s="1276"/>
      <c r="F1611" s="1276"/>
      <c r="G1611" s="1276"/>
      <c r="H1611" s="1276"/>
      <c r="I1611" s="407"/>
      <c r="J1611" s="462"/>
      <c r="K1611" s="463"/>
      <c r="L1611" s="463"/>
      <c r="M1611" s="559"/>
      <c r="N1611" s="559"/>
      <c r="O1611" s="559"/>
      <c r="P1611" s="559"/>
      <c r="Q1611" s="559"/>
      <c r="R1611" s="559"/>
      <c r="S1611" s="559"/>
      <c r="T1611" s="559"/>
      <c r="U1611" s="559"/>
      <c r="V1611" s="559"/>
      <c r="W1611" s="559"/>
      <c r="X1611" s="559"/>
      <c r="Y1611" s="559"/>
      <c r="Z1611" s="559"/>
      <c r="AA1611" s="559"/>
      <c r="AB1611" s="559"/>
      <c r="AC1611" s="559"/>
      <c r="AD1611" s="559"/>
      <c r="AE1611" s="559"/>
      <c r="AF1611" s="559"/>
      <c r="AG1611" s="559"/>
      <c r="AH1611" s="559"/>
      <c r="AI1611" s="559"/>
      <c r="AJ1611" s="559"/>
      <c r="AK1611" s="559"/>
      <c r="AL1611" s="559"/>
      <c r="AM1611" s="559"/>
      <c r="AN1611" s="559"/>
      <c r="AO1611" s="559"/>
      <c r="AP1611" s="559"/>
      <c r="AQ1611" s="559"/>
      <c r="AR1611" s="559"/>
      <c r="AS1611" s="559"/>
      <c r="AT1611" s="559"/>
      <c r="AU1611" s="559"/>
      <c r="AV1611" s="559"/>
      <c r="AW1611" s="559"/>
      <c r="AX1611" s="559"/>
      <c r="AY1611" s="559"/>
      <c r="AZ1611" s="559"/>
      <c r="BA1611" s="559"/>
      <c r="BB1611" s="559"/>
      <c r="BC1611" s="559"/>
      <c r="BD1611" s="559"/>
      <c r="BE1611" s="559"/>
      <c r="BF1611" s="559"/>
      <c r="BG1611" s="559"/>
      <c r="BH1611" s="559"/>
      <c r="BI1611" s="559"/>
      <c r="BJ1611" s="559"/>
      <c r="BK1611" s="559"/>
      <c r="BL1611" s="559"/>
    </row>
    <row r="1612" spans="1:64" ht="13">
      <c r="A1612" s="406"/>
      <c r="B1612" s="406"/>
      <c r="C1612" s="473" t="s">
        <v>987</v>
      </c>
      <c r="D1612" s="406"/>
      <c r="E1612" s="406"/>
      <c r="F1612" s="406"/>
      <c r="G1612" s="406"/>
      <c r="H1612" s="406"/>
      <c r="I1612" s="432"/>
      <c r="J1612" s="462"/>
      <c r="K1612" s="463"/>
      <c r="L1612" s="463"/>
      <c r="M1612" s="559"/>
      <c r="N1612" s="559"/>
      <c r="O1612" s="559"/>
      <c r="P1612" s="559"/>
      <c r="Q1612" s="559"/>
      <c r="R1612" s="559"/>
      <c r="S1612" s="559"/>
      <c r="T1612" s="559"/>
      <c r="U1612" s="559"/>
      <c r="V1612" s="559"/>
      <c r="W1612" s="559"/>
      <c r="X1612" s="559"/>
      <c r="Y1612" s="559"/>
      <c r="Z1612" s="559"/>
      <c r="AA1612" s="559"/>
      <c r="AB1612" s="559"/>
      <c r="AC1612" s="559"/>
      <c r="AD1612" s="559"/>
      <c r="AE1612" s="559"/>
      <c r="AF1612" s="559"/>
      <c r="AG1612" s="559"/>
      <c r="AH1612" s="559"/>
      <c r="AI1612" s="559"/>
      <c r="AJ1612" s="559"/>
      <c r="AK1612" s="559"/>
      <c r="AL1612" s="559"/>
      <c r="AM1612" s="559"/>
      <c r="AN1612" s="559"/>
      <c r="AO1612" s="559"/>
      <c r="AP1612" s="559"/>
      <c r="AQ1612" s="559"/>
      <c r="AR1612" s="559"/>
      <c r="AS1612" s="559"/>
      <c r="AT1612" s="559"/>
      <c r="AU1612" s="559"/>
      <c r="AV1612" s="559"/>
      <c r="AW1612" s="559"/>
      <c r="AX1612" s="559"/>
      <c r="AY1612" s="559"/>
      <c r="AZ1612" s="559"/>
      <c r="BA1612" s="559"/>
      <c r="BB1612" s="559"/>
      <c r="BC1612" s="559"/>
      <c r="BD1612" s="559"/>
      <c r="BE1612" s="559"/>
      <c r="BF1612" s="559"/>
      <c r="BG1612" s="559"/>
      <c r="BH1612" s="559"/>
      <c r="BI1612" s="559"/>
      <c r="BJ1612" s="559"/>
      <c r="BK1612" s="559"/>
      <c r="BL1612" s="559"/>
    </row>
    <row r="1613" spans="1:64" ht="13">
      <c r="A1613" s="406"/>
      <c r="B1613" s="406"/>
      <c r="C1613" s="451" t="s">
        <v>873</v>
      </c>
      <c r="D1613" s="406"/>
      <c r="E1613" s="406"/>
      <c r="F1613" s="406"/>
      <c r="G1613" s="406"/>
      <c r="H1613" s="406"/>
      <c r="I1613" s="432"/>
      <c r="J1613" s="462"/>
      <c r="K1613" s="463"/>
      <c r="L1613" s="463"/>
      <c r="M1613" s="559"/>
      <c r="N1613" s="559"/>
      <c r="O1613" s="559"/>
      <c r="P1613" s="559"/>
      <c r="Q1613" s="559"/>
      <c r="R1613" s="559"/>
      <c r="S1613" s="559"/>
      <c r="T1613" s="559"/>
      <c r="U1613" s="559"/>
      <c r="V1613" s="559"/>
      <c r="W1613" s="559"/>
      <c r="X1613" s="559"/>
      <c r="Y1613" s="559"/>
      <c r="Z1613" s="559"/>
      <c r="AA1613" s="559"/>
      <c r="AB1613" s="559"/>
      <c r="AC1613" s="559"/>
      <c r="AD1613" s="559"/>
      <c r="AE1613" s="559"/>
      <c r="AF1613" s="559"/>
      <c r="AG1613" s="559"/>
      <c r="AH1613" s="559"/>
      <c r="AI1613" s="559"/>
      <c r="AJ1613" s="559"/>
      <c r="AK1613" s="559"/>
      <c r="AL1613" s="559"/>
      <c r="AM1613" s="559"/>
      <c r="AN1613" s="559"/>
      <c r="AO1613" s="559"/>
      <c r="AP1613" s="559"/>
      <c r="AQ1613" s="559"/>
      <c r="AR1613" s="559"/>
      <c r="AS1613" s="559"/>
      <c r="AT1613" s="559"/>
      <c r="AU1613" s="559"/>
      <c r="AV1613" s="559"/>
      <c r="AW1613" s="559"/>
      <c r="AX1613" s="559"/>
      <c r="AY1613" s="559"/>
      <c r="AZ1613" s="559"/>
      <c r="BA1613" s="559"/>
      <c r="BB1613" s="559"/>
      <c r="BC1613" s="559"/>
      <c r="BD1613" s="559"/>
      <c r="BE1613" s="559"/>
      <c r="BF1613" s="559"/>
      <c r="BG1613" s="559"/>
      <c r="BH1613" s="559"/>
      <c r="BI1613" s="559"/>
      <c r="BJ1613" s="559"/>
      <c r="BK1613" s="559"/>
      <c r="BL1613" s="559"/>
    </row>
    <row r="1614" spans="1:64">
      <c r="A1614" s="406"/>
      <c r="B1614" s="406"/>
      <c r="C1614" s="417" t="s">
        <v>504</v>
      </c>
      <c r="D1614" s="432">
        <v>380</v>
      </c>
      <c r="E1614" s="406" t="s">
        <v>833</v>
      </c>
      <c r="F1614" s="432">
        <f>[161]LEAD!$N$6</f>
        <v>5200</v>
      </c>
      <c r="G1614" s="431">
        <v>1000</v>
      </c>
      <c r="H1614" s="406" t="s">
        <v>833</v>
      </c>
      <c r="I1614" s="459">
        <f t="shared" ref="I1614:I1616" si="386">IF(G1614="",D1614*F1614,(D1614*F1614/G1614))</f>
        <v>1976</v>
      </c>
      <c r="J1614" s="462"/>
      <c r="K1614" s="463"/>
      <c r="L1614" s="463"/>
      <c r="M1614" s="559"/>
      <c r="N1614" s="559"/>
      <c r="O1614" s="559"/>
      <c r="P1614" s="559"/>
      <c r="Q1614" s="559"/>
      <c r="R1614" s="559"/>
      <c r="S1614" s="559"/>
      <c r="T1614" s="559"/>
      <c r="U1614" s="559"/>
      <c r="V1614" s="559"/>
      <c r="W1614" s="559"/>
      <c r="X1614" s="559"/>
      <c r="Y1614" s="559"/>
      <c r="Z1614" s="559"/>
      <c r="AA1614" s="559"/>
      <c r="AB1614" s="559"/>
      <c r="AC1614" s="559"/>
      <c r="AD1614" s="559"/>
      <c r="AE1614" s="559"/>
      <c r="AF1614" s="559"/>
      <c r="AG1614" s="559"/>
      <c r="AH1614" s="559"/>
      <c r="AI1614" s="559"/>
      <c r="AJ1614" s="559"/>
      <c r="AK1614" s="559"/>
      <c r="AL1614" s="559"/>
      <c r="AM1614" s="559"/>
      <c r="AN1614" s="559"/>
      <c r="AO1614" s="559"/>
      <c r="AP1614" s="559"/>
      <c r="AQ1614" s="559"/>
      <c r="AR1614" s="559"/>
      <c r="AS1614" s="559"/>
      <c r="AT1614" s="559"/>
      <c r="AU1614" s="559"/>
      <c r="AV1614" s="559"/>
      <c r="AW1614" s="559"/>
      <c r="AX1614" s="559"/>
      <c r="AY1614" s="559"/>
      <c r="AZ1614" s="559"/>
      <c r="BA1614" s="559"/>
      <c r="BB1614" s="559"/>
      <c r="BC1614" s="559"/>
      <c r="BD1614" s="559"/>
      <c r="BE1614" s="559"/>
      <c r="BF1614" s="559"/>
      <c r="BG1614" s="559"/>
      <c r="BH1614" s="559"/>
      <c r="BI1614" s="559"/>
      <c r="BJ1614" s="559"/>
      <c r="BK1614" s="559"/>
      <c r="BL1614" s="559"/>
    </row>
    <row r="1615" spans="1:64">
      <c r="A1615" s="406"/>
      <c r="B1615" s="406"/>
      <c r="C1615" s="417" t="s">
        <v>910</v>
      </c>
      <c r="D1615" s="432">
        <v>0.8</v>
      </c>
      <c r="E1615" s="406" t="s">
        <v>57</v>
      </c>
      <c r="F1615" s="459">
        <f>$F$16</f>
        <v>1447.96</v>
      </c>
      <c r="G1615" s="431">
        <v>1</v>
      </c>
      <c r="H1615" s="406" t="s">
        <v>57</v>
      </c>
      <c r="I1615" s="459">
        <f t="shared" si="386"/>
        <v>1158.3680000000002</v>
      </c>
      <c r="J1615" s="462"/>
      <c r="K1615" s="463"/>
      <c r="L1615" s="463"/>
      <c r="M1615" s="559"/>
      <c r="N1615" s="559"/>
      <c r="O1615" s="559"/>
      <c r="P1615" s="559"/>
      <c r="Q1615" s="559"/>
      <c r="R1615" s="559"/>
      <c r="S1615" s="559"/>
      <c r="T1615" s="559"/>
      <c r="U1615" s="559"/>
      <c r="V1615" s="559"/>
      <c r="W1615" s="559"/>
      <c r="X1615" s="559"/>
      <c r="Y1615" s="559"/>
      <c r="Z1615" s="559"/>
      <c r="AA1615" s="559"/>
      <c r="AB1615" s="559"/>
      <c r="AC1615" s="559"/>
      <c r="AD1615" s="559"/>
      <c r="AE1615" s="559"/>
      <c r="AF1615" s="559"/>
      <c r="AG1615" s="559"/>
      <c r="AH1615" s="559"/>
      <c r="AI1615" s="559"/>
      <c r="AJ1615" s="559"/>
      <c r="AK1615" s="559"/>
      <c r="AL1615" s="559"/>
      <c r="AM1615" s="559"/>
      <c r="AN1615" s="559"/>
      <c r="AO1615" s="559"/>
      <c r="AP1615" s="559"/>
      <c r="AQ1615" s="559"/>
      <c r="AR1615" s="559"/>
      <c r="AS1615" s="559"/>
      <c r="AT1615" s="559"/>
      <c r="AU1615" s="559"/>
      <c r="AV1615" s="559"/>
      <c r="AW1615" s="559"/>
      <c r="AX1615" s="559"/>
      <c r="AY1615" s="559"/>
      <c r="AZ1615" s="559"/>
      <c r="BA1615" s="559"/>
      <c r="BB1615" s="559"/>
      <c r="BC1615" s="559"/>
      <c r="BD1615" s="559"/>
      <c r="BE1615" s="559"/>
      <c r="BF1615" s="559"/>
      <c r="BG1615" s="559"/>
      <c r="BH1615" s="559"/>
      <c r="BI1615" s="559"/>
      <c r="BJ1615" s="559"/>
      <c r="BK1615" s="559"/>
      <c r="BL1615" s="559"/>
    </row>
    <row r="1616" spans="1:64">
      <c r="A1616" s="406"/>
      <c r="B1616" s="406"/>
      <c r="C1616" s="417" t="s">
        <v>481</v>
      </c>
      <c r="D1616" s="432">
        <v>0.4</v>
      </c>
      <c r="E1616" s="406" t="s">
        <v>57</v>
      </c>
      <c r="F1616" s="432">
        <f>[161]LEAD!$N$12</f>
        <v>2253.91</v>
      </c>
      <c r="G1616" s="431">
        <v>1</v>
      </c>
      <c r="H1616" s="406" t="s">
        <v>57</v>
      </c>
      <c r="I1616" s="459">
        <f t="shared" si="386"/>
        <v>901.56399999999996</v>
      </c>
      <c r="J1616" s="462"/>
      <c r="K1616" s="463"/>
      <c r="L1616" s="463"/>
      <c r="M1616" s="559"/>
      <c r="N1616" s="559"/>
      <c r="O1616" s="559"/>
      <c r="P1616" s="559"/>
      <c r="Q1616" s="559"/>
      <c r="R1616" s="559"/>
      <c r="S1616" s="559"/>
      <c r="T1616" s="559"/>
      <c r="U1616" s="559"/>
      <c r="V1616" s="559"/>
      <c r="W1616" s="559"/>
      <c r="X1616" s="559"/>
      <c r="Y1616" s="559"/>
      <c r="Z1616" s="559"/>
      <c r="AA1616" s="559"/>
      <c r="AB1616" s="559"/>
      <c r="AC1616" s="559"/>
      <c r="AD1616" s="559"/>
      <c r="AE1616" s="559"/>
      <c r="AF1616" s="559"/>
      <c r="AG1616" s="559"/>
      <c r="AH1616" s="559"/>
      <c r="AI1616" s="559"/>
      <c r="AJ1616" s="559"/>
      <c r="AK1616" s="559"/>
      <c r="AL1616" s="559"/>
      <c r="AM1616" s="559"/>
      <c r="AN1616" s="559"/>
      <c r="AO1616" s="559"/>
      <c r="AP1616" s="559"/>
      <c r="AQ1616" s="559"/>
      <c r="AR1616" s="559"/>
      <c r="AS1616" s="559"/>
      <c r="AT1616" s="559"/>
      <c r="AU1616" s="559"/>
      <c r="AV1616" s="559"/>
      <c r="AW1616" s="559"/>
      <c r="AX1616" s="559"/>
      <c r="AY1616" s="559"/>
      <c r="AZ1616" s="559"/>
      <c r="BA1616" s="559"/>
      <c r="BB1616" s="559"/>
      <c r="BC1616" s="559"/>
      <c r="BD1616" s="559"/>
      <c r="BE1616" s="559"/>
      <c r="BF1616" s="559"/>
      <c r="BG1616" s="559"/>
      <c r="BH1616" s="559"/>
      <c r="BI1616" s="559"/>
      <c r="BJ1616" s="559"/>
      <c r="BK1616" s="559"/>
      <c r="BL1616" s="559"/>
    </row>
    <row r="1617" spans="1:64" ht="13">
      <c r="A1617" s="406"/>
      <c r="B1617" s="406"/>
      <c r="C1617" s="427" t="s">
        <v>911</v>
      </c>
      <c r="D1617" s="406"/>
      <c r="E1617" s="406"/>
      <c r="F1617" s="406"/>
      <c r="G1617" s="406"/>
      <c r="H1617" s="406"/>
      <c r="I1617" s="432"/>
      <c r="J1617" s="462"/>
      <c r="K1617" s="463"/>
      <c r="L1617" s="463"/>
      <c r="M1617" s="559"/>
      <c r="N1617" s="559"/>
      <c r="O1617" s="559"/>
      <c r="P1617" s="559"/>
      <c r="Q1617" s="559"/>
      <c r="R1617" s="559"/>
      <c r="S1617" s="559"/>
      <c r="T1617" s="559"/>
      <c r="U1617" s="559"/>
      <c r="V1617" s="559"/>
      <c r="W1617" s="559"/>
      <c r="X1617" s="559"/>
      <c r="Y1617" s="559"/>
      <c r="Z1617" s="559"/>
      <c r="AA1617" s="559"/>
      <c r="AB1617" s="559"/>
      <c r="AC1617" s="559"/>
      <c r="AD1617" s="559"/>
      <c r="AE1617" s="559"/>
      <c r="AF1617" s="559"/>
      <c r="AG1617" s="559"/>
      <c r="AH1617" s="559"/>
      <c r="AI1617" s="559"/>
      <c r="AJ1617" s="559"/>
      <c r="AK1617" s="559"/>
      <c r="AL1617" s="559"/>
      <c r="AM1617" s="559"/>
      <c r="AN1617" s="559"/>
      <c r="AO1617" s="559"/>
      <c r="AP1617" s="559"/>
      <c r="AQ1617" s="559"/>
      <c r="AR1617" s="559"/>
      <c r="AS1617" s="559"/>
      <c r="AT1617" s="559"/>
      <c r="AU1617" s="559"/>
      <c r="AV1617" s="559"/>
      <c r="AW1617" s="559"/>
      <c r="AX1617" s="559"/>
      <c r="AY1617" s="559"/>
      <c r="AZ1617" s="559"/>
      <c r="BA1617" s="559"/>
      <c r="BB1617" s="559"/>
      <c r="BC1617" s="559"/>
      <c r="BD1617" s="559"/>
      <c r="BE1617" s="559"/>
      <c r="BF1617" s="559"/>
      <c r="BG1617" s="559"/>
      <c r="BH1617" s="559"/>
      <c r="BI1617" s="559"/>
      <c r="BJ1617" s="559"/>
      <c r="BK1617" s="559"/>
      <c r="BL1617" s="559"/>
    </row>
    <row r="1618" spans="1:64">
      <c r="A1618" s="406"/>
      <c r="B1618" s="406"/>
      <c r="C1618" s="417" t="s">
        <v>912</v>
      </c>
      <c r="D1618" s="441">
        <v>6.7000000000000004E-2</v>
      </c>
      <c r="E1618" s="406" t="s">
        <v>14</v>
      </c>
      <c r="F1618" s="432">
        <f>'[161]Civil-SOR'!$G$293</f>
        <v>580</v>
      </c>
      <c r="G1618" s="431">
        <v>1</v>
      </c>
      <c r="H1618" s="406" t="s">
        <v>572</v>
      </c>
      <c r="I1618" s="459">
        <f t="shared" ref="I1618:I1621" si="387">IF(G1618="",D1618*F1618,(D1618*F1618/G1618))</f>
        <v>38.86</v>
      </c>
      <c r="J1618" s="462"/>
      <c r="K1618" s="463"/>
      <c r="L1618" s="463"/>
      <c r="M1618" s="559"/>
      <c r="N1618" s="559"/>
      <c r="O1618" s="559"/>
      <c r="P1618" s="559"/>
      <c r="Q1618" s="559"/>
      <c r="R1618" s="559"/>
      <c r="S1618" s="559"/>
      <c r="T1618" s="559"/>
      <c r="U1618" s="559"/>
      <c r="V1618" s="559"/>
      <c r="W1618" s="559"/>
      <c r="X1618" s="559"/>
      <c r="Y1618" s="559"/>
      <c r="Z1618" s="559"/>
      <c r="AA1618" s="559"/>
      <c r="AB1618" s="559"/>
      <c r="AC1618" s="559"/>
      <c r="AD1618" s="559"/>
      <c r="AE1618" s="559"/>
      <c r="AF1618" s="559"/>
      <c r="AG1618" s="559"/>
      <c r="AH1618" s="559"/>
      <c r="AI1618" s="559"/>
      <c r="AJ1618" s="559"/>
      <c r="AK1618" s="559"/>
      <c r="AL1618" s="559"/>
      <c r="AM1618" s="559"/>
      <c r="AN1618" s="559"/>
      <c r="AO1618" s="559"/>
      <c r="AP1618" s="559"/>
      <c r="AQ1618" s="559"/>
      <c r="AR1618" s="559"/>
      <c r="AS1618" s="559"/>
      <c r="AT1618" s="559"/>
      <c r="AU1618" s="559"/>
      <c r="AV1618" s="559"/>
      <c r="AW1618" s="559"/>
      <c r="AX1618" s="559"/>
      <c r="AY1618" s="559"/>
      <c r="AZ1618" s="559"/>
      <c r="BA1618" s="559"/>
      <c r="BB1618" s="559"/>
      <c r="BC1618" s="559"/>
      <c r="BD1618" s="559"/>
      <c r="BE1618" s="559"/>
      <c r="BF1618" s="559"/>
      <c r="BG1618" s="559"/>
      <c r="BH1618" s="559"/>
      <c r="BI1618" s="559"/>
      <c r="BJ1618" s="559"/>
      <c r="BK1618" s="559"/>
      <c r="BL1618" s="559"/>
    </row>
    <row r="1619" spans="1:64">
      <c r="A1619" s="406"/>
      <c r="B1619" s="406"/>
      <c r="C1619" s="417" t="s">
        <v>913</v>
      </c>
      <c r="D1619" s="441">
        <v>0.13300000000000001</v>
      </c>
      <c r="E1619" s="406" t="s">
        <v>14</v>
      </c>
      <c r="F1619" s="432">
        <f>'[161]Civil-SOR'!$G$302</f>
        <v>550</v>
      </c>
      <c r="G1619" s="431">
        <v>1</v>
      </c>
      <c r="H1619" s="406" t="str">
        <f>H1618</f>
        <v>Each</v>
      </c>
      <c r="I1619" s="459">
        <f t="shared" si="387"/>
        <v>73.150000000000006</v>
      </c>
      <c r="J1619" s="462"/>
      <c r="K1619" s="463"/>
      <c r="L1619" s="463"/>
      <c r="M1619" s="559"/>
      <c r="N1619" s="559"/>
      <c r="O1619" s="559"/>
      <c r="P1619" s="559"/>
      <c r="Q1619" s="559"/>
      <c r="R1619" s="559"/>
      <c r="S1619" s="559"/>
      <c r="T1619" s="559"/>
      <c r="U1619" s="559"/>
      <c r="V1619" s="559"/>
      <c r="W1619" s="559"/>
      <c r="X1619" s="559"/>
      <c r="Y1619" s="559"/>
      <c r="Z1619" s="559"/>
      <c r="AA1619" s="559"/>
      <c r="AB1619" s="559"/>
      <c r="AC1619" s="559"/>
      <c r="AD1619" s="559"/>
      <c r="AE1619" s="559"/>
      <c r="AF1619" s="559"/>
      <c r="AG1619" s="559"/>
      <c r="AH1619" s="559"/>
      <c r="AI1619" s="559"/>
      <c r="AJ1619" s="559"/>
      <c r="AK1619" s="559"/>
      <c r="AL1619" s="559"/>
      <c r="AM1619" s="559"/>
      <c r="AN1619" s="559"/>
      <c r="AO1619" s="559"/>
      <c r="AP1619" s="559"/>
      <c r="AQ1619" s="559"/>
      <c r="AR1619" s="559"/>
      <c r="AS1619" s="559"/>
      <c r="AT1619" s="559"/>
      <c r="AU1619" s="559"/>
      <c r="AV1619" s="559"/>
      <c r="AW1619" s="559"/>
      <c r="AX1619" s="559"/>
      <c r="AY1619" s="559"/>
      <c r="AZ1619" s="559"/>
      <c r="BA1619" s="559"/>
      <c r="BB1619" s="559"/>
      <c r="BC1619" s="559"/>
      <c r="BD1619" s="559"/>
      <c r="BE1619" s="559"/>
      <c r="BF1619" s="559"/>
      <c r="BG1619" s="559"/>
      <c r="BH1619" s="559"/>
      <c r="BI1619" s="559"/>
      <c r="BJ1619" s="559"/>
      <c r="BK1619" s="559"/>
      <c r="BL1619" s="559"/>
    </row>
    <row r="1620" spans="1:64">
      <c r="A1620" s="406"/>
      <c r="B1620" s="406"/>
      <c r="C1620" s="417" t="s">
        <v>914</v>
      </c>
      <c r="D1620" s="441">
        <v>3.077</v>
      </c>
      <c r="E1620" s="406" t="s">
        <v>14</v>
      </c>
      <c r="F1620" s="432">
        <f>'[161]Civil-SOR'!$G$307</f>
        <v>520</v>
      </c>
      <c r="G1620" s="431">
        <v>1</v>
      </c>
      <c r="H1620" s="406" t="str">
        <f>H1618</f>
        <v>Each</v>
      </c>
      <c r="I1620" s="459">
        <f t="shared" si="387"/>
        <v>1600.04</v>
      </c>
      <c r="J1620" s="462"/>
      <c r="K1620" s="463"/>
      <c r="L1620" s="463"/>
      <c r="M1620" s="559"/>
      <c r="N1620" s="559"/>
      <c r="O1620" s="559"/>
      <c r="P1620" s="559"/>
      <c r="Q1620" s="559"/>
      <c r="R1620" s="559"/>
      <c r="S1620" s="559"/>
      <c r="T1620" s="559"/>
      <c r="U1620" s="559"/>
      <c r="V1620" s="559"/>
      <c r="W1620" s="559"/>
      <c r="X1620" s="559"/>
      <c r="Y1620" s="559"/>
      <c r="Z1620" s="559"/>
      <c r="AA1620" s="559"/>
      <c r="AB1620" s="559"/>
      <c r="AC1620" s="559"/>
      <c r="AD1620" s="559"/>
      <c r="AE1620" s="559"/>
      <c r="AF1620" s="559"/>
      <c r="AG1620" s="559"/>
      <c r="AH1620" s="559"/>
      <c r="AI1620" s="559"/>
      <c r="AJ1620" s="559"/>
      <c r="AK1620" s="559"/>
      <c r="AL1620" s="559"/>
      <c r="AM1620" s="559"/>
      <c r="AN1620" s="559"/>
      <c r="AO1620" s="559"/>
      <c r="AP1620" s="559"/>
      <c r="AQ1620" s="559"/>
      <c r="AR1620" s="559"/>
      <c r="AS1620" s="559"/>
      <c r="AT1620" s="559"/>
      <c r="AU1620" s="559"/>
      <c r="AV1620" s="559"/>
      <c r="AW1620" s="559"/>
      <c r="AX1620" s="559"/>
      <c r="AY1620" s="559"/>
      <c r="AZ1620" s="559"/>
      <c r="BA1620" s="559"/>
      <c r="BB1620" s="559"/>
      <c r="BC1620" s="559"/>
      <c r="BD1620" s="559"/>
      <c r="BE1620" s="559"/>
      <c r="BF1620" s="559"/>
      <c r="BG1620" s="559"/>
      <c r="BH1620" s="559"/>
      <c r="BI1620" s="559"/>
      <c r="BJ1620" s="559"/>
      <c r="BK1620" s="559"/>
      <c r="BL1620" s="559"/>
    </row>
    <row r="1621" spans="1:64">
      <c r="A1621" s="406"/>
      <c r="B1621" s="406"/>
      <c r="C1621" s="417" t="str">
        <f>[161]Input!$C$47</f>
        <v>Add for MA @ 40%</v>
      </c>
      <c r="D1621" s="432">
        <f>[161]Input!$D$47</f>
        <v>0.4</v>
      </c>
      <c r="E1621" s="406"/>
      <c r="F1621" s="432">
        <f>SUM(I1618:I1620)</f>
        <v>1712.05</v>
      </c>
      <c r="G1621" s="431"/>
      <c r="H1621" s="406"/>
      <c r="I1621" s="459">
        <f t="shared" si="387"/>
        <v>684.82</v>
      </c>
      <c r="J1621" s="462"/>
      <c r="K1621" s="463"/>
      <c r="L1621" s="463"/>
      <c r="M1621" s="559"/>
      <c r="N1621" s="559"/>
      <c r="O1621" s="559"/>
      <c r="P1621" s="559"/>
      <c r="Q1621" s="559"/>
      <c r="R1621" s="559"/>
      <c r="S1621" s="559"/>
      <c r="T1621" s="559"/>
      <c r="U1621" s="559"/>
      <c r="V1621" s="559"/>
      <c r="W1621" s="559"/>
      <c r="X1621" s="559"/>
      <c r="Y1621" s="559"/>
      <c r="Z1621" s="559"/>
      <c r="AA1621" s="559"/>
      <c r="AB1621" s="559"/>
      <c r="AC1621" s="559"/>
      <c r="AD1621" s="559"/>
      <c r="AE1621" s="559"/>
      <c r="AF1621" s="559"/>
      <c r="AG1621" s="559"/>
      <c r="AH1621" s="559"/>
      <c r="AI1621" s="559"/>
      <c r="AJ1621" s="559"/>
      <c r="AK1621" s="559"/>
      <c r="AL1621" s="559"/>
      <c r="AM1621" s="559"/>
      <c r="AN1621" s="559"/>
      <c r="AO1621" s="559"/>
      <c r="AP1621" s="559"/>
      <c r="AQ1621" s="559"/>
      <c r="AR1621" s="559"/>
      <c r="AS1621" s="559"/>
      <c r="AT1621" s="559"/>
      <c r="AU1621" s="559"/>
      <c r="AV1621" s="559"/>
      <c r="AW1621" s="559"/>
      <c r="AX1621" s="559"/>
      <c r="AY1621" s="559"/>
      <c r="AZ1621" s="559"/>
      <c r="BA1621" s="559"/>
      <c r="BB1621" s="559"/>
      <c r="BC1621" s="559"/>
      <c r="BD1621" s="559"/>
      <c r="BE1621" s="559"/>
      <c r="BF1621" s="559"/>
      <c r="BG1621" s="559"/>
      <c r="BH1621" s="559"/>
      <c r="BI1621" s="559"/>
      <c r="BJ1621" s="559"/>
      <c r="BK1621" s="559"/>
      <c r="BL1621" s="559"/>
    </row>
    <row r="1622" spans="1:64" ht="13">
      <c r="A1622" s="406"/>
      <c r="B1622" s="406"/>
      <c r="C1622" s="427" t="s">
        <v>915</v>
      </c>
      <c r="D1622" s="432"/>
      <c r="E1622" s="406"/>
      <c r="F1622" s="432"/>
      <c r="G1622" s="431"/>
      <c r="H1622" s="406"/>
      <c r="I1622" s="459"/>
      <c r="J1622" s="462"/>
      <c r="K1622" s="463"/>
      <c r="L1622" s="463"/>
      <c r="M1622" s="559"/>
      <c r="N1622" s="559"/>
      <c r="O1622" s="559"/>
      <c r="P1622" s="559"/>
      <c r="Q1622" s="559"/>
      <c r="R1622" s="559"/>
      <c r="S1622" s="559"/>
      <c r="T1622" s="559"/>
      <c r="U1622" s="559"/>
      <c r="V1622" s="559"/>
      <c r="W1622" s="559"/>
      <c r="X1622" s="559"/>
      <c r="Y1622" s="559"/>
      <c r="Z1622" s="559"/>
      <c r="AA1622" s="559"/>
      <c r="AB1622" s="559"/>
      <c r="AC1622" s="559"/>
      <c r="AD1622" s="559"/>
      <c r="AE1622" s="559"/>
      <c r="AF1622" s="559"/>
      <c r="AG1622" s="559"/>
      <c r="AH1622" s="559"/>
      <c r="AI1622" s="559"/>
      <c r="AJ1622" s="559"/>
      <c r="AK1622" s="559"/>
      <c r="AL1622" s="559"/>
      <c r="AM1622" s="559"/>
      <c r="AN1622" s="559"/>
      <c r="AO1622" s="559"/>
      <c r="AP1622" s="559"/>
      <c r="AQ1622" s="559"/>
      <c r="AR1622" s="559"/>
      <c r="AS1622" s="559"/>
      <c r="AT1622" s="559"/>
      <c r="AU1622" s="559"/>
      <c r="AV1622" s="559"/>
      <c r="AW1622" s="559"/>
      <c r="AX1622" s="559"/>
      <c r="AY1622" s="559"/>
      <c r="AZ1622" s="559"/>
      <c r="BA1622" s="559"/>
      <c r="BB1622" s="559"/>
      <c r="BC1622" s="559"/>
      <c r="BD1622" s="559"/>
      <c r="BE1622" s="559"/>
      <c r="BF1622" s="559"/>
      <c r="BG1622" s="559"/>
      <c r="BH1622" s="559"/>
      <c r="BI1622" s="559"/>
      <c r="BJ1622" s="559"/>
      <c r="BK1622" s="559"/>
      <c r="BL1622" s="559"/>
    </row>
    <row r="1623" spans="1:64">
      <c r="A1623" s="406"/>
      <c r="B1623" s="406"/>
      <c r="C1623" s="417" t="s">
        <v>916</v>
      </c>
      <c r="D1623" s="441">
        <v>0.308</v>
      </c>
      <c r="E1623" s="406" t="s">
        <v>796</v>
      </c>
      <c r="F1623" s="432">
        <f>'[161]Civil-SOR'!$G$329</f>
        <v>265.79999999999995</v>
      </c>
      <c r="G1623" s="431">
        <v>1</v>
      </c>
      <c r="H1623" s="406" t="s">
        <v>826</v>
      </c>
      <c r="I1623" s="459">
        <f t="shared" ref="I1623:I1626" si="388">IF(G1623="",D1623*F1623,(D1623*F1623/G1623))</f>
        <v>81.866399999999985</v>
      </c>
      <c r="J1623" s="462"/>
      <c r="K1623" s="463"/>
      <c r="L1623" s="463"/>
      <c r="M1623" s="559"/>
      <c r="N1623" s="559"/>
      <c r="O1623" s="559"/>
      <c r="P1623" s="559"/>
      <c r="Q1623" s="559"/>
      <c r="R1623" s="559"/>
      <c r="S1623" s="559"/>
      <c r="T1623" s="559"/>
      <c r="U1623" s="559"/>
      <c r="V1623" s="559"/>
      <c r="W1623" s="559"/>
      <c r="X1623" s="559"/>
      <c r="Y1623" s="559"/>
      <c r="Z1623" s="559"/>
      <c r="AA1623" s="559"/>
      <c r="AB1623" s="559"/>
      <c r="AC1623" s="559"/>
      <c r="AD1623" s="559"/>
      <c r="AE1623" s="559"/>
      <c r="AF1623" s="559"/>
      <c r="AG1623" s="559"/>
      <c r="AH1623" s="559"/>
      <c r="AI1623" s="559"/>
      <c r="AJ1623" s="559"/>
      <c r="AK1623" s="559"/>
      <c r="AL1623" s="559"/>
      <c r="AM1623" s="559"/>
      <c r="AN1623" s="559"/>
      <c r="AO1623" s="559"/>
      <c r="AP1623" s="559"/>
      <c r="AQ1623" s="559"/>
      <c r="AR1623" s="559"/>
      <c r="AS1623" s="559"/>
      <c r="AT1623" s="559"/>
      <c r="AU1623" s="559"/>
      <c r="AV1623" s="559"/>
      <c r="AW1623" s="559"/>
      <c r="AX1623" s="559"/>
      <c r="AY1623" s="559"/>
      <c r="AZ1623" s="559"/>
      <c r="BA1623" s="559"/>
      <c r="BB1623" s="559"/>
      <c r="BC1623" s="559"/>
      <c r="BD1623" s="559"/>
      <c r="BE1623" s="559"/>
      <c r="BF1623" s="559"/>
      <c r="BG1623" s="559"/>
      <c r="BH1623" s="559"/>
      <c r="BI1623" s="559"/>
      <c r="BJ1623" s="559"/>
      <c r="BK1623" s="559"/>
      <c r="BL1623" s="559"/>
    </row>
    <row r="1624" spans="1:64">
      <c r="A1624" s="406"/>
      <c r="B1624" s="406"/>
      <c r="C1624" s="417" t="s">
        <v>828</v>
      </c>
      <c r="D1624" s="441">
        <v>0.308</v>
      </c>
      <c r="E1624" s="406" t="s">
        <v>796</v>
      </c>
      <c r="F1624" s="432">
        <f>'[161]Civil-SOR'!$J$329</f>
        <v>454.8</v>
      </c>
      <c r="G1624" s="431">
        <v>1</v>
      </c>
      <c r="H1624" s="406" t="s">
        <v>826</v>
      </c>
      <c r="I1624" s="459">
        <f t="shared" si="388"/>
        <v>140.07839999999999</v>
      </c>
      <c r="J1624" s="462"/>
      <c r="K1624" s="463"/>
      <c r="L1624" s="463"/>
      <c r="M1624" s="559"/>
      <c r="N1624" s="559"/>
      <c r="O1624" s="559"/>
      <c r="P1624" s="559"/>
      <c r="Q1624" s="559"/>
      <c r="R1624" s="559"/>
      <c r="S1624" s="559"/>
      <c r="T1624" s="559"/>
      <c r="U1624" s="559"/>
      <c r="V1624" s="559"/>
      <c r="W1624" s="559"/>
      <c r="X1624" s="559"/>
      <c r="Y1624" s="559"/>
      <c r="Z1624" s="559"/>
      <c r="AA1624" s="559"/>
      <c r="AB1624" s="559"/>
      <c r="AC1624" s="559"/>
      <c r="AD1624" s="559"/>
      <c r="AE1624" s="559"/>
      <c r="AF1624" s="559"/>
      <c r="AG1624" s="559"/>
      <c r="AH1624" s="559"/>
      <c r="AI1624" s="559"/>
      <c r="AJ1624" s="559"/>
      <c r="AK1624" s="559"/>
      <c r="AL1624" s="559"/>
      <c r="AM1624" s="559"/>
      <c r="AN1624" s="559"/>
      <c r="AO1624" s="559"/>
      <c r="AP1624" s="559"/>
      <c r="AQ1624" s="559"/>
      <c r="AR1624" s="559"/>
      <c r="AS1624" s="559"/>
      <c r="AT1624" s="559"/>
      <c r="AU1624" s="559"/>
      <c r="AV1624" s="559"/>
      <c r="AW1624" s="559"/>
      <c r="AX1624" s="559"/>
      <c r="AY1624" s="559"/>
      <c r="AZ1624" s="559"/>
      <c r="BA1624" s="559"/>
      <c r="BB1624" s="559"/>
      <c r="BC1624" s="559"/>
      <c r="BD1624" s="559"/>
      <c r="BE1624" s="559"/>
      <c r="BF1624" s="559"/>
      <c r="BG1624" s="559"/>
      <c r="BH1624" s="559"/>
      <c r="BI1624" s="559"/>
      <c r="BJ1624" s="559"/>
      <c r="BK1624" s="559"/>
      <c r="BL1624" s="559"/>
    </row>
    <row r="1625" spans="1:64">
      <c r="A1625" s="406"/>
      <c r="B1625" s="406"/>
      <c r="C1625" s="417" t="s">
        <v>799</v>
      </c>
      <c r="D1625" s="432">
        <f>[161]Input!$D$47</f>
        <v>0.4</v>
      </c>
      <c r="E1625" s="406"/>
      <c r="F1625" s="432">
        <f>$I$1624</f>
        <v>140.07839999999999</v>
      </c>
      <c r="G1625" s="431"/>
      <c r="H1625" s="406"/>
      <c r="I1625" s="459">
        <f t="shared" si="388"/>
        <v>56.031359999999999</v>
      </c>
      <c r="J1625" s="462"/>
      <c r="K1625" s="463"/>
      <c r="L1625" s="463"/>
      <c r="M1625" s="559"/>
      <c r="N1625" s="559"/>
      <c r="O1625" s="559"/>
      <c r="P1625" s="559"/>
      <c r="Q1625" s="559"/>
      <c r="R1625" s="559"/>
      <c r="S1625" s="559"/>
      <c r="T1625" s="559"/>
      <c r="U1625" s="559"/>
      <c r="V1625" s="559"/>
      <c r="W1625" s="559"/>
      <c r="X1625" s="559"/>
      <c r="Y1625" s="559"/>
      <c r="Z1625" s="559"/>
      <c r="AA1625" s="559"/>
      <c r="AB1625" s="559"/>
      <c r="AC1625" s="559"/>
      <c r="AD1625" s="559"/>
      <c r="AE1625" s="559"/>
      <c r="AF1625" s="559"/>
      <c r="AG1625" s="559"/>
      <c r="AH1625" s="559"/>
      <c r="AI1625" s="559"/>
      <c r="AJ1625" s="559"/>
      <c r="AK1625" s="559"/>
      <c r="AL1625" s="559"/>
      <c r="AM1625" s="559"/>
      <c r="AN1625" s="559"/>
      <c r="AO1625" s="559"/>
      <c r="AP1625" s="559"/>
      <c r="AQ1625" s="559"/>
      <c r="AR1625" s="559"/>
      <c r="AS1625" s="559"/>
      <c r="AT1625" s="559"/>
      <c r="AU1625" s="559"/>
      <c r="AV1625" s="559"/>
      <c r="AW1625" s="559"/>
      <c r="AX1625" s="559"/>
      <c r="AY1625" s="559"/>
      <c r="AZ1625" s="559"/>
      <c r="BA1625" s="559"/>
      <c r="BB1625" s="559"/>
      <c r="BC1625" s="559"/>
      <c r="BD1625" s="559"/>
      <c r="BE1625" s="559"/>
      <c r="BF1625" s="559"/>
      <c r="BG1625" s="559"/>
      <c r="BH1625" s="559"/>
      <c r="BI1625" s="559"/>
      <c r="BJ1625" s="559"/>
      <c r="BK1625" s="559"/>
      <c r="BL1625" s="559"/>
    </row>
    <row r="1626" spans="1:64">
      <c r="A1626" s="406"/>
      <c r="B1626" s="406"/>
      <c r="C1626" s="417" t="s">
        <v>918</v>
      </c>
      <c r="D1626" s="459">
        <v>1.2</v>
      </c>
      <c r="E1626" s="459" t="s">
        <v>877</v>
      </c>
      <c r="F1626" s="459">
        <f>[161]Input!$D$53</f>
        <v>108</v>
      </c>
      <c r="G1626" s="460">
        <v>1</v>
      </c>
      <c r="H1626" s="599" t="str">
        <f>IF(E1626="","",IF(E1626="No.","Each",IF(E1626="Nos.","Each",E1626)))</f>
        <v>kl</v>
      </c>
      <c r="I1626" s="459">
        <f t="shared" si="388"/>
        <v>129.6</v>
      </c>
      <c r="J1626" s="462"/>
      <c r="K1626" s="463"/>
      <c r="L1626" s="463"/>
      <c r="M1626" s="559"/>
      <c r="N1626" s="559"/>
      <c r="O1626" s="559"/>
      <c r="P1626" s="559"/>
      <c r="Q1626" s="559"/>
      <c r="R1626" s="559"/>
      <c r="S1626" s="559"/>
      <c r="T1626" s="559"/>
      <c r="U1626" s="559"/>
      <c r="V1626" s="559"/>
      <c r="W1626" s="559"/>
      <c r="X1626" s="559"/>
      <c r="Y1626" s="559"/>
      <c r="Z1626" s="559"/>
      <c r="AA1626" s="559"/>
      <c r="AB1626" s="559"/>
      <c r="AC1626" s="559"/>
      <c r="AD1626" s="559"/>
      <c r="AE1626" s="559"/>
      <c r="AF1626" s="559"/>
      <c r="AG1626" s="559"/>
      <c r="AH1626" s="559"/>
      <c r="AI1626" s="559"/>
      <c r="AJ1626" s="559"/>
      <c r="AK1626" s="559"/>
      <c r="AL1626" s="559"/>
      <c r="AM1626" s="559"/>
      <c r="AN1626" s="559"/>
      <c r="AO1626" s="559"/>
      <c r="AP1626" s="559"/>
      <c r="AQ1626" s="559"/>
      <c r="AR1626" s="559"/>
      <c r="AS1626" s="559"/>
      <c r="AT1626" s="559"/>
      <c r="AU1626" s="559"/>
      <c r="AV1626" s="559"/>
      <c r="AW1626" s="559"/>
      <c r="AX1626" s="559"/>
      <c r="AY1626" s="559"/>
      <c r="AZ1626" s="559"/>
      <c r="BA1626" s="559"/>
      <c r="BB1626" s="559"/>
      <c r="BC1626" s="559"/>
      <c r="BD1626" s="559"/>
      <c r="BE1626" s="559"/>
      <c r="BF1626" s="559"/>
      <c r="BG1626" s="559"/>
      <c r="BH1626" s="559"/>
      <c r="BI1626" s="559"/>
      <c r="BJ1626" s="559"/>
      <c r="BK1626" s="559"/>
      <c r="BL1626" s="559"/>
    </row>
    <row r="1627" spans="1:64" ht="13">
      <c r="A1627" s="406"/>
      <c r="B1627" s="406"/>
      <c r="C1627" s="427" t="s">
        <v>724</v>
      </c>
      <c r="D1627" s="406"/>
      <c r="E1627" s="406"/>
      <c r="F1627" s="406"/>
      <c r="G1627" s="436"/>
      <c r="H1627" s="406"/>
      <c r="I1627" s="422">
        <f>SUM(I1614:I1626)</f>
        <v>6840.3781600000002</v>
      </c>
      <c r="J1627" s="462"/>
      <c r="K1627" s="463"/>
      <c r="L1627" s="463"/>
      <c r="M1627" s="559"/>
      <c r="N1627" s="559"/>
      <c r="O1627" s="559"/>
      <c r="P1627" s="559"/>
      <c r="Q1627" s="559"/>
      <c r="R1627" s="559"/>
      <c r="S1627" s="559"/>
      <c r="T1627" s="559"/>
      <c r="U1627" s="559"/>
      <c r="V1627" s="559"/>
      <c r="W1627" s="559"/>
      <c r="X1627" s="559"/>
      <c r="Y1627" s="559"/>
      <c r="Z1627" s="559"/>
      <c r="AA1627" s="559"/>
      <c r="AB1627" s="559"/>
      <c r="AC1627" s="559"/>
      <c r="AD1627" s="559"/>
      <c r="AE1627" s="559"/>
      <c r="AF1627" s="559"/>
      <c r="AG1627" s="559"/>
      <c r="AH1627" s="559"/>
      <c r="AI1627" s="559"/>
      <c r="AJ1627" s="559"/>
      <c r="AK1627" s="559"/>
      <c r="AL1627" s="559"/>
      <c r="AM1627" s="559"/>
      <c r="AN1627" s="559"/>
      <c r="AO1627" s="559"/>
      <c r="AP1627" s="559"/>
      <c r="AQ1627" s="559"/>
      <c r="AR1627" s="559"/>
      <c r="AS1627" s="559"/>
      <c r="AT1627" s="559"/>
      <c r="AU1627" s="559"/>
      <c r="AV1627" s="559"/>
      <c r="AW1627" s="559"/>
      <c r="AX1627" s="559"/>
      <c r="AY1627" s="559"/>
      <c r="AZ1627" s="559"/>
      <c r="BA1627" s="559"/>
      <c r="BB1627" s="559"/>
      <c r="BC1627" s="559"/>
      <c r="BD1627" s="559"/>
      <c r="BE1627" s="559"/>
      <c r="BF1627" s="559"/>
      <c r="BG1627" s="559"/>
      <c r="BH1627" s="559"/>
      <c r="BI1627" s="559"/>
      <c r="BJ1627" s="559"/>
      <c r="BK1627" s="559"/>
      <c r="BL1627" s="559"/>
    </row>
    <row r="1628" spans="1:64" ht="13">
      <c r="A1628" s="426"/>
      <c r="B1628" s="426"/>
      <c r="C1628" s="433"/>
      <c r="D1628" s="426"/>
      <c r="E1628" s="426"/>
      <c r="F1628" s="426"/>
      <c r="G1628" s="492"/>
      <c r="H1628" s="426"/>
      <c r="I1628" s="434"/>
      <c r="J1628" s="400"/>
      <c r="K1628" s="401"/>
      <c r="L1628" s="401"/>
    </row>
    <row r="1629" spans="1:64" ht="13">
      <c r="A1629" s="426"/>
      <c r="B1629" s="426"/>
      <c r="C1629" s="481" t="s">
        <v>1031</v>
      </c>
      <c r="D1629" s="426">
        <f>0.6*(0.075+0.05)/2</f>
        <v>3.7499999999999999E-2</v>
      </c>
      <c r="E1629" s="426" t="s">
        <v>666</v>
      </c>
      <c r="F1629" s="409">
        <f>$I$1627</f>
        <v>6840.3781600000002</v>
      </c>
      <c r="G1629" s="410">
        <v>1</v>
      </c>
      <c r="H1629" s="426" t="s">
        <v>666</v>
      </c>
      <c r="I1629" s="414">
        <f>IF(G1629="",D1629*F1629,(D1629*F1629/G1629))</f>
        <v>256.51418100000001</v>
      </c>
      <c r="J1629" s="411"/>
      <c r="K1629" s="412"/>
      <c r="L1629" s="412"/>
      <c r="M1629" s="554"/>
      <c r="N1629" s="554"/>
      <c r="O1629" s="554"/>
      <c r="P1629" s="554"/>
      <c r="Q1629" s="554"/>
      <c r="R1629" s="554"/>
      <c r="S1629" s="554"/>
      <c r="T1629" s="554"/>
      <c r="U1629" s="554"/>
      <c r="V1629" s="554"/>
      <c r="W1629" s="554"/>
      <c r="X1629" s="554"/>
      <c r="Y1629" s="554"/>
      <c r="Z1629" s="554"/>
      <c r="AA1629" s="554"/>
      <c r="AB1629" s="554"/>
      <c r="AC1629" s="554"/>
      <c r="AD1629" s="554"/>
      <c r="AE1629" s="554"/>
      <c r="AF1629" s="554"/>
      <c r="AG1629" s="554"/>
      <c r="AH1629" s="554"/>
      <c r="AI1629" s="554"/>
      <c r="AJ1629" s="554"/>
      <c r="AK1629" s="554"/>
      <c r="AL1629" s="554"/>
      <c r="AM1629" s="554"/>
      <c r="AN1629" s="554"/>
      <c r="AO1629" s="554"/>
      <c r="AP1629" s="554"/>
      <c r="AQ1629" s="554"/>
      <c r="AR1629" s="554"/>
      <c r="AS1629" s="554"/>
      <c r="AT1629" s="554"/>
      <c r="AU1629" s="554"/>
      <c r="AV1629" s="554"/>
      <c r="AW1629" s="554"/>
      <c r="AX1629" s="554"/>
      <c r="AY1629" s="554"/>
      <c r="AZ1629" s="554"/>
      <c r="BA1629" s="554"/>
      <c r="BB1629" s="554"/>
      <c r="BC1629" s="554"/>
      <c r="BD1629" s="554"/>
      <c r="BE1629" s="554"/>
      <c r="BF1629" s="554"/>
      <c r="BG1629" s="554"/>
      <c r="BH1629" s="554"/>
      <c r="BI1629" s="554"/>
      <c r="BJ1629" s="554"/>
      <c r="BK1629" s="554"/>
      <c r="BL1629" s="554"/>
    </row>
    <row r="1630" spans="1:64" ht="13">
      <c r="A1630" s="426"/>
      <c r="B1630" s="426"/>
      <c r="C1630" s="433"/>
      <c r="D1630" s="426"/>
      <c r="E1630" s="426"/>
      <c r="F1630" s="409"/>
      <c r="G1630" s="492"/>
      <c r="H1630" s="426"/>
      <c r="I1630" s="408"/>
      <c r="J1630" s="400"/>
      <c r="K1630" s="401"/>
      <c r="L1630" s="401"/>
    </row>
    <row r="1631" spans="1:64" ht="13">
      <c r="A1631" s="406"/>
      <c r="B1631" s="406"/>
      <c r="C1631" s="481" t="s">
        <v>953</v>
      </c>
      <c r="D1631" s="461" t="s">
        <v>959</v>
      </c>
      <c r="E1631" s="407" t="s">
        <v>943</v>
      </c>
      <c r="F1631" s="436" t="s">
        <v>944</v>
      </c>
      <c r="G1631" s="436" t="s">
        <v>945</v>
      </c>
      <c r="H1631" s="436" t="s">
        <v>946</v>
      </c>
      <c r="I1631" s="422" t="s">
        <v>947</v>
      </c>
      <c r="J1631" s="535" t="s">
        <v>948</v>
      </c>
      <c r="K1631" s="536" t="s">
        <v>949</v>
      </c>
      <c r="L1631" s="536" t="s">
        <v>950</v>
      </c>
      <c r="M1631" s="425"/>
      <c r="N1631" s="425"/>
      <c r="O1631" s="425"/>
      <c r="P1631" s="425"/>
      <c r="Q1631" s="425"/>
      <c r="R1631" s="425"/>
      <c r="S1631" s="425"/>
      <c r="T1631" s="425"/>
      <c r="U1631" s="425"/>
      <c r="V1631" s="425"/>
      <c r="W1631" s="425"/>
      <c r="X1631" s="425"/>
      <c r="Y1631" s="425"/>
      <c r="Z1631" s="425"/>
      <c r="AA1631" s="425"/>
      <c r="AB1631" s="425"/>
      <c r="AC1631" s="425"/>
      <c r="AD1631" s="425"/>
      <c r="AE1631" s="425"/>
      <c r="AF1631" s="425"/>
      <c r="AG1631" s="425"/>
      <c r="AH1631" s="425"/>
      <c r="AI1631" s="425"/>
      <c r="AJ1631" s="425"/>
      <c r="AK1631" s="425"/>
      <c r="AL1631" s="425"/>
      <c r="AM1631" s="425"/>
      <c r="AN1631" s="425"/>
      <c r="AO1631" s="425"/>
      <c r="AP1631" s="425"/>
      <c r="AQ1631" s="425"/>
      <c r="AR1631" s="425"/>
      <c r="AS1631" s="425"/>
      <c r="AT1631" s="425"/>
      <c r="AU1631" s="425"/>
      <c r="AV1631" s="425"/>
      <c r="AW1631" s="425"/>
      <c r="AX1631" s="425"/>
      <c r="AY1631" s="425"/>
      <c r="AZ1631" s="425"/>
      <c r="BA1631" s="425"/>
      <c r="BB1631" s="425"/>
      <c r="BC1631" s="425"/>
      <c r="BD1631" s="425"/>
      <c r="BE1631" s="425"/>
      <c r="BF1631" s="425"/>
      <c r="BG1631" s="425"/>
      <c r="BH1631" s="425"/>
      <c r="BI1631" s="425"/>
      <c r="BJ1631" s="425"/>
      <c r="BK1631" s="425"/>
      <c r="BL1631" s="425"/>
    </row>
    <row r="1632" spans="1:64">
      <c r="A1632" s="406"/>
      <c r="B1632" s="406"/>
      <c r="C1632" s="417" t="s">
        <v>954</v>
      </c>
      <c r="D1632" s="432">
        <f t="shared" ref="D1632:L1632" si="389">$I$1629</f>
        <v>256.51418100000001</v>
      </c>
      <c r="E1632" s="432">
        <f t="shared" si="389"/>
        <v>256.51418100000001</v>
      </c>
      <c r="F1632" s="432">
        <f t="shared" si="389"/>
        <v>256.51418100000001</v>
      </c>
      <c r="G1632" s="432">
        <f t="shared" si="389"/>
        <v>256.51418100000001</v>
      </c>
      <c r="H1632" s="432">
        <f t="shared" si="389"/>
        <v>256.51418100000001</v>
      </c>
      <c r="I1632" s="432">
        <f t="shared" si="389"/>
        <v>256.51418100000001</v>
      </c>
      <c r="J1632" s="537">
        <f t="shared" si="389"/>
        <v>256.51418100000001</v>
      </c>
      <c r="K1632" s="538">
        <f t="shared" si="389"/>
        <v>256.51418100000001</v>
      </c>
      <c r="L1632" s="538">
        <f t="shared" si="389"/>
        <v>256.51418100000001</v>
      </c>
      <c r="M1632" s="404"/>
      <c r="N1632" s="404"/>
      <c r="O1632" s="404"/>
      <c r="P1632" s="404"/>
      <c r="Q1632" s="404"/>
      <c r="R1632" s="404"/>
      <c r="S1632" s="404"/>
      <c r="T1632" s="404"/>
      <c r="U1632" s="404"/>
      <c r="V1632" s="404"/>
      <c r="W1632" s="404"/>
      <c r="X1632" s="404"/>
      <c r="Y1632" s="404"/>
      <c r="Z1632" s="404"/>
      <c r="AA1632" s="404"/>
      <c r="AB1632" s="404"/>
      <c r="AC1632" s="404"/>
      <c r="AD1632" s="404"/>
      <c r="AE1632" s="404"/>
      <c r="AF1632" s="404"/>
      <c r="AG1632" s="404"/>
      <c r="AH1632" s="404"/>
      <c r="AI1632" s="404"/>
      <c r="AJ1632" s="404"/>
      <c r="AK1632" s="404"/>
      <c r="AL1632" s="404"/>
      <c r="AM1632" s="404"/>
      <c r="AN1632" s="404"/>
      <c r="AO1632" s="404"/>
      <c r="AP1632" s="404"/>
      <c r="AQ1632" s="404"/>
      <c r="AR1632" s="404"/>
      <c r="AS1632" s="404"/>
      <c r="AT1632" s="404"/>
      <c r="AU1632" s="404"/>
      <c r="AV1632" s="404"/>
      <c r="AW1632" s="404"/>
      <c r="AX1632" s="404"/>
      <c r="AY1632" s="404"/>
      <c r="AZ1632" s="404"/>
      <c r="BA1632" s="404"/>
      <c r="BB1632" s="404"/>
      <c r="BC1632" s="404"/>
      <c r="BD1632" s="404"/>
      <c r="BE1632" s="404"/>
      <c r="BF1632" s="404"/>
      <c r="BG1632" s="404"/>
      <c r="BH1632" s="404"/>
      <c r="BI1632" s="404"/>
      <c r="BJ1632" s="404"/>
      <c r="BK1632" s="404"/>
      <c r="BL1632" s="404"/>
    </row>
    <row r="1633" spans="1:64">
      <c r="A1633" s="406"/>
      <c r="B1633" s="406"/>
      <c r="C1633" s="417" t="s">
        <v>921</v>
      </c>
      <c r="D1633" s="432">
        <f>'[161]Civil-SOR'!$F$277*0.6</f>
        <v>105</v>
      </c>
      <c r="E1633" s="432">
        <f>'[161]Civil-SOR'!$F$277*0.6</f>
        <v>105</v>
      </c>
      <c r="F1633" s="432">
        <f>'[161]Civil-SOR'!$F$277*0.6</f>
        <v>105</v>
      </c>
      <c r="G1633" s="432">
        <f>'[161]Civil-SOR'!$F$277*0.6</f>
        <v>105</v>
      </c>
      <c r="H1633" s="432">
        <f>'[161]Civil-SOR'!$F$277*0.6</f>
        <v>105</v>
      </c>
      <c r="I1633" s="432">
        <f>'[161]Civil-SOR'!$F$277*0.6</f>
        <v>105</v>
      </c>
      <c r="J1633" s="537">
        <f>'[161]Civil-SOR'!$F$277*0.6</f>
        <v>105</v>
      </c>
      <c r="K1633" s="538">
        <f>'[161]Civil-SOR'!$F$277*0.6</f>
        <v>105</v>
      </c>
      <c r="L1633" s="538">
        <f>'[161]Civil-SOR'!$F$277*0.6</f>
        <v>105</v>
      </c>
      <c r="M1633" s="404"/>
      <c r="N1633" s="404"/>
      <c r="O1633" s="404"/>
      <c r="P1633" s="404"/>
      <c r="Q1633" s="404"/>
      <c r="R1633" s="404"/>
      <c r="S1633" s="404"/>
      <c r="T1633" s="404"/>
      <c r="U1633" s="404"/>
      <c r="V1633" s="404"/>
      <c r="W1633" s="404"/>
      <c r="X1633" s="404"/>
      <c r="Y1633" s="404"/>
      <c r="Z1633" s="404"/>
      <c r="AA1633" s="404"/>
      <c r="AB1633" s="404"/>
      <c r="AC1633" s="404"/>
      <c r="AD1633" s="404"/>
      <c r="AE1633" s="404"/>
      <c r="AF1633" s="404"/>
      <c r="AG1633" s="404"/>
      <c r="AH1633" s="404"/>
      <c r="AI1633" s="404"/>
      <c r="AJ1633" s="404"/>
      <c r="AK1633" s="404"/>
      <c r="AL1633" s="404"/>
      <c r="AM1633" s="404"/>
      <c r="AN1633" s="404"/>
      <c r="AO1633" s="404"/>
      <c r="AP1633" s="404"/>
      <c r="AQ1633" s="404"/>
      <c r="AR1633" s="404"/>
      <c r="AS1633" s="404"/>
      <c r="AT1633" s="404"/>
      <c r="AU1633" s="404"/>
      <c r="AV1633" s="404"/>
      <c r="AW1633" s="404"/>
      <c r="AX1633" s="404"/>
      <c r="AY1633" s="404"/>
      <c r="AZ1633" s="404"/>
      <c r="BA1633" s="404"/>
      <c r="BB1633" s="404"/>
      <c r="BC1633" s="404"/>
      <c r="BD1633" s="404"/>
      <c r="BE1633" s="404"/>
      <c r="BF1633" s="404"/>
      <c r="BG1633" s="404"/>
      <c r="BH1633" s="404"/>
      <c r="BI1633" s="404"/>
      <c r="BJ1633" s="404"/>
      <c r="BK1633" s="404"/>
      <c r="BL1633" s="404"/>
    </row>
    <row r="1634" spans="1:64">
      <c r="A1634" s="406"/>
      <c r="B1634" s="406"/>
      <c r="C1634" s="417" t="s">
        <v>1001</v>
      </c>
      <c r="D1634" s="459">
        <f>'[161]Civil-SOR'!$G$277*0.6</f>
        <v>137.4</v>
      </c>
      <c r="E1634" s="459">
        <f>'[161]Civil-SOR'!$H$277*0.6</f>
        <v>151.19999999999999</v>
      </c>
      <c r="F1634" s="459">
        <f>'[161]Civil-SOR'!I$277*0.6</f>
        <v>165</v>
      </c>
      <c r="G1634" s="459">
        <f>'[161]Civil-SOR'!J$277*0.6</f>
        <v>178.79999999999998</v>
      </c>
      <c r="H1634" s="459">
        <f>'[161]Civil-SOR'!K$277*0.6</f>
        <v>192.6</v>
      </c>
      <c r="I1634" s="459">
        <f>'[161]Civil-SOR'!L$277*0.6</f>
        <v>206.4</v>
      </c>
      <c r="J1634" s="565">
        <f>'[161]Civil-SOR'!M$277*0.6</f>
        <v>219.6</v>
      </c>
      <c r="K1634" s="600">
        <f>'[161]Civil-SOR'!N$277*0.6</f>
        <v>233.39999999999998</v>
      </c>
      <c r="L1634" s="600">
        <f>'[161]Civil-SOR'!O$277*0.6</f>
        <v>247.2</v>
      </c>
      <c r="M1634" s="404"/>
      <c r="N1634" s="404"/>
      <c r="O1634" s="404"/>
      <c r="P1634" s="404"/>
      <c r="Q1634" s="404"/>
      <c r="R1634" s="404"/>
      <c r="S1634" s="404"/>
      <c r="T1634" s="404"/>
      <c r="U1634" s="404"/>
      <c r="V1634" s="404"/>
      <c r="W1634" s="404"/>
      <c r="X1634" s="404"/>
      <c r="Y1634" s="404"/>
      <c r="Z1634" s="404"/>
      <c r="AA1634" s="404"/>
      <c r="AB1634" s="404"/>
      <c r="AC1634" s="404"/>
      <c r="AD1634" s="404"/>
      <c r="AE1634" s="404"/>
      <c r="AF1634" s="404"/>
      <c r="AG1634" s="404"/>
      <c r="AH1634" s="404"/>
      <c r="AI1634" s="404"/>
      <c r="AJ1634" s="404"/>
      <c r="AK1634" s="404"/>
      <c r="AL1634" s="404"/>
      <c r="AM1634" s="404"/>
      <c r="AN1634" s="404"/>
      <c r="AO1634" s="404"/>
      <c r="AP1634" s="404"/>
      <c r="AQ1634" s="404"/>
      <c r="AR1634" s="404"/>
      <c r="AS1634" s="404"/>
      <c r="AT1634" s="404"/>
      <c r="AU1634" s="404"/>
      <c r="AV1634" s="404"/>
      <c r="AW1634" s="404"/>
      <c r="AX1634" s="404"/>
      <c r="AY1634" s="404"/>
      <c r="AZ1634" s="404"/>
      <c r="BA1634" s="404"/>
      <c r="BB1634" s="404"/>
      <c r="BC1634" s="404"/>
      <c r="BD1634" s="404"/>
      <c r="BE1634" s="404"/>
      <c r="BF1634" s="404"/>
      <c r="BG1634" s="404"/>
      <c r="BH1634" s="404"/>
      <c r="BI1634" s="404"/>
      <c r="BJ1634" s="404"/>
      <c r="BK1634" s="404"/>
      <c r="BL1634" s="404"/>
    </row>
    <row r="1635" spans="1:64">
      <c r="A1635" s="406"/>
      <c r="B1635" s="406"/>
      <c r="C1635" s="417" t="str">
        <f>[161]Input!$C$47</f>
        <v>Add for MA @ 40%</v>
      </c>
      <c r="D1635" s="432">
        <f>D1634*[161]Input!$D$47</f>
        <v>54.960000000000008</v>
      </c>
      <c r="E1635" s="432">
        <f>E1634*[161]Input!$D$47</f>
        <v>60.48</v>
      </c>
      <c r="F1635" s="432">
        <f>F1634*[161]Input!$D$47</f>
        <v>66</v>
      </c>
      <c r="G1635" s="432">
        <f>G1634*[161]Input!$D$47</f>
        <v>71.52</v>
      </c>
      <c r="H1635" s="432">
        <f>H1634*[161]Input!$D$47</f>
        <v>77.040000000000006</v>
      </c>
      <c r="I1635" s="432">
        <f>I1634*[161]Input!$D$47</f>
        <v>82.56</v>
      </c>
      <c r="J1635" s="537">
        <f>J1634*[161]Input!$D$47</f>
        <v>87.84</v>
      </c>
      <c r="K1635" s="538">
        <f>K1634*[161]Input!$D$47</f>
        <v>93.36</v>
      </c>
      <c r="L1635" s="538">
        <f>L1634*[161]Input!$D$47</f>
        <v>98.88</v>
      </c>
      <c r="M1635" s="404"/>
      <c r="N1635" s="404"/>
      <c r="O1635" s="404"/>
      <c r="P1635" s="404"/>
      <c r="Q1635" s="404"/>
      <c r="R1635" s="404"/>
      <c r="S1635" s="404"/>
      <c r="T1635" s="404"/>
      <c r="U1635" s="404"/>
      <c r="V1635" s="404"/>
      <c r="W1635" s="404"/>
      <c r="X1635" s="404"/>
      <c r="Y1635" s="404"/>
      <c r="Z1635" s="404"/>
      <c r="AA1635" s="404"/>
      <c r="AB1635" s="404"/>
      <c r="AC1635" s="404"/>
      <c r="AD1635" s="404"/>
      <c r="AE1635" s="404"/>
      <c r="AF1635" s="404"/>
      <c r="AG1635" s="404"/>
      <c r="AH1635" s="404"/>
      <c r="AI1635" s="404"/>
      <c r="AJ1635" s="404"/>
      <c r="AK1635" s="404"/>
      <c r="AL1635" s="404"/>
      <c r="AM1635" s="404"/>
      <c r="AN1635" s="404"/>
      <c r="AO1635" s="404"/>
      <c r="AP1635" s="404"/>
      <c r="AQ1635" s="404"/>
      <c r="AR1635" s="404"/>
      <c r="AS1635" s="404"/>
      <c r="AT1635" s="404"/>
      <c r="AU1635" s="404"/>
      <c r="AV1635" s="404"/>
      <c r="AW1635" s="404"/>
      <c r="AX1635" s="404"/>
      <c r="AY1635" s="404"/>
      <c r="AZ1635" s="404"/>
      <c r="BA1635" s="404"/>
      <c r="BB1635" s="404"/>
      <c r="BC1635" s="404"/>
      <c r="BD1635" s="404"/>
      <c r="BE1635" s="404"/>
      <c r="BF1635" s="404"/>
      <c r="BG1635" s="404"/>
      <c r="BH1635" s="404"/>
      <c r="BI1635" s="404"/>
      <c r="BJ1635" s="404"/>
      <c r="BK1635" s="404"/>
      <c r="BL1635" s="404"/>
    </row>
    <row r="1636" spans="1:64">
      <c r="A1636" s="406"/>
      <c r="B1636" s="406"/>
      <c r="C1636" s="417" t="s">
        <v>979</v>
      </c>
      <c r="D1636" s="432">
        <v>0</v>
      </c>
      <c r="E1636" s="432">
        <f>$F$1621*$D$1629*10%</f>
        <v>6.4201875000000008</v>
      </c>
      <c r="F1636" s="432">
        <f>$F$1621*$D$1629*20%</f>
        <v>12.840375000000002</v>
      </c>
      <c r="G1636" s="432">
        <f>$F$1621*$D$1629*30%</f>
        <v>19.260562499999999</v>
      </c>
      <c r="H1636" s="432">
        <f>$F$1621*$D$1629*40%</f>
        <v>25.680750000000003</v>
      </c>
      <c r="I1636" s="432">
        <f>$F$1621*$D$1629*50%</f>
        <v>32.100937500000001</v>
      </c>
      <c r="J1636" s="537">
        <f>$F$1621*$D$1629*60%</f>
        <v>38.521124999999998</v>
      </c>
      <c r="K1636" s="538">
        <f>$F$1621*$D$1629*70%</f>
        <v>44.941312499999995</v>
      </c>
      <c r="L1636" s="538">
        <f>$F$1621*$D$1629*80%</f>
        <v>51.361500000000007</v>
      </c>
      <c r="M1636" s="404"/>
      <c r="N1636" s="404"/>
      <c r="O1636" s="404"/>
      <c r="P1636" s="404"/>
      <c r="Q1636" s="404"/>
      <c r="R1636" s="404"/>
      <c r="S1636" s="404"/>
      <c r="T1636" s="404"/>
      <c r="U1636" s="404"/>
      <c r="V1636" s="404"/>
      <c r="W1636" s="404"/>
      <c r="X1636" s="404"/>
      <c r="Y1636" s="404"/>
      <c r="Z1636" s="404"/>
      <c r="AA1636" s="404"/>
      <c r="AB1636" s="404"/>
      <c r="AC1636" s="404"/>
      <c r="AD1636" s="404"/>
      <c r="AE1636" s="404"/>
      <c r="AF1636" s="404"/>
      <c r="AG1636" s="404"/>
      <c r="AH1636" s="404"/>
      <c r="AI1636" s="404"/>
      <c r="AJ1636" s="404"/>
      <c r="AK1636" s="404"/>
      <c r="AL1636" s="404"/>
      <c r="AM1636" s="404"/>
      <c r="AN1636" s="404"/>
      <c r="AO1636" s="404"/>
      <c r="AP1636" s="404"/>
      <c r="AQ1636" s="404"/>
      <c r="AR1636" s="404"/>
      <c r="AS1636" s="404"/>
      <c r="AT1636" s="404"/>
      <c r="AU1636" s="404"/>
      <c r="AV1636" s="404"/>
      <c r="AW1636" s="404"/>
      <c r="AX1636" s="404"/>
      <c r="AY1636" s="404"/>
      <c r="AZ1636" s="404"/>
      <c r="BA1636" s="404"/>
      <c r="BB1636" s="404"/>
      <c r="BC1636" s="404"/>
      <c r="BD1636" s="404"/>
      <c r="BE1636" s="404"/>
      <c r="BF1636" s="404"/>
      <c r="BG1636" s="404"/>
      <c r="BH1636" s="404"/>
      <c r="BI1636" s="404"/>
      <c r="BJ1636" s="404"/>
      <c r="BK1636" s="404"/>
      <c r="BL1636" s="404"/>
    </row>
    <row r="1637" spans="1:64">
      <c r="A1637" s="406"/>
      <c r="B1637" s="406"/>
      <c r="C1637" s="417" t="str">
        <f>[161]Input!$C$47</f>
        <v>Add for MA @ 40%</v>
      </c>
      <c r="D1637" s="432">
        <f>D1636*[161]Input!D183</f>
        <v>0</v>
      </c>
      <c r="E1637" s="432">
        <f>E1636*[161]Input!$D$47</f>
        <v>2.5680750000000003</v>
      </c>
      <c r="F1637" s="432">
        <f>F1636*[161]Input!$D$47</f>
        <v>5.1361500000000007</v>
      </c>
      <c r="G1637" s="432">
        <f>G1636*[161]Input!$D$47</f>
        <v>7.7042250000000001</v>
      </c>
      <c r="H1637" s="432">
        <f>H1636*[161]Input!$D$47</f>
        <v>10.272300000000001</v>
      </c>
      <c r="I1637" s="432">
        <f>I1636*[161]Input!$D$47</f>
        <v>12.840375000000002</v>
      </c>
      <c r="J1637" s="537">
        <f>J1636*[161]Input!$D$47</f>
        <v>15.40845</v>
      </c>
      <c r="K1637" s="538">
        <f>K1636*[161]Input!$D$47</f>
        <v>17.976524999999999</v>
      </c>
      <c r="L1637" s="538">
        <f>L1636*[161]Input!$D$47</f>
        <v>20.544600000000003</v>
      </c>
      <c r="M1637" s="404"/>
      <c r="N1637" s="404"/>
      <c r="O1637" s="404"/>
      <c r="P1637" s="404"/>
      <c r="Q1637" s="404"/>
      <c r="R1637" s="404"/>
      <c r="S1637" s="404"/>
      <c r="T1637" s="404"/>
      <c r="U1637" s="404"/>
      <c r="V1637" s="404"/>
      <c r="W1637" s="404"/>
      <c r="X1637" s="404"/>
      <c r="Y1637" s="404"/>
      <c r="Z1637" s="404"/>
      <c r="AA1637" s="404"/>
      <c r="AB1637" s="404"/>
      <c r="AC1637" s="404"/>
      <c r="AD1637" s="404"/>
      <c r="AE1637" s="404"/>
      <c r="AF1637" s="404"/>
      <c r="AG1637" s="404"/>
      <c r="AH1637" s="404"/>
      <c r="AI1637" s="404"/>
      <c r="AJ1637" s="404"/>
      <c r="AK1637" s="404"/>
      <c r="AL1637" s="404"/>
      <c r="AM1637" s="404"/>
      <c r="AN1637" s="404"/>
      <c r="AO1637" s="404"/>
      <c r="AP1637" s="404"/>
      <c r="AQ1637" s="404"/>
      <c r="AR1637" s="404"/>
      <c r="AS1637" s="404"/>
      <c r="AT1637" s="404"/>
      <c r="AU1637" s="404"/>
      <c r="AV1637" s="404"/>
      <c r="AW1637" s="404"/>
      <c r="AX1637" s="404"/>
      <c r="AY1637" s="404"/>
      <c r="AZ1637" s="404"/>
      <c r="BA1637" s="404"/>
      <c r="BB1637" s="404"/>
      <c r="BC1637" s="404"/>
      <c r="BD1637" s="404"/>
      <c r="BE1637" s="404"/>
      <c r="BF1637" s="404"/>
      <c r="BG1637" s="404"/>
      <c r="BH1637" s="404"/>
      <c r="BI1637" s="404"/>
      <c r="BJ1637" s="404"/>
      <c r="BK1637" s="404"/>
      <c r="BL1637" s="404"/>
    </row>
    <row r="1638" spans="1:64" ht="13">
      <c r="A1638" s="406"/>
      <c r="B1638" s="406"/>
      <c r="C1638" s="427" t="s">
        <v>1032</v>
      </c>
      <c r="D1638" s="432">
        <f t="shared" ref="D1638:L1638" si="390">SUM(D1632:D1637)</f>
        <v>553.87418100000002</v>
      </c>
      <c r="E1638" s="432">
        <f t="shared" si="390"/>
        <v>582.18244350000009</v>
      </c>
      <c r="F1638" s="432">
        <f t="shared" si="390"/>
        <v>610.49070600000005</v>
      </c>
      <c r="G1638" s="432">
        <f t="shared" si="390"/>
        <v>638.79896849999989</v>
      </c>
      <c r="H1638" s="432">
        <f t="shared" si="390"/>
        <v>667.10723099999996</v>
      </c>
      <c r="I1638" s="432">
        <f t="shared" si="390"/>
        <v>695.41549350000003</v>
      </c>
      <c r="J1638" s="537">
        <f t="shared" si="390"/>
        <v>722.88375600000006</v>
      </c>
      <c r="K1638" s="538">
        <f t="shared" si="390"/>
        <v>751.19201850000002</v>
      </c>
      <c r="L1638" s="538">
        <f t="shared" si="390"/>
        <v>779.50028100000009</v>
      </c>
      <c r="M1638" s="404"/>
      <c r="N1638" s="404"/>
      <c r="O1638" s="404"/>
      <c r="P1638" s="404"/>
      <c r="Q1638" s="404"/>
      <c r="R1638" s="404"/>
      <c r="S1638" s="404"/>
      <c r="T1638" s="404"/>
      <c r="U1638" s="404"/>
      <c r="V1638" s="404"/>
      <c r="W1638" s="404"/>
      <c r="X1638" s="404"/>
      <c r="Y1638" s="404"/>
      <c r="Z1638" s="404"/>
      <c r="AA1638" s="404"/>
      <c r="AB1638" s="404"/>
      <c r="AC1638" s="404"/>
      <c r="AD1638" s="404"/>
      <c r="AE1638" s="404"/>
      <c r="AF1638" s="404"/>
      <c r="AG1638" s="404"/>
      <c r="AH1638" s="404"/>
      <c r="AI1638" s="404"/>
      <c r="AJ1638" s="404"/>
      <c r="AK1638" s="404"/>
      <c r="AL1638" s="404"/>
      <c r="AM1638" s="404"/>
      <c r="AN1638" s="404"/>
      <c r="AO1638" s="404"/>
      <c r="AP1638" s="404"/>
      <c r="AQ1638" s="404"/>
      <c r="AR1638" s="404"/>
      <c r="AS1638" s="404"/>
      <c r="AT1638" s="404"/>
      <c r="AU1638" s="404"/>
      <c r="AV1638" s="404"/>
      <c r="AW1638" s="404"/>
      <c r="AX1638" s="404"/>
      <c r="AY1638" s="404"/>
      <c r="AZ1638" s="404"/>
      <c r="BA1638" s="404"/>
      <c r="BB1638" s="404"/>
      <c r="BC1638" s="404"/>
      <c r="BD1638" s="404"/>
      <c r="BE1638" s="404"/>
      <c r="BF1638" s="404"/>
      <c r="BG1638" s="404"/>
      <c r="BH1638" s="404"/>
      <c r="BI1638" s="404"/>
      <c r="BJ1638" s="404"/>
      <c r="BK1638" s="404"/>
      <c r="BL1638" s="404"/>
    </row>
    <row r="1639" spans="1:64" ht="25">
      <c r="A1639" s="406"/>
      <c r="B1639" s="406"/>
      <c r="C1639" s="417" t="str">
        <f>[161]Input!$C$48</f>
        <v>Overheads &amp; Contractors Profit @ 13.615%</v>
      </c>
      <c r="D1639" s="406">
        <f>ROUND(D1638*[161]Input!$D$48,2)</f>
        <v>75.41</v>
      </c>
      <c r="E1639" s="406">
        <f>ROUND(E1638*[161]Input!$D$48,2)</f>
        <v>79.260000000000005</v>
      </c>
      <c r="F1639" s="406">
        <f>ROUND(F1638*[161]Input!$D$48,2)</f>
        <v>83.12</v>
      </c>
      <c r="G1639" s="406">
        <f>ROUND(G1638*[161]Input!$D$48,2)</f>
        <v>86.97</v>
      </c>
      <c r="H1639" s="406">
        <f>ROUND(H1638*[161]Input!$D$48,2)</f>
        <v>90.83</v>
      </c>
      <c r="I1639" s="432">
        <f>ROUND(I1638*[161]Input!$D$48,2)</f>
        <v>94.68</v>
      </c>
      <c r="J1639" s="539">
        <f>ROUND(J1638*[161]Input!$D$48,2)</f>
        <v>98.42</v>
      </c>
      <c r="K1639" s="540">
        <f>ROUND(K1638*[161]Input!$D$48,2)</f>
        <v>102.27</v>
      </c>
      <c r="L1639" s="538">
        <f>ROUND(L1638*[161]Input!$D$48,2)</f>
        <v>106.13</v>
      </c>
      <c r="M1639" s="404"/>
      <c r="N1639" s="404"/>
      <c r="O1639" s="404"/>
      <c r="P1639" s="404"/>
      <c r="Q1639" s="404"/>
      <c r="R1639" s="404"/>
      <c r="S1639" s="404"/>
      <c r="T1639" s="404"/>
      <c r="U1639" s="404"/>
      <c r="V1639" s="404"/>
      <c r="W1639" s="404"/>
      <c r="X1639" s="404"/>
      <c r="Y1639" s="404"/>
      <c r="Z1639" s="404"/>
      <c r="AA1639" s="404"/>
      <c r="AB1639" s="404"/>
      <c r="AC1639" s="404"/>
      <c r="AD1639" s="404"/>
      <c r="AE1639" s="404"/>
      <c r="AF1639" s="404"/>
      <c r="AG1639" s="404"/>
      <c r="AH1639" s="404"/>
      <c r="AI1639" s="404"/>
      <c r="AJ1639" s="404"/>
      <c r="AK1639" s="404"/>
      <c r="AL1639" s="404"/>
      <c r="AM1639" s="404"/>
      <c r="AN1639" s="404"/>
      <c r="AO1639" s="404"/>
      <c r="AP1639" s="404"/>
      <c r="AQ1639" s="404"/>
      <c r="AR1639" s="404"/>
      <c r="AS1639" s="404"/>
      <c r="AT1639" s="404"/>
      <c r="AU1639" s="404"/>
      <c r="AV1639" s="404"/>
      <c r="AW1639" s="404"/>
      <c r="AX1639" s="404"/>
      <c r="AY1639" s="404"/>
      <c r="AZ1639" s="404"/>
      <c r="BA1639" s="404"/>
      <c r="BB1639" s="404"/>
      <c r="BC1639" s="404"/>
      <c r="BD1639" s="404"/>
      <c r="BE1639" s="404"/>
      <c r="BF1639" s="404"/>
      <c r="BG1639" s="404"/>
      <c r="BH1639" s="404"/>
      <c r="BI1639" s="404"/>
      <c r="BJ1639" s="404"/>
      <c r="BK1639" s="404"/>
      <c r="BL1639" s="404"/>
    </row>
    <row r="1640" spans="1:64" ht="13">
      <c r="A1640" s="406"/>
      <c r="B1640" s="406"/>
      <c r="C1640" s="481" t="s">
        <v>1032</v>
      </c>
      <c r="D1640" s="432">
        <f t="shared" ref="D1640:L1640" si="391">SUM(D1638:D1639)</f>
        <v>629.28418099999999</v>
      </c>
      <c r="E1640" s="432">
        <f t="shared" si="391"/>
        <v>661.44244350000008</v>
      </c>
      <c r="F1640" s="432">
        <f t="shared" si="391"/>
        <v>693.61070600000005</v>
      </c>
      <c r="G1640" s="432">
        <f t="shared" si="391"/>
        <v>725.76896849999991</v>
      </c>
      <c r="H1640" s="432">
        <f t="shared" si="391"/>
        <v>757.937231</v>
      </c>
      <c r="I1640" s="432">
        <f t="shared" si="391"/>
        <v>790.09549349999998</v>
      </c>
      <c r="J1640" s="541">
        <f t="shared" si="391"/>
        <v>821.30375600000002</v>
      </c>
      <c r="K1640" s="542">
        <f t="shared" si="391"/>
        <v>853.4620185</v>
      </c>
      <c r="L1640" s="542">
        <f t="shared" si="391"/>
        <v>885.63028100000008</v>
      </c>
      <c r="M1640" s="413"/>
      <c r="N1640" s="413"/>
      <c r="O1640" s="413"/>
      <c r="P1640" s="413"/>
      <c r="Q1640" s="413"/>
      <c r="R1640" s="413"/>
      <c r="S1640" s="413"/>
      <c r="T1640" s="413"/>
      <c r="U1640" s="413"/>
      <c r="V1640" s="413"/>
      <c r="W1640" s="413"/>
      <c r="X1640" s="413"/>
      <c r="Y1640" s="413"/>
      <c r="Z1640" s="413"/>
      <c r="AA1640" s="413"/>
      <c r="AB1640" s="413"/>
      <c r="AC1640" s="413"/>
      <c r="AD1640" s="413"/>
      <c r="AE1640" s="413"/>
      <c r="AF1640" s="413"/>
      <c r="AG1640" s="413"/>
      <c r="AH1640" s="413"/>
      <c r="AI1640" s="413"/>
      <c r="AJ1640" s="413"/>
      <c r="AK1640" s="413"/>
      <c r="AL1640" s="413"/>
      <c r="AM1640" s="413"/>
      <c r="AN1640" s="413"/>
      <c r="AO1640" s="413"/>
      <c r="AP1640" s="413"/>
      <c r="AQ1640" s="413"/>
      <c r="AR1640" s="413"/>
      <c r="AS1640" s="413"/>
      <c r="AT1640" s="413"/>
      <c r="AU1640" s="413"/>
      <c r="AV1640" s="413"/>
      <c r="AW1640" s="413"/>
      <c r="AX1640" s="413"/>
      <c r="AY1640" s="413"/>
      <c r="AZ1640" s="413"/>
      <c r="BA1640" s="413"/>
      <c r="BB1640" s="413"/>
      <c r="BC1640" s="413"/>
      <c r="BD1640" s="413"/>
      <c r="BE1640" s="413"/>
      <c r="BF1640" s="413"/>
      <c r="BG1640" s="413"/>
      <c r="BH1640" s="413"/>
      <c r="BI1640" s="413"/>
      <c r="BJ1640" s="413"/>
      <c r="BK1640" s="413"/>
      <c r="BL1640" s="413"/>
    </row>
    <row r="1641" spans="1:64" ht="13">
      <c r="A1641" s="406"/>
      <c r="B1641" s="406"/>
      <c r="C1641" s="522" t="s">
        <v>726</v>
      </c>
      <c r="D1641" s="570">
        <f t="shared" ref="D1641:L1641" si="392">ROUND(D1640,0)</f>
        <v>629</v>
      </c>
      <c r="E1641" s="570">
        <f t="shared" si="392"/>
        <v>661</v>
      </c>
      <c r="F1641" s="570">
        <f t="shared" si="392"/>
        <v>694</v>
      </c>
      <c r="G1641" s="570">
        <f t="shared" si="392"/>
        <v>726</v>
      </c>
      <c r="H1641" s="570">
        <f t="shared" si="392"/>
        <v>758</v>
      </c>
      <c r="I1641" s="570">
        <f t="shared" si="392"/>
        <v>790</v>
      </c>
      <c r="J1641" s="571">
        <f t="shared" si="392"/>
        <v>821</v>
      </c>
      <c r="K1641" s="601">
        <f t="shared" si="392"/>
        <v>853</v>
      </c>
      <c r="L1641" s="602">
        <f t="shared" si="392"/>
        <v>886</v>
      </c>
      <c r="M1641" s="413"/>
      <c r="N1641" s="413"/>
      <c r="O1641" s="413"/>
      <c r="P1641" s="413"/>
      <c r="Q1641" s="413"/>
      <c r="R1641" s="413"/>
      <c r="S1641" s="413"/>
      <c r="T1641" s="413"/>
      <c r="U1641" s="413"/>
      <c r="V1641" s="413"/>
      <c r="W1641" s="413"/>
      <c r="X1641" s="413"/>
      <c r="Y1641" s="413"/>
      <c r="Z1641" s="413"/>
      <c r="AA1641" s="413"/>
      <c r="AB1641" s="413"/>
      <c r="AC1641" s="413"/>
      <c r="AD1641" s="413"/>
      <c r="AE1641" s="413"/>
      <c r="AF1641" s="413"/>
      <c r="AG1641" s="413"/>
      <c r="AH1641" s="413"/>
      <c r="AI1641" s="413"/>
      <c r="AJ1641" s="413"/>
      <c r="AK1641" s="413"/>
      <c r="AL1641" s="413"/>
      <c r="AM1641" s="413"/>
      <c r="AN1641" s="413"/>
      <c r="AO1641" s="413"/>
      <c r="AP1641" s="413"/>
      <c r="AQ1641" s="413"/>
      <c r="AR1641" s="413"/>
      <c r="AS1641" s="413"/>
      <c r="AT1641" s="413"/>
      <c r="AU1641" s="413"/>
      <c r="AV1641" s="413"/>
      <c r="AW1641" s="413"/>
      <c r="AX1641" s="413"/>
      <c r="AY1641" s="413"/>
      <c r="AZ1641" s="413"/>
      <c r="BA1641" s="413"/>
      <c r="BB1641" s="413"/>
      <c r="BC1641" s="413"/>
      <c r="BD1641" s="413"/>
      <c r="BE1641" s="413"/>
      <c r="BF1641" s="413"/>
      <c r="BG1641" s="413"/>
      <c r="BH1641" s="413"/>
      <c r="BI1641" s="413"/>
      <c r="BJ1641" s="413"/>
      <c r="BK1641" s="413"/>
      <c r="BL1641" s="413"/>
    </row>
    <row r="1642" spans="1:64" ht="13">
      <c r="A1642" s="426"/>
      <c r="B1642" s="426"/>
      <c r="C1642" s="550"/>
      <c r="D1642" s="416"/>
      <c r="E1642" s="416"/>
      <c r="F1642" s="416"/>
      <c r="G1642" s="416"/>
      <c r="H1642" s="416"/>
      <c r="I1642" s="414"/>
      <c r="J1642" s="400"/>
      <c r="K1642" s="401"/>
      <c r="L1642" s="401"/>
    </row>
    <row r="1643" spans="1:64" ht="70.150000000000006" customHeight="1">
      <c r="A1643" s="430">
        <f>1+A1611</f>
        <v>19</v>
      </c>
      <c r="B1643" s="454"/>
      <c r="C1643" s="1304" t="s">
        <v>1033</v>
      </c>
      <c r="D1643" s="1304"/>
      <c r="E1643" s="1304"/>
      <c r="F1643" s="1304"/>
      <c r="G1643" s="1304"/>
      <c r="H1643" s="1304"/>
      <c r="I1643" s="1304"/>
      <c r="J1643" s="472"/>
      <c r="K1643" s="497"/>
      <c r="L1643" s="497"/>
      <c r="M1643" s="498"/>
    </row>
    <row r="1644" spans="1:64" ht="13">
      <c r="A1644" s="454"/>
      <c r="B1644" s="454"/>
      <c r="C1644" s="604" t="s">
        <v>987</v>
      </c>
      <c r="D1644" s="454"/>
      <c r="E1644" s="454"/>
      <c r="F1644" s="454"/>
      <c r="G1644" s="454"/>
      <c r="H1644" s="454"/>
      <c r="I1644" s="408"/>
      <c r="J1644" s="472"/>
      <c r="K1644" s="497"/>
      <c r="L1644" s="497"/>
      <c r="M1644" s="498"/>
    </row>
    <row r="1645" spans="1:64" ht="13">
      <c r="A1645" s="454"/>
      <c r="B1645" s="454"/>
      <c r="C1645" s="490" t="s">
        <v>873</v>
      </c>
      <c r="D1645" s="454"/>
      <c r="E1645" s="454"/>
      <c r="F1645" s="454"/>
      <c r="G1645" s="454"/>
      <c r="H1645" s="454"/>
      <c r="I1645" s="408"/>
      <c r="J1645" s="472"/>
      <c r="K1645" s="497"/>
      <c r="L1645" s="497"/>
      <c r="M1645" s="498"/>
    </row>
    <row r="1646" spans="1:64">
      <c r="A1646" s="454"/>
      <c r="B1646" s="454"/>
      <c r="C1646" s="605" t="s">
        <v>1034</v>
      </c>
      <c r="D1646" s="408">
        <v>0.8</v>
      </c>
      <c r="E1646" s="454" t="s">
        <v>57</v>
      </c>
      <c r="F1646" s="408">
        <f>$F$22</f>
        <v>1387.96</v>
      </c>
      <c r="G1646" s="430">
        <v>1</v>
      </c>
      <c r="H1646" s="454" t="str">
        <f t="shared" ref="H1646:H1649" si="393">IF(E1646="","",IF(E1646="No.","Each",IF(E1646="Nos.","Each",E1646)))</f>
        <v>Cum</v>
      </c>
      <c r="I1646" s="408">
        <f t="shared" ref="I1646:I1649" si="394">IF(G1646="",D1646*F1646,(D1646*F1646/G1646))</f>
        <v>1110.3680000000002</v>
      </c>
      <c r="J1646" s="472"/>
      <c r="K1646" s="606"/>
      <c r="L1646" s="497"/>
      <c r="M1646" s="498"/>
    </row>
    <row r="1647" spans="1:64">
      <c r="A1647" s="454"/>
      <c r="B1647" s="454"/>
      <c r="C1647" s="417" t="s">
        <v>481</v>
      </c>
      <c r="D1647" s="408">
        <v>0.4</v>
      </c>
      <c r="E1647" s="454" t="s">
        <v>57</v>
      </c>
      <c r="F1647" s="408">
        <f>[161]LEAD!$N$12</f>
        <v>2253.91</v>
      </c>
      <c r="G1647" s="430">
        <v>1</v>
      </c>
      <c r="H1647" s="454" t="str">
        <f t="shared" si="393"/>
        <v>Cum</v>
      </c>
      <c r="I1647" s="408">
        <f t="shared" si="394"/>
        <v>901.56399999999996</v>
      </c>
      <c r="J1647" s="472"/>
      <c r="K1647" s="606"/>
      <c r="L1647" s="497"/>
      <c r="M1647" s="498"/>
    </row>
    <row r="1648" spans="1:64">
      <c r="A1648" s="454"/>
      <c r="B1648" s="454"/>
      <c r="C1648" s="417" t="s">
        <v>504</v>
      </c>
      <c r="D1648" s="408">
        <v>380</v>
      </c>
      <c r="E1648" s="454" t="s">
        <v>833</v>
      </c>
      <c r="F1648" s="408">
        <f>[161]LEAD!$N$6</f>
        <v>5200</v>
      </c>
      <c r="G1648" s="430">
        <v>1000</v>
      </c>
      <c r="H1648" s="454" t="str">
        <f t="shared" si="393"/>
        <v>Kgs</v>
      </c>
      <c r="I1648" s="408">
        <f t="shared" si="394"/>
        <v>1976</v>
      </c>
      <c r="J1648" s="472"/>
      <c r="K1648" s="606"/>
      <c r="L1648" s="497"/>
      <c r="M1648" s="498"/>
    </row>
    <row r="1649" spans="1:13">
      <c r="A1649" s="454"/>
      <c r="B1649" s="454"/>
      <c r="C1649" s="417" t="s">
        <v>901</v>
      </c>
      <c r="D1649" s="408">
        <v>1.2</v>
      </c>
      <c r="E1649" s="454" t="s">
        <v>853</v>
      </c>
      <c r="F1649" s="408">
        <f>[161]Input!$D$53</f>
        <v>108</v>
      </c>
      <c r="G1649" s="430">
        <v>1</v>
      </c>
      <c r="H1649" s="454" t="str">
        <f t="shared" si="393"/>
        <v>Kl</v>
      </c>
      <c r="I1649" s="408">
        <f t="shared" si="394"/>
        <v>129.6</v>
      </c>
      <c r="J1649" s="472"/>
      <c r="K1649" s="606"/>
      <c r="L1649" s="497"/>
      <c r="M1649" s="498"/>
    </row>
    <row r="1650" spans="1:13" ht="13">
      <c r="A1650" s="454"/>
      <c r="B1650" s="454"/>
      <c r="C1650" s="427" t="s">
        <v>878</v>
      </c>
      <c r="D1650" s="408"/>
      <c r="E1650" s="454"/>
      <c r="F1650" s="408"/>
      <c r="G1650" s="430"/>
      <c r="H1650" s="454"/>
      <c r="I1650" s="408"/>
      <c r="J1650" s="472"/>
      <c r="K1650" s="606"/>
      <c r="L1650" s="497"/>
      <c r="M1650" s="498"/>
    </row>
    <row r="1651" spans="1:13">
      <c r="A1651" s="454"/>
      <c r="B1651" s="454"/>
      <c r="C1651" s="417" t="s">
        <v>916</v>
      </c>
      <c r="D1651" s="491">
        <v>0.308</v>
      </c>
      <c r="E1651" s="408" t="s">
        <v>826</v>
      </c>
      <c r="F1651" s="408">
        <f>'[161]Civil-SOR'!$G$329</f>
        <v>265.79999999999995</v>
      </c>
      <c r="G1651" s="430">
        <v>1</v>
      </c>
      <c r="H1651" s="430" t="str">
        <f t="shared" ref="H1651:H1652" si="395">IF(E1651="","",IF(E1651="No.","Each",IF(E1651="Nos.","Each",E1651)))</f>
        <v>hour</v>
      </c>
      <c r="I1651" s="408">
        <f t="shared" ref="I1651:I1655" si="396">IF(G1651="",D1651*F1651,(D1651*F1651/G1651))</f>
        <v>81.866399999999985</v>
      </c>
      <c r="J1651" s="472"/>
      <c r="K1651" s="606"/>
      <c r="L1651" s="497"/>
      <c r="M1651" s="498"/>
    </row>
    <row r="1652" spans="1:13">
      <c r="A1652" s="454"/>
      <c r="B1652" s="454"/>
      <c r="C1652" s="417" t="s">
        <v>828</v>
      </c>
      <c r="D1652" s="491">
        <v>0.308</v>
      </c>
      <c r="E1652" s="408" t="s">
        <v>826</v>
      </c>
      <c r="F1652" s="408">
        <f>'[161]Civil-SOR'!$J$329</f>
        <v>454.8</v>
      </c>
      <c r="G1652" s="430">
        <v>1</v>
      </c>
      <c r="H1652" s="430" t="str">
        <f t="shared" si="395"/>
        <v>hour</v>
      </c>
      <c r="I1652" s="408">
        <f t="shared" si="396"/>
        <v>140.07839999999999</v>
      </c>
      <c r="J1652" s="472"/>
      <c r="K1652" s="606"/>
      <c r="L1652" s="497"/>
      <c r="M1652" s="498"/>
    </row>
    <row r="1653" spans="1:13">
      <c r="A1653" s="454"/>
      <c r="B1653" s="454"/>
      <c r="C1653" s="417" t="s">
        <v>917</v>
      </c>
      <c r="D1653" s="491">
        <v>0.308</v>
      </c>
      <c r="E1653" s="426" t="s">
        <v>796</v>
      </c>
      <c r="F1653" s="409">
        <f>'[161]Civil-SOR'!$G$332</f>
        <v>36.5</v>
      </c>
      <c r="G1653" s="410">
        <v>1</v>
      </c>
      <c r="H1653" s="426" t="s">
        <v>826</v>
      </c>
      <c r="I1653" s="408">
        <f t="shared" si="396"/>
        <v>11.241999999999999</v>
      </c>
      <c r="J1653" s="472"/>
      <c r="K1653" s="606"/>
      <c r="L1653" s="497"/>
      <c r="M1653" s="498"/>
    </row>
    <row r="1654" spans="1:13">
      <c r="A1654" s="454"/>
      <c r="B1654" s="454"/>
      <c r="C1654" s="417" t="s">
        <v>828</v>
      </c>
      <c r="D1654" s="491">
        <v>0.308</v>
      </c>
      <c r="E1654" s="426" t="s">
        <v>796</v>
      </c>
      <c r="F1654" s="409">
        <f>'[161]Civil-SOR'!$J$332</f>
        <v>218</v>
      </c>
      <c r="G1654" s="410">
        <v>1</v>
      </c>
      <c r="H1654" s="426" t="s">
        <v>826</v>
      </c>
      <c r="I1654" s="408">
        <f t="shared" si="396"/>
        <v>67.144000000000005</v>
      </c>
      <c r="J1654" s="472"/>
      <c r="K1654" s="606"/>
      <c r="L1654" s="497"/>
      <c r="M1654" s="498"/>
    </row>
    <row r="1655" spans="1:13">
      <c r="A1655" s="454"/>
      <c r="B1655" s="454"/>
      <c r="C1655" s="417" t="s">
        <v>799</v>
      </c>
      <c r="D1655" s="408">
        <f>[161]Input!$D$47</f>
        <v>0.4</v>
      </c>
      <c r="E1655" s="408"/>
      <c r="F1655" s="408">
        <f>I1652+I1654</f>
        <v>207.22239999999999</v>
      </c>
      <c r="G1655" s="430"/>
      <c r="H1655" s="430"/>
      <c r="I1655" s="408">
        <f t="shared" si="396"/>
        <v>82.888959999999997</v>
      </c>
      <c r="J1655" s="472"/>
      <c r="K1655" s="606"/>
      <c r="L1655" s="497"/>
      <c r="M1655" s="498"/>
    </row>
    <row r="1656" spans="1:13" ht="13">
      <c r="A1656" s="454"/>
      <c r="B1656" s="454"/>
      <c r="C1656" s="427" t="s">
        <v>880</v>
      </c>
      <c r="D1656" s="408"/>
      <c r="E1656" s="454"/>
      <c r="F1656" s="408"/>
      <c r="G1656" s="430"/>
      <c r="H1656" s="454"/>
      <c r="I1656" s="408"/>
      <c r="J1656" s="472"/>
      <c r="K1656" s="606"/>
      <c r="L1656" s="497"/>
      <c r="M1656" s="498"/>
    </row>
    <row r="1657" spans="1:13">
      <c r="A1657" s="454"/>
      <c r="B1657" s="454"/>
      <c r="C1657" s="417" t="s">
        <v>881</v>
      </c>
      <c r="D1657" s="532">
        <v>6.7000000000000004E-2</v>
      </c>
      <c r="E1657" s="454" t="s">
        <v>375</v>
      </c>
      <c r="F1657" s="408">
        <f>'[161]Civil-SOR'!$G$293</f>
        <v>580</v>
      </c>
      <c r="G1657" s="430">
        <v>1</v>
      </c>
      <c r="H1657" s="454" t="str">
        <f t="shared" ref="H1657:H1659" si="397">IF(E1657="","",IF(E1657="No.","Each",IF(E1657="Nos.","Each",E1657)))</f>
        <v>Each</v>
      </c>
      <c r="I1657" s="408">
        <f t="shared" ref="I1657:I1660" si="398">IF(G1657="",D1657*F1657,(D1657*F1657/G1657))</f>
        <v>38.86</v>
      </c>
      <c r="J1657" s="472"/>
      <c r="K1657" s="606"/>
      <c r="L1657" s="497"/>
      <c r="M1657" s="498"/>
    </row>
    <row r="1658" spans="1:13">
      <c r="A1658" s="454"/>
      <c r="B1658" s="454"/>
      <c r="C1658" s="417" t="s">
        <v>771</v>
      </c>
      <c r="D1658" s="532">
        <v>0.13300000000000001</v>
      </c>
      <c r="E1658" s="454" t="s">
        <v>375</v>
      </c>
      <c r="F1658" s="408">
        <f>'[161]Civil-SOR'!$G$302</f>
        <v>550</v>
      </c>
      <c r="G1658" s="430">
        <v>1</v>
      </c>
      <c r="H1658" s="454" t="str">
        <f t="shared" si="397"/>
        <v>Each</v>
      </c>
      <c r="I1658" s="408">
        <f t="shared" si="398"/>
        <v>73.150000000000006</v>
      </c>
      <c r="J1658" s="472"/>
      <c r="K1658" s="606"/>
      <c r="L1658" s="497"/>
      <c r="M1658" s="498"/>
    </row>
    <row r="1659" spans="1:13">
      <c r="A1659" s="454"/>
      <c r="B1659" s="454"/>
      <c r="C1659" s="417" t="s">
        <v>903</v>
      </c>
      <c r="D1659" s="532">
        <v>3.077</v>
      </c>
      <c r="E1659" s="454" t="s">
        <v>375</v>
      </c>
      <c r="F1659" s="408">
        <f>'[161]Civil-SOR'!$G$307</f>
        <v>520</v>
      </c>
      <c r="G1659" s="430">
        <v>1</v>
      </c>
      <c r="H1659" s="454" t="str">
        <f t="shared" si="397"/>
        <v>Each</v>
      </c>
      <c r="I1659" s="408">
        <f t="shared" si="398"/>
        <v>1600.04</v>
      </c>
      <c r="J1659" s="472"/>
      <c r="K1659" s="606"/>
      <c r="L1659" s="497"/>
      <c r="M1659" s="498"/>
    </row>
    <row r="1660" spans="1:13">
      <c r="A1660" s="454"/>
      <c r="B1660" s="454"/>
      <c r="C1660" s="417" t="str">
        <f>[161]Input!$C$47</f>
        <v>Add for MA @ 40%</v>
      </c>
      <c r="D1660" s="408">
        <f>[161]Input!$D$47</f>
        <v>0.4</v>
      </c>
      <c r="E1660" s="454"/>
      <c r="F1660" s="408">
        <f>SUM(I1657:I1659)</f>
        <v>1712.05</v>
      </c>
      <c r="G1660" s="430"/>
      <c r="H1660" s="454"/>
      <c r="I1660" s="408">
        <f t="shared" si="398"/>
        <v>684.82</v>
      </c>
      <c r="J1660" s="472"/>
      <c r="K1660" s="606"/>
      <c r="L1660" s="497"/>
      <c r="M1660" s="498"/>
    </row>
    <row r="1661" spans="1:13" ht="13">
      <c r="A1661" s="454"/>
      <c r="B1661" s="454"/>
      <c r="C1661" s="427" t="s">
        <v>724</v>
      </c>
      <c r="D1661" s="408"/>
      <c r="E1661" s="454"/>
      <c r="F1661" s="408"/>
      <c r="G1661" s="430"/>
      <c r="H1661" s="415"/>
      <c r="I1661" s="414">
        <f>SUM(I1646:I1660)</f>
        <v>6897.62176</v>
      </c>
      <c r="J1661" s="472"/>
      <c r="K1661" s="606"/>
      <c r="L1661" s="497"/>
      <c r="M1661" s="498"/>
    </row>
    <row r="1662" spans="1:13" ht="13">
      <c r="A1662" s="454"/>
      <c r="B1662" s="454"/>
      <c r="C1662" s="427"/>
      <c r="D1662" s="416"/>
      <c r="E1662" s="416"/>
      <c r="F1662" s="416"/>
      <c r="G1662" s="416"/>
      <c r="H1662" s="416"/>
      <c r="I1662" s="414"/>
      <c r="J1662" s="472"/>
      <c r="K1662" s="497"/>
      <c r="L1662" s="497"/>
      <c r="M1662" s="498"/>
    </row>
    <row r="1663" spans="1:13" ht="13">
      <c r="A1663" s="607"/>
      <c r="B1663" s="607" t="s">
        <v>720</v>
      </c>
      <c r="C1663" s="608" t="s">
        <v>1035</v>
      </c>
      <c r="D1663" s="607"/>
      <c r="E1663" s="607"/>
      <c r="F1663" s="607"/>
      <c r="G1663" s="609"/>
      <c r="H1663" s="610"/>
      <c r="I1663" s="611"/>
      <c r="J1663" s="612"/>
      <c r="K1663" s="613"/>
      <c r="L1663" s="613"/>
      <c r="M1663" s="614"/>
    </row>
    <row r="1664" spans="1:13" ht="13">
      <c r="A1664" s="607"/>
      <c r="B1664" s="607"/>
      <c r="C1664" s="605" t="s">
        <v>920</v>
      </c>
      <c r="D1664" s="615">
        <v>0.05</v>
      </c>
      <c r="E1664" s="607" t="s">
        <v>57</v>
      </c>
      <c r="F1664" s="616">
        <f>$I$1661</f>
        <v>6897.62176</v>
      </c>
      <c r="G1664" s="609">
        <v>1</v>
      </c>
      <c r="H1664" s="607" t="s">
        <v>57</v>
      </c>
      <c r="I1664" s="617">
        <f>IF(G1664="",D1664*F1664,(D1664*F1664/G1664))</f>
        <v>344.88108800000003</v>
      </c>
      <c r="J1664" s="612"/>
      <c r="K1664" s="613"/>
      <c r="L1664" s="613"/>
      <c r="M1664" s="614"/>
    </row>
    <row r="1665" spans="1:13" ht="13">
      <c r="A1665" s="607"/>
      <c r="B1665" s="607"/>
      <c r="C1665" s="605"/>
      <c r="D1665" s="615"/>
      <c r="E1665" s="607"/>
      <c r="F1665" s="616"/>
      <c r="G1665" s="609"/>
      <c r="H1665" s="607"/>
      <c r="I1665" s="617"/>
      <c r="J1665" s="612"/>
      <c r="K1665" s="613"/>
      <c r="L1665" s="613"/>
      <c r="M1665" s="614"/>
    </row>
    <row r="1666" spans="1:13" ht="13">
      <c r="A1666" s="454"/>
      <c r="B1666" s="454"/>
      <c r="C1666" s="526" t="s">
        <v>953</v>
      </c>
      <c r="D1666" s="414" t="s">
        <v>959</v>
      </c>
      <c r="E1666" s="414" t="s">
        <v>943</v>
      </c>
      <c r="F1666" s="414" t="s">
        <v>944</v>
      </c>
      <c r="G1666" s="414" t="s">
        <v>1036</v>
      </c>
      <c r="H1666" s="414" t="s">
        <v>1037</v>
      </c>
      <c r="I1666" s="414" t="s">
        <v>1038</v>
      </c>
      <c r="J1666" s="472"/>
      <c r="K1666" s="497"/>
      <c r="L1666" s="497"/>
      <c r="M1666" s="498"/>
    </row>
    <row r="1667" spans="1:13">
      <c r="A1667" s="454"/>
      <c r="B1667" s="454"/>
      <c r="C1667" s="603" t="s">
        <v>954</v>
      </c>
      <c r="D1667" s="408">
        <f t="shared" ref="D1667:I1667" si="399">$I$1664</f>
        <v>344.88108800000003</v>
      </c>
      <c r="E1667" s="408">
        <f t="shared" si="399"/>
        <v>344.88108800000003</v>
      </c>
      <c r="F1667" s="408">
        <f t="shared" si="399"/>
        <v>344.88108800000003</v>
      </c>
      <c r="G1667" s="408">
        <f t="shared" si="399"/>
        <v>344.88108800000003</v>
      </c>
      <c r="H1667" s="408">
        <f t="shared" si="399"/>
        <v>344.88108800000003</v>
      </c>
      <c r="I1667" s="408">
        <f t="shared" si="399"/>
        <v>344.88108800000003</v>
      </c>
      <c r="J1667" s="472"/>
      <c r="K1667" s="497"/>
      <c r="L1667" s="497"/>
      <c r="M1667" s="498"/>
    </row>
    <row r="1668" spans="1:13">
      <c r="A1668" s="454"/>
      <c r="B1668" s="454"/>
      <c r="C1668" s="417" t="s">
        <v>921</v>
      </c>
      <c r="D1668" s="408"/>
      <c r="E1668" s="408"/>
      <c r="F1668" s="408"/>
      <c r="G1668" s="408"/>
      <c r="H1668" s="408"/>
      <c r="I1668" s="408"/>
      <c r="J1668" s="472"/>
      <c r="K1668" s="497"/>
      <c r="L1668" s="497"/>
      <c r="M1668" s="498"/>
    </row>
    <row r="1669" spans="1:13">
      <c r="A1669" s="454"/>
      <c r="B1669" s="454"/>
      <c r="C1669" s="417" t="s">
        <v>1010</v>
      </c>
      <c r="D1669" s="408"/>
      <c r="E1669" s="408"/>
      <c r="F1669" s="408"/>
      <c r="G1669" s="408"/>
      <c r="H1669" s="408"/>
      <c r="I1669" s="408"/>
      <c r="J1669" s="472"/>
      <c r="K1669" s="497"/>
      <c r="L1669" s="497"/>
      <c r="M1669" s="498"/>
    </row>
    <row r="1670" spans="1:13">
      <c r="A1670" s="454"/>
      <c r="B1670" s="454"/>
      <c r="C1670" s="417" t="str">
        <f>[161]Input!$C$47</f>
        <v>Add for MA @ 40%</v>
      </c>
      <c r="D1670" s="408">
        <f>D1669*[161]Input!$D$47</f>
        <v>0</v>
      </c>
      <c r="E1670" s="408">
        <f>E1669*[161]Input!$D$47</f>
        <v>0</v>
      </c>
      <c r="F1670" s="408">
        <f>F1669*[161]Input!$D$47</f>
        <v>0</v>
      </c>
      <c r="G1670" s="408">
        <f>G1669*[161]Input!$D$47</f>
        <v>0</v>
      </c>
      <c r="H1670" s="408">
        <f>H1669*[161]Input!$D$47</f>
        <v>0</v>
      </c>
      <c r="I1670" s="408">
        <f>I1669*[161]Input!$D$47</f>
        <v>0</v>
      </c>
      <c r="J1670" s="472"/>
      <c r="K1670" s="497"/>
      <c r="L1670" s="497"/>
      <c r="M1670" s="498"/>
    </row>
    <row r="1671" spans="1:13">
      <c r="A1671" s="454"/>
      <c r="B1671" s="454"/>
      <c r="C1671" s="417" t="s">
        <v>994</v>
      </c>
      <c r="D1671" s="408">
        <v>0</v>
      </c>
      <c r="E1671" s="408">
        <f>$F$1660*$D$1664*10%</f>
        <v>8.5602500000000017</v>
      </c>
      <c r="F1671" s="408">
        <f>$F$1660*D1664*20%</f>
        <v>17.120500000000003</v>
      </c>
      <c r="G1671" s="408">
        <f>$F$1660*D1664*30%</f>
        <v>25.68075</v>
      </c>
      <c r="H1671" s="408">
        <f>$F$1660*D1664*40%</f>
        <v>34.241000000000007</v>
      </c>
      <c r="I1671" s="408">
        <f>$F$1660*D1664*50%</f>
        <v>42.801250000000003</v>
      </c>
      <c r="J1671" s="472"/>
      <c r="K1671" s="497"/>
      <c r="L1671" s="497"/>
      <c r="M1671" s="498"/>
    </row>
    <row r="1672" spans="1:13">
      <c r="A1672" s="454"/>
      <c r="B1672" s="454"/>
      <c r="C1672" s="417" t="str">
        <f>[161]Input!$C$47</f>
        <v>Add for MA @ 40%</v>
      </c>
      <c r="D1672" s="408">
        <f>D1671*[161]Input!$D$47</f>
        <v>0</v>
      </c>
      <c r="E1672" s="408">
        <f>E1671*[161]Input!$D$47</f>
        <v>3.424100000000001</v>
      </c>
      <c r="F1672" s="408">
        <f>F1671*[161]Input!$D$47</f>
        <v>6.8482000000000021</v>
      </c>
      <c r="G1672" s="408">
        <f>G1671*[161]Input!$D$47</f>
        <v>10.272300000000001</v>
      </c>
      <c r="H1672" s="408">
        <f>H1671*[161]Input!$D$47</f>
        <v>13.696400000000004</v>
      </c>
      <c r="I1672" s="408">
        <f>I1671*[161]Input!$D$47</f>
        <v>17.120500000000003</v>
      </c>
      <c r="J1672" s="472"/>
      <c r="K1672" s="497"/>
      <c r="L1672" s="497"/>
      <c r="M1672" s="498"/>
    </row>
    <row r="1673" spans="1:13" ht="13">
      <c r="A1673" s="454"/>
      <c r="B1673" s="454"/>
      <c r="C1673" s="618" t="s">
        <v>742</v>
      </c>
      <c r="D1673" s="408">
        <f t="shared" ref="D1673:I1673" si="400">SUM(D1667:D1672)</f>
        <v>344.88108800000003</v>
      </c>
      <c r="E1673" s="408">
        <f t="shared" si="400"/>
        <v>356.86543800000004</v>
      </c>
      <c r="F1673" s="408">
        <f t="shared" si="400"/>
        <v>368.84978800000005</v>
      </c>
      <c r="G1673" s="408">
        <f t="shared" si="400"/>
        <v>380.83413800000005</v>
      </c>
      <c r="H1673" s="408">
        <f t="shared" si="400"/>
        <v>392.818488</v>
      </c>
      <c r="I1673" s="408">
        <f t="shared" si="400"/>
        <v>404.80283800000001</v>
      </c>
      <c r="J1673" s="502"/>
      <c r="K1673" s="503"/>
      <c r="L1673" s="503"/>
      <c r="M1673" s="504"/>
    </row>
    <row r="1674" spans="1:13" ht="25">
      <c r="A1674" s="454"/>
      <c r="B1674" s="454"/>
      <c r="C1674" s="417" t="str">
        <f>[161]Input!$C$48</f>
        <v>Overheads &amp; Contractors Profit @ 13.615%</v>
      </c>
      <c r="D1674" s="408">
        <f>D1673*[161]Input!$D$48</f>
        <v>46.955560131200002</v>
      </c>
      <c r="E1674" s="408">
        <f>E1673*[161]Input!$D$48</f>
        <v>48.587229383700006</v>
      </c>
      <c r="F1674" s="408">
        <f>F1673*[161]Input!$D$48</f>
        <v>50.218898636200002</v>
      </c>
      <c r="G1674" s="408">
        <f>G1673*[161]Input!$D$48</f>
        <v>51.850567888700006</v>
      </c>
      <c r="H1674" s="408">
        <f>H1673*[161]Input!$D$48</f>
        <v>53.482237141199995</v>
      </c>
      <c r="I1674" s="408">
        <f>I1673*[161]Input!$D$48</f>
        <v>55.113906393699999</v>
      </c>
      <c r="J1674" s="472"/>
      <c r="K1674" s="497"/>
      <c r="L1674" s="497"/>
      <c r="M1674" s="498"/>
    </row>
    <row r="1675" spans="1:13" ht="13">
      <c r="A1675" s="454"/>
      <c r="B1675" s="454"/>
      <c r="C1675" s="618" t="s">
        <v>742</v>
      </c>
      <c r="D1675" s="408">
        <f t="shared" ref="D1675:I1675" si="401">SUM(D1673:D1674)</f>
        <v>391.83664813120004</v>
      </c>
      <c r="E1675" s="408">
        <f t="shared" si="401"/>
        <v>405.45266738370003</v>
      </c>
      <c r="F1675" s="408">
        <f t="shared" si="401"/>
        <v>419.06868663620003</v>
      </c>
      <c r="G1675" s="408">
        <f t="shared" si="401"/>
        <v>432.68470588870008</v>
      </c>
      <c r="H1675" s="408">
        <f t="shared" si="401"/>
        <v>446.30072514120002</v>
      </c>
      <c r="I1675" s="408">
        <f t="shared" si="401"/>
        <v>459.91674439370001</v>
      </c>
      <c r="J1675" s="502"/>
      <c r="K1675" s="503"/>
      <c r="L1675" s="503"/>
      <c r="M1675" s="504"/>
    </row>
    <row r="1676" spans="1:13" ht="13">
      <c r="A1676" s="454"/>
      <c r="B1676" s="454"/>
      <c r="C1676" s="514" t="s">
        <v>726</v>
      </c>
      <c r="D1676" s="416">
        <f t="shared" ref="D1676:I1676" si="402">ROUND(D1675,0)</f>
        <v>392</v>
      </c>
      <c r="E1676" s="416">
        <f t="shared" si="402"/>
        <v>405</v>
      </c>
      <c r="F1676" s="416">
        <f t="shared" si="402"/>
        <v>419</v>
      </c>
      <c r="G1676" s="416">
        <f t="shared" si="402"/>
        <v>433</v>
      </c>
      <c r="H1676" s="416">
        <f t="shared" si="402"/>
        <v>446</v>
      </c>
      <c r="I1676" s="416">
        <f t="shared" si="402"/>
        <v>460</v>
      </c>
      <c r="J1676" s="502"/>
      <c r="K1676" s="503"/>
      <c r="L1676" s="503"/>
      <c r="M1676" s="504"/>
    </row>
    <row r="1677" spans="1:13" ht="13">
      <c r="A1677" s="454"/>
      <c r="B1677" s="454"/>
      <c r="C1677" s="514"/>
      <c r="D1677" s="416"/>
      <c r="E1677" s="416"/>
      <c r="F1677" s="416"/>
      <c r="G1677" s="416"/>
      <c r="H1677" s="416"/>
      <c r="I1677" s="416"/>
      <c r="J1677" s="515"/>
      <c r="K1677" s="516"/>
      <c r="L1677" s="516"/>
      <c r="M1677" s="504"/>
    </row>
    <row r="1678" spans="1:13" ht="36.65" customHeight="1">
      <c r="A1678" s="410">
        <f>A1643+1</f>
        <v>20</v>
      </c>
      <c r="B1678" s="426"/>
      <c r="C1678" s="1291" t="s">
        <v>1039</v>
      </c>
      <c r="D1678" s="1291"/>
      <c r="E1678" s="1291"/>
      <c r="F1678" s="1291"/>
      <c r="G1678" s="1291"/>
      <c r="H1678" s="1291"/>
      <c r="I1678" s="1291"/>
      <c r="J1678" s="544"/>
      <c r="K1678" s="545"/>
      <c r="L1678" s="551"/>
      <c r="M1678" s="498"/>
    </row>
    <row r="1679" spans="1:13" ht="13">
      <c r="A1679" s="426"/>
      <c r="B1679" s="426"/>
      <c r="C1679" s="473" t="s">
        <v>1040</v>
      </c>
      <c r="D1679" s="406"/>
      <c r="E1679" s="406"/>
      <c r="F1679" s="406"/>
      <c r="G1679" s="406"/>
      <c r="H1679" s="406"/>
      <c r="I1679" s="406"/>
      <c r="J1679" s="544"/>
      <c r="K1679" s="545"/>
      <c r="L1679" s="551"/>
      <c r="M1679" s="498"/>
    </row>
    <row r="1680" spans="1:13" ht="13">
      <c r="A1680" s="426"/>
      <c r="B1680" s="426"/>
      <c r="C1680" s="417" t="s">
        <v>1041</v>
      </c>
      <c r="D1680" s="406"/>
      <c r="E1680" s="406"/>
      <c r="F1680" s="406"/>
      <c r="G1680" s="406"/>
      <c r="H1680" s="406"/>
      <c r="I1680" s="406"/>
      <c r="J1680" s="544"/>
      <c r="K1680" s="545"/>
      <c r="L1680" s="551"/>
      <c r="M1680" s="498"/>
    </row>
    <row r="1681" spans="1:13" ht="13">
      <c r="A1681" s="426"/>
      <c r="B1681" s="426"/>
      <c r="C1681" s="427" t="s">
        <v>873</v>
      </c>
      <c r="D1681" s="406"/>
      <c r="E1681" s="406"/>
      <c r="F1681" s="406"/>
      <c r="G1681" s="406"/>
      <c r="H1681" s="406"/>
      <c r="I1681" s="406"/>
      <c r="J1681" s="544"/>
      <c r="K1681" s="545"/>
      <c r="L1681" s="551"/>
      <c r="M1681" s="498"/>
    </row>
    <row r="1682" spans="1:13" ht="13">
      <c r="A1682" s="426"/>
      <c r="B1682" s="426"/>
      <c r="C1682" s="417" t="s">
        <v>1042</v>
      </c>
      <c r="D1682" s="619">
        <v>2.3E-2</v>
      </c>
      <c r="E1682" s="454" t="s">
        <v>57</v>
      </c>
      <c r="F1682" s="408">
        <f>$F$9</f>
        <v>4594.2100000000009</v>
      </c>
      <c r="G1682" s="430">
        <v>1</v>
      </c>
      <c r="H1682" s="456" t="str">
        <f>IF(E1682="","",IF(E1682="No.","Each",IF(E1682="Nos.","Each",E1682)))</f>
        <v>Cum</v>
      </c>
      <c r="I1682" s="408">
        <f>IF(G1682="",D1682*F1682,(D1682*F1682/G1682))</f>
        <v>105.66683000000002</v>
      </c>
      <c r="J1682" s="544"/>
      <c r="K1682" s="545"/>
      <c r="L1682" s="551"/>
      <c r="M1682" s="498"/>
    </row>
    <row r="1683" spans="1:13" ht="13">
      <c r="A1683" s="426"/>
      <c r="B1683" s="426"/>
      <c r="C1683" s="427" t="s">
        <v>1043</v>
      </c>
      <c r="D1683" s="426"/>
      <c r="E1683" s="426"/>
      <c r="F1683" s="426"/>
      <c r="G1683" s="426"/>
      <c r="H1683" s="426"/>
      <c r="I1683" s="426"/>
      <c r="J1683" s="544"/>
      <c r="K1683" s="545"/>
      <c r="L1683" s="551"/>
      <c r="M1683" s="498"/>
    </row>
    <row r="1684" spans="1:13" ht="13">
      <c r="A1684" s="426"/>
      <c r="B1684" s="426"/>
      <c r="C1684" s="417" t="s">
        <v>1044</v>
      </c>
      <c r="D1684" s="408">
        <v>0.3</v>
      </c>
      <c r="E1684" s="454" t="s">
        <v>375</v>
      </c>
      <c r="F1684" s="408">
        <f>'[161]Civil-SOR'!G293</f>
        <v>580</v>
      </c>
      <c r="G1684" s="430">
        <v>1</v>
      </c>
      <c r="H1684" s="456" t="str">
        <f t="shared" ref="H1684:H1685" si="403">IF(E1684="","",IF(E1684="No.","Each",IF(E1684="Nos.","Each",E1684)))</f>
        <v>Each</v>
      </c>
      <c r="I1684" s="408">
        <f t="shared" ref="I1684:I1687" si="404">IF(G1684="",D1684*F1684,(D1684*F1684/G1684))</f>
        <v>174</v>
      </c>
      <c r="J1684" s="544"/>
      <c r="K1684" s="545"/>
      <c r="L1684" s="551"/>
      <c r="M1684" s="498"/>
    </row>
    <row r="1685" spans="1:13" ht="13">
      <c r="A1685" s="426"/>
      <c r="B1685" s="426"/>
      <c r="C1685" s="417" t="s">
        <v>1045</v>
      </c>
      <c r="D1685" s="408">
        <v>0.35</v>
      </c>
      <c r="E1685" s="454" t="s">
        <v>375</v>
      </c>
      <c r="F1685" s="408">
        <f>'[161]Civil-SOR'!G307</f>
        <v>520</v>
      </c>
      <c r="G1685" s="430">
        <v>1</v>
      </c>
      <c r="H1685" s="456" t="str">
        <f t="shared" si="403"/>
        <v>Each</v>
      </c>
      <c r="I1685" s="408">
        <f t="shared" si="404"/>
        <v>182</v>
      </c>
      <c r="J1685" s="544"/>
      <c r="K1685" s="545"/>
      <c r="L1685" s="551"/>
      <c r="M1685" s="498"/>
    </row>
    <row r="1686" spans="1:13" ht="13">
      <c r="A1686" s="426"/>
      <c r="B1686" s="426"/>
      <c r="C1686" s="417" t="str">
        <f>[161]Input!$C$47</f>
        <v>Add for MA @ 40%</v>
      </c>
      <c r="D1686" s="409">
        <f>[161]Input!$D$47</f>
        <v>0.4</v>
      </c>
      <c r="E1686" s="454"/>
      <c r="F1686" s="408">
        <f>SUM(I1684:I1685)</f>
        <v>356</v>
      </c>
      <c r="G1686" s="410"/>
      <c r="H1686" s="426"/>
      <c r="I1686" s="408">
        <f t="shared" si="404"/>
        <v>142.4</v>
      </c>
      <c r="J1686" s="544"/>
      <c r="K1686" s="545"/>
      <c r="L1686" s="551"/>
      <c r="M1686" s="498"/>
    </row>
    <row r="1687" spans="1:13" ht="13">
      <c r="A1687" s="426"/>
      <c r="B1687" s="426"/>
      <c r="C1687" s="417" t="s">
        <v>1046</v>
      </c>
      <c r="D1687" s="408">
        <v>0.01</v>
      </c>
      <c r="E1687" s="454"/>
      <c r="F1687" s="408">
        <f>SUM(I1682:I1686)</f>
        <v>604.06682999999998</v>
      </c>
      <c r="G1687" s="430"/>
      <c r="H1687" s="456"/>
      <c r="I1687" s="408">
        <f t="shared" si="404"/>
        <v>6.0406683000000001</v>
      </c>
      <c r="J1687" s="544"/>
      <c r="K1687" s="545"/>
      <c r="L1687" s="551"/>
      <c r="M1687" s="498"/>
    </row>
    <row r="1688" spans="1:13" ht="13">
      <c r="A1688" s="426"/>
      <c r="B1688" s="426"/>
      <c r="C1688" s="427" t="s">
        <v>1047</v>
      </c>
      <c r="D1688" s="408"/>
      <c r="E1688" s="454"/>
      <c r="F1688" s="408"/>
      <c r="G1688" s="430"/>
      <c r="H1688" s="454"/>
      <c r="I1688" s="434">
        <f>SUM(I1682:I1687)</f>
        <v>610.10749829999997</v>
      </c>
      <c r="J1688" s="544"/>
      <c r="K1688" s="545"/>
      <c r="L1688" s="551"/>
      <c r="M1688" s="498"/>
    </row>
    <row r="1689" spans="1:13" ht="25">
      <c r="A1689" s="426"/>
      <c r="B1689" s="426"/>
      <c r="C1689" s="417" t="str">
        <f>[161]Input!$C$48</f>
        <v>Overheads &amp; Contractors Profit @ 13.615%</v>
      </c>
      <c r="D1689" s="467">
        <f>[161]Input!$D$48</f>
        <v>0.13614999999999999</v>
      </c>
      <c r="E1689" s="416"/>
      <c r="F1689" s="408">
        <f>I1688</f>
        <v>610.10749829999997</v>
      </c>
      <c r="G1689" s="416"/>
      <c r="H1689" s="416"/>
      <c r="I1689" s="408">
        <f>IF(G1689="",D1689*F1689,(D1689*F1689/G1689))</f>
        <v>83.066135893544995</v>
      </c>
      <c r="J1689" s="544"/>
      <c r="K1689" s="545"/>
      <c r="L1689" s="551"/>
      <c r="M1689" s="498"/>
    </row>
    <row r="1690" spans="1:13" ht="26">
      <c r="A1690" s="426"/>
      <c r="B1690" s="426"/>
      <c r="C1690" s="427" t="s">
        <v>1048</v>
      </c>
      <c r="D1690" s="416"/>
      <c r="E1690" s="416"/>
      <c r="F1690" s="416"/>
      <c r="G1690" s="416"/>
      <c r="H1690" s="416"/>
      <c r="I1690" s="414">
        <f>SUM(I1688:I1689)</f>
        <v>693.17363419354501</v>
      </c>
      <c r="J1690" s="544"/>
      <c r="K1690" s="545"/>
      <c r="L1690" s="551"/>
      <c r="M1690" s="498"/>
    </row>
    <row r="1691" spans="1:13" ht="26">
      <c r="A1691" s="426"/>
      <c r="B1691" s="426"/>
      <c r="C1691" s="427" t="s">
        <v>1049</v>
      </c>
      <c r="D1691" s="416"/>
      <c r="E1691" s="416"/>
      <c r="F1691" s="416"/>
      <c r="G1691" s="416"/>
      <c r="H1691" s="416"/>
      <c r="I1691" s="414">
        <f>I1690/10</f>
        <v>69.317363419354507</v>
      </c>
      <c r="J1691" s="544"/>
      <c r="K1691" s="545"/>
      <c r="L1691" s="551"/>
      <c r="M1691" s="498"/>
    </row>
    <row r="1692" spans="1:13" ht="13">
      <c r="A1692" s="426"/>
      <c r="B1692" s="426"/>
      <c r="C1692" s="427"/>
      <c r="D1692" s="416"/>
      <c r="E1692" s="416"/>
      <c r="F1692" s="416"/>
      <c r="G1692" s="416"/>
      <c r="H1692" s="416"/>
      <c r="I1692" s="414"/>
      <c r="J1692" s="544"/>
      <c r="K1692" s="545"/>
      <c r="L1692" s="551"/>
      <c r="M1692" s="498"/>
    </row>
    <row r="1693" spans="1:13" ht="36.65" customHeight="1">
      <c r="A1693" s="410">
        <f>A1678+1</f>
        <v>21</v>
      </c>
      <c r="B1693" s="426"/>
      <c r="C1693" s="1291" t="s">
        <v>1050</v>
      </c>
      <c r="D1693" s="1291"/>
      <c r="E1693" s="1291"/>
      <c r="F1693" s="1291"/>
      <c r="G1693" s="1291"/>
      <c r="H1693" s="1291"/>
      <c r="I1693" s="1291"/>
      <c r="J1693" s="544"/>
      <c r="K1693" s="545"/>
      <c r="L1693" s="551"/>
      <c r="M1693" s="498"/>
    </row>
    <row r="1694" spans="1:13" ht="26">
      <c r="A1694" s="426"/>
      <c r="B1694" s="426"/>
      <c r="C1694" s="427" t="s">
        <v>1051</v>
      </c>
      <c r="D1694" s="416"/>
      <c r="E1694" s="416"/>
      <c r="F1694" s="416"/>
      <c r="G1694" s="416"/>
      <c r="H1694" s="416"/>
      <c r="I1694" s="414">
        <f>I1691*2.3</f>
        <v>159.42993586451536</v>
      </c>
      <c r="J1694" s="544"/>
      <c r="K1694" s="545"/>
      <c r="L1694" s="551"/>
      <c r="M1694" s="498"/>
    </row>
    <row r="1695" spans="1:13" ht="13">
      <c r="A1695" s="426"/>
      <c r="B1695" s="426"/>
      <c r="C1695" s="427" t="s">
        <v>774</v>
      </c>
      <c r="D1695" s="416"/>
      <c r="E1695" s="416"/>
      <c r="F1695" s="416" t="s">
        <v>1052</v>
      </c>
      <c r="G1695" s="416"/>
      <c r="H1695" s="416"/>
      <c r="I1695" s="416">
        <f>ROUND(I1694,0)</f>
        <v>159</v>
      </c>
      <c r="J1695" s="544"/>
      <c r="K1695" s="545"/>
      <c r="L1695" s="551"/>
      <c r="M1695" s="498"/>
    </row>
    <row r="1696" spans="1:13" ht="13">
      <c r="A1696" s="426"/>
      <c r="B1696" s="426"/>
      <c r="C1696" s="550"/>
      <c r="D1696" s="416"/>
      <c r="E1696" s="416"/>
      <c r="F1696" s="416"/>
      <c r="G1696" s="416"/>
      <c r="H1696" s="416"/>
      <c r="I1696" s="414"/>
      <c r="J1696" s="544"/>
      <c r="K1696" s="545"/>
      <c r="L1696" s="551"/>
      <c r="M1696" s="498"/>
    </row>
    <row r="1697" spans="1:13" ht="36.65" customHeight="1">
      <c r="A1697" s="410">
        <f>A1693+1</f>
        <v>22</v>
      </c>
      <c r="B1697" s="426"/>
      <c r="C1697" s="1305" t="s">
        <v>1053</v>
      </c>
      <c r="D1697" s="1305"/>
      <c r="E1697" s="1305"/>
      <c r="F1697" s="1305"/>
      <c r="G1697" s="1305"/>
      <c r="H1697" s="1305"/>
      <c r="I1697" s="1305"/>
      <c r="J1697" s="544"/>
      <c r="K1697" s="545"/>
      <c r="L1697" s="551"/>
      <c r="M1697" s="498"/>
    </row>
    <row r="1698" spans="1:13" ht="13">
      <c r="A1698" s="426"/>
      <c r="B1698" s="426"/>
      <c r="C1698" s="550"/>
      <c r="D1698" s="416"/>
      <c r="E1698" s="416"/>
      <c r="F1698" s="416"/>
      <c r="G1698" s="416"/>
      <c r="H1698" s="416"/>
      <c r="I1698" s="414"/>
      <c r="J1698" s="544"/>
      <c r="K1698" s="545"/>
      <c r="L1698" s="551"/>
      <c r="M1698" s="498"/>
    </row>
    <row r="1699" spans="1:13" ht="26">
      <c r="A1699" s="426"/>
      <c r="B1699" s="426"/>
      <c r="C1699" s="427" t="s">
        <v>1049</v>
      </c>
      <c r="D1699" s="416"/>
      <c r="E1699" s="416"/>
      <c r="F1699" s="416"/>
      <c r="G1699" s="416"/>
      <c r="H1699" s="416"/>
      <c r="I1699" s="414">
        <f>I1691*1</f>
        <v>69.317363419354507</v>
      </c>
      <c r="J1699" s="544"/>
      <c r="K1699" s="545"/>
      <c r="L1699" s="551"/>
      <c r="M1699" s="498"/>
    </row>
    <row r="1700" spans="1:13" ht="13">
      <c r="A1700" s="426"/>
      <c r="B1700" s="426"/>
      <c r="C1700" s="427" t="s">
        <v>774</v>
      </c>
      <c r="D1700" s="416"/>
      <c r="E1700" s="416"/>
      <c r="F1700" s="416" t="s">
        <v>674</v>
      </c>
      <c r="G1700" s="416"/>
      <c r="H1700" s="416"/>
      <c r="I1700" s="416">
        <f>ROUND(I1699,0)</f>
        <v>69</v>
      </c>
      <c r="J1700" s="544"/>
      <c r="K1700" s="545"/>
      <c r="L1700" s="551"/>
      <c r="M1700" s="498"/>
    </row>
    <row r="1701" spans="1:13" ht="13">
      <c r="A1701" s="426"/>
      <c r="B1701" s="426"/>
      <c r="C1701" s="550"/>
      <c r="D1701" s="416"/>
      <c r="E1701" s="416"/>
      <c r="F1701" s="416"/>
      <c r="G1701" s="416"/>
      <c r="H1701" s="416"/>
      <c r="I1701" s="414"/>
      <c r="J1701" s="544"/>
      <c r="K1701" s="545"/>
      <c r="L1701" s="551"/>
      <c r="M1701" s="498"/>
    </row>
    <row r="1702" spans="1:13" ht="81.400000000000006" customHeight="1">
      <c r="A1702" s="410">
        <f>1+A1697</f>
        <v>23</v>
      </c>
      <c r="B1702" s="410"/>
      <c r="C1702" s="1276" t="s">
        <v>1054</v>
      </c>
      <c r="D1702" s="1276"/>
      <c r="E1702" s="1276"/>
      <c r="F1702" s="1276"/>
      <c r="G1702" s="1276"/>
      <c r="H1702" s="1276"/>
      <c r="I1702" s="407"/>
      <c r="J1702" s="400"/>
      <c r="K1702" s="401"/>
      <c r="L1702" s="401"/>
    </row>
    <row r="1703" spans="1:13" ht="13">
      <c r="A1703" s="426"/>
      <c r="B1703" s="426"/>
      <c r="C1703" s="455" t="s">
        <v>1055</v>
      </c>
      <c r="D1703" s="408"/>
      <c r="E1703" s="454"/>
      <c r="F1703" s="408"/>
      <c r="G1703" s="430"/>
      <c r="H1703" s="415"/>
      <c r="I1703" s="408"/>
      <c r="J1703" s="400"/>
      <c r="K1703" s="401"/>
      <c r="L1703" s="401"/>
    </row>
    <row r="1704" spans="1:13" ht="13">
      <c r="A1704" s="426"/>
      <c r="B1704" s="426"/>
      <c r="C1704" s="417" t="s">
        <v>899</v>
      </c>
      <c r="D1704" s="408"/>
      <c r="E1704" s="454"/>
      <c r="F1704" s="408"/>
      <c r="G1704" s="430"/>
      <c r="H1704" s="415"/>
      <c r="I1704" s="408"/>
      <c r="J1704" s="400"/>
      <c r="K1704" s="401"/>
      <c r="L1704" s="401"/>
    </row>
    <row r="1705" spans="1:13" ht="13">
      <c r="A1705" s="426"/>
      <c r="B1705" s="426"/>
      <c r="C1705" s="427" t="s">
        <v>873</v>
      </c>
      <c r="D1705" s="408"/>
      <c r="E1705" s="454"/>
      <c r="F1705" s="408"/>
      <c r="G1705" s="430"/>
      <c r="H1705" s="415"/>
      <c r="I1705" s="408"/>
      <c r="J1705" s="400"/>
      <c r="K1705" s="401"/>
      <c r="L1705" s="401"/>
    </row>
    <row r="1706" spans="1:13">
      <c r="A1706" s="426"/>
      <c r="B1706" s="426"/>
      <c r="C1706" s="417" t="s">
        <v>504</v>
      </c>
      <c r="D1706" s="408">
        <v>36</v>
      </c>
      <c r="E1706" s="408" t="s">
        <v>833</v>
      </c>
      <c r="F1706" s="408">
        <f>[161]LEAD!$N$6</f>
        <v>5200</v>
      </c>
      <c r="G1706" s="430">
        <v>1000</v>
      </c>
      <c r="H1706" s="456" t="str">
        <f t="shared" ref="H1706:H1708" si="405">IF(E1706="","",IF(E1706="No.","Each",IF(E1706="Nos.","Each",E1706)))</f>
        <v>Kgs</v>
      </c>
      <c r="I1706" s="408">
        <f t="shared" ref="I1706:I1708" si="406">IF(G1706="",D1706*F1706,(D1706*F1706/G1706))</f>
        <v>187.2</v>
      </c>
      <c r="J1706" s="400"/>
      <c r="K1706" s="401"/>
      <c r="L1706" s="401"/>
    </row>
    <row r="1707" spans="1:13">
      <c r="A1707" s="426"/>
      <c r="B1707" s="426"/>
      <c r="C1707" s="417" t="s">
        <v>1056</v>
      </c>
      <c r="D1707" s="430">
        <v>512</v>
      </c>
      <c r="E1707" s="408" t="s">
        <v>14</v>
      </c>
      <c r="F1707" s="408">
        <f>[161]LEAD!$N$15</f>
        <v>9136.41</v>
      </c>
      <c r="G1707" s="430">
        <v>1000</v>
      </c>
      <c r="H1707" s="456" t="str">
        <f t="shared" si="405"/>
        <v>Nos</v>
      </c>
      <c r="I1707" s="408">
        <f t="shared" si="406"/>
        <v>4677.8419199999998</v>
      </c>
      <c r="J1707" s="400"/>
      <c r="K1707" s="401"/>
      <c r="L1707" s="401"/>
    </row>
    <row r="1708" spans="1:13">
      <c r="A1708" s="426"/>
      <c r="B1708" s="426"/>
      <c r="C1708" s="417" t="s">
        <v>875</v>
      </c>
      <c r="D1708" s="408">
        <v>0.2</v>
      </c>
      <c r="E1708" s="408" t="s">
        <v>1057</v>
      </c>
      <c r="F1708" s="408">
        <f>[161]LEAD!$N$13</f>
        <v>2453.91</v>
      </c>
      <c r="G1708" s="430">
        <v>1</v>
      </c>
      <c r="H1708" s="456" t="str">
        <f t="shared" si="405"/>
        <v>Cum.</v>
      </c>
      <c r="I1708" s="408">
        <f t="shared" si="406"/>
        <v>490.78199999999998</v>
      </c>
      <c r="J1708" s="400"/>
      <c r="K1708" s="401"/>
      <c r="L1708" s="401"/>
    </row>
    <row r="1709" spans="1:13" ht="13">
      <c r="A1709" s="426"/>
      <c r="B1709" s="426"/>
      <c r="C1709" s="427" t="s">
        <v>911</v>
      </c>
      <c r="D1709" s="408"/>
      <c r="E1709" s="408"/>
      <c r="F1709" s="408"/>
      <c r="G1709" s="430"/>
      <c r="H1709" s="456"/>
      <c r="I1709" s="408"/>
      <c r="J1709" s="400"/>
      <c r="K1709" s="401"/>
      <c r="L1709" s="401"/>
    </row>
    <row r="1710" spans="1:13">
      <c r="A1710" s="426"/>
      <c r="B1710" s="426"/>
      <c r="C1710" s="417" t="s">
        <v>881</v>
      </c>
      <c r="D1710" s="408">
        <v>0.24</v>
      </c>
      <c r="E1710" s="408" t="s">
        <v>375</v>
      </c>
      <c r="F1710" s="408">
        <f>'[161]Civil-SOR'!$G$293</f>
        <v>580</v>
      </c>
      <c r="G1710" s="430">
        <v>1</v>
      </c>
      <c r="H1710" s="456" t="str">
        <f t="shared" ref="H1710:H1712" si="407">IF(E1710="","",IF(E1710="No.","Each",IF(E1710="Nos.","Each",E1710)))</f>
        <v>Each</v>
      </c>
      <c r="I1710" s="408">
        <f t="shared" ref="I1710:I1714" si="408">IF(G1710="",D1710*F1710,(D1710*F1710/G1710))</f>
        <v>139.19999999999999</v>
      </c>
      <c r="J1710" s="400"/>
      <c r="K1710" s="401"/>
      <c r="L1710" s="401"/>
    </row>
    <row r="1711" spans="1:13">
      <c r="A1711" s="426"/>
      <c r="B1711" s="426"/>
      <c r="C1711" s="417" t="s">
        <v>771</v>
      </c>
      <c r="D1711" s="408">
        <v>0.56000000000000005</v>
      </c>
      <c r="E1711" s="408" t="s">
        <v>375</v>
      </c>
      <c r="F1711" s="408">
        <f>'[161]Civil-SOR'!$G$302</f>
        <v>550</v>
      </c>
      <c r="G1711" s="430">
        <v>1</v>
      </c>
      <c r="H1711" s="456" t="str">
        <f t="shared" si="407"/>
        <v>Each</v>
      </c>
      <c r="I1711" s="408">
        <f t="shared" si="408"/>
        <v>308.00000000000006</v>
      </c>
      <c r="J1711" s="400"/>
      <c r="K1711" s="401"/>
      <c r="L1711" s="401"/>
    </row>
    <row r="1712" spans="1:13">
      <c r="A1712" s="426"/>
      <c r="B1712" s="426"/>
      <c r="C1712" s="417" t="s">
        <v>903</v>
      </c>
      <c r="D1712" s="408">
        <v>1.89</v>
      </c>
      <c r="E1712" s="408" t="s">
        <v>375</v>
      </c>
      <c r="F1712" s="408">
        <f>'[161]Civil-SOR'!$G$307</f>
        <v>520</v>
      </c>
      <c r="G1712" s="430">
        <v>1</v>
      </c>
      <c r="H1712" s="456" t="str">
        <f t="shared" si="407"/>
        <v>Each</v>
      </c>
      <c r="I1712" s="408">
        <f t="shared" si="408"/>
        <v>982.8</v>
      </c>
      <c r="J1712" s="400"/>
      <c r="K1712" s="401"/>
      <c r="L1712" s="401"/>
    </row>
    <row r="1713" spans="1:64">
      <c r="A1713" s="426"/>
      <c r="B1713" s="426"/>
      <c r="C1713" s="417" t="str">
        <f>[161]Input!$C$47</f>
        <v>Add for MA @ 40%</v>
      </c>
      <c r="D1713" s="621">
        <f>[161]Input!$D$47</f>
        <v>0.4</v>
      </c>
      <c r="E1713" s="454"/>
      <c r="F1713" s="408">
        <f>SUM(I1710:I1712)</f>
        <v>1430</v>
      </c>
      <c r="G1713" s="410"/>
      <c r="H1713" s="426"/>
      <c r="I1713" s="408">
        <f t="shared" si="408"/>
        <v>572</v>
      </c>
      <c r="J1713" s="400"/>
      <c r="K1713" s="401"/>
      <c r="L1713" s="401"/>
    </row>
    <row r="1714" spans="1:64">
      <c r="A1714" s="426"/>
      <c r="B1714" s="426"/>
      <c r="C1714" s="417" t="s">
        <v>1058</v>
      </c>
      <c r="D1714" s="408">
        <v>0.01</v>
      </c>
      <c r="E1714" s="408"/>
      <c r="F1714" s="408">
        <f>SUM(I1706:I1713)</f>
        <v>7357.8239199999998</v>
      </c>
      <c r="G1714" s="430"/>
      <c r="H1714" s="456"/>
      <c r="I1714" s="408">
        <f t="shared" si="408"/>
        <v>73.578239199999999</v>
      </c>
      <c r="J1714" s="400"/>
      <c r="K1714" s="401"/>
      <c r="L1714" s="401"/>
    </row>
    <row r="1715" spans="1:64" ht="13">
      <c r="A1715" s="426"/>
      <c r="B1715" s="426"/>
      <c r="C1715" s="427" t="s">
        <v>724</v>
      </c>
      <c r="D1715" s="408"/>
      <c r="E1715" s="408"/>
      <c r="F1715" s="408"/>
      <c r="G1715" s="430"/>
      <c r="H1715" s="415"/>
      <c r="I1715" s="414">
        <f>SUM(I1706:I1714)</f>
        <v>7431.4021591999999</v>
      </c>
      <c r="J1715" s="400"/>
      <c r="K1715" s="401"/>
      <c r="L1715" s="401"/>
    </row>
    <row r="1716" spans="1:64">
      <c r="A1716" s="426"/>
      <c r="B1716" s="426"/>
      <c r="C1716" s="417" t="s">
        <v>1059</v>
      </c>
      <c r="D1716" s="408">
        <v>1</v>
      </c>
      <c r="E1716" s="408" t="s">
        <v>57</v>
      </c>
      <c r="F1716" s="408">
        <f>'[161]Civil-SOR'!$F$222/0.34</f>
        <v>34.294117647058819</v>
      </c>
      <c r="G1716" s="408">
        <v>1</v>
      </c>
      <c r="H1716" s="456" t="s">
        <v>17</v>
      </c>
      <c r="I1716" s="408">
        <f t="shared" ref="I1716:I1718" si="409">IF(G1716="",D1716*F1716,(D1716*F1716/G1716))</f>
        <v>34.294117647058819</v>
      </c>
      <c r="J1716" s="400"/>
      <c r="K1716" s="401"/>
      <c r="L1716" s="401"/>
    </row>
    <row r="1717" spans="1:64">
      <c r="A1717" s="426"/>
      <c r="B1717" s="426"/>
      <c r="C1717" s="417" t="s">
        <v>1060</v>
      </c>
      <c r="D1717" s="408">
        <v>1</v>
      </c>
      <c r="E1717" s="408" t="s">
        <v>57</v>
      </c>
      <c r="F1717" s="408">
        <f>'[161]Civil-SOR'!$G$222/0.34</f>
        <v>277.3235294117647</v>
      </c>
      <c r="G1717" s="408">
        <v>1</v>
      </c>
      <c r="H1717" s="456" t="s">
        <v>17</v>
      </c>
      <c r="I1717" s="408">
        <f t="shared" si="409"/>
        <v>277.3235294117647</v>
      </c>
      <c r="J1717" s="400"/>
      <c r="K1717" s="401"/>
      <c r="L1717" s="401"/>
    </row>
    <row r="1718" spans="1:64" ht="13">
      <c r="A1718" s="426"/>
      <c r="B1718" s="426"/>
      <c r="C1718" s="417" t="str">
        <f>[161]Input!$C$47</f>
        <v>Add for MA @ 40%</v>
      </c>
      <c r="D1718" s="621">
        <f>[161]Input!$D$47</f>
        <v>0.4</v>
      </c>
      <c r="E1718" s="408"/>
      <c r="F1718" s="408">
        <f>I1717</f>
        <v>277.3235294117647</v>
      </c>
      <c r="G1718" s="430"/>
      <c r="H1718" s="415"/>
      <c r="I1718" s="408">
        <f t="shared" si="409"/>
        <v>110.92941176470589</v>
      </c>
      <c r="J1718" s="400"/>
      <c r="K1718" s="401"/>
      <c r="L1718" s="401"/>
    </row>
    <row r="1719" spans="1:64" ht="13">
      <c r="A1719" s="426"/>
      <c r="B1719" s="426"/>
      <c r="C1719" s="427"/>
      <c r="D1719" s="408"/>
      <c r="E1719" s="408"/>
      <c r="F1719" s="408"/>
      <c r="G1719" s="430"/>
      <c r="H1719" s="415"/>
      <c r="I1719" s="414">
        <f>SUM(I1715:I1718)</f>
        <v>7853.9492180235293</v>
      </c>
      <c r="J1719" s="400"/>
      <c r="K1719" s="401"/>
      <c r="L1719" s="401"/>
      <c r="M1719" s="404"/>
      <c r="N1719" s="404"/>
      <c r="O1719" s="404"/>
      <c r="P1719" s="404"/>
      <c r="Q1719" s="404"/>
      <c r="R1719" s="404"/>
      <c r="S1719" s="404"/>
      <c r="T1719" s="404"/>
      <c r="U1719" s="404"/>
      <c r="V1719" s="404"/>
      <c r="W1719" s="404"/>
      <c r="X1719" s="404"/>
      <c r="Y1719" s="404"/>
      <c r="Z1719" s="404"/>
      <c r="AA1719" s="404"/>
      <c r="AB1719" s="404"/>
      <c r="AC1719" s="404"/>
      <c r="AD1719" s="404"/>
      <c r="AE1719" s="404"/>
      <c r="AF1719" s="404"/>
      <c r="AG1719" s="404"/>
      <c r="AH1719" s="404"/>
      <c r="AI1719" s="404"/>
      <c r="AJ1719" s="404"/>
      <c r="AK1719" s="404"/>
      <c r="AL1719" s="404"/>
      <c r="AM1719" s="404"/>
      <c r="AN1719" s="404"/>
      <c r="AO1719" s="404"/>
      <c r="AP1719" s="404"/>
      <c r="AQ1719" s="404"/>
      <c r="AR1719" s="404"/>
      <c r="AS1719" s="404"/>
      <c r="AT1719" s="404"/>
      <c r="AU1719" s="404"/>
      <c r="AV1719" s="404"/>
      <c r="AW1719" s="404"/>
      <c r="AX1719" s="404"/>
      <c r="AY1719" s="404"/>
      <c r="AZ1719" s="404"/>
      <c r="BA1719" s="404"/>
      <c r="BB1719" s="404"/>
      <c r="BC1719" s="404"/>
      <c r="BD1719" s="404"/>
      <c r="BE1719" s="404"/>
      <c r="BF1719" s="404"/>
      <c r="BG1719" s="404"/>
      <c r="BH1719" s="404"/>
      <c r="BI1719" s="404"/>
      <c r="BJ1719" s="404"/>
      <c r="BK1719" s="404"/>
      <c r="BL1719" s="404"/>
    </row>
    <row r="1720" spans="1:64" ht="25">
      <c r="A1720" s="426"/>
      <c r="B1720" s="426"/>
      <c r="C1720" s="417" t="str">
        <f>[161]Input!$C$48</f>
        <v>Overheads &amp; Contractors Profit @ 13.615%</v>
      </c>
      <c r="D1720" s="406">
        <f>[161]Input!$D$48</f>
        <v>0.13614999999999999</v>
      </c>
      <c r="E1720" s="408"/>
      <c r="F1720" s="408">
        <f>I1719</f>
        <v>7853.9492180235293</v>
      </c>
      <c r="G1720" s="430"/>
      <c r="H1720" s="415"/>
      <c r="I1720" s="408">
        <f>IF(G1720="",D1720*F1720,(D1720*F1720/G1720))</f>
        <v>1069.3151860339035</v>
      </c>
      <c r="J1720" s="400"/>
      <c r="K1720" s="401"/>
      <c r="L1720" s="401"/>
      <c r="M1720" s="404"/>
      <c r="N1720" s="404"/>
      <c r="O1720" s="404"/>
      <c r="P1720" s="404"/>
      <c r="Q1720" s="404"/>
      <c r="R1720" s="404"/>
      <c r="S1720" s="404"/>
      <c r="T1720" s="404"/>
      <c r="U1720" s="404"/>
      <c r="V1720" s="404"/>
      <c r="W1720" s="404"/>
      <c r="X1720" s="404"/>
      <c r="Y1720" s="404"/>
      <c r="Z1720" s="404"/>
      <c r="AA1720" s="404"/>
      <c r="AB1720" s="404"/>
      <c r="AC1720" s="404"/>
      <c r="AD1720" s="404"/>
      <c r="AE1720" s="404"/>
      <c r="AF1720" s="404"/>
      <c r="AG1720" s="404"/>
      <c r="AH1720" s="404"/>
      <c r="AI1720" s="404"/>
      <c r="AJ1720" s="404"/>
      <c r="AK1720" s="404"/>
      <c r="AL1720" s="404"/>
      <c r="AM1720" s="404"/>
      <c r="AN1720" s="404"/>
      <c r="AO1720" s="404"/>
      <c r="AP1720" s="404"/>
      <c r="AQ1720" s="404"/>
      <c r="AR1720" s="404"/>
      <c r="AS1720" s="404"/>
      <c r="AT1720" s="404"/>
      <c r="AU1720" s="404"/>
      <c r="AV1720" s="404"/>
      <c r="AW1720" s="404"/>
      <c r="AX1720" s="404"/>
      <c r="AY1720" s="404"/>
      <c r="AZ1720" s="404"/>
      <c r="BA1720" s="404"/>
      <c r="BB1720" s="404"/>
      <c r="BC1720" s="404"/>
      <c r="BD1720" s="404"/>
      <c r="BE1720" s="404"/>
      <c r="BF1720" s="404"/>
      <c r="BG1720" s="404"/>
      <c r="BH1720" s="404"/>
      <c r="BI1720" s="404"/>
      <c r="BJ1720" s="404"/>
      <c r="BK1720" s="404"/>
      <c r="BL1720" s="404"/>
    </row>
    <row r="1721" spans="1:64" ht="13">
      <c r="A1721" s="426"/>
      <c r="B1721" s="426"/>
      <c r="C1721" s="481" t="s">
        <v>724</v>
      </c>
      <c r="D1721" s="408"/>
      <c r="E1721" s="408"/>
      <c r="F1721" s="408"/>
      <c r="G1721" s="430"/>
      <c r="H1721" s="415"/>
      <c r="I1721" s="414">
        <f>SUM(I1719:I1720)</f>
        <v>8923.2644040574323</v>
      </c>
      <c r="J1721" s="411"/>
      <c r="K1721" s="412"/>
      <c r="L1721" s="412"/>
      <c r="M1721" s="413"/>
      <c r="N1721" s="413"/>
      <c r="O1721" s="413"/>
      <c r="P1721" s="413"/>
      <c r="Q1721" s="413"/>
      <c r="R1721" s="413"/>
      <c r="S1721" s="413"/>
      <c r="T1721" s="413"/>
      <c r="U1721" s="413"/>
      <c r="V1721" s="413"/>
      <c r="W1721" s="413"/>
      <c r="X1721" s="413"/>
      <c r="Y1721" s="413"/>
      <c r="Z1721" s="413"/>
      <c r="AA1721" s="413"/>
      <c r="AB1721" s="413"/>
      <c r="AC1721" s="413"/>
      <c r="AD1721" s="413"/>
      <c r="AE1721" s="413"/>
      <c r="AF1721" s="413"/>
      <c r="AG1721" s="413"/>
      <c r="AH1721" s="413"/>
      <c r="AI1721" s="413"/>
      <c r="AJ1721" s="413"/>
      <c r="AK1721" s="413"/>
      <c r="AL1721" s="413"/>
      <c r="AM1721" s="413"/>
      <c r="AN1721" s="413"/>
      <c r="AO1721" s="413"/>
      <c r="AP1721" s="413"/>
      <c r="AQ1721" s="413"/>
      <c r="AR1721" s="413"/>
      <c r="AS1721" s="413"/>
      <c r="AT1721" s="413"/>
      <c r="AU1721" s="413"/>
      <c r="AV1721" s="413"/>
      <c r="AW1721" s="413"/>
      <c r="AX1721" s="413"/>
      <c r="AY1721" s="413"/>
      <c r="AZ1721" s="413"/>
      <c r="BA1721" s="413"/>
      <c r="BB1721" s="413"/>
      <c r="BC1721" s="413"/>
      <c r="BD1721" s="413"/>
      <c r="BE1721" s="413"/>
      <c r="BF1721" s="413"/>
      <c r="BG1721" s="413"/>
      <c r="BH1721" s="413"/>
      <c r="BI1721" s="413"/>
      <c r="BJ1721" s="413"/>
      <c r="BK1721" s="413"/>
      <c r="BL1721" s="413"/>
    </row>
    <row r="1722" spans="1:64" ht="13">
      <c r="A1722" s="426"/>
      <c r="B1722" s="426"/>
      <c r="C1722" s="522" t="s">
        <v>726</v>
      </c>
      <c r="D1722" s="408"/>
      <c r="E1722" s="408"/>
      <c r="F1722" s="408"/>
      <c r="G1722" s="430"/>
      <c r="H1722" s="422" t="s">
        <v>774</v>
      </c>
      <c r="I1722" s="414">
        <f>ROUND(I1721,0)</f>
        <v>8923</v>
      </c>
      <c r="J1722" s="411"/>
      <c r="K1722" s="412"/>
      <c r="L1722" s="412"/>
      <c r="M1722" s="413"/>
      <c r="N1722" s="413"/>
      <c r="O1722" s="413"/>
      <c r="P1722" s="413"/>
      <c r="Q1722" s="413"/>
      <c r="R1722" s="413"/>
      <c r="S1722" s="413"/>
      <c r="T1722" s="413"/>
      <c r="U1722" s="413"/>
      <c r="V1722" s="413"/>
      <c r="W1722" s="413"/>
      <c r="X1722" s="413"/>
      <c r="Y1722" s="413"/>
      <c r="Z1722" s="413"/>
      <c r="AA1722" s="413"/>
      <c r="AB1722" s="413"/>
      <c r="AC1722" s="413"/>
      <c r="AD1722" s="413"/>
      <c r="AE1722" s="413"/>
      <c r="AF1722" s="413"/>
      <c r="AG1722" s="413"/>
      <c r="AH1722" s="413"/>
      <c r="AI1722" s="413"/>
      <c r="AJ1722" s="413"/>
      <c r="AK1722" s="413"/>
      <c r="AL1722" s="413"/>
      <c r="AM1722" s="413"/>
      <c r="AN1722" s="413"/>
      <c r="AO1722" s="413"/>
      <c r="AP1722" s="413"/>
      <c r="AQ1722" s="413"/>
      <c r="AR1722" s="413"/>
      <c r="AS1722" s="413"/>
      <c r="AT1722" s="413"/>
      <c r="AU1722" s="413"/>
      <c r="AV1722" s="413"/>
      <c r="AW1722" s="413"/>
      <c r="AX1722" s="413"/>
      <c r="AY1722" s="413"/>
      <c r="AZ1722" s="413"/>
      <c r="BA1722" s="413"/>
      <c r="BB1722" s="413"/>
      <c r="BC1722" s="413"/>
      <c r="BD1722" s="413"/>
      <c r="BE1722" s="413"/>
      <c r="BF1722" s="413"/>
      <c r="BG1722" s="413"/>
      <c r="BH1722" s="413"/>
      <c r="BI1722" s="413"/>
      <c r="BJ1722" s="413"/>
      <c r="BK1722" s="413"/>
      <c r="BL1722" s="413"/>
    </row>
    <row r="1723" spans="1:64" ht="13">
      <c r="A1723" s="426"/>
      <c r="B1723" s="426"/>
      <c r="C1723" s="550"/>
      <c r="D1723" s="416"/>
      <c r="E1723" s="416"/>
      <c r="F1723" s="416"/>
      <c r="G1723" s="416"/>
      <c r="H1723" s="416"/>
      <c r="I1723" s="414"/>
      <c r="J1723" s="400"/>
      <c r="K1723" s="401"/>
      <c r="L1723" s="401"/>
      <c r="M1723" s="404"/>
      <c r="N1723" s="404"/>
      <c r="O1723" s="404"/>
      <c r="P1723" s="404"/>
      <c r="Q1723" s="404"/>
      <c r="R1723" s="404"/>
      <c r="S1723" s="404"/>
      <c r="T1723" s="404"/>
      <c r="U1723" s="404"/>
      <c r="V1723" s="404"/>
      <c r="W1723" s="404"/>
      <c r="X1723" s="404"/>
      <c r="Y1723" s="404"/>
      <c r="Z1723" s="404"/>
      <c r="AA1723" s="404"/>
      <c r="AB1723" s="404"/>
      <c r="AC1723" s="404"/>
      <c r="AD1723" s="404"/>
      <c r="AE1723" s="404"/>
      <c r="AF1723" s="404"/>
      <c r="AG1723" s="404"/>
      <c r="AH1723" s="404"/>
      <c r="AI1723" s="404"/>
      <c r="AJ1723" s="404"/>
      <c r="AK1723" s="404"/>
      <c r="AL1723" s="404"/>
      <c r="AM1723" s="404"/>
      <c r="AN1723" s="404"/>
      <c r="AO1723" s="404"/>
      <c r="AP1723" s="404"/>
      <c r="AQ1723" s="404"/>
      <c r="AR1723" s="404"/>
      <c r="AS1723" s="404"/>
      <c r="AT1723" s="404"/>
      <c r="AU1723" s="404"/>
      <c r="AV1723" s="404"/>
      <c r="AW1723" s="404"/>
      <c r="AX1723" s="404"/>
      <c r="AY1723" s="404"/>
      <c r="AZ1723" s="404"/>
      <c r="BA1723" s="404"/>
      <c r="BB1723" s="404"/>
      <c r="BC1723" s="404"/>
      <c r="BD1723" s="404"/>
      <c r="BE1723" s="404"/>
      <c r="BF1723" s="404"/>
      <c r="BG1723" s="404"/>
      <c r="BH1723" s="404"/>
      <c r="BI1723" s="404"/>
      <c r="BJ1723" s="404"/>
      <c r="BK1723" s="404"/>
      <c r="BL1723" s="404"/>
    </row>
    <row r="1724" spans="1:64" ht="81.400000000000006" customHeight="1">
      <c r="A1724" s="1292">
        <f>A1702+1</f>
        <v>24</v>
      </c>
      <c r="B1724" s="1292"/>
      <c r="C1724" s="1276" t="s">
        <v>1061</v>
      </c>
      <c r="D1724" s="1276"/>
      <c r="E1724" s="1276"/>
      <c r="F1724" s="1276"/>
      <c r="G1724" s="1276"/>
      <c r="H1724" s="1276"/>
      <c r="I1724" s="407"/>
      <c r="J1724" s="400"/>
      <c r="K1724" s="401"/>
      <c r="L1724" s="401"/>
      <c r="M1724" s="404"/>
      <c r="N1724" s="404"/>
      <c r="O1724" s="404"/>
      <c r="P1724" s="404"/>
      <c r="Q1724" s="404"/>
      <c r="R1724" s="404"/>
      <c r="S1724" s="404"/>
      <c r="T1724" s="404"/>
      <c r="U1724" s="404"/>
      <c r="V1724" s="404"/>
      <c r="W1724" s="404"/>
      <c r="X1724" s="404"/>
      <c r="Y1724" s="404"/>
      <c r="Z1724" s="404"/>
      <c r="AA1724" s="404"/>
      <c r="AB1724" s="404"/>
      <c r="AC1724" s="404"/>
      <c r="AD1724" s="404"/>
      <c r="AE1724" s="404"/>
      <c r="AF1724" s="404"/>
      <c r="AG1724" s="404"/>
      <c r="AH1724" s="404"/>
      <c r="AI1724" s="404"/>
      <c r="AJ1724" s="404"/>
      <c r="AK1724" s="404"/>
      <c r="AL1724" s="404"/>
      <c r="AM1724" s="404"/>
      <c r="AN1724" s="404"/>
      <c r="AO1724" s="404"/>
      <c r="AP1724" s="404"/>
      <c r="AQ1724" s="404"/>
      <c r="AR1724" s="404"/>
      <c r="AS1724" s="404"/>
      <c r="AT1724" s="404"/>
      <c r="AU1724" s="404"/>
      <c r="AV1724" s="404"/>
      <c r="AW1724" s="404"/>
      <c r="AX1724" s="404"/>
      <c r="AY1724" s="404"/>
      <c r="AZ1724" s="404"/>
      <c r="BA1724" s="404"/>
      <c r="BB1724" s="404"/>
      <c r="BC1724" s="404"/>
      <c r="BD1724" s="404"/>
      <c r="BE1724" s="404"/>
      <c r="BF1724" s="404"/>
      <c r="BG1724" s="404"/>
      <c r="BH1724" s="404"/>
      <c r="BI1724" s="404"/>
      <c r="BJ1724" s="404"/>
      <c r="BK1724" s="404"/>
      <c r="BL1724" s="404"/>
    </row>
    <row r="1725" spans="1:64" ht="13">
      <c r="A1725" s="426"/>
      <c r="B1725" s="426"/>
      <c r="C1725" s="455" t="s">
        <v>1055</v>
      </c>
      <c r="D1725" s="408"/>
      <c r="E1725" s="454"/>
      <c r="F1725" s="408"/>
      <c r="G1725" s="430"/>
      <c r="H1725" s="415"/>
      <c r="I1725" s="408"/>
      <c r="J1725" s="400"/>
      <c r="K1725" s="401"/>
      <c r="L1725" s="401"/>
      <c r="M1725" s="404"/>
      <c r="N1725" s="404"/>
      <c r="O1725" s="404"/>
      <c r="P1725" s="404"/>
      <c r="Q1725" s="404"/>
      <c r="R1725" s="404"/>
      <c r="S1725" s="404"/>
      <c r="T1725" s="404"/>
      <c r="U1725" s="404"/>
      <c r="V1725" s="404"/>
      <c r="W1725" s="404"/>
      <c r="X1725" s="404"/>
      <c r="Y1725" s="404"/>
      <c r="Z1725" s="404"/>
      <c r="AA1725" s="404"/>
      <c r="AB1725" s="404"/>
      <c r="AC1725" s="404"/>
      <c r="AD1725" s="404"/>
      <c r="AE1725" s="404"/>
      <c r="AF1725" s="404"/>
      <c r="AG1725" s="404"/>
      <c r="AH1725" s="404"/>
      <c r="AI1725" s="404"/>
      <c r="AJ1725" s="404"/>
      <c r="AK1725" s="404"/>
      <c r="AL1725" s="404"/>
      <c r="AM1725" s="404"/>
      <c r="AN1725" s="404"/>
      <c r="AO1725" s="404"/>
      <c r="AP1725" s="404"/>
      <c r="AQ1725" s="404"/>
      <c r="AR1725" s="404"/>
      <c r="AS1725" s="404"/>
      <c r="AT1725" s="404"/>
      <c r="AU1725" s="404"/>
      <c r="AV1725" s="404"/>
      <c r="AW1725" s="404"/>
      <c r="AX1725" s="404"/>
      <c r="AY1725" s="404"/>
      <c r="AZ1725" s="404"/>
      <c r="BA1725" s="404"/>
      <c r="BB1725" s="404"/>
      <c r="BC1725" s="404"/>
      <c r="BD1725" s="404"/>
      <c r="BE1725" s="404"/>
      <c r="BF1725" s="404"/>
      <c r="BG1725" s="404"/>
      <c r="BH1725" s="404"/>
      <c r="BI1725" s="404"/>
      <c r="BJ1725" s="404"/>
      <c r="BK1725" s="404"/>
      <c r="BL1725" s="404"/>
    </row>
    <row r="1726" spans="1:64" ht="13">
      <c r="A1726" s="426"/>
      <c r="B1726" s="426"/>
      <c r="C1726" s="417" t="s">
        <v>899</v>
      </c>
      <c r="D1726" s="408"/>
      <c r="E1726" s="454"/>
      <c r="F1726" s="408"/>
      <c r="G1726" s="430"/>
      <c r="H1726" s="415"/>
      <c r="I1726" s="408"/>
      <c r="J1726" s="400"/>
      <c r="K1726" s="401"/>
      <c r="L1726" s="401"/>
      <c r="M1726" s="404"/>
      <c r="N1726" s="404"/>
      <c r="O1726" s="404"/>
      <c r="P1726" s="404"/>
      <c r="Q1726" s="404"/>
      <c r="R1726" s="404"/>
      <c r="S1726" s="404"/>
      <c r="T1726" s="404"/>
      <c r="U1726" s="404"/>
      <c r="V1726" s="404"/>
      <c r="W1726" s="404"/>
      <c r="X1726" s="404"/>
      <c r="Y1726" s="404"/>
      <c r="Z1726" s="404"/>
      <c r="AA1726" s="404"/>
      <c r="AB1726" s="404"/>
      <c r="AC1726" s="404"/>
      <c r="AD1726" s="404"/>
      <c r="AE1726" s="404"/>
      <c r="AF1726" s="404"/>
      <c r="AG1726" s="404"/>
      <c r="AH1726" s="404"/>
      <c r="AI1726" s="404"/>
      <c r="AJ1726" s="404"/>
      <c r="AK1726" s="404"/>
      <c r="AL1726" s="404"/>
      <c r="AM1726" s="404"/>
      <c r="AN1726" s="404"/>
      <c r="AO1726" s="404"/>
      <c r="AP1726" s="404"/>
      <c r="AQ1726" s="404"/>
      <c r="AR1726" s="404"/>
      <c r="AS1726" s="404"/>
      <c r="AT1726" s="404"/>
      <c r="AU1726" s="404"/>
      <c r="AV1726" s="404"/>
      <c r="AW1726" s="404"/>
      <c r="AX1726" s="404"/>
      <c r="AY1726" s="404"/>
      <c r="AZ1726" s="404"/>
      <c r="BA1726" s="404"/>
      <c r="BB1726" s="404"/>
      <c r="BC1726" s="404"/>
      <c r="BD1726" s="404"/>
      <c r="BE1726" s="404"/>
      <c r="BF1726" s="404"/>
      <c r="BG1726" s="404"/>
      <c r="BH1726" s="404"/>
      <c r="BI1726" s="404"/>
      <c r="BJ1726" s="404"/>
      <c r="BK1726" s="404"/>
      <c r="BL1726" s="404"/>
    </row>
    <row r="1727" spans="1:64" ht="13">
      <c r="A1727" s="426"/>
      <c r="B1727" s="426"/>
      <c r="C1727" s="427" t="s">
        <v>873</v>
      </c>
      <c r="D1727" s="408"/>
      <c r="E1727" s="454"/>
      <c r="F1727" s="408"/>
      <c r="G1727" s="430"/>
      <c r="H1727" s="415"/>
      <c r="I1727" s="408"/>
      <c r="J1727" s="400"/>
      <c r="K1727" s="401"/>
      <c r="L1727" s="401"/>
      <c r="M1727" s="404"/>
      <c r="N1727" s="404"/>
      <c r="O1727" s="404"/>
      <c r="P1727" s="404"/>
      <c r="Q1727" s="404"/>
      <c r="R1727" s="404"/>
      <c r="S1727" s="404"/>
      <c r="T1727" s="404"/>
      <c r="U1727" s="404"/>
      <c r="V1727" s="404"/>
      <c r="W1727" s="404"/>
      <c r="X1727" s="404"/>
      <c r="Y1727" s="404"/>
      <c r="Z1727" s="404"/>
      <c r="AA1727" s="404"/>
      <c r="AB1727" s="404"/>
      <c r="AC1727" s="404"/>
      <c r="AD1727" s="404"/>
      <c r="AE1727" s="404"/>
      <c r="AF1727" s="404"/>
      <c r="AG1727" s="404"/>
      <c r="AH1727" s="404"/>
      <c r="AI1727" s="404"/>
      <c r="AJ1727" s="404"/>
      <c r="AK1727" s="404"/>
      <c r="AL1727" s="404"/>
      <c r="AM1727" s="404"/>
      <c r="AN1727" s="404"/>
      <c r="AO1727" s="404"/>
      <c r="AP1727" s="404"/>
      <c r="AQ1727" s="404"/>
      <c r="AR1727" s="404"/>
      <c r="AS1727" s="404"/>
      <c r="AT1727" s="404"/>
      <c r="AU1727" s="404"/>
      <c r="AV1727" s="404"/>
      <c r="AW1727" s="404"/>
      <c r="AX1727" s="404"/>
      <c r="AY1727" s="404"/>
      <c r="AZ1727" s="404"/>
      <c r="BA1727" s="404"/>
      <c r="BB1727" s="404"/>
      <c r="BC1727" s="404"/>
      <c r="BD1727" s="404"/>
      <c r="BE1727" s="404"/>
      <c r="BF1727" s="404"/>
      <c r="BG1727" s="404"/>
      <c r="BH1727" s="404"/>
      <c r="BI1727" s="404"/>
      <c r="BJ1727" s="404"/>
      <c r="BK1727" s="404"/>
      <c r="BL1727" s="404"/>
    </row>
    <row r="1728" spans="1:64">
      <c r="A1728" s="406"/>
      <c r="B1728" s="406"/>
      <c r="C1728" s="417" t="s">
        <v>504</v>
      </c>
      <c r="D1728" s="459">
        <v>36</v>
      </c>
      <c r="E1728" s="459" t="s">
        <v>833</v>
      </c>
      <c r="F1728" s="459">
        <f>[161]LEAD!$N$6</f>
        <v>5200</v>
      </c>
      <c r="G1728" s="460">
        <v>1000</v>
      </c>
      <c r="H1728" s="599" t="str">
        <f t="shared" ref="H1728:H1730" si="410">IF(E1728="","",IF(E1728="No.","Each",IF(E1728="Nos.","Each",E1728)))</f>
        <v>Kgs</v>
      </c>
      <c r="I1728" s="459">
        <f t="shared" ref="I1728:I1730" si="411">IF(G1728="",D1728*F1728,(D1728*F1728/G1728))</f>
        <v>187.2</v>
      </c>
      <c r="J1728" s="462"/>
      <c r="K1728" s="463"/>
      <c r="L1728" s="463"/>
      <c r="M1728" s="464"/>
      <c r="N1728" s="464"/>
      <c r="O1728" s="464"/>
      <c r="P1728" s="464"/>
      <c r="Q1728" s="464"/>
      <c r="R1728" s="464"/>
      <c r="S1728" s="464"/>
      <c r="T1728" s="464"/>
      <c r="U1728" s="464"/>
      <c r="V1728" s="464"/>
      <c r="W1728" s="464"/>
      <c r="X1728" s="464"/>
      <c r="Y1728" s="464"/>
      <c r="Z1728" s="464"/>
      <c r="AA1728" s="464"/>
      <c r="AB1728" s="464"/>
      <c r="AC1728" s="464"/>
      <c r="AD1728" s="464"/>
      <c r="AE1728" s="464"/>
      <c r="AF1728" s="464"/>
      <c r="AG1728" s="464"/>
      <c r="AH1728" s="464"/>
      <c r="AI1728" s="464"/>
      <c r="AJ1728" s="464"/>
      <c r="AK1728" s="464"/>
      <c r="AL1728" s="464"/>
      <c r="AM1728" s="464"/>
      <c r="AN1728" s="464"/>
      <c r="AO1728" s="464"/>
      <c r="AP1728" s="464"/>
      <c r="AQ1728" s="464"/>
      <c r="AR1728" s="464"/>
      <c r="AS1728" s="464"/>
      <c r="AT1728" s="464"/>
      <c r="AU1728" s="464"/>
      <c r="AV1728" s="464"/>
      <c r="AW1728" s="464"/>
      <c r="AX1728" s="464"/>
      <c r="AY1728" s="464"/>
      <c r="AZ1728" s="464"/>
      <c r="BA1728" s="464"/>
      <c r="BB1728" s="464"/>
      <c r="BC1728" s="464"/>
      <c r="BD1728" s="464"/>
      <c r="BE1728" s="464"/>
      <c r="BF1728" s="464"/>
      <c r="BG1728" s="464"/>
      <c r="BH1728" s="464"/>
      <c r="BI1728" s="464"/>
      <c r="BJ1728" s="464"/>
      <c r="BK1728" s="464"/>
      <c r="BL1728" s="464"/>
    </row>
    <row r="1729" spans="1:64">
      <c r="A1729" s="406"/>
      <c r="B1729" s="406"/>
      <c r="C1729" s="417" t="s">
        <v>1056</v>
      </c>
      <c r="D1729" s="460">
        <v>512</v>
      </c>
      <c r="E1729" s="459" t="s">
        <v>14</v>
      </c>
      <c r="F1729" s="459">
        <f>[161]LEAD!$N$15</f>
        <v>9136.41</v>
      </c>
      <c r="G1729" s="460">
        <v>1000</v>
      </c>
      <c r="H1729" s="599" t="str">
        <f t="shared" si="410"/>
        <v>Nos</v>
      </c>
      <c r="I1729" s="459">
        <f t="shared" si="411"/>
        <v>4677.8419199999998</v>
      </c>
      <c r="J1729" s="462"/>
      <c r="K1729" s="463"/>
      <c r="L1729" s="463"/>
      <c r="M1729" s="464"/>
      <c r="N1729" s="464"/>
      <c r="O1729" s="464"/>
      <c r="P1729" s="464"/>
      <c r="Q1729" s="464"/>
      <c r="R1729" s="464"/>
      <c r="S1729" s="464"/>
      <c r="T1729" s="464"/>
      <c r="U1729" s="464"/>
      <c r="V1729" s="464"/>
      <c r="W1729" s="464"/>
      <c r="X1729" s="464"/>
      <c r="Y1729" s="464"/>
      <c r="Z1729" s="464"/>
      <c r="AA1729" s="464"/>
      <c r="AB1729" s="464"/>
      <c r="AC1729" s="464"/>
      <c r="AD1729" s="464"/>
      <c r="AE1729" s="464"/>
      <c r="AF1729" s="464"/>
      <c r="AG1729" s="464"/>
      <c r="AH1729" s="464"/>
      <c r="AI1729" s="464"/>
      <c r="AJ1729" s="464"/>
      <c r="AK1729" s="464"/>
      <c r="AL1729" s="464"/>
      <c r="AM1729" s="464"/>
      <c r="AN1729" s="464"/>
      <c r="AO1729" s="464"/>
      <c r="AP1729" s="464"/>
      <c r="AQ1729" s="464"/>
      <c r="AR1729" s="464"/>
      <c r="AS1729" s="464"/>
      <c r="AT1729" s="464"/>
      <c r="AU1729" s="464"/>
      <c r="AV1729" s="464"/>
      <c r="AW1729" s="464"/>
      <c r="AX1729" s="464"/>
      <c r="AY1729" s="464"/>
      <c r="AZ1729" s="464"/>
      <c r="BA1729" s="464"/>
      <c r="BB1729" s="464"/>
      <c r="BC1729" s="464"/>
      <c r="BD1729" s="464"/>
      <c r="BE1729" s="464"/>
      <c r="BF1729" s="464"/>
      <c r="BG1729" s="464"/>
      <c r="BH1729" s="464"/>
      <c r="BI1729" s="464"/>
      <c r="BJ1729" s="464"/>
      <c r="BK1729" s="464"/>
      <c r="BL1729" s="464"/>
    </row>
    <row r="1730" spans="1:64">
      <c r="A1730" s="406"/>
      <c r="B1730" s="406"/>
      <c r="C1730" s="417" t="s">
        <v>875</v>
      </c>
      <c r="D1730" s="459">
        <v>0.2</v>
      </c>
      <c r="E1730" s="459" t="s">
        <v>1062</v>
      </c>
      <c r="F1730" s="459">
        <f>[161]LEAD!$N$13</f>
        <v>2453.91</v>
      </c>
      <c r="G1730" s="460">
        <v>1</v>
      </c>
      <c r="H1730" s="599" t="str">
        <f t="shared" si="410"/>
        <v>cu.m.</v>
      </c>
      <c r="I1730" s="459">
        <f t="shared" si="411"/>
        <v>490.78199999999998</v>
      </c>
      <c r="J1730" s="462"/>
      <c r="K1730" s="463"/>
      <c r="L1730" s="463"/>
      <c r="M1730" s="464"/>
      <c r="N1730" s="464"/>
      <c r="O1730" s="464"/>
      <c r="P1730" s="464"/>
      <c r="Q1730" s="464"/>
      <c r="R1730" s="464"/>
      <c r="S1730" s="464"/>
      <c r="T1730" s="464"/>
      <c r="U1730" s="464"/>
      <c r="V1730" s="464"/>
      <c r="W1730" s="464"/>
      <c r="X1730" s="464"/>
      <c r="Y1730" s="464"/>
      <c r="Z1730" s="464"/>
      <c r="AA1730" s="464"/>
      <c r="AB1730" s="464"/>
      <c r="AC1730" s="464"/>
      <c r="AD1730" s="464"/>
      <c r="AE1730" s="464"/>
      <c r="AF1730" s="464"/>
      <c r="AG1730" s="464"/>
      <c r="AH1730" s="464"/>
      <c r="AI1730" s="464"/>
      <c r="AJ1730" s="464"/>
      <c r="AK1730" s="464"/>
      <c r="AL1730" s="464"/>
      <c r="AM1730" s="464"/>
      <c r="AN1730" s="464"/>
      <c r="AO1730" s="464"/>
      <c r="AP1730" s="464"/>
      <c r="AQ1730" s="464"/>
      <c r="AR1730" s="464"/>
      <c r="AS1730" s="464"/>
      <c r="AT1730" s="464"/>
      <c r="AU1730" s="464"/>
      <c r="AV1730" s="464"/>
      <c r="AW1730" s="464"/>
      <c r="AX1730" s="464"/>
      <c r="AY1730" s="464"/>
      <c r="AZ1730" s="464"/>
      <c r="BA1730" s="464"/>
      <c r="BB1730" s="464"/>
      <c r="BC1730" s="464"/>
      <c r="BD1730" s="464"/>
      <c r="BE1730" s="464"/>
      <c r="BF1730" s="464"/>
      <c r="BG1730" s="464"/>
      <c r="BH1730" s="464"/>
      <c r="BI1730" s="464"/>
      <c r="BJ1730" s="464"/>
      <c r="BK1730" s="464"/>
      <c r="BL1730" s="464"/>
    </row>
    <row r="1731" spans="1:64" ht="13">
      <c r="A1731" s="406"/>
      <c r="B1731" s="406"/>
      <c r="C1731" s="427" t="s">
        <v>911</v>
      </c>
      <c r="D1731" s="459"/>
      <c r="E1731" s="459"/>
      <c r="F1731" s="459"/>
      <c r="G1731" s="460"/>
      <c r="H1731" s="599"/>
      <c r="I1731" s="459"/>
      <c r="J1731" s="462"/>
      <c r="K1731" s="463"/>
      <c r="L1731" s="463"/>
      <c r="M1731" s="464"/>
      <c r="N1731" s="464"/>
      <c r="O1731" s="464"/>
      <c r="P1731" s="464"/>
      <c r="Q1731" s="464"/>
      <c r="R1731" s="464"/>
      <c r="S1731" s="464"/>
      <c r="T1731" s="464"/>
      <c r="U1731" s="464"/>
      <c r="V1731" s="464"/>
      <c r="W1731" s="464"/>
      <c r="X1731" s="464"/>
      <c r="Y1731" s="464"/>
      <c r="Z1731" s="464"/>
      <c r="AA1731" s="464"/>
      <c r="AB1731" s="464"/>
      <c r="AC1731" s="464"/>
      <c r="AD1731" s="464"/>
      <c r="AE1731" s="464"/>
      <c r="AF1731" s="464"/>
      <c r="AG1731" s="464"/>
      <c r="AH1731" s="464"/>
      <c r="AI1731" s="464"/>
      <c r="AJ1731" s="464"/>
      <c r="AK1731" s="464"/>
      <c r="AL1731" s="464"/>
      <c r="AM1731" s="464"/>
      <c r="AN1731" s="464"/>
      <c r="AO1731" s="464"/>
      <c r="AP1731" s="464"/>
      <c r="AQ1731" s="464"/>
      <c r="AR1731" s="464"/>
      <c r="AS1731" s="464"/>
      <c r="AT1731" s="464"/>
      <c r="AU1731" s="464"/>
      <c r="AV1731" s="464"/>
      <c r="AW1731" s="464"/>
      <c r="AX1731" s="464"/>
      <c r="AY1731" s="464"/>
      <c r="AZ1731" s="464"/>
      <c r="BA1731" s="464"/>
      <c r="BB1731" s="464"/>
      <c r="BC1731" s="464"/>
      <c r="BD1731" s="464"/>
      <c r="BE1731" s="464"/>
      <c r="BF1731" s="464"/>
      <c r="BG1731" s="464"/>
      <c r="BH1731" s="464"/>
      <c r="BI1731" s="464"/>
      <c r="BJ1731" s="464"/>
      <c r="BK1731" s="464"/>
      <c r="BL1731" s="464"/>
    </row>
    <row r="1732" spans="1:64">
      <c r="A1732" s="406"/>
      <c r="B1732" s="406"/>
      <c r="C1732" s="417" t="s">
        <v>881</v>
      </c>
      <c r="D1732" s="459">
        <v>0.24</v>
      </c>
      <c r="E1732" s="459" t="s">
        <v>375</v>
      </c>
      <c r="F1732" s="459">
        <f>'[161]Civil-SOR'!$G$293</f>
        <v>580</v>
      </c>
      <c r="G1732" s="460">
        <v>1</v>
      </c>
      <c r="H1732" s="599" t="str">
        <f t="shared" ref="H1732:H1734" si="412">IF(E1732="","",IF(E1732="No.","Each",IF(E1732="Nos.","Each",E1732)))</f>
        <v>Each</v>
      </c>
      <c r="I1732" s="459">
        <f t="shared" ref="I1732:I1736" si="413">IF(G1732="",D1732*F1732,(D1732*F1732/G1732))</f>
        <v>139.19999999999999</v>
      </c>
      <c r="J1732" s="462"/>
      <c r="K1732" s="463"/>
      <c r="L1732" s="463"/>
      <c r="M1732" s="464"/>
      <c r="N1732" s="464"/>
      <c r="O1732" s="464"/>
      <c r="P1732" s="464"/>
      <c r="Q1732" s="464"/>
      <c r="R1732" s="464"/>
      <c r="S1732" s="464"/>
      <c r="T1732" s="464"/>
      <c r="U1732" s="464"/>
      <c r="V1732" s="464"/>
      <c r="W1732" s="464"/>
      <c r="X1732" s="464"/>
      <c r="Y1732" s="464"/>
      <c r="Z1732" s="464"/>
      <c r="AA1732" s="464"/>
      <c r="AB1732" s="464"/>
      <c r="AC1732" s="464"/>
      <c r="AD1732" s="464"/>
      <c r="AE1732" s="464"/>
      <c r="AF1732" s="464"/>
      <c r="AG1732" s="464"/>
      <c r="AH1732" s="464"/>
      <c r="AI1732" s="464"/>
      <c r="AJ1732" s="464"/>
      <c r="AK1732" s="464"/>
      <c r="AL1732" s="464"/>
      <c r="AM1732" s="464"/>
      <c r="AN1732" s="464"/>
      <c r="AO1732" s="464"/>
      <c r="AP1732" s="464"/>
      <c r="AQ1732" s="464"/>
      <c r="AR1732" s="464"/>
      <c r="AS1732" s="464"/>
      <c r="AT1732" s="464"/>
      <c r="AU1732" s="464"/>
      <c r="AV1732" s="464"/>
      <c r="AW1732" s="464"/>
      <c r="AX1732" s="464"/>
      <c r="AY1732" s="464"/>
      <c r="AZ1732" s="464"/>
      <c r="BA1732" s="464"/>
      <c r="BB1732" s="464"/>
      <c r="BC1732" s="464"/>
      <c r="BD1732" s="464"/>
      <c r="BE1732" s="464"/>
      <c r="BF1732" s="464"/>
      <c r="BG1732" s="464"/>
      <c r="BH1732" s="464"/>
      <c r="BI1732" s="464"/>
      <c r="BJ1732" s="464"/>
      <c r="BK1732" s="464"/>
      <c r="BL1732" s="464"/>
    </row>
    <row r="1733" spans="1:64">
      <c r="A1733" s="406"/>
      <c r="B1733" s="406"/>
      <c r="C1733" s="417" t="s">
        <v>771</v>
      </c>
      <c r="D1733" s="459">
        <v>0.56000000000000005</v>
      </c>
      <c r="E1733" s="459" t="s">
        <v>375</v>
      </c>
      <c r="F1733" s="459">
        <f>'[161]Civil-SOR'!$G$302</f>
        <v>550</v>
      </c>
      <c r="G1733" s="460">
        <v>1</v>
      </c>
      <c r="H1733" s="599" t="str">
        <f t="shared" si="412"/>
        <v>Each</v>
      </c>
      <c r="I1733" s="459">
        <f t="shared" si="413"/>
        <v>308.00000000000006</v>
      </c>
      <c r="J1733" s="462"/>
      <c r="K1733" s="463"/>
      <c r="L1733" s="463"/>
      <c r="M1733" s="464"/>
      <c r="N1733" s="464"/>
      <c r="O1733" s="464"/>
      <c r="P1733" s="464"/>
      <c r="Q1733" s="464"/>
      <c r="R1733" s="464"/>
      <c r="S1733" s="464"/>
      <c r="T1733" s="464"/>
      <c r="U1733" s="464"/>
      <c r="V1733" s="464"/>
      <c r="W1733" s="464"/>
      <c r="X1733" s="464"/>
      <c r="Y1733" s="464"/>
      <c r="Z1733" s="464"/>
      <c r="AA1733" s="464"/>
      <c r="AB1733" s="464"/>
      <c r="AC1733" s="464"/>
      <c r="AD1733" s="464"/>
      <c r="AE1733" s="464"/>
      <c r="AF1733" s="464"/>
      <c r="AG1733" s="464"/>
      <c r="AH1733" s="464"/>
      <c r="AI1733" s="464"/>
      <c r="AJ1733" s="464"/>
      <c r="AK1733" s="464"/>
      <c r="AL1733" s="464"/>
      <c r="AM1733" s="464"/>
      <c r="AN1733" s="464"/>
      <c r="AO1733" s="464"/>
      <c r="AP1733" s="464"/>
      <c r="AQ1733" s="464"/>
      <c r="AR1733" s="464"/>
      <c r="AS1733" s="464"/>
      <c r="AT1733" s="464"/>
      <c r="AU1733" s="464"/>
      <c r="AV1733" s="464"/>
      <c r="AW1733" s="464"/>
      <c r="AX1733" s="464"/>
      <c r="AY1733" s="464"/>
      <c r="AZ1733" s="464"/>
      <c r="BA1733" s="464"/>
      <c r="BB1733" s="464"/>
      <c r="BC1733" s="464"/>
      <c r="BD1733" s="464"/>
      <c r="BE1733" s="464"/>
      <c r="BF1733" s="464"/>
      <c r="BG1733" s="464"/>
      <c r="BH1733" s="464"/>
      <c r="BI1733" s="464"/>
      <c r="BJ1733" s="464"/>
      <c r="BK1733" s="464"/>
      <c r="BL1733" s="464"/>
    </row>
    <row r="1734" spans="1:64">
      <c r="A1734" s="406"/>
      <c r="B1734" s="406"/>
      <c r="C1734" s="417" t="s">
        <v>903</v>
      </c>
      <c r="D1734" s="459">
        <v>1.89</v>
      </c>
      <c r="E1734" s="459" t="s">
        <v>375</v>
      </c>
      <c r="F1734" s="459">
        <f>'[161]Civil-SOR'!$G$307</f>
        <v>520</v>
      </c>
      <c r="G1734" s="460">
        <v>1</v>
      </c>
      <c r="H1734" s="599" t="str">
        <f t="shared" si="412"/>
        <v>Each</v>
      </c>
      <c r="I1734" s="459">
        <f t="shared" si="413"/>
        <v>982.8</v>
      </c>
      <c r="J1734" s="462"/>
      <c r="K1734" s="463"/>
      <c r="L1734" s="463"/>
      <c r="M1734" s="464"/>
      <c r="N1734" s="464"/>
      <c r="O1734" s="464"/>
      <c r="P1734" s="464"/>
      <c r="Q1734" s="464"/>
      <c r="R1734" s="464"/>
      <c r="S1734" s="464"/>
      <c r="T1734" s="464"/>
      <c r="U1734" s="464"/>
      <c r="V1734" s="464"/>
      <c r="W1734" s="464"/>
      <c r="X1734" s="464"/>
      <c r="Y1734" s="464"/>
      <c r="Z1734" s="464"/>
      <c r="AA1734" s="464"/>
      <c r="AB1734" s="464"/>
      <c r="AC1734" s="464"/>
      <c r="AD1734" s="464"/>
      <c r="AE1734" s="464"/>
      <c r="AF1734" s="464"/>
      <c r="AG1734" s="464"/>
      <c r="AH1734" s="464"/>
      <c r="AI1734" s="464"/>
      <c r="AJ1734" s="464"/>
      <c r="AK1734" s="464"/>
      <c r="AL1734" s="464"/>
      <c r="AM1734" s="464"/>
      <c r="AN1734" s="464"/>
      <c r="AO1734" s="464"/>
      <c r="AP1734" s="464"/>
      <c r="AQ1734" s="464"/>
      <c r="AR1734" s="464"/>
      <c r="AS1734" s="464"/>
      <c r="AT1734" s="464"/>
      <c r="AU1734" s="464"/>
      <c r="AV1734" s="464"/>
      <c r="AW1734" s="464"/>
      <c r="AX1734" s="464"/>
      <c r="AY1734" s="464"/>
      <c r="AZ1734" s="464"/>
      <c r="BA1734" s="464"/>
      <c r="BB1734" s="464"/>
      <c r="BC1734" s="464"/>
      <c r="BD1734" s="464"/>
      <c r="BE1734" s="464"/>
      <c r="BF1734" s="464"/>
      <c r="BG1734" s="464"/>
      <c r="BH1734" s="464"/>
      <c r="BI1734" s="464"/>
      <c r="BJ1734" s="464"/>
      <c r="BK1734" s="464"/>
      <c r="BL1734" s="464"/>
    </row>
    <row r="1735" spans="1:64">
      <c r="A1735" s="406"/>
      <c r="B1735" s="406"/>
      <c r="C1735" s="417" t="str">
        <f>[161]Input!$C$47</f>
        <v>Add for MA @ 40%</v>
      </c>
      <c r="D1735" s="622">
        <f>[161]Input!$D$47</f>
        <v>0.4</v>
      </c>
      <c r="E1735" s="458"/>
      <c r="F1735" s="459">
        <f>SUM(I1732:I1734)</f>
        <v>1430</v>
      </c>
      <c r="G1735" s="431"/>
      <c r="H1735" s="406"/>
      <c r="I1735" s="459">
        <f t="shared" si="413"/>
        <v>572</v>
      </c>
      <c r="J1735" s="462"/>
      <c r="K1735" s="463"/>
      <c r="L1735" s="463"/>
      <c r="M1735" s="464"/>
      <c r="N1735" s="464"/>
      <c r="O1735" s="464"/>
      <c r="P1735" s="464"/>
      <c r="Q1735" s="464"/>
      <c r="R1735" s="464"/>
      <c r="S1735" s="464"/>
      <c r="T1735" s="464"/>
      <c r="U1735" s="464"/>
      <c r="V1735" s="464"/>
      <c r="W1735" s="464"/>
      <c r="X1735" s="464"/>
      <c r="Y1735" s="464"/>
      <c r="Z1735" s="464"/>
      <c r="AA1735" s="464"/>
      <c r="AB1735" s="464"/>
      <c r="AC1735" s="464"/>
      <c r="AD1735" s="464"/>
      <c r="AE1735" s="464"/>
      <c r="AF1735" s="464"/>
      <c r="AG1735" s="464"/>
      <c r="AH1735" s="464"/>
      <c r="AI1735" s="464"/>
      <c r="AJ1735" s="464"/>
      <c r="AK1735" s="464"/>
      <c r="AL1735" s="464"/>
      <c r="AM1735" s="464"/>
      <c r="AN1735" s="464"/>
      <c r="AO1735" s="464"/>
      <c r="AP1735" s="464"/>
      <c r="AQ1735" s="464"/>
      <c r="AR1735" s="464"/>
      <c r="AS1735" s="464"/>
      <c r="AT1735" s="464"/>
      <c r="AU1735" s="464"/>
      <c r="AV1735" s="464"/>
      <c r="AW1735" s="464"/>
      <c r="AX1735" s="464"/>
      <c r="AY1735" s="464"/>
      <c r="AZ1735" s="464"/>
      <c r="BA1735" s="464"/>
      <c r="BB1735" s="464"/>
      <c r="BC1735" s="464"/>
      <c r="BD1735" s="464"/>
      <c r="BE1735" s="464"/>
      <c r="BF1735" s="464"/>
      <c r="BG1735" s="464"/>
      <c r="BH1735" s="464"/>
      <c r="BI1735" s="464"/>
      <c r="BJ1735" s="464"/>
      <c r="BK1735" s="464"/>
      <c r="BL1735" s="464"/>
    </row>
    <row r="1736" spans="1:64">
      <c r="A1736" s="406"/>
      <c r="B1736" s="406"/>
      <c r="C1736" s="417" t="s">
        <v>1058</v>
      </c>
      <c r="D1736" s="459">
        <v>0.01</v>
      </c>
      <c r="E1736" s="459"/>
      <c r="F1736" s="459">
        <f>SUM(I1728:I1735)</f>
        <v>7357.8239199999998</v>
      </c>
      <c r="G1736" s="460"/>
      <c r="H1736" s="599"/>
      <c r="I1736" s="459">
        <f t="shared" si="413"/>
        <v>73.578239199999999</v>
      </c>
      <c r="J1736" s="462"/>
      <c r="K1736" s="463"/>
      <c r="L1736" s="463"/>
      <c r="M1736" s="464"/>
      <c r="N1736" s="464"/>
      <c r="O1736" s="464"/>
      <c r="P1736" s="464"/>
      <c r="Q1736" s="464"/>
      <c r="R1736" s="464"/>
      <c r="S1736" s="464"/>
      <c r="T1736" s="464"/>
      <c r="U1736" s="464"/>
      <c r="V1736" s="464"/>
      <c r="W1736" s="464"/>
      <c r="X1736" s="464"/>
      <c r="Y1736" s="464"/>
      <c r="Z1736" s="464"/>
      <c r="AA1736" s="464"/>
      <c r="AB1736" s="464"/>
      <c r="AC1736" s="464"/>
      <c r="AD1736" s="464"/>
      <c r="AE1736" s="464"/>
      <c r="AF1736" s="464"/>
      <c r="AG1736" s="464"/>
      <c r="AH1736" s="464"/>
      <c r="AI1736" s="464"/>
      <c r="AJ1736" s="464"/>
      <c r="AK1736" s="464"/>
      <c r="AL1736" s="464"/>
      <c r="AM1736" s="464"/>
      <c r="AN1736" s="464"/>
      <c r="AO1736" s="464"/>
      <c r="AP1736" s="464"/>
      <c r="AQ1736" s="464"/>
      <c r="AR1736" s="464"/>
      <c r="AS1736" s="464"/>
      <c r="AT1736" s="464"/>
      <c r="AU1736" s="464"/>
      <c r="AV1736" s="464"/>
      <c r="AW1736" s="464"/>
      <c r="AX1736" s="464"/>
      <c r="AY1736" s="464"/>
      <c r="AZ1736" s="464"/>
      <c r="BA1736" s="464"/>
      <c r="BB1736" s="464"/>
      <c r="BC1736" s="464"/>
      <c r="BD1736" s="464"/>
      <c r="BE1736" s="464"/>
      <c r="BF1736" s="464"/>
      <c r="BG1736" s="464"/>
      <c r="BH1736" s="464"/>
      <c r="BI1736" s="464"/>
      <c r="BJ1736" s="464"/>
      <c r="BK1736" s="464"/>
      <c r="BL1736" s="464"/>
    </row>
    <row r="1737" spans="1:64" ht="13">
      <c r="A1737" s="426"/>
      <c r="B1737" s="426"/>
      <c r="C1737" s="481" t="s">
        <v>724</v>
      </c>
      <c r="D1737" s="408"/>
      <c r="E1737" s="408"/>
      <c r="F1737" s="408"/>
      <c r="G1737" s="430"/>
      <c r="H1737" s="415"/>
      <c r="I1737" s="414">
        <f>SUM(I1728:I1736)</f>
        <v>7431.4021591999999</v>
      </c>
      <c r="J1737" s="411"/>
      <c r="K1737" s="412"/>
      <c r="L1737" s="412"/>
      <c r="M1737" s="413"/>
      <c r="N1737" s="413"/>
      <c r="O1737" s="413"/>
      <c r="P1737" s="413"/>
      <c r="Q1737" s="413"/>
      <c r="R1737" s="413"/>
      <c r="S1737" s="413"/>
      <c r="T1737" s="413"/>
      <c r="U1737" s="413"/>
      <c r="V1737" s="413"/>
      <c r="W1737" s="413"/>
      <c r="X1737" s="413"/>
      <c r="Y1737" s="413"/>
      <c r="Z1737" s="413"/>
      <c r="AA1737" s="413"/>
      <c r="AB1737" s="413"/>
      <c r="AC1737" s="413"/>
      <c r="AD1737" s="413"/>
      <c r="AE1737" s="413"/>
      <c r="AF1737" s="413"/>
      <c r="AG1737" s="413"/>
      <c r="AH1737" s="413"/>
      <c r="AI1737" s="413"/>
      <c r="AJ1737" s="413"/>
      <c r="AK1737" s="413"/>
      <c r="AL1737" s="413"/>
      <c r="AM1737" s="413"/>
      <c r="AN1737" s="413"/>
      <c r="AO1737" s="413"/>
      <c r="AP1737" s="413"/>
      <c r="AQ1737" s="413"/>
      <c r="AR1737" s="413"/>
      <c r="AS1737" s="413"/>
      <c r="AT1737" s="413"/>
      <c r="AU1737" s="413"/>
      <c r="AV1737" s="413"/>
      <c r="AW1737" s="413"/>
      <c r="AX1737" s="413"/>
      <c r="AY1737" s="413"/>
      <c r="AZ1737" s="413"/>
      <c r="BA1737" s="413"/>
      <c r="BB1737" s="413"/>
      <c r="BC1737" s="413"/>
      <c r="BD1737" s="413"/>
      <c r="BE1737" s="413"/>
      <c r="BF1737" s="413"/>
      <c r="BG1737" s="413"/>
      <c r="BH1737" s="413"/>
      <c r="BI1737" s="413"/>
      <c r="BJ1737" s="413"/>
      <c r="BK1737" s="413"/>
      <c r="BL1737" s="413"/>
    </row>
    <row r="1738" spans="1:64" ht="13">
      <c r="A1738" s="426"/>
      <c r="B1738" s="426"/>
      <c r="C1738" s="427"/>
      <c r="D1738" s="408"/>
      <c r="E1738" s="408"/>
      <c r="F1738" s="408"/>
      <c r="G1738" s="430"/>
      <c r="H1738" s="415"/>
      <c r="I1738" s="414"/>
      <c r="J1738" s="400"/>
      <c r="K1738" s="401"/>
      <c r="L1738" s="401"/>
      <c r="M1738" s="404"/>
      <c r="N1738" s="404"/>
      <c r="O1738" s="404"/>
      <c r="P1738" s="404"/>
      <c r="Q1738" s="404"/>
      <c r="R1738" s="404"/>
      <c r="S1738" s="404"/>
      <c r="T1738" s="404"/>
      <c r="U1738" s="404"/>
      <c r="V1738" s="404"/>
      <c r="W1738" s="404"/>
      <c r="X1738" s="404"/>
      <c r="Y1738" s="404"/>
      <c r="Z1738" s="404"/>
      <c r="AA1738" s="404"/>
      <c r="AB1738" s="404"/>
      <c r="AC1738" s="404"/>
      <c r="AD1738" s="404"/>
      <c r="AE1738" s="404"/>
      <c r="AF1738" s="404"/>
      <c r="AG1738" s="404"/>
      <c r="AH1738" s="404"/>
      <c r="AI1738" s="404"/>
      <c r="AJ1738" s="404"/>
      <c r="AK1738" s="404"/>
      <c r="AL1738" s="404"/>
      <c r="AM1738" s="404"/>
      <c r="AN1738" s="404"/>
      <c r="AO1738" s="404"/>
      <c r="AP1738" s="404"/>
      <c r="AQ1738" s="404"/>
      <c r="AR1738" s="404"/>
      <c r="AS1738" s="404"/>
      <c r="AT1738" s="404"/>
      <c r="AU1738" s="404"/>
      <c r="AV1738" s="404"/>
      <c r="AW1738" s="404"/>
      <c r="AX1738" s="404"/>
      <c r="AY1738" s="404"/>
      <c r="AZ1738" s="404"/>
      <c r="BA1738" s="404"/>
      <c r="BB1738" s="404"/>
      <c r="BC1738" s="404"/>
      <c r="BD1738" s="404"/>
      <c r="BE1738" s="404"/>
      <c r="BF1738" s="404"/>
      <c r="BG1738" s="404"/>
      <c r="BH1738" s="404"/>
      <c r="BI1738" s="404"/>
      <c r="BJ1738" s="404"/>
      <c r="BK1738" s="404"/>
      <c r="BL1738" s="404"/>
    </row>
    <row r="1739" spans="1:64" ht="13">
      <c r="A1739" s="426"/>
      <c r="B1739" s="426" t="s">
        <v>720</v>
      </c>
      <c r="C1739" s="427" t="s">
        <v>1063</v>
      </c>
      <c r="D1739" s="408"/>
      <c r="E1739" s="408"/>
      <c r="F1739" s="408"/>
      <c r="G1739" s="430"/>
      <c r="H1739" s="415"/>
      <c r="I1739" s="414"/>
      <c r="J1739" s="400"/>
      <c r="K1739" s="401"/>
      <c r="L1739" s="401"/>
      <c r="M1739" s="404"/>
      <c r="N1739" s="404"/>
      <c r="O1739" s="404"/>
      <c r="P1739" s="404"/>
      <c r="Q1739" s="404"/>
      <c r="R1739" s="404"/>
      <c r="S1739" s="404"/>
      <c r="T1739" s="404"/>
      <c r="U1739" s="404"/>
      <c r="V1739" s="404"/>
      <c r="W1739" s="404"/>
      <c r="X1739" s="404"/>
      <c r="Y1739" s="404"/>
      <c r="Z1739" s="404"/>
      <c r="AA1739" s="404"/>
      <c r="AB1739" s="404"/>
      <c r="AC1739" s="404"/>
      <c r="AD1739" s="404"/>
      <c r="AE1739" s="404"/>
      <c r="AF1739" s="404"/>
      <c r="AG1739" s="404"/>
      <c r="AH1739" s="404"/>
      <c r="AI1739" s="404"/>
      <c r="AJ1739" s="404"/>
      <c r="AK1739" s="404"/>
      <c r="AL1739" s="404"/>
      <c r="AM1739" s="404"/>
      <c r="AN1739" s="404"/>
      <c r="AO1739" s="404"/>
      <c r="AP1739" s="404"/>
      <c r="AQ1739" s="404"/>
      <c r="AR1739" s="404"/>
      <c r="AS1739" s="404"/>
      <c r="AT1739" s="404"/>
      <c r="AU1739" s="404"/>
      <c r="AV1739" s="404"/>
      <c r="AW1739" s="404"/>
      <c r="AX1739" s="404"/>
      <c r="AY1739" s="404"/>
      <c r="AZ1739" s="404"/>
      <c r="BA1739" s="404"/>
      <c r="BB1739" s="404"/>
      <c r="BC1739" s="404"/>
      <c r="BD1739" s="404"/>
      <c r="BE1739" s="404"/>
      <c r="BF1739" s="404"/>
      <c r="BG1739" s="404"/>
      <c r="BH1739" s="404"/>
      <c r="BI1739" s="404"/>
      <c r="BJ1739" s="404"/>
      <c r="BK1739" s="404"/>
      <c r="BL1739" s="404"/>
    </row>
    <row r="1740" spans="1:64" ht="13">
      <c r="A1740" s="426"/>
      <c r="B1740" s="426"/>
      <c r="C1740" s="417" t="s">
        <v>1064</v>
      </c>
      <c r="D1740" s="408">
        <v>1</v>
      </c>
      <c r="E1740" s="408" t="s">
        <v>57</v>
      </c>
      <c r="F1740" s="408">
        <f>$I$1737</f>
        <v>7431.4021591999999</v>
      </c>
      <c r="G1740" s="430">
        <v>1</v>
      </c>
      <c r="H1740" s="415" t="s">
        <v>57</v>
      </c>
      <c r="I1740" s="408">
        <f t="shared" ref="I1740:I1741" si="414">IF(G1740="",D1740*F1740,(D1740*F1740/G1740))</f>
        <v>7431.4021591999999</v>
      </c>
      <c r="J1740" s="400"/>
      <c r="K1740" s="401"/>
      <c r="L1740" s="401"/>
      <c r="M1740" s="404"/>
      <c r="N1740" s="404"/>
      <c r="O1740" s="404"/>
      <c r="P1740" s="404"/>
      <c r="Q1740" s="404"/>
      <c r="R1740" s="404"/>
      <c r="S1740" s="404"/>
      <c r="T1740" s="404"/>
      <c r="U1740" s="404"/>
      <c r="V1740" s="404"/>
      <c r="W1740" s="404"/>
      <c r="X1740" s="404"/>
      <c r="Y1740" s="404"/>
      <c r="Z1740" s="404"/>
      <c r="AA1740" s="404"/>
      <c r="AB1740" s="404"/>
      <c r="AC1740" s="404"/>
      <c r="AD1740" s="404"/>
      <c r="AE1740" s="404"/>
      <c r="AF1740" s="404"/>
      <c r="AG1740" s="404"/>
      <c r="AH1740" s="404"/>
      <c r="AI1740" s="404"/>
      <c r="AJ1740" s="404"/>
      <c r="AK1740" s="404"/>
      <c r="AL1740" s="404"/>
      <c r="AM1740" s="404"/>
      <c r="AN1740" s="404"/>
      <c r="AO1740" s="404"/>
      <c r="AP1740" s="404"/>
      <c r="AQ1740" s="404"/>
      <c r="AR1740" s="404"/>
      <c r="AS1740" s="404"/>
      <c r="AT1740" s="404"/>
      <c r="AU1740" s="404"/>
      <c r="AV1740" s="404"/>
      <c r="AW1740" s="404"/>
      <c r="AX1740" s="404"/>
      <c r="AY1740" s="404"/>
      <c r="AZ1740" s="404"/>
      <c r="BA1740" s="404"/>
      <c r="BB1740" s="404"/>
      <c r="BC1740" s="404"/>
      <c r="BD1740" s="404"/>
      <c r="BE1740" s="404"/>
      <c r="BF1740" s="404"/>
      <c r="BG1740" s="404"/>
      <c r="BH1740" s="404"/>
      <c r="BI1740" s="404"/>
      <c r="BJ1740" s="404"/>
      <c r="BK1740" s="404"/>
      <c r="BL1740" s="404"/>
    </row>
    <row r="1741" spans="1:64" ht="25">
      <c r="A1741" s="426"/>
      <c r="B1741" s="426"/>
      <c r="C1741" s="417" t="str">
        <f>[161]Input!$C$48</f>
        <v>Overheads &amp; Contractors Profit @ 13.615%</v>
      </c>
      <c r="D1741" s="444">
        <f>[161]Input!$D$48</f>
        <v>0.13614999999999999</v>
      </c>
      <c r="E1741" s="408"/>
      <c r="F1741" s="408">
        <f>I1740</f>
        <v>7431.4021591999999</v>
      </c>
      <c r="G1741" s="430"/>
      <c r="H1741" s="415"/>
      <c r="I1741" s="408">
        <f t="shared" si="414"/>
        <v>1011.7854039750799</v>
      </c>
      <c r="J1741" s="400"/>
      <c r="K1741" s="401"/>
      <c r="L1741" s="401"/>
      <c r="M1741" s="404"/>
      <c r="N1741" s="404"/>
      <c r="O1741" s="404"/>
      <c r="P1741" s="404"/>
      <c r="Q1741" s="404"/>
      <c r="R1741" s="404"/>
      <c r="S1741" s="404"/>
      <c r="T1741" s="404"/>
      <c r="U1741" s="404"/>
      <c r="V1741" s="404"/>
      <c r="W1741" s="404"/>
      <c r="X1741" s="404"/>
      <c r="Y1741" s="404"/>
      <c r="Z1741" s="404"/>
      <c r="AA1741" s="404"/>
      <c r="AB1741" s="404"/>
      <c r="AC1741" s="404"/>
      <c r="AD1741" s="404"/>
      <c r="AE1741" s="404"/>
      <c r="AF1741" s="404"/>
      <c r="AG1741" s="404"/>
      <c r="AH1741" s="404"/>
      <c r="AI1741" s="404"/>
      <c r="AJ1741" s="404"/>
      <c r="AK1741" s="404"/>
      <c r="AL1741" s="404"/>
      <c r="AM1741" s="404"/>
      <c r="AN1741" s="404"/>
      <c r="AO1741" s="404"/>
      <c r="AP1741" s="404"/>
      <c r="AQ1741" s="404"/>
      <c r="AR1741" s="404"/>
      <c r="AS1741" s="404"/>
      <c r="AT1741" s="404"/>
      <c r="AU1741" s="404"/>
      <c r="AV1741" s="404"/>
      <c r="AW1741" s="404"/>
      <c r="AX1741" s="404"/>
      <c r="AY1741" s="404"/>
      <c r="AZ1741" s="404"/>
      <c r="BA1741" s="404"/>
      <c r="BB1741" s="404"/>
      <c r="BC1741" s="404"/>
      <c r="BD1741" s="404"/>
      <c r="BE1741" s="404"/>
      <c r="BF1741" s="404"/>
      <c r="BG1741" s="404"/>
      <c r="BH1741" s="404"/>
      <c r="BI1741" s="404"/>
      <c r="BJ1741" s="404"/>
      <c r="BK1741" s="404"/>
      <c r="BL1741" s="404"/>
    </row>
    <row r="1742" spans="1:64" ht="13">
      <c r="A1742" s="426"/>
      <c r="B1742" s="426"/>
      <c r="C1742" s="427" t="s">
        <v>724</v>
      </c>
      <c r="D1742" s="408"/>
      <c r="E1742" s="408"/>
      <c r="F1742" s="408"/>
      <c r="G1742" s="430"/>
      <c r="H1742" s="415"/>
      <c r="I1742" s="414">
        <f>SUM(I1740:I1741)</f>
        <v>8443.187563175079</v>
      </c>
      <c r="J1742" s="400"/>
      <c r="K1742" s="401"/>
      <c r="L1742" s="401"/>
      <c r="M1742" s="404"/>
      <c r="N1742" s="404"/>
      <c r="O1742" s="404"/>
      <c r="P1742" s="404"/>
      <c r="Q1742" s="404"/>
      <c r="R1742" s="404"/>
      <c r="S1742" s="404"/>
      <c r="T1742" s="404"/>
      <c r="U1742" s="404"/>
      <c r="V1742" s="404"/>
      <c r="W1742" s="404"/>
      <c r="X1742" s="404"/>
      <c r="Y1742" s="404"/>
      <c r="Z1742" s="404"/>
      <c r="AA1742" s="404"/>
      <c r="AB1742" s="404"/>
      <c r="AC1742" s="404"/>
      <c r="AD1742" s="404"/>
      <c r="AE1742" s="404"/>
      <c r="AF1742" s="404"/>
      <c r="AG1742" s="404"/>
      <c r="AH1742" s="404"/>
      <c r="AI1742" s="404"/>
      <c r="AJ1742" s="404"/>
      <c r="AK1742" s="404"/>
      <c r="AL1742" s="404"/>
      <c r="AM1742" s="404"/>
      <c r="AN1742" s="404"/>
      <c r="AO1742" s="404"/>
      <c r="AP1742" s="404"/>
      <c r="AQ1742" s="404"/>
      <c r="AR1742" s="404"/>
      <c r="AS1742" s="404"/>
      <c r="AT1742" s="404"/>
      <c r="AU1742" s="404"/>
      <c r="AV1742" s="404"/>
      <c r="AW1742" s="404"/>
      <c r="AX1742" s="404"/>
      <c r="AY1742" s="404"/>
      <c r="AZ1742" s="404"/>
      <c r="BA1742" s="404"/>
      <c r="BB1742" s="404"/>
      <c r="BC1742" s="404"/>
      <c r="BD1742" s="404"/>
      <c r="BE1742" s="404"/>
      <c r="BF1742" s="404"/>
      <c r="BG1742" s="404"/>
      <c r="BH1742" s="404"/>
      <c r="BI1742" s="404"/>
      <c r="BJ1742" s="404"/>
      <c r="BK1742" s="404"/>
      <c r="BL1742" s="404"/>
    </row>
    <row r="1743" spans="1:64" ht="13">
      <c r="A1743" s="426"/>
      <c r="B1743" s="426"/>
      <c r="C1743" s="522" t="s">
        <v>726</v>
      </c>
      <c r="D1743" s="408"/>
      <c r="E1743" s="408"/>
      <c r="F1743" s="408"/>
      <c r="G1743" s="430"/>
      <c r="H1743" s="422" t="s">
        <v>774</v>
      </c>
      <c r="I1743" s="414">
        <f>ROUND(I1742,0)</f>
        <v>8443</v>
      </c>
      <c r="J1743" s="411"/>
      <c r="K1743" s="412"/>
      <c r="L1743" s="412"/>
      <c r="M1743" s="413"/>
      <c r="N1743" s="413"/>
      <c r="O1743" s="413"/>
      <c r="P1743" s="413"/>
      <c r="Q1743" s="413"/>
      <c r="R1743" s="413"/>
      <c r="S1743" s="413"/>
      <c r="T1743" s="413"/>
      <c r="U1743" s="413"/>
      <c r="V1743" s="413"/>
      <c r="W1743" s="413"/>
      <c r="X1743" s="413"/>
      <c r="Y1743" s="413"/>
      <c r="Z1743" s="413"/>
      <c r="AA1743" s="413"/>
      <c r="AB1743" s="413"/>
      <c r="AC1743" s="413"/>
      <c r="AD1743" s="413"/>
      <c r="AE1743" s="413"/>
      <c r="AF1743" s="413"/>
      <c r="AG1743" s="413"/>
      <c r="AH1743" s="413"/>
      <c r="AI1743" s="413"/>
      <c r="AJ1743" s="413"/>
      <c r="AK1743" s="413"/>
      <c r="AL1743" s="413"/>
      <c r="AM1743" s="413"/>
      <c r="AN1743" s="413"/>
      <c r="AO1743" s="413"/>
      <c r="AP1743" s="413"/>
      <c r="AQ1743" s="413"/>
      <c r="AR1743" s="413"/>
      <c r="AS1743" s="413"/>
      <c r="AT1743" s="413"/>
      <c r="AU1743" s="413"/>
      <c r="AV1743" s="413"/>
      <c r="AW1743" s="413"/>
      <c r="AX1743" s="413"/>
      <c r="AY1743" s="413"/>
      <c r="AZ1743" s="413"/>
      <c r="BA1743" s="413"/>
      <c r="BB1743" s="413"/>
      <c r="BC1743" s="413"/>
      <c r="BD1743" s="413"/>
      <c r="BE1743" s="413"/>
      <c r="BF1743" s="413"/>
      <c r="BG1743" s="413"/>
      <c r="BH1743" s="413"/>
      <c r="BI1743" s="413"/>
      <c r="BJ1743" s="413"/>
      <c r="BK1743" s="413"/>
      <c r="BL1743" s="413"/>
    </row>
    <row r="1744" spans="1:64" ht="13">
      <c r="A1744" s="426"/>
      <c r="B1744" s="426"/>
      <c r="C1744" s="550"/>
      <c r="D1744" s="408"/>
      <c r="E1744" s="408"/>
      <c r="F1744" s="408"/>
      <c r="G1744" s="430"/>
      <c r="H1744" s="415"/>
      <c r="I1744" s="414"/>
      <c r="J1744" s="400"/>
      <c r="K1744" s="401"/>
      <c r="L1744" s="401"/>
    </row>
    <row r="1745" spans="1:64" ht="13">
      <c r="A1745" s="426"/>
      <c r="B1745" s="474" t="s">
        <v>727</v>
      </c>
      <c r="C1745" s="427" t="s">
        <v>1065</v>
      </c>
      <c r="D1745" s="408"/>
      <c r="E1745" s="408"/>
      <c r="F1745" s="408"/>
      <c r="G1745" s="430"/>
      <c r="H1745" s="415"/>
      <c r="I1745" s="414"/>
      <c r="J1745" s="623"/>
      <c r="K1745" s="624"/>
      <c r="L1745" s="531"/>
    </row>
    <row r="1746" spans="1:64" ht="13">
      <c r="A1746" s="426"/>
      <c r="B1746" s="426"/>
      <c r="C1746" s="427" t="s">
        <v>953</v>
      </c>
      <c r="D1746" s="414" t="s">
        <v>959</v>
      </c>
      <c r="E1746" s="474" t="s">
        <v>943</v>
      </c>
      <c r="F1746" s="492" t="s">
        <v>944</v>
      </c>
      <c r="G1746" s="474" t="s">
        <v>1036</v>
      </c>
      <c r="H1746" s="474" t="s">
        <v>1037</v>
      </c>
      <c r="I1746" s="474" t="s">
        <v>1038</v>
      </c>
      <c r="J1746" s="535" t="s">
        <v>948</v>
      </c>
      <c r="K1746" s="536" t="s">
        <v>949</v>
      </c>
      <c r="L1746" s="536" t="s">
        <v>950</v>
      </c>
    </row>
    <row r="1747" spans="1:64">
      <c r="A1747" s="406"/>
      <c r="B1747" s="406"/>
      <c r="C1747" s="417" t="s">
        <v>1064</v>
      </c>
      <c r="D1747" s="459">
        <f t="shared" ref="D1747:L1747" si="415">$I$1737</f>
        <v>7431.4021591999999</v>
      </c>
      <c r="E1747" s="459">
        <f t="shared" si="415"/>
        <v>7431.4021591999999</v>
      </c>
      <c r="F1747" s="459">
        <f t="shared" si="415"/>
        <v>7431.4021591999999</v>
      </c>
      <c r="G1747" s="459">
        <f t="shared" si="415"/>
        <v>7431.4021591999999</v>
      </c>
      <c r="H1747" s="459">
        <f t="shared" si="415"/>
        <v>7431.4021591999999</v>
      </c>
      <c r="I1747" s="459">
        <f t="shared" si="415"/>
        <v>7431.4021591999999</v>
      </c>
      <c r="J1747" s="565">
        <f t="shared" si="415"/>
        <v>7431.4021591999999</v>
      </c>
      <c r="K1747" s="600">
        <f t="shared" si="415"/>
        <v>7431.4021591999999</v>
      </c>
      <c r="L1747" s="600">
        <f t="shared" si="415"/>
        <v>7431.4021591999999</v>
      </c>
      <c r="M1747" s="464"/>
      <c r="N1747" s="464"/>
      <c r="O1747" s="464"/>
      <c r="P1747" s="464"/>
      <c r="Q1747" s="464"/>
      <c r="R1747" s="464"/>
      <c r="S1747" s="464"/>
      <c r="T1747" s="464"/>
      <c r="U1747" s="464"/>
      <c r="V1747" s="464"/>
      <c r="W1747" s="464"/>
      <c r="X1747" s="464"/>
      <c r="Y1747" s="464"/>
      <c r="Z1747" s="464"/>
      <c r="AA1747" s="464"/>
      <c r="AB1747" s="464"/>
      <c r="AC1747" s="464"/>
      <c r="AD1747" s="464"/>
      <c r="AE1747" s="464"/>
      <c r="AF1747" s="464"/>
      <c r="AG1747" s="464"/>
      <c r="AH1747" s="464"/>
      <c r="AI1747" s="464"/>
      <c r="AJ1747" s="464"/>
      <c r="AK1747" s="464"/>
      <c r="AL1747" s="464"/>
      <c r="AM1747" s="464"/>
      <c r="AN1747" s="464"/>
      <c r="AO1747" s="464"/>
      <c r="AP1747" s="464"/>
      <c r="AQ1747" s="464"/>
      <c r="AR1747" s="464"/>
      <c r="AS1747" s="464"/>
      <c r="AT1747" s="464"/>
      <c r="AU1747" s="464"/>
      <c r="AV1747" s="464"/>
      <c r="AW1747" s="464"/>
      <c r="AX1747" s="464"/>
      <c r="AY1747" s="464"/>
      <c r="AZ1747" s="464"/>
      <c r="BA1747" s="464"/>
      <c r="BB1747" s="464"/>
      <c r="BC1747" s="464"/>
      <c r="BD1747" s="464"/>
      <c r="BE1747" s="464"/>
      <c r="BF1747" s="464"/>
      <c r="BG1747" s="464"/>
      <c r="BH1747" s="464"/>
      <c r="BI1747" s="464"/>
      <c r="BJ1747" s="464"/>
      <c r="BK1747" s="464"/>
      <c r="BL1747" s="464"/>
    </row>
    <row r="1748" spans="1:64">
      <c r="A1748" s="406"/>
      <c r="B1748" s="406"/>
      <c r="C1748" s="417" t="s">
        <v>1059</v>
      </c>
      <c r="D1748" s="459">
        <f>'[161]Civil-SOR'!$F$222/0.23</f>
        <v>50.695652173913039</v>
      </c>
      <c r="E1748" s="459">
        <f>'[161]Civil-SOR'!$F$223/0.23</f>
        <v>50.695652173913039</v>
      </c>
      <c r="F1748" s="459">
        <f>'[161]Civil-SOR'!$F$224/0.23</f>
        <v>50.695652173913039</v>
      </c>
      <c r="G1748" s="459">
        <f>'[161]Civil-SOR'!$F$225/0.23</f>
        <v>50.695652173913039</v>
      </c>
      <c r="H1748" s="459">
        <f>'[161]Civil-SOR'!$F$225/0.23</f>
        <v>50.695652173913039</v>
      </c>
      <c r="I1748" s="459">
        <f>'[161]Civil-SOR'!$F$225/0.23</f>
        <v>50.695652173913039</v>
      </c>
      <c r="J1748" s="565">
        <f>'[161]Civil-SOR'!$F$225/0.23</f>
        <v>50.695652173913039</v>
      </c>
      <c r="K1748" s="600">
        <f>'[161]Civil-SOR'!$F$225/0.23</f>
        <v>50.695652173913039</v>
      </c>
      <c r="L1748" s="600">
        <f>'[161]Civil-SOR'!$F$225/0.23</f>
        <v>50.695652173913039</v>
      </c>
      <c r="M1748" s="464"/>
      <c r="N1748" s="464"/>
      <c r="O1748" s="464"/>
      <c r="P1748" s="464"/>
      <c r="Q1748" s="464"/>
      <c r="R1748" s="464"/>
      <c r="S1748" s="464"/>
      <c r="T1748" s="464"/>
      <c r="U1748" s="464"/>
      <c r="V1748" s="464"/>
      <c r="W1748" s="464"/>
      <c r="X1748" s="464"/>
      <c r="Y1748" s="464"/>
      <c r="Z1748" s="464"/>
      <c r="AA1748" s="464"/>
      <c r="AB1748" s="464"/>
      <c r="AC1748" s="464"/>
      <c r="AD1748" s="464"/>
      <c r="AE1748" s="464"/>
      <c r="AF1748" s="464"/>
      <c r="AG1748" s="464"/>
      <c r="AH1748" s="464"/>
      <c r="AI1748" s="464"/>
      <c r="AJ1748" s="464"/>
      <c r="AK1748" s="464"/>
      <c r="AL1748" s="464"/>
      <c r="AM1748" s="464"/>
      <c r="AN1748" s="464"/>
      <c r="AO1748" s="464"/>
      <c r="AP1748" s="464"/>
      <c r="AQ1748" s="464"/>
      <c r="AR1748" s="464"/>
      <c r="AS1748" s="464"/>
      <c r="AT1748" s="464"/>
      <c r="AU1748" s="464"/>
      <c r="AV1748" s="464"/>
      <c r="AW1748" s="464"/>
      <c r="AX1748" s="464"/>
      <c r="AY1748" s="464"/>
      <c r="AZ1748" s="464"/>
      <c r="BA1748" s="464"/>
      <c r="BB1748" s="464"/>
      <c r="BC1748" s="464"/>
      <c r="BD1748" s="464"/>
      <c r="BE1748" s="464"/>
      <c r="BF1748" s="464"/>
      <c r="BG1748" s="464"/>
      <c r="BH1748" s="464"/>
      <c r="BI1748" s="464"/>
      <c r="BJ1748" s="464"/>
      <c r="BK1748" s="464"/>
      <c r="BL1748" s="464"/>
    </row>
    <row r="1749" spans="1:64">
      <c r="A1749" s="406"/>
      <c r="B1749" s="406"/>
      <c r="C1749" s="417" t="s">
        <v>1060</v>
      </c>
      <c r="D1749" s="459">
        <f>ROUND('[161]Civil-SOR'!$G$222/0.23,2)</f>
        <v>409.96</v>
      </c>
      <c r="E1749" s="459">
        <f>ROUND('[161]Civil-SOR'!$G$223/0.23,2)</f>
        <v>589.61</v>
      </c>
      <c r="F1749" s="459">
        <f>ROUND('[161]Civil-SOR'!$G$224/0.23,2)</f>
        <v>769.26</v>
      </c>
      <c r="G1749" s="459">
        <f>ROUND('[161]Civil-SOR'!$G$225/0.23,2)</f>
        <v>948.91</v>
      </c>
      <c r="H1749" s="459">
        <f>ROUND('[161]Civil-SOR'!$G$226/0.23,2)</f>
        <v>1128.57</v>
      </c>
      <c r="I1749" s="459">
        <f>ROUND('[161]Civil-SOR'!$G$227/0.23,2)</f>
        <v>1308.22</v>
      </c>
      <c r="J1749" s="565">
        <f>ROUND('[161]Civil-SOR'!$G$228/0.23,2)</f>
        <v>1488.78</v>
      </c>
      <c r="K1749" s="600">
        <f>ROUND('[161]Civil-SOR'!$G$229/0.23,2)</f>
        <v>1667.48</v>
      </c>
      <c r="L1749" s="600">
        <f>ROUND('[161]Civil-SOR'!$G$230/0.23,2)</f>
        <v>1847.13</v>
      </c>
      <c r="M1749" s="464"/>
      <c r="N1749" s="464"/>
      <c r="O1749" s="464"/>
      <c r="P1749" s="464"/>
      <c r="Q1749" s="464"/>
      <c r="R1749" s="464"/>
      <c r="S1749" s="464"/>
      <c r="T1749" s="464"/>
      <c r="U1749" s="464"/>
      <c r="V1749" s="464"/>
      <c r="W1749" s="464"/>
      <c r="X1749" s="464"/>
      <c r="Y1749" s="464"/>
      <c r="Z1749" s="464"/>
      <c r="AA1749" s="464"/>
      <c r="AB1749" s="464"/>
      <c r="AC1749" s="464"/>
      <c r="AD1749" s="464"/>
      <c r="AE1749" s="464"/>
      <c r="AF1749" s="464"/>
      <c r="AG1749" s="464"/>
      <c r="AH1749" s="464"/>
      <c r="AI1749" s="464"/>
      <c r="AJ1749" s="464"/>
      <c r="AK1749" s="464"/>
      <c r="AL1749" s="464"/>
      <c r="AM1749" s="464"/>
      <c r="AN1749" s="464"/>
      <c r="AO1749" s="464"/>
      <c r="AP1749" s="464"/>
      <c r="AQ1749" s="464"/>
      <c r="AR1749" s="464"/>
      <c r="AS1749" s="464"/>
      <c r="AT1749" s="464"/>
      <c r="AU1749" s="464"/>
      <c r="AV1749" s="464"/>
      <c r="AW1749" s="464"/>
      <c r="AX1749" s="464"/>
      <c r="AY1749" s="464"/>
      <c r="AZ1749" s="464"/>
      <c r="BA1749" s="464"/>
      <c r="BB1749" s="464"/>
      <c r="BC1749" s="464"/>
      <c r="BD1749" s="464"/>
      <c r="BE1749" s="464"/>
      <c r="BF1749" s="464"/>
      <c r="BG1749" s="464"/>
      <c r="BH1749" s="464"/>
      <c r="BI1749" s="464"/>
      <c r="BJ1749" s="464"/>
      <c r="BK1749" s="464"/>
      <c r="BL1749" s="464"/>
    </row>
    <row r="1750" spans="1:64">
      <c r="A1750" s="406"/>
      <c r="B1750" s="406"/>
      <c r="C1750" s="417" t="str">
        <f>[161]Input!$C$47</f>
        <v>Add for MA @ 40%</v>
      </c>
      <c r="D1750" s="459">
        <f>[161]Input!$D$47*D1749</f>
        <v>163.98400000000001</v>
      </c>
      <c r="E1750" s="459">
        <f>[161]Input!$D$47*E1749</f>
        <v>235.84400000000002</v>
      </c>
      <c r="F1750" s="459">
        <f>[161]Input!$D$47*F1749</f>
        <v>307.70400000000001</v>
      </c>
      <c r="G1750" s="459">
        <f>[161]Input!$D$47*G1749</f>
        <v>379.56400000000002</v>
      </c>
      <c r="H1750" s="459">
        <f>[161]Input!$D$47*H1749</f>
        <v>451.428</v>
      </c>
      <c r="I1750" s="459">
        <f>[161]Input!$D$47*I1749</f>
        <v>523.28800000000001</v>
      </c>
      <c r="J1750" s="565">
        <f>[161]Input!$D$47*J1749</f>
        <v>595.51200000000006</v>
      </c>
      <c r="K1750" s="600">
        <f>[161]Input!$D$47*K1749</f>
        <v>666.99200000000008</v>
      </c>
      <c r="L1750" s="600">
        <f>[161]Input!$D$47*L1749</f>
        <v>738.85200000000009</v>
      </c>
      <c r="M1750" s="464"/>
      <c r="N1750" s="464"/>
      <c r="O1750" s="464"/>
      <c r="P1750" s="464"/>
      <c r="Q1750" s="464"/>
      <c r="R1750" s="464"/>
      <c r="S1750" s="464"/>
      <c r="T1750" s="464"/>
      <c r="U1750" s="464"/>
      <c r="V1750" s="464"/>
      <c r="W1750" s="464"/>
      <c r="X1750" s="464"/>
      <c r="Y1750" s="464"/>
      <c r="Z1750" s="464"/>
      <c r="AA1750" s="464"/>
      <c r="AB1750" s="464"/>
      <c r="AC1750" s="464"/>
      <c r="AD1750" s="464"/>
      <c r="AE1750" s="464"/>
      <c r="AF1750" s="464"/>
      <c r="AG1750" s="464"/>
      <c r="AH1750" s="464"/>
      <c r="AI1750" s="464"/>
      <c r="AJ1750" s="464"/>
      <c r="AK1750" s="464"/>
      <c r="AL1750" s="464"/>
      <c r="AM1750" s="464"/>
      <c r="AN1750" s="464"/>
      <c r="AO1750" s="464"/>
      <c r="AP1750" s="464"/>
      <c r="AQ1750" s="464"/>
      <c r="AR1750" s="464"/>
      <c r="AS1750" s="464"/>
      <c r="AT1750" s="464"/>
      <c r="AU1750" s="464"/>
      <c r="AV1750" s="464"/>
      <c r="AW1750" s="464"/>
      <c r="AX1750" s="464"/>
      <c r="AY1750" s="464"/>
      <c r="AZ1750" s="464"/>
      <c r="BA1750" s="464"/>
      <c r="BB1750" s="464"/>
      <c r="BC1750" s="464"/>
      <c r="BD1750" s="464"/>
      <c r="BE1750" s="464"/>
      <c r="BF1750" s="464"/>
      <c r="BG1750" s="464"/>
      <c r="BH1750" s="464"/>
      <c r="BI1750" s="464"/>
      <c r="BJ1750" s="464"/>
      <c r="BK1750" s="464"/>
      <c r="BL1750" s="464"/>
    </row>
    <row r="1751" spans="1:64">
      <c r="A1751" s="406"/>
      <c r="B1751" s="406"/>
      <c r="C1751" s="417" t="s">
        <v>994</v>
      </c>
      <c r="D1751" s="459">
        <v>0</v>
      </c>
      <c r="E1751" s="459">
        <f>ROUND($F$1735*10%,2)</f>
        <v>143</v>
      </c>
      <c r="F1751" s="459">
        <f>ROUND($F$1735*20%,2)</f>
        <v>286</v>
      </c>
      <c r="G1751" s="459">
        <f>ROUND($F$1735*30%,2)</f>
        <v>429</v>
      </c>
      <c r="H1751" s="459">
        <f>ROUND($F$1735*40%,2)</f>
        <v>572</v>
      </c>
      <c r="I1751" s="459">
        <f>ROUND($F$1735*50%,2)</f>
        <v>715</v>
      </c>
      <c r="J1751" s="565">
        <f>ROUND($F$1735*60%,2)</f>
        <v>858</v>
      </c>
      <c r="K1751" s="600">
        <f>ROUND($F$1735*70%,2)</f>
        <v>1001</v>
      </c>
      <c r="L1751" s="600">
        <f>ROUND($F$1735*80%,2)</f>
        <v>1144</v>
      </c>
      <c r="M1751" s="464"/>
      <c r="N1751" s="464"/>
      <c r="O1751" s="464"/>
      <c r="P1751" s="464"/>
      <c r="Q1751" s="464"/>
      <c r="R1751" s="464"/>
      <c r="S1751" s="464"/>
      <c r="T1751" s="464"/>
      <c r="U1751" s="464"/>
      <c r="V1751" s="464"/>
      <c r="W1751" s="464"/>
      <c r="X1751" s="464"/>
      <c r="Y1751" s="464"/>
      <c r="Z1751" s="464"/>
      <c r="AA1751" s="464"/>
      <c r="AB1751" s="464"/>
      <c r="AC1751" s="464"/>
      <c r="AD1751" s="464"/>
      <c r="AE1751" s="464"/>
      <c r="AF1751" s="464"/>
      <c r="AG1751" s="464"/>
      <c r="AH1751" s="464"/>
      <c r="AI1751" s="464"/>
      <c r="AJ1751" s="464"/>
      <c r="AK1751" s="464"/>
      <c r="AL1751" s="464"/>
      <c r="AM1751" s="464"/>
      <c r="AN1751" s="464"/>
      <c r="AO1751" s="464"/>
      <c r="AP1751" s="464"/>
      <c r="AQ1751" s="464"/>
      <c r="AR1751" s="464"/>
      <c r="AS1751" s="464"/>
      <c r="AT1751" s="464"/>
      <c r="AU1751" s="464"/>
      <c r="AV1751" s="464"/>
      <c r="AW1751" s="464"/>
      <c r="AX1751" s="464"/>
      <c r="AY1751" s="464"/>
      <c r="AZ1751" s="464"/>
      <c r="BA1751" s="464"/>
      <c r="BB1751" s="464"/>
      <c r="BC1751" s="464"/>
      <c r="BD1751" s="464"/>
      <c r="BE1751" s="464"/>
      <c r="BF1751" s="464"/>
      <c r="BG1751" s="464"/>
      <c r="BH1751" s="464"/>
      <c r="BI1751" s="464"/>
      <c r="BJ1751" s="464"/>
      <c r="BK1751" s="464"/>
      <c r="BL1751" s="464"/>
    </row>
    <row r="1752" spans="1:64">
      <c r="A1752" s="406"/>
      <c r="B1752" s="406"/>
      <c r="C1752" s="417" t="str">
        <f>[161]Input!$C$47</f>
        <v>Add for MA @ 40%</v>
      </c>
      <c r="D1752" s="459">
        <f>D1751*[161]Input!$D$47</f>
        <v>0</v>
      </c>
      <c r="E1752" s="459">
        <f>E1751*[161]Input!$D$47</f>
        <v>57.2</v>
      </c>
      <c r="F1752" s="459">
        <f>F1751*[161]Input!$D$47</f>
        <v>114.4</v>
      </c>
      <c r="G1752" s="459">
        <f>G1751*[161]Input!$D$47</f>
        <v>171.60000000000002</v>
      </c>
      <c r="H1752" s="459">
        <f>H1751*[161]Input!$D$47</f>
        <v>228.8</v>
      </c>
      <c r="I1752" s="459">
        <f>I1751*[161]Input!$D$47</f>
        <v>286</v>
      </c>
      <c r="J1752" s="565">
        <f>J1751*[161]Input!$D$47</f>
        <v>343.20000000000005</v>
      </c>
      <c r="K1752" s="600">
        <f>K1751*[161]Input!$D$47</f>
        <v>400.40000000000003</v>
      </c>
      <c r="L1752" s="600">
        <f>L1751*[161]Input!$D$47</f>
        <v>457.6</v>
      </c>
      <c r="M1752" s="464"/>
      <c r="N1752" s="464"/>
      <c r="O1752" s="464"/>
      <c r="P1752" s="464"/>
      <c r="Q1752" s="464"/>
      <c r="R1752" s="464"/>
      <c r="S1752" s="464"/>
      <c r="T1752" s="464"/>
      <c r="U1752" s="464"/>
      <c r="V1752" s="464"/>
      <c r="W1752" s="464"/>
      <c r="X1752" s="464"/>
      <c r="Y1752" s="464"/>
      <c r="Z1752" s="464"/>
      <c r="AA1752" s="464"/>
      <c r="AB1752" s="464"/>
      <c r="AC1752" s="464"/>
      <c r="AD1752" s="464"/>
      <c r="AE1752" s="464"/>
      <c r="AF1752" s="464"/>
      <c r="AG1752" s="464"/>
      <c r="AH1752" s="464"/>
      <c r="AI1752" s="464"/>
      <c r="AJ1752" s="464"/>
      <c r="AK1752" s="464"/>
      <c r="AL1752" s="464"/>
      <c r="AM1752" s="464"/>
      <c r="AN1752" s="464"/>
      <c r="AO1752" s="464"/>
      <c r="AP1752" s="464"/>
      <c r="AQ1752" s="464"/>
      <c r="AR1752" s="464"/>
      <c r="AS1752" s="464"/>
      <c r="AT1752" s="464"/>
      <c r="AU1752" s="464"/>
      <c r="AV1752" s="464"/>
      <c r="AW1752" s="464"/>
      <c r="AX1752" s="464"/>
      <c r="AY1752" s="464"/>
      <c r="AZ1752" s="464"/>
      <c r="BA1752" s="464"/>
      <c r="BB1752" s="464"/>
      <c r="BC1752" s="464"/>
      <c r="BD1752" s="464"/>
      <c r="BE1752" s="464"/>
      <c r="BF1752" s="464"/>
      <c r="BG1752" s="464"/>
      <c r="BH1752" s="464"/>
      <c r="BI1752" s="464"/>
      <c r="BJ1752" s="464"/>
      <c r="BK1752" s="464"/>
      <c r="BL1752" s="464"/>
    </row>
    <row r="1753" spans="1:64" ht="13">
      <c r="A1753" s="406"/>
      <c r="B1753" s="406"/>
      <c r="C1753" s="427" t="s">
        <v>724</v>
      </c>
      <c r="D1753" s="459">
        <f t="shared" ref="D1753:L1753" si="416">SUM(D1747:D1752)</f>
        <v>8056.0418113739133</v>
      </c>
      <c r="E1753" s="459">
        <f t="shared" si="416"/>
        <v>8507.7518113739134</v>
      </c>
      <c r="F1753" s="459">
        <f t="shared" si="416"/>
        <v>8959.4618113739125</v>
      </c>
      <c r="G1753" s="459">
        <f t="shared" si="416"/>
        <v>9411.1718113739134</v>
      </c>
      <c r="H1753" s="459">
        <f t="shared" si="416"/>
        <v>9862.8958113739118</v>
      </c>
      <c r="I1753" s="459">
        <f t="shared" si="416"/>
        <v>10314.605811373913</v>
      </c>
      <c r="J1753" s="565">
        <f t="shared" si="416"/>
        <v>10767.589811373915</v>
      </c>
      <c r="K1753" s="600">
        <f t="shared" si="416"/>
        <v>11217.969811373912</v>
      </c>
      <c r="L1753" s="600">
        <f t="shared" si="416"/>
        <v>11669.679811373913</v>
      </c>
      <c r="M1753" s="464"/>
      <c r="N1753" s="464"/>
      <c r="O1753" s="464"/>
      <c r="P1753" s="464"/>
      <c r="Q1753" s="464"/>
      <c r="R1753" s="464"/>
      <c r="S1753" s="464"/>
      <c r="T1753" s="464"/>
      <c r="U1753" s="464"/>
      <c r="V1753" s="464"/>
      <c r="W1753" s="464"/>
      <c r="X1753" s="464"/>
      <c r="Y1753" s="464"/>
      <c r="Z1753" s="464"/>
      <c r="AA1753" s="464"/>
      <c r="AB1753" s="464"/>
      <c r="AC1753" s="464"/>
      <c r="AD1753" s="464"/>
      <c r="AE1753" s="464"/>
      <c r="AF1753" s="464"/>
      <c r="AG1753" s="464"/>
      <c r="AH1753" s="464"/>
      <c r="AI1753" s="464"/>
      <c r="AJ1753" s="464"/>
      <c r="AK1753" s="464"/>
      <c r="AL1753" s="464"/>
      <c r="AM1753" s="464"/>
      <c r="AN1753" s="464"/>
      <c r="AO1753" s="464"/>
      <c r="AP1753" s="464"/>
      <c r="AQ1753" s="464"/>
      <c r="AR1753" s="464"/>
      <c r="AS1753" s="464"/>
      <c r="AT1753" s="464"/>
      <c r="AU1753" s="464"/>
      <c r="AV1753" s="464"/>
      <c r="AW1753" s="464"/>
      <c r="AX1753" s="464"/>
      <c r="AY1753" s="464"/>
      <c r="AZ1753" s="464"/>
      <c r="BA1753" s="464"/>
      <c r="BB1753" s="464"/>
      <c r="BC1753" s="464"/>
      <c r="BD1753" s="464"/>
      <c r="BE1753" s="464"/>
      <c r="BF1753" s="464"/>
      <c r="BG1753" s="464"/>
      <c r="BH1753" s="464"/>
      <c r="BI1753" s="464"/>
      <c r="BJ1753" s="464"/>
      <c r="BK1753" s="464"/>
      <c r="BL1753" s="464"/>
    </row>
    <row r="1754" spans="1:64" ht="25">
      <c r="A1754" s="406"/>
      <c r="B1754" s="406"/>
      <c r="C1754" s="417" t="str">
        <f>[161]Input!$C$48</f>
        <v>Overheads &amp; Contractors Profit @ 13.615%</v>
      </c>
      <c r="D1754" s="406">
        <f>ROUND(D1753*[161]Input!$D$48,2)</f>
        <v>1096.83</v>
      </c>
      <c r="E1754" s="406">
        <f>ROUND(E1753*[161]Input!$D$48,2)</f>
        <v>1158.33</v>
      </c>
      <c r="F1754" s="406">
        <f>ROUND(F1753*[161]Input!$D$48,2)</f>
        <v>1219.83</v>
      </c>
      <c r="G1754" s="406">
        <f>ROUND(G1753*[161]Input!$D$48,2)</f>
        <v>1281.33</v>
      </c>
      <c r="H1754" s="406">
        <f>ROUND(H1753*[161]Input!$D$48,2)</f>
        <v>1342.83</v>
      </c>
      <c r="I1754" s="406">
        <f>ROUND(I1753*[161]Input!$D$48,2)</f>
        <v>1404.33</v>
      </c>
      <c r="J1754" s="539">
        <f>ROUND(J1753*[161]Input!$D$48,2)</f>
        <v>1466.01</v>
      </c>
      <c r="K1754" s="540">
        <f>ROUND(K1753*[161]Input!$D$48,2)</f>
        <v>1527.33</v>
      </c>
      <c r="L1754" s="540">
        <f>ROUND(L1753*[161]Input!$D$48,2)</f>
        <v>1588.83</v>
      </c>
      <c r="M1754" s="464"/>
      <c r="N1754" s="464"/>
      <c r="O1754" s="464"/>
      <c r="P1754" s="464"/>
      <c r="Q1754" s="464"/>
      <c r="R1754" s="464"/>
      <c r="S1754" s="464"/>
      <c r="T1754" s="464"/>
      <c r="U1754" s="464"/>
      <c r="V1754" s="464"/>
      <c r="W1754" s="464"/>
      <c r="X1754" s="464"/>
      <c r="Y1754" s="464"/>
      <c r="Z1754" s="464"/>
      <c r="AA1754" s="464"/>
      <c r="AB1754" s="464"/>
      <c r="AC1754" s="464"/>
      <c r="AD1754" s="464"/>
      <c r="AE1754" s="464"/>
      <c r="AF1754" s="464"/>
      <c r="AG1754" s="464"/>
      <c r="AH1754" s="464"/>
      <c r="AI1754" s="464"/>
      <c r="AJ1754" s="464"/>
      <c r="AK1754" s="464"/>
      <c r="AL1754" s="464"/>
      <c r="AM1754" s="464"/>
      <c r="AN1754" s="464"/>
      <c r="AO1754" s="464"/>
      <c r="AP1754" s="464"/>
      <c r="AQ1754" s="464"/>
      <c r="AR1754" s="464"/>
      <c r="AS1754" s="464"/>
      <c r="AT1754" s="464"/>
      <c r="AU1754" s="464"/>
      <c r="AV1754" s="464"/>
      <c r="AW1754" s="464"/>
      <c r="AX1754" s="464"/>
      <c r="AY1754" s="464"/>
      <c r="AZ1754" s="464"/>
      <c r="BA1754" s="464"/>
      <c r="BB1754" s="464"/>
      <c r="BC1754" s="464"/>
      <c r="BD1754" s="464"/>
      <c r="BE1754" s="464"/>
      <c r="BF1754" s="464"/>
      <c r="BG1754" s="464"/>
      <c r="BH1754" s="464"/>
      <c r="BI1754" s="464"/>
      <c r="BJ1754" s="464"/>
      <c r="BK1754" s="464"/>
      <c r="BL1754" s="464"/>
    </row>
    <row r="1755" spans="1:64" ht="13">
      <c r="A1755" s="406"/>
      <c r="B1755" s="406"/>
      <c r="C1755" s="481" t="s">
        <v>724</v>
      </c>
      <c r="D1755" s="432">
        <f t="shared" ref="D1755:L1755" si="417">SUM(D1753:D1754)</f>
        <v>9152.8718113739124</v>
      </c>
      <c r="E1755" s="432">
        <f t="shared" si="417"/>
        <v>9666.0818113739133</v>
      </c>
      <c r="F1755" s="432">
        <f t="shared" si="417"/>
        <v>10179.291811373912</v>
      </c>
      <c r="G1755" s="432">
        <f t="shared" si="417"/>
        <v>10692.501811373913</v>
      </c>
      <c r="H1755" s="432">
        <f t="shared" si="417"/>
        <v>11205.725811373912</v>
      </c>
      <c r="I1755" s="432">
        <f t="shared" si="417"/>
        <v>11718.935811373913</v>
      </c>
      <c r="J1755" s="541">
        <f t="shared" si="417"/>
        <v>12233.599811373915</v>
      </c>
      <c r="K1755" s="542">
        <f t="shared" si="417"/>
        <v>12745.299811373912</v>
      </c>
      <c r="L1755" s="542">
        <f t="shared" si="417"/>
        <v>13258.509811373913</v>
      </c>
      <c r="M1755" s="425"/>
      <c r="N1755" s="425"/>
      <c r="O1755" s="425"/>
      <c r="P1755" s="425"/>
      <c r="Q1755" s="425"/>
      <c r="R1755" s="425"/>
      <c r="S1755" s="425"/>
      <c r="T1755" s="425"/>
      <c r="U1755" s="425"/>
      <c r="V1755" s="425"/>
      <c r="W1755" s="425"/>
      <c r="X1755" s="425"/>
      <c r="Y1755" s="425"/>
      <c r="Z1755" s="425"/>
      <c r="AA1755" s="425"/>
      <c r="AB1755" s="425"/>
      <c r="AC1755" s="425"/>
      <c r="AD1755" s="425"/>
      <c r="AE1755" s="425"/>
      <c r="AF1755" s="425"/>
      <c r="AG1755" s="425"/>
      <c r="AH1755" s="425"/>
      <c r="AI1755" s="425"/>
      <c r="AJ1755" s="425"/>
      <c r="AK1755" s="425"/>
      <c r="AL1755" s="425"/>
      <c r="AM1755" s="425"/>
      <c r="AN1755" s="425"/>
      <c r="AO1755" s="425"/>
      <c r="AP1755" s="425"/>
      <c r="AQ1755" s="425"/>
      <c r="AR1755" s="425"/>
      <c r="AS1755" s="425"/>
      <c r="AT1755" s="425"/>
      <c r="AU1755" s="425"/>
      <c r="AV1755" s="425"/>
      <c r="AW1755" s="425"/>
      <c r="AX1755" s="425"/>
      <c r="AY1755" s="425"/>
      <c r="AZ1755" s="425"/>
      <c r="BA1755" s="425"/>
      <c r="BB1755" s="425"/>
      <c r="BC1755" s="425"/>
      <c r="BD1755" s="425"/>
      <c r="BE1755" s="425"/>
      <c r="BF1755" s="425"/>
      <c r="BG1755" s="425"/>
      <c r="BH1755" s="425"/>
      <c r="BI1755" s="425"/>
      <c r="BJ1755" s="425"/>
      <c r="BK1755" s="425"/>
      <c r="BL1755" s="425"/>
    </row>
    <row r="1756" spans="1:64" ht="13">
      <c r="A1756" s="426"/>
      <c r="B1756" s="426"/>
      <c r="C1756" s="522" t="s">
        <v>726</v>
      </c>
      <c r="D1756" s="416">
        <f t="shared" ref="D1756:L1756" si="418">ROUND(D1755,0)</f>
        <v>9153</v>
      </c>
      <c r="E1756" s="416">
        <f t="shared" si="418"/>
        <v>9666</v>
      </c>
      <c r="F1756" s="416">
        <f t="shared" si="418"/>
        <v>10179</v>
      </c>
      <c r="G1756" s="416">
        <f t="shared" si="418"/>
        <v>10693</v>
      </c>
      <c r="H1756" s="416">
        <f t="shared" si="418"/>
        <v>11206</v>
      </c>
      <c r="I1756" s="416">
        <f t="shared" si="418"/>
        <v>11719</v>
      </c>
      <c r="J1756" s="533">
        <f t="shared" si="418"/>
        <v>12234</v>
      </c>
      <c r="K1756" s="534">
        <f t="shared" si="418"/>
        <v>12745</v>
      </c>
      <c r="L1756" s="534">
        <f t="shared" si="418"/>
        <v>13259</v>
      </c>
      <c r="M1756" s="413"/>
      <c r="N1756" s="413"/>
      <c r="O1756" s="413"/>
      <c r="P1756" s="413"/>
      <c r="Q1756" s="413"/>
      <c r="R1756" s="413"/>
      <c r="S1756" s="413"/>
      <c r="T1756" s="413"/>
      <c r="U1756" s="413"/>
      <c r="V1756" s="413"/>
      <c r="W1756" s="413"/>
      <c r="X1756" s="413"/>
      <c r="Y1756" s="413"/>
      <c r="Z1756" s="413"/>
      <c r="AA1756" s="413"/>
      <c r="AB1756" s="413"/>
      <c r="AC1756" s="413"/>
      <c r="AD1756" s="413"/>
      <c r="AE1756" s="413"/>
      <c r="AF1756" s="413"/>
      <c r="AG1756" s="413"/>
      <c r="AH1756" s="413"/>
      <c r="AI1756" s="413"/>
      <c r="AJ1756" s="413"/>
      <c r="AK1756" s="413"/>
      <c r="AL1756" s="413"/>
      <c r="AM1756" s="413"/>
      <c r="AN1756" s="413"/>
      <c r="AO1756" s="413"/>
      <c r="AP1756" s="413"/>
      <c r="AQ1756" s="413"/>
      <c r="AR1756" s="413"/>
      <c r="AS1756" s="413"/>
      <c r="AT1756" s="413"/>
      <c r="AU1756" s="413"/>
      <c r="AV1756" s="413"/>
      <c r="AW1756" s="413"/>
      <c r="AX1756" s="413"/>
      <c r="AY1756" s="413"/>
      <c r="AZ1756" s="413"/>
      <c r="BA1756" s="413"/>
      <c r="BB1756" s="413"/>
      <c r="BC1756" s="413"/>
      <c r="BD1756" s="413"/>
      <c r="BE1756" s="413"/>
      <c r="BF1756" s="413"/>
      <c r="BG1756" s="413"/>
      <c r="BH1756" s="413"/>
      <c r="BI1756" s="413"/>
      <c r="BJ1756" s="413"/>
      <c r="BK1756" s="413"/>
      <c r="BL1756" s="413"/>
    </row>
    <row r="1757" spans="1:64" ht="13">
      <c r="A1757" s="426"/>
      <c r="B1757" s="426"/>
      <c r="C1757" s="417"/>
      <c r="D1757" s="625"/>
      <c r="E1757" s="625"/>
      <c r="F1757" s="625"/>
      <c r="G1757" s="410"/>
      <c r="H1757" s="625"/>
      <c r="I1757" s="434"/>
      <c r="J1757" s="400"/>
      <c r="K1757" s="401"/>
      <c r="L1757" s="401"/>
      <c r="M1757" s="404"/>
      <c r="N1757" s="404"/>
      <c r="O1757" s="404"/>
      <c r="P1757" s="404"/>
      <c r="Q1757" s="404"/>
      <c r="R1757" s="404"/>
      <c r="S1757" s="404"/>
      <c r="T1757" s="404"/>
      <c r="U1757" s="404"/>
      <c r="V1757" s="404"/>
      <c r="W1757" s="404"/>
      <c r="X1757" s="404"/>
      <c r="Y1757" s="404"/>
      <c r="Z1757" s="404"/>
      <c r="AA1757" s="404"/>
      <c r="AB1757" s="404"/>
      <c r="AC1757" s="404"/>
      <c r="AD1757" s="404"/>
      <c r="AE1757" s="404"/>
      <c r="AF1757" s="404"/>
      <c r="AG1757" s="404"/>
      <c r="AH1757" s="404"/>
      <c r="AI1757" s="404"/>
      <c r="AJ1757" s="404"/>
      <c r="AK1757" s="404"/>
      <c r="AL1757" s="404"/>
      <c r="AM1757" s="404"/>
      <c r="AN1757" s="404"/>
      <c r="AO1757" s="404"/>
      <c r="AP1757" s="404"/>
      <c r="AQ1757" s="404"/>
      <c r="AR1757" s="404"/>
      <c r="AS1757" s="404"/>
      <c r="AT1757" s="404"/>
      <c r="AU1757" s="404"/>
      <c r="AV1757" s="404"/>
      <c r="AW1757" s="404"/>
      <c r="AX1757" s="404"/>
      <c r="AY1757" s="404"/>
      <c r="AZ1757" s="404"/>
      <c r="BA1757" s="404"/>
      <c r="BB1757" s="404"/>
      <c r="BC1757" s="404"/>
      <c r="BD1757" s="404"/>
      <c r="BE1757" s="404"/>
      <c r="BF1757" s="404"/>
      <c r="BG1757" s="404"/>
      <c r="BH1757" s="404"/>
      <c r="BI1757" s="404"/>
      <c r="BJ1757" s="404"/>
      <c r="BK1757" s="404"/>
      <c r="BL1757" s="404"/>
    </row>
    <row r="1758" spans="1:64" ht="103.75" customHeight="1">
      <c r="A1758" s="1280">
        <f>A1724+1</f>
        <v>25</v>
      </c>
      <c r="B1758" s="1280"/>
      <c r="C1758" s="1276" t="s">
        <v>1066</v>
      </c>
      <c r="D1758" s="1276"/>
      <c r="E1758" s="1276"/>
      <c r="F1758" s="1276"/>
      <c r="G1758" s="1276"/>
      <c r="H1758" s="1276"/>
      <c r="I1758" s="407"/>
      <c r="J1758" s="400"/>
      <c r="K1758" s="401"/>
      <c r="L1758" s="401"/>
      <c r="M1758" s="404"/>
      <c r="N1758" s="404"/>
      <c r="O1758" s="404"/>
      <c r="P1758" s="404"/>
      <c r="Q1758" s="404"/>
      <c r="R1758" s="404"/>
      <c r="S1758" s="404"/>
      <c r="T1758" s="404"/>
      <c r="U1758" s="404"/>
      <c r="V1758" s="404"/>
      <c r="W1758" s="404"/>
      <c r="X1758" s="404"/>
      <c r="Y1758" s="404"/>
      <c r="Z1758" s="404"/>
      <c r="AA1758" s="404"/>
      <c r="AB1758" s="404"/>
      <c r="AC1758" s="404"/>
      <c r="AD1758" s="404"/>
      <c r="AE1758" s="404"/>
      <c r="AF1758" s="404"/>
      <c r="AG1758" s="404"/>
      <c r="AH1758" s="404"/>
      <c r="AI1758" s="404"/>
      <c r="AJ1758" s="404"/>
      <c r="AK1758" s="404"/>
      <c r="AL1758" s="404"/>
      <c r="AM1758" s="404"/>
      <c r="AN1758" s="404"/>
      <c r="AO1758" s="404"/>
      <c r="AP1758" s="404"/>
      <c r="AQ1758" s="404"/>
      <c r="AR1758" s="404"/>
      <c r="AS1758" s="404"/>
      <c r="AT1758" s="404"/>
      <c r="AU1758" s="404"/>
      <c r="AV1758" s="404"/>
      <c r="AW1758" s="404"/>
      <c r="AX1758" s="404"/>
      <c r="AY1758" s="404"/>
      <c r="AZ1758" s="404"/>
      <c r="BA1758" s="404"/>
      <c r="BB1758" s="404"/>
      <c r="BC1758" s="404"/>
      <c r="BD1758" s="404"/>
      <c r="BE1758" s="404"/>
      <c r="BF1758" s="404"/>
      <c r="BG1758" s="404"/>
      <c r="BH1758" s="404"/>
      <c r="BI1758" s="404"/>
      <c r="BJ1758" s="404"/>
      <c r="BK1758" s="404"/>
      <c r="BL1758" s="404"/>
    </row>
    <row r="1759" spans="1:64" ht="13">
      <c r="A1759" s="426"/>
      <c r="B1759" s="426"/>
      <c r="C1759" s="455" t="s">
        <v>1067</v>
      </c>
      <c r="D1759" s="426"/>
      <c r="E1759" s="426"/>
      <c r="F1759" s="426"/>
      <c r="G1759" s="426"/>
      <c r="H1759" s="426"/>
      <c r="I1759" s="409"/>
      <c r="J1759" s="400"/>
      <c r="K1759" s="401"/>
      <c r="L1759" s="401"/>
      <c r="M1759" s="404"/>
      <c r="N1759" s="404"/>
      <c r="O1759" s="404"/>
      <c r="P1759" s="404"/>
      <c r="Q1759" s="404"/>
      <c r="R1759" s="404"/>
      <c r="S1759" s="404"/>
      <c r="T1759" s="404"/>
      <c r="U1759" s="404"/>
      <c r="V1759" s="404"/>
      <c r="W1759" s="404"/>
      <c r="X1759" s="404"/>
      <c r="Y1759" s="404"/>
      <c r="Z1759" s="404"/>
      <c r="AA1759" s="404"/>
      <c r="AB1759" s="404"/>
      <c r="AC1759" s="404"/>
      <c r="AD1759" s="404"/>
      <c r="AE1759" s="404"/>
      <c r="AF1759" s="404"/>
      <c r="AG1759" s="404"/>
      <c r="AH1759" s="404"/>
      <c r="AI1759" s="404"/>
      <c r="AJ1759" s="404"/>
      <c r="AK1759" s="404"/>
      <c r="AL1759" s="404"/>
      <c r="AM1759" s="404"/>
      <c r="AN1759" s="404"/>
      <c r="AO1759" s="404"/>
      <c r="AP1759" s="404"/>
      <c r="AQ1759" s="404"/>
      <c r="AR1759" s="404"/>
      <c r="AS1759" s="404"/>
      <c r="AT1759" s="404"/>
      <c r="AU1759" s="404"/>
      <c r="AV1759" s="404"/>
      <c r="AW1759" s="404"/>
      <c r="AX1759" s="404"/>
      <c r="AY1759" s="404"/>
      <c r="AZ1759" s="404"/>
      <c r="BA1759" s="404"/>
      <c r="BB1759" s="404"/>
      <c r="BC1759" s="404"/>
      <c r="BD1759" s="404"/>
      <c r="BE1759" s="404"/>
      <c r="BF1759" s="404"/>
      <c r="BG1759" s="404"/>
      <c r="BH1759" s="404"/>
      <c r="BI1759" s="404"/>
      <c r="BJ1759" s="404"/>
      <c r="BK1759" s="404"/>
      <c r="BL1759" s="404"/>
    </row>
    <row r="1760" spans="1:64">
      <c r="A1760" s="426"/>
      <c r="B1760" s="426"/>
      <c r="C1760" s="469" t="s">
        <v>1068</v>
      </c>
      <c r="D1760" s="426"/>
      <c r="E1760" s="426"/>
      <c r="F1760" s="426"/>
      <c r="G1760" s="426"/>
      <c r="H1760" s="426"/>
      <c r="I1760" s="409"/>
      <c r="J1760" s="400"/>
      <c r="K1760" s="401"/>
      <c r="L1760" s="401"/>
      <c r="M1760" s="404"/>
      <c r="N1760" s="404"/>
      <c r="O1760" s="404"/>
      <c r="P1760" s="404"/>
      <c r="Q1760" s="404"/>
      <c r="R1760" s="404"/>
      <c r="S1760" s="404"/>
      <c r="T1760" s="404"/>
      <c r="U1760" s="404"/>
      <c r="V1760" s="404"/>
      <c r="W1760" s="404"/>
      <c r="X1760" s="404"/>
      <c r="Y1760" s="404"/>
      <c r="Z1760" s="404"/>
      <c r="AA1760" s="404"/>
      <c r="AB1760" s="404"/>
      <c r="AC1760" s="404"/>
      <c r="AD1760" s="404"/>
      <c r="AE1760" s="404"/>
      <c r="AF1760" s="404"/>
      <c r="AG1760" s="404"/>
      <c r="AH1760" s="404"/>
      <c r="AI1760" s="404"/>
      <c r="AJ1760" s="404"/>
      <c r="AK1760" s="404"/>
      <c r="AL1760" s="404"/>
      <c r="AM1760" s="404"/>
      <c r="AN1760" s="404"/>
      <c r="AO1760" s="404"/>
      <c r="AP1760" s="404"/>
      <c r="AQ1760" s="404"/>
      <c r="AR1760" s="404"/>
      <c r="AS1760" s="404"/>
      <c r="AT1760" s="404"/>
      <c r="AU1760" s="404"/>
      <c r="AV1760" s="404"/>
      <c r="AW1760" s="404"/>
      <c r="AX1760" s="404"/>
      <c r="AY1760" s="404"/>
      <c r="AZ1760" s="404"/>
      <c r="BA1760" s="404"/>
      <c r="BB1760" s="404"/>
      <c r="BC1760" s="404"/>
      <c r="BD1760" s="404"/>
      <c r="BE1760" s="404"/>
      <c r="BF1760" s="404"/>
      <c r="BG1760" s="404"/>
      <c r="BH1760" s="404"/>
      <c r="BI1760" s="404"/>
      <c r="BJ1760" s="404"/>
      <c r="BK1760" s="404"/>
      <c r="BL1760" s="404"/>
    </row>
    <row r="1761" spans="1:64" ht="13">
      <c r="A1761" s="426"/>
      <c r="B1761" s="426"/>
      <c r="C1761" s="427" t="s">
        <v>873</v>
      </c>
      <c r="D1761" s="430"/>
      <c r="E1761" s="408"/>
      <c r="F1761" s="408"/>
      <c r="G1761" s="430"/>
      <c r="H1761" s="456"/>
      <c r="I1761" s="408"/>
      <c r="J1761" s="400"/>
      <c r="K1761" s="401"/>
      <c r="L1761" s="401"/>
      <c r="M1761" s="404"/>
      <c r="N1761" s="404"/>
      <c r="O1761" s="404"/>
      <c r="P1761" s="404"/>
      <c r="Q1761" s="404"/>
      <c r="R1761" s="404"/>
      <c r="S1761" s="404"/>
      <c r="T1761" s="404"/>
      <c r="U1761" s="404"/>
      <c r="V1761" s="404"/>
      <c r="W1761" s="404"/>
      <c r="X1761" s="404"/>
      <c r="Y1761" s="404"/>
      <c r="Z1761" s="404"/>
      <c r="AA1761" s="404"/>
      <c r="AB1761" s="404"/>
      <c r="AC1761" s="404"/>
      <c r="AD1761" s="404"/>
      <c r="AE1761" s="404"/>
      <c r="AF1761" s="404"/>
      <c r="AG1761" s="404"/>
      <c r="AH1761" s="404"/>
      <c r="AI1761" s="404"/>
      <c r="AJ1761" s="404"/>
      <c r="AK1761" s="404"/>
      <c r="AL1761" s="404"/>
      <c r="AM1761" s="404"/>
      <c r="AN1761" s="404"/>
      <c r="AO1761" s="404"/>
      <c r="AP1761" s="404"/>
      <c r="AQ1761" s="404"/>
      <c r="AR1761" s="404"/>
      <c r="AS1761" s="404"/>
      <c r="AT1761" s="404"/>
      <c r="AU1761" s="404"/>
      <c r="AV1761" s="404"/>
      <c r="AW1761" s="404"/>
      <c r="AX1761" s="404"/>
      <c r="AY1761" s="404"/>
      <c r="AZ1761" s="404"/>
      <c r="BA1761" s="404"/>
      <c r="BB1761" s="404"/>
      <c r="BC1761" s="404"/>
      <c r="BD1761" s="404"/>
      <c r="BE1761" s="404"/>
      <c r="BF1761" s="404"/>
      <c r="BG1761" s="404"/>
      <c r="BH1761" s="404"/>
      <c r="BI1761" s="404"/>
      <c r="BJ1761" s="404"/>
      <c r="BK1761" s="404"/>
      <c r="BL1761" s="404"/>
    </row>
    <row r="1762" spans="1:64">
      <c r="A1762" s="426"/>
      <c r="B1762" s="426"/>
      <c r="C1762" s="417" t="s">
        <v>1056</v>
      </c>
      <c r="D1762" s="430">
        <v>512</v>
      </c>
      <c r="E1762" s="408" t="s">
        <v>375</v>
      </c>
      <c r="F1762" s="408">
        <f>[161]LEAD!$N$15</f>
        <v>9136.41</v>
      </c>
      <c r="G1762" s="430">
        <v>1000</v>
      </c>
      <c r="H1762" s="456" t="s">
        <v>375</v>
      </c>
      <c r="I1762" s="408">
        <f t="shared" ref="I1762:I1764" si="419">IF(G1762="",D1762*F1762,(D1762*F1762/G1762))</f>
        <v>4677.8419199999998</v>
      </c>
      <c r="J1762" s="400"/>
      <c r="K1762" s="401"/>
      <c r="L1762" s="401"/>
      <c r="M1762" s="404"/>
      <c r="N1762" s="404"/>
      <c r="O1762" s="404"/>
      <c r="P1762" s="404"/>
      <c r="Q1762" s="404"/>
      <c r="R1762" s="404"/>
      <c r="S1762" s="404"/>
      <c r="T1762" s="404"/>
      <c r="U1762" s="404"/>
      <c r="V1762" s="404"/>
      <c r="W1762" s="404"/>
      <c r="X1762" s="404"/>
      <c r="Y1762" s="404"/>
      <c r="Z1762" s="404"/>
      <c r="AA1762" s="404"/>
      <c r="AB1762" s="404"/>
      <c r="AC1762" s="404"/>
      <c r="AD1762" s="404"/>
      <c r="AE1762" s="404"/>
      <c r="AF1762" s="404"/>
      <c r="AG1762" s="404"/>
      <c r="AH1762" s="404"/>
      <c r="AI1762" s="404"/>
      <c r="AJ1762" s="404"/>
      <c r="AK1762" s="404"/>
      <c r="AL1762" s="404"/>
      <c r="AM1762" s="404"/>
      <c r="AN1762" s="404"/>
      <c r="AO1762" s="404"/>
      <c r="AP1762" s="404"/>
      <c r="AQ1762" s="404"/>
      <c r="AR1762" s="404"/>
      <c r="AS1762" s="404"/>
      <c r="AT1762" s="404"/>
      <c r="AU1762" s="404"/>
      <c r="AV1762" s="404"/>
      <c r="AW1762" s="404"/>
      <c r="AX1762" s="404"/>
      <c r="AY1762" s="404"/>
      <c r="AZ1762" s="404"/>
      <c r="BA1762" s="404"/>
      <c r="BB1762" s="404"/>
      <c r="BC1762" s="404"/>
      <c r="BD1762" s="404"/>
      <c r="BE1762" s="404"/>
      <c r="BF1762" s="404"/>
      <c r="BG1762" s="404"/>
      <c r="BH1762" s="404"/>
      <c r="BI1762" s="404"/>
      <c r="BJ1762" s="404"/>
      <c r="BK1762" s="404"/>
      <c r="BL1762" s="404"/>
    </row>
    <row r="1763" spans="1:64">
      <c r="A1763" s="426"/>
      <c r="B1763" s="426"/>
      <c r="C1763" s="469" t="s">
        <v>504</v>
      </c>
      <c r="D1763" s="408">
        <v>72</v>
      </c>
      <c r="E1763" s="408" t="s">
        <v>833</v>
      </c>
      <c r="F1763" s="408">
        <f>[161]LEAD!$N$6</f>
        <v>5200</v>
      </c>
      <c r="G1763" s="430">
        <v>1000</v>
      </c>
      <c r="H1763" s="456" t="str">
        <f t="shared" ref="H1763:H1764" si="420">IF(E1763="","",IF(E1763="No.","Each",IF(E1763="Nos.","Each",E1763)))</f>
        <v>Kgs</v>
      </c>
      <c r="I1763" s="408">
        <f t="shared" si="419"/>
        <v>374.4</v>
      </c>
      <c r="J1763" s="400"/>
      <c r="K1763" s="401"/>
      <c r="L1763" s="401"/>
      <c r="M1763" s="404"/>
      <c r="N1763" s="404"/>
      <c r="O1763" s="404"/>
      <c r="P1763" s="404"/>
      <c r="Q1763" s="404"/>
      <c r="R1763" s="404"/>
      <c r="S1763" s="404"/>
      <c r="T1763" s="404"/>
      <c r="U1763" s="404"/>
      <c r="V1763" s="404"/>
      <c r="W1763" s="404"/>
      <c r="X1763" s="404"/>
      <c r="Y1763" s="404"/>
      <c r="Z1763" s="404"/>
      <c r="AA1763" s="404"/>
      <c r="AB1763" s="404"/>
      <c r="AC1763" s="404"/>
      <c r="AD1763" s="404"/>
      <c r="AE1763" s="404"/>
      <c r="AF1763" s="404"/>
      <c r="AG1763" s="404"/>
      <c r="AH1763" s="404"/>
      <c r="AI1763" s="404"/>
      <c r="AJ1763" s="404"/>
      <c r="AK1763" s="404"/>
      <c r="AL1763" s="404"/>
      <c r="AM1763" s="404"/>
      <c r="AN1763" s="404"/>
      <c r="AO1763" s="404"/>
      <c r="AP1763" s="404"/>
      <c r="AQ1763" s="404"/>
      <c r="AR1763" s="404"/>
      <c r="AS1763" s="404"/>
      <c r="AT1763" s="404"/>
      <c r="AU1763" s="404"/>
      <c r="AV1763" s="404"/>
      <c r="AW1763" s="404"/>
      <c r="AX1763" s="404"/>
      <c r="AY1763" s="404"/>
      <c r="AZ1763" s="404"/>
      <c r="BA1763" s="404"/>
      <c r="BB1763" s="404"/>
      <c r="BC1763" s="404"/>
      <c r="BD1763" s="404"/>
      <c r="BE1763" s="404"/>
      <c r="BF1763" s="404"/>
      <c r="BG1763" s="404"/>
      <c r="BH1763" s="404"/>
      <c r="BI1763" s="404"/>
      <c r="BJ1763" s="404"/>
      <c r="BK1763" s="404"/>
      <c r="BL1763" s="404"/>
    </row>
    <row r="1764" spans="1:64">
      <c r="A1764" s="426"/>
      <c r="B1764" s="426"/>
      <c r="C1764" s="417" t="s">
        <v>875</v>
      </c>
      <c r="D1764" s="408">
        <v>0.2</v>
      </c>
      <c r="E1764" s="408" t="s">
        <v>1062</v>
      </c>
      <c r="F1764" s="408">
        <f>[161]LEAD!$N$13</f>
        <v>2453.91</v>
      </c>
      <c r="G1764" s="430">
        <v>1</v>
      </c>
      <c r="H1764" s="456" t="str">
        <f t="shared" si="420"/>
        <v>cu.m.</v>
      </c>
      <c r="I1764" s="408">
        <f t="shared" si="419"/>
        <v>490.78199999999998</v>
      </c>
      <c r="J1764" s="400"/>
      <c r="K1764" s="401"/>
      <c r="L1764" s="401"/>
      <c r="M1764" s="404"/>
      <c r="N1764" s="404"/>
      <c r="O1764" s="404"/>
      <c r="P1764" s="404"/>
      <c r="Q1764" s="404"/>
      <c r="R1764" s="404"/>
      <c r="S1764" s="404"/>
      <c r="T1764" s="404"/>
      <c r="U1764" s="404"/>
      <c r="V1764" s="404"/>
      <c r="W1764" s="404"/>
      <c r="X1764" s="404"/>
      <c r="Y1764" s="404"/>
      <c r="Z1764" s="404"/>
      <c r="AA1764" s="404"/>
      <c r="AB1764" s="404"/>
      <c r="AC1764" s="404"/>
      <c r="AD1764" s="404"/>
      <c r="AE1764" s="404"/>
      <c r="AF1764" s="404"/>
      <c r="AG1764" s="404"/>
      <c r="AH1764" s="404"/>
      <c r="AI1764" s="404"/>
      <c r="AJ1764" s="404"/>
      <c r="AK1764" s="404"/>
      <c r="AL1764" s="404"/>
      <c r="AM1764" s="404"/>
      <c r="AN1764" s="404"/>
      <c r="AO1764" s="404"/>
      <c r="AP1764" s="404"/>
      <c r="AQ1764" s="404"/>
      <c r="AR1764" s="404"/>
      <c r="AS1764" s="404"/>
      <c r="AT1764" s="404"/>
      <c r="AU1764" s="404"/>
      <c r="AV1764" s="404"/>
      <c r="AW1764" s="404"/>
      <c r="AX1764" s="404"/>
      <c r="AY1764" s="404"/>
      <c r="AZ1764" s="404"/>
      <c r="BA1764" s="404"/>
      <c r="BB1764" s="404"/>
      <c r="BC1764" s="404"/>
      <c r="BD1764" s="404"/>
      <c r="BE1764" s="404"/>
      <c r="BF1764" s="404"/>
      <c r="BG1764" s="404"/>
      <c r="BH1764" s="404"/>
      <c r="BI1764" s="404"/>
      <c r="BJ1764" s="404"/>
      <c r="BK1764" s="404"/>
      <c r="BL1764" s="404"/>
    </row>
    <row r="1765" spans="1:64" ht="13">
      <c r="A1765" s="426"/>
      <c r="B1765" s="426"/>
      <c r="C1765" s="427" t="s">
        <v>911</v>
      </c>
      <c r="D1765" s="408"/>
      <c r="E1765" s="408"/>
      <c r="F1765" s="408"/>
      <c r="G1765" s="430"/>
      <c r="H1765" s="456"/>
      <c r="I1765" s="408"/>
      <c r="J1765" s="400"/>
      <c r="K1765" s="401"/>
      <c r="L1765" s="401"/>
      <c r="M1765" s="404"/>
      <c r="N1765" s="404"/>
      <c r="O1765" s="404"/>
      <c r="P1765" s="404"/>
      <c r="Q1765" s="404"/>
      <c r="R1765" s="404"/>
      <c r="S1765" s="404"/>
      <c r="T1765" s="404"/>
      <c r="U1765" s="404"/>
      <c r="V1765" s="404"/>
      <c r="W1765" s="404"/>
      <c r="X1765" s="404"/>
      <c r="Y1765" s="404"/>
      <c r="Z1765" s="404"/>
      <c r="AA1765" s="404"/>
      <c r="AB1765" s="404"/>
      <c r="AC1765" s="404"/>
      <c r="AD1765" s="404"/>
      <c r="AE1765" s="404"/>
      <c r="AF1765" s="404"/>
      <c r="AG1765" s="404"/>
      <c r="AH1765" s="404"/>
      <c r="AI1765" s="404"/>
      <c r="AJ1765" s="404"/>
      <c r="AK1765" s="404"/>
      <c r="AL1765" s="404"/>
      <c r="AM1765" s="404"/>
      <c r="AN1765" s="404"/>
      <c r="AO1765" s="404"/>
      <c r="AP1765" s="404"/>
      <c r="AQ1765" s="404"/>
      <c r="AR1765" s="404"/>
      <c r="AS1765" s="404"/>
      <c r="AT1765" s="404"/>
      <c r="AU1765" s="404"/>
      <c r="AV1765" s="404"/>
      <c r="AW1765" s="404"/>
      <c r="AX1765" s="404"/>
      <c r="AY1765" s="404"/>
      <c r="AZ1765" s="404"/>
      <c r="BA1765" s="404"/>
      <c r="BB1765" s="404"/>
      <c r="BC1765" s="404"/>
      <c r="BD1765" s="404"/>
      <c r="BE1765" s="404"/>
      <c r="BF1765" s="404"/>
      <c r="BG1765" s="404"/>
      <c r="BH1765" s="404"/>
      <c r="BI1765" s="404"/>
      <c r="BJ1765" s="404"/>
      <c r="BK1765" s="404"/>
      <c r="BL1765" s="404"/>
    </row>
    <row r="1766" spans="1:64">
      <c r="A1766" s="426"/>
      <c r="B1766" s="426"/>
      <c r="C1766" s="417" t="s">
        <v>881</v>
      </c>
      <c r="D1766" s="408">
        <v>0.6</v>
      </c>
      <c r="E1766" s="408" t="s">
        <v>375</v>
      </c>
      <c r="F1766" s="408">
        <f>'[161]Civil-SOR'!$G$293</f>
        <v>580</v>
      </c>
      <c r="G1766" s="430">
        <v>1</v>
      </c>
      <c r="H1766" s="456" t="str">
        <f t="shared" ref="H1766:H1768" si="421">IF(E1766="","",IF(E1766="No.","Each",IF(E1766="Nos.","Each",E1766)))</f>
        <v>Each</v>
      </c>
      <c r="I1766" s="408">
        <f t="shared" ref="I1766:I1770" si="422">IF(G1766="",D1766*F1766,(D1766*F1766/G1766))</f>
        <v>348</v>
      </c>
      <c r="J1766" s="400"/>
      <c r="K1766" s="401"/>
      <c r="L1766" s="401"/>
      <c r="M1766" s="404"/>
      <c r="N1766" s="404"/>
      <c r="O1766" s="404"/>
      <c r="P1766" s="404"/>
      <c r="Q1766" s="404"/>
      <c r="R1766" s="404"/>
      <c r="S1766" s="404"/>
      <c r="T1766" s="404"/>
      <c r="U1766" s="404"/>
      <c r="V1766" s="404"/>
      <c r="W1766" s="404"/>
      <c r="X1766" s="404"/>
      <c r="Y1766" s="404"/>
      <c r="Z1766" s="404"/>
      <c r="AA1766" s="404"/>
      <c r="AB1766" s="404"/>
      <c r="AC1766" s="404"/>
      <c r="AD1766" s="404"/>
      <c r="AE1766" s="404"/>
      <c r="AF1766" s="404"/>
      <c r="AG1766" s="404"/>
      <c r="AH1766" s="404"/>
      <c r="AI1766" s="404"/>
      <c r="AJ1766" s="404"/>
      <c r="AK1766" s="404"/>
      <c r="AL1766" s="404"/>
      <c r="AM1766" s="404"/>
      <c r="AN1766" s="404"/>
      <c r="AO1766" s="404"/>
      <c r="AP1766" s="404"/>
      <c r="AQ1766" s="404"/>
      <c r="AR1766" s="404"/>
      <c r="AS1766" s="404"/>
      <c r="AT1766" s="404"/>
      <c r="AU1766" s="404"/>
      <c r="AV1766" s="404"/>
      <c r="AW1766" s="404"/>
      <c r="AX1766" s="404"/>
      <c r="AY1766" s="404"/>
      <c r="AZ1766" s="404"/>
      <c r="BA1766" s="404"/>
      <c r="BB1766" s="404"/>
      <c r="BC1766" s="404"/>
      <c r="BD1766" s="404"/>
      <c r="BE1766" s="404"/>
      <c r="BF1766" s="404"/>
      <c r="BG1766" s="404"/>
      <c r="BH1766" s="404"/>
      <c r="BI1766" s="404"/>
      <c r="BJ1766" s="404"/>
      <c r="BK1766" s="404"/>
      <c r="BL1766" s="404"/>
    </row>
    <row r="1767" spans="1:64">
      <c r="A1767" s="426"/>
      <c r="B1767" s="426"/>
      <c r="C1767" s="417" t="s">
        <v>771</v>
      </c>
      <c r="D1767" s="408">
        <v>0.6</v>
      </c>
      <c r="E1767" s="408" t="s">
        <v>375</v>
      </c>
      <c r="F1767" s="408">
        <f>'[161]Civil-SOR'!$G$302</f>
        <v>550</v>
      </c>
      <c r="G1767" s="430">
        <v>1</v>
      </c>
      <c r="H1767" s="456" t="str">
        <f t="shared" si="421"/>
        <v>Each</v>
      </c>
      <c r="I1767" s="408">
        <f t="shared" si="422"/>
        <v>330</v>
      </c>
      <c r="J1767" s="400"/>
      <c r="K1767" s="401"/>
      <c r="L1767" s="401"/>
      <c r="M1767" s="404"/>
      <c r="N1767" s="404"/>
      <c r="O1767" s="404"/>
      <c r="P1767" s="404"/>
      <c r="Q1767" s="404"/>
      <c r="R1767" s="404"/>
      <c r="S1767" s="404"/>
      <c r="T1767" s="404"/>
      <c r="U1767" s="404"/>
      <c r="V1767" s="404"/>
      <c r="W1767" s="404"/>
      <c r="X1767" s="404"/>
      <c r="Y1767" s="404"/>
      <c r="Z1767" s="404"/>
      <c r="AA1767" s="404"/>
      <c r="AB1767" s="404"/>
      <c r="AC1767" s="404"/>
      <c r="AD1767" s="404"/>
      <c r="AE1767" s="404"/>
      <c r="AF1767" s="404"/>
      <c r="AG1767" s="404"/>
      <c r="AH1767" s="404"/>
      <c r="AI1767" s="404"/>
      <c r="AJ1767" s="404"/>
      <c r="AK1767" s="404"/>
      <c r="AL1767" s="404"/>
      <c r="AM1767" s="404"/>
      <c r="AN1767" s="404"/>
      <c r="AO1767" s="404"/>
      <c r="AP1767" s="404"/>
      <c r="AQ1767" s="404"/>
      <c r="AR1767" s="404"/>
      <c r="AS1767" s="404"/>
      <c r="AT1767" s="404"/>
      <c r="AU1767" s="404"/>
      <c r="AV1767" s="404"/>
      <c r="AW1767" s="404"/>
      <c r="AX1767" s="404"/>
      <c r="AY1767" s="404"/>
      <c r="AZ1767" s="404"/>
      <c r="BA1767" s="404"/>
      <c r="BB1767" s="404"/>
      <c r="BC1767" s="404"/>
      <c r="BD1767" s="404"/>
      <c r="BE1767" s="404"/>
      <c r="BF1767" s="404"/>
      <c r="BG1767" s="404"/>
      <c r="BH1767" s="404"/>
      <c r="BI1767" s="404"/>
      <c r="BJ1767" s="404"/>
      <c r="BK1767" s="404"/>
      <c r="BL1767" s="404"/>
    </row>
    <row r="1768" spans="1:64">
      <c r="A1768" s="426"/>
      <c r="B1768" s="426"/>
      <c r="C1768" s="417" t="s">
        <v>903</v>
      </c>
      <c r="D1768" s="408">
        <v>2.75</v>
      </c>
      <c r="E1768" s="408" t="s">
        <v>375</v>
      </c>
      <c r="F1768" s="408">
        <f>'[161]Civil-SOR'!$G$307</f>
        <v>520</v>
      </c>
      <c r="G1768" s="430">
        <v>1</v>
      </c>
      <c r="H1768" s="456" t="str">
        <f t="shared" si="421"/>
        <v>Each</v>
      </c>
      <c r="I1768" s="408">
        <f t="shared" si="422"/>
        <v>1430</v>
      </c>
      <c r="J1768" s="400"/>
      <c r="K1768" s="401"/>
      <c r="L1768" s="401"/>
      <c r="M1768" s="404"/>
      <c r="N1768" s="404"/>
      <c r="O1768" s="404"/>
      <c r="P1768" s="404"/>
      <c r="Q1768" s="404"/>
      <c r="R1768" s="404"/>
      <c r="S1768" s="404"/>
      <c r="T1768" s="404"/>
      <c r="U1768" s="404"/>
      <c r="V1768" s="404"/>
      <c r="W1768" s="404"/>
      <c r="X1768" s="404"/>
      <c r="Y1768" s="404"/>
      <c r="Z1768" s="404"/>
      <c r="AA1768" s="404"/>
      <c r="AB1768" s="404"/>
      <c r="AC1768" s="404"/>
      <c r="AD1768" s="404"/>
      <c r="AE1768" s="404"/>
      <c r="AF1768" s="404"/>
      <c r="AG1768" s="404"/>
      <c r="AH1768" s="404"/>
      <c r="AI1768" s="404"/>
      <c r="AJ1768" s="404"/>
      <c r="AK1768" s="404"/>
      <c r="AL1768" s="404"/>
      <c r="AM1768" s="404"/>
      <c r="AN1768" s="404"/>
      <c r="AO1768" s="404"/>
      <c r="AP1768" s="404"/>
      <c r="AQ1768" s="404"/>
      <c r="AR1768" s="404"/>
      <c r="AS1768" s="404"/>
      <c r="AT1768" s="404"/>
      <c r="AU1768" s="404"/>
      <c r="AV1768" s="404"/>
      <c r="AW1768" s="404"/>
      <c r="AX1768" s="404"/>
      <c r="AY1768" s="404"/>
      <c r="AZ1768" s="404"/>
      <c r="BA1768" s="404"/>
      <c r="BB1768" s="404"/>
      <c r="BC1768" s="404"/>
      <c r="BD1768" s="404"/>
      <c r="BE1768" s="404"/>
      <c r="BF1768" s="404"/>
      <c r="BG1768" s="404"/>
      <c r="BH1768" s="404"/>
      <c r="BI1768" s="404"/>
      <c r="BJ1768" s="404"/>
      <c r="BK1768" s="404"/>
      <c r="BL1768" s="404"/>
    </row>
    <row r="1769" spans="1:64">
      <c r="A1769" s="426"/>
      <c r="B1769" s="426"/>
      <c r="C1769" s="417" t="str">
        <f>[161]Input!$C$47</f>
        <v>Add for MA @ 40%</v>
      </c>
      <c r="D1769" s="621">
        <f>[161]Input!$D$47</f>
        <v>0.4</v>
      </c>
      <c r="E1769" s="454"/>
      <c r="F1769" s="408">
        <f>SUM(I1766:I1768)</f>
        <v>2108</v>
      </c>
      <c r="G1769" s="410"/>
      <c r="H1769" s="426"/>
      <c r="I1769" s="408">
        <f t="shared" si="422"/>
        <v>843.2</v>
      </c>
      <c r="J1769" s="400"/>
      <c r="K1769" s="401"/>
      <c r="L1769" s="401"/>
      <c r="M1769" s="404"/>
      <c r="N1769" s="404"/>
      <c r="O1769" s="404"/>
      <c r="P1769" s="404"/>
      <c r="Q1769" s="404"/>
      <c r="R1769" s="404"/>
      <c r="S1769" s="404"/>
      <c r="T1769" s="404"/>
      <c r="U1769" s="404"/>
      <c r="V1769" s="404"/>
      <c r="W1769" s="404"/>
      <c r="X1769" s="404"/>
      <c r="Y1769" s="404"/>
      <c r="Z1769" s="404"/>
      <c r="AA1769" s="404"/>
      <c r="AB1769" s="404"/>
      <c r="AC1769" s="404"/>
      <c r="AD1769" s="404"/>
      <c r="AE1769" s="404"/>
      <c r="AF1769" s="404"/>
      <c r="AG1769" s="404"/>
      <c r="AH1769" s="404"/>
      <c r="AI1769" s="404"/>
      <c r="AJ1769" s="404"/>
      <c r="AK1769" s="404"/>
      <c r="AL1769" s="404"/>
      <c r="AM1769" s="404"/>
      <c r="AN1769" s="404"/>
      <c r="AO1769" s="404"/>
      <c r="AP1769" s="404"/>
      <c r="AQ1769" s="404"/>
      <c r="AR1769" s="404"/>
      <c r="AS1769" s="404"/>
      <c r="AT1769" s="404"/>
      <c r="AU1769" s="404"/>
      <c r="AV1769" s="404"/>
      <c r="AW1769" s="404"/>
      <c r="AX1769" s="404"/>
      <c r="AY1769" s="404"/>
      <c r="AZ1769" s="404"/>
      <c r="BA1769" s="404"/>
      <c r="BB1769" s="404"/>
      <c r="BC1769" s="404"/>
      <c r="BD1769" s="404"/>
      <c r="BE1769" s="404"/>
      <c r="BF1769" s="404"/>
      <c r="BG1769" s="404"/>
      <c r="BH1769" s="404"/>
      <c r="BI1769" s="404"/>
      <c r="BJ1769" s="404"/>
      <c r="BK1769" s="404"/>
      <c r="BL1769" s="404"/>
    </row>
    <row r="1770" spans="1:64">
      <c r="A1770" s="426"/>
      <c r="B1770" s="426"/>
      <c r="C1770" s="417" t="s">
        <v>1058</v>
      </c>
      <c r="D1770" s="408">
        <v>0.01</v>
      </c>
      <c r="E1770" s="408"/>
      <c r="F1770" s="408">
        <f>SUM(I1762:I1769)</f>
        <v>8494.2239200000004</v>
      </c>
      <c r="G1770" s="430"/>
      <c r="H1770" s="456"/>
      <c r="I1770" s="408">
        <f t="shared" si="422"/>
        <v>84.942239200000003</v>
      </c>
      <c r="J1770" s="400"/>
      <c r="K1770" s="401"/>
      <c r="L1770" s="401"/>
      <c r="M1770" s="404"/>
      <c r="N1770" s="404"/>
      <c r="O1770" s="404"/>
      <c r="P1770" s="404"/>
      <c r="Q1770" s="404"/>
      <c r="R1770" s="404"/>
      <c r="S1770" s="404"/>
      <c r="T1770" s="404"/>
      <c r="U1770" s="404"/>
      <c r="V1770" s="404"/>
      <c r="W1770" s="404"/>
      <c r="X1770" s="404"/>
      <c r="Y1770" s="404"/>
      <c r="Z1770" s="404"/>
      <c r="AA1770" s="404"/>
      <c r="AB1770" s="404"/>
      <c r="AC1770" s="404"/>
      <c r="AD1770" s="404"/>
      <c r="AE1770" s="404"/>
      <c r="AF1770" s="404"/>
      <c r="AG1770" s="404"/>
      <c r="AH1770" s="404"/>
      <c r="AI1770" s="404"/>
      <c r="AJ1770" s="404"/>
      <c r="AK1770" s="404"/>
      <c r="AL1770" s="404"/>
      <c r="AM1770" s="404"/>
      <c r="AN1770" s="404"/>
      <c r="AO1770" s="404"/>
      <c r="AP1770" s="404"/>
      <c r="AQ1770" s="404"/>
      <c r="AR1770" s="404"/>
      <c r="AS1770" s="404"/>
      <c r="AT1770" s="404"/>
      <c r="AU1770" s="404"/>
      <c r="AV1770" s="404"/>
      <c r="AW1770" s="404"/>
      <c r="AX1770" s="404"/>
      <c r="AY1770" s="404"/>
      <c r="AZ1770" s="404"/>
      <c r="BA1770" s="404"/>
      <c r="BB1770" s="404"/>
      <c r="BC1770" s="404"/>
      <c r="BD1770" s="404"/>
      <c r="BE1770" s="404"/>
      <c r="BF1770" s="404"/>
      <c r="BG1770" s="404"/>
      <c r="BH1770" s="404"/>
      <c r="BI1770" s="404"/>
      <c r="BJ1770" s="404"/>
      <c r="BK1770" s="404"/>
      <c r="BL1770" s="404"/>
    </row>
    <row r="1771" spans="1:64" ht="13">
      <c r="A1771" s="426"/>
      <c r="B1771" s="426"/>
      <c r="C1771" s="481" t="s">
        <v>741</v>
      </c>
      <c r="D1771" s="408"/>
      <c r="E1771" s="408"/>
      <c r="F1771" s="408"/>
      <c r="G1771" s="430"/>
      <c r="H1771" s="415"/>
      <c r="I1771" s="414">
        <f>SUM(I1762:I1770)</f>
        <v>8579.1661592</v>
      </c>
      <c r="J1771" s="411"/>
      <c r="K1771" s="412"/>
      <c r="L1771" s="412"/>
      <c r="M1771" s="413"/>
      <c r="N1771" s="413"/>
      <c r="O1771" s="413"/>
      <c r="P1771" s="413"/>
      <c r="Q1771" s="413"/>
      <c r="R1771" s="413"/>
      <c r="S1771" s="413"/>
      <c r="T1771" s="413"/>
      <c r="U1771" s="413"/>
      <c r="V1771" s="413"/>
      <c r="W1771" s="413"/>
      <c r="X1771" s="413"/>
      <c r="Y1771" s="413"/>
      <c r="Z1771" s="413"/>
      <c r="AA1771" s="413"/>
      <c r="AB1771" s="413"/>
      <c r="AC1771" s="413"/>
      <c r="AD1771" s="413"/>
      <c r="AE1771" s="413"/>
      <c r="AF1771" s="413"/>
      <c r="AG1771" s="413"/>
      <c r="AH1771" s="413"/>
      <c r="AI1771" s="413"/>
      <c r="AJ1771" s="413"/>
      <c r="AK1771" s="413"/>
      <c r="AL1771" s="413"/>
      <c r="AM1771" s="413"/>
      <c r="AN1771" s="413"/>
      <c r="AO1771" s="413"/>
      <c r="AP1771" s="413"/>
      <c r="AQ1771" s="413"/>
      <c r="AR1771" s="413"/>
      <c r="AS1771" s="413"/>
      <c r="AT1771" s="413"/>
      <c r="AU1771" s="413"/>
      <c r="AV1771" s="413"/>
      <c r="AW1771" s="413"/>
      <c r="AX1771" s="413"/>
      <c r="AY1771" s="413"/>
      <c r="AZ1771" s="413"/>
      <c r="BA1771" s="413"/>
      <c r="BB1771" s="413"/>
      <c r="BC1771" s="413"/>
      <c r="BD1771" s="413"/>
      <c r="BE1771" s="413"/>
      <c r="BF1771" s="413"/>
      <c r="BG1771" s="413"/>
      <c r="BH1771" s="413"/>
      <c r="BI1771" s="413"/>
      <c r="BJ1771" s="413"/>
      <c r="BK1771" s="413"/>
      <c r="BL1771" s="413"/>
    </row>
    <row r="1772" spans="1:64" ht="13">
      <c r="A1772" s="426"/>
      <c r="B1772" s="426"/>
      <c r="C1772" s="481" t="s">
        <v>742</v>
      </c>
      <c r="D1772" s="408"/>
      <c r="E1772" s="408"/>
      <c r="F1772" s="408"/>
      <c r="G1772" s="430"/>
      <c r="H1772" s="415"/>
      <c r="I1772" s="414">
        <f>ROUND(I1771/10,2)</f>
        <v>857.92</v>
      </c>
      <c r="J1772" s="411"/>
      <c r="K1772" s="412"/>
      <c r="L1772" s="412"/>
      <c r="M1772" s="413"/>
      <c r="N1772" s="413"/>
      <c r="O1772" s="413"/>
      <c r="P1772" s="413"/>
      <c r="Q1772" s="413"/>
      <c r="R1772" s="413"/>
      <c r="S1772" s="413"/>
      <c r="T1772" s="413"/>
      <c r="U1772" s="413"/>
      <c r="V1772" s="413"/>
      <c r="W1772" s="413"/>
      <c r="X1772" s="413"/>
      <c r="Y1772" s="413"/>
      <c r="Z1772" s="413"/>
      <c r="AA1772" s="413"/>
      <c r="AB1772" s="413"/>
      <c r="AC1772" s="413"/>
      <c r="AD1772" s="413"/>
      <c r="AE1772" s="413"/>
      <c r="AF1772" s="413"/>
      <c r="AG1772" s="413"/>
      <c r="AH1772" s="413"/>
      <c r="AI1772" s="413"/>
      <c r="AJ1772" s="413"/>
      <c r="AK1772" s="413"/>
      <c r="AL1772" s="413"/>
      <c r="AM1772" s="413"/>
      <c r="AN1772" s="413"/>
      <c r="AO1772" s="413"/>
      <c r="AP1772" s="413"/>
      <c r="AQ1772" s="413"/>
      <c r="AR1772" s="413"/>
      <c r="AS1772" s="413"/>
      <c r="AT1772" s="413"/>
      <c r="AU1772" s="413"/>
      <c r="AV1772" s="413"/>
      <c r="AW1772" s="413"/>
      <c r="AX1772" s="413"/>
      <c r="AY1772" s="413"/>
      <c r="AZ1772" s="413"/>
      <c r="BA1772" s="413"/>
      <c r="BB1772" s="413"/>
      <c r="BC1772" s="413"/>
      <c r="BD1772" s="413"/>
      <c r="BE1772" s="413"/>
      <c r="BF1772" s="413"/>
      <c r="BG1772" s="413"/>
      <c r="BH1772" s="413"/>
      <c r="BI1772" s="413"/>
      <c r="BJ1772" s="413"/>
      <c r="BK1772" s="413"/>
      <c r="BL1772" s="413"/>
    </row>
    <row r="1773" spans="1:64" ht="13">
      <c r="A1773" s="426"/>
      <c r="B1773" s="426"/>
      <c r="C1773" s="427"/>
      <c r="D1773" s="408"/>
      <c r="E1773" s="408"/>
      <c r="F1773" s="408"/>
      <c r="G1773" s="430"/>
      <c r="H1773" s="415"/>
      <c r="I1773" s="414"/>
      <c r="J1773" s="400"/>
      <c r="K1773" s="401"/>
      <c r="L1773" s="401"/>
    </row>
    <row r="1774" spans="1:64" ht="13">
      <c r="A1774" s="426"/>
      <c r="B1774" s="426"/>
      <c r="C1774" s="481" t="s">
        <v>953</v>
      </c>
      <c r="D1774" s="414" t="s">
        <v>959</v>
      </c>
      <c r="E1774" s="416" t="s">
        <v>943</v>
      </c>
      <c r="F1774" s="415" t="s">
        <v>944</v>
      </c>
      <c r="G1774" s="414" t="s">
        <v>1036</v>
      </c>
      <c r="H1774" s="414" t="s">
        <v>1037</v>
      </c>
      <c r="I1774" s="414" t="s">
        <v>1038</v>
      </c>
      <c r="J1774" s="535" t="s">
        <v>948</v>
      </c>
      <c r="K1774" s="536" t="s">
        <v>949</v>
      </c>
      <c r="L1774" s="536" t="s">
        <v>950</v>
      </c>
      <c r="M1774" s="554"/>
      <c r="N1774" s="554"/>
      <c r="O1774" s="554"/>
      <c r="P1774" s="554"/>
      <c r="Q1774" s="554"/>
      <c r="R1774" s="554"/>
      <c r="S1774" s="554"/>
      <c r="T1774" s="554"/>
      <c r="U1774" s="554"/>
      <c r="V1774" s="554"/>
      <c r="W1774" s="554"/>
      <c r="X1774" s="554"/>
      <c r="Y1774" s="554"/>
      <c r="Z1774" s="554"/>
      <c r="AA1774" s="554"/>
      <c r="AB1774" s="554"/>
      <c r="AC1774" s="554"/>
      <c r="AD1774" s="554"/>
      <c r="AE1774" s="554"/>
      <c r="AF1774" s="554"/>
      <c r="AG1774" s="554"/>
      <c r="AH1774" s="554"/>
      <c r="AI1774" s="554"/>
      <c r="AJ1774" s="554"/>
      <c r="AK1774" s="554"/>
      <c r="AL1774" s="554"/>
      <c r="AM1774" s="554"/>
      <c r="AN1774" s="554"/>
      <c r="AO1774" s="554"/>
      <c r="AP1774" s="554"/>
      <c r="AQ1774" s="554"/>
      <c r="AR1774" s="554"/>
      <c r="AS1774" s="554"/>
      <c r="AT1774" s="554"/>
      <c r="AU1774" s="554"/>
      <c r="AV1774" s="554"/>
      <c r="AW1774" s="554"/>
      <c r="AX1774" s="554"/>
      <c r="AY1774" s="554"/>
      <c r="AZ1774" s="554"/>
      <c r="BA1774" s="554"/>
      <c r="BB1774" s="554"/>
      <c r="BC1774" s="554"/>
      <c r="BD1774" s="554"/>
      <c r="BE1774" s="554"/>
      <c r="BF1774" s="554"/>
      <c r="BG1774" s="554"/>
      <c r="BH1774" s="554"/>
      <c r="BI1774" s="554"/>
      <c r="BJ1774" s="554"/>
      <c r="BK1774" s="554"/>
      <c r="BL1774" s="554"/>
    </row>
    <row r="1775" spans="1:64">
      <c r="A1775" s="406"/>
      <c r="B1775" s="406"/>
      <c r="C1775" s="417" t="s">
        <v>1064</v>
      </c>
      <c r="D1775" s="459">
        <f t="shared" ref="D1775:L1775" si="423">$I$1772</f>
        <v>857.92</v>
      </c>
      <c r="E1775" s="459">
        <f t="shared" si="423"/>
        <v>857.92</v>
      </c>
      <c r="F1775" s="459">
        <f t="shared" si="423"/>
        <v>857.92</v>
      </c>
      <c r="G1775" s="459">
        <f t="shared" si="423"/>
        <v>857.92</v>
      </c>
      <c r="H1775" s="459">
        <f t="shared" si="423"/>
        <v>857.92</v>
      </c>
      <c r="I1775" s="459">
        <f t="shared" si="423"/>
        <v>857.92</v>
      </c>
      <c r="J1775" s="565">
        <f t="shared" si="423"/>
        <v>857.92</v>
      </c>
      <c r="K1775" s="600">
        <f t="shared" si="423"/>
        <v>857.92</v>
      </c>
      <c r="L1775" s="600">
        <f t="shared" si="423"/>
        <v>857.92</v>
      </c>
      <c r="M1775" s="559"/>
      <c r="N1775" s="559"/>
      <c r="O1775" s="559"/>
      <c r="P1775" s="559"/>
      <c r="Q1775" s="559"/>
      <c r="R1775" s="559"/>
      <c r="S1775" s="559"/>
      <c r="T1775" s="559"/>
      <c r="U1775" s="559"/>
      <c r="V1775" s="559"/>
      <c r="W1775" s="559"/>
      <c r="X1775" s="559"/>
      <c r="Y1775" s="559"/>
      <c r="Z1775" s="559"/>
      <c r="AA1775" s="559"/>
      <c r="AB1775" s="559"/>
      <c r="AC1775" s="559"/>
      <c r="AD1775" s="559"/>
      <c r="AE1775" s="559"/>
      <c r="AF1775" s="559"/>
      <c r="AG1775" s="559"/>
      <c r="AH1775" s="559"/>
      <c r="AI1775" s="559"/>
      <c r="AJ1775" s="559"/>
      <c r="AK1775" s="559"/>
      <c r="AL1775" s="559"/>
      <c r="AM1775" s="559"/>
      <c r="AN1775" s="559"/>
      <c r="AO1775" s="559"/>
      <c r="AP1775" s="559"/>
      <c r="AQ1775" s="559"/>
      <c r="AR1775" s="559"/>
      <c r="AS1775" s="559"/>
      <c r="AT1775" s="559"/>
      <c r="AU1775" s="559"/>
      <c r="AV1775" s="559"/>
      <c r="AW1775" s="559"/>
      <c r="AX1775" s="559"/>
      <c r="AY1775" s="559"/>
      <c r="AZ1775" s="559"/>
      <c r="BA1775" s="559"/>
      <c r="BB1775" s="559"/>
      <c r="BC1775" s="559"/>
      <c r="BD1775" s="559"/>
      <c r="BE1775" s="559"/>
      <c r="BF1775" s="559"/>
      <c r="BG1775" s="559"/>
      <c r="BH1775" s="559"/>
      <c r="BI1775" s="559"/>
      <c r="BJ1775" s="559"/>
      <c r="BK1775" s="559"/>
      <c r="BL1775" s="559"/>
    </row>
    <row r="1776" spans="1:64">
      <c r="A1776" s="406"/>
      <c r="B1776" s="406"/>
      <c r="C1776" s="417" t="s">
        <v>1059</v>
      </c>
      <c r="D1776" s="459">
        <f>'[161]Civil-SOR'!$F$222</f>
        <v>11.66</v>
      </c>
      <c r="E1776" s="459">
        <f>'[161]Civil-SOR'!$F$223</f>
        <v>11.66</v>
      </c>
      <c r="F1776" s="459">
        <f>'[161]Civil-SOR'!$F$224</f>
        <v>11.66</v>
      </c>
      <c r="G1776" s="459">
        <f>'[161]Civil-SOR'!$F$225</f>
        <v>11.66</v>
      </c>
      <c r="H1776" s="459">
        <f>'[161]Civil-SOR'!$F$225</f>
        <v>11.66</v>
      </c>
      <c r="I1776" s="459">
        <f>'[161]Civil-SOR'!$F$225</f>
        <v>11.66</v>
      </c>
      <c r="J1776" s="565">
        <f>'[161]Civil-SOR'!$F$225</f>
        <v>11.66</v>
      </c>
      <c r="K1776" s="600">
        <f>'[161]Civil-SOR'!$F$225</f>
        <v>11.66</v>
      </c>
      <c r="L1776" s="600">
        <f>'[161]Civil-SOR'!$F$225</f>
        <v>11.66</v>
      </c>
      <c r="M1776" s="559"/>
      <c r="N1776" s="559"/>
      <c r="O1776" s="559"/>
      <c r="P1776" s="559"/>
      <c r="Q1776" s="559"/>
      <c r="R1776" s="559"/>
      <c r="S1776" s="559"/>
      <c r="T1776" s="559"/>
      <c r="U1776" s="559"/>
      <c r="V1776" s="559"/>
      <c r="W1776" s="559"/>
      <c r="X1776" s="559"/>
      <c r="Y1776" s="559"/>
      <c r="Z1776" s="559"/>
      <c r="AA1776" s="559"/>
      <c r="AB1776" s="559"/>
      <c r="AC1776" s="559"/>
      <c r="AD1776" s="559"/>
      <c r="AE1776" s="559"/>
      <c r="AF1776" s="559"/>
      <c r="AG1776" s="559"/>
      <c r="AH1776" s="559"/>
      <c r="AI1776" s="559"/>
      <c r="AJ1776" s="559"/>
      <c r="AK1776" s="559"/>
      <c r="AL1776" s="559"/>
      <c r="AM1776" s="559"/>
      <c r="AN1776" s="559"/>
      <c r="AO1776" s="559"/>
      <c r="AP1776" s="559"/>
      <c r="AQ1776" s="559"/>
      <c r="AR1776" s="559"/>
      <c r="AS1776" s="559"/>
      <c r="AT1776" s="559"/>
      <c r="AU1776" s="559"/>
      <c r="AV1776" s="559"/>
      <c r="AW1776" s="559"/>
      <c r="AX1776" s="559"/>
      <c r="AY1776" s="559"/>
      <c r="AZ1776" s="559"/>
      <c r="BA1776" s="559"/>
      <c r="BB1776" s="559"/>
      <c r="BC1776" s="559"/>
      <c r="BD1776" s="559"/>
      <c r="BE1776" s="559"/>
      <c r="BF1776" s="559"/>
      <c r="BG1776" s="559"/>
      <c r="BH1776" s="559"/>
      <c r="BI1776" s="559"/>
      <c r="BJ1776" s="559"/>
      <c r="BK1776" s="559"/>
      <c r="BL1776" s="559"/>
    </row>
    <row r="1777" spans="1:64">
      <c r="A1777" s="406"/>
      <c r="B1777" s="406"/>
      <c r="C1777" s="417" t="s">
        <v>1060</v>
      </c>
      <c r="D1777" s="459">
        <f>'[161]Civil-SOR'!$G$222</f>
        <v>94.29</v>
      </c>
      <c r="E1777" s="459">
        <f>'[161]Civil-SOR'!$G$223</f>
        <v>135.61000000000001</v>
      </c>
      <c r="F1777" s="459">
        <f>'[161]Civil-SOR'!$G$224</f>
        <v>176.93</v>
      </c>
      <c r="G1777" s="459">
        <f>'[161]Civil-SOR'!$G$225</f>
        <v>218.25</v>
      </c>
      <c r="H1777" s="459">
        <f>'[161]Civil-SOR'!$G$226</f>
        <v>259.57</v>
      </c>
      <c r="I1777" s="459">
        <f>'[161]Civil-SOR'!$G$227</f>
        <v>300.89</v>
      </c>
      <c r="J1777" s="565">
        <f>'[161]Civil-SOR'!$G$228</f>
        <v>342.42</v>
      </c>
      <c r="K1777" s="600">
        <f>'[161]Civil-SOR'!$G$229</f>
        <v>383.52</v>
      </c>
      <c r="L1777" s="600">
        <f>'[161]Civil-SOR'!$G$230</f>
        <v>424.84</v>
      </c>
      <c r="M1777" s="559"/>
      <c r="N1777" s="559"/>
      <c r="O1777" s="559"/>
      <c r="P1777" s="559"/>
      <c r="Q1777" s="559"/>
      <c r="R1777" s="559"/>
      <c r="S1777" s="559"/>
      <c r="T1777" s="559"/>
      <c r="U1777" s="559"/>
      <c r="V1777" s="559"/>
      <c r="W1777" s="559"/>
      <c r="X1777" s="559"/>
      <c r="Y1777" s="559"/>
      <c r="Z1777" s="559"/>
      <c r="AA1777" s="559"/>
      <c r="AB1777" s="559"/>
      <c r="AC1777" s="559"/>
      <c r="AD1777" s="559"/>
      <c r="AE1777" s="559"/>
      <c r="AF1777" s="559"/>
      <c r="AG1777" s="559"/>
      <c r="AH1777" s="559"/>
      <c r="AI1777" s="559"/>
      <c r="AJ1777" s="559"/>
      <c r="AK1777" s="559"/>
      <c r="AL1777" s="559"/>
      <c r="AM1777" s="559"/>
      <c r="AN1777" s="559"/>
      <c r="AO1777" s="559"/>
      <c r="AP1777" s="559"/>
      <c r="AQ1777" s="559"/>
      <c r="AR1777" s="559"/>
      <c r="AS1777" s="559"/>
      <c r="AT1777" s="559"/>
      <c r="AU1777" s="559"/>
      <c r="AV1777" s="559"/>
      <c r="AW1777" s="559"/>
      <c r="AX1777" s="559"/>
      <c r="AY1777" s="559"/>
      <c r="AZ1777" s="559"/>
      <c r="BA1777" s="559"/>
      <c r="BB1777" s="559"/>
      <c r="BC1777" s="559"/>
      <c r="BD1777" s="559"/>
      <c r="BE1777" s="559"/>
      <c r="BF1777" s="559"/>
      <c r="BG1777" s="559"/>
      <c r="BH1777" s="559"/>
      <c r="BI1777" s="559"/>
      <c r="BJ1777" s="559"/>
      <c r="BK1777" s="559"/>
      <c r="BL1777" s="559"/>
    </row>
    <row r="1778" spans="1:64">
      <c r="A1778" s="406"/>
      <c r="B1778" s="406"/>
      <c r="C1778" s="417" t="str">
        <f>[161]Input!$C$47</f>
        <v>Add for MA @ 40%</v>
      </c>
      <c r="D1778" s="459">
        <f>D1777*[161]Input!$D$47</f>
        <v>37.716000000000001</v>
      </c>
      <c r="E1778" s="459">
        <f>E1777*[161]Input!$D$47</f>
        <v>54.244000000000007</v>
      </c>
      <c r="F1778" s="459">
        <f>F1777*[161]Input!$D$47</f>
        <v>70.772000000000006</v>
      </c>
      <c r="G1778" s="459">
        <f>G1777*[161]Input!$D$47</f>
        <v>87.300000000000011</v>
      </c>
      <c r="H1778" s="459">
        <f>H1777*[161]Input!$D$47</f>
        <v>103.828</v>
      </c>
      <c r="I1778" s="459">
        <f>I1777*[161]Input!$D$47</f>
        <v>120.35599999999999</v>
      </c>
      <c r="J1778" s="565">
        <f>J1777*[161]Input!$D$47</f>
        <v>136.96800000000002</v>
      </c>
      <c r="K1778" s="600">
        <f>K1777*[161]Input!$D$47</f>
        <v>153.40799999999999</v>
      </c>
      <c r="L1778" s="600">
        <f>L1777*[161]Input!$D$47</f>
        <v>169.93600000000001</v>
      </c>
      <c r="M1778" s="559"/>
      <c r="N1778" s="559"/>
      <c r="O1778" s="559"/>
      <c r="P1778" s="559"/>
      <c r="Q1778" s="559"/>
      <c r="R1778" s="559"/>
      <c r="S1778" s="559"/>
      <c r="T1778" s="559"/>
      <c r="U1778" s="559"/>
      <c r="V1778" s="559"/>
      <c r="W1778" s="559"/>
      <c r="X1778" s="559"/>
      <c r="Y1778" s="559"/>
      <c r="Z1778" s="559"/>
      <c r="AA1778" s="559"/>
      <c r="AB1778" s="559"/>
      <c r="AC1778" s="559"/>
      <c r="AD1778" s="559"/>
      <c r="AE1778" s="559"/>
      <c r="AF1778" s="559"/>
      <c r="AG1778" s="559"/>
      <c r="AH1778" s="559"/>
      <c r="AI1778" s="559"/>
      <c r="AJ1778" s="559"/>
      <c r="AK1778" s="559"/>
      <c r="AL1778" s="559"/>
      <c r="AM1778" s="559"/>
      <c r="AN1778" s="559"/>
      <c r="AO1778" s="559"/>
      <c r="AP1778" s="559"/>
      <c r="AQ1778" s="559"/>
      <c r="AR1778" s="559"/>
      <c r="AS1778" s="559"/>
      <c r="AT1778" s="559"/>
      <c r="AU1778" s="559"/>
      <c r="AV1778" s="559"/>
      <c r="AW1778" s="559"/>
      <c r="AX1778" s="559"/>
      <c r="AY1778" s="559"/>
      <c r="AZ1778" s="559"/>
      <c r="BA1778" s="559"/>
      <c r="BB1778" s="559"/>
      <c r="BC1778" s="559"/>
      <c r="BD1778" s="559"/>
      <c r="BE1778" s="559"/>
      <c r="BF1778" s="559"/>
      <c r="BG1778" s="559"/>
      <c r="BH1778" s="559"/>
      <c r="BI1778" s="559"/>
      <c r="BJ1778" s="559"/>
      <c r="BK1778" s="559"/>
      <c r="BL1778" s="559"/>
    </row>
    <row r="1779" spans="1:64">
      <c r="A1779" s="406"/>
      <c r="B1779" s="406"/>
      <c r="C1779" s="417" t="s">
        <v>994</v>
      </c>
      <c r="D1779" s="459">
        <v>0</v>
      </c>
      <c r="E1779" s="459">
        <f>ROUND($F$1769/10*10%,2)</f>
        <v>21.08</v>
      </c>
      <c r="F1779" s="459">
        <f>ROUND($F$1769/10*20%,2)</f>
        <v>42.16</v>
      </c>
      <c r="G1779" s="459">
        <f>ROUND($F$1769/10*30%,2)</f>
        <v>63.24</v>
      </c>
      <c r="H1779" s="459">
        <f>ROUND($F$1769/10*40%,2)</f>
        <v>84.32</v>
      </c>
      <c r="I1779" s="459">
        <f>ROUND($F$1769/10*50%,2)</f>
        <v>105.4</v>
      </c>
      <c r="J1779" s="565">
        <f>ROUND($F$1769/10*60%,2)</f>
        <v>126.48</v>
      </c>
      <c r="K1779" s="600">
        <f>ROUND($F$1769/10*70%,2)</f>
        <v>147.56</v>
      </c>
      <c r="L1779" s="600">
        <f>ROUND($F$1769/10*80%,2)</f>
        <v>168.64</v>
      </c>
      <c r="M1779" s="559"/>
      <c r="N1779" s="559"/>
      <c r="O1779" s="559"/>
      <c r="P1779" s="559"/>
      <c r="Q1779" s="559"/>
      <c r="R1779" s="559"/>
      <c r="S1779" s="559"/>
      <c r="T1779" s="559"/>
      <c r="U1779" s="559"/>
      <c r="V1779" s="559"/>
      <c r="W1779" s="559"/>
      <c r="X1779" s="559"/>
      <c r="Y1779" s="559"/>
      <c r="Z1779" s="559"/>
      <c r="AA1779" s="559"/>
      <c r="AB1779" s="559"/>
      <c r="AC1779" s="559"/>
      <c r="AD1779" s="559"/>
      <c r="AE1779" s="559"/>
      <c r="AF1779" s="559"/>
      <c r="AG1779" s="559"/>
      <c r="AH1779" s="559"/>
      <c r="AI1779" s="559"/>
      <c r="AJ1779" s="559"/>
      <c r="AK1779" s="559"/>
      <c r="AL1779" s="559"/>
      <c r="AM1779" s="559"/>
      <c r="AN1779" s="559"/>
      <c r="AO1779" s="559"/>
      <c r="AP1779" s="559"/>
      <c r="AQ1779" s="559"/>
      <c r="AR1779" s="559"/>
      <c r="AS1779" s="559"/>
      <c r="AT1779" s="559"/>
      <c r="AU1779" s="559"/>
      <c r="AV1779" s="559"/>
      <c r="AW1779" s="559"/>
      <c r="AX1779" s="559"/>
      <c r="AY1779" s="559"/>
      <c r="AZ1779" s="559"/>
      <c r="BA1779" s="559"/>
      <c r="BB1779" s="559"/>
      <c r="BC1779" s="559"/>
      <c r="BD1779" s="559"/>
      <c r="BE1779" s="559"/>
      <c r="BF1779" s="559"/>
      <c r="BG1779" s="559"/>
      <c r="BH1779" s="559"/>
      <c r="BI1779" s="559"/>
      <c r="BJ1779" s="559"/>
      <c r="BK1779" s="559"/>
      <c r="BL1779" s="559"/>
    </row>
    <row r="1780" spans="1:64">
      <c r="A1780" s="406"/>
      <c r="B1780" s="406"/>
      <c r="C1780" s="417" t="str">
        <f>[161]Input!C47</f>
        <v>Add for MA @ 40%</v>
      </c>
      <c r="D1780" s="459">
        <f>D1779*[161]Input!$D$47</f>
        <v>0</v>
      </c>
      <c r="E1780" s="459">
        <f>E1779*[161]Input!$D$47</f>
        <v>8.4320000000000004</v>
      </c>
      <c r="F1780" s="459">
        <f>F1779*[161]Input!$D$47</f>
        <v>16.864000000000001</v>
      </c>
      <c r="G1780" s="459">
        <f>G1779*[161]Input!$D$47</f>
        <v>25.296000000000003</v>
      </c>
      <c r="H1780" s="459">
        <f>H1779*[161]Input!$D$47</f>
        <v>33.728000000000002</v>
      </c>
      <c r="I1780" s="459">
        <f>I1779*[161]Input!$D$47</f>
        <v>42.160000000000004</v>
      </c>
      <c r="J1780" s="565">
        <f>J1779*[161]Input!$D$47</f>
        <v>50.592000000000006</v>
      </c>
      <c r="K1780" s="600">
        <f>K1779*[161]Input!$D$47</f>
        <v>59.024000000000001</v>
      </c>
      <c r="L1780" s="600">
        <f>L1779*[161]Input!$D$47</f>
        <v>67.456000000000003</v>
      </c>
      <c r="M1780" s="559"/>
      <c r="N1780" s="559"/>
      <c r="O1780" s="559"/>
      <c r="P1780" s="559"/>
      <c r="Q1780" s="559"/>
      <c r="R1780" s="559"/>
      <c r="S1780" s="559"/>
      <c r="T1780" s="559"/>
      <c r="U1780" s="559"/>
      <c r="V1780" s="559"/>
      <c r="W1780" s="559"/>
      <c r="X1780" s="559"/>
      <c r="Y1780" s="559"/>
      <c r="Z1780" s="559"/>
      <c r="AA1780" s="559"/>
      <c r="AB1780" s="559"/>
      <c r="AC1780" s="559"/>
      <c r="AD1780" s="559"/>
      <c r="AE1780" s="559"/>
      <c r="AF1780" s="559"/>
      <c r="AG1780" s="559"/>
      <c r="AH1780" s="559"/>
      <c r="AI1780" s="559"/>
      <c r="AJ1780" s="559"/>
      <c r="AK1780" s="559"/>
      <c r="AL1780" s="559"/>
      <c r="AM1780" s="559"/>
      <c r="AN1780" s="559"/>
      <c r="AO1780" s="559"/>
      <c r="AP1780" s="559"/>
      <c r="AQ1780" s="559"/>
      <c r="AR1780" s="559"/>
      <c r="AS1780" s="559"/>
      <c r="AT1780" s="559"/>
      <c r="AU1780" s="559"/>
      <c r="AV1780" s="559"/>
      <c r="AW1780" s="559"/>
      <c r="AX1780" s="559"/>
      <c r="AY1780" s="559"/>
      <c r="AZ1780" s="559"/>
      <c r="BA1780" s="559"/>
      <c r="BB1780" s="559"/>
      <c r="BC1780" s="559"/>
      <c r="BD1780" s="559"/>
      <c r="BE1780" s="559"/>
      <c r="BF1780" s="559"/>
      <c r="BG1780" s="559"/>
      <c r="BH1780" s="559"/>
      <c r="BI1780" s="559"/>
      <c r="BJ1780" s="559"/>
      <c r="BK1780" s="559"/>
      <c r="BL1780" s="559"/>
    </row>
    <row r="1781" spans="1:64" ht="13">
      <c r="A1781" s="406"/>
      <c r="B1781" s="406"/>
      <c r="C1781" s="427" t="s">
        <v>742</v>
      </c>
      <c r="D1781" s="461">
        <f t="shared" ref="D1781:L1781" si="424">SUM(D1775:D1780)</f>
        <v>1001.5859999999999</v>
      </c>
      <c r="E1781" s="461">
        <f t="shared" si="424"/>
        <v>1088.9459999999999</v>
      </c>
      <c r="F1781" s="461">
        <f t="shared" si="424"/>
        <v>1176.306</v>
      </c>
      <c r="G1781" s="461">
        <f t="shared" si="424"/>
        <v>1263.6659999999999</v>
      </c>
      <c r="H1781" s="461">
        <f t="shared" si="424"/>
        <v>1351.0259999999998</v>
      </c>
      <c r="I1781" s="461">
        <f t="shared" si="424"/>
        <v>1438.386</v>
      </c>
      <c r="J1781" s="626">
        <f t="shared" si="424"/>
        <v>1526.0400000000002</v>
      </c>
      <c r="K1781" s="627">
        <f t="shared" si="424"/>
        <v>1613.0919999999996</v>
      </c>
      <c r="L1781" s="627">
        <f t="shared" si="424"/>
        <v>1700.4519999999995</v>
      </c>
      <c r="M1781" s="559"/>
      <c r="N1781" s="559"/>
      <c r="O1781" s="559"/>
      <c r="P1781" s="559"/>
      <c r="Q1781" s="559"/>
      <c r="R1781" s="559"/>
      <c r="S1781" s="559"/>
      <c r="T1781" s="559"/>
      <c r="U1781" s="559"/>
      <c r="V1781" s="559"/>
      <c r="W1781" s="559"/>
      <c r="X1781" s="559"/>
      <c r="Y1781" s="559"/>
      <c r="Z1781" s="559"/>
      <c r="AA1781" s="559"/>
      <c r="AB1781" s="559"/>
      <c r="AC1781" s="559"/>
      <c r="AD1781" s="559"/>
      <c r="AE1781" s="559"/>
      <c r="AF1781" s="559"/>
      <c r="AG1781" s="559"/>
      <c r="AH1781" s="559"/>
      <c r="AI1781" s="559"/>
      <c r="AJ1781" s="559"/>
      <c r="AK1781" s="559"/>
      <c r="AL1781" s="559"/>
      <c r="AM1781" s="559"/>
      <c r="AN1781" s="559"/>
      <c r="AO1781" s="559"/>
      <c r="AP1781" s="559"/>
      <c r="AQ1781" s="559"/>
      <c r="AR1781" s="559"/>
      <c r="AS1781" s="559"/>
      <c r="AT1781" s="559"/>
      <c r="AU1781" s="559"/>
      <c r="AV1781" s="559"/>
      <c r="AW1781" s="559"/>
      <c r="AX1781" s="559"/>
      <c r="AY1781" s="559"/>
      <c r="AZ1781" s="559"/>
      <c r="BA1781" s="559"/>
      <c r="BB1781" s="559"/>
      <c r="BC1781" s="559"/>
      <c r="BD1781" s="559"/>
      <c r="BE1781" s="559"/>
      <c r="BF1781" s="559"/>
      <c r="BG1781" s="559"/>
      <c r="BH1781" s="559"/>
      <c r="BI1781" s="559"/>
      <c r="BJ1781" s="559"/>
      <c r="BK1781" s="559"/>
      <c r="BL1781" s="559"/>
    </row>
    <row r="1782" spans="1:64" ht="25">
      <c r="A1782" s="406"/>
      <c r="B1782" s="406"/>
      <c r="C1782" s="417" t="str">
        <f>[161]Input!$C$48</f>
        <v>Overheads &amp; Contractors Profit @ 13.615%</v>
      </c>
      <c r="D1782" s="432">
        <f>ROUND(D1781*[161]Input!$D$48,2)</f>
        <v>136.37</v>
      </c>
      <c r="E1782" s="406">
        <f>ROUND(E1781*[161]Input!$D$48,2)</f>
        <v>148.26</v>
      </c>
      <c r="F1782" s="406">
        <f>ROUND(F1781*[161]Input!$D$48,2)</f>
        <v>160.15</v>
      </c>
      <c r="G1782" s="406">
        <f>ROUND(G1781*[161]Input!$D$48,2)</f>
        <v>172.05</v>
      </c>
      <c r="H1782" s="406">
        <f>ROUND(H1781*[161]Input!$D$48,2)</f>
        <v>183.94</v>
      </c>
      <c r="I1782" s="406">
        <f>ROUND(I1781*[161]Input!$D$48,2)</f>
        <v>195.84</v>
      </c>
      <c r="J1782" s="539">
        <f>ROUND(J1781*[161]Input!$D$48,2)</f>
        <v>207.77</v>
      </c>
      <c r="K1782" s="540">
        <f>ROUND(K1781*[161]Input!$D$48,2)</f>
        <v>219.62</v>
      </c>
      <c r="L1782" s="540">
        <f>ROUND(L1781*[161]Input!$D$48,2)</f>
        <v>231.52</v>
      </c>
      <c r="M1782" s="559"/>
      <c r="N1782" s="559"/>
      <c r="O1782" s="559"/>
      <c r="P1782" s="559"/>
      <c r="Q1782" s="559"/>
      <c r="R1782" s="559"/>
      <c r="S1782" s="559"/>
      <c r="T1782" s="559"/>
      <c r="U1782" s="559"/>
      <c r="V1782" s="559"/>
      <c r="W1782" s="559"/>
      <c r="X1782" s="559"/>
      <c r="Y1782" s="559"/>
      <c r="Z1782" s="559"/>
      <c r="AA1782" s="559"/>
      <c r="AB1782" s="559"/>
      <c r="AC1782" s="559"/>
      <c r="AD1782" s="559"/>
      <c r="AE1782" s="559"/>
      <c r="AF1782" s="559"/>
      <c r="AG1782" s="559"/>
      <c r="AH1782" s="559"/>
      <c r="AI1782" s="559"/>
      <c r="AJ1782" s="559"/>
      <c r="AK1782" s="559"/>
      <c r="AL1782" s="559"/>
      <c r="AM1782" s="559"/>
      <c r="AN1782" s="559"/>
      <c r="AO1782" s="559"/>
      <c r="AP1782" s="559"/>
      <c r="AQ1782" s="559"/>
      <c r="AR1782" s="559"/>
      <c r="AS1782" s="559"/>
      <c r="AT1782" s="559"/>
      <c r="AU1782" s="559"/>
      <c r="AV1782" s="559"/>
      <c r="AW1782" s="559"/>
      <c r="AX1782" s="559"/>
      <c r="AY1782" s="559"/>
      <c r="AZ1782" s="559"/>
      <c r="BA1782" s="559"/>
      <c r="BB1782" s="559"/>
      <c r="BC1782" s="559"/>
      <c r="BD1782" s="559"/>
      <c r="BE1782" s="559"/>
      <c r="BF1782" s="559"/>
      <c r="BG1782" s="559"/>
      <c r="BH1782" s="559"/>
      <c r="BI1782" s="559"/>
      <c r="BJ1782" s="559"/>
      <c r="BK1782" s="559"/>
      <c r="BL1782" s="559"/>
    </row>
    <row r="1783" spans="1:64" ht="13">
      <c r="A1783" s="406"/>
      <c r="B1783" s="406"/>
      <c r="C1783" s="427" t="s">
        <v>742</v>
      </c>
      <c r="D1783" s="432">
        <f t="shared" ref="D1783:L1783" si="425">SUM(D1781:D1782)</f>
        <v>1137.9559999999999</v>
      </c>
      <c r="E1783" s="432">
        <f t="shared" si="425"/>
        <v>1237.2059999999999</v>
      </c>
      <c r="F1783" s="432">
        <f t="shared" si="425"/>
        <v>1336.4560000000001</v>
      </c>
      <c r="G1783" s="432">
        <f t="shared" si="425"/>
        <v>1435.7159999999999</v>
      </c>
      <c r="H1783" s="432">
        <f t="shared" si="425"/>
        <v>1534.9659999999999</v>
      </c>
      <c r="I1783" s="432">
        <f t="shared" si="425"/>
        <v>1634.2259999999999</v>
      </c>
      <c r="J1783" s="537">
        <f t="shared" si="425"/>
        <v>1733.8100000000002</v>
      </c>
      <c r="K1783" s="538">
        <f t="shared" si="425"/>
        <v>1832.7119999999995</v>
      </c>
      <c r="L1783" s="538">
        <f t="shared" si="425"/>
        <v>1931.9719999999995</v>
      </c>
      <c r="M1783" s="559"/>
      <c r="N1783" s="559"/>
      <c r="O1783" s="559"/>
      <c r="P1783" s="559"/>
      <c r="Q1783" s="559"/>
      <c r="R1783" s="559"/>
      <c r="S1783" s="559"/>
      <c r="T1783" s="559"/>
      <c r="U1783" s="559"/>
      <c r="V1783" s="559"/>
      <c r="W1783" s="559"/>
      <c r="X1783" s="559"/>
      <c r="Y1783" s="559"/>
      <c r="Z1783" s="559"/>
      <c r="AA1783" s="559"/>
      <c r="AB1783" s="559"/>
      <c r="AC1783" s="559"/>
      <c r="AD1783" s="559"/>
      <c r="AE1783" s="559"/>
      <c r="AF1783" s="559"/>
      <c r="AG1783" s="559"/>
      <c r="AH1783" s="559"/>
      <c r="AI1783" s="559"/>
      <c r="AJ1783" s="559"/>
      <c r="AK1783" s="559"/>
      <c r="AL1783" s="559"/>
      <c r="AM1783" s="559"/>
      <c r="AN1783" s="559"/>
      <c r="AO1783" s="559"/>
      <c r="AP1783" s="559"/>
      <c r="AQ1783" s="559"/>
      <c r="AR1783" s="559"/>
      <c r="AS1783" s="559"/>
      <c r="AT1783" s="559"/>
      <c r="AU1783" s="559"/>
      <c r="AV1783" s="559"/>
      <c r="AW1783" s="559"/>
      <c r="AX1783" s="559"/>
      <c r="AY1783" s="559"/>
      <c r="AZ1783" s="559"/>
      <c r="BA1783" s="559"/>
      <c r="BB1783" s="559"/>
      <c r="BC1783" s="559"/>
      <c r="BD1783" s="559"/>
      <c r="BE1783" s="559"/>
      <c r="BF1783" s="559"/>
      <c r="BG1783" s="559"/>
      <c r="BH1783" s="559"/>
      <c r="BI1783" s="559"/>
      <c r="BJ1783" s="559"/>
      <c r="BK1783" s="559"/>
      <c r="BL1783" s="559"/>
    </row>
    <row r="1784" spans="1:64" ht="13">
      <c r="A1784" s="406"/>
      <c r="B1784" s="406"/>
      <c r="C1784" s="522" t="s">
        <v>726</v>
      </c>
      <c r="D1784" s="570">
        <f t="shared" ref="D1784:L1784" si="426">ROUND(D1783,0)</f>
        <v>1138</v>
      </c>
      <c r="E1784" s="570">
        <f t="shared" si="426"/>
        <v>1237</v>
      </c>
      <c r="F1784" s="570">
        <f t="shared" si="426"/>
        <v>1336</v>
      </c>
      <c r="G1784" s="570">
        <f t="shared" si="426"/>
        <v>1436</v>
      </c>
      <c r="H1784" s="570">
        <f t="shared" si="426"/>
        <v>1535</v>
      </c>
      <c r="I1784" s="570">
        <f t="shared" si="426"/>
        <v>1634</v>
      </c>
      <c r="J1784" s="628">
        <f t="shared" si="426"/>
        <v>1734</v>
      </c>
      <c r="K1784" s="629">
        <f t="shared" si="426"/>
        <v>1833</v>
      </c>
      <c r="L1784" s="629">
        <f t="shared" si="426"/>
        <v>1932</v>
      </c>
      <c r="M1784" s="559"/>
      <c r="N1784" s="559"/>
      <c r="O1784" s="559"/>
      <c r="P1784" s="559"/>
      <c r="Q1784" s="559"/>
      <c r="R1784" s="559"/>
      <c r="S1784" s="559"/>
      <c r="T1784" s="559"/>
      <c r="U1784" s="559"/>
      <c r="V1784" s="559"/>
      <c r="W1784" s="559"/>
      <c r="X1784" s="559"/>
      <c r="Y1784" s="559"/>
      <c r="Z1784" s="559"/>
      <c r="AA1784" s="559"/>
      <c r="AB1784" s="559"/>
      <c r="AC1784" s="559"/>
      <c r="AD1784" s="559"/>
      <c r="AE1784" s="559"/>
      <c r="AF1784" s="559"/>
      <c r="AG1784" s="559"/>
      <c r="AH1784" s="559"/>
      <c r="AI1784" s="559"/>
      <c r="AJ1784" s="559"/>
      <c r="AK1784" s="559"/>
      <c r="AL1784" s="559"/>
      <c r="AM1784" s="559"/>
      <c r="AN1784" s="559"/>
      <c r="AO1784" s="559"/>
      <c r="AP1784" s="559"/>
      <c r="AQ1784" s="559"/>
      <c r="AR1784" s="559"/>
      <c r="AS1784" s="559"/>
      <c r="AT1784" s="559"/>
      <c r="AU1784" s="559"/>
      <c r="AV1784" s="559"/>
      <c r="AW1784" s="559"/>
      <c r="AX1784" s="559"/>
      <c r="AY1784" s="559"/>
      <c r="AZ1784" s="559"/>
      <c r="BA1784" s="559"/>
      <c r="BB1784" s="559"/>
      <c r="BC1784" s="559"/>
      <c r="BD1784" s="559"/>
      <c r="BE1784" s="559"/>
      <c r="BF1784" s="559"/>
      <c r="BG1784" s="559"/>
      <c r="BH1784" s="559"/>
      <c r="BI1784" s="559"/>
      <c r="BJ1784" s="559"/>
      <c r="BK1784" s="559"/>
      <c r="BL1784" s="559"/>
    </row>
    <row r="1785" spans="1:64" ht="13">
      <c r="A1785" s="426"/>
      <c r="B1785" s="426"/>
      <c r="C1785" s="417"/>
      <c r="D1785" s="625"/>
      <c r="E1785" s="625"/>
      <c r="F1785" s="625"/>
      <c r="G1785" s="410"/>
      <c r="H1785" s="625"/>
      <c r="I1785" s="434"/>
      <c r="J1785" s="400"/>
      <c r="K1785" s="401"/>
      <c r="L1785" s="401"/>
    </row>
    <row r="1786" spans="1:64" ht="79.150000000000006" customHeight="1">
      <c r="A1786" s="1302">
        <v>3</v>
      </c>
      <c r="B1786" s="1302"/>
      <c r="C1786" s="1297" t="s">
        <v>1069</v>
      </c>
      <c r="D1786" s="1297"/>
      <c r="E1786" s="1297"/>
      <c r="F1786" s="1297"/>
      <c r="G1786" s="1297"/>
      <c r="H1786" s="1297"/>
      <c r="I1786" s="407"/>
      <c r="J1786" s="400"/>
      <c r="K1786" s="401"/>
      <c r="L1786" s="401"/>
    </row>
    <row r="1787" spans="1:64" ht="13">
      <c r="A1787" s="454"/>
      <c r="B1787" s="454"/>
      <c r="C1787" s="455" t="s">
        <v>1070</v>
      </c>
      <c r="D1787" s="630"/>
      <c r="E1787" s="408"/>
      <c r="F1787" s="408"/>
      <c r="G1787" s="430"/>
      <c r="H1787" s="456"/>
      <c r="I1787" s="408"/>
      <c r="J1787" s="400"/>
      <c r="K1787" s="401"/>
      <c r="L1787" s="401"/>
    </row>
    <row r="1788" spans="1:64">
      <c r="A1788" s="454"/>
      <c r="B1788" s="454"/>
      <c r="C1788" s="483" t="s">
        <v>1071</v>
      </c>
      <c r="D1788" s="430"/>
      <c r="E1788" s="408"/>
      <c r="F1788" s="408"/>
      <c r="G1788" s="430"/>
      <c r="H1788" s="456"/>
      <c r="I1788" s="408"/>
      <c r="J1788" s="400"/>
      <c r="K1788" s="401"/>
      <c r="L1788" s="401"/>
    </row>
    <row r="1789" spans="1:64" ht="13">
      <c r="A1789" s="454"/>
      <c r="B1789" s="454"/>
      <c r="C1789" s="433" t="s">
        <v>890</v>
      </c>
      <c r="D1789" s="430"/>
      <c r="E1789" s="408"/>
      <c r="F1789" s="408"/>
      <c r="G1789" s="430"/>
      <c r="H1789" s="456"/>
      <c r="I1789" s="408"/>
      <c r="J1789" s="400"/>
      <c r="K1789" s="401"/>
      <c r="L1789" s="401"/>
    </row>
    <row r="1790" spans="1:64" ht="25">
      <c r="A1790" s="458"/>
      <c r="B1790" s="458"/>
      <c r="C1790" s="417" t="s">
        <v>1072</v>
      </c>
      <c r="D1790" s="460">
        <v>110</v>
      </c>
      <c r="E1790" s="459" t="s">
        <v>14</v>
      </c>
      <c r="F1790" s="459">
        <f>[161]LEAD!$N$16</f>
        <v>32000</v>
      </c>
      <c r="G1790" s="460">
        <v>1000</v>
      </c>
      <c r="H1790" s="599" t="s">
        <v>14</v>
      </c>
      <c r="I1790" s="459">
        <f t="shared" ref="I1790:I1792" si="427">IF(G1790="",D1790*F1790,(D1790*F1790/G1790))</f>
        <v>3520</v>
      </c>
      <c r="J1790" s="462"/>
      <c r="K1790" s="463"/>
      <c r="L1790" s="463"/>
      <c r="M1790" s="559"/>
      <c r="N1790" s="559"/>
      <c r="O1790" s="559"/>
      <c r="P1790" s="559"/>
      <c r="Q1790" s="559"/>
      <c r="R1790" s="559"/>
      <c r="S1790" s="559"/>
      <c r="T1790" s="559"/>
      <c r="U1790" s="559"/>
      <c r="V1790" s="559"/>
      <c r="W1790" s="559"/>
      <c r="X1790" s="559"/>
      <c r="Y1790" s="559"/>
      <c r="Z1790" s="559"/>
      <c r="AA1790" s="559"/>
      <c r="AB1790" s="559"/>
      <c r="AC1790" s="559"/>
      <c r="AD1790" s="559"/>
      <c r="AE1790" s="559"/>
      <c r="AF1790" s="559"/>
      <c r="AG1790" s="559"/>
      <c r="AH1790" s="559"/>
      <c r="AI1790" s="559"/>
      <c r="AJ1790" s="559"/>
      <c r="AK1790" s="559"/>
      <c r="AL1790" s="559"/>
      <c r="AM1790" s="559"/>
      <c r="AN1790" s="559"/>
      <c r="AO1790" s="559"/>
      <c r="AP1790" s="559"/>
      <c r="AQ1790" s="559"/>
      <c r="AR1790" s="559"/>
      <c r="AS1790" s="559"/>
      <c r="AT1790" s="559"/>
      <c r="AU1790" s="559"/>
      <c r="AV1790" s="559"/>
      <c r="AW1790" s="559"/>
      <c r="AX1790" s="559"/>
      <c r="AY1790" s="559"/>
      <c r="AZ1790" s="559"/>
      <c r="BA1790" s="559"/>
      <c r="BB1790" s="559"/>
      <c r="BC1790" s="559"/>
      <c r="BD1790" s="559"/>
      <c r="BE1790" s="559"/>
      <c r="BF1790" s="559"/>
      <c r="BG1790" s="559"/>
      <c r="BH1790" s="559"/>
      <c r="BI1790" s="559"/>
      <c r="BJ1790" s="559"/>
      <c r="BK1790" s="559"/>
      <c r="BL1790" s="559"/>
    </row>
    <row r="1791" spans="1:64">
      <c r="A1791" s="458"/>
      <c r="B1791" s="458"/>
      <c r="C1791" s="417" t="s">
        <v>504</v>
      </c>
      <c r="D1791" s="459">
        <v>24</v>
      </c>
      <c r="E1791" s="459" t="s">
        <v>833</v>
      </c>
      <c r="F1791" s="459">
        <f>[161]LEAD!$N$6</f>
        <v>5200</v>
      </c>
      <c r="G1791" s="460">
        <v>1000</v>
      </c>
      <c r="H1791" s="599" t="str">
        <f t="shared" ref="H1791:H1792" si="428">IF(E1791="","",IF(E1791="No.","Each",IF(E1791="Nos.","Each",E1791)))</f>
        <v>Kgs</v>
      </c>
      <c r="I1791" s="459">
        <f t="shared" si="427"/>
        <v>124.8</v>
      </c>
      <c r="J1791" s="462"/>
      <c r="K1791" s="463">
        <f>29*225*14*110</f>
        <v>10048500</v>
      </c>
      <c r="L1791" s="463"/>
      <c r="M1791" s="559"/>
      <c r="N1791" s="559"/>
      <c r="O1791" s="559"/>
      <c r="P1791" s="559"/>
      <c r="Q1791" s="559"/>
      <c r="R1791" s="559"/>
      <c r="S1791" s="559"/>
      <c r="T1791" s="559"/>
      <c r="U1791" s="559"/>
      <c r="V1791" s="559"/>
      <c r="W1791" s="559"/>
      <c r="X1791" s="559"/>
      <c r="Y1791" s="559"/>
      <c r="Z1791" s="559"/>
      <c r="AA1791" s="559"/>
      <c r="AB1791" s="559"/>
      <c r="AC1791" s="559"/>
      <c r="AD1791" s="559"/>
      <c r="AE1791" s="559"/>
      <c r="AF1791" s="559"/>
      <c r="AG1791" s="559"/>
      <c r="AH1791" s="559"/>
      <c r="AI1791" s="559"/>
      <c r="AJ1791" s="559"/>
      <c r="AK1791" s="559"/>
      <c r="AL1791" s="559"/>
      <c r="AM1791" s="559"/>
      <c r="AN1791" s="559"/>
      <c r="AO1791" s="559"/>
      <c r="AP1791" s="559"/>
      <c r="AQ1791" s="559"/>
      <c r="AR1791" s="559"/>
      <c r="AS1791" s="559"/>
      <c r="AT1791" s="559"/>
      <c r="AU1791" s="559"/>
      <c r="AV1791" s="559"/>
      <c r="AW1791" s="559"/>
      <c r="AX1791" s="559"/>
      <c r="AY1791" s="559"/>
      <c r="AZ1791" s="559"/>
      <c r="BA1791" s="559"/>
      <c r="BB1791" s="559"/>
      <c r="BC1791" s="559"/>
      <c r="BD1791" s="559"/>
      <c r="BE1791" s="559"/>
      <c r="BF1791" s="559"/>
      <c r="BG1791" s="559"/>
      <c r="BH1791" s="559"/>
      <c r="BI1791" s="559"/>
      <c r="BJ1791" s="559"/>
      <c r="BK1791" s="559"/>
      <c r="BL1791" s="559"/>
    </row>
    <row r="1792" spans="1:64">
      <c r="A1792" s="458"/>
      <c r="B1792" s="458"/>
      <c r="C1792" s="417" t="s">
        <v>875</v>
      </c>
      <c r="D1792" s="459">
        <v>0.1</v>
      </c>
      <c r="E1792" s="459" t="s">
        <v>1062</v>
      </c>
      <c r="F1792" s="459">
        <f>[161]LEAD!$N$13</f>
        <v>2453.91</v>
      </c>
      <c r="G1792" s="460">
        <v>1</v>
      </c>
      <c r="H1792" s="599" t="str">
        <f t="shared" si="428"/>
        <v>cu.m.</v>
      </c>
      <c r="I1792" s="459">
        <f t="shared" si="427"/>
        <v>245.39099999999999</v>
      </c>
      <c r="J1792" s="462"/>
      <c r="K1792" s="463"/>
      <c r="L1792" s="463"/>
      <c r="M1792" s="559"/>
      <c r="N1792" s="559"/>
      <c r="O1792" s="559"/>
      <c r="P1792" s="559"/>
      <c r="Q1792" s="559"/>
      <c r="R1792" s="559"/>
      <c r="S1792" s="559"/>
      <c r="T1792" s="559"/>
      <c r="U1792" s="559"/>
      <c r="V1792" s="559"/>
      <c r="W1792" s="559"/>
      <c r="X1792" s="559"/>
      <c r="Y1792" s="559"/>
      <c r="Z1792" s="559"/>
      <c r="AA1792" s="559"/>
      <c r="AB1792" s="559"/>
      <c r="AC1792" s="559"/>
      <c r="AD1792" s="559"/>
      <c r="AE1792" s="559"/>
      <c r="AF1792" s="559"/>
      <c r="AG1792" s="559"/>
      <c r="AH1792" s="559"/>
      <c r="AI1792" s="559"/>
      <c r="AJ1792" s="559"/>
      <c r="AK1792" s="559"/>
      <c r="AL1792" s="559"/>
      <c r="AM1792" s="559"/>
      <c r="AN1792" s="559"/>
      <c r="AO1792" s="559"/>
      <c r="AP1792" s="559"/>
      <c r="AQ1792" s="559"/>
      <c r="AR1792" s="559"/>
      <c r="AS1792" s="559"/>
      <c r="AT1792" s="559"/>
      <c r="AU1792" s="559"/>
      <c r="AV1792" s="559"/>
      <c r="AW1792" s="559"/>
      <c r="AX1792" s="559"/>
      <c r="AY1792" s="559"/>
      <c r="AZ1792" s="559"/>
      <c r="BA1792" s="559"/>
      <c r="BB1792" s="559"/>
      <c r="BC1792" s="559"/>
      <c r="BD1792" s="559"/>
      <c r="BE1792" s="559"/>
      <c r="BF1792" s="559"/>
      <c r="BG1792" s="559"/>
      <c r="BH1792" s="559"/>
      <c r="BI1792" s="559"/>
      <c r="BJ1792" s="559"/>
      <c r="BK1792" s="559"/>
      <c r="BL1792" s="559"/>
    </row>
    <row r="1793" spans="1:64" ht="13">
      <c r="A1793" s="458"/>
      <c r="B1793" s="458"/>
      <c r="C1793" s="427" t="s">
        <v>1073</v>
      </c>
      <c r="D1793" s="406"/>
      <c r="E1793" s="406"/>
      <c r="F1793" s="406"/>
      <c r="G1793" s="406"/>
      <c r="H1793" s="406"/>
      <c r="I1793" s="432"/>
      <c r="J1793" s="462"/>
      <c r="K1793" s="463"/>
      <c r="L1793" s="463"/>
      <c r="M1793" s="559"/>
      <c r="N1793" s="559"/>
      <c r="O1793" s="559"/>
      <c r="P1793" s="559"/>
      <c r="Q1793" s="559"/>
      <c r="R1793" s="559"/>
      <c r="S1793" s="559"/>
      <c r="T1793" s="559"/>
      <c r="U1793" s="559"/>
      <c r="V1793" s="559"/>
      <c r="W1793" s="559"/>
      <c r="X1793" s="559"/>
      <c r="Y1793" s="559"/>
      <c r="Z1793" s="559"/>
      <c r="AA1793" s="559"/>
      <c r="AB1793" s="559"/>
      <c r="AC1793" s="559"/>
      <c r="AD1793" s="559"/>
      <c r="AE1793" s="559"/>
      <c r="AF1793" s="559"/>
      <c r="AG1793" s="559"/>
      <c r="AH1793" s="559"/>
      <c r="AI1793" s="559"/>
      <c r="AJ1793" s="559"/>
      <c r="AK1793" s="559"/>
      <c r="AL1793" s="559"/>
      <c r="AM1793" s="559"/>
      <c r="AN1793" s="559"/>
      <c r="AO1793" s="559"/>
      <c r="AP1793" s="559"/>
      <c r="AQ1793" s="559"/>
      <c r="AR1793" s="559"/>
      <c r="AS1793" s="559"/>
      <c r="AT1793" s="559"/>
      <c r="AU1793" s="559"/>
      <c r="AV1793" s="559"/>
      <c r="AW1793" s="559"/>
      <c r="AX1793" s="559"/>
      <c r="AY1793" s="559"/>
      <c r="AZ1793" s="559"/>
      <c r="BA1793" s="559"/>
      <c r="BB1793" s="559"/>
      <c r="BC1793" s="559"/>
      <c r="BD1793" s="559"/>
      <c r="BE1793" s="559"/>
      <c r="BF1793" s="559"/>
      <c r="BG1793" s="559"/>
      <c r="BH1793" s="559"/>
      <c r="BI1793" s="559"/>
      <c r="BJ1793" s="559"/>
      <c r="BK1793" s="559"/>
      <c r="BL1793" s="559"/>
    </row>
    <row r="1794" spans="1:64">
      <c r="A1794" s="458"/>
      <c r="B1794" s="458"/>
      <c r="C1794" s="417" t="s">
        <v>1044</v>
      </c>
      <c r="D1794" s="459">
        <v>0.42</v>
      </c>
      <c r="E1794" s="459" t="s">
        <v>375</v>
      </c>
      <c r="F1794" s="459">
        <f>'[161]Civil-SOR'!$G$293</f>
        <v>580</v>
      </c>
      <c r="G1794" s="460">
        <v>1</v>
      </c>
      <c r="H1794" s="599" t="s">
        <v>572</v>
      </c>
      <c r="I1794" s="459">
        <f t="shared" ref="I1794:I1799" si="429">IF(G1794="",D1794*F1794,(D1794*F1794/G1794))</f>
        <v>243.6</v>
      </c>
      <c r="J1794" s="462"/>
      <c r="K1794" s="463"/>
      <c r="L1794" s="463"/>
      <c r="M1794" s="559"/>
      <c r="N1794" s="559"/>
      <c r="O1794" s="559"/>
      <c r="P1794" s="559"/>
      <c r="Q1794" s="559"/>
      <c r="R1794" s="559"/>
      <c r="S1794" s="559"/>
      <c r="T1794" s="559"/>
      <c r="U1794" s="559"/>
      <c r="V1794" s="559"/>
      <c r="W1794" s="559"/>
      <c r="X1794" s="559"/>
      <c r="Y1794" s="559"/>
      <c r="Z1794" s="559"/>
      <c r="AA1794" s="559"/>
      <c r="AB1794" s="559"/>
      <c r="AC1794" s="559"/>
      <c r="AD1794" s="559"/>
      <c r="AE1794" s="559"/>
      <c r="AF1794" s="559"/>
      <c r="AG1794" s="559"/>
      <c r="AH1794" s="559"/>
      <c r="AI1794" s="559"/>
      <c r="AJ1794" s="559"/>
      <c r="AK1794" s="559"/>
      <c r="AL1794" s="559"/>
      <c r="AM1794" s="559"/>
      <c r="AN1794" s="559"/>
      <c r="AO1794" s="559"/>
      <c r="AP1794" s="559"/>
      <c r="AQ1794" s="559"/>
      <c r="AR1794" s="559"/>
      <c r="AS1794" s="559"/>
      <c r="AT1794" s="559"/>
      <c r="AU1794" s="559"/>
      <c r="AV1794" s="559"/>
      <c r="AW1794" s="559"/>
      <c r="AX1794" s="559"/>
      <c r="AY1794" s="559"/>
      <c r="AZ1794" s="559"/>
      <c r="BA1794" s="559"/>
      <c r="BB1794" s="559"/>
      <c r="BC1794" s="559"/>
      <c r="BD1794" s="559"/>
      <c r="BE1794" s="559"/>
      <c r="BF1794" s="559"/>
      <c r="BG1794" s="559"/>
      <c r="BH1794" s="559"/>
      <c r="BI1794" s="559"/>
      <c r="BJ1794" s="559"/>
      <c r="BK1794" s="559"/>
      <c r="BL1794" s="559"/>
    </row>
    <row r="1795" spans="1:64">
      <c r="A1795" s="458"/>
      <c r="B1795" s="458"/>
      <c r="C1795" s="417" t="s">
        <v>1074</v>
      </c>
      <c r="D1795" s="459">
        <v>0.92</v>
      </c>
      <c r="E1795" s="459" t="s">
        <v>375</v>
      </c>
      <c r="F1795" s="459">
        <f>'[161]Civil-SOR'!$G$302</f>
        <v>550</v>
      </c>
      <c r="G1795" s="460">
        <v>1</v>
      </c>
      <c r="H1795" s="599" t="s">
        <v>572</v>
      </c>
      <c r="I1795" s="459">
        <f t="shared" si="429"/>
        <v>506</v>
      </c>
      <c r="J1795" s="462"/>
      <c r="K1795" s="463"/>
      <c r="L1795" s="463"/>
      <c r="M1795" s="559"/>
      <c r="N1795" s="559"/>
      <c r="O1795" s="559"/>
      <c r="P1795" s="559"/>
      <c r="Q1795" s="559"/>
      <c r="R1795" s="559"/>
      <c r="S1795" s="559"/>
      <c r="T1795" s="559"/>
      <c r="U1795" s="559"/>
      <c r="V1795" s="559"/>
      <c r="W1795" s="559"/>
      <c r="X1795" s="559"/>
      <c r="Y1795" s="559"/>
      <c r="Z1795" s="559"/>
      <c r="AA1795" s="559"/>
      <c r="AB1795" s="559"/>
      <c r="AC1795" s="559"/>
      <c r="AD1795" s="559"/>
      <c r="AE1795" s="559"/>
      <c r="AF1795" s="559"/>
      <c r="AG1795" s="559"/>
      <c r="AH1795" s="559"/>
      <c r="AI1795" s="559"/>
      <c r="AJ1795" s="559"/>
      <c r="AK1795" s="559"/>
      <c r="AL1795" s="559"/>
      <c r="AM1795" s="559"/>
      <c r="AN1795" s="559"/>
      <c r="AO1795" s="559"/>
      <c r="AP1795" s="559"/>
      <c r="AQ1795" s="559"/>
      <c r="AR1795" s="559"/>
      <c r="AS1795" s="559"/>
      <c r="AT1795" s="559"/>
      <c r="AU1795" s="559"/>
      <c r="AV1795" s="559"/>
      <c r="AW1795" s="559"/>
      <c r="AX1795" s="559"/>
      <c r="AY1795" s="559"/>
      <c r="AZ1795" s="559"/>
      <c r="BA1795" s="559"/>
      <c r="BB1795" s="559"/>
      <c r="BC1795" s="559"/>
      <c r="BD1795" s="559"/>
      <c r="BE1795" s="559"/>
      <c r="BF1795" s="559"/>
      <c r="BG1795" s="559"/>
      <c r="BH1795" s="559"/>
      <c r="BI1795" s="559"/>
      <c r="BJ1795" s="559"/>
      <c r="BK1795" s="559"/>
      <c r="BL1795" s="559"/>
    </row>
    <row r="1796" spans="1:64">
      <c r="A1796" s="458"/>
      <c r="B1796" s="458"/>
      <c r="C1796" s="417" t="s">
        <v>1075</v>
      </c>
      <c r="D1796" s="459">
        <v>0.7</v>
      </c>
      <c r="E1796" s="459" t="s">
        <v>375</v>
      </c>
      <c r="F1796" s="459">
        <f>'[161]Civil-SOR'!$G$307</f>
        <v>520</v>
      </c>
      <c r="G1796" s="460">
        <v>1</v>
      </c>
      <c r="H1796" s="599" t="s">
        <v>572</v>
      </c>
      <c r="I1796" s="459">
        <f t="shared" si="429"/>
        <v>364</v>
      </c>
      <c r="J1796" s="462"/>
      <c r="K1796" s="463"/>
      <c r="L1796" s="463"/>
      <c r="M1796" s="559"/>
      <c r="N1796" s="559"/>
      <c r="O1796" s="559"/>
      <c r="P1796" s="559"/>
      <c r="Q1796" s="559"/>
      <c r="R1796" s="559"/>
      <c r="S1796" s="559"/>
      <c r="T1796" s="559"/>
      <c r="U1796" s="559"/>
      <c r="V1796" s="559"/>
      <c r="W1796" s="559"/>
      <c r="X1796" s="559"/>
      <c r="Y1796" s="559"/>
      <c r="Z1796" s="559"/>
      <c r="AA1796" s="559"/>
      <c r="AB1796" s="559"/>
      <c r="AC1796" s="559"/>
      <c r="AD1796" s="559"/>
      <c r="AE1796" s="559"/>
      <c r="AF1796" s="559"/>
      <c r="AG1796" s="559"/>
      <c r="AH1796" s="559"/>
      <c r="AI1796" s="559"/>
      <c r="AJ1796" s="559"/>
      <c r="AK1796" s="559"/>
      <c r="AL1796" s="559"/>
      <c r="AM1796" s="559"/>
      <c r="AN1796" s="559"/>
      <c r="AO1796" s="559"/>
      <c r="AP1796" s="559"/>
      <c r="AQ1796" s="559"/>
      <c r="AR1796" s="559"/>
      <c r="AS1796" s="559"/>
      <c r="AT1796" s="559"/>
      <c r="AU1796" s="559"/>
      <c r="AV1796" s="559"/>
      <c r="AW1796" s="559"/>
      <c r="AX1796" s="559"/>
      <c r="AY1796" s="559"/>
      <c r="AZ1796" s="559"/>
      <c r="BA1796" s="559"/>
      <c r="BB1796" s="559"/>
      <c r="BC1796" s="559"/>
      <c r="BD1796" s="559"/>
      <c r="BE1796" s="559"/>
      <c r="BF1796" s="559"/>
      <c r="BG1796" s="559"/>
      <c r="BH1796" s="559"/>
      <c r="BI1796" s="559"/>
      <c r="BJ1796" s="559"/>
      <c r="BK1796" s="559"/>
      <c r="BL1796" s="559"/>
    </row>
    <row r="1797" spans="1:64">
      <c r="A1797" s="458"/>
      <c r="B1797" s="458"/>
      <c r="C1797" s="417" t="s">
        <v>1076</v>
      </c>
      <c r="D1797" s="459">
        <v>2.1</v>
      </c>
      <c r="E1797" s="459" t="s">
        <v>375</v>
      </c>
      <c r="F1797" s="459">
        <f>'[161]Civil-SOR'!$G$307</f>
        <v>520</v>
      </c>
      <c r="G1797" s="460">
        <v>1</v>
      </c>
      <c r="H1797" s="599" t="s">
        <v>572</v>
      </c>
      <c r="I1797" s="459">
        <f t="shared" si="429"/>
        <v>1092</v>
      </c>
      <c r="J1797" s="462"/>
      <c r="K1797" s="463"/>
      <c r="L1797" s="463"/>
      <c r="M1797" s="559"/>
      <c r="N1797" s="559"/>
      <c r="O1797" s="559"/>
      <c r="P1797" s="559"/>
      <c r="Q1797" s="559"/>
      <c r="R1797" s="559"/>
      <c r="S1797" s="559"/>
      <c r="T1797" s="559"/>
      <c r="U1797" s="559"/>
      <c r="V1797" s="559"/>
      <c r="W1797" s="559"/>
      <c r="X1797" s="559"/>
      <c r="Y1797" s="559"/>
      <c r="Z1797" s="559"/>
      <c r="AA1797" s="559"/>
      <c r="AB1797" s="559"/>
      <c r="AC1797" s="559"/>
      <c r="AD1797" s="559"/>
      <c r="AE1797" s="559"/>
      <c r="AF1797" s="559"/>
      <c r="AG1797" s="559"/>
      <c r="AH1797" s="559"/>
      <c r="AI1797" s="559"/>
      <c r="AJ1797" s="559"/>
      <c r="AK1797" s="559"/>
      <c r="AL1797" s="559"/>
      <c r="AM1797" s="559"/>
      <c r="AN1797" s="559"/>
      <c r="AO1797" s="559"/>
      <c r="AP1797" s="559"/>
      <c r="AQ1797" s="559"/>
      <c r="AR1797" s="559"/>
      <c r="AS1797" s="559"/>
      <c r="AT1797" s="559"/>
      <c r="AU1797" s="559"/>
      <c r="AV1797" s="559"/>
      <c r="AW1797" s="559"/>
      <c r="AX1797" s="559"/>
      <c r="AY1797" s="559"/>
      <c r="AZ1797" s="559"/>
      <c r="BA1797" s="559"/>
      <c r="BB1797" s="559"/>
      <c r="BC1797" s="559"/>
      <c r="BD1797" s="559"/>
      <c r="BE1797" s="559"/>
      <c r="BF1797" s="559"/>
      <c r="BG1797" s="559"/>
      <c r="BH1797" s="559"/>
      <c r="BI1797" s="559"/>
      <c r="BJ1797" s="559"/>
      <c r="BK1797" s="559"/>
      <c r="BL1797" s="559"/>
    </row>
    <row r="1798" spans="1:64">
      <c r="A1798" s="458"/>
      <c r="B1798" s="458"/>
      <c r="C1798" s="417" t="str">
        <f>[161]Input!$C$47</f>
        <v>Add for MA @ 40%</v>
      </c>
      <c r="D1798" s="622">
        <f>[161]Input!$D$47</f>
        <v>0.4</v>
      </c>
      <c r="E1798" s="458"/>
      <c r="F1798" s="459">
        <f>SUM(I1794:I1797)</f>
        <v>2205.6</v>
      </c>
      <c r="G1798" s="431"/>
      <c r="H1798" s="406"/>
      <c r="I1798" s="459">
        <f t="shared" si="429"/>
        <v>882.24</v>
      </c>
      <c r="J1798" s="462"/>
      <c r="K1798" s="463"/>
      <c r="L1798" s="463"/>
      <c r="M1798" s="559"/>
      <c r="N1798" s="559"/>
      <c r="O1798" s="559"/>
      <c r="P1798" s="559"/>
      <c r="Q1798" s="559"/>
      <c r="R1798" s="559"/>
      <c r="S1798" s="559"/>
      <c r="T1798" s="559"/>
      <c r="U1798" s="559"/>
      <c r="V1798" s="559"/>
      <c r="W1798" s="559"/>
      <c r="X1798" s="559"/>
      <c r="Y1798" s="559"/>
      <c r="Z1798" s="559"/>
      <c r="AA1798" s="559"/>
      <c r="AB1798" s="559"/>
      <c r="AC1798" s="559"/>
      <c r="AD1798" s="559"/>
      <c r="AE1798" s="559"/>
      <c r="AF1798" s="559"/>
      <c r="AG1798" s="559"/>
      <c r="AH1798" s="559"/>
      <c r="AI1798" s="559"/>
      <c r="AJ1798" s="559"/>
      <c r="AK1798" s="559"/>
      <c r="AL1798" s="559"/>
      <c r="AM1798" s="559"/>
      <c r="AN1798" s="559"/>
      <c r="AO1798" s="559"/>
      <c r="AP1798" s="559"/>
      <c r="AQ1798" s="559"/>
      <c r="AR1798" s="559"/>
      <c r="AS1798" s="559"/>
      <c r="AT1798" s="559"/>
      <c r="AU1798" s="559"/>
      <c r="AV1798" s="559"/>
      <c r="AW1798" s="559"/>
      <c r="AX1798" s="559"/>
      <c r="AY1798" s="559"/>
      <c r="AZ1798" s="559"/>
      <c r="BA1798" s="559"/>
      <c r="BB1798" s="559"/>
      <c r="BC1798" s="559"/>
      <c r="BD1798" s="559"/>
      <c r="BE1798" s="559"/>
      <c r="BF1798" s="559"/>
      <c r="BG1798" s="559"/>
      <c r="BH1798" s="559"/>
      <c r="BI1798" s="559"/>
      <c r="BJ1798" s="559"/>
      <c r="BK1798" s="559"/>
      <c r="BL1798" s="559"/>
    </row>
    <row r="1799" spans="1:64">
      <c r="A1799" s="458"/>
      <c r="B1799" s="458"/>
      <c r="C1799" s="417" t="s">
        <v>1058</v>
      </c>
      <c r="D1799" s="459">
        <v>0.01</v>
      </c>
      <c r="E1799" s="459"/>
      <c r="F1799" s="459">
        <f>SUM(I1790:I1798)</f>
        <v>6978.0309999999999</v>
      </c>
      <c r="G1799" s="460"/>
      <c r="H1799" s="599"/>
      <c r="I1799" s="459">
        <f t="shared" si="429"/>
        <v>69.78031</v>
      </c>
      <c r="J1799" s="462"/>
      <c r="K1799" s="463"/>
      <c r="L1799" s="463"/>
      <c r="M1799" s="559"/>
      <c r="N1799" s="559"/>
      <c r="O1799" s="559"/>
      <c r="P1799" s="559"/>
      <c r="Q1799" s="559"/>
      <c r="R1799" s="559"/>
      <c r="S1799" s="559"/>
      <c r="T1799" s="559"/>
      <c r="U1799" s="559"/>
      <c r="V1799" s="559"/>
      <c r="W1799" s="559"/>
      <c r="X1799" s="559"/>
      <c r="Y1799" s="559"/>
      <c r="Z1799" s="559"/>
      <c r="AA1799" s="559"/>
      <c r="AB1799" s="559"/>
      <c r="AC1799" s="559"/>
      <c r="AD1799" s="559"/>
      <c r="AE1799" s="559"/>
      <c r="AF1799" s="559"/>
      <c r="AG1799" s="559"/>
      <c r="AH1799" s="559"/>
      <c r="AI1799" s="559"/>
      <c r="AJ1799" s="559"/>
      <c r="AK1799" s="559"/>
      <c r="AL1799" s="559"/>
      <c r="AM1799" s="559"/>
      <c r="AN1799" s="559"/>
      <c r="AO1799" s="559"/>
      <c r="AP1799" s="559"/>
      <c r="AQ1799" s="559"/>
      <c r="AR1799" s="559"/>
      <c r="AS1799" s="559"/>
      <c r="AT1799" s="559"/>
      <c r="AU1799" s="559"/>
      <c r="AV1799" s="559"/>
      <c r="AW1799" s="559"/>
      <c r="AX1799" s="559"/>
      <c r="AY1799" s="559"/>
      <c r="AZ1799" s="559"/>
      <c r="BA1799" s="559"/>
      <c r="BB1799" s="559"/>
      <c r="BC1799" s="559"/>
      <c r="BD1799" s="559"/>
      <c r="BE1799" s="559"/>
      <c r="BF1799" s="559"/>
      <c r="BG1799" s="559"/>
      <c r="BH1799" s="559"/>
      <c r="BI1799" s="559"/>
      <c r="BJ1799" s="559"/>
      <c r="BK1799" s="559"/>
      <c r="BL1799" s="559"/>
    </row>
    <row r="1800" spans="1:64" ht="13">
      <c r="A1800" s="454"/>
      <c r="B1800" s="454"/>
      <c r="C1800" s="427" t="s">
        <v>724</v>
      </c>
      <c r="D1800" s="408"/>
      <c r="E1800" s="408"/>
      <c r="F1800" s="408"/>
      <c r="G1800" s="430"/>
      <c r="H1800" s="415"/>
      <c r="I1800" s="414">
        <f>SUM(I1790:I1799)</f>
        <v>7047.81131</v>
      </c>
      <c r="J1800" s="400"/>
      <c r="K1800" s="401"/>
      <c r="L1800" s="401"/>
    </row>
    <row r="1801" spans="1:64" ht="13">
      <c r="A1801" s="454"/>
      <c r="B1801" s="454"/>
      <c r="C1801" s="417"/>
      <c r="D1801" s="408"/>
      <c r="E1801" s="408"/>
      <c r="F1801" s="408"/>
      <c r="G1801" s="430"/>
      <c r="H1801" s="415"/>
      <c r="I1801" s="414"/>
      <c r="J1801" s="400"/>
      <c r="K1801" s="401"/>
      <c r="L1801" s="401"/>
    </row>
    <row r="1802" spans="1:64" ht="12.75" customHeight="1">
      <c r="A1802" s="454"/>
      <c r="B1802" s="415" t="s">
        <v>720</v>
      </c>
      <c r="C1802" s="1300" t="s">
        <v>1077</v>
      </c>
      <c r="D1802" s="1300"/>
      <c r="E1802" s="1300"/>
      <c r="F1802" s="408"/>
      <c r="G1802" s="430"/>
      <c r="H1802" s="415"/>
      <c r="I1802" s="414"/>
      <c r="J1802" s="400"/>
      <c r="K1802" s="401"/>
      <c r="L1802" s="401"/>
    </row>
    <row r="1803" spans="1:64">
      <c r="A1803" s="454"/>
      <c r="B1803" s="454"/>
      <c r="C1803" s="417" t="s">
        <v>1078</v>
      </c>
      <c r="D1803" s="408">
        <v>1</v>
      </c>
      <c r="E1803" s="408" t="s">
        <v>666</v>
      </c>
      <c r="F1803" s="408">
        <f>$I$1800</f>
        <v>7047.81131</v>
      </c>
      <c r="G1803" s="430">
        <v>1</v>
      </c>
      <c r="H1803" s="454" t="s">
        <v>666</v>
      </c>
      <c r="I1803" s="408">
        <f t="shared" ref="I1803:I1804" si="430">IF(G1803="",D1803*F1803,(D1803*F1803/G1803))</f>
        <v>7047.81131</v>
      </c>
      <c r="J1803" s="400"/>
      <c r="K1803" s="401"/>
      <c r="L1803" s="401"/>
    </row>
    <row r="1804" spans="1:64" ht="25">
      <c r="A1804" s="454"/>
      <c r="B1804" s="454"/>
      <c r="C1804" s="417" t="str">
        <f>[161]Input!$C$48</f>
        <v>Overheads &amp; Contractors Profit @ 13.615%</v>
      </c>
      <c r="D1804" s="467">
        <f>[161]Input!$D$48</f>
        <v>0.13614999999999999</v>
      </c>
      <c r="E1804" s="408"/>
      <c r="F1804" s="408">
        <f>I1803</f>
        <v>7047.81131</v>
      </c>
      <c r="G1804" s="430"/>
      <c r="H1804" s="415"/>
      <c r="I1804" s="408">
        <f t="shared" si="430"/>
        <v>959.55950985649997</v>
      </c>
      <c r="J1804" s="400"/>
      <c r="K1804" s="401"/>
      <c r="L1804" s="401"/>
    </row>
    <row r="1805" spans="1:64" ht="13">
      <c r="A1805" s="454"/>
      <c r="B1805" s="454"/>
      <c r="C1805" s="427" t="s">
        <v>724</v>
      </c>
      <c r="D1805" s="408"/>
      <c r="E1805" s="408"/>
      <c r="F1805" s="408"/>
      <c r="G1805" s="430"/>
      <c r="H1805" s="415"/>
      <c r="I1805" s="414">
        <f>SUM(I1803:I1804)</f>
        <v>8007.3708198565</v>
      </c>
      <c r="J1805" s="400"/>
      <c r="K1805" s="401"/>
      <c r="L1805" s="401"/>
    </row>
    <row r="1806" spans="1:64" ht="13">
      <c r="A1806" s="454"/>
      <c r="B1806" s="454"/>
      <c r="C1806" s="481"/>
      <c r="D1806" s="408"/>
      <c r="E1806" s="408"/>
      <c r="F1806" s="408"/>
      <c r="G1806" s="430"/>
      <c r="H1806" s="415" t="s">
        <v>726</v>
      </c>
      <c r="I1806" s="414">
        <f>ROUND(I1805,0)</f>
        <v>8007</v>
      </c>
      <c r="J1806" s="411"/>
      <c r="K1806" s="412"/>
      <c r="L1806" s="412"/>
      <c r="M1806" s="554"/>
      <c r="N1806" s="554"/>
      <c r="O1806" s="554"/>
      <c r="P1806" s="554"/>
      <c r="Q1806" s="554"/>
      <c r="R1806" s="554"/>
      <c r="S1806" s="554"/>
      <c r="T1806" s="554"/>
      <c r="U1806" s="554"/>
      <c r="V1806" s="554"/>
      <c r="W1806" s="554"/>
      <c r="X1806" s="554"/>
      <c r="Y1806" s="554"/>
      <c r="Z1806" s="554"/>
      <c r="AA1806" s="554"/>
      <c r="AB1806" s="554"/>
      <c r="AC1806" s="554"/>
      <c r="AD1806" s="554"/>
      <c r="AE1806" s="554"/>
      <c r="AF1806" s="554"/>
      <c r="AG1806" s="554"/>
      <c r="AH1806" s="554"/>
      <c r="AI1806" s="554"/>
      <c r="AJ1806" s="554"/>
      <c r="AK1806" s="554"/>
      <c r="AL1806" s="554"/>
      <c r="AM1806" s="554"/>
      <c r="AN1806" s="554"/>
      <c r="AO1806" s="554"/>
      <c r="AP1806" s="554"/>
      <c r="AQ1806" s="554"/>
      <c r="AR1806" s="554"/>
      <c r="AS1806" s="554"/>
      <c r="AT1806" s="554"/>
      <c r="AU1806" s="554"/>
      <c r="AV1806" s="554"/>
      <c r="AW1806" s="554"/>
      <c r="AX1806" s="554"/>
      <c r="AY1806" s="554"/>
      <c r="AZ1806" s="554"/>
      <c r="BA1806" s="554"/>
      <c r="BB1806" s="554"/>
      <c r="BC1806" s="554"/>
      <c r="BD1806" s="554"/>
      <c r="BE1806" s="554"/>
      <c r="BF1806" s="554"/>
      <c r="BG1806" s="554"/>
      <c r="BH1806" s="554"/>
      <c r="BI1806" s="554"/>
      <c r="BJ1806" s="554"/>
      <c r="BK1806" s="554"/>
      <c r="BL1806" s="554"/>
    </row>
    <row r="1807" spans="1:64" ht="13">
      <c r="A1807" s="454"/>
      <c r="B1807" s="454"/>
      <c r="C1807" s="427"/>
      <c r="D1807" s="408"/>
      <c r="E1807" s="408"/>
      <c r="F1807" s="408"/>
      <c r="G1807" s="430"/>
      <c r="H1807" s="415"/>
      <c r="I1807" s="414"/>
      <c r="J1807" s="400"/>
      <c r="K1807" s="401"/>
      <c r="L1807" s="401"/>
    </row>
    <row r="1808" spans="1:64" ht="13">
      <c r="A1808" s="454"/>
      <c r="B1808" s="415" t="s">
        <v>727</v>
      </c>
      <c r="C1808" s="526" t="s">
        <v>1065</v>
      </c>
      <c r="D1808" s="408"/>
      <c r="E1808" s="408"/>
      <c r="F1808" s="408"/>
      <c r="G1808" s="430"/>
      <c r="H1808" s="415"/>
      <c r="I1808" s="414"/>
      <c r="J1808" s="623"/>
      <c r="K1808" s="624"/>
      <c r="L1808" s="631"/>
      <c r="M1808" s="475"/>
      <c r="N1808" s="475"/>
      <c r="O1808" s="475"/>
      <c r="P1808" s="475"/>
      <c r="Q1808" s="475"/>
      <c r="R1808" s="475"/>
      <c r="S1808" s="475"/>
      <c r="T1808" s="475"/>
      <c r="U1808" s="475"/>
      <c r="V1808" s="475"/>
      <c r="W1808" s="475"/>
      <c r="X1808" s="475"/>
      <c r="Y1808" s="475"/>
      <c r="Z1808" s="475"/>
      <c r="AA1808" s="475"/>
      <c r="AB1808" s="475"/>
      <c r="AC1808" s="475"/>
      <c r="AD1808" s="475"/>
      <c r="AE1808" s="475"/>
      <c r="AF1808" s="475"/>
      <c r="AG1808" s="475"/>
      <c r="AH1808" s="475"/>
      <c r="AI1808" s="475"/>
      <c r="AJ1808" s="475"/>
      <c r="AK1808" s="475"/>
      <c r="AL1808" s="475"/>
      <c r="AM1808" s="475"/>
      <c r="AN1808" s="475"/>
      <c r="AO1808" s="475"/>
      <c r="AP1808" s="475"/>
      <c r="AQ1808" s="475"/>
      <c r="AR1808" s="475"/>
      <c r="AS1808" s="475"/>
      <c r="AT1808" s="475"/>
      <c r="AU1808" s="475"/>
      <c r="AV1808" s="475"/>
      <c r="AW1808" s="475"/>
      <c r="AX1808" s="475"/>
      <c r="AY1808" s="475"/>
      <c r="AZ1808" s="475"/>
      <c r="BA1808" s="475"/>
      <c r="BB1808" s="475"/>
      <c r="BC1808" s="475"/>
      <c r="BD1808" s="475"/>
      <c r="BE1808" s="475"/>
      <c r="BF1808" s="475"/>
      <c r="BG1808" s="475"/>
      <c r="BH1808" s="475"/>
      <c r="BI1808" s="475"/>
      <c r="BJ1808" s="475"/>
      <c r="BK1808" s="475"/>
      <c r="BL1808" s="475"/>
    </row>
    <row r="1809" spans="1:64" ht="13">
      <c r="A1809" s="454"/>
      <c r="B1809" s="426"/>
      <c r="C1809" s="427" t="s">
        <v>953</v>
      </c>
      <c r="D1809" s="414" t="s">
        <v>959</v>
      </c>
      <c r="E1809" s="416" t="s">
        <v>943</v>
      </c>
      <c r="F1809" s="415" t="s">
        <v>944</v>
      </c>
      <c r="G1809" s="414" t="s">
        <v>1036</v>
      </c>
      <c r="H1809" s="414" t="s">
        <v>1037</v>
      </c>
      <c r="I1809" s="414" t="s">
        <v>1038</v>
      </c>
      <c r="J1809" s="623"/>
      <c r="K1809" s="624"/>
      <c r="L1809" s="631"/>
      <c r="M1809" s="475"/>
      <c r="N1809" s="475"/>
      <c r="O1809" s="475"/>
      <c r="P1809" s="475"/>
      <c r="Q1809" s="475"/>
      <c r="R1809" s="475"/>
      <c r="S1809" s="475"/>
      <c r="T1809" s="475"/>
      <c r="U1809" s="475"/>
      <c r="V1809" s="475"/>
      <c r="W1809" s="475"/>
      <c r="X1809" s="475"/>
      <c r="Y1809" s="475"/>
      <c r="Z1809" s="475"/>
      <c r="AA1809" s="475"/>
      <c r="AB1809" s="475"/>
      <c r="AC1809" s="475"/>
      <c r="AD1809" s="475"/>
      <c r="AE1809" s="475"/>
      <c r="AF1809" s="475"/>
      <c r="AG1809" s="475"/>
      <c r="AH1809" s="475"/>
      <c r="AI1809" s="475"/>
      <c r="AJ1809" s="475"/>
      <c r="AK1809" s="475"/>
      <c r="AL1809" s="475"/>
      <c r="AM1809" s="475"/>
      <c r="AN1809" s="475"/>
      <c r="AO1809" s="475"/>
      <c r="AP1809" s="475"/>
      <c r="AQ1809" s="475"/>
      <c r="AR1809" s="475"/>
      <c r="AS1809" s="475"/>
      <c r="AT1809" s="475"/>
      <c r="AU1809" s="475"/>
      <c r="AV1809" s="475"/>
      <c r="AW1809" s="475"/>
      <c r="AX1809" s="475"/>
      <c r="AY1809" s="475"/>
      <c r="AZ1809" s="475"/>
      <c r="BA1809" s="475"/>
      <c r="BB1809" s="475"/>
      <c r="BC1809" s="475"/>
      <c r="BD1809" s="475"/>
      <c r="BE1809" s="475"/>
      <c r="BF1809" s="475"/>
      <c r="BG1809" s="475"/>
      <c r="BH1809" s="475"/>
      <c r="BI1809" s="475"/>
      <c r="BJ1809" s="475"/>
      <c r="BK1809" s="475"/>
      <c r="BL1809" s="475"/>
    </row>
    <row r="1810" spans="1:64" ht="13">
      <c r="A1810" s="454"/>
      <c r="B1810" s="454"/>
      <c r="C1810" s="417" t="s">
        <v>1064</v>
      </c>
      <c r="D1810" s="408">
        <f t="shared" ref="D1810:I1810" si="431">$I$1800</f>
        <v>7047.81131</v>
      </c>
      <c r="E1810" s="408">
        <f t="shared" si="431"/>
        <v>7047.81131</v>
      </c>
      <c r="F1810" s="408">
        <f t="shared" si="431"/>
        <v>7047.81131</v>
      </c>
      <c r="G1810" s="408">
        <f t="shared" si="431"/>
        <v>7047.81131</v>
      </c>
      <c r="H1810" s="408">
        <f t="shared" si="431"/>
        <v>7047.81131</v>
      </c>
      <c r="I1810" s="408">
        <f t="shared" si="431"/>
        <v>7047.81131</v>
      </c>
      <c r="J1810" s="623"/>
      <c r="K1810" s="624"/>
      <c r="L1810" s="631"/>
      <c r="M1810" s="475"/>
      <c r="N1810" s="475"/>
      <c r="O1810" s="475"/>
      <c r="P1810" s="475"/>
      <c r="Q1810" s="475"/>
      <c r="R1810" s="475"/>
      <c r="S1810" s="475"/>
      <c r="T1810" s="475"/>
      <c r="U1810" s="475"/>
      <c r="V1810" s="475"/>
      <c r="W1810" s="475"/>
      <c r="X1810" s="475"/>
      <c r="Y1810" s="475"/>
      <c r="Z1810" s="475"/>
      <c r="AA1810" s="475"/>
      <c r="AB1810" s="475"/>
      <c r="AC1810" s="475"/>
      <c r="AD1810" s="475"/>
      <c r="AE1810" s="475"/>
      <c r="AF1810" s="475"/>
      <c r="AG1810" s="475"/>
      <c r="AH1810" s="475"/>
      <c r="AI1810" s="475"/>
      <c r="AJ1810" s="475"/>
      <c r="AK1810" s="475"/>
      <c r="AL1810" s="475"/>
      <c r="AM1810" s="475"/>
      <c r="AN1810" s="475"/>
      <c r="AO1810" s="475"/>
      <c r="AP1810" s="475"/>
      <c r="AQ1810" s="475"/>
      <c r="AR1810" s="475"/>
      <c r="AS1810" s="475"/>
      <c r="AT1810" s="475"/>
      <c r="AU1810" s="475"/>
      <c r="AV1810" s="475"/>
      <c r="AW1810" s="475"/>
      <c r="AX1810" s="475"/>
      <c r="AY1810" s="475"/>
      <c r="AZ1810" s="475"/>
      <c r="BA1810" s="475"/>
      <c r="BB1810" s="475"/>
      <c r="BC1810" s="475"/>
      <c r="BD1810" s="475"/>
      <c r="BE1810" s="475"/>
      <c r="BF1810" s="475"/>
      <c r="BG1810" s="475"/>
      <c r="BH1810" s="475"/>
      <c r="BI1810" s="475"/>
      <c r="BJ1810" s="475"/>
      <c r="BK1810" s="475"/>
      <c r="BL1810" s="475"/>
    </row>
    <row r="1811" spans="1:64" ht="13">
      <c r="A1811" s="454"/>
      <c r="B1811" s="454"/>
      <c r="C1811" s="417" t="s">
        <v>1059</v>
      </c>
      <c r="D1811" s="408">
        <f>'[161]Civil-SOR'!$F$222/0.225</f>
        <v>51.822222222222223</v>
      </c>
      <c r="E1811" s="408">
        <f>'[161]Civil-SOR'!$F$223/0.225</f>
        <v>51.822222222222223</v>
      </c>
      <c r="F1811" s="408">
        <f>'[161]Civil-SOR'!$F$224/0.225</f>
        <v>51.822222222222223</v>
      </c>
      <c r="G1811" s="408">
        <f>'[161]Civil-SOR'!$F$225/0.225</f>
        <v>51.822222222222223</v>
      </c>
      <c r="H1811" s="408">
        <f>'[161]Civil-SOR'!$F$225/0.225</f>
        <v>51.822222222222223</v>
      </c>
      <c r="I1811" s="408">
        <f>'[161]Civil-SOR'!$F$225/0.225</f>
        <v>51.822222222222223</v>
      </c>
      <c r="J1811" s="623"/>
      <c r="K1811" s="624"/>
      <c r="L1811" s="631"/>
      <c r="M1811" s="475"/>
      <c r="N1811" s="475"/>
      <c r="O1811" s="475"/>
      <c r="P1811" s="475"/>
      <c r="Q1811" s="475"/>
      <c r="R1811" s="475"/>
      <c r="S1811" s="475"/>
      <c r="T1811" s="475"/>
      <c r="U1811" s="475"/>
      <c r="V1811" s="475"/>
      <c r="W1811" s="475"/>
      <c r="X1811" s="475"/>
      <c r="Y1811" s="475"/>
      <c r="Z1811" s="475"/>
      <c r="AA1811" s="475"/>
      <c r="AB1811" s="475"/>
      <c r="AC1811" s="475"/>
      <c r="AD1811" s="475"/>
      <c r="AE1811" s="475"/>
      <c r="AF1811" s="475"/>
      <c r="AG1811" s="475"/>
      <c r="AH1811" s="475"/>
      <c r="AI1811" s="475"/>
      <c r="AJ1811" s="475"/>
      <c r="AK1811" s="475"/>
      <c r="AL1811" s="475"/>
      <c r="AM1811" s="475"/>
      <c r="AN1811" s="475"/>
      <c r="AO1811" s="475"/>
      <c r="AP1811" s="475"/>
      <c r="AQ1811" s="475"/>
      <c r="AR1811" s="475"/>
      <c r="AS1811" s="475"/>
      <c r="AT1811" s="475"/>
      <c r="AU1811" s="475"/>
      <c r="AV1811" s="475"/>
      <c r="AW1811" s="475"/>
      <c r="AX1811" s="475"/>
      <c r="AY1811" s="475"/>
      <c r="AZ1811" s="475"/>
      <c r="BA1811" s="475"/>
      <c r="BB1811" s="475"/>
      <c r="BC1811" s="475"/>
      <c r="BD1811" s="475"/>
      <c r="BE1811" s="475"/>
      <c r="BF1811" s="475"/>
      <c r="BG1811" s="475"/>
      <c r="BH1811" s="475"/>
      <c r="BI1811" s="475"/>
      <c r="BJ1811" s="475"/>
      <c r="BK1811" s="475"/>
      <c r="BL1811" s="475"/>
    </row>
    <row r="1812" spans="1:64" ht="13">
      <c r="A1812" s="454"/>
      <c r="B1812" s="454"/>
      <c r="C1812" s="417" t="s">
        <v>1060</v>
      </c>
      <c r="D1812" s="408">
        <f>ROUND('[161]Civil-SOR'!$G$222/0.225,2)</f>
        <v>419.07</v>
      </c>
      <c r="E1812" s="408">
        <f>ROUND('[161]Civil-SOR'!$G$223/0.225,2)</f>
        <v>602.71</v>
      </c>
      <c r="F1812" s="408">
        <f>ROUND('[161]Civil-SOR'!$G$224/0.225,2)</f>
        <v>786.36</v>
      </c>
      <c r="G1812" s="408">
        <f>ROUND('[161]Civil-SOR'!$G$225/0.225,2)</f>
        <v>970</v>
      </c>
      <c r="H1812" s="408">
        <f>ROUND('[161]Civil-SOR'!$G$226/0.225,2)</f>
        <v>1153.6400000000001</v>
      </c>
      <c r="I1812" s="408">
        <f>ROUND('[161]Civil-SOR'!$G$227/0.225,2)</f>
        <v>1337.29</v>
      </c>
      <c r="J1812" s="623"/>
      <c r="K1812" s="624"/>
      <c r="L1812" s="631"/>
      <c r="M1812" s="475"/>
      <c r="N1812" s="475"/>
      <c r="O1812" s="475"/>
      <c r="P1812" s="475"/>
      <c r="Q1812" s="475"/>
      <c r="R1812" s="475"/>
      <c r="S1812" s="475"/>
      <c r="T1812" s="475"/>
      <c r="U1812" s="475"/>
      <c r="V1812" s="475"/>
      <c r="W1812" s="475"/>
      <c r="X1812" s="475"/>
      <c r="Y1812" s="475"/>
      <c r="Z1812" s="475"/>
      <c r="AA1812" s="475"/>
      <c r="AB1812" s="475"/>
      <c r="AC1812" s="475"/>
      <c r="AD1812" s="475"/>
      <c r="AE1812" s="475"/>
      <c r="AF1812" s="475"/>
      <c r="AG1812" s="475"/>
      <c r="AH1812" s="475"/>
      <c r="AI1812" s="475"/>
      <c r="AJ1812" s="475"/>
      <c r="AK1812" s="475"/>
      <c r="AL1812" s="475"/>
      <c r="AM1812" s="475"/>
      <c r="AN1812" s="475"/>
      <c r="AO1812" s="475"/>
      <c r="AP1812" s="475"/>
      <c r="AQ1812" s="475"/>
      <c r="AR1812" s="475"/>
      <c r="AS1812" s="475"/>
      <c r="AT1812" s="475"/>
      <c r="AU1812" s="475"/>
      <c r="AV1812" s="475"/>
      <c r="AW1812" s="475"/>
      <c r="AX1812" s="475"/>
      <c r="AY1812" s="475"/>
      <c r="AZ1812" s="475"/>
      <c r="BA1812" s="475"/>
      <c r="BB1812" s="475"/>
      <c r="BC1812" s="475"/>
      <c r="BD1812" s="475"/>
      <c r="BE1812" s="475"/>
      <c r="BF1812" s="475"/>
      <c r="BG1812" s="475"/>
      <c r="BH1812" s="475"/>
      <c r="BI1812" s="475"/>
      <c r="BJ1812" s="475"/>
      <c r="BK1812" s="475"/>
      <c r="BL1812" s="475"/>
    </row>
    <row r="1813" spans="1:64" ht="13">
      <c r="A1813" s="454"/>
      <c r="B1813" s="454"/>
      <c r="C1813" s="417" t="str">
        <f>[161]Input!$C$47</f>
        <v>Add for MA @ 40%</v>
      </c>
      <c r="D1813" s="408">
        <f>[161]Input!$D$47*D1812</f>
        <v>167.62800000000001</v>
      </c>
      <c r="E1813" s="408">
        <f>[161]Input!$D$47*E1812</f>
        <v>241.08400000000003</v>
      </c>
      <c r="F1813" s="408">
        <f>[161]Input!$D$47*F1812</f>
        <v>314.54400000000004</v>
      </c>
      <c r="G1813" s="408">
        <f>[161]Input!$D$47*G1812</f>
        <v>388</v>
      </c>
      <c r="H1813" s="408">
        <f>[161]Input!$D$47*H1812</f>
        <v>461.45600000000007</v>
      </c>
      <c r="I1813" s="408">
        <f>[161]Input!$D$47*I1812</f>
        <v>534.91600000000005</v>
      </c>
      <c r="J1813" s="623"/>
      <c r="K1813" s="624"/>
      <c r="L1813" s="631"/>
      <c r="M1813" s="475"/>
      <c r="N1813" s="475"/>
      <c r="O1813" s="475"/>
      <c r="P1813" s="475"/>
      <c r="Q1813" s="475"/>
      <c r="R1813" s="475"/>
      <c r="S1813" s="475"/>
      <c r="T1813" s="475"/>
      <c r="U1813" s="475"/>
      <c r="V1813" s="475"/>
      <c r="W1813" s="475"/>
      <c r="X1813" s="475"/>
      <c r="Y1813" s="475"/>
      <c r="Z1813" s="475"/>
      <c r="AA1813" s="475"/>
      <c r="AB1813" s="475"/>
      <c r="AC1813" s="475"/>
      <c r="AD1813" s="475"/>
      <c r="AE1813" s="475"/>
      <c r="AF1813" s="475"/>
      <c r="AG1813" s="475"/>
      <c r="AH1813" s="475"/>
      <c r="AI1813" s="475"/>
      <c r="AJ1813" s="475"/>
      <c r="AK1813" s="475"/>
      <c r="AL1813" s="475"/>
      <c r="AM1813" s="475"/>
      <c r="AN1813" s="475"/>
      <c r="AO1813" s="475"/>
      <c r="AP1813" s="475"/>
      <c r="AQ1813" s="475"/>
      <c r="AR1813" s="475"/>
      <c r="AS1813" s="475"/>
      <c r="AT1813" s="475"/>
      <c r="AU1813" s="475"/>
      <c r="AV1813" s="475"/>
      <c r="AW1813" s="475"/>
      <c r="AX1813" s="475"/>
      <c r="AY1813" s="475"/>
      <c r="AZ1813" s="475"/>
      <c r="BA1813" s="475"/>
      <c r="BB1813" s="475"/>
      <c r="BC1813" s="475"/>
      <c r="BD1813" s="475"/>
      <c r="BE1813" s="475"/>
      <c r="BF1813" s="475"/>
      <c r="BG1813" s="475"/>
      <c r="BH1813" s="475"/>
      <c r="BI1813" s="475"/>
      <c r="BJ1813" s="475"/>
      <c r="BK1813" s="475"/>
      <c r="BL1813" s="475"/>
    </row>
    <row r="1814" spans="1:64" ht="13">
      <c r="A1814" s="454"/>
      <c r="B1814" s="454"/>
      <c r="C1814" s="417" t="s">
        <v>994</v>
      </c>
      <c r="D1814" s="408">
        <v>0</v>
      </c>
      <c r="E1814" s="408">
        <f>ROUND($F$1798*10%,2)</f>
        <v>220.56</v>
      </c>
      <c r="F1814" s="408">
        <f>ROUND($F$1798*20%,2)</f>
        <v>441.12</v>
      </c>
      <c r="G1814" s="408">
        <f>ROUND($F$1798*30%,2)</f>
        <v>661.68</v>
      </c>
      <c r="H1814" s="408">
        <f>ROUND($F$1798*40%,2)</f>
        <v>882.24</v>
      </c>
      <c r="I1814" s="408">
        <f>ROUND($F$1798*50%,2)</f>
        <v>1102.8</v>
      </c>
      <c r="J1814" s="623"/>
      <c r="K1814" s="624"/>
      <c r="L1814" s="631"/>
      <c r="M1814" s="475"/>
      <c r="N1814" s="475"/>
      <c r="O1814" s="475"/>
      <c r="P1814" s="475"/>
      <c r="Q1814" s="475"/>
      <c r="R1814" s="475"/>
      <c r="S1814" s="475"/>
      <c r="T1814" s="475"/>
      <c r="U1814" s="475"/>
      <c r="V1814" s="475"/>
      <c r="W1814" s="475"/>
      <c r="X1814" s="475"/>
      <c r="Y1814" s="475"/>
      <c r="Z1814" s="475"/>
      <c r="AA1814" s="475"/>
      <c r="AB1814" s="475"/>
      <c r="AC1814" s="475"/>
      <c r="AD1814" s="475"/>
      <c r="AE1814" s="475"/>
      <c r="AF1814" s="475"/>
      <c r="AG1814" s="475"/>
      <c r="AH1814" s="475"/>
      <c r="AI1814" s="475"/>
      <c r="AJ1814" s="475"/>
      <c r="AK1814" s="475"/>
      <c r="AL1814" s="475"/>
      <c r="AM1814" s="475"/>
      <c r="AN1814" s="475"/>
      <c r="AO1814" s="475"/>
      <c r="AP1814" s="475"/>
      <c r="AQ1814" s="475"/>
      <c r="AR1814" s="475"/>
      <c r="AS1814" s="475"/>
      <c r="AT1814" s="475"/>
      <c r="AU1814" s="475"/>
      <c r="AV1814" s="475"/>
      <c r="AW1814" s="475"/>
      <c r="AX1814" s="475"/>
      <c r="AY1814" s="475"/>
      <c r="AZ1814" s="475"/>
      <c r="BA1814" s="475"/>
      <c r="BB1814" s="475"/>
      <c r="BC1814" s="475"/>
      <c r="BD1814" s="475"/>
      <c r="BE1814" s="475"/>
      <c r="BF1814" s="475"/>
      <c r="BG1814" s="475"/>
      <c r="BH1814" s="475"/>
      <c r="BI1814" s="475"/>
      <c r="BJ1814" s="475"/>
      <c r="BK1814" s="475"/>
      <c r="BL1814" s="475"/>
    </row>
    <row r="1815" spans="1:64" ht="13">
      <c r="A1815" s="454"/>
      <c r="B1815" s="454"/>
      <c r="C1815" s="417" t="str">
        <f>[161]Input!$C$47</f>
        <v>Add for MA @ 40%</v>
      </c>
      <c r="D1815" s="408">
        <f>D1814*[161]Input!$D$47</f>
        <v>0</v>
      </c>
      <c r="E1815" s="408">
        <f>E1814*[161]Input!$D$47</f>
        <v>88.224000000000004</v>
      </c>
      <c r="F1815" s="408">
        <f>F1814*[161]Input!$D$47</f>
        <v>176.44800000000001</v>
      </c>
      <c r="G1815" s="408">
        <f>G1814*[161]Input!$D$47</f>
        <v>264.67199999999997</v>
      </c>
      <c r="H1815" s="408">
        <f>H1814*[161]Input!$D$47</f>
        <v>352.89600000000002</v>
      </c>
      <c r="I1815" s="408">
        <f>I1814*[161]Input!$D$47</f>
        <v>441.12</v>
      </c>
      <c r="J1815" s="623"/>
      <c r="K1815" s="624"/>
      <c r="L1815" s="631"/>
      <c r="M1815" s="475"/>
      <c r="N1815" s="475"/>
      <c r="O1815" s="475"/>
      <c r="P1815" s="475"/>
      <c r="Q1815" s="475"/>
      <c r="R1815" s="475"/>
      <c r="S1815" s="475"/>
      <c r="T1815" s="475"/>
      <c r="U1815" s="475"/>
      <c r="V1815" s="475"/>
      <c r="W1815" s="475"/>
      <c r="X1815" s="475"/>
      <c r="Y1815" s="475"/>
      <c r="Z1815" s="475"/>
      <c r="AA1815" s="475"/>
      <c r="AB1815" s="475"/>
      <c r="AC1815" s="475"/>
      <c r="AD1815" s="475"/>
      <c r="AE1815" s="475"/>
      <c r="AF1815" s="475"/>
      <c r="AG1815" s="475"/>
      <c r="AH1815" s="475"/>
      <c r="AI1815" s="475"/>
      <c r="AJ1815" s="475"/>
      <c r="AK1815" s="475"/>
      <c r="AL1815" s="475"/>
      <c r="AM1815" s="475"/>
      <c r="AN1815" s="475"/>
      <c r="AO1815" s="475"/>
      <c r="AP1815" s="475"/>
      <c r="AQ1815" s="475"/>
      <c r="AR1815" s="475"/>
      <c r="AS1815" s="475"/>
      <c r="AT1815" s="475"/>
      <c r="AU1815" s="475"/>
      <c r="AV1815" s="475"/>
      <c r="AW1815" s="475"/>
      <c r="AX1815" s="475"/>
      <c r="AY1815" s="475"/>
      <c r="AZ1815" s="475"/>
      <c r="BA1815" s="475"/>
      <c r="BB1815" s="475"/>
      <c r="BC1815" s="475"/>
      <c r="BD1815" s="475"/>
      <c r="BE1815" s="475"/>
      <c r="BF1815" s="475"/>
      <c r="BG1815" s="475"/>
      <c r="BH1815" s="475"/>
      <c r="BI1815" s="475"/>
      <c r="BJ1815" s="475"/>
      <c r="BK1815" s="475"/>
      <c r="BL1815" s="475"/>
    </row>
    <row r="1816" spans="1:64" ht="13">
      <c r="A1816" s="454"/>
      <c r="B1816" s="454"/>
      <c r="C1816" s="417"/>
      <c r="D1816" s="408">
        <f t="shared" ref="D1816:I1816" si="432">SUM(D1810:D1815)</f>
        <v>7686.3315322222215</v>
      </c>
      <c r="E1816" s="408">
        <f t="shared" si="432"/>
        <v>8252.2115322222216</v>
      </c>
      <c r="F1816" s="408">
        <f t="shared" si="432"/>
        <v>8818.1055322222237</v>
      </c>
      <c r="G1816" s="408">
        <f t="shared" si="432"/>
        <v>9383.9855322222229</v>
      </c>
      <c r="H1816" s="408">
        <f t="shared" si="432"/>
        <v>9949.8655322222221</v>
      </c>
      <c r="I1816" s="408">
        <f t="shared" si="432"/>
        <v>10515.759532222222</v>
      </c>
      <c r="J1816" s="623"/>
      <c r="K1816" s="624"/>
      <c r="L1816" s="631"/>
      <c r="M1816" s="475"/>
      <c r="N1816" s="475"/>
      <c r="O1816" s="475"/>
      <c r="P1816" s="475"/>
      <c r="Q1816" s="475"/>
      <c r="R1816" s="475"/>
      <c r="S1816" s="475"/>
      <c r="T1816" s="475"/>
      <c r="U1816" s="475"/>
      <c r="V1816" s="475"/>
      <c r="W1816" s="475"/>
      <c r="X1816" s="475"/>
      <c r="Y1816" s="475"/>
      <c r="Z1816" s="475"/>
      <c r="AA1816" s="475"/>
      <c r="AB1816" s="475"/>
      <c r="AC1816" s="475"/>
      <c r="AD1816" s="475"/>
      <c r="AE1816" s="475"/>
      <c r="AF1816" s="475"/>
      <c r="AG1816" s="475"/>
      <c r="AH1816" s="475"/>
      <c r="AI1816" s="475"/>
      <c r="AJ1816" s="475"/>
      <c r="AK1816" s="475"/>
      <c r="AL1816" s="475"/>
      <c r="AM1816" s="475"/>
      <c r="AN1816" s="475"/>
      <c r="AO1816" s="475"/>
      <c r="AP1816" s="475"/>
      <c r="AQ1816" s="475"/>
      <c r="AR1816" s="475"/>
      <c r="AS1816" s="475"/>
      <c r="AT1816" s="475"/>
      <c r="AU1816" s="475"/>
      <c r="AV1816" s="475"/>
      <c r="AW1816" s="475"/>
      <c r="AX1816" s="475"/>
      <c r="AY1816" s="475"/>
      <c r="AZ1816" s="475"/>
      <c r="BA1816" s="475"/>
      <c r="BB1816" s="475"/>
      <c r="BC1816" s="475"/>
      <c r="BD1816" s="475"/>
      <c r="BE1816" s="475"/>
      <c r="BF1816" s="475"/>
      <c r="BG1816" s="475"/>
      <c r="BH1816" s="475"/>
      <c r="BI1816" s="475"/>
      <c r="BJ1816" s="475"/>
      <c r="BK1816" s="475"/>
      <c r="BL1816" s="475"/>
    </row>
    <row r="1817" spans="1:64" ht="25">
      <c r="A1817" s="454"/>
      <c r="B1817" s="454"/>
      <c r="C1817" s="417" t="str">
        <f>[161]Input!$C$48</f>
        <v>Overheads &amp; Contractors Profit @ 13.615%</v>
      </c>
      <c r="D1817" s="408">
        <f>ROUND(D1816*[161]Input!$D$48,2)</f>
        <v>1046.49</v>
      </c>
      <c r="E1817" s="408">
        <f>ROUND(E1816*[161]Input!$D$48,2)</f>
        <v>1123.54</v>
      </c>
      <c r="F1817" s="408">
        <f>ROUND(F1816*[161]Input!$D$48,2)</f>
        <v>1200.5899999999999</v>
      </c>
      <c r="G1817" s="408">
        <f>ROUND(G1816*[161]Input!$D$48,2)</f>
        <v>1277.6300000000001</v>
      </c>
      <c r="H1817" s="408">
        <f>ROUND(H1816*[161]Input!$D$48,2)</f>
        <v>1354.67</v>
      </c>
      <c r="I1817" s="408">
        <f>ROUND(I1816*[161]Input!$D$48,2)</f>
        <v>1431.72</v>
      </c>
      <c r="J1817" s="623"/>
      <c r="K1817" s="624"/>
      <c r="L1817" s="631"/>
      <c r="M1817" s="475"/>
      <c r="N1817" s="475"/>
      <c r="O1817" s="475"/>
      <c r="P1817" s="475"/>
      <c r="Q1817" s="475"/>
      <c r="R1817" s="475"/>
      <c r="S1817" s="475"/>
      <c r="T1817" s="475"/>
      <c r="U1817" s="475"/>
      <c r="V1817" s="475"/>
      <c r="W1817" s="475"/>
      <c r="X1817" s="475"/>
      <c r="Y1817" s="475"/>
      <c r="Z1817" s="475"/>
      <c r="AA1817" s="475"/>
      <c r="AB1817" s="475"/>
      <c r="AC1817" s="475"/>
      <c r="AD1817" s="475"/>
      <c r="AE1817" s="475"/>
      <c r="AF1817" s="475"/>
      <c r="AG1817" s="475"/>
      <c r="AH1817" s="475"/>
      <c r="AI1817" s="475"/>
      <c r="AJ1817" s="475"/>
      <c r="AK1817" s="475"/>
      <c r="AL1817" s="475"/>
      <c r="AM1817" s="475"/>
      <c r="AN1817" s="475"/>
      <c r="AO1817" s="475"/>
      <c r="AP1817" s="475"/>
      <c r="AQ1817" s="475"/>
      <c r="AR1817" s="475"/>
      <c r="AS1817" s="475"/>
      <c r="AT1817" s="475"/>
      <c r="AU1817" s="475"/>
      <c r="AV1817" s="475"/>
      <c r="AW1817" s="475"/>
      <c r="AX1817" s="475"/>
      <c r="AY1817" s="475"/>
      <c r="AZ1817" s="475"/>
      <c r="BA1817" s="475"/>
      <c r="BB1817" s="475"/>
      <c r="BC1817" s="475"/>
      <c r="BD1817" s="475"/>
      <c r="BE1817" s="475"/>
      <c r="BF1817" s="475"/>
      <c r="BG1817" s="475"/>
      <c r="BH1817" s="475"/>
      <c r="BI1817" s="475"/>
      <c r="BJ1817" s="475"/>
      <c r="BK1817" s="475"/>
      <c r="BL1817" s="475"/>
    </row>
    <row r="1818" spans="1:64" ht="13">
      <c r="A1818" s="454"/>
      <c r="B1818" s="454"/>
      <c r="C1818" s="481" t="s">
        <v>724</v>
      </c>
      <c r="D1818" s="414">
        <f t="shared" ref="D1818:I1818" si="433">SUM(D1816:D1817)</f>
        <v>8732.8215322222222</v>
      </c>
      <c r="E1818" s="414">
        <f t="shared" si="433"/>
        <v>9375.7515322222207</v>
      </c>
      <c r="F1818" s="414">
        <f t="shared" si="433"/>
        <v>10018.695532222224</v>
      </c>
      <c r="G1818" s="414">
        <f t="shared" si="433"/>
        <v>10661.615532222222</v>
      </c>
      <c r="H1818" s="414">
        <f t="shared" si="433"/>
        <v>11304.535532222222</v>
      </c>
      <c r="I1818" s="414">
        <f t="shared" si="433"/>
        <v>11947.479532222222</v>
      </c>
      <c r="J1818" s="623"/>
      <c r="K1818" s="624"/>
      <c r="L1818" s="631"/>
      <c r="M1818" s="554"/>
      <c r="N1818" s="554"/>
      <c r="O1818" s="554"/>
      <c r="P1818" s="554"/>
      <c r="Q1818" s="554"/>
      <c r="R1818" s="554"/>
      <c r="S1818" s="554"/>
      <c r="T1818" s="554"/>
      <c r="U1818" s="554"/>
      <c r="V1818" s="554"/>
      <c r="W1818" s="554"/>
      <c r="X1818" s="554"/>
      <c r="Y1818" s="554"/>
      <c r="Z1818" s="554"/>
      <c r="AA1818" s="554"/>
      <c r="AB1818" s="554"/>
      <c r="AC1818" s="554"/>
      <c r="AD1818" s="554"/>
      <c r="AE1818" s="554"/>
      <c r="AF1818" s="554"/>
      <c r="AG1818" s="554"/>
      <c r="AH1818" s="554"/>
      <c r="AI1818" s="554"/>
      <c r="AJ1818" s="554"/>
      <c r="AK1818" s="554"/>
      <c r="AL1818" s="554"/>
      <c r="AM1818" s="554"/>
      <c r="AN1818" s="554"/>
      <c r="AO1818" s="554"/>
      <c r="AP1818" s="554"/>
      <c r="AQ1818" s="554"/>
      <c r="AR1818" s="554"/>
      <c r="AS1818" s="554"/>
      <c r="AT1818" s="554"/>
      <c r="AU1818" s="554"/>
      <c r="AV1818" s="554"/>
      <c r="AW1818" s="554"/>
      <c r="AX1818" s="554"/>
      <c r="AY1818" s="554"/>
      <c r="AZ1818" s="554"/>
      <c r="BA1818" s="554"/>
      <c r="BB1818" s="554"/>
      <c r="BC1818" s="554"/>
      <c r="BD1818" s="554"/>
      <c r="BE1818" s="554"/>
      <c r="BF1818" s="554"/>
      <c r="BG1818" s="554"/>
      <c r="BH1818" s="554"/>
      <c r="BI1818" s="554"/>
      <c r="BJ1818" s="554"/>
      <c r="BK1818" s="554"/>
      <c r="BL1818" s="554"/>
    </row>
    <row r="1819" spans="1:64" ht="13">
      <c r="A1819" s="454"/>
      <c r="B1819" s="454"/>
      <c r="C1819" s="522" t="s">
        <v>726</v>
      </c>
      <c r="D1819" s="416">
        <f t="shared" ref="D1819:I1819" si="434">ROUND(D1818,0)</f>
        <v>8733</v>
      </c>
      <c r="E1819" s="416">
        <f t="shared" si="434"/>
        <v>9376</v>
      </c>
      <c r="F1819" s="416">
        <f t="shared" si="434"/>
        <v>10019</v>
      </c>
      <c r="G1819" s="416">
        <f t="shared" si="434"/>
        <v>10662</v>
      </c>
      <c r="H1819" s="416">
        <f t="shared" si="434"/>
        <v>11305</v>
      </c>
      <c r="I1819" s="414">
        <f t="shared" si="434"/>
        <v>11947</v>
      </c>
      <c r="J1819" s="623"/>
      <c r="K1819" s="624"/>
      <c r="L1819" s="631"/>
      <c r="M1819" s="554"/>
      <c r="N1819" s="554"/>
      <c r="O1819" s="554"/>
      <c r="P1819" s="554"/>
      <c r="Q1819" s="554"/>
      <c r="R1819" s="554"/>
      <c r="S1819" s="554"/>
      <c r="T1819" s="554"/>
      <c r="U1819" s="554"/>
      <c r="V1819" s="554"/>
      <c r="W1819" s="554"/>
      <c r="X1819" s="554"/>
      <c r="Y1819" s="554"/>
      <c r="Z1819" s="554"/>
      <c r="AA1819" s="554"/>
      <c r="AB1819" s="554"/>
      <c r="AC1819" s="554"/>
      <c r="AD1819" s="554"/>
      <c r="AE1819" s="554"/>
      <c r="AF1819" s="554"/>
      <c r="AG1819" s="554"/>
      <c r="AH1819" s="554"/>
      <c r="AI1819" s="554"/>
      <c r="AJ1819" s="554"/>
      <c r="AK1819" s="554"/>
      <c r="AL1819" s="554"/>
      <c r="AM1819" s="554"/>
      <c r="AN1819" s="554"/>
      <c r="AO1819" s="554"/>
      <c r="AP1819" s="554"/>
      <c r="AQ1819" s="554"/>
      <c r="AR1819" s="554"/>
      <c r="AS1819" s="554"/>
      <c r="AT1819" s="554"/>
      <c r="AU1819" s="554"/>
      <c r="AV1819" s="554"/>
      <c r="AW1819" s="554"/>
      <c r="AX1819" s="554"/>
      <c r="AY1819" s="554"/>
      <c r="AZ1819" s="554"/>
      <c r="BA1819" s="554"/>
      <c r="BB1819" s="554"/>
      <c r="BC1819" s="554"/>
      <c r="BD1819" s="554"/>
      <c r="BE1819" s="554"/>
      <c r="BF1819" s="554"/>
      <c r="BG1819" s="554"/>
      <c r="BH1819" s="554"/>
      <c r="BI1819" s="554"/>
      <c r="BJ1819" s="554"/>
      <c r="BK1819" s="554"/>
      <c r="BL1819" s="554"/>
    </row>
    <row r="1820" spans="1:64" ht="13">
      <c r="A1820" s="454"/>
      <c r="B1820" s="454"/>
      <c r="C1820" s="427"/>
      <c r="D1820" s="416"/>
      <c r="E1820" s="416"/>
      <c r="F1820" s="416"/>
      <c r="G1820" s="416"/>
      <c r="H1820" s="416"/>
      <c r="I1820" s="414"/>
      <c r="J1820" s="623"/>
      <c r="K1820" s="624"/>
      <c r="L1820" s="631"/>
    </row>
    <row r="1821" spans="1:64" ht="13">
      <c r="A1821" s="454"/>
      <c r="B1821" s="454"/>
      <c r="C1821" s="427" t="s">
        <v>953</v>
      </c>
      <c r="D1821" s="492" t="s">
        <v>948</v>
      </c>
      <c r="E1821" s="492" t="s">
        <v>949</v>
      </c>
      <c r="F1821" s="492" t="s">
        <v>950</v>
      </c>
      <c r="G1821" s="416"/>
      <c r="H1821" s="416"/>
      <c r="I1821" s="414"/>
      <c r="J1821" s="400"/>
      <c r="K1821" s="401"/>
      <c r="L1821" s="401"/>
    </row>
    <row r="1822" spans="1:64" ht="13">
      <c r="A1822" s="454"/>
      <c r="B1822" s="454"/>
      <c r="C1822" s="417" t="s">
        <v>1064</v>
      </c>
      <c r="D1822" s="408">
        <f>$I$1800</f>
        <v>7047.81131</v>
      </c>
      <c r="E1822" s="408">
        <f>$I$1800</f>
        <v>7047.81131</v>
      </c>
      <c r="F1822" s="408">
        <f>$I$1800</f>
        <v>7047.81131</v>
      </c>
      <c r="G1822" s="416"/>
      <c r="H1822" s="416"/>
      <c r="I1822" s="414"/>
      <c r="J1822" s="400"/>
      <c r="K1822" s="401"/>
      <c r="L1822" s="401"/>
    </row>
    <row r="1823" spans="1:64" ht="13">
      <c r="A1823" s="454"/>
      <c r="B1823" s="454"/>
      <c r="C1823" s="417" t="s">
        <v>1059</v>
      </c>
      <c r="D1823" s="408">
        <f>'[161]Civil-SOR'!$F$225/0.225</f>
        <v>51.822222222222223</v>
      </c>
      <c r="E1823" s="408">
        <f>'[161]Civil-SOR'!$F$225/0.225</f>
        <v>51.822222222222223</v>
      </c>
      <c r="F1823" s="408">
        <f>'[161]Civil-SOR'!$F$225/0.225</f>
        <v>51.822222222222223</v>
      </c>
      <c r="G1823" s="416"/>
      <c r="H1823" s="416"/>
      <c r="I1823" s="414"/>
      <c r="J1823" s="400"/>
      <c r="K1823" s="401"/>
      <c r="L1823" s="401"/>
    </row>
    <row r="1824" spans="1:64" ht="13">
      <c r="A1824" s="454"/>
      <c r="B1824" s="454"/>
      <c r="C1824" s="417" t="s">
        <v>1060</v>
      </c>
      <c r="D1824" s="408">
        <f>ROUND('[161]Civil-SOR'!$G$228/0.225,2)</f>
        <v>1521.87</v>
      </c>
      <c r="E1824" s="408">
        <f>ROUND('[161]Civil-SOR'!$G$229/0.225,2)</f>
        <v>1704.53</v>
      </c>
      <c r="F1824" s="408">
        <f>ROUND('[161]Civil-SOR'!$G$230/0.225,2)</f>
        <v>1888.18</v>
      </c>
      <c r="G1824" s="416"/>
      <c r="H1824" s="416"/>
      <c r="I1824" s="414"/>
      <c r="J1824" s="400"/>
      <c r="K1824" s="401"/>
      <c r="L1824" s="401"/>
    </row>
    <row r="1825" spans="1:64" ht="13">
      <c r="A1825" s="454"/>
      <c r="B1825" s="454"/>
      <c r="C1825" s="417" t="str">
        <f>[161]Input!$C$47</f>
        <v>Add for MA @ 40%</v>
      </c>
      <c r="D1825" s="408">
        <f>[161]Input!$D$47*D1824</f>
        <v>608.74799999999993</v>
      </c>
      <c r="E1825" s="408">
        <f>[161]Input!$D$47*E1824</f>
        <v>681.81200000000001</v>
      </c>
      <c r="F1825" s="408">
        <f>[161]Input!$D$47*F1824</f>
        <v>755.27200000000005</v>
      </c>
      <c r="G1825" s="416"/>
      <c r="H1825" s="416"/>
      <c r="I1825" s="414"/>
      <c r="J1825" s="400"/>
      <c r="K1825" s="401"/>
      <c r="L1825" s="401"/>
    </row>
    <row r="1826" spans="1:64" ht="13">
      <c r="A1826" s="454"/>
      <c r="B1826" s="454"/>
      <c r="C1826" s="417" t="s">
        <v>994</v>
      </c>
      <c r="D1826" s="408">
        <f>ROUND($F$1798*60%,2)</f>
        <v>1323.36</v>
      </c>
      <c r="E1826" s="408">
        <f>ROUND($F$1798*70%,2)</f>
        <v>1543.92</v>
      </c>
      <c r="F1826" s="408">
        <f>ROUND($F$1798*80%,2)</f>
        <v>1764.48</v>
      </c>
      <c r="G1826" s="416"/>
      <c r="H1826" s="416"/>
      <c r="I1826" s="414"/>
      <c r="J1826" s="400"/>
      <c r="K1826" s="401"/>
      <c r="L1826" s="401"/>
    </row>
    <row r="1827" spans="1:64" ht="13">
      <c r="A1827" s="454"/>
      <c r="B1827" s="454"/>
      <c r="C1827" s="417" t="str">
        <f>[161]Input!$C$47</f>
        <v>Add for MA @ 40%</v>
      </c>
      <c r="D1827" s="408">
        <f>D1826*[161]Input!$D$47</f>
        <v>529.34399999999994</v>
      </c>
      <c r="E1827" s="408">
        <f>E1826*[161]Input!$D$47</f>
        <v>617.5680000000001</v>
      </c>
      <c r="F1827" s="408">
        <f>F1826*[161]Input!$D$47</f>
        <v>705.79200000000003</v>
      </c>
      <c r="G1827" s="416"/>
      <c r="H1827" s="416"/>
      <c r="I1827" s="414"/>
      <c r="J1827" s="400"/>
      <c r="K1827" s="401"/>
      <c r="L1827" s="401"/>
    </row>
    <row r="1828" spans="1:64" ht="13">
      <c r="A1828" s="454"/>
      <c r="B1828" s="454"/>
      <c r="C1828" s="417"/>
      <c r="D1828" s="408">
        <f>SUM(D1822:D1827)</f>
        <v>11082.95553222222</v>
      </c>
      <c r="E1828" s="408">
        <f>SUM(E1822:E1827)</f>
        <v>11647.463532222222</v>
      </c>
      <c r="F1828" s="408">
        <f>SUM(F1822:F1827)</f>
        <v>12213.357532222222</v>
      </c>
      <c r="G1828" s="416"/>
      <c r="H1828" s="416"/>
      <c r="I1828" s="414"/>
      <c r="J1828" s="400"/>
      <c r="K1828" s="401"/>
      <c r="L1828" s="401"/>
    </row>
    <row r="1829" spans="1:64" ht="25">
      <c r="A1829" s="454"/>
      <c r="B1829" s="454"/>
      <c r="C1829" s="417" t="str">
        <f>[161]Input!$C$48</f>
        <v>Overheads &amp; Contractors Profit @ 13.615%</v>
      </c>
      <c r="D1829" s="408">
        <f>ROUND(D1828*[161]Input!$D$48,2)</f>
        <v>1508.94</v>
      </c>
      <c r="E1829" s="408">
        <f>ROUND(E1828*[161]Input!$D$48,2)</f>
        <v>1585.8</v>
      </c>
      <c r="F1829" s="408">
        <f>ROUND(F1828*[161]Input!$D$48,2)</f>
        <v>1662.85</v>
      </c>
      <c r="G1829" s="416"/>
      <c r="H1829" s="416"/>
      <c r="I1829" s="414"/>
      <c r="J1829" s="400"/>
      <c r="K1829" s="401"/>
      <c r="L1829" s="401"/>
    </row>
    <row r="1830" spans="1:64" ht="13">
      <c r="A1830" s="454"/>
      <c r="B1830" s="454"/>
      <c r="C1830" s="427" t="s">
        <v>724</v>
      </c>
      <c r="D1830" s="414">
        <f>SUM(D1828:D1829)</f>
        <v>12591.895532222221</v>
      </c>
      <c r="E1830" s="414">
        <f>SUM(E1828:E1829)</f>
        <v>13233.263532222221</v>
      </c>
      <c r="F1830" s="414">
        <f>SUM(F1828:F1829)</f>
        <v>13876.207532222223</v>
      </c>
      <c r="G1830" s="416"/>
      <c r="H1830" s="416"/>
      <c r="I1830" s="414"/>
      <c r="J1830" s="400"/>
      <c r="K1830" s="401"/>
      <c r="L1830" s="401"/>
    </row>
    <row r="1831" spans="1:64" ht="13">
      <c r="A1831" s="454"/>
      <c r="B1831" s="454"/>
      <c r="C1831" s="514" t="s">
        <v>726</v>
      </c>
      <c r="D1831" s="416">
        <f>ROUND(D1830,0)</f>
        <v>12592</v>
      </c>
      <c r="E1831" s="416">
        <f>ROUND(E1830,0)</f>
        <v>13233</v>
      </c>
      <c r="F1831" s="414">
        <f>ROUND(F1830,0)</f>
        <v>13876</v>
      </c>
      <c r="G1831" s="416"/>
      <c r="H1831" s="416"/>
      <c r="I1831" s="414"/>
      <c r="J1831" s="400"/>
      <c r="K1831" s="401"/>
      <c r="L1831" s="401"/>
    </row>
    <row r="1832" spans="1:64" ht="13">
      <c r="A1832" s="454"/>
      <c r="B1832" s="454"/>
      <c r="C1832" s="427"/>
      <c r="D1832" s="416"/>
      <c r="E1832" s="416"/>
      <c r="F1832" s="416"/>
      <c r="G1832" s="416"/>
      <c r="H1832" s="416"/>
      <c r="I1832" s="414"/>
      <c r="J1832" s="400"/>
      <c r="K1832" s="401"/>
      <c r="L1832" s="401"/>
    </row>
    <row r="1833" spans="1:64" ht="106.75" customHeight="1">
      <c r="A1833" s="1286">
        <f>A1786+1</f>
        <v>4</v>
      </c>
      <c r="B1833" s="1286"/>
      <c r="C1833" s="1276" t="s">
        <v>1079</v>
      </c>
      <c r="D1833" s="1276"/>
      <c r="E1833" s="1276"/>
      <c r="F1833" s="1276"/>
      <c r="G1833" s="1276"/>
      <c r="H1833" s="1276"/>
      <c r="I1833" s="407"/>
      <c r="J1833" s="400"/>
      <c r="K1833" s="401"/>
      <c r="L1833" s="401"/>
    </row>
    <row r="1834" spans="1:64" ht="13">
      <c r="A1834" s="454"/>
      <c r="B1834" s="454"/>
      <c r="C1834" s="455" t="s">
        <v>1080</v>
      </c>
      <c r="D1834" s="426"/>
      <c r="E1834" s="426"/>
      <c r="F1834" s="426"/>
      <c r="G1834" s="426"/>
      <c r="H1834" s="426"/>
      <c r="I1834" s="409"/>
      <c r="J1834" s="400"/>
      <c r="K1834" s="401"/>
      <c r="L1834" s="401"/>
    </row>
    <row r="1835" spans="1:64">
      <c r="A1835" s="454"/>
      <c r="B1835" s="454"/>
      <c r="C1835" s="469" t="s">
        <v>1068</v>
      </c>
      <c r="D1835" s="426"/>
      <c r="E1835" s="426"/>
      <c r="F1835" s="426"/>
      <c r="G1835" s="426"/>
      <c r="H1835" s="426"/>
      <c r="I1835" s="409"/>
      <c r="J1835" s="400"/>
      <c r="K1835" s="401"/>
      <c r="L1835" s="401"/>
    </row>
    <row r="1836" spans="1:64" ht="13">
      <c r="A1836" s="454"/>
      <c r="B1836" s="454"/>
      <c r="C1836" s="427" t="s">
        <v>873</v>
      </c>
      <c r="D1836" s="430"/>
      <c r="E1836" s="408"/>
      <c r="F1836" s="408"/>
      <c r="G1836" s="430"/>
      <c r="H1836" s="456"/>
      <c r="I1836" s="408"/>
      <c r="J1836" s="400"/>
      <c r="K1836" s="401"/>
      <c r="L1836" s="401"/>
    </row>
    <row r="1837" spans="1:64">
      <c r="A1837" s="458"/>
      <c r="B1837" s="458"/>
      <c r="C1837" s="417" t="s">
        <v>1081</v>
      </c>
      <c r="D1837" s="460">
        <v>247</v>
      </c>
      <c r="E1837" s="459" t="s">
        <v>375</v>
      </c>
      <c r="F1837" s="459">
        <f>[161]LEAD!$N$17</f>
        <v>14000</v>
      </c>
      <c r="G1837" s="460">
        <v>1000</v>
      </c>
      <c r="H1837" s="599" t="s">
        <v>375</v>
      </c>
      <c r="I1837" s="459">
        <f t="shared" ref="I1837:I1839" si="435">IF(G1837="",D1837*F1837,(D1837*F1837/G1837))</f>
        <v>3458</v>
      </c>
      <c r="J1837" s="462"/>
      <c r="K1837" s="463"/>
      <c r="L1837" s="463"/>
      <c r="M1837" s="559"/>
      <c r="N1837" s="559"/>
      <c r="O1837" s="559"/>
      <c r="P1837" s="559"/>
      <c r="Q1837" s="559"/>
      <c r="R1837" s="559"/>
      <c r="S1837" s="559"/>
      <c r="T1837" s="559"/>
      <c r="U1837" s="559"/>
      <c r="V1837" s="559"/>
      <c r="W1837" s="559"/>
      <c r="X1837" s="559"/>
      <c r="Y1837" s="559"/>
      <c r="Z1837" s="559"/>
      <c r="AA1837" s="559"/>
      <c r="AB1837" s="559"/>
      <c r="AC1837" s="559"/>
      <c r="AD1837" s="559"/>
      <c r="AE1837" s="559"/>
      <c r="AF1837" s="559"/>
      <c r="AG1837" s="559"/>
      <c r="AH1837" s="559"/>
      <c r="AI1837" s="559"/>
      <c r="AJ1837" s="559"/>
      <c r="AK1837" s="559"/>
      <c r="AL1837" s="559"/>
      <c r="AM1837" s="559"/>
      <c r="AN1837" s="559"/>
      <c r="AO1837" s="559"/>
      <c r="AP1837" s="559"/>
      <c r="AQ1837" s="559"/>
      <c r="AR1837" s="559"/>
      <c r="AS1837" s="559"/>
      <c r="AT1837" s="559"/>
      <c r="AU1837" s="559"/>
      <c r="AV1837" s="559"/>
      <c r="AW1837" s="559"/>
      <c r="AX1837" s="559"/>
      <c r="AY1837" s="559"/>
      <c r="AZ1837" s="559"/>
      <c r="BA1837" s="559"/>
      <c r="BB1837" s="559"/>
      <c r="BC1837" s="559"/>
      <c r="BD1837" s="559"/>
      <c r="BE1837" s="559"/>
      <c r="BF1837" s="559"/>
      <c r="BG1837" s="559"/>
      <c r="BH1837" s="559"/>
      <c r="BI1837" s="559"/>
      <c r="BJ1837" s="559"/>
      <c r="BK1837" s="559"/>
      <c r="BL1837" s="559"/>
    </row>
    <row r="1838" spans="1:64">
      <c r="A1838" s="458"/>
      <c r="B1838" s="458"/>
      <c r="C1838" s="417" t="s">
        <v>504</v>
      </c>
      <c r="D1838" s="459">
        <v>36</v>
      </c>
      <c r="E1838" s="459" t="s">
        <v>833</v>
      </c>
      <c r="F1838" s="459">
        <f>[161]LEAD!$N$6</f>
        <v>5200</v>
      </c>
      <c r="G1838" s="460">
        <v>1000</v>
      </c>
      <c r="H1838" s="599" t="str">
        <f t="shared" ref="H1838:H1839" si="436">IF(E1838="","",IF(E1838="No.","Each",IF(E1838="Nos.","Each",E1838)))</f>
        <v>Kgs</v>
      </c>
      <c r="I1838" s="459">
        <f t="shared" si="435"/>
        <v>187.2</v>
      </c>
      <c r="J1838" s="462"/>
      <c r="K1838" s="463"/>
      <c r="L1838" s="463"/>
      <c r="M1838" s="559"/>
      <c r="N1838" s="559"/>
      <c r="O1838" s="559"/>
      <c r="P1838" s="559"/>
      <c r="Q1838" s="559"/>
      <c r="R1838" s="559"/>
      <c r="S1838" s="559"/>
      <c r="T1838" s="559"/>
      <c r="U1838" s="559"/>
      <c r="V1838" s="559"/>
      <c r="W1838" s="559"/>
      <c r="X1838" s="559"/>
      <c r="Y1838" s="559"/>
      <c r="Z1838" s="559"/>
      <c r="AA1838" s="559"/>
      <c r="AB1838" s="559"/>
      <c r="AC1838" s="559"/>
      <c r="AD1838" s="559"/>
      <c r="AE1838" s="559"/>
      <c r="AF1838" s="559"/>
      <c r="AG1838" s="559"/>
      <c r="AH1838" s="559"/>
      <c r="AI1838" s="559"/>
      <c r="AJ1838" s="559"/>
      <c r="AK1838" s="559"/>
      <c r="AL1838" s="559"/>
      <c r="AM1838" s="559"/>
      <c r="AN1838" s="559"/>
      <c r="AO1838" s="559"/>
      <c r="AP1838" s="559"/>
      <c r="AQ1838" s="559"/>
      <c r="AR1838" s="559"/>
      <c r="AS1838" s="559"/>
      <c r="AT1838" s="559"/>
      <c r="AU1838" s="559"/>
      <c r="AV1838" s="559"/>
      <c r="AW1838" s="559"/>
      <c r="AX1838" s="559"/>
      <c r="AY1838" s="559"/>
      <c r="AZ1838" s="559"/>
      <c r="BA1838" s="559"/>
      <c r="BB1838" s="559"/>
      <c r="BC1838" s="559"/>
      <c r="BD1838" s="559"/>
      <c r="BE1838" s="559"/>
      <c r="BF1838" s="559"/>
      <c r="BG1838" s="559"/>
      <c r="BH1838" s="559"/>
      <c r="BI1838" s="559"/>
      <c r="BJ1838" s="559"/>
      <c r="BK1838" s="559"/>
      <c r="BL1838" s="559"/>
    </row>
    <row r="1839" spans="1:64">
      <c r="A1839" s="458"/>
      <c r="B1839" s="458"/>
      <c r="C1839" s="417" t="s">
        <v>875</v>
      </c>
      <c r="D1839" s="459">
        <v>0.1</v>
      </c>
      <c r="E1839" s="459" t="s">
        <v>57</v>
      </c>
      <c r="F1839" s="459">
        <f>[161]LEAD!$N$13</f>
        <v>2453.91</v>
      </c>
      <c r="G1839" s="460">
        <v>1</v>
      </c>
      <c r="H1839" s="599" t="str">
        <f t="shared" si="436"/>
        <v>Cum</v>
      </c>
      <c r="I1839" s="459">
        <f t="shared" si="435"/>
        <v>245.39099999999999</v>
      </c>
      <c r="J1839" s="462"/>
      <c r="K1839" s="463"/>
      <c r="L1839" s="463"/>
      <c r="M1839" s="559"/>
      <c r="N1839" s="559"/>
      <c r="O1839" s="559"/>
      <c r="P1839" s="559"/>
      <c r="Q1839" s="559"/>
      <c r="R1839" s="559"/>
      <c r="S1839" s="559"/>
      <c r="T1839" s="559"/>
      <c r="U1839" s="559"/>
      <c r="V1839" s="559"/>
      <c r="W1839" s="559"/>
      <c r="X1839" s="559"/>
      <c r="Y1839" s="559"/>
      <c r="Z1839" s="559"/>
      <c r="AA1839" s="559"/>
      <c r="AB1839" s="559"/>
      <c r="AC1839" s="559"/>
      <c r="AD1839" s="559"/>
      <c r="AE1839" s="559"/>
      <c r="AF1839" s="559"/>
      <c r="AG1839" s="559"/>
      <c r="AH1839" s="559"/>
      <c r="AI1839" s="559"/>
      <c r="AJ1839" s="559"/>
      <c r="AK1839" s="559"/>
      <c r="AL1839" s="559"/>
      <c r="AM1839" s="559"/>
      <c r="AN1839" s="559"/>
      <c r="AO1839" s="559"/>
      <c r="AP1839" s="559"/>
      <c r="AQ1839" s="559"/>
      <c r="AR1839" s="559"/>
      <c r="AS1839" s="559"/>
      <c r="AT1839" s="559"/>
      <c r="AU1839" s="559"/>
      <c r="AV1839" s="559"/>
      <c r="AW1839" s="559"/>
      <c r="AX1839" s="559"/>
      <c r="AY1839" s="559"/>
      <c r="AZ1839" s="559"/>
      <c r="BA1839" s="559"/>
      <c r="BB1839" s="559"/>
      <c r="BC1839" s="559"/>
      <c r="BD1839" s="559"/>
      <c r="BE1839" s="559"/>
      <c r="BF1839" s="559"/>
      <c r="BG1839" s="559"/>
      <c r="BH1839" s="559"/>
      <c r="BI1839" s="559"/>
      <c r="BJ1839" s="559"/>
      <c r="BK1839" s="559"/>
      <c r="BL1839" s="559"/>
    </row>
    <row r="1840" spans="1:64" ht="13">
      <c r="A1840" s="458"/>
      <c r="B1840" s="458"/>
      <c r="C1840" s="427" t="s">
        <v>911</v>
      </c>
      <c r="D1840" s="459"/>
      <c r="E1840" s="459"/>
      <c r="F1840" s="459"/>
      <c r="G1840" s="460"/>
      <c r="H1840" s="599"/>
      <c r="I1840" s="459"/>
      <c r="J1840" s="462"/>
      <c r="K1840" s="463"/>
      <c r="L1840" s="463"/>
      <c r="M1840" s="559"/>
      <c r="N1840" s="559"/>
      <c r="O1840" s="559"/>
      <c r="P1840" s="559"/>
      <c r="Q1840" s="559"/>
      <c r="R1840" s="559"/>
      <c r="S1840" s="559"/>
      <c r="T1840" s="559"/>
      <c r="U1840" s="559"/>
      <c r="V1840" s="559"/>
      <c r="W1840" s="559"/>
      <c r="X1840" s="559"/>
      <c r="Y1840" s="559"/>
      <c r="Z1840" s="559"/>
      <c r="AA1840" s="559"/>
      <c r="AB1840" s="559"/>
      <c r="AC1840" s="559"/>
      <c r="AD1840" s="559"/>
      <c r="AE1840" s="559"/>
      <c r="AF1840" s="559"/>
      <c r="AG1840" s="559"/>
      <c r="AH1840" s="559"/>
      <c r="AI1840" s="559"/>
      <c r="AJ1840" s="559"/>
      <c r="AK1840" s="559"/>
      <c r="AL1840" s="559"/>
      <c r="AM1840" s="559"/>
      <c r="AN1840" s="559"/>
      <c r="AO1840" s="559"/>
      <c r="AP1840" s="559"/>
      <c r="AQ1840" s="559"/>
      <c r="AR1840" s="559"/>
      <c r="AS1840" s="559"/>
      <c r="AT1840" s="559"/>
      <c r="AU1840" s="559"/>
      <c r="AV1840" s="559"/>
      <c r="AW1840" s="559"/>
      <c r="AX1840" s="559"/>
      <c r="AY1840" s="559"/>
      <c r="AZ1840" s="559"/>
      <c r="BA1840" s="559"/>
      <c r="BB1840" s="559"/>
      <c r="BC1840" s="559"/>
      <c r="BD1840" s="559"/>
      <c r="BE1840" s="559"/>
      <c r="BF1840" s="559"/>
      <c r="BG1840" s="559"/>
      <c r="BH1840" s="559"/>
      <c r="BI1840" s="559"/>
      <c r="BJ1840" s="559"/>
      <c r="BK1840" s="559"/>
      <c r="BL1840" s="559"/>
    </row>
    <row r="1841" spans="1:64">
      <c r="A1841" s="406"/>
      <c r="B1841" s="458"/>
      <c r="C1841" s="417" t="s">
        <v>881</v>
      </c>
      <c r="D1841" s="459">
        <v>0.42</v>
      </c>
      <c r="E1841" s="459" t="s">
        <v>375</v>
      </c>
      <c r="F1841" s="459">
        <f>'[161]Civil-SOR'!$G$293</f>
        <v>580</v>
      </c>
      <c r="G1841" s="460">
        <v>1</v>
      </c>
      <c r="H1841" s="599" t="str">
        <f t="shared" ref="H1841:H1843" si="437">IF(E1841="","",IF(E1841="No.","Each",IF(E1841="Nos.","Each",E1841)))</f>
        <v>Each</v>
      </c>
      <c r="I1841" s="459">
        <f t="shared" ref="I1841:I1845" si="438">IF(G1841="",D1841*F1841,(D1841*F1841/G1841))</f>
        <v>243.6</v>
      </c>
      <c r="J1841" s="462"/>
      <c r="K1841" s="463"/>
      <c r="L1841" s="463"/>
      <c r="M1841" s="559"/>
      <c r="N1841" s="559"/>
      <c r="O1841" s="559"/>
      <c r="P1841" s="559"/>
      <c r="Q1841" s="559"/>
      <c r="R1841" s="559"/>
      <c r="S1841" s="559"/>
      <c r="T1841" s="559"/>
      <c r="U1841" s="559"/>
      <c r="V1841" s="559"/>
      <c r="W1841" s="559"/>
      <c r="X1841" s="559"/>
      <c r="Y1841" s="559"/>
      <c r="Z1841" s="559"/>
      <c r="AA1841" s="559"/>
      <c r="AB1841" s="559"/>
      <c r="AC1841" s="559"/>
      <c r="AD1841" s="559"/>
      <c r="AE1841" s="559"/>
      <c r="AF1841" s="559"/>
      <c r="AG1841" s="559"/>
      <c r="AH1841" s="559"/>
      <c r="AI1841" s="559"/>
      <c r="AJ1841" s="559"/>
      <c r="AK1841" s="559"/>
      <c r="AL1841" s="559"/>
      <c r="AM1841" s="559"/>
      <c r="AN1841" s="559"/>
      <c r="AO1841" s="559"/>
      <c r="AP1841" s="559"/>
      <c r="AQ1841" s="559"/>
      <c r="AR1841" s="559"/>
      <c r="AS1841" s="559"/>
      <c r="AT1841" s="559"/>
      <c r="AU1841" s="559"/>
      <c r="AV1841" s="559"/>
      <c r="AW1841" s="559"/>
      <c r="AX1841" s="559"/>
      <c r="AY1841" s="559"/>
      <c r="AZ1841" s="559"/>
      <c r="BA1841" s="559"/>
      <c r="BB1841" s="559"/>
      <c r="BC1841" s="559"/>
      <c r="BD1841" s="559"/>
      <c r="BE1841" s="559"/>
      <c r="BF1841" s="559"/>
      <c r="BG1841" s="559"/>
      <c r="BH1841" s="559"/>
      <c r="BI1841" s="559"/>
      <c r="BJ1841" s="559"/>
      <c r="BK1841" s="559"/>
      <c r="BL1841" s="559"/>
    </row>
    <row r="1842" spans="1:64">
      <c r="A1842" s="458"/>
      <c r="B1842" s="458"/>
      <c r="C1842" s="417" t="s">
        <v>771</v>
      </c>
      <c r="D1842" s="459">
        <v>0.92</v>
      </c>
      <c r="E1842" s="459" t="s">
        <v>375</v>
      </c>
      <c r="F1842" s="459">
        <f>'[161]Civil-SOR'!$G$302</f>
        <v>550</v>
      </c>
      <c r="G1842" s="460">
        <v>1</v>
      </c>
      <c r="H1842" s="599" t="str">
        <f t="shared" si="437"/>
        <v>Each</v>
      </c>
      <c r="I1842" s="459">
        <f t="shared" si="438"/>
        <v>506</v>
      </c>
      <c r="J1842" s="462"/>
      <c r="K1842" s="463"/>
      <c r="L1842" s="463"/>
      <c r="M1842" s="559"/>
      <c r="N1842" s="559"/>
      <c r="O1842" s="559"/>
      <c r="P1842" s="559"/>
      <c r="Q1842" s="559"/>
      <c r="R1842" s="559"/>
      <c r="S1842" s="559"/>
      <c r="T1842" s="559"/>
      <c r="U1842" s="559"/>
      <c r="V1842" s="559"/>
      <c r="W1842" s="559"/>
      <c r="X1842" s="559"/>
      <c r="Y1842" s="559"/>
      <c r="Z1842" s="559"/>
      <c r="AA1842" s="559"/>
      <c r="AB1842" s="559"/>
      <c r="AC1842" s="559"/>
      <c r="AD1842" s="559"/>
      <c r="AE1842" s="559"/>
      <c r="AF1842" s="559"/>
      <c r="AG1842" s="559"/>
      <c r="AH1842" s="559"/>
      <c r="AI1842" s="559"/>
      <c r="AJ1842" s="559"/>
      <c r="AK1842" s="559"/>
      <c r="AL1842" s="559"/>
      <c r="AM1842" s="559"/>
      <c r="AN1842" s="559"/>
      <c r="AO1842" s="559"/>
      <c r="AP1842" s="559"/>
      <c r="AQ1842" s="559"/>
      <c r="AR1842" s="559"/>
      <c r="AS1842" s="559"/>
      <c r="AT1842" s="559"/>
      <c r="AU1842" s="559"/>
      <c r="AV1842" s="559"/>
      <c r="AW1842" s="559"/>
      <c r="AX1842" s="559"/>
      <c r="AY1842" s="559"/>
      <c r="AZ1842" s="559"/>
      <c r="BA1842" s="559"/>
      <c r="BB1842" s="559"/>
      <c r="BC1842" s="559"/>
      <c r="BD1842" s="559"/>
      <c r="BE1842" s="559"/>
      <c r="BF1842" s="559"/>
      <c r="BG1842" s="559"/>
      <c r="BH1842" s="559"/>
      <c r="BI1842" s="559"/>
      <c r="BJ1842" s="559"/>
      <c r="BK1842" s="559"/>
      <c r="BL1842" s="559"/>
    </row>
    <row r="1843" spans="1:64">
      <c r="A1843" s="458"/>
      <c r="B1843" s="458"/>
      <c r="C1843" s="417" t="s">
        <v>903</v>
      </c>
      <c r="D1843" s="459">
        <v>2.8</v>
      </c>
      <c r="E1843" s="459" t="s">
        <v>375</v>
      </c>
      <c r="F1843" s="459">
        <f>'[161]Civil-SOR'!$G$307</f>
        <v>520</v>
      </c>
      <c r="G1843" s="460">
        <v>1</v>
      </c>
      <c r="H1843" s="599" t="str">
        <f t="shared" si="437"/>
        <v>Each</v>
      </c>
      <c r="I1843" s="459">
        <f t="shared" si="438"/>
        <v>1456</v>
      </c>
      <c r="J1843" s="462"/>
      <c r="K1843" s="463"/>
      <c r="L1843" s="463"/>
      <c r="M1843" s="559"/>
      <c r="N1843" s="559"/>
      <c r="O1843" s="559"/>
      <c r="P1843" s="559"/>
      <c r="Q1843" s="559"/>
      <c r="R1843" s="559"/>
      <c r="S1843" s="559"/>
      <c r="T1843" s="559"/>
      <c r="U1843" s="559"/>
      <c r="V1843" s="559"/>
      <c r="W1843" s="559"/>
      <c r="X1843" s="559"/>
      <c r="Y1843" s="559"/>
      <c r="Z1843" s="559"/>
      <c r="AA1843" s="559"/>
      <c r="AB1843" s="559"/>
      <c r="AC1843" s="559"/>
      <c r="AD1843" s="559"/>
      <c r="AE1843" s="559"/>
      <c r="AF1843" s="559"/>
      <c r="AG1843" s="559"/>
      <c r="AH1843" s="559"/>
      <c r="AI1843" s="559"/>
      <c r="AJ1843" s="559"/>
      <c r="AK1843" s="559"/>
      <c r="AL1843" s="559"/>
      <c r="AM1843" s="559"/>
      <c r="AN1843" s="559"/>
      <c r="AO1843" s="559"/>
      <c r="AP1843" s="559"/>
      <c r="AQ1843" s="559"/>
      <c r="AR1843" s="559"/>
      <c r="AS1843" s="559"/>
      <c r="AT1843" s="559"/>
      <c r="AU1843" s="559"/>
      <c r="AV1843" s="559"/>
      <c r="AW1843" s="559"/>
      <c r="AX1843" s="559"/>
      <c r="AY1843" s="559"/>
      <c r="AZ1843" s="559"/>
      <c r="BA1843" s="559"/>
      <c r="BB1843" s="559"/>
      <c r="BC1843" s="559"/>
      <c r="BD1843" s="559"/>
      <c r="BE1843" s="559"/>
      <c r="BF1843" s="559"/>
      <c r="BG1843" s="559"/>
      <c r="BH1843" s="559"/>
      <c r="BI1843" s="559"/>
      <c r="BJ1843" s="559"/>
      <c r="BK1843" s="559"/>
      <c r="BL1843" s="559"/>
    </row>
    <row r="1844" spans="1:64">
      <c r="A1844" s="458"/>
      <c r="B1844" s="458"/>
      <c r="C1844" s="417" t="str">
        <f>[161]Input!$C$47</f>
        <v>Add for MA @ 40%</v>
      </c>
      <c r="D1844" s="622">
        <f>[161]Input!$D$47</f>
        <v>0.4</v>
      </c>
      <c r="E1844" s="458"/>
      <c r="F1844" s="459">
        <f>SUM(I1841:I1843)</f>
        <v>2205.6</v>
      </c>
      <c r="G1844" s="431"/>
      <c r="H1844" s="406"/>
      <c r="I1844" s="459">
        <f t="shared" si="438"/>
        <v>882.24</v>
      </c>
      <c r="J1844" s="462"/>
      <c r="K1844" s="463"/>
      <c r="L1844" s="463"/>
      <c r="M1844" s="559"/>
      <c r="N1844" s="559"/>
      <c r="O1844" s="559"/>
      <c r="P1844" s="559"/>
      <c r="Q1844" s="559"/>
      <c r="R1844" s="559"/>
      <c r="S1844" s="559"/>
      <c r="T1844" s="559"/>
      <c r="U1844" s="559"/>
      <c r="V1844" s="559"/>
      <c r="W1844" s="559"/>
      <c r="X1844" s="559"/>
      <c r="Y1844" s="559"/>
      <c r="Z1844" s="559"/>
      <c r="AA1844" s="559"/>
      <c r="AB1844" s="559"/>
      <c r="AC1844" s="559"/>
      <c r="AD1844" s="559"/>
      <c r="AE1844" s="559"/>
      <c r="AF1844" s="559"/>
      <c r="AG1844" s="559"/>
      <c r="AH1844" s="559"/>
      <c r="AI1844" s="559"/>
      <c r="AJ1844" s="559"/>
      <c r="AK1844" s="559"/>
      <c r="AL1844" s="559"/>
      <c r="AM1844" s="559"/>
      <c r="AN1844" s="559"/>
      <c r="AO1844" s="559"/>
      <c r="AP1844" s="559"/>
      <c r="AQ1844" s="559"/>
      <c r="AR1844" s="559"/>
      <c r="AS1844" s="559"/>
      <c r="AT1844" s="559"/>
      <c r="AU1844" s="559"/>
      <c r="AV1844" s="559"/>
      <c r="AW1844" s="559"/>
      <c r="AX1844" s="559"/>
      <c r="AY1844" s="559"/>
      <c r="AZ1844" s="559"/>
      <c r="BA1844" s="559"/>
      <c r="BB1844" s="559"/>
      <c r="BC1844" s="559"/>
      <c r="BD1844" s="559"/>
      <c r="BE1844" s="559"/>
      <c r="BF1844" s="559"/>
      <c r="BG1844" s="559"/>
      <c r="BH1844" s="559"/>
      <c r="BI1844" s="559"/>
      <c r="BJ1844" s="559"/>
      <c r="BK1844" s="559"/>
      <c r="BL1844" s="559"/>
    </row>
    <row r="1845" spans="1:64">
      <c r="A1845" s="458"/>
      <c r="B1845" s="458"/>
      <c r="C1845" s="417" t="s">
        <v>1058</v>
      </c>
      <c r="D1845" s="459">
        <v>0.01</v>
      </c>
      <c r="E1845" s="459"/>
      <c r="F1845" s="459">
        <f>SUM(I1837:I1844)</f>
        <v>6978.4309999999996</v>
      </c>
      <c r="G1845" s="460"/>
      <c r="H1845" s="599"/>
      <c r="I1845" s="459">
        <f t="shared" si="438"/>
        <v>69.784309999999991</v>
      </c>
      <c r="J1845" s="462"/>
      <c r="K1845" s="463"/>
      <c r="L1845" s="463"/>
      <c r="M1845" s="559"/>
      <c r="N1845" s="559"/>
      <c r="O1845" s="559"/>
      <c r="P1845" s="559"/>
      <c r="Q1845" s="559"/>
      <c r="R1845" s="559"/>
      <c r="S1845" s="559"/>
      <c r="T1845" s="559"/>
      <c r="U1845" s="559"/>
      <c r="V1845" s="559"/>
      <c r="W1845" s="559"/>
      <c r="X1845" s="559"/>
      <c r="Y1845" s="559"/>
      <c r="Z1845" s="559"/>
      <c r="AA1845" s="559"/>
      <c r="AB1845" s="559"/>
      <c r="AC1845" s="559"/>
      <c r="AD1845" s="559"/>
      <c r="AE1845" s="559"/>
      <c r="AF1845" s="559"/>
      <c r="AG1845" s="559"/>
      <c r="AH1845" s="559"/>
      <c r="AI1845" s="559"/>
      <c r="AJ1845" s="559"/>
      <c r="AK1845" s="559"/>
      <c r="AL1845" s="559"/>
      <c r="AM1845" s="559"/>
      <c r="AN1845" s="559"/>
      <c r="AO1845" s="559"/>
      <c r="AP1845" s="559"/>
      <c r="AQ1845" s="559"/>
      <c r="AR1845" s="559"/>
      <c r="AS1845" s="559"/>
      <c r="AT1845" s="559"/>
      <c r="AU1845" s="559"/>
      <c r="AV1845" s="559"/>
      <c r="AW1845" s="559"/>
      <c r="AX1845" s="559"/>
      <c r="AY1845" s="559"/>
      <c r="AZ1845" s="559"/>
      <c r="BA1845" s="559"/>
      <c r="BB1845" s="559"/>
      <c r="BC1845" s="559"/>
      <c r="BD1845" s="559"/>
      <c r="BE1845" s="559"/>
      <c r="BF1845" s="559"/>
      <c r="BG1845" s="559"/>
      <c r="BH1845" s="559"/>
      <c r="BI1845" s="559"/>
      <c r="BJ1845" s="559"/>
      <c r="BK1845" s="559"/>
      <c r="BL1845" s="559"/>
    </row>
    <row r="1846" spans="1:64" ht="13">
      <c r="A1846" s="454"/>
      <c r="B1846" s="454"/>
      <c r="C1846" s="481" t="s">
        <v>741</v>
      </c>
      <c r="D1846" s="408"/>
      <c r="E1846" s="408"/>
      <c r="F1846" s="408"/>
      <c r="G1846" s="430"/>
      <c r="H1846" s="415"/>
      <c r="I1846" s="414">
        <f>SUM(I1836:I1845)</f>
        <v>7048.2153099999996</v>
      </c>
      <c r="J1846" s="411"/>
      <c r="K1846" s="412"/>
      <c r="L1846" s="412"/>
      <c r="M1846" s="554"/>
      <c r="N1846" s="554"/>
      <c r="O1846" s="554"/>
      <c r="P1846" s="554"/>
      <c r="Q1846" s="554"/>
      <c r="R1846" s="554"/>
      <c r="S1846" s="554"/>
      <c r="T1846" s="554"/>
      <c r="U1846" s="554"/>
      <c r="V1846" s="554"/>
      <c r="W1846" s="554"/>
      <c r="X1846" s="554"/>
      <c r="Y1846" s="554"/>
      <c r="Z1846" s="554"/>
      <c r="AA1846" s="554"/>
      <c r="AB1846" s="554"/>
      <c r="AC1846" s="554"/>
      <c r="AD1846" s="554"/>
      <c r="AE1846" s="554"/>
      <c r="AF1846" s="554"/>
      <c r="AG1846" s="554"/>
      <c r="AH1846" s="554"/>
      <c r="AI1846" s="554"/>
      <c r="AJ1846" s="554"/>
      <c r="AK1846" s="554"/>
      <c r="AL1846" s="554"/>
      <c r="AM1846" s="554"/>
      <c r="AN1846" s="554"/>
      <c r="AO1846" s="554"/>
      <c r="AP1846" s="554"/>
      <c r="AQ1846" s="554"/>
      <c r="AR1846" s="554"/>
      <c r="AS1846" s="554"/>
      <c r="AT1846" s="554"/>
      <c r="AU1846" s="554"/>
      <c r="AV1846" s="554"/>
      <c r="AW1846" s="554"/>
      <c r="AX1846" s="554"/>
      <c r="AY1846" s="554"/>
      <c r="AZ1846" s="554"/>
      <c r="BA1846" s="554"/>
      <c r="BB1846" s="554"/>
      <c r="BC1846" s="554"/>
      <c r="BD1846" s="554"/>
      <c r="BE1846" s="554"/>
      <c r="BF1846" s="554"/>
      <c r="BG1846" s="554"/>
      <c r="BH1846" s="554"/>
      <c r="BI1846" s="554"/>
      <c r="BJ1846" s="554"/>
      <c r="BK1846" s="554"/>
      <c r="BL1846" s="554"/>
    </row>
    <row r="1847" spans="1:64" ht="13">
      <c r="A1847" s="454"/>
      <c r="B1847" s="454"/>
      <c r="C1847" s="481" t="s">
        <v>742</v>
      </c>
      <c r="D1847" s="408"/>
      <c r="E1847" s="408"/>
      <c r="F1847" s="408"/>
      <c r="G1847" s="430"/>
      <c r="H1847" s="415"/>
      <c r="I1847" s="414">
        <f>ROUND(I1846/10,2)</f>
        <v>704.82</v>
      </c>
      <c r="J1847" s="411"/>
      <c r="K1847" s="412"/>
      <c r="L1847" s="412"/>
      <c r="M1847" s="554"/>
      <c r="N1847" s="554"/>
      <c r="O1847" s="554"/>
      <c r="P1847" s="554"/>
      <c r="Q1847" s="554"/>
      <c r="R1847" s="554"/>
      <c r="S1847" s="554"/>
      <c r="T1847" s="554"/>
      <c r="U1847" s="554"/>
      <c r="V1847" s="554"/>
      <c r="W1847" s="554"/>
      <c r="X1847" s="554"/>
      <c r="Y1847" s="554"/>
      <c r="Z1847" s="554"/>
      <c r="AA1847" s="554"/>
      <c r="AB1847" s="554"/>
      <c r="AC1847" s="554"/>
      <c r="AD1847" s="554"/>
      <c r="AE1847" s="554"/>
      <c r="AF1847" s="554"/>
      <c r="AG1847" s="554"/>
      <c r="AH1847" s="554"/>
      <c r="AI1847" s="554"/>
      <c r="AJ1847" s="554"/>
      <c r="AK1847" s="554"/>
      <c r="AL1847" s="554"/>
      <c r="AM1847" s="554"/>
      <c r="AN1847" s="554"/>
      <c r="AO1847" s="554"/>
      <c r="AP1847" s="554"/>
      <c r="AQ1847" s="554"/>
      <c r="AR1847" s="554"/>
      <c r="AS1847" s="554"/>
      <c r="AT1847" s="554"/>
      <c r="AU1847" s="554"/>
      <c r="AV1847" s="554"/>
      <c r="AW1847" s="554"/>
      <c r="AX1847" s="554"/>
      <c r="AY1847" s="554"/>
      <c r="AZ1847" s="554"/>
      <c r="BA1847" s="554"/>
      <c r="BB1847" s="554"/>
      <c r="BC1847" s="554"/>
      <c r="BD1847" s="554"/>
      <c r="BE1847" s="554"/>
      <c r="BF1847" s="554"/>
      <c r="BG1847" s="554"/>
      <c r="BH1847" s="554"/>
      <c r="BI1847" s="554"/>
      <c r="BJ1847" s="554"/>
      <c r="BK1847" s="554"/>
      <c r="BL1847" s="554"/>
    </row>
    <row r="1848" spans="1:64" ht="13">
      <c r="A1848" s="454"/>
      <c r="B1848" s="454"/>
      <c r="C1848" s="417"/>
      <c r="D1848" s="408"/>
      <c r="E1848" s="408"/>
      <c r="F1848" s="408"/>
      <c r="G1848" s="430"/>
      <c r="H1848" s="415"/>
      <c r="I1848" s="414"/>
      <c r="J1848" s="400"/>
      <c r="K1848" s="401"/>
      <c r="L1848" s="401"/>
    </row>
    <row r="1849" spans="1:64" ht="13">
      <c r="A1849" s="454"/>
      <c r="B1849" s="454"/>
      <c r="C1849" s="526" t="s">
        <v>1082</v>
      </c>
      <c r="D1849" s="408"/>
      <c r="E1849" s="408"/>
      <c r="F1849" s="408"/>
      <c r="G1849" s="430"/>
      <c r="H1849" s="415"/>
      <c r="I1849" s="414"/>
      <c r="J1849" s="623"/>
      <c r="K1849" s="624"/>
      <c r="L1849" s="531"/>
    </row>
    <row r="1850" spans="1:64" ht="13">
      <c r="A1850" s="454"/>
      <c r="B1850" s="454"/>
      <c r="C1850" s="427" t="s">
        <v>953</v>
      </c>
      <c r="D1850" s="414" t="s">
        <v>959</v>
      </c>
      <c r="E1850" s="416" t="s">
        <v>943</v>
      </c>
      <c r="F1850" s="415" t="s">
        <v>944</v>
      </c>
      <c r="G1850" s="414" t="s">
        <v>1036</v>
      </c>
      <c r="H1850" s="414" t="s">
        <v>1037</v>
      </c>
      <c r="I1850" s="414" t="s">
        <v>1038</v>
      </c>
      <c r="J1850" s="623"/>
      <c r="K1850" s="624"/>
      <c r="L1850" s="531"/>
    </row>
    <row r="1851" spans="1:64" ht="13">
      <c r="A1851" s="458"/>
      <c r="B1851" s="458"/>
      <c r="C1851" s="417" t="s">
        <v>1064</v>
      </c>
      <c r="D1851" s="459">
        <f t="shared" ref="D1851:I1851" si="439">$I$1847</f>
        <v>704.82</v>
      </c>
      <c r="E1851" s="459">
        <f t="shared" si="439"/>
        <v>704.82</v>
      </c>
      <c r="F1851" s="459">
        <f t="shared" si="439"/>
        <v>704.82</v>
      </c>
      <c r="G1851" s="459">
        <f t="shared" si="439"/>
        <v>704.82</v>
      </c>
      <c r="H1851" s="459">
        <f t="shared" si="439"/>
        <v>704.82</v>
      </c>
      <c r="I1851" s="459">
        <f t="shared" si="439"/>
        <v>704.82</v>
      </c>
      <c r="J1851" s="623"/>
      <c r="K1851" s="624"/>
      <c r="L1851" s="531"/>
      <c r="M1851" s="559"/>
      <c r="N1851" s="559"/>
      <c r="O1851" s="559"/>
      <c r="P1851" s="559"/>
      <c r="Q1851" s="559"/>
      <c r="R1851" s="559"/>
      <c r="S1851" s="559"/>
      <c r="T1851" s="559"/>
      <c r="U1851" s="559"/>
      <c r="V1851" s="559"/>
      <c r="W1851" s="559"/>
      <c r="X1851" s="559"/>
      <c r="Y1851" s="559"/>
      <c r="Z1851" s="559"/>
      <c r="AA1851" s="559"/>
      <c r="AB1851" s="559"/>
      <c r="AC1851" s="559"/>
      <c r="AD1851" s="559"/>
      <c r="AE1851" s="559"/>
      <c r="AF1851" s="559"/>
      <c r="AG1851" s="559"/>
      <c r="AH1851" s="559"/>
      <c r="AI1851" s="559"/>
      <c r="AJ1851" s="559"/>
      <c r="AK1851" s="559"/>
      <c r="AL1851" s="559"/>
      <c r="AM1851" s="559"/>
      <c r="AN1851" s="559"/>
      <c r="AO1851" s="559"/>
      <c r="AP1851" s="559"/>
      <c r="AQ1851" s="559"/>
      <c r="AR1851" s="559"/>
      <c r="AS1851" s="559"/>
      <c r="AT1851" s="559"/>
      <c r="AU1851" s="559"/>
      <c r="AV1851" s="559"/>
      <c r="AW1851" s="559"/>
      <c r="AX1851" s="559"/>
      <c r="AY1851" s="559"/>
      <c r="AZ1851" s="559"/>
      <c r="BA1851" s="559"/>
      <c r="BB1851" s="559"/>
      <c r="BC1851" s="559"/>
      <c r="BD1851" s="559"/>
      <c r="BE1851" s="559"/>
      <c r="BF1851" s="559"/>
      <c r="BG1851" s="559"/>
      <c r="BH1851" s="559"/>
      <c r="BI1851" s="559"/>
      <c r="BJ1851" s="559"/>
      <c r="BK1851" s="559"/>
      <c r="BL1851" s="559"/>
    </row>
    <row r="1852" spans="1:64" ht="13">
      <c r="A1852" s="458"/>
      <c r="B1852" s="458"/>
      <c r="C1852" s="417" t="s">
        <v>1059</v>
      </c>
      <c r="D1852" s="459">
        <f>'[161]Civil-SOR'!$F$222</f>
        <v>11.66</v>
      </c>
      <c r="E1852" s="459">
        <f>'[161]Civil-SOR'!$F$223</f>
        <v>11.66</v>
      </c>
      <c r="F1852" s="459">
        <f>'[161]Civil-SOR'!$F$224</f>
        <v>11.66</v>
      </c>
      <c r="G1852" s="459">
        <f>'[161]Civil-SOR'!$F$225</f>
        <v>11.66</v>
      </c>
      <c r="H1852" s="459">
        <f>'[161]Civil-SOR'!$F$225</f>
        <v>11.66</v>
      </c>
      <c r="I1852" s="459">
        <f>'[161]Civil-SOR'!$F$225</f>
        <v>11.66</v>
      </c>
      <c r="J1852" s="623"/>
      <c r="K1852" s="624"/>
      <c r="L1852" s="531"/>
      <c r="M1852" s="559"/>
      <c r="N1852" s="559"/>
      <c r="O1852" s="559"/>
      <c r="P1852" s="559"/>
      <c r="Q1852" s="559"/>
      <c r="R1852" s="559"/>
      <c r="S1852" s="559"/>
      <c r="T1852" s="559"/>
      <c r="U1852" s="559"/>
      <c r="V1852" s="559"/>
      <c r="W1852" s="559"/>
      <c r="X1852" s="559"/>
      <c r="Y1852" s="559"/>
      <c r="Z1852" s="559"/>
      <c r="AA1852" s="559"/>
      <c r="AB1852" s="559"/>
      <c r="AC1852" s="559"/>
      <c r="AD1852" s="559"/>
      <c r="AE1852" s="559"/>
      <c r="AF1852" s="559"/>
      <c r="AG1852" s="559"/>
      <c r="AH1852" s="559"/>
      <c r="AI1852" s="559"/>
      <c r="AJ1852" s="559"/>
      <c r="AK1852" s="559"/>
      <c r="AL1852" s="559"/>
      <c r="AM1852" s="559"/>
      <c r="AN1852" s="559"/>
      <c r="AO1852" s="559"/>
      <c r="AP1852" s="559"/>
      <c r="AQ1852" s="559"/>
      <c r="AR1852" s="559"/>
      <c r="AS1852" s="559"/>
      <c r="AT1852" s="559"/>
      <c r="AU1852" s="559"/>
      <c r="AV1852" s="559"/>
      <c r="AW1852" s="559"/>
      <c r="AX1852" s="559"/>
      <c r="AY1852" s="559"/>
      <c r="AZ1852" s="559"/>
      <c r="BA1852" s="559"/>
      <c r="BB1852" s="559"/>
      <c r="BC1852" s="559"/>
      <c r="BD1852" s="559"/>
      <c r="BE1852" s="559"/>
      <c r="BF1852" s="559"/>
      <c r="BG1852" s="559"/>
      <c r="BH1852" s="559"/>
      <c r="BI1852" s="559"/>
      <c r="BJ1852" s="559"/>
      <c r="BK1852" s="559"/>
      <c r="BL1852" s="559"/>
    </row>
    <row r="1853" spans="1:64" ht="13">
      <c r="A1853" s="458"/>
      <c r="B1853" s="458"/>
      <c r="C1853" s="417" t="s">
        <v>1060</v>
      </c>
      <c r="D1853" s="459">
        <f>'[161]Civil-SOR'!$G$222</f>
        <v>94.29</v>
      </c>
      <c r="E1853" s="459">
        <f>'[161]Civil-SOR'!$G$223</f>
        <v>135.61000000000001</v>
      </c>
      <c r="F1853" s="459">
        <f>'[161]Civil-SOR'!$G$224</f>
        <v>176.93</v>
      </c>
      <c r="G1853" s="459">
        <f>'[161]Civil-SOR'!$G$225</f>
        <v>218.25</v>
      </c>
      <c r="H1853" s="459">
        <f>'[161]Civil-SOR'!$G$226</f>
        <v>259.57</v>
      </c>
      <c r="I1853" s="459">
        <f>'[161]Civil-SOR'!$G$227</f>
        <v>300.89</v>
      </c>
      <c r="J1853" s="623"/>
      <c r="K1853" s="624"/>
      <c r="L1853" s="531"/>
      <c r="M1853" s="559"/>
      <c r="N1853" s="559"/>
      <c r="O1853" s="559"/>
      <c r="P1853" s="559"/>
      <c r="Q1853" s="559"/>
      <c r="R1853" s="559"/>
      <c r="S1853" s="559"/>
      <c r="T1853" s="559"/>
      <c r="U1853" s="559"/>
      <c r="V1853" s="559"/>
      <c r="W1853" s="559"/>
      <c r="X1853" s="559"/>
      <c r="Y1853" s="559"/>
      <c r="Z1853" s="559"/>
      <c r="AA1853" s="559"/>
      <c r="AB1853" s="559"/>
      <c r="AC1853" s="559"/>
      <c r="AD1853" s="559"/>
      <c r="AE1853" s="559"/>
      <c r="AF1853" s="559"/>
      <c r="AG1853" s="559"/>
      <c r="AH1853" s="559"/>
      <c r="AI1853" s="559"/>
      <c r="AJ1853" s="559"/>
      <c r="AK1853" s="559"/>
      <c r="AL1853" s="559"/>
      <c r="AM1853" s="559"/>
      <c r="AN1853" s="559"/>
      <c r="AO1853" s="559"/>
      <c r="AP1853" s="559"/>
      <c r="AQ1853" s="559"/>
      <c r="AR1853" s="559"/>
      <c r="AS1853" s="559"/>
      <c r="AT1853" s="559"/>
      <c r="AU1853" s="559"/>
      <c r="AV1853" s="559"/>
      <c r="AW1853" s="559"/>
      <c r="AX1853" s="559"/>
      <c r="AY1853" s="559"/>
      <c r="AZ1853" s="559"/>
      <c r="BA1853" s="559"/>
      <c r="BB1853" s="559"/>
      <c r="BC1853" s="559"/>
      <c r="BD1853" s="559"/>
      <c r="BE1853" s="559"/>
      <c r="BF1853" s="559"/>
      <c r="BG1853" s="559"/>
      <c r="BH1853" s="559"/>
      <c r="BI1853" s="559"/>
      <c r="BJ1853" s="559"/>
      <c r="BK1853" s="559"/>
      <c r="BL1853" s="559"/>
    </row>
    <row r="1854" spans="1:64" ht="13">
      <c r="A1854" s="458"/>
      <c r="B1854" s="458"/>
      <c r="C1854" s="417" t="str">
        <f>[161]Input!$C$47</f>
        <v>Add for MA @ 40%</v>
      </c>
      <c r="D1854" s="459">
        <f>D1853*[161]Input!$D$47</f>
        <v>37.716000000000001</v>
      </c>
      <c r="E1854" s="459">
        <f>E1853*[161]Input!$D$47</f>
        <v>54.244000000000007</v>
      </c>
      <c r="F1854" s="459">
        <f>F1853*[161]Input!$D$47</f>
        <v>70.772000000000006</v>
      </c>
      <c r="G1854" s="459">
        <f>G1853*[161]Input!$D$47</f>
        <v>87.300000000000011</v>
      </c>
      <c r="H1854" s="459">
        <f>H1853*[161]Input!$D$47</f>
        <v>103.828</v>
      </c>
      <c r="I1854" s="459">
        <f>I1853*[161]Input!$D$47</f>
        <v>120.35599999999999</v>
      </c>
      <c r="J1854" s="623"/>
      <c r="K1854" s="624"/>
      <c r="L1854" s="531"/>
      <c r="M1854" s="559"/>
      <c r="N1854" s="559"/>
      <c r="O1854" s="559"/>
      <c r="P1854" s="559"/>
      <c r="Q1854" s="559"/>
      <c r="R1854" s="559"/>
      <c r="S1854" s="559"/>
      <c r="T1854" s="559"/>
      <c r="U1854" s="559"/>
      <c r="V1854" s="559"/>
      <c r="W1854" s="559"/>
      <c r="X1854" s="559"/>
      <c r="Y1854" s="559"/>
      <c r="Z1854" s="559"/>
      <c r="AA1854" s="559"/>
      <c r="AB1854" s="559"/>
      <c r="AC1854" s="559"/>
      <c r="AD1854" s="559"/>
      <c r="AE1854" s="559"/>
      <c r="AF1854" s="559"/>
      <c r="AG1854" s="559"/>
      <c r="AH1854" s="559"/>
      <c r="AI1854" s="559"/>
      <c r="AJ1854" s="559"/>
      <c r="AK1854" s="559"/>
      <c r="AL1854" s="559"/>
      <c r="AM1854" s="559"/>
      <c r="AN1854" s="559"/>
      <c r="AO1854" s="559"/>
      <c r="AP1854" s="559"/>
      <c r="AQ1854" s="559"/>
      <c r="AR1854" s="559"/>
      <c r="AS1854" s="559"/>
      <c r="AT1854" s="559"/>
      <c r="AU1854" s="559"/>
      <c r="AV1854" s="559"/>
      <c r="AW1854" s="559"/>
      <c r="AX1854" s="559"/>
      <c r="AY1854" s="559"/>
      <c r="AZ1854" s="559"/>
      <c r="BA1854" s="559"/>
      <c r="BB1854" s="559"/>
      <c r="BC1854" s="559"/>
      <c r="BD1854" s="559"/>
      <c r="BE1854" s="559"/>
      <c r="BF1854" s="559"/>
      <c r="BG1854" s="559"/>
      <c r="BH1854" s="559"/>
      <c r="BI1854" s="559"/>
      <c r="BJ1854" s="559"/>
      <c r="BK1854" s="559"/>
      <c r="BL1854" s="559"/>
    </row>
    <row r="1855" spans="1:64" ht="13">
      <c r="A1855" s="458"/>
      <c r="B1855" s="458"/>
      <c r="C1855" s="417" t="s">
        <v>994</v>
      </c>
      <c r="D1855" s="459">
        <v>0</v>
      </c>
      <c r="E1855" s="459">
        <f>ROUND($F$1844/10*10%,2)</f>
        <v>22.06</v>
      </c>
      <c r="F1855" s="459">
        <f>ROUND($F$1844/10*20%,2)</f>
        <v>44.11</v>
      </c>
      <c r="G1855" s="459">
        <f>ROUND($F$1844/10*30%,2)</f>
        <v>66.17</v>
      </c>
      <c r="H1855" s="459">
        <f>ROUND($F$1844/10*40%,2)</f>
        <v>88.22</v>
      </c>
      <c r="I1855" s="459">
        <f>ROUND($F$1844/10*50%,2)</f>
        <v>110.28</v>
      </c>
      <c r="J1855" s="623"/>
      <c r="K1855" s="624"/>
      <c r="L1855" s="531"/>
      <c r="M1855" s="559"/>
      <c r="N1855" s="559"/>
      <c r="O1855" s="559"/>
      <c r="P1855" s="559"/>
      <c r="Q1855" s="559"/>
      <c r="R1855" s="559"/>
      <c r="S1855" s="559"/>
      <c r="T1855" s="559"/>
      <c r="U1855" s="559"/>
      <c r="V1855" s="559"/>
      <c r="W1855" s="559"/>
      <c r="X1855" s="559"/>
      <c r="Y1855" s="559"/>
      <c r="Z1855" s="559"/>
      <c r="AA1855" s="559"/>
      <c r="AB1855" s="559"/>
      <c r="AC1855" s="559"/>
      <c r="AD1855" s="559"/>
      <c r="AE1855" s="559"/>
      <c r="AF1855" s="559"/>
      <c r="AG1855" s="559"/>
      <c r="AH1855" s="559"/>
      <c r="AI1855" s="559"/>
      <c r="AJ1855" s="559"/>
      <c r="AK1855" s="559"/>
      <c r="AL1855" s="559"/>
      <c r="AM1855" s="559"/>
      <c r="AN1855" s="559"/>
      <c r="AO1855" s="559"/>
      <c r="AP1855" s="559"/>
      <c r="AQ1855" s="559"/>
      <c r="AR1855" s="559"/>
      <c r="AS1855" s="559"/>
      <c r="AT1855" s="559"/>
      <c r="AU1855" s="559"/>
      <c r="AV1855" s="559"/>
      <c r="AW1855" s="559"/>
      <c r="AX1855" s="559"/>
      <c r="AY1855" s="559"/>
      <c r="AZ1855" s="559"/>
      <c r="BA1855" s="559"/>
      <c r="BB1855" s="559"/>
      <c r="BC1855" s="559"/>
      <c r="BD1855" s="559"/>
      <c r="BE1855" s="559"/>
      <c r="BF1855" s="559"/>
      <c r="BG1855" s="559"/>
      <c r="BH1855" s="559"/>
      <c r="BI1855" s="559"/>
      <c r="BJ1855" s="559"/>
      <c r="BK1855" s="559"/>
      <c r="BL1855" s="559"/>
    </row>
    <row r="1856" spans="1:64" ht="13">
      <c r="A1856" s="458"/>
      <c r="B1856" s="458"/>
      <c r="C1856" s="417" t="str">
        <f>[161]Input!$C$47</f>
        <v>Add for MA @ 40%</v>
      </c>
      <c r="D1856" s="459">
        <f>D1855*[161]Input!$D$47</f>
        <v>0</v>
      </c>
      <c r="E1856" s="459">
        <f>E1855*[161]Input!$D$47</f>
        <v>8.8239999999999998</v>
      </c>
      <c r="F1856" s="459">
        <f>F1855*[161]Input!$D$47</f>
        <v>17.644000000000002</v>
      </c>
      <c r="G1856" s="459">
        <f>G1855*[161]Input!$D$47</f>
        <v>26.468000000000004</v>
      </c>
      <c r="H1856" s="459">
        <f>H1855*[161]Input!$D$47</f>
        <v>35.288000000000004</v>
      </c>
      <c r="I1856" s="459">
        <f>I1855*[161]Input!$D$47</f>
        <v>44.112000000000002</v>
      </c>
      <c r="J1856" s="623"/>
      <c r="K1856" s="624"/>
      <c r="L1856" s="531"/>
      <c r="M1856" s="559"/>
      <c r="N1856" s="559"/>
      <c r="O1856" s="559"/>
      <c r="P1856" s="559"/>
      <c r="Q1856" s="559"/>
      <c r="R1856" s="559"/>
      <c r="S1856" s="559"/>
      <c r="T1856" s="559"/>
      <c r="U1856" s="559"/>
      <c r="V1856" s="559"/>
      <c r="W1856" s="559"/>
      <c r="X1856" s="559"/>
      <c r="Y1856" s="559"/>
      <c r="Z1856" s="559"/>
      <c r="AA1856" s="559"/>
      <c r="AB1856" s="559"/>
      <c r="AC1856" s="559"/>
      <c r="AD1856" s="559"/>
      <c r="AE1856" s="559"/>
      <c r="AF1856" s="559"/>
      <c r="AG1856" s="559"/>
      <c r="AH1856" s="559"/>
      <c r="AI1856" s="559"/>
      <c r="AJ1856" s="559"/>
      <c r="AK1856" s="559"/>
      <c r="AL1856" s="559"/>
      <c r="AM1856" s="559"/>
      <c r="AN1856" s="559"/>
      <c r="AO1856" s="559"/>
      <c r="AP1856" s="559"/>
      <c r="AQ1856" s="559"/>
      <c r="AR1856" s="559"/>
      <c r="AS1856" s="559"/>
      <c r="AT1856" s="559"/>
      <c r="AU1856" s="559"/>
      <c r="AV1856" s="559"/>
      <c r="AW1856" s="559"/>
      <c r="AX1856" s="559"/>
      <c r="AY1856" s="559"/>
      <c r="AZ1856" s="559"/>
      <c r="BA1856" s="559"/>
      <c r="BB1856" s="559"/>
      <c r="BC1856" s="559"/>
      <c r="BD1856" s="559"/>
      <c r="BE1856" s="559"/>
      <c r="BF1856" s="559"/>
      <c r="BG1856" s="559"/>
      <c r="BH1856" s="559"/>
      <c r="BI1856" s="559"/>
      <c r="BJ1856" s="559"/>
      <c r="BK1856" s="559"/>
      <c r="BL1856" s="559"/>
    </row>
    <row r="1857" spans="1:64" ht="13">
      <c r="A1857" s="454"/>
      <c r="B1857" s="454"/>
      <c r="C1857" s="427" t="s">
        <v>742</v>
      </c>
      <c r="D1857" s="414">
        <f t="shared" ref="D1857:I1857" si="440">SUM(D1851:D1856)</f>
        <v>848.48599999999999</v>
      </c>
      <c r="E1857" s="414">
        <f t="shared" si="440"/>
        <v>937.21799999999996</v>
      </c>
      <c r="F1857" s="414">
        <f t="shared" si="440"/>
        <v>1025.9360000000001</v>
      </c>
      <c r="G1857" s="414">
        <f t="shared" si="440"/>
        <v>1114.6680000000001</v>
      </c>
      <c r="H1857" s="414">
        <f t="shared" si="440"/>
        <v>1203.386</v>
      </c>
      <c r="I1857" s="414">
        <f t="shared" si="440"/>
        <v>1292.1180000000002</v>
      </c>
      <c r="J1857" s="623"/>
      <c r="K1857" s="624"/>
      <c r="L1857" s="531"/>
    </row>
    <row r="1858" spans="1:64" ht="25">
      <c r="A1858" s="454"/>
      <c r="B1858" s="454"/>
      <c r="C1858" s="417" t="str">
        <f>[161]Input!$C$48</f>
        <v>Overheads &amp; Contractors Profit @ 13.615%</v>
      </c>
      <c r="D1858" s="408">
        <f>ROUND(D1857*[161]Input!$D$48,2)</f>
        <v>115.52</v>
      </c>
      <c r="E1858" s="408">
        <f>ROUND(E1857*[161]Input!$D$48,2)</f>
        <v>127.6</v>
      </c>
      <c r="F1858" s="408">
        <f>ROUND(F1857*[161]Input!$D$48,2)</f>
        <v>139.68</v>
      </c>
      <c r="G1858" s="408">
        <f>ROUND(G1857*[161]Input!$D$48,2)</f>
        <v>151.76</v>
      </c>
      <c r="H1858" s="408">
        <f>ROUND(H1857*[161]Input!$D$48,2)</f>
        <v>163.84</v>
      </c>
      <c r="I1858" s="408">
        <f>ROUND(I1857*[161]Input!$D$48,2)</f>
        <v>175.92</v>
      </c>
      <c r="J1858" s="623"/>
      <c r="K1858" s="624"/>
      <c r="L1858" s="531"/>
    </row>
    <row r="1859" spans="1:64" ht="13">
      <c r="A1859" s="454"/>
      <c r="B1859" s="454"/>
      <c r="C1859" s="481" t="s">
        <v>742</v>
      </c>
      <c r="D1859" s="414">
        <f t="shared" ref="D1859:I1859" si="441">SUM(D1857:D1858)</f>
        <v>964.00599999999997</v>
      </c>
      <c r="E1859" s="414">
        <f t="shared" si="441"/>
        <v>1064.818</v>
      </c>
      <c r="F1859" s="414">
        <f t="shared" si="441"/>
        <v>1165.6160000000002</v>
      </c>
      <c r="G1859" s="414">
        <f t="shared" si="441"/>
        <v>1266.4280000000001</v>
      </c>
      <c r="H1859" s="414">
        <f t="shared" si="441"/>
        <v>1367.2259999999999</v>
      </c>
      <c r="I1859" s="414">
        <f t="shared" si="441"/>
        <v>1468.0380000000002</v>
      </c>
      <c r="J1859" s="623"/>
      <c r="K1859" s="624"/>
      <c r="L1859" s="531"/>
      <c r="M1859" s="554"/>
      <c r="N1859" s="554"/>
      <c r="O1859" s="554"/>
      <c r="P1859" s="554"/>
      <c r="Q1859" s="554"/>
      <c r="R1859" s="554"/>
      <c r="S1859" s="554"/>
      <c r="T1859" s="554"/>
      <c r="U1859" s="554"/>
      <c r="V1859" s="554"/>
      <c r="W1859" s="554"/>
      <c r="X1859" s="554"/>
      <c r="Y1859" s="554"/>
      <c r="Z1859" s="554"/>
      <c r="AA1859" s="554"/>
      <c r="AB1859" s="554"/>
      <c r="AC1859" s="554"/>
      <c r="AD1859" s="554"/>
      <c r="AE1859" s="554"/>
      <c r="AF1859" s="554"/>
      <c r="AG1859" s="554"/>
      <c r="AH1859" s="554"/>
      <c r="AI1859" s="554"/>
      <c r="AJ1859" s="554"/>
      <c r="AK1859" s="554"/>
      <c r="AL1859" s="554"/>
      <c r="AM1859" s="554"/>
      <c r="AN1859" s="554"/>
      <c r="AO1859" s="554"/>
      <c r="AP1859" s="554"/>
      <c r="AQ1859" s="554"/>
      <c r="AR1859" s="554"/>
      <c r="AS1859" s="554"/>
      <c r="AT1859" s="554"/>
      <c r="AU1859" s="554"/>
      <c r="AV1859" s="554"/>
      <c r="AW1859" s="554"/>
      <c r="AX1859" s="554"/>
      <c r="AY1859" s="554"/>
      <c r="AZ1859" s="554"/>
      <c r="BA1859" s="554"/>
      <c r="BB1859" s="554"/>
      <c r="BC1859" s="554"/>
      <c r="BD1859" s="554"/>
      <c r="BE1859" s="554"/>
      <c r="BF1859" s="554"/>
      <c r="BG1859" s="554"/>
      <c r="BH1859" s="554"/>
      <c r="BI1859" s="554"/>
      <c r="BJ1859" s="554"/>
      <c r="BK1859" s="554"/>
      <c r="BL1859" s="554"/>
    </row>
    <row r="1860" spans="1:64" ht="13">
      <c r="A1860" s="454"/>
      <c r="B1860" s="454"/>
      <c r="C1860" s="522" t="s">
        <v>726</v>
      </c>
      <c r="D1860" s="416">
        <f t="shared" ref="D1860:I1860" si="442">ROUND(D1859,0)</f>
        <v>964</v>
      </c>
      <c r="E1860" s="416">
        <f t="shared" si="442"/>
        <v>1065</v>
      </c>
      <c r="F1860" s="416">
        <f t="shared" si="442"/>
        <v>1166</v>
      </c>
      <c r="G1860" s="416">
        <f t="shared" si="442"/>
        <v>1266</v>
      </c>
      <c r="H1860" s="416">
        <f t="shared" si="442"/>
        <v>1367</v>
      </c>
      <c r="I1860" s="416">
        <f t="shared" si="442"/>
        <v>1468</v>
      </c>
      <c r="J1860" s="623"/>
      <c r="K1860" s="624"/>
      <c r="L1860" s="531"/>
      <c r="M1860" s="554"/>
      <c r="N1860" s="554"/>
      <c r="O1860" s="554"/>
      <c r="P1860" s="554"/>
      <c r="Q1860" s="554"/>
      <c r="R1860" s="554"/>
      <c r="S1860" s="554"/>
      <c r="T1860" s="554"/>
      <c r="U1860" s="554"/>
      <c r="V1860" s="554"/>
      <c r="W1860" s="554"/>
      <c r="X1860" s="554"/>
      <c r="Y1860" s="554"/>
      <c r="Z1860" s="554"/>
      <c r="AA1860" s="554"/>
      <c r="AB1860" s="554"/>
      <c r="AC1860" s="554"/>
      <c r="AD1860" s="554"/>
      <c r="AE1860" s="554"/>
      <c r="AF1860" s="554"/>
      <c r="AG1860" s="554"/>
      <c r="AH1860" s="554"/>
      <c r="AI1860" s="554"/>
      <c r="AJ1860" s="554"/>
      <c r="AK1860" s="554"/>
      <c r="AL1860" s="554"/>
      <c r="AM1860" s="554"/>
      <c r="AN1860" s="554"/>
      <c r="AO1860" s="554"/>
      <c r="AP1860" s="554"/>
      <c r="AQ1860" s="554"/>
      <c r="AR1860" s="554"/>
      <c r="AS1860" s="554"/>
      <c r="AT1860" s="554"/>
      <c r="AU1860" s="554"/>
      <c r="AV1860" s="554"/>
      <c r="AW1860" s="554"/>
      <c r="AX1860" s="554"/>
      <c r="AY1860" s="554"/>
      <c r="AZ1860" s="554"/>
      <c r="BA1860" s="554"/>
      <c r="BB1860" s="554"/>
      <c r="BC1860" s="554"/>
      <c r="BD1860" s="554"/>
      <c r="BE1860" s="554"/>
      <c r="BF1860" s="554"/>
      <c r="BG1860" s="554"/>
      <c r="BH1860" s="554"/>
      <c r="BI1860" s="554"/>
      <c r="BJ1860" s="554"/>
      <c r="BK1860" s="554"/>
      <c r="BL1860" s="554"/>
    </row>
    <row r="1861" spans="1:64" ht="13">
      <c r="A1861" s="454"/>
      <c r="B1861" s="454"/>
      <c r="C1861" s="427"/>
      <c r="D1861" s="416"/>
      <c r="E1861" s="416"/>
      <c r="F1861" s="416"/>
      <c r="G1861" s="416"/>
      <c r="H1861" s="416"/>
      <c r="I1861" s="414"/>
      <c r="J1861" s="623"/>
      <c r="K1861" s="624"/>
      <c r="L1861" s="531"/>
    </row>
    <row r="1862" spans="1:64" ht="13">
      <c r="A1862" s="454"/>
      <c r="B1862" s="454"/>
      <c r="C1862" s="427" t="s">
        <v>953</v>
      </c>
      <c r="D1862" s="492" t="s">
        <v>948</v>
      </c>
      <c r="E1862" s="492" t="s">
        <v>949</v>
      </c>
      <c r="F1862" s="492" t="s">
        <v>950</v>
      </c>
      <c r="G1862" s="416"/>
      <c r="H1862" s="416"/>
      <c r="I1862" s="414"/>
      <c r="J1862" s="400"/>
      <c r="K1862" s="401"/>
      <c r="L1862" s="401"/>
    </row>
    <row r="1863" spans="1:64" ht="13">
      <c r="A1863" s="454"/>
      <c r="B1863" s="454"/>
      <c r="C1863" s="417" t="s">
        <v>1064</v>
      </c>
      <c r="D1863" s="459">
        <f>$I$1847</f>
        <v>704.82</v>
      </c>
      <c r="E1863" s="459">
        <f>$I$1847</f>
        <v>704.82</v>
      </c>
      <c r="F1863" s="459">
        <f>$I$1847</f>
        <v>704.82</v>
      </c>
      <c r="G1863" s="416"/>
      <c r="H1863" s="416"/>
      <c r="I1863" s="414"/>
      <c r="J1863" s="400"/>
      <c r="K1863" s="401"/>
      <c r="L1863" s="401"/>
    </row>
    <row r="1864" spans="1:64" ht="13">
      <c r="A1864" s="454"/>
      <c r="B1864" s="454"/>
      <c r="C1864" s="417" t="s">
        <v>1059</v>
      </c>
      <c r="D1864" s="459">
        <f>'[161]Civil-SOR'!$F$225</f>
        <v>11.66</v>
      </c>
      <c r="E1864" s="459">
        <f>'[161]Civil-SOR'!$F$225</f>
        <v>11.66</v>
      </c>
      <c r="F1864" s="459">
        <f>'[161]Civil-SOR'!$F$225</f>
        <v>11.66</v>
      </c>
      <c r="G1864" s="416"/>
      <c r="H1864" s="416"/>
      <c r="I1864" s="414"/>
      <c r="J1864" s="400"/>
      <c r="K1864" s="401"/>
      <c r="L1864" s="401"/>
    </row>
    <row r="1865" spans="1:64" ht="13">
      <c r="A1865" s="454"/>
      <c r="B1865" s="454"/>
      <c r="C1865" s="417" t="s">
        <v>1060</v>
      </c>
      <c r="D1865" s="459">
        <f>'[161]Civil-SOR'!$G$228</f>
        <v>342.42</v>
      </c>
      <c r="E1865" s="459">
        <f>'[161]Civil-SOR'!$G$229</f>
        <v>383.52</v>
      </c>
      <c r="F1865" s="459">
        <f>'[161]Civil-SOR'!$G$230</f>
        <v>424.84</v>
      </c>
      <c r="G1865" s="416"/>
      <c r="H1865" s="416"/>
      <c r="I1865" s="414"/>
      <c r="J1865" s="400"/>
      <c r="K1865" s="401"/>
      <c r="L1865" s="401"/>
    </row>
    <row r="1866" spans="1:64" ht="13">
      <c r="A1866" s="454"/>
      <c r="B1866" s="454"/>
      <c r="C1866" s="417" t="str">
        <f>[161]Input!$C$47</f>
        <v>Add for MA @ 40%</v>
      </c>
      <c r="D1866" s="459">
        <f>D1865*[161]Input!$D$47</f>
        <v>136.96800000000002</v>
      </c>
      <c r="E1866" s="459">
        <f>E1865*[161]Input!$D$47</f>
        <v>153.40799999999999</v>
      </c>
      <c r="F1866" s="459">
        <f>F1865*[161]Input!$D$47</f>
        <v>169.93600000000001</v>
      </c>
      <c r="G1866" s="416"/>
      <c r="H1866" s="416"/>
      <c r="I1866" s="414"/>
      <c r="J1866" s="400"/>
      <c r="K1866" s="401"/>
      <c r="L1866" s="401"/>
    </row>
    <row r="1867" spans="1:64" ht="13">
      <c r="A1867" s="454"/>
      <c r="B1867" s="454"/>
      <c r="C1867" s="417" t="s">
        <v>994</v>
      </c>
      <c r="D1867" s="459">
        <f>ROUND($F$1844/10*60%,2)</f>
        <v>132.34</v>
      </c>
      <c r="E1867" s="459">
        <f>ROUND($F$1844/10*70%,2)</f>
        <v>154.38999999999999</v>
      </c>
      <c r="F1867" s="459">
        <f>ROUND($F$1844/10*80%,2)</f>
        <v>176.45</v>
      </c>
      <c r="G1867" s="416"/>
      <c r="H1867" s="416"/>
      <c r="I1867" s="414"/>
      <c r="J1867" s="400"/>
      <c r="K1867" s="401"/>
      <c r="L1867" s="401"/>
    </row>
    <row r="1868" spans="1:64" ht="13">
      <c r="A1868" s="454"/>
      <c r="B1868" s="454"/>
      <c r="C1868" s="417" t="str">
        <f>[161]Input!$C$47</f>
        <v>Add for MA @ 40%</v>
      </c>
      <c r="D1868" s="459">
        <f>D1867*[161]Input!$D$47</f>
        <v>52.936000000000007</v>
      </c>
      <c r="E1868" s="459">
        <f>E1867*[161]Input!$D$47</f>
        <v>61.756</v>
      </c>
      <c r="F1868" s="459">
        <f>F1867*[161]Input!$D$47</f>
        <v>70.58</v>
      </c>
      <c r="G1868" s="416"/>
      <c r="H1868" s="416"/>
      <c r="I1868" s="414"/>
      <c r="J1868" s="400"/>
      <c r="K1868" s="401"/>
      <c r="L1868" s="401"/>
    </row>
    <row r="1869" spans="1:64" ht="13">
      <c r="A1869" s="454"/>
      <c r="B1869" s="454"/>
      <c r="C1869" s="427" t="s">
        <v>742</v>
      </c>
      <c r="D1869" s="414">
        <f>SUM(D1863:D1868)</f>
        <v>1381.144</v>
      </c>
      <c r="E1869" s="414">
        <f>SUM(E1863:E1868)</f>
        <v>1469.5539999999999</v>
      </c>
      <c r="F1869" s="414">
        <f>SUM(F1863:F1868)</f>
        <v>1558.2859999999998</v>
      </c>
      <c r="G1869" s="416"/>
      <c r="H1869" s="416"/>
      <c r="I1869" s="414"/>
      <c r="J1869" s="400"/>
      <c r="K1869" s="401"/>
      <c r="L1869" s="401"/>
    </row>
    <row r="1870" spans="1:64" ht="25">
      <c r="A1870" s="454"/>
      <c r="B1870" s="454"/>
      <c r="C1870" s="417" t="str">
        <f>[161]Input!$C$48</f>
        <v>Overheads &amp; Contractors Profit @ 13.615%</v>
      </c>
      <c r="D1870" s="408">
        <f>ROUND(D1869*[161]Input!$D$48,2)</f>
        <v>188.04</v>
      </c>
      <c r="E1870" s="408">
        <f>ROUND(E1869*[161]Input!$D$48,2)</f>
        <v>200.08</v>
      </c>
      <c r="F1870" s="408">
        <f>ROUND(F1869*[161]Input!$D$48,2)</f>
        <v>212.16</v>
      </c>
      <c r="G1870" s="416"/>
      <c r="H1870" s="416"/>
      <c r="I1870" s="414"/>
      <c r="J1870" s="400"/>
      <c r="K1870" s="401"/>
      <c r="L1870" s="401"/>
    </row>
    <row r="1871" spans="1:64" ht="13">
      <c r="A1871" s="454"/>
      <c r="B1871" s="454"/>
      <c r="C1871" s="427" t="s">
        <v>742</v>
      </c>
      <c r="D1871" s="414">
        <f>SUM(D1869:D1870)</f>
        <v>1569.184</v>
      </c>
      <c r="E1871" s="414">
        <f>SUM(E1869:E1870)</f>
        <v>1669.6339999999998</v>
      </c>
      <c r="F1871" s="414">
        <f>SUM(F1869:F1870)</f>
        <v>1770.4459999999999</v>
      </c>
      <c r="G1871" s="416"/>
      <c r="H1871" s="416"/>
      <c r="I1871" s="414"/>
      <c r="J1871" s="400"/>
      <c r="K1871" s="401"/>
      <c r="L1871" s="401"/>
    </row>
    <row r="1872" spans="1:64" ht="13">
      <c r="A1872" s="454"/>
      <c r="B1872" s="454"/>
      <c r="C1872" s="514" t="s">
        <v>726</v>
      </c>
      <c r="D1872" s="416">
        <f>ROUND(D1871,0)</f>
        <v>1569</v>
      </c>
      <c r="E1872" s="416">
        <f>ROUND(E1871,0)</f>
        <v>1670</v>
      </c>
      <c r="F1872" s="416">
        <f>ROUND(F1871,0)</f>
        <v>1770</v>
      </c>
      <c r="G1872" s="416"/>
      <c r="H1872" s="416"/>
      <c r="I1872" s="414"/>
      <c r="J1872" s="400"/>
      <c r="K1872" s="401"/>
      <c r="L1872" s="401"/>
    </row>
    <row r="1873" spans="1:64" ht="13">
      <c r="A1873" s="454"/>
      <c r="B1873" s="454"/>
      <c r="C1873" s="427"/>
      <c r="D1873" s="416"/>
      <c r="E1873" s="416"/>
      <c r="F1873" s="416"/>
      <c r="G1873" s="416"/>
      <c r="H1873" s="416"/>
      <c r="I1873" s="414"/>
      <c r="J1873" s="400"/>
      <c r="K1873" s="401"/>
      <c r="L1873" s="401"/>
    </row>
    <row r="1874" spans="1:64" ht="97" customHeight="1">
      <c r="A1874" s="1286">
        <f>A1833+1</f>
        <v>5</v>
      </c>
      <c r="B1874" s="1286"/>
      <c r="C1874" s="1301" t="s">
        <v>1083</v>
      </c>
      <c r="D1874" s="1301"/>
      <c r="E1874" s="1301"/>
      <c r="F1874" s="1301"/>
      <c r="G1874" s="1301"/>
      <c r="H1874" s="1301"/>
      <c r="I1874" s="407"/>
      <c r="J1874" s="400"/>
      <c r="K1874" s="401"/>
      <c r="L1874" s="401"/>
    </row>
    <row r="1875" spans="1:64" ht="13">
      <c r="A1875" s="454"/>
      <c r="B1875" s="454"/>
      <c r="C1875" s="455"/>
      <c r="D1875" s="630"/>
      <c r="E1875" s="408"/>
      <c r="F1875" s="408"/>
      <c r="G1875" s="430"/>
      <c r="H1875" s="456"/>
      <c r="I1875" s="408"/>
      <c r="J1875" s="400"/>
      <c r="K1875" s="401"/>
      <c r="L1875" s="401"/>
    </row>
    <row r="1876" spans="1:64">
      <c r="A1876" s="454"/>
      <c r="B1876" s="454"/>
      <c r="C1876" s="483" t="s">
        <v>1071</v>
      </c>
      <c r="D1876" s="430"/>
      <c r="E1876" s="408"/>
      <c r="F1876" s="408"/>
      <c r="G1876" s="430"/>
      <c r="H1876" s="456"/>
      <c r="I1876" s="408"/>
      <c r="J1876" s="400"/>
      <c r="K1876" s="401"/>
      <c r="L1876" s="401"/>
    </row>
    <row r="1877" spans="1:64" ht="13">
      <c r="A1877" s="454"/>
      <c r="B1877" s="454"/>
      <c r="C1877" s="433" t="s">
        <v>890</v>
      </c>
      <c r="D1877" s="430"/>
      <c r="E1877" s="408"/>
      <c r="F1877" s="408"/>
      <c r="G1877" s="430"/>
      <c r="H1877" s="456"/>
      <c r="I1877" s="408"/>
      <c r="J1877" s="400"/>
      <c r="K1877" s="401"/>
      <c r="L1877" s="401"/>
    </row>
    <row r="1878" spans="1:64" ht="25">
      <c r="A1878" s="458"/>
      <c r="B1878" s="458"/>
      <c r="C1878" s="417" t="s">
        <v>1072</v>
      </c>
      <c r="D1878" s="460">
        <v>37</v>
      </c>
      <c r="E1878" s="459" t="s">
        <v>14</v>
      </c>
      <c r="F1878" s="632">
        <v>137</v>
      </c>
      <c r="G1878" s="460">
        <v>1</v>
      </c>
      <c r="H1878" s="599" t="s">
        <v>14</v>
      </c>
      <c r="I1878" s="459">
        <f t="shared" ref="I1878:I1880" si="443">IF(G1878="",D1878*F1878,(D1878*F1878/G1878))</f>
        <v>5069</v>
      </c>
      <c r="J1878" s="462"/>
      <c r="K1878" s="463"/>
      <c r="L1878" s="463"/>
      <c r="M1878" s="559"/>
      <c r="N1878" s="559"/>
      <c r="O1878" s="559"/>
      <c r="P1878" s="559"/>
      <c r="Q1878" s="559"/>
      <c r="R1878" s="559"/>
      <c r="S1878" s="559"/>
      <c r="T1878" s="559"/>
      <c r="U1878" s="559"/>
      <c r="V1878" s="559"/>
      <c r="W1878" s="559"/>
      <c r="X1878" s="559"/>
      <c r="Y1878" s="559"/>
      <c r="Z1878" s="559"/>
      <c r="AA1878" s="559"/>
      <c r="AB1878" s="559"/>
      <c r="AC1878" s="559"/>
      <c r="AD1878" s="559"/>
      <c r="AE1878" s="559"/>
      <c r="AF1878" s="559"/>
      <c r="AG1878" s="559"/>
      <c r="AH1878" s="559"/>
      <c r="AI1878" s="559"/>
      <c r="AJ1878" s="559"/>
      <c r="AK1878" s="559"/>
      <c r="AL1878" s="559"/>
      <c r="AM1878" s="559"/>
      <c r="AN1878" s="559"/>
      <c r="AO1878" s="559"/>
      <c r="AP1878" s="559"/>
      <c r="AQ1878" s="559"/>
      <c r="AR1878" s="559"/>
      <c r="AS1878" s="559"/>
      <c r="AT1878" s="559"/>
      <c r="AU1878" s="559"/>
      <c r="AV1878" s="559"/>
      <c r="AW1878" s="559"/>
      <c r="AX1878" s="559"/>
      <c r="AY1878" s="559"/>
      <c r="AZ1878" s="559"/>
      <c r="BA1878" s="559"/>
      <c r="BB1878" s="559"/>
      <c r="BC1878" s="559"/>
      <c r="BD1878" s="559"/>
      <c r="BE1878" s="559"/>
      <c r="BF1878" s="559"/>
      <c r="BG1878" s="559"/>
      <c r="BH1878" s="559"/>
      <c r="BI1878" s="559"/>
      <c r="BJ1878" s="559"/>
      <c r="BK1878" s="559"/>
      <c r="BL1878" s="559"/>
    </row>
    <row r="1879" spans="1:64">
      <c r="A1879" s="458"/>
      <c r="B1879" s="458"/>
      <c r="C1879" s="417" t="s">
        <v>504</v>
      </c>
      <c r="D1879" s="459">
        <v>24</v>
      </c>
      <c r="E1879" s="459" t="s">
        <v>833</v>
      </c>
      <c r="F1879" s="459">
        <f>[161]LEAD!$N$6</f>
        <v>5200</v>
      </c>
      <c r="G1879" s="460">
        <v>1000</v>
      </c>
      <c r="H1879" s="599" t="str">
        <f t="shared" ref="H1879:H1880" si="444">IF(E1879="","",IF(E1879="No.","Each",IF(E1879="Nos.","Each",E1879)))</f>
        <v>Kgs</v>
      </c>
      <c r="I1879" s="459">
        <f t="shared" si="443"/>
        <v>124.8</v>
      </c>
      <c r="J1879" s="462"/>
      <c r="K1879" s="463"/>
      <c r="L1879" s="463"/>
      <c r="M1879" s="559"/>
      <c r="N1879" s="559"/>
      <c r="O1879" s="559"/>
      <c r="P1879" s="559"/>
      <c r="Q1879" s="559"/>
      <c r="R1879" s="559"/>
      <c r="S1879" s="559"/>
      <c r="T1879" s="559"/>
      <c r="U1879" s="559"/>
      <c r="V1879" s="559"/>
      <c r="W1879" s="559"/>
      <c r="X1879" s="559"/>
      <c r="Y1879" s="559"/>
      <c r="Z1879" s="559"/>
      <c r="AA1879" s="559"/>
      <c r="AB1879" s="559"/>
      <c r="AC1879" s="559"/>
      <c r="AD1879" s="559"/>
      <c r="AE1879" s="559"/>
      <c r="AF1879" s="559"/>
      <c r="AG1879" s="559"/>
      <c r="AH1879" s="559"/>
      <c r="AI1879" s="559"/>
      <c r="AJ1879" s="559"/>
      <c r="AK1879" s="559"/>
      <c r="AL1879" s="559"/>
      <c r="AM1879" s="559"/>
      <c r="AN1879" s="559"/>
      <c r="AO1879" s="559"/>
      <c r="AP1879" s="559"/>
      <c r="AQ1879" s="559"/>
      <c r="AR1879" s="559"/>
      <c r="AS1879" s="559"/>
      <c r="AT1879" s="559"/>
      <c r="AU1879" s="559"/>
      <c r="AV1879" s="559"/>
      <c r="AW1879" s="559"/>
      <c r="AX1879" s="559"/>
      <c r="AY1879" s="559"/>
      <c r="AZ1879" s="559"/>
      <c r="BA1879" s="559"/>
      <c r="BB1879" s="559"/>
      <c r="BC1879" s="559"/>
      <c r="BD1879" s="559"/>
      <c r="BE1879" s="559"/>
      <c r="BF1879" s="559"/>
      <c r="BG1879" s="559"/>
      <c r="BH1879" s="559"/>
      <c r="BI1879" s="559"/>
      <c r="BJ1879" s="559"/>
      <c r="BK1879" s="559"/>
      <c r="BL1879" s="559"/>
    </row>
    <row r="1880" spans="1:64">
      <c r="A1880" s="458"/>
      <c r="B1880" s="458"/>
      <c r="C1880" s="417" t="s">
        <v>875</v>
      </c>
      <c r="D1880" s="633">
        <v>0.1</v>
      </c>
      <c r="E1880" s="459" t="s">
        <v>57</v>
      </c>
      <c r="F1880" s="459">
        <f>[161]LEAD!$N$13</f>
        <v>2453.91</v>
      </c>
      <c r="G1880" s="460">
        <v>1</v>
      </c>
      <c r="H1880" s="599" t="str">
        <f t="shared" si="444"/>
        <v>Cum</v>
      </c>
      <c r="I1880" s="459">
        <f t="shared" si="443"/>
        <v>245.39099999999999</v>
      </c>
      <c r="J1880" s="462"/>
      <c r="K1880" s="463"/>
      <c r="L1880" s="463"/>
      <c r="M1880" s="559"/>
      <c r="N1880" s="559"/>
      <c r="O1880" s="559"/>
      <c r="P1880" s="559"/>
      <c r="Q1880" s="559"/>
      <c r="R1880" s="559"/>
      <c r="S1880" s="559"/>
      <c r="T1880" s="559"/>
      <c r="U1880" s="559"/>
      <c r="V1880" s="559"/>
      <c r="W1880" s="559"/>
      <c r="X1880" s="559"/>
      <c r="Y1880" s="559"/>
      <c r="Z1880" s="559"/>
      <c r="AA1880" s="559"/>
      <c r="AB1880" s="559"/>
      <c r="AC1880" s="559"/>
      <c r="AD1880" s="559"/>
      <c r="AE1880" s="559"/>
      <c r="AF1880" s="559"/>
      <c r="AG1880" s="559"/>
      <c r="AH1880" s="559"/>
      <c r="AI1880" s="559"/>
      <c r="AJ1880" s="559"/>
      <c r="AK1880" s="559"/>
      <c r="AL1880" s="559"/>
      <c r="AM1880" s="559"/>
      <c r="AN1880" s="559"/>
      <c r="AO1880" s="559"/>
      <c r="AP1880" s="559"/>
      <c r="AQ1880" s="559"/>
      <c r="AR1880" s="559"/>
      <c r="AS1880" s="559"/>
      <c r="AT1880" s="559"/>
      <c r="AU1880" s="559"/>
      <c r="AV1880" s="559"/>
      <c r="AW1880" s="559"/>
      <c r="AX1880" s="559"/>
      <c r="AY1880" s="559"/>
      <c r="AZ1880" s="559"/>
      <c r="BA1880" s="559"/>
      <c r="BB1880" s="559"/>
      <c r="BC1880" s="559"/>
      <c r="BD1880" s="559"/>
      <c r="BE1880" s="559"/>
      <c r="BF1880" s="559"/>
      <c r="BG1880" s="559"/>
      <c r="BH1880" s="559"/>
      <c r="BI1880" s="559"/>
      <c r="BJ1880" s="559"/>
      <c r="BK1880" s="559"/>
      <c r="BL1880" s="559"/>
    </row>
    <row r="1881" spans="1:64" ht="13">
      <c r="A1881" s="458"/>
      <c r="B1881" s="458"/>
      <c r="C1881" s="427" t="s">
        <v>1073</v>
      </c>
      <c r="D1881" s="406"/>
      <c r="E1881" s="406"/>
      <c r="F1881" s="406"/>
      <c r="G1881" s="406"/>
      <c r="H1881" s="406"/>
      <c r="I1881" s="432"/>
      <c r="J1881" s="462"/>
      <c r="K1881" s="463"/>
      <c r="L1881" s="463"/>
      <c r="M1881" s="559"/>
      <c r="N1881" s="559"/>
      <c r="O1881" s="559"/>
      <c r="P1881" s="559"/>
      <c r="Q1881" s="559"/>
      <c r="R1881" s="559"/>
      <c r="S1881" s="559"/>
      <c r="T1881" s="559"/>
      <c r="U1881" s="559"/>
      <c r="V1881" s="559"/>
      <c r="W1881" s="559"/>
      <c r="X1881" s="559"/>
      <c r="Y1881" s="559"/>
      <c r="Z1881" s="559"/>
      <c r="AA1881" s="559"/>
      <c r="AB1881" s="559"/>
      <c r="AC1881" s="559"/>
      <c r="AD1881" s="559"/>
      <c r="AE1881" s="559"/>
      <c r="AF1881" s="559"/>
      <c r="AG1881" s="559"/>
      <c r="AH1881" s="559"/>
      <c r="AI1881" s="559"/>
      <c r="AJ1881" s="559"/>
      <c r="AK1881" s="559"/>
      <c r="AL1881" s="559"/>
      <c r="AM1881" s="559"/>
      <c r="AN1881" s="559"/>
      <c r="AO1881" s="559"/>
      <c r="AP1881" s="559"/>
      <c r="AQ1881" s="559"/>
      <c r="AR1881" s="559"/>
      <c r="AS1881" s="559"/>
      <c r="AT1881" s="559"/>
      <c r="AU1881" s="559"/>
      <c r="AV1881" s="559"/>
      <c r="AW1881" s="559"/>
      <c r="AX1881" s="559"/>
      <c r="AY1881" s="559"/>
      <c r="AZ1881" s="559"/>
      <c r="BA1881" s="559"/>
      <c r="BB1881" s="559"/>
      <c r="BC1881" s="559"/>
      <c r="BD1881" s="559"/>
      <c r="BE1881" s="559"/>
      <c r="BF1881" s="559"/>
      <c r="BG1881" s="559"/>
      <c r="BH1881" s="559"/>
      <c r="BI1881" s="559"/>
      <c r="BJ1881" s="559"/>
      <c r="BK1881" s="559"/>
      <c r="BL1881" s="559"/>
    </row>
    <row r="1882" spans="1:64">
      <c r="A1882" s="458"/>
      <c r="B1882" s="458"/>
      <c r="C1882" s="417" t="s">
        <v>1044</v>
      </c>
      <c r="D1882" s="633">
        <v>0.42</v>
      </c>
      <c r="E1882" s="459" t="s">
        <v>375</v>
      </c>
      <c r="F1882" s="459">
        <f>'[161]Civil-SOR'!$G$293</f>
        <v>580</v>
      </c>
      <c r="G1882" s="460">
        <v>1</v>
      </c>
      <c r="H1882" s="599" t="s">
        <v>572</v>
      </c>
      <c r="I1882" s="459">
        <f t="shared" ref="I1882:I1887" si="445">IF(G1882="",D1882*F1882,(D1882*F1882/G1882))</f>
        <v>243.6</v>
      </c>
      <c r="J1882" s="462"/>
      <c r="K1882" s="463"/>
      <c r="L1882" s="463"/>
      <c r="M1882" s="559"/>
      <c r="N1882" s="559"/>
      <c r="O1882" s="559"/>
      <c r="P1882" s="559"/>
      <c r="Q1882" s="559"/>
      <c r="R1882" s="559"/>
      <c r="S1882" s="559"/>
      <c r="T1882" s="559"/>
      <c r="U1882" s="559"/>
      <c r="V1882" s="559"/>
      <c r="W1882" s="559"/>
      <c r="X1882" s="559"/>
      <c r="Y1882" s="559"/>
      <c r="Z1882" s="559"/>
      <c r="AA1882" s="559"/>
      <c r="AB1882" s="559"/>
      <c r="AC1882" s="559"/>
      <c r="AD1882" s="559"/>
      <c r="AE1882" s="559"/>
      <c r="AF1882" s="559"/>
      <c r="AG1882" s="559"/>
      <c r="AH1882" s="559"/>
      <c r="AI1882" s="559"/>
      <c r="AJ1882" s="559"/>
      <c r="AK1882" s="559"/>
      <c r="AL1882" s="559"/>
      <c r="AM1882" s="559"/>
      <c r="AN1882" s="559"/>
      <c r="AO1882" s="559"/>
      <c r="AP1882" s="559"/>
      <c r="AQ1882" s="559"/>
      <c r="AR1882" s="559"/>
      <c r="AS1882" s="559"/>
      <c r="AT1882" s="559"/>
      <c r="AU1882" s="559"/>
      <c r="AV1882" s="559"/>
      <c r="AW1882" s="559"/>
      <c r="AX1882" s="559"/>
      <c r="AY1882" s="559"/>
      <c r="AZ1882" s="559"/>
      <c r="BA1882" s="559"/>
      <c r="BB1882" s="559"/>
      <c r="BC1882" s="559"/>
      <c r="BD1882" s="559"/>
      <c r="BE1882" s="559"/>
      <c r="BF1882" s="559"/>
      <c r="BG1882" s="559"/>
      <c r="BH1882" s="559"/>
      <c r="BI1882" s="559"/>
      <c r="BJ1882" s="559"/>
      <c r="BK1882" s="559"/>
      <c r="BL1882" s="559"/>
    </row>
    <row r="1883" spans="1:64">
      <c r="A1883" s="458"/>
      <c r="B1883" s="458"/>
      <c r="C1883" s="417" t="s">
        <v>1074</v>
      </c>
      <c r="D1883" s="633">
        <v>0.92</v>
      </c>
      <c r="E1883" s="459" t="s">
        <v>375</v>
      </c>
      <c r="F1883" s="459">
        <f>'[161]Civil-SOR'!$G$302</f>
        <v>550</v>
      </c>
      <c r="G1883" s="460">
        <v>1</v>
      </c>
      <c r="H1883" s="599" t="s">
        <v>572</v>
      </c>
      <c r="I1883" s="459">
        <f t="shared" si="445"/>
        <v>506</v>
      </c>
      <c r="J1883" s="462"/>
      <c r="K1883" s="463"/>
      <c r="L1883" s="463"/>
      <c r="M1883" s="559"/>
      <c r="N1883" s="559"/>
      <c r="O1883" s="559"/>
      <c r="P1883" s="559"/>
      <c r="Q1883" s="559"/>
      <c r="R1883" s="559"/>
      <c r="S1883" s="559"/>
      <c r="T1883" s="559"/>
      <c r="U1883" s="559"/>
      <c r="V1883" s="559"/>
      <c r="W1883" s="559"/>
      <c r="X1883" s="559"/>
      <c r="Y1883" s="559"/>
      <c r="Z1883" s="559"/>
      <c r="AA1883" s="559"/>
      <c r="AB1883" s="559"/>
      <c r="AC1883" s="559"/>
      <c r="AD1883" s="559"/>
      <c r="AE1883" s="559"/>
      <c r="AF1883" s="559"/>
      <c r="AG1883" s="559"/>
      <c r="AH1883" s="559"/>
      <c r="AI1883" s="559"/>
      <c r="AJ1883" s="559"/>
      <c r="AK1883" s="559"/>
      <c r="AL1883" s="559"/>
      <c r="AM1883" s="559"/>
      <c r="AN1883" s="559"/>
      <c r="AO1883" s="559"/>
      <c r="AP1883" s="559"/>
      <c r="AQ1883" s="559"/>
      <c r="AR1883" s="559"/>
      <c r="AS1883" s="559"/>
      <c r="AT1883" s="559"/>
      <c r="AU1883" s="559"/>
      <c r="AV1883" s="559"/>
      <c r="AW1883" s="559"/>
      <c r="AX1883" s="559"/>
      <c r="AY1883" s="559"/>
      <c r="AZ1883" s="559"/>
      <c r="BA1883" s="559"/>
      <c r="BB1883" s="559"/>
      <c r="BC1883" s="559"/>
      <c r="BD1883" s="559"/>
      <c r="BE1883" s="559"/>
      <c r="BF1883" s="559"/>
      <c r="BG1883" s="559"/>
      <c r="BH1883" s="559"/>
      <c r="BI1883" s="559"/>
      <c r="BJ1883" s="559"/>
      <c r="BK1883" s="559"/>
      <c r="BL1883" s="559"/>
    </row>
    <row r="1884" spans="1:64">
      <c r="A1884" s="458"/>
      <c r="B1884" s="458"/>
      <c r="C1884" s="417" t="s">
        <v>1075</v>
      </c>
      <c r="D1884" s="633">
        <v>0.7</v>
      </c>
      <c r="E1884" s="459" t="s">
        <v>375</v>
      </c>
      <c r="F1884" s="459">
        <f>'[161]Civil-SOR'!$G$307</f>
        <v>520</v>
      </c>
      <c r="G1884" s="460">
        <v>1</v>
      </c>
      <c r="H1884" s="599" t="s">
        <v>572</v>
      </c>
      <c r="I1884" s="459">
        <f t="shared" si="445"/>
        <v>364</v>
      </c>
      <c r="J1884" s="462"/>
      <c r="K1884" s="463"/>
      <c r="L1884" s="463"/>
      <c r="M1884" s="559"/>
      <c r="N1884" s="559"/>
      <c r="O1884" s="559"/>
      <c r="P1884" s="559"/>
      <c r="Q1884" s="559"/>
      <c r="R1884" s="559"/>
      <c r="S1884" s="559"/>
      <c r="T1884" s="559"/>
      <c r="U1884" s="559"/>
      <c r="V1884" s="559"/>
      <c r="W1884" s="559"/>
      <c r="X1884" s="559"/>
      <c r="Y1884" s="559"/>
      <c r="Z1884" s="559"/>
      <c r="AA1884" s="559"/>
      <c r="AB1884" s="559"/>
      <c r="AC1884" s="559"/>
      <c r="AD1884" s="559"/>
      <c r="AE1884" s="559"/>
      <c r="AF1884" s="559"/>
      <c r="AG1884" s="559"/>
      <c r="AH1884" s="559"/>
      <c r="AI1884" s="559"/>
      <c r="AJ1884" s="559"/>
      <c r="AK1884" s="559"/>
      <c r="AL1884" s="559"/>
      <c r="AM1884" s="559"/>
      <c r="AN1884" s="559"/>
      <c r="AO1884" s="559"/>
      <c r="AP1884" s="559"/>
      <c r="AQ1884" s="559"/>
      <c r="AR1884" s="559"/>
      <c r="AS1884" s="559"/>
      <c r="AT1884" s="559"/>
      <c r="AU1884" s="559"/>
      <c r="AV1884" s="559"/>
      <c r="AW1884" s="559"/>
      <c r="AX1884" s="559"/>
      <c r="AY1884" s="559"/>
      <c r="AZ1884" s="559"/>
      <c r="BA1884" s="559"/>
      <c r="BB1884" s="559"/>
      <c r="BC1884" s="559"/>
      <c r="BD1884" s="559"/>
      <c r="BE1884" s="559"/>
      <c r="BF1884" s="559"/>
      <c r="BG1884" s="559"/>
      <c r="BH1884" s="559"/>
      <c r="BI1884" s="559"/>
      <c r="BJ1884" s="559"/>
      <c r="BK1884" s="559"/>
      <c r="BL1884" s="559"/>
    </row>
    <row r="1885" spans="1:64">
      <c r="A1885" s="458"/>
      <c r="B1885" s="458"/>
      <c r="C1885" s="417" t="s">
        <v>1084</v>
      </c>
      <c r="D1885" s="633">
        <v>2.1</v>
      </c>
      <c r="E1885" s="459" t="s">
        <v>375</v>
      </c>
      <c r="F1885" s="459">
        <f>'[161]Civil-SOR'!$G$307</f>
        <v>520</v>
      </c>
      <c r="G1885" s="460">
        <v>1</v>
      </c>
      <c r="H1885" s="599" t="s">
        <v>572</v>
      </c>
      <c r="I1885" s="459">
        <f t="shared" si="445"/>
        <v>1092</v>
      </c>
      <c r="J1885" s="462"/>
      <c r="K1885" s="463"/>
      <c r="L1885" s="463"/>
      <c r="M1885" s="559"/>
      <c r="N1885" s="559"/>
      <c r="O1885" s="559"/>
      <c r="P1885" s="559"/>
      <c r="Q1885" s="559"/>
      <c r="R1885" s="559"/>
      <c r="S1885" s="559"/>
      <c r="T1885" s="559"/>
      <c r="U1885" s="559"/>
      <c r="V1885" s="559"/>
      <c r="W1885" s="559"/>
      <c r="X1885" s="559"/>
      <c r="Y1885" s="559"/>
      <c r="Z1885" s="559"/>
      <c r="AA1885" s="559"/>
      <c r="AB1885" s="559"/>
      <c r="AC1885" s="559"/>
      <c r="AD1885" s="559"/>
      <c r="AE1885" s="559"/>
      <c r="AF1885" s="559"/>
      <c r="AG1885" s="559"/>
      <c r="AH1885" s="559"/>
      <c r="AI1885" s="559"/>
      <c r="AJ1885" s="559"/>
      <c r="AK1885" s="559"/>
      <c r="AL1885" s="559"/>
      <c r="AM1885" s="559"/>
      <c r="AN1885" s="559"/>
      <c r="AO1885" s="559"/>
      <c r="AP1885" s="559"/>
      <c r="AQ1885" s="559"/>
      <c r="AR1885" s="559"/>
      <c r="AS1885" s="559"/>
      <c r="AT1885" s="559"/>
      <c r="AU1885" s="559"/>
      <c r="AV1885" s="559"/>
      <c r="AW1885" s="559"/>
      <c r="AX1885" s="559"/>
      <c r="AY1885" s="559"/>
      <c r="AZ1885" s="559"/>
      <c r="BA1885" s="559"/>
      <c r="BB1885" s="559"/>
      <c r="BC1885" s="559"/>
      <c r="BD1885" s="559"/>
      <c r="BE1885" s="559"/>
      <c r="BF1885" s="559"/>
      <c r="BG1885" s="559"/>
      <c r="BH1885" s="559"/>
      <c r="BI1885" s="559"/>
      <c r="BJ1885" s="559"/>
      <c r="BK1885" s="559"/>
      <c r="BL1885" s="559"/>
    </row>
    <row r="1886" spans="1:64">
      <c r="A1886" s="458"/>
      <c r="B1886" s="458"/>
      <c r="C1886" s="417" t="str">
        <f>[161]Input!$C$47</f>
        <v>Add for MA @ 40%</v>
      </c>
      <c r="D1886" s="622">
        <f>[161]Input!$D$47</f>
        <v>0.4</v>
      </c>
      <c r="E1886" s="458"/>
      <c r="F1886" s="459">
        <f>SUM(I1882:I1885)</f>
        <v>2205.6</v>
      </c>
      <c r="G1886" s="431"/>
      <c r="H1886" s="406"/>
      <c r="I1886" s="459">
        <f t="shared" si="445"/>
        <v>882.24</v>
      </c>
      <c r="J1886" s="462"/>
      <c r="K1886" s="463"/>
      <c r="L1886" s="463"/>
      <c r="M1886" s="559"/>
      <c r="N1886" s="559"/>
      <c r="O1886" s="559"/>
      <c r="P1886" s="559"/>
      <c r="Q1886" s="559"/>
      <c r="R1886" s="559"/>
      <c r="S1886" s="559"/>
      <c r="T1886" s="559"/>
      <c r="U1886" s="559"/>
      <c r="V1886" s="559"/>
      <c r="W1886" s="559"/>
      <c r="X1886" s="559"/>
      <c r="Y1886" s="559"/>
      <c r="Z1886" s="559"/>
      <c r="AA1886" s="559"/>
      <c r="AB1886" s="559"/>
      <c r="AC1886" s="559"/>
      <c r="AD1886" s="559"/>
      <c r="AE1886" s="559"/>
      <c r="AF1886" s="559"/>
      <c r="AG1886" s="559"/>
      <c r="AH1886" s="559"/>
      <c r="AI1886" s="559"/>
      <c r="AJ1886" s="559"/>
      <c r="AK1886" s="559"/>
      <c r="AL1886" s="559"/>
      <c r="AM1886" s="559"/>
      <c r="AN1886" s="559"/>
      <c r="AO1886" s="559"/>
      <c r="AP1886" s="559"/>
      <c r="AQ1886" s="559"/>
      <c r="AR1886" s="559"/>
      <c r="AS1886" s="559"/>
      <c r="AT1886" s="559"/>
      <c r="AU1886" s="559"/>
      <c r="AV1886" s="559"/>
      <c r="AW1886" s="559"/>
      <c r="AX1886" s="559"/>
      <c r="AY1886" s="559"/>
      <c r="AZ1886" s="559"/>
      <c r="BA1886" s="559"/>
      <c r="BB1886" s="559"/>
      <c r="BC1886" s="559"/>
      <c r="BD1886" s="559"/>
      <c r="BE1886" s="559"/>
      <c r="BF1886" s="559"/>
      <c r="BG1886" s="559"/>
      <c r="BH1886" s="559"/>
      <c r="BI1886" s="559"/>
      <c r="BJ1886" s="559"/>
      <c r="BK1886" s="559"/>
      <c r="BL1886" s="559"/>
    </row>
    <row r="1887" spans="1:64">
      <c r="A1887" s="458"/>
      <c r="B1887" s="458"/>
      <c r="C1887" s="417" t="s">
        <v>1058</v>
      </c>
      <c r="D1887" s="459">
        <v>0.01</v>
      </c>
      <c r="E1887" s="459"/>
      <c r="F1887" s="459">
        <f>SUM(I1878:I1886)</f>
        <v>8527.0310000000009</v>
      </c>
      <c r="G1887" s="460"/>
      <c r="H1887" s="599"/>
      <c r="I1887" s="459">
        <f t="shared" si="445"/>
        <v>85.270310000000009</v>
      </c>
      <c r="J1887" s="462"/>
      <c r="K1887" s="463"/>
      <c r="L1887" s="463"/>
      <c r="M1887" s="559"/>
      <c r="N1887" s="559"/>
      <c r="O1887" s="559"/>
      <c r="P1887" s="559"/>
      <c r="Q1887" s="559"/>
      <c r="R1887" s="559"/>
      <c r="S1887" s="559"/>
      <c r="T1887" s="559"/>
      <c r="U1887" s="559"/>
      <c r="V1887" s="559"/>
      <c r="W1887" s="559"/>
      <c r="X1887" s="559"/>
      <c r="Y1887" s="559"/>
      <c r="Z1887" s="559"/>
      <c r="AA1887" s="559"/>
      <c r="AB1887" s="559"/>
      <c r="AC1887" s="559"/>
      <c r="AD1887" s="559"/>
      <c r="AE1887" s="559"/>
      <c r="AF1887" s="559"/>
      <c r="AG1887" s="559"/>
      <c r="AH1887" s="559"/>
      <c r="AI1887" s="559"/>
      <c r="AJ1887" s="559"/>
      <c r="AK1887" s="559"/>
      <c r="AL1887" s="559"/>
      <c r="AM1887" s="559"/>
      <c r="AN1887" s="559"/>
      <c r="AO1887" s="559"/>
      <c r="AP1887" s="559"/>
      <c r="AQ1887" s="559"/>
      <c r="AR1887" s="559"/>
      <c r="AS1887" s="559"/>
      <c r="AT1887" s="559"/>
      <c r="AU1887" s="559"/>
      <c r="AV1887" s="559"/>
      <c r="AW1887" s="559"/>
      <c r="AX1887" s="559"/>
      <c r="AY1887" s="559"/>
      <c r="AZ1887" s="559"/>
      <c r="BA1887" s="559"/>
      <c r="BB1887" s="559"/>
      <c r="BC1887" s="559"/>
      <c r="BD1887" s="559"/>
      <c r="BE1887" s="559"/>
      <c r="BF1887" s="559"/>
      <c r="BG1887" s="559"/>
      <c r="BH1887" s="559"/>
      <c r="BI1887" s="559"/>
      <c r="BJ1887" s="559"/>
      <c r="BK1887" s="559"/>
      <c r="BL1887" s="559"/>
    </row>
    <row r="1888" spans="1:64" ht="13">
      <c r="A1888" s="454"/>
      <c r="B1888" s="454"/>
      <c r="C1888" s="481" t="s">
        <v>724</v>
      </c>
      <c r="D1888" s="408"/>
      <c r="E1888" s="408"/>
      <c r="F1888" s="408"/>
      <c r="G1888" s="430"/>
      <c r="H1888" s="415"/>
      <c r="I1888" s="414">
        <f>SUM(I1878:I1887)</f>
        <v>8612.3013100000007</v>
      </c>
      <c r="J1888" s="411"/>
      <c r="K1888" s="412"/>
      <c r="L1888" s="412"/>
      <c r="M1888" s="554"/>
      <c r="N1888" s="554"/>
      <c r="O1888" s="554"/>
      <c r="P1888" s="554"/>
      <c r="Q1888" s="554"/>
      <c r="R1888" s="554"/>
      <c r="S1888" s="554"/>
      <c r="T1888" s="554"/>
      <c r="U1888" s="554"/>
      <c r="V1888" s="554"/>
      <c r="W1888" s="554"/>
      <c r="X1888" s="554"/>
      <c r="Y1888" s="554"/>
      <c r="Z1888" s="554"/>
      <c r="AA1888" s="554"/>
      <c r="AB1888" s="554"/>
      <c r="AC1888" s="554"/>
      <c r="AD1888" s="554"/>
      <c r="AE1888" s="554"/>
      <c r="AF1888" s="554"/>
      <c r="AG1888" s="554"/>
      <c r="AH1888" s="554"/>
      <c r="AI1888" s="554"/>
      <c r="AJ1888" s="554"/>
      <c r="AK1888" s="554"/>
      <c r="AL1888" s="554"/>
      <c r="AM1888" s="554"/>
      <c r="AN1888" s="554"/>
      <c r="AO1888" s="554"/>
      <c r="AP1888" s="554"/>
      <c r="AQ1888" s="554"/>
      <c r="AR1888" s="554"/>
      <c r="AS1888" s="554"/>
      <c r="AT1888" s="554"/>
      <c r="AU1888" s="554"/>
      <c r="AV1888" s="554"/>
      <c r="AW1888" s="554"/>
      <c r="AX1888" s="554"/>
      <c r="AY1888" s="554"/>
      <c r="AZ1888" s="554"/>
      <c r="BA1888" s="554"/>
      <c r="BB1888" s="554"/>
      <c r="BC1888" s="554"/>
      <c r="BD1888" s="554"/>
      <c r="BE1888" s="554"/>
      <c r="BF1888" s="554"/>
      <c r="BG1888" s="554"/>
      <c r="BH1888" s="554"/>
      <c r="BI1888" s="554"/>
      <c r="BJ1888" s="554"/>
      <c r="BK1888" s="554"/>
      <c r="BL1888" s="554"/>
    </row>
    <row r="1889" spans="1:64" ht="13">
      <c r="A1889" s="454"/>
      <c r="B1889" s="454"/>
      <c r="C1889" s="417"/>
      <c r="D1889" s="408"/>
      <c r="E1889" s="408"/>
      <c r="F1889" s="408"/>
      <c r="G1889" s="430"/>
      <c r="H1889" s="415"/>
      <c r="I1889" s="414"/>
      <c r="J1889" s="400"/>
      <c r="K1889" s="401"/>
      <c r="L1889" s="401"/>
    </row>
    <row r="1890" spans="1:64" ht="12.75" customHeight="1">
      <c r="A1890" s="454"/>
      <c r="B1890" s="415" t="s">
        <v>720</v>
      </c>
      <c r="C1890" s="1294" t="s">
        <v>1077</v>
      </c>
      <c r="D1890" s="1294"/>
      <c r="E1890" s="1294"/>
      <c r="F1890" s="408"/>
      <c r="G1890" s="430"/>
      <c r="H1890" s="415"/>
      <c r="I1890" s="414"/>
      <c r="J1890" s="400"/>
      <c r="K1890" s="401"/>
      <c r="L1890" s="401"/>
      <c r="M1890" s="404"/>
      <c r="N1890" s="404"/>
      <c r="O1890" s="404"/>
      <c r="P1890" s="404"/>
      <c r="Q1890" s="404"/>
      <c r="R1890" s="404"/>
      <c r="S1890" s="404"/>
      <c r="T1890" s="404"/>
      <c r="U1890" s="404"/>
      <c r="V1890" s="404"/>
      <c r="W1890" s="404"/>
      <c r="X1890" s="404"/>
      <c r="Y1890" s="404"/>
      <c r="Z1890" s="404"/>
      <c r="AA1890" s="404"/>
      <c r="AB1890" s="404"/>
      <c r="AC1890" s="404"/>
      <c r="AD1890" s="404"/>
      <c r="AE1890" s="404"/>
      <c r="AF1890" s="404"/>
      <c r="AG1890" s="404"/>
      <c r="AH1890" s="404"/>
      <c r="AI1890" s="404"/>
      <c r="AJ1890" s="404"/>
      <c r="AK1890" s="404"/>
      <c r="AL1890" s="404"/>
      <c r="AM1890" s="404"/>
      <c r="AN1890" s="404"/>
      <c r="AO1890" s="404"/>
      <c r="AP1890" s="404"/>
      <c r="AQ1890" s="404"/>
      <c r="AR1890" s="404"/>
      <c r="AS1890" s="404"/>
      <c r="AT1890" s="404"/>
      <c r="AU1890" s="404"/>
      <c r="AV1890" s="404"/>
      <c r="AW1890" s="404"/>
      <c r="AX1890" s="404"/>
      <c r="AY1890" s="404"/>
      <c r="AZ1890" s="404"/>
      <c r="BA1890" s="404"/>
      <c r="BB1890" s="404"/>
      <c r="BC1890" s="404"/>
      <c r="BD1890" s="404"/>
      <c r="BE1890" s="404"/>
      <c r="BF1890" s="404"/>
      <c r="BG1890" s="404"/>
      <c r="BH1890" s="404"/>
      <c r="BI1890" s="404"/>
      <c r="BJ1890" s="404"/>
      <c r="BK1890" s="404"/>
      <c r="BL1890" s="404"/>
    </row>
    <row r="1891" spans="1:64" ht="13">
      <c r="A1891" s="454"/>
      <c r="B1891" s="415"/>
      <c r="C1891" s="417" t="s">
        <v>1078</v>
      </c>
      <c r="D1891" s="408">
        <v>1</v>
      </c>
      <c r="E1891" s="408" t="s">
        <v>666</v>
      </c>
      <c r="F1891" s="408">
        <f>$I$1888</f>
        <v>8612.3013100000007</v>
      </c>
      <c r="G1891" s="430">
        <v>1</v>
      </c>
      <c r="H1891" s="454" t="s">
        <v>666</v>
      </c>
      <c r="I1891" s="408">
        <f t="shared" ref="I1891:I1892" si="446">IF(G1891="",D1891*F1891,(D1891*F1891/G1891))</f>
        <v>8612.3013100000007</v>
      </c>
      <c r="J1891" s="400"/>
      <c r="K1891" s="401"/>
      <c r="L1891" s="401"/>
      <c r="M1891" s="404"/>
      <c r="N1891" s="404"/>
      <c r="O1891" s="404"/>
      <c r="P1891" s="404"/>
      <c r="Q1891" s="404"/>
      <c r="R1891" s="404"/>
      <c r="S1891" s="404"/>
      <c r="T1891" s="404"/>
      <c r="U1891" s="404"/>
      <c r="V1891" s="404"/>
      <c r="W1891" s="404"/>
      <c r="X1891" s="404"/>
      <c r="Y1891" s="404"/>
      <c r="Z1891" s="404"/>
      <c r="AA1891" s="404"/>
      <c r="AB1891" s="404"/>
      <c r="AC1891" s="404"/>
      <c r="AD1891" s="404"/>
      <c r="AE1891" s="404"/>
      <c r="AF1891" s="404"/>
      <c r="AG1891" s="404"/>
      <c r="AH1891" s="404"/>
      <c r="AI1891" s="404"/>
      <c r="AJ1891" s="404"/>
      <c r="AK1891" s="404"/>
      <c r="AL1891" s="404"/>
      <c r="AM1891" s="404"/>
      <c r="AN1891" s="404"/>
      <c r="AO1891" s="404"/>
      <c r="AP1891" s="404"/>
      <c r="AQ1891" s="404"/>
      <c r="AR1891" s="404"/>
      <c r="AS1891" s="404"/>
      <c r="AT1891" s="404"/>
      <c r="AU1891" s="404"/>
      <c r="AV1891" s="404"/>
      <c r="AW1891" s="404"/>
      <c r="AX1891" s="404"/>
      <c r="AY1891" s="404"/>
      <c r="AZ1891" s="404"/>
      <c r="BA1891" s="404"/>
      <c r="BB1891" s="404"/>
      <c r="BC1891" s="404"/>
      <c r="BD1891" s="404"/>
      <c r="BE1891" s="404"/>
      <c r="BF1891" s="404"/>
      <c r="BG1891" s="404"/>
      <c r="BH1891" s="404"/>
      <c r="BI1891" s="404"/>
      <c r="BJ1891" s="404"/>
      <c r="BK1891" s="404"/>
      <c r="BL1891" s="404"/>
    </row>
    <row r="1892" spans="1:64" ht="25">
      <c r="A1892" s="454"/>
      <c r="B1892" s="415"/>
      <c r="C1892" s="417" t="str">
        <f>[161]Input!$C$48</f>
        <v>Overheads &amp; Contractors Profit @ 13.615%</v>
      </c>
      <c r="D1892" s="467">
        <f>[161]Input!$D$48</f>
        <v>0.13614999999999999</v>
      </c>
      <c r="E1892" s="408"/>
      <c r="F1892" s="408">
        <f>I1891</f>
        <v>8612.3013100000007</v>
      </c>
      <c r="G1892" s="430"/>
      <c r="H1892" s="415"/>
      <c r="I1892" s="408">
        <f t="shared" si="446"/>
        <v>1172.5648233565</v>
      </c>
      <c r="J1892" s="400"/>
      <c r="K1892" s="401"/>
      <c r="L1892" s="401"/>
      <c r="M1892" s="404"/>
      <c r="N1892" s="404"/>
      <c r="O1892" s="404"/>
      <c r="P1892" s="404"/>
      <c r="Q1892" s="404"/>
      <c r="R1892" s="404"/>
      <c r="S1892" s="404"/>
      <c r="T1892" s="404"/>
      <c r="U1892" s="404"/>
      <c r="V1892" s="404"/>
      <c r="W1892" s="404"/>
      <c r="X1892" s="404"/>
      <c r="Y1892" s="404"/>
      <c r="Z1892" s="404"/>
      <c r="AA1892" s="404"/>
      <c r="AB1892" s="404"/>
      <c r="AC1892" s="404"/>
      <c r="AD1892" s="404"/>
      <c r="AE1892" s="404"/>
      <c r="AF1892" s="404"/>
      <c r="AG1892" s="404"/>
      <c r="AH1892" s="404"/>
      <c r="AI1892" s="404"/>
      <c r="AJ1892" s="404"/>
      <c r="AK1892" s="404"/>
      <c r="AL1892" s="404"/>
      <c r="AM1892" s="404"/>
      <c r="AN1892" s="404"/>
      <c r="AO1892" s="404"/>
      <c r="AP1892" s="404"/>
      <c r="AQ1892" s="404"/>
      <c r="AR1892" s="404"/>
      <c r="AS1892" s="404"/>
      <c r="AT1892" s="404"/>
      <c r="AU1892" s="404"/>
      <c r="AV1892" s="404"/>
      <c r="AW1892" s="404"/>
      <c r="AX1892" s="404"/>
      <c r="AY1892" s="404"/>
      <c r="AZ1892" s="404"/>
      <c r="BA1892" s="404"/>
      <c r="BB1892" s="404"/>
      <c r="BC1892" s="404"/>
      <c r="BD1892" s="404"/>
      <c r="BE1892" s="404"/>
      <c r="BF1892" s="404"/>
      <c r="BG1892" s="404"/>
      <c r="BH1892" s="404"/>
      <c r="BI1892" s="404"/>
      <c r="BJ1892" s="404"/>
      <c r="BK1892" s="404"/>
      <c r="BL1892" s="404"/>
    </row>
    <row r="1893" spans="1:64" ht="13">
      <c r="A1893" s="454"/>
      <c r="B1893" s="415"/>
      <c r="C1893" s="481" t="s">
        <v>724</v>
      </c>
      <c r="D1893" s="408"/>
      <c r="E1893" s="408"/>
      <c r="F1893" s="408"/>
      <c r="G1893" s="430"/>
      <c r="H1893" s="415"/>
      <c r="I1893" s="414">
        <f>SUM(I1891:I1892)</f>
        <v>9784.8661333565015</v>
      </c>
      <c r="J1893" s="411"/>
      <c r="K1893" s="412"/>
      <c r="L1893" s="412"/>
      <c r="M1893" s="413"/>
      <c r="N1893" s="413"/>
      <c r="O1893" s="413"/>
      <c r="P1893" s="413"/>
      <c r="Q1893" s="413"/>
      <c r="R1893" s="413"/>
      <c r="S1893" s="413"/>
      <c r="T1893" s="413"/>
      <c r="U1893" s="413"/>
      <c r="V1893" s="413"/>
      <c r="W1893" s="413"/>
      <c r="X1893" s="413"/>
      <c r="Y1893" s="413"/>
      <c r="Z1893" s="413"/>
      <c r="AA1893" s="413"/>
      <c r="AB1893" s="413"/>
      <c r="AC1893" s="413"/>
      <c r="AD1893" s="413"/>
      <c r="AE1893" s="413"/>
      <c r="AF1893" s="413"/>
      <c r="AG1893" s="413"/>
      <c r="AH1893" s="413"/>
      <c r="AI1893" s="413"/>
      <c r="AJ1893" s="413"/>
      <c r="AK1893" s="413"/>
      <c r="AL1893" s="413"/>
      <c r="AM1893" s="413"/>
      <c r="AN1893" s="413"/>
      <c r="AO1893" s="413"/>
      <c r="AP1893" s="413"/>
      <c r="AQ1893" s="413"/>
      <c r="AR1893" s="413"/>
      <c r="AS1893" s="413"/>
      <c r="AT1893" s="413"/>
      <c r="AU1893" s="413"/>
      <c r="AV1893" s="413"/>
      <c r="AW1893" s="413"/>
      <c r="AX1893" s="413"/>
      <c r="AY1893" s="413"/>
      <c r="AZ1893" s="413"/>
      <c r="BA1893" s="413"/>
      <c r="BB1893" s="413"/>
      <c r="BC1893" s="413"/>
      <c r="BD1893" s="413"/>
      <c r="BE1893" s="413"/>
      <c r="BF1893" s="413"/>
      <c r="BG1893" s="413"/>
      <c r="BH1893" s="413"/>
      <c r="BI1893" s="413"/>
      <c r="BJ1893" s="413"/>
      <c r="BK1893" s="413"/>
      <c r="BL1893" s="413"/>
    </row>
    <row r="1894" spans="1:64" ht="13">
      <c r="A1894" s="454"/>
      <c r="B1894" s="415"/>
      <c r="C1894" s="481"/>
      <c r="D1894" s="408"/>
      <c r="E1894" s="408"/>
      <c r="F1894" s="408"/>
      <c r="G1894" s="430"/>
      <c r="H1894" s="415" t="s">
        <v>726</v>
      </c>
      <c r="I1894" s="414">
        <f>ROUND(I1893,0)</f>
        <v>9785</v>
      </c>
      <c r="J1894" s="411"/>
      <c r="K1894" s="412"/>
      <c r="L1894" s="412"/>
      <c r="M1894" s="413"/>
      <c r="N1894" s="413"/>
      <c r="O1894" s="413"/>
      <c r="P1894" s="413"/>
      <c r="Q1894" s="413"/>
      <c r="R1894" s="413"/>
      <c r="S1894" s="413"/>
      <c r="T1894" s="413"/>
      <c r="U1894" s="413"/>
      <c r="V1894" s="413"/>
      <c r="W1894" s="413"/>
      <c r="X1894" s="413"/>
      <c r="Y1894" s="413"/>
      <c r="Z1894" s="413"/>
      <c r="AA1894" s="413"/>
      <c r="AB1894" s="413"/>
      <c r="AC1894" s="413"/>
      <c r="AD1894" s="413"/>
      <c r="AE1894" s="413"/>
      <c r="AF1894" s="413"/>
      <c r="AG1894" s="413"/>
      <c r="AH1894" s="413"/>
      <c r="AI1894" s="413"/>
      <c r="AJ1894" s="413"/>
      <c r="AK1894" s="413"/>
      <c r="AL1894" s="413"/>
      <c r="AM1894" s="413"/>
      <c r="AN1894" s="413"/>
      <c r="AO1894" s="413"/>
      <c r="AP1894" s="413"/>
      <c r="AQ1894" s="413"/>
      <c r="AR1894" s="413"/>
      <c r="AS1894" s="413"/>
      <c r="AT1894" s="413"/>
      <c r="AU1894" s="413"/>
      <c r="AV1894" s="413"/>
      <c r="AW1894" s="413"/>
      <c r="AX1894" s="413"/>
      <c r="AY1894" s="413"/>
      <c r="AZ1894" s="413"/>
      <c r="BA1894" s="413"/>
      <c r="BB1894" s="413"/>
      <c r="BC1894" s="413"/>
      <c r="BD1894" s="413"/>
      <c r="BE1894" s="413"/>
      <c r="BF1894" s="413"/>
      <c r="BG1894" s="413"/>
      <c r="BH1894" s="413"/>
      <c r="BI1894" s="413"/>
      <c r="BJ1894" s="413"/>
      <c r="BK1894" s="413"/>
      <c r="BL1894" s="413"/>
    </row>
    <row r="1895" spans="1:64" ht="13">
      <c r="A1895" s="454"/>
      <c r="B1895" s="415"/>
      <c r="C1895" s="427"/>
      <c r="D1895" s="408"/>
      <c r="E1895" s="408"/>
      <c r="F1895" s="408"/>
      <c r="G1895" s="430"/>
      <c r="H1895" s="415"/>
      <c r="I1895" s="414"/>
      <c r="J1895" s="400"/>
      <c r="K1895" s="401"/>
      <c r="L1895" s="401"/>
    </row>
    <row r="1896" spans="1:64" ht="13">
      <c r="A1896" s="454"/>
      <c r="B1896" s="415" t="s">
        <v>727</v>
      </c>
      <c r="C1896" s="427" t="s">
        <v>1065</v>
      </c>
      <c r="D1896" s="408"/>
      <c r="E1896" s="408"/>
      <c r="F1896" s="408"/>
      <c r="G1896" s="430"/>
      <c r="H1896" s="415"/>
      <c r="I1896" s="414"/>
      <c r="J1896" s="623"/>
      <c r="K1896" s="624"/>
      <c r="L1896" s="531"/>
    </row>
    <row r="1897" spans="1:64" ht="13">
      <c r="A1897" s="454"/>
      <c r="B1897" s="474"/>
      <c r="C1897" s="427" t="s">
        <v>953</v>
      </c>
      <c r="D1897" s="414" t="s">
        <v>959</v>
      </c>
      <c r="E1897" s="416" t="s">
        <v>943</v>
      </c>
      <c r="F1897" s="415" t="s">
        <v>944</v>
      </c>
      <c r="G1897" s="414" t="s">
        <v>1036</v>
      </c>
      <c r="H1897" s="414" t="s">
        <v>1037</v>
      </c>
      <c r="I1897" s="414" t="s">
        <v>1038</v>
      </c>
      <c r="J1897" s="535" t="s">
        <v>948</v>
      </c>
      <c r="K1897" s="536" t="s">
        <v>949</v>
      </c>
      <c r="L1897" s="536" t="s">
        <v>950</v>
      </c>
    </row>
    <row r="1898" spans="1:64">
      <c r="A1898" s="458"/>
      <c r="B1898" s="458"/>
      <c r="C1898" s="417" t="s">
        <v>1064</v>
      </c>
      <c r="D1898" s="459">
        <f t="shared" ref="D1898:L1898" si="447">$I$1888</f>
        <v>8612.3013100000007</v>
      </c>
      <c r="E1898" s="459">
        <f t="shared" si="447"/>
        <v>8612.3013100000007</v>
      </c>
      <c r="F1898" s="459">
        <f t="shared" si="447"/>
        <v>8612.3013100000007</v>
      </c>
      <c r="G1898" s="459">
        <f t="shared" si="447"/>
        <v>8612.3013100000007</v>
      </c>
      <c r="H1898" s="459">
        <f t="shared" si="447"/>
        <v>8612.3013100000007</v>
      </c>
      <c r="I1898" s="459">
        <f t="shared" si="447"/>
        <v>8612.3013100000007</v>
      </c>
      <c r="J1898" s="565">
        <f t="shared" si="447"/>
        <v>8612.3013100000007</v>
      </c>
      <c r="K1898" s="600">
        <f t="shared" si="447"/>
        <v>8612.3013100000007</v>
      </c>
      <c r="L1898" s="600">
        <f t="shared" si="447"/>
        <v>8612.3013100000007</v>
      </c>
      <c r="M1898" s="559"/>
      <c r="N1898" s="559"/>
      <c r="O1898" s="559"/>
      <c r="P1898" s="559"/>
      <c r="Q1898" s="559"/>
      <c r="R1898" s="559"/>
      <c r="S1898" s="559"/>
      <c r="T1898" s="559"/>
      <c r="U1898" s="559"/>
      <c r="V1898" s="559"/>
      <c r="W1898" s="559"/>
      <c r="X1898" s="559"/>
      <c r="Y1898" s="559"/>
      <c r="Z1898" s="559"/>
      <c r="AA1898" s="559"/>
      <c r="AB1898" s="559"/>
      <c r="AC1898" s="559"/>
      <c r="AD1898" s="559"/>
      <c r="AE1898" s="559"/>
      <c r="AF1898" s="559"/>
      <c r="AG1898" s="559"/>
      <c r="AH1898" s="559"/>
      <c r="AI1898" s="559"/>
      <c r="AJ1898" s="559"/>
      <c r="AK1898" s="559"/>
      <c r="AL1898" s="559"/>
      <c r="AM1898" s="559"/>
      <c r="AN1898" s="559"/>
      <c r="AO1898" s="559"/>
      <c r="AP1898" s="559"/>
      <c r="AQ1898" s="559"/>
      <c r="AR1898" s="559"/>
      <c r="AS1898" s="559"/>
      <c r="AT1898" s="559"/>
      <c r="AU1898" s="559"/>
      <c r="AV1898" s="559"/>
      <c r="AW1898" s="559"/>
      <c r="AX1898" s="559"/>
      <c r="AY1898" s="559"/>
      <c r="AZ1898" s="559"/>
      <c r="BA1898" s="559"/>
      <c r="BB1898" s="559"/>
      <c r="BC1898" s="559"/>
      <c r="BD1898" s="559"/>
      <c r="BE1898" s="559"/>
      <c r="BF1898" s="559"/>
      <c r="BG1898" s="559"/>
      <c r="BH1898" s="559"/>
      <c r="BI1898" s="559"/>
      <c r="BJ1898" s="559"/>
      <c r="BK1898" s="559"/>
      <c r="BL1898" s="559"/>
    </row>
    <row r="1899" spans="1:64">
      <c r="A1899" s="458"/>
      <c r="B1899" s="458"/>
      <c r="C1899" s="417" t="s">
        <v>1059</v>
      </c>
      <c r="D1899" s="459">
        <f>'[161]Civil-SOR'!$F$222/0.23</f>
        <v>50.695652173913039</v>
      </c>
      <c r="E1899" s="459">
        <f>'[161]Civil-SOR'!$F$222/0.23</f>
        <v>50.695652173913039</v>
      </c>
      <c r="F1899" s="459">
        <f>'[161]Civil-SOR'!$F$222/0.23</f>
        <v>50.695652173913039</v>
      </c>
      <c r="G1899" s="459">
        <f>'[161]Civil-SOR'!$F$222/0.23</f>
        <v>50.695652173913039</v>
      </c>
      <c r="H1899" s="459">
        <f>'[161]Civil-SOR'!$F$222/0.23</f>
        <v>50.695652173913039</v>
      </c>
      <c r="I1899" s="459">
        <f>'[161]Civil-SOR'!$F$222/0.23</f>
        <v>50.695652173913039</v>
      </c>
      <c r="J1899" s="565">
        <f>'[161]Civil-SOR'!$F$222/0.23</f>
        <v>50.695652173913039</v>
      </c>
      <c r="K1899" s="600">
        <f>'[161]Civil-SOR'!$F$222/0.23</f>
        <v>50.695652173913039</v>
      </c>
      <c r="L1899" s="600">
        <f>'[161]Civil-SOR'!$F$222/0.23</f>
        <v>50.695652173913039</v>
      </c>
      <c r="M1899" s="559"/>
      <c r="N1899" s="559"/>
      <c r="O1899" s="559"/>
      <c r="P1899" s="559"/>
      <c r="Q1899" s="559"/>
      <c r="R1899" s="559"/>
      <c r="S1899" s="559"/>
      <c r="T1899" s="559"/>
      <c r="U1899" s="559"/>
      <c r="V1899" s="559"/>
      <c r="W1899" s="559"/>
      <c r="X1899" s="559"/>
      <c r="Y1899" s="559"/>
      <c r="Z1899" s="559"/>
      <c r="AA1899" s="559"/>
      <c r="AB1899" s="559"/>
      <c r="AC1899" s="559"/>
      <c r="AD1899" s="559"/>
      <c r="AE1899" s="559"/>
      <c r="AF1899" s="559"/>
      <c r="AG1899" s="559"/>
      <c r="AH1899" s="559"/>
      <c r="AI1899" s="559"/>
      <c r="AJ1899" s="559"/>
      <c r="AK1899" s="559"/>
      <c r="AL1899" s="559"/>
      <c r="AM1899" s="559"/>
      <c r="AN1899" s="559"/>
      <c r="AO1899" s="559"/>
      <c r="AP1899" s="559"/>
      <c r="AQ1899" s="559"/>
      <c r="AR1899" s="559"/>
      <c r="AS1899" s="559"/>
      <c r="AT1899" s="559"/>
      <c r="AU1899" s="559"/>
      <c r="AV1899" s="559"/>
      <c r="AW1899" s="559"/>
      <c r="AX1899" s="559"/>
      <c r="AY1899" s="559"/>
      <c r="AZ1899" s="559"/>
      <c r="BA1899" s="559"/>
      <c r="BB1899" s="559"/>
      <c r="BC1899" s="559"/>
      <c r="BD1899" s="559"/>
      <c r="BE1899" s="559"/>
      <c r="BF1899" s="559"/>
      <c r="BG1899" s="559"/>
      <c r="BH1899" s="559"/>
      <c r="BI1899" s="559"/>
      <c r="BJ1899" s="559"/>
      <c r="BK1899" s="559"/>
      <c r="BL1899" s="559"/>
    </row>
    <row r="1900" spans="1:64">
      <c r="A1900" s="458"/>
      <c r="B1900" s="458"/>
      <c r="C1900" s="417" t="s">
        <v>1060</v>
      </c>
      <c r="D1900" s="459">
        <f>ROUND('[161]Civil-SOR'!$G$222/0.23,2)</f>
        <v>409.96</v>
      </c>
      <c r="E1900" s="459">
        <f>ROUND('[161]Civil-SOR'!$G$223/0.23,2)</f>
        <v>589.61</v>
      </c>
      <c r="F1900" s="459">
        <f>ROUND('[161]Civil-SOR'!$G$224/0.23,2)</f>
        <v>769.26</v>
      </c>
      <c r="G1900" s="459">
        <f>ROUND('[161]Civil-SOR'!$G$225/0.23,2)</f>
        <v>948.91</v>
      </c>
      <c r="H1900" s="459">
        <f>ROUND('[161]Civil-SOR'!$G$226/0.23,2)</f>
        <v>1128.57</v>
      </c>
      <c r="I1900" s="459">
        <f>ROUND('[161]Civil-SOR'!$G$227/0.23,2)</f>
        <v>1308.22</v>
      </c>
      <c r="J1900" s="565">
        <f>ROUND('[161]Civil-SOR'!$G$228/0.23,2)</f>
        <v>1488.78</v>
      </c>
      <c r="K1900" s="600">
        <f>ROUND('[161]Civil-SOR'!$G$229/0.23,2)</f>
        <v>1667.48</v>
      </c>
      <c r="L1900" s="600">
        <f>ROUND('[161]Civil-SOR'!$G$230/0.23,2)</f>
        <v>1847.13</v>
      </c>
      <c r="M1900" s="559"/>
      <c r="N1900" s="559"/>
      <c r="O1900" s="559"/>
      <c r="P1900" s="559"/>
      <c r="Q1900" s="559"/>
      <c r="R1900" s="559"/>
      <c r="S1900" s="559"/>
      <c r="T1900" s="559"/>
      <c r="U1900" s="559"/>
      <c r="V1900" s="559"/>
      <c r="W1900" s="559"/>
      <c r="X1900" s="559"/>
      <c r="Y1900" s="559"/>
      <c r="Z1900" s="559"/>
      <c r="AA1900" s="559"/>
      <c r="AB1900" s="559"/>
      <c r="AC1900" s="559"/>
      <c r="AD1900" s="559"/>
      <c r="AE1900" s="559"/>
      <c r="AF1900" s="559"/>
      <c r="AG1900" s="559"/>
      <c r="AH1900" s="559"/>
      <c r="AI1900" s="559"/>
      <c r="AJ1900" s="559"/>
      <c r="AK1900" s="559"/>
      <c r="AL1900" s="559"/>
      <c r="AM1900" s="559"/>
      <c r="AN1900" s="559"/>
      <c r="AO1900" s="559"/>
      <c r="AP1900" s="559"/>
      <c r="AQ1900" s="559"/>
      <c r="AR1900" s="559"/>
      <c r="AS1900" s="559"/>
      <c r="AT1900" s="559"/>
      <c r="AU1900" s="559"/>
      <c r="AV1900" s="559"/>
      <c r="AW1900" s="559"/>
      <c r="AX1900" s="559"/>
      <c r="AY1900" s="559"/>
      <c r="AZ1900" s="559"/>
      <c r="BA1900" s="559"/>
      <c r="BB1900" s="559"/>
      <c r="BC1900" s="559"/>
      <c r="BD1900" s="559"/>
      <c r="BE1900" s="559"/>
      <c r="BF1900" s="559"/>
      <c r="BG1900" s="559"/>
      <c r="BH1900" s="559"/>
      <c r="BI1900" s="559"/>
      <c r="BJ1900" s="559"/>
      <c r="BK1900" s="559"/>
      <c r="BL1900" s="559"/>
    </row>
    <row r="1901" spans="1:64">
      <c r="A1901" s="458"/>
      <c r="B1901" s="458"/>
      <c r="C1901" s="417" t="str">
        <f>[161]Input!$C$47</f>
        <v>Add for MA @ 40%</v>
      </c>
      <c r="D1901" s="459">
        <f>[161]Input!$D$47*D1900</f>
        <v>163.98400000000001</v>
      </c>
      <c r="E1901" s="459">
        <f>[161]Input!$D$47*E1900</f>
        <v>235.84400000000002</v>
      </c>
      <c r="F1901" s="459">
        <f>[161]Input!$D$47*F1900</f>
        <v>307.70400000000001</v>
      </c>
      <c r="G1901" s="459">
        <f>[161]Input!$D$47*G1900</f>
        <v>379.56400000000002</v>
      </c>
      <c r="H1901" s="459">
        <f>[161]Input!$D$47*H1900</f>
        <v>451.428</v>
      </c>
      <c r="I1901" s="459">
        <f>[161]Input!$D$47*I1900</f>
        <v>523.28800000000001</v>
      </c>
      <c r="J1901" s="565">
        <f>[161]Input!$D$47*J1900</f>
        <v>595.51200000000006</v>
      </c>
      <c r="K1901" s="600">
        <f>[161]Input!$D$47*K1900</f>
        <v>666.99200000000008</v>
      </c>
      <c r="L1901" s="600">
        <f>[161]Input!$D$47*L1900</f>
        <v>738.85200000000009</v>
      </c>
      <c r="M1901" s="559"/>
      <c r="N1901" s="559"/>
      <c r="O1901" s="559"/>
      <c r="P1901" s="559"/>
      <c r="Q1901" s="559"/>
      <c r="R1901" s="559"/>
      <c r="S1901" s="559"/>
      <c r="T1901" s="559"/>
      <c r="U1901" s="559"/>
      <c r="V1901" s="559"/>
      <c r="W1901" s="559"/>
      <c r="X1901" s="559"/>
      <c r="Y1901" s="559"/>
      <c r="Z1901" s="559"/>
      <c r="AA1901" s="559"/>
      <c r="AB1901" s="559"/>
      <c r="AC1901" s="559"/>
      <c r="AD1901" s="559"/>
      <c r="AE1901" s="559"/>
      <c r="AF1901" s="559"/>
      <c r="AG1901" s="559"/>
      <c r="AH1901" s="559"/>
      <c r="AI1901" s="559"/>
      <c r="AJ1901" s="559"/>
      <c r="AK1901" s="559"/>
      <c r="AL1901" s="559"/>
      <c r="AM1901" s="559"/>
      <c r="AN1901" s="559"/>
      <c r="AO1901" s="559"/>
      <c r="AP1901" s="559"/>
      <c r="AQ1901" s="559"/>
      <c r="AR1901" s="559"/>
      <c r="AS1901" s="559"/>
      <c r="AT1901" s="559"/>
      <c r="AU1901" s="559"/>
      <c r="AV1901" s="559"/>
      <c r="AW1901" s="559"/>
      <c r="AX1901" s="559"/>
      <c r="AY1901" s="559"/>
      <c r="AZ1901" s="559"/>
      <c r="BA1901" s="559"/>
      <c r="BB1901" s="559"/>
      <c r="BC1901" s="559"/>
      <c r="BD1901" s="559"/>
      <c r="BE1901" s="559"/>
      <c r="BF1901" s="559"/>
      <c r="BG1901" s="559"/>
      <c r="BH1901" s="559"/>
      <c r="BI1901" s="559"/>
      <c r="BJ1901" s="559"/>
      <c r="BK1901" s="559"/>
      <c r="BL1901" s="559"/>
    </row>
    <row r="1902" spans="1:64">
      <c r="A1902" s="458"/>
      <c r="B1902" s="458"/>
      <c r="C1902" s="417" t="s">
        <v>994</v>
      </c>
      <c r="D1902" s="459">
        <v>0</v>
      </c>
      <c r="E1902" s="459">
        <f>ROUND($F$1886*10%,2)</f>
        <v>220.56</v>
      </c>
      <c r="F1902" s="459">
        <f>ROUND($F$1886*20%,2)</f>
        <v>441.12</v>
      </c>
      <c r="G1902" s="459">
        <f>ROUND($F$1886*30%,2)</f>
        <v>661.68</v>
      </c>
      <c r="H1902" s="459">
        <f>ROUND($F$1886*40%,2)</f>
        <v>882.24</v>
      </c>
      <c r="I1902" s="459">
        <f>ROUND($F$1886*50%,2)</f>
        <v>1102.8</v>
      </c>
      <c r="J1902" s="565">
        <f>ROUND($F$1886*60%,2)</f>
        <v>1323.36</v>
      </c>
      <c r="K1902" s="600">
        <f>ROUND($F$1886*70%,2)</f>
        <v>1543.92</v>
      </c>
      <c r="L1902" s="600">
        <f>ROUND($F$1886*80%,2)</f>
        <v>1764.48</v>
      </c>
      <c r="M1902" s="559"/>
      <c r="N1902" s="559"/>
      <c r="O1902" s="559"/>
      <c r="P1902" s="559"/>
      <c r="Q1902" s="559"/>
      <c r="R1902" s="559"/>
      <c r="S1902" s="559"/>
      <c r="T1902" s="559"/>
      <c r="U1902" s="559"/>
      <c r="V1902" s="559"/>
      <c r="W1902" s="559"/>
      <c r="X1902" s="559"/>
      <c r="Y1902" s="559"/>
      <c r="Z1902" s="559"/>
      <c r="AA1902" s="559"/>
      <c r="AB1902" s="559"/>
      <c r="AC1902" s="559"/>
      <c r="AD1902" s="559"/>
      <c r="AE1902" s="559"/>
      <c r="AF1902" s="559"/>
      <c r="AG1902" s="559"/>
      <c r="AH1902" s="559"/>
      <c r="AI1902" s="559"/>
      <c r="AJ1902" s="559"/>
      <c r="AK1902" s="559"/>
      <c r="AL1902" s="559"/>
      <c r="AM1902" s="559"/>
      <c r="AN1902" s="559"/>
      <c r="AO1902" s="559"/>
      <c r="AP1902" s="559"/>
      <c r="AQ1902" s="559"/>
      <c r="AR1902" s="559"/>
      <c r="AS1902" s="559"/>
      <c r="AT1902" s="559"/>
      <c r="AU1902" s="559"/>
      <c r="AV1902" s="559"/>
      <c r="AW1902" s="559"/>
      <c r="AX1902" s="559"/>
      <c r="AY1902" s="559"/>
      <c r="AZ1902" s="559"/>
      <c r="BA1902" s="559"/>
      <c r="BB1902" s="559"/>
      <c r="BC1902" s="559"/>
      <c r="BD1902" s="559"/>
      <c r="BE1902" s="559"/>
      <c r="BF1902" s="559"/>
      <c r="BG1902" s="559"/>
      <c r="BH1902" s="559"/>
      <c r="BI1902" s="559"/>
      <c r="BJ1902" s="559"/>
      <c r="BK1902" s="559"/>
      <c r="BL1902" s="559"/>
    </row>
    <row r="1903" spans="1:64">
      <c r="A1903" s="458"/>
      <c r="B1903" s="458"/>
      <c r="C1903" s="417" t="str">
        <f>[161]Input!$C$47</f>
        <v>Add for MA @ 40%</v>
      </c>
      <c r="D1903" s="459">
        <f>D1902*[161]Input!$D$47</f>
        <v>0</v>
      </c>
      <c r="E1903" s="459">
        <f>E1902*[161]Input!$D$47</f>
        <v>88.224000000000004</v>
      </c>
      <c r="F1903" s="459">
        <f>F1902*[161]Input!$D$47</f>
        <v>176.44800000000001</v>
      </c>
      <c r="G1903" s="459">
        <f>G1902*[161]Input!$D$47</f>
        <v>264.67199999999997</v>
      </c>
      <c r="H1903" s="459">
        <f>H1902*[161]Input!$D$47</f>
        <v>352.89600000000002</v>
      </c>
      <c r="I1903" s="459">
        <f>I1902*[161]Input!$D$47</f>
        <v>441.12</v>
      </c>
      <c r="J1903" s="565">
        <f>J1902*[161]Input!$D$47</f>
        <v>529.34399999999994</v>
      </c>
      <c r="K1903" s="600">
        <f>K1902*[161]Input!$D$47</f>
        <v>617.5680000000001</v>
      </c>
      <c r="L1903" s="600">
        <f>L1902*[161]Input!$D$47</f>
        <v>705.79200000000003</v>
      </c>
      <c r="M1903" s="559"/>
      <c r="N1903" s="559"/>
      <c r="O1903" s="559"/>
      <c r="P1903" s="559"/>
      <c r="Q1903" s="559"/>
      <c r="R1903" s="559"/>
      <c r="S1903" s="559"/>
      <c r="T1903" s="559"/>
      <c r="U1903" s="559"/>
      <c r="V1903" s="559"/>
      <c r="W1903" s="559"/>
      <c r="X1903" s="559"/>
      <c r="Y1903" s="559"/>
      <c r="Z1903" s="559"/>
      <c r="AA1903" s="559"/>
      <c r="AB1903" s="559"/>
      <c r="AC1903" s="559"/>
      <c r="AD1903" s="559"/>
      <c r="AE1903" s="559"/>
      <c r="AF1903" s="559"/>
      <c r="AG1903" s="559"/>
      <c r="AH1903" s="559"/>
      <c r="AI1903" s="559"/>
      <c r="AJ1903" s="559"/>
      <c r="AK1903" s="559"/>
      <c r="AL1903" s="559"/>
      <c r="AM1903" s="559"/>
      <c r="AN1903" s="559"/>
      <c r="AO1903" s="559"/>
      <c r="AP1903" s="559"/>
      <c r="AQ1903" s="559"/>
      <c r="AR1903" s="559"/>
      <c r="AS1903" s="559"/>
      <c r="AT1903" s="559"/>
      <c r="AU1903" s="559"/>
      <c r="AV1903" s="559"/>
      <c r="AW1903" s="559"/>
      <c r="AX1903" s="559"/>
      <c r="AY1903" s="559"/>
      <c r="AZ1903" s="559"/>
      <c r="BA1903" s="559"/>
      <c r="BB1903" s="559"/>
      <c r="BC1903" s="559"/>
      <c r="BD1903" s="559"/>
      <c r="BE1903" s="559"/>
      <c r="BF1903" s="559"/>
      <c r="BG1903" s="559"/>
      <c r="BH1903" s="559"/>
      <c r="BI1903" s="559"/>
      <c r="BJ1903" s="559"/>
      <c r="BK1903" s="559"/>
      <c r="BL1903" s="559"/>
    </row>
    <row r="1904" spans="1:64">
      <c r="A1904" s="458"/>
      <c r="B1904" s="458"/>
      <c r="C1904" s="417"/>
      <c r="D1904" s="459">
        <f t="shared" ref="D1904:L1904" si="448">SUM(D1898:D1903)</f>
        <v>9236.9409621739142</v>
      </c>
      <c r="E1904" s="459">
        <f t="shared" si="448"/>
        <v>9797.234962173914</v>
      </c>
      <c r="F1904" s="459">
        <f t="shared" si="448"/>
        <v>10357.528962173916</v>
      </c>
      <c r="G1904" s="459">
        <f t="shared" si="448"/>
        <v>10917.822962173916</v>
      </c>
      <c r="H1904" s="459">
        <f t="shared" si="448"/>
        <v>11478.130962173915</v>
      </c>
      <c r="I1904" s="459">
        <f t="shared" si="448"/>
        <v>12038.424962173915</v>
      </c>
      <c r="J1904" s="565">
        <f t="shared" si="448"/>
        <v>12599.992962173916</v>
      </c>
      <c r="K1904" s="600">
        <f t="shared" si="448"/>
        <v>13158.956962173914</v>
      </c>
      <c r="L1904" s="600">
        <f t="shared" si="448"/>
        <v>13719.250962173915</v>
      </c>
      <c r="M1904" s="559"/>
      <c r="N1904" s="559"/>
      <c r="O1904" s="559"/>
      <c r="P1904" s="559"/>
      <c r="Q1904" s="559"/>
      <c r="R1904" s="559"/>
      <c r="S1904" s="559"/>
      <c r="T1904" s="559"/>
      <c r="U1904" s="559"/>
      <c r="V1904" s="559"/>
      <c r="W1904" s="559"/>
      <c r="X1904" s="559"/>
      <c r="Y1904" s="559"/>
      <c r="Z1904" s="559"/>
      <c r="AA1904" s="559"/>
      <c r="AB1904" s="559"/>
      <c r="AC1904" s="559"/>
      <c r="AD1904" s="559"/>
      <c r="AE1904" s="559"/>
      <c r="AF1904" s="559"/>
      <c r="AG1904" s="559"/>
      <c r="AH1904" s="559"/>
      <c r="AI1904" s="559"/>
      <c r="AJ1904" s="559"/>
      <c r="AK1904" s="559"/>
      <c r="AL1904" s="559"/>
      <c r="AM1904" s="559"/>
      <c r="AN1904" s="559"/>
      <c r="AO1904" s="559"/>
      <c r="AP1904" s="559"/>
      <c r="AQ1904" s="559"/>
      <c r="AR1904" s="559"/>
      <c r="AS1904" s="559"/>
      <c r="AT1904" s="559"/>
      <c r="AU1904" s="559"/>
      <c r="AV1904" s="559"/>
      <c r="AW1904" s="559"/>
      <c r="AX1904" s="559"/>
      <c r="AY1904" s="559"/>
      <c r="AZ1904" s="559"/>
      <c r="BA1904" s="559"/>
      <c r="BB1904" s="559"/>
      <c r="BC1904" s="559"/>
      <c r="BD1904" s="559"/>
      <c r="BE1904" s="559"/>
      <c r="BF1904" s="559"/>
      <c r="BG1904" s="559"/>
      <c r="BH1904" s="559"/>
      <c r="BI1904" s="559"/>
      <c r="BJ1904" s="559"/>
      <c r="BK1904" s="559"/>
      <c r="BL1904" s="559"/>
    </row>
    <row r="1905" spans="1:64" ht="25">
      <c r="A1905" s="458"/>
      <c r="B1905" s="458"/>
      <c r="C1905" s="417" t="str">
        <f>[161]Input!$C$48</f>
        <v>Overheads &amp; Contractors Profit @ 13.615%</v>
      </c>
      <c r="D1905" s="459">
        <f>ROUND(D1904*[161]Input!$D$48,2)</f>
        <v>1257.6099999999999</v>
      </c>
      <c r="E1905" s="459">
        <f>ROUND(E1904*[161]Input!$D$48,2)</f>
        <v>1333.89</v>
      </c>
      <c r="F1905" s="459">
        <f>ROUND(F1904*[161]Input!$D$48,2)</f>
        <v>1410.18</v>
      </c>
      <c r="G1905" s="459">
        <f>ROUND(G1904*[161]Input!$D$48,2)</f>
        <v>1486.46</v>
      </c>
      <c r="H1905" s="459">
        <f>ROUND(H1904*[161]Input!$D$48,2)</f>
        <v>1562.75</v>
      </c>
      <c r="I1905" s="459">
        <f>ROUND(I1904*[161]Input!$D$48,2)</f>
        <v>1639.03</v>
      </c>
      <c r="J1905" s="565">
        <f>ROUND(J1904*[161]Input!$D$48,2)</f>
        <v>1715.49</v>
      </c>
      <c r="K1905" s="600">
        <f>ROUND(K1904*[161]Input!$D$48,2)</f>
        <v>1791.59</v>
      </c>
      <c r="L1905" s="600">
        <f>ROUND(L1904*[161]Input!$D$48,2)</f>
        <v>1867.88</v>
      </c>
      <c r="M1905" s="559"/>
      <c r="N1905" s="559"/>
      <c r="O1905" s="559"/>
      <c r="P1905" s="559"/>
      <c r="Q1905" s="559"/>
      <c r="R1905" s="559"/>
      <c r="S1905" s="559"/>
      <c r="T1905" s="559"/>
      <c r="U1905" s="559"/>
      <c r="V1905" s="559"/>
      <c r="W1905" s="559"/>
      <c r="X1905" s="559"/>
      <c r="Y1905" s="559"/>
      <c r="Z1905" s="559"/>
      <c r="AA1905" s="559"/>
      <c r="AB1905" s="559"/>
      <c r="AC1905" s="559"/>
      <c r="AD1905" s="559"/>
      <c r="AE1905" s="559"/>
      <c r="AF1905" s="559"/>
      <c r="AG1905" s="559"/>
      <c r="AH1905" s="559"/>
      <c r="AI1905" s="559"/>
      <c r="AJ1905" s="559"/>
      <c r="AK1905" s="559"/>
      <c r="AL1905" s="559"/>
      <c r="AM1905" s="559"/>
      <c r="AN1905" s="559"/>
      <c r="AO1905" s="559"/>
      <c r="AP1905" s="559"/>
      <c r="AQ1905" s="559"/>
      <c r="AR1905" s="559"/>
      <c r="AS1905" s="559"/>
      <c r="AT1905" s="559"/>
      <c r="AU1905" s="559"/>
      <c r="AV1905" s="559"/>
      <c r="AW1905" s="559"/>
      <c r="AX1905" s="559"/>
      <c r="AY1905" s="559"/>
      <c r="AZ1905" s="559"/>
      <c r="BA1905" s="559"/>
      <c r="BB1905" s="559"/>
      <c r="BC1905" s="559"/>
      <c r="BD1905" s="559"/>
      <c r="BE1905" s="559"/>
      <c r="BF1905" s="559"/>
      <c r="BG1905" s="559"/>
      <c r="BH1905" s="559"/>
      <c r="BI1905" s="559"/>
      <c r="BJ1905" s="559"/>
      <c r="BK1905" s="559"/>
      <c r="BL1905" s="559"/>
    </row>
    <row r="1906" spans="1:64" ht="13">
      <c r="A1906" s="454"/>
      <c r="B1906" s="454"/>
      <c r="C1906" s="481" t="s">
        <v>724</v>
      </c>
      <c r="D1906" s="414">
        <f t="shared" ref="D1906:L1906" si="449">SUM(D1904:D1905)</f>
        <v>10494.550962173915</v>
      </c>
      <c r="E1906" s="414">
        <f t="shared" si="449"/>
        <v>11131.124962173913</v>
      </c>
      <c r="F1906" s="414">
        <f t="shared" si="449"/>
        <v>11767.708962173916</v>
      </c>
      <c r="G1906" s="414">
        <f t="shared" si="449"/>
        <v>12404.282962173915</v>
      </c>
      <c r="H1906" s="414">
        <f t="shared" si="449"/>
        <v>13040.880962173915</v>
      </c>
      <c r="I1906" s="414">
        <f t="shared" si="449"/>
        <v>13677.454962173915</v>
      </c>
      <c r="J1906" s="634">
        <f t="shared" si="449"/>
        <v>14315.482962173915</v>
      </c>
      <c r="K1906" s="635">
        <f t="shared" si="449"/>
        <v>14950.546962173914</v>
      </c>
      <c r="L1906" s="636">
        <f t="shared" si="449"/>
        <v>15587.130962173916</v>
      </c>
      <c r="M1906" s="554"/>
      <c r="N1906" s="554"/>
      <c r="O1906" s="554"/>
      <c r="P1906" s="554"/>
      <c r="Q1906" s="554"/>
      <c r="R1906" s="554"/>
      <c r="S1906" s="554"/>
      <c r="T1906" s="554"/>
      <c r="U1906" s="554"/>
      <c r="V1906" s="554"/>
      <c r="W1906" s="554"/>
      <c r="X1906" s="554"/>
      <c r="Y1906" s="554"/>
      <c r="Z1906" s="554"/>
      <c r="AA1906" s="554"/>
      <c r="AB1906" s="554"/>
      <c r="AC1906" s="554"/>
      <c r="AD1906" s="554"/>
      <c r="AE1906" s="554"/>
      <c r="AF1906" s="554"/>
      <c r="AG1906" s="554"/>
      <c r="AH1906" s="554"/>
      <c r="AI1906" s="554"/>
      <c r="AJ1906" s="554"/>
      <c r="AK1906" s="554"/>
      <c r="AL1906" s="554"/>
      <c r="AM1906" s="554"/>
      <c r="AN1906" s="554"/>
      <c r="AO1906" s="554"/>
      <c r="AP1906" s="554"/>
      <c r="AQ1906" s="554"/>
      <c r="AR1906" s="554"/>
      <c r="AS1906" s="554"/>
      <c r="AT1906" s="554"/>
      <c r="AU1906" s="554"/>
      <c r="AV1906" s="554"/>
      <c r="AW1906" s="554"/>
      <c r="AX1906" s="554"/>
      <c r="AY1906" s="554"/>
      <c r="AZ1906" s="554"/>
      <c r="BA1906" s="554"/>
      <c r="BB1906" s="554"/>
      <c r="BC1906" s="554"/>
      <c r="BD1906" s="554"/>
      <c r="BE1906" s="554"/>
      <c r="BF1906" s="554"/>
      <c r="BG1906" s="554"/>
      <c r="BH1906" s="554"/>
      <c r="BI1906" s="554"/>
      <c r="BJ1906" s="554"/>
      <c r="BK1906" s="554"/>
      <c r="BL1906" s="554"/>
    </row>
    <row r="1907" spans="1:64" ht="13">
      <c r="A1907" s="454"/>
      <c r="B1907" s="454"/>
      <c r="C1907" s="522" t="s">
        <v>726</v>
      </c>
      <c r="D1907" s="416">
        <f t="shared" ref="D1907:L1907" si="450">ROUND(D1906,0)</f>
        <v>10495</v>
      </c>
      <c r="E1907" s="416">
        <f t="shared" si="450"/>
        <v>11131</v>
      </c>
      <c r="F1907" s="416">
        <f t="shared" si="450"/>
        <v>11768</v>
      </c>
      <c r="G1907" s="416">
        <f t="shared" si="450"/>
        <v>12404</v>
      </c>
      <c r="H1907" s="416">
        <f t="shared" si="450"/>
        <v>13041</v>
      </c>
      <c r="I1907" s="416">
        <f t="shared" si="450"/>
        <v>13677</v>
      </c>
      <c r="J1907" s="533">
        <f t="shared" si="450"/>
        <v>14315</v>
      </c>
      <c r="K1907" s="534">
        <f t="shared" si="450"/>
        <v>14951</v>
      </c>
      <c r="L1907" s="534">
        <f t="shared" si="450"/>
        <v>15587</v>
      </c>
      <c r="M1907" s="554"/>
      <c r="N1907" s="554"/>
      <c r="O1907" s="554"/>
      <c r="P1907" s="554"/>
      <c r="Q1907" s="554"/>
      <c r="R1907" s="554"/>
      <c r="S1907" s="554"/>
      <c r="T1907" s="554"/>
      <c r="U1907" s="554"/>
      <c r="V1907" s="554"/>
      <c r="W1907" s="554"/>
      <c r="X1907" s="554"/>
      <c r="Y1907" s="554"/>
      <c r="Z1907" s="554"/>
      <c r="AA1907" s="554"/>
      <c r="AB1907" s="554"/>
      <c r="AC1907" s="554"/>
      <c r="AD1907" s="554"/>
      <c r="AE1907" s="554"/>
      <c r="AF1907" s="554"/>
      <c r="AG1907" s="554"/>
      <c r="AH1907" s="554"/>
      <c r="AI1907" s="554"/>
      <c r="AJ1907" s="554"/>
      <c r="AK1907" s="554"/>
      <c r="AL1907" s="554"/>
      <c r="AM1907" s="554"/>
      <c r="AN1907" s="554"/>
      <c r="AO1907" s="554"/>
      <c r="AP1907" s="554"/>
      <c r="AQ1907" s="554"/>
      <c r="AR1907" s="554"/>
      <c r="AS1907" s="554"/>
      <c r="AT1907" s="554"/>
      <c r="AU1907" s="554"/>
      <c r="AV1907" s="554"/>
      <c r="AW1907" s="554"/>
      <c r="AX1907" s="554"/>
      <c r="AY1907" s="554"/>
      <c r="AZ1907" s="554"/>
      <c r="BA1907" s="554"/>
      <c r="BB1907" s="554"/>
      <c r="BC1907" s="554"/>
      <c r="BD1907" s="554"/>
      <c r="BE1907" s="554"/>
      <c r="BF1907" s="554"/>
      <c r="BG1907" s="554"/>
      <c r="BH1907" s="554"/>
      <c r="BI1907" s="554"/>
      <c r="BJ1907" s="554"/>
      <c r="BK1907" s="554"/>
      <c r="BL1907" s="554"/>
    </row>
    <row r="1908" spans="1:64" ht="13">
      <c r="A1908" s="454"/>
      <c r="B1908" s="454"/>
      <c r="C1908" s="427"/>
      <c r="D1908" s="416"/>
      <c r="E1908" s="416"/>
      <c r="F1908" s="416"/>
      <c r="G1908" s="416"/>
      <c r="H1908" s="416"/>
      <c r="I1908" s="414"/>
      <c r="J1908" s="400"/>
      <c r="K1908" s="401"/>
      <c r="L1908" s="401"/>
    </row>
    <row r="1909" spans="1:64" ht="86.65" customHeight="1">
      <c r="A1909" s="1286">
        <f>A1874+1</f>
        <v>6</v>
      </c>
      <c r="B1909" s="1286"/>
      <c r="C1909" s="1291" t="s">
        <v>1085</v>
      </c>
      <c r="D1909" s="1291"/>
      <c r="E1909" s="1291"/>
      <c r="F1909" s="1291"/>
      <c r="G1909" s="1291"/>
      <c r="H1909" s="1291"/>
      <c r="I1909" s="407"/>
      <c r="J1909" s="400"/>
      <c r="K1909" s="401"/>
      <c r="L1909" s="401"/>
    </row>
    <row r="1910" spans="1:64">
      <c r="A1910" s="454"/>
      <c r="B1910" s="454"/>
      <c r="C1910" s="469" t="s">
        <v>1068</v>
      </c>
      <c r="D1910" s="426"/>
      <c r="E1910" s="426"/>
      <c r="F1910" s="426"/>
      <c r="G1910" s="426"/>
      <c r="H1910" s="426"/>
      <c r="I1910" s="409"/>
      <c r="J1910" s="400"/>
      <c r="K1910" s="401"/>
      <c r="L1910" s="401"/>
    </row>
    <row r="1911" spans="1:64" ht="13">
      <c r="A1911" s="454"/>
      <c r="B1911" s="454"/>
      <c r="C1911" s="427" t="s">
        <v>873</v>
      </c>
      <c r="D1911" s="430"/>
      <c r="E1911" s="408"/>
      <c r="F1911" s="408"/>
      <c r="G1911" s="430"/>
      <c r="H1911" s="456"/>
      <c r="I1911" s="408"/>
      <c r="J1911" s="400"/>
      <c r="K1911" s="401"/>
      <c r="L1911" s="401"/>
    </row>
    <row r="1912" spans="1:64">
      <c r="A1912" s="454"/>
      <c r="B1912" s="454"/>
      <c r="C1912" s="417" t="s">
        <v>1086</v>
      </c>
      <c r="D1912" s="430">
        <v>84</v>
      </c>
      <c r="E1912" s="408" t="s">
        <v>375</v>
      </c>
      <c r="F1912" s="637">
        <v>61</v>
      </c>
      <c r="G1912" s="430">
        <v>1</v>
      </c>
      <c r="H1912" s="456" t="s">
        <v>375</v>
      </c>
      <c r="I1912" s="408">
        <f t="shared" ref="I1912:I1914" si="451">IF(G1912="",D1912*F1912,(D1912*F1912/G1912))</f>
        <v>5124</v>
      </c>
      <c r="J1912" s="400"/>
      <c r="K1912" s="401"/>
      <c r="L1912" s="401"/>
    </row>
    <row r="1913" spans="1:64">
      <c r="A1913" s="454"/>
      <c r="B1913" s="454"/>
      <c r="C1913" s="417" t="s">
        <v>504</v>
      </c>
      <c r="D1913" s="408">
        <v>36</v>
      </c>
      <c r="E1913" s="408" t="s">
        <v>833</v>
      </c>
      <c r="F1913" s="408">
        <f>[161]LEAD!$N$6</f>
        <v>5200</v>
      </c>
      <c r="G1913" s="430">
        <v>1000</v>
      </c>
      <c r="H1913" s="456" t="str">
        <f t="shared" ref="H1913:H1914" si="452">IF(E1913="","",IF(E1913="No.","Each",IF(E1913="Nos.","Each",E1913)))</f>
        <v>Kgs</v>
      </c>
      <c r="I1913" s="408">
        <f t="shared" si="451"/>
        <v>187.2</v>
      </c>
      <c r="J1913" s="400"/>
      <c r="K1913" s="401"/>
      <c r="L1913" s="401"/>
    </row>
    <row r="1914" spans="1:64">
      <c r="A1914" s="454"/>
      <c r="B1914" s="454"/>
      <c r="C1914" s="417" t="s">
        <v>875</v>
      </c>
      <c r="D1914" s="532">
        <v>0.1</v>
      </c>
      <c r="E1914" s="408" t="s">
        <v>1062</v>
      </c>
      <c r="F1914" s="408">
        <f>[161]LEAD!$N$13</f>
        <v>2453.91</v>
      </c>
      <c r="G1914" s="430">
        <v>1</v>
      </c>
      <c r="H1914" s="456" t="str">
        <f t="shared" si="452"/>
        <v>cu.m.</v>
      </c>
      <c r="I1914" s="408">
        <f t="shared" si="451"/>
        <v>245.39099999999999</v>
      </c>
      <c r="J1914" s="400"/>
      <c r="K1914" s="401"/>
      <c r="L1914" s="401"/>
    </row>
    <row r="1915" spans="1:64" ht="13">
      <c r="A1915" s="454"/>
      <c r="B1915" s="454"/>
      <c r="C1915" s="427" t="s">
        <v>911</v>
      </c>
      <c r="D1915" s="408"/>
      <c r="E1915" s="408"/>
      <c r="F1915" s="408"/>
      <c r="G1915" s="430"/>
      <c r="H1915" s="456"/>
      <c r="I1915" s="408"/>
      <c r="J1915" s="400"/>
      <c r="K1915" s="401"/>
      <c r="L1915" s="401"/>
    </row>
    <row r="1916" spans="1:64">
      <c r="A1916" s="426"/>
      <c r="B1916" s="454"/>
      <c r="C1916" s="417" t="s">
        <v>881</v>
      </c>
      <c r="D1916" s="408">
        <v>0.42</v>
      </c>
      <c r="E1916" s="408" t="s">
        <v>375</v>
      </c>
      <c r="F1916" s="408">
        <f>'[161]Civil-SOR'!$G$293</f>
        <v>580</v>
      </c>
      <c r="G1916" s="430">
        <v>1</v>
      </c>
      <c r="H1916" s="456" t="str">
        <f t="shared" ref="H1916:H1918" si="453">IF(E1916="","",IF(E1916="No.","Each",IF(E1916="Nos.","Each",E1916)))</f>
        <v>Each</v>
      </c>
      <c r="I1916" s="408">
        <f t="shared" ref="I1916:I1920" si="454">IF(G1916="",D1916*F1916,(D1916*F1916/G1916))</f>
        <v>243.6</v>
      </c>
      <c r="J1916" s="400"/>
      <c r="K1916" s="401"/>
      <c r="L1916" s="401"/>
    </row>
    <row r="1917" spans="1:64">
      <c r="A1917" s="454"/>
      <c r="B1917" s="454"/>
      <c r="C1917" s="417" t="s">
        <v>771</v>
      </c>
      <c r="D1917" s="408">
        <v>0.92</v>
      </c>
      <c r="E1917" s="408" t="s">
        <v>375</v>
      </c>
      <c r="F1917" s="408">
        <f>'[161]Civil-SOR'!$G$302</f>
        <v>550</v>
      </c>
      <c r="G1917" s="430">
        <v>1</v>
      </c>
      <c r="H1917" s="456" t="str">
        <f t="shared" si="453"/>
        <v>Each</v>
      </c>
      <c r="I1917" s="408">
        <f t="shared" si="454"/>
        <v>506</v>
      </c>
      <c r="J1917" s="400"/>
      <c r="K1917" s="401"/>
      <c r="L1917" s="401"/>
    </row>
    <row r="1918" spans="1:64">
      <c r="A1918" s="454"/>
      <c r="B1918" s="454"/>
      <c r="C1918" s="417" t="s">
        <v>903</v>
      </c>
      <c r="D1918" s="408">
        <v>2.8</v>
      </c>
      <c r="E1918" s="408" t="s">
        <v>375</v>
      </c>
      <c r="F1918" s="408">
        <f>'[161]Civil-SOR'!$G$307</f>
        <v>520</v>
      </c>
      <c r="G1918" s="430">
        <v>1</v>
      </c>
      <c r="H1918" s="456" t="str">
        <f t="shared" si="453"/>
        <v>Each</v>
      </c>
      <c r="I1918" s="408">
        <f t="shared" si="454"/>
        <v>1456</v>
      </c>
      <c r="J1918" s="400"/>
      <c r="K1918" s="401"/>
      <c r="L1918" s="401"/>
    </row>
    <row r="1919" spans="1:64">
      <c r="A1919" s="454"/>
      <c r="B1919" s="454"/>
      <c r="C1919" s="417" t="str">
        <f>[161]Input!$C$47</f>
        <v>Add for MA @ 40%</v>
      </c>
      <c r="D1919" s="621">
        <f>[161]Input!$D$47</f>
        <v>0.4</v>
      </c>
      <c r="E1919" s="454"/>
      <c r="F1919" s="408">
        <f>SUM(I1916:I1918)</f>
        <v>2205.6</v>
      </c>
      <c r="G1919" s="410"/>
      <c r="H1919" s="426"/>
      <c r="I1919" s="408">
        <f t="shared" si="454"/>
        <v>882.24</v>
      </c>
      <c r="J1919" s="400"/>
      <c r="K1919" s="401"/>
      <c r="L1919" s="401"/>
    </row>
    <row r="1920" spans="1:64">
      <c r="A1920" s="454"/>
      <c r="B1920" s="454"/>
      <c r="C1920" s="417" t="s">
        <v>1058</v>
      </c>
      <c r="D1920" s="408">
        <v>0.01</v>
      </c>
      <c r="E1920" s="408"/>
      <c r="F1920" s="408">
        <f>SUM(I1912:I1919)</f>
        <v>8644.4310000000005</v>
      </c>
      <c r="G1920" s="430"/>
      <c r="H1920" s="456"/>
      <c r="I1920" s="408">
        <f t="shared" si="454"/>
        <v>86.444310000000002</v>
      </c>
      <c r="J1920" s="400"/>
      <c r="K1920" s="401"/>
      <c r="L1920" s="401"/>
    </row>
    <row r="1921" spans="1:64" ht="13">
      <c r="A1921" s="454"/>
      <c r="B1921" s="454"/>
      <c r="C1921" s="481" t="s">
        <v>741</v>
      </c>
      <c r="D1921" s="408"/>
      <c r="E1921" s="408"/>
      <c r="F1921" s="408"/>
      <c r="G1921" s="430"/>
      <c r="H1921" s="415"/>
      <c r="I1921" s="414">
        <f>SUM(I1911:I1920)</f>
        <v>8730.8753100000013</v>
      </c>
      <c r="J1921" s="411"/>
      <c r="K1921" s="412"/>
      <c r="L1921" s="412"/>
      <c r="M1921" s="554"/>
      <c r="N1921" s="554"/>
      <c r="O1921" s="554"/>
      <c r="P1921" s="554"/>
      <c r="Q1921" s="554"/>
      <c r="R1921" s="554"/>
      <c r="S1921" s="554"/>
      <c r="T1921" s="554"/>
      <c r="U1921" s="554"/>
      <c r="V1921" s="554"/>
      <c r="W1921" s="554"/>
      <c r="X1921" s="554"/>
      <c r="Y1921" s="554"/>
      <c r="Z1921" s="554"/>
      <c r="AA1921" s="554"/>
      <c r="AB1921" s="554"/>
      <c r="AC1921" s="554"/>
      <c r="AD1921" s="554"/>
      <c r="AE1921" s="554"/>
      <c r="AF1921" s="554"/>
      <c r="AG1921" s="554"/>
      <c r="AH1921" s="554"/>
      <c r="AI1921" s="554"/>
      <c r="AJ1921" s="554"/>
      <c r="AK1921" s="554"/>
      <c r="AL1921" s="554"/>
      <c r="AM1921" s="554"/>
      <c r="AN1921" s="554"/>
      <c r="AO1921" s="554"/>
      <c r="AP1921" s="554"/>
      <c r="AQ1921" s="554"/>
      <c r="AR1921" s="554"/>
      <c r="AS1921" s="554"/>
      <c r="AT1921" s="554"/>
      <c r="AU1921" s="554"/>
      <c r="AV1921" s="554"/>
      <c r="AW1921" s="554"/>
      <c r="AX1921" s="554"/>
      <c r="AY1921" s="554"/>
      <c r="AZ1921" s="554"/>
      <c r="BA1921" s="554"/>
      <c r="BB1921" s="554"/>
      <c r="BC1921" s="554"/>
      <c r="BD1921" s="554"/>
      <c r="BE1921" s="554"/>
      <c r="BF1921" s="554"/>
      <c r="BG1921" s="554"/>
      <c r="BH1921" s="554"/>
      <c r="BI1921" s="554"/>
      <c r="BJ1921" s="554"/>
      <c r="BK1921" s="554"/>
      <c r="BL1921" s="554"/>
    </row>
    <row r="1922" spans="1:64" ht="13">
      <c r="A1922" s="454"/>
      <c r="B1922" s="454"/>
      <c r="C1922" s="481" t="s">
        <v>742</v>
      </c>
      <c r="D1922" s="408"/>
      <c r="E1922" s="408"/>
      <c r="F1922" s="408"/>
      <c r="G1922" s="430"/>
      <c r="H1922" s="415"/>
      <c r="I1922" s="414">
        <f>ROUND(I1921/10,2)</f>
        <v>873.09</v>
      </c>
      <c r="J1922" s="411"/>
      <c r="K1922" s="412"/>
      <c r="L1922" s="412"/>
      <c r="M1922" s="554"/>
      <c r="N1922" s="554"/>
      <c r="O1922" s="554"/>
      <c r="P1922" s="554"/>
      <c r="Q1922" s="554"/>
      <c r="R1922" s="554"/>
      <c r="S1922" s="554"/>
      <c r="T1922" s="554"/>
      <c r="U1922" s="554"/>
      <c r="V1922" s="554"/>
      <c r="W1922" s="554"/>
      <c r="X1922" s="554"/>
      <c r="Y1922" s="554"/>
      <c r="Z1922" s="554"/>
      <c r="AA1922" s="554"/>
      <c r="AB1922" s="554"/>
      <c r="AC1922" s="554"/>
      <c r="AD1922" s="554"/>
      <c r="AE1922" s="554"/>
      <c r="AF1922" s="554"/>
      <c r="AG1922" s="554"/>
      <c r="AH1922" s="554"/>
      <c r="AI1922" s="554"/>
      <c r="AJ1922" s="554"/>
      <c r="AK1922" s="554"/>
      <c r="AL1922" s="554"/>
      <c r="AM1922" s="554"/>
      <c r="AN1922" s="554"/>
      <c r="AO1922" s="554"/>
      <c r="AP1922" s="554"/>
      <c r="AQ1922" s="554"/>
      <c r="AR1922" s="554"/>
      <c r="AS1922" s="554"/>
      <c r="AT1922" s="554"/>
      <c r="AU1922" s="554"/>
      <c r="AV1922" s="554"/>
      <c r="AW1922" s="554"/>
      <c r="AX1922" s="554"/>
      <c r="AY1922" s="554"/>
      <c r="AZ1922" s="554"/>
      <c r="BA1922" s="554"/>
      <c r="BB1922" s="554"/>
      <c r="BC1922" s="554"/>
      <c r="BD1922" s="554"/>
      <c r="BE1922" s="554"/>
      <c r="BF1922" s="554"/>
      <c r="BG1922" s="554"/>
      <c r="BH1922" s="554"/>
      <c r="BI1922" s="554"/>
      <c r="BJ1922" s="554"/>
      <c r="BK1922" s="554"/>
      <c r="BL1922" s="554"/>
    </row>
    <row r="1923" spans="1:64" ht="13">
      <c r="A1923" s="454"/>
      <c r="B1923" s="454"/>
      <c r="C1923" s="417"/>
      <c r="D1923" s="408"/>
      <c r="E1923" s="408"/>
      <c r="F1923" s="408"/>
      <c r="G1923" s="430"/>
      <c r="H1923" s="415"/>
      <c r="I1923" s="414"/>
      <c r="J1923" s="400"/>
      <c r="K1923" s="401"/>
      <c r="L1923" s="401"/>
    </row>
    <row r="1924" spans="1:64" ht="13">
      <c r="A1924" s="454"/>
      <c r="B1924" s="454"/>
      <c r="C1924" s="526" t="s">
        <v>1082</v>
      </c>
      <c r="D1924" s="408"/>
      <c r="E1924" s="408"/>
      <c r="F1924" s="408"/>
      <c r="G1924" s="430"/>
      <c r="H1924" s="415"/>
      <c r="I1924" s="414"/>
      <c r="J1924" s="400"/>
      <c r="K1924" s="401"/>
      <c r="L1924" s="401"/>
    </row>
    <row r="1925" spans="1:64" ht="13">
      <c r="A1925" s="454"/>
      <c r="B1925" s="454"/>
      <c r="C1925" s="427" t="s">
        <v>953</v>
      </c>
      <c r="D1925" s="414" t="s">
        <v>959</v>
      </c>
      <c r="E1925" s="416" t="s">
        <v>943</v>
      </c>
      <c r="F1925" s="415" t="s">
        <v>944</v>
      </c>
      <c r="G1925" s="414" t="s">
        <v>1036</v>
      </c>
      <c r="H1925" s="414" t="s">
        <v>1037</v>
      </c>
      <c r="I1925" s="414" t="s">
        <v>1038</v>
      </c>
      <c r="J1925" s="535" t="s">
        <v>948</v>
      </c>
      <c r="K1925" s="536" t="s">
        <v>949</v>
      </c>
      <c r="L1925" s="536" t="s">
        <v>950</v>
      </c>
    </row>
    <row r="1926" spans="1:64">
      <c r="A1926" s="454"/>
      <c r="B1926" s="454"/>
      <c r="C1926" s="417" t="s">
        <v>1064</v>
      </c>
      <c r="D1926" s="459">
        <f t="shared" ref="D1926:L1926" si="455">$I$1922</f>
        <v>873.09</v>
      </c>
      <c r="E1926" s="459">
        <f t="shared" si="455"/>
        <v>873.09</v>
      </c>
      <c r="F1926" s="459">
        <f t="shared" si="455"/>
        <v>873.09</v>
      </c>
      <c r="G1926" s="459">
        <f t="shared" si="455"/>
        <v>873.09</v>
      </c>
      <c r="H1926" s="459">
        <f t="shared" si="455"/>
        <v>873.09</v>
      </c>
      <c r="I1926" s="459">
        <f t="shared" si="455"/>
        <v>873.09</v>
      </c>
      <c r="J1926" s="565">
        <f t="shared" si="455"/>
        <v>873.09</v>
      </c>
      <c r="K1926" s="600">
        <f t="shared" si="455"/>
        <v>873.09</v>
      </c>
      <c r="L1926" s="600">
        <f t="shared" si="455"/>
        <v>873.09</v>
      </c>
    </row>
    <row r="1927" spans="1:64">
      <c r="A1927" s="454"/>
      <c r="B1927" s="454"/>
      <c r="C1927" s="417" t="s">
        <v>1059</v>
      </c>
      <c r="D1927" s="459">
        <f>'[161]Civil-SOR'!$F$222</f>
        <v>11.66</v>
      </c>
      <c r="E1927" s="459">
        <f>'[161]Civil-SOR'!$F$223</f>
        <v>11.66</v>
      </c>
      <c r="F1927" s="459">
        <f>'[161]Civil-SOR'!$F$224</f>
        <v>11.66</v>
      </c>
      <c r="G1927" s="459">
        <f>'[161]Civil-SOR'!$F$225</f>
        <v>11.66</v>
      </c>
      <c r="H1927" s="459">
        <f>'[161]Civil-SOR'!$F$225</f>
        <v>11.66</v>
      </c>
      <c r="I1927" s="459">
        <f>'[161]Civil-SOR'!$F$225</f>
        <v>11.66</v>
      </c>
      <c r="J1927" s="565">
        <f>'[161]Civil-SOR'!$F$225</f>
        <v>11.66</v>
      </c>
      <c r="K1927" s="600">
        <f>'[161]Civil-SOR'!$F$225</f>
        <v>11.66</v>
      </c>
      <c r="L1927" s="600">
        <f>'[161]Civil-SOR'!$F$225</f>
        <v>11.66</v>
      </c>
    </row>
    <row r="1928" spans="1:64">
      <c r="A1928" s="454"/>
      <c r="B1928" s="454"/>
      <c r="C1928" s="417" t="s">
        <v>1060</v>
      </c>
      <c r="D1928" s="459">
        <f>'[161]Civil-SOR'!$G$222</f>
        <v>94.29</v>
      </c>
      <c r="E1928" s="459">
        <f>'[161]Civil-SOR'!$G$223</f>
        <v>135.61000000000001</v>
      </c>
      <c r="F1928" s="459">
        <f>'[161]Civil-SOR'!$G$224</f>
        <v>176.93</v>
      </c>
      <c r="G1928" s="459">
        <f>'[161]Civil-SOR'!$G$225</f>
        <v>218.25</v>
      </c>
      <c r="H1928" s="459">
        <f>'[161]Civil-SOR'!$G$226</f>
        <v>259.57</v>
      </c>
      <c r="I1928" s="459">
        <f>'[161]Civil-SOR'!$G$227</f>
        <v>300.89</v>
      </c>
      <c r="J1928" s="565">
        <f>'[161]Civil-SOR'!$G$228</f>
        <v>342.42</v>
      </c>
      <c r="K1928" s="600">
        <f>'[161]Civil-SOR'!$G$229</f>
        <v>383.52</v>
      </c>
      <c r="L1928" s="600">
        <f>'[161]Civil-SOR'!$G$230</f>
        <v>424.84</v>
      </c>
    </row>
    <row r="1929" spans="1:64">
      <c r="A1929" s="454"/>
      <c r="B1929" s="454"/>
      <c r="C1929" s="417" t="str">
        <f>[161]Input!$C$47</f>
        <v>Add for MA @ 40%</v>
      </c>
      <c r="D1929" s="459">
        <f>D1928*[161]Input!$D$47</f>
        <v>37.716000000000001</v>
      </c>
      <c r="E1929" s="459">
        <f>E1928*[161]Input!$D$47</f>
        <v>54.244000000000007</v>
      </c>
      <c r="F1929" s="459">
        <f>F1928*[161]Input!$D$47</f>
        <v>70.772000000000006</v>
      </c>
      <c r="G1929" s="459">
        <f>G1928*[161]Input!$D$47</f>
        <v>87.300000000000011</v>
      </c>
      <c r="H1929" s="459">
        <f>H1928*[161]Input!$D$47</f>
        <v>103.828</v>
      </c>
      <c r="I1929" s="459">
        <f>I1928*[161]Input!$D$47</f>
        <v>120.35599999999999</v>
      </c>
      <c r="J1929" s="565">
        <f>J1928*[161]Input!$D$47</f>
        <v>136.96800000000002</v>
      </c>
      <c r="K1929" s="600">
        <f>K1928*[161]Input!$D$47</f>
        <v>153.40799999999999</v>
      </c>
      <c r="L1929" s="600">
        <f>L1928*[161]Input!$D$47</f>
        <v>169.93600000000001</v>
      </c>
    </row>
    <row r="1930" spans="1:64">
      <c r="A1930" s="454"/>
      <c r="B1930" s="454"/>
      <c r="C1930" s="417" t="s">
        <v>994</v>
      </c>
      <c r="D1930" s="459">
        <v>0</v>
      </c>
      <c r="E1930" s="459">
        <f>ROUND($F$1919/10*10%,2)</f>
        <v>22.06</v>
      </c>
      <c r="F1930" s="459">
        <f>ROUND($F$1919/10*20%,2)</f>
        <v>44.11</v>
      </c>
      <c r="G1930" s="459">
        <f>ROUND($F$1919/10*30%,2)</f>
        <v>66.17</v>
      </c>
      <c r="H1930" s="459">
        <f>ROUND($F$1919/10*40%,2)</f>
        <v>88.22</v>
      </c>
      <c r="I1930" s="459">
        <f>ROUND($F$1919/10*50%,2)</f>
        <v>110.28</v>
      </c>
      <c r="J1930" s="565">
        <f>ROUND($F$1919/10*60%,2)</f>
        <v>132.34</v>
      </c>
      <c r="K1930" s="600">
        <f>ROUND($F$1919/10*70%,2)</f>
        <v>154.38999999999999</v>
      </c>
      <c r="L1930" s="600">
        <f>ROUND($F$1919/10*80%,2)</f>
        <v>176.45</v>
      </c>
    </row>
    <row r="1931" spans="1:64">
      <c r="A1931" s="454"/>
      <c r="B1931" s="454"/>
      <c r="C1931" s="417" t="str">
        <f>[161]Input!$C$47</f>
        <v>Add for MA @ 40%</v>
      </c>
      <c r="D1931" s="459">
        <f>D1930*[161]Input!$D$47</f>
        <v>0</v>
      </c>
      <c r="E1931" s="459">
        <f>E1930*[161]Input!$D$47</f>
        <v>8.8239999999999998</v>
      </c>
      <c r="F1931" s="459">
        <f>F1930*[161]Input!$D$47</f>
        <v>17.644000000000002</v>
      </c>
      <c r="G1931" s="459">
        <f>G1930*[161]Input!$D$47</f>
        <v>26.468000000000004</v>
      </c>
      <c r="H1931" s="459">
        <f>H1930*[161]Input!$D$47</f>
        <v>35.288000000000004</v>
      </c>
      <c r="I1931" s="459">
        <f>I1930*[161]Input!$D$47</f>
        <v>44.112000000000002</v>
      </c>
      <c r="J1931" s="565">
        <f>J1930*[161]Input!$D$47</f>
        <v>52.936000000000007</v>
      </c>
      <c r="K1931" s="600">
        <f>K1930*[161]Input!$D$47</f>
        <v>61.756</v>
      </c>
      <c r="L1931" s="600">
        <f>L1930*[161]Input!$D$47</f>
        <v>70.58</v>
      </c>
    </row>
    <row r="1932" spans="1:64" ht="13">
      <c r="A1932" s="454"/>
      <c r="B1932" s="454"/>
      <c r="C1932" s="427" t="s">
        <v>742</v>
      </c>
      <c r="D1932" s="461">
        <f t="shared" ref="D1932:L1932" si="456">SUM(D1926:D1931)</f>
        <v>1016.756</v>
      </c>
      <c r="E1932" s="461">
        <f t="shared" si="456"/>
        <v>1105.4880000000001</v>
      </c>
      <c r="F1932" s="461">
        <f t="shared" si="456"/>
        <v>1194.2059999999999</v>
      </c>
      <c r="G1932" s="461">
        <f t="shared" si="456"/>
        <v>1282.9380000000001</v>
      </c>
      <c r="H1932" s="461">
        <f t="shared" si="456"/>
        <v>1371.6559999999999</v>
      </c>
      <c r="I1932" s="461">
        <f t="shared" si="456"/>
        <v>1460.3879999999999</v>
      </c>
      <c r="J1932" s="626">
        <f t="shared" si="456"/>
        <v>1549.414</v>
      </c>
      <c r="K1932" s="627">
        <f t="shared" si="456"/>
        <v>1637.8239999999998</v>
      </c>
      <c r="L1932" s="627">
        <f t="shared" si="456"/>
        <v>1726.5559999999998</v>
      </c>
    </row>
    <row r="1933" spans="1:64" ht="25">
      <c r="A1933" s="454"/>
      <c r="B1933" s="454"/>
      <c r="C1933" s="417" t="str">
        <f>[161]Input!$C$48</f>
        <v>Overheads &amp; Contractors Profit @ 13.615%</v>
      </c>
      <c r="D1933" s="459">
        <f>ROUND(D1932*[161]Input!$D$48,2)</f>
        <v>138.43</v>
      </c>
      <c r="E1933" s="459">
        <f>ROUND(E1932*[161]Input!$D$48,2)</f>
        <v>150.51</v>
      </c>
      <c r="F1933" s="459">
        <f>ROUND(F1932*[161]Input!$D$48,2)</f>
        <v>162.59</v>
      </c>
      <c r="G1933" s="459">
        <f>ROUND(G1932*[161]Input!$D$48,2)</f>
        <v>174.67</v>
      </c>
      <c r="H1933" s="459">
        <f>ROUND(H1932*[161]Input!$D$48,2)</f>
        <v>186.75</v>
      </c>
      <c r="I1933" s="459">
        <f>ROUND(I1932*[161]Input!$D$48,2)</f>
        <v>198.83</v>
      </c>
      <c r="J1933" s="565">
        <f>ROUND(J1932*[161]Input!$D$48,2)</f>
        <v>210.95</v>
      </c>
      <c r="K1933" s="600">
        <f>ROUND(K1932*[161]Input!$D$48,2)</f>
        <v>222.99</v>
      </c>
      <c r="L1933" s="600">
        <f>ROUND(L1932*[161]Input!$D$48,2)</f>
        <v>235.07</v>
      </c>
    </row>
    <row r="1934" spans="1:64" ht="13">
      <c r="A1934" s="454"/>
      <c r="B1934" s="454"/>
      <c r="C1934" s="481" t="s">
        <v>742</v>
      </c>
      <c r="D1934" s="414">
        <f t="shared" ref="D1934:L1934" si="457">SUM(D1932:D1933)</f>
        <v>1155.1859999999999</v>
      </c>
      <c r="E1934" s="414">
        <f t="shared" si="457"/>
        <v>1255.998</v>
      </c>
      <c r="F1934" s="414">
        <f t="shared" si="457"/>
        <v>1356.7959999999998</v>
      </c>
      <c r="G1934" s="414">
        <f t="shared" si="457"/>
        <v>1457.6080000000002</v>
      </c>
      <c r="H1934" s="414">
        <f t="shared" si="457"/>
        <v>1558.4059999999999</v>
      </c>
      <c r="I1934" s="414">
        <f t="shared" si="457"/>
        <v>1659.2179999999998</v>
      </c>
      <c r="J1934" s="638">
        <f t="shared" si="457"/>
        <v>1760.364</v>
      </c>
      <c r="K1934" s="636">
        <f t="shared" si="457"/>
        <v>1860.8139999999999</v>
      </c>
      <c r="L1934" s="636">
        <f t="shared" si="457"/>
        <v>1961.6259999999997</v>
      </c>
      <c r="M1934" s="554"/>
      <c r="N1934" s="554"/>
      <c r="O1934" s="554"/>
      <c r="P1934" s="554"/>
      <c r="Q1934" s="554"/>
      <c r="R1934" s="554"/>
      <c r="S1934" s="554"/>
      <c r="T1934" s="554"/>
      <c r="U1934" s="554"/>
      <c r="V1934" s="554"/>
      <c r="W1934" s="554"/>
      <c r="X1934" s="554"/>
      <c r="Y1934" s="554"/>
      <c r="Z1934" s="554"/>
      <c r="AA1934" s="554"/>
      <c r="AB1934" s="554"/>
      <c r="AC1934" s="554"/>
      <c r="AD1934" s="554"/>
      <c r="AE1934" s="554"/>
      <c r="AF1934" s="554"/>
      <c r="AG1934" s="554"/>
      <c r="AH1934" s="554"/>
      <c r="AI1934" s="554"/>
      <c r="AJ1934" s="554"/>
      <c r="AK1934" s="554"/>
      <c r="AL1934" s="554"/>
      <c r="AM1934" s="554"/>
      <c r="AN1934" s="554"/>
      <c r="AO1934" s="554"/>
      <c r="AP1934" s="554"/>
      <c r="AQ1934" s="554"/>
      <c r="AR1934" s="554"/>
      <c r="AS1934" s="554"/>
      <c r="AT1934" s="554"/>
      <c r="AU1934" s="554"/>
      <c r="AV1934" s="554"/>
      <c r="AW1934" s="554"/>
      <c r="AX1934" s="554"/>
      <c r="AY1934" s="554"/>
      <c r="AZ1934" s="554"/>
      <c r="BA1934" s="554"/>
      <c r="BB1934" s="554"/>
      <c r="BC1934" s="554"/>
      <c r="BD1934" s="554"/>
      <c r="BE1934" s="554"/>
      <c r="BF1934" s="554"/>
      <c r="BG1934" s="554"/>
      <c r="BH1934" s="554"/>
      <c r="BI1934" s="554"/>
      <c r="BJ1934" s="554"/>
      <c r="BK1934" s="554"/>
      <c r="BL1934" s="554"/>
    </row>
    <row r="1935" spans="1:64" ht="13">
      <c r="A1935" s="454"/>
      <c r="B1935" s="454"/>
      <c r="C1935" s="522" t="s">
        <v>726</v>
      </c>
      <c r="D1935" s="416">
        <f t="shared" ref="D1935:L1935" si="458">ROUND(D1934,0)</f>
        <v>1155</v>
      </c>
      <c r="E1935" s="416">
        <f t="shared" si="458"/>
        <v>1256</v>
      </c>
      <c r="F1935" s="416">
        <f t="shared" si="458"/>
        <v>1357</v>
      </c>
      <c r="G1935" s="416">
        <f t="shared" si="458"/>
        <v>1458</v>
      </c>
      <c r="H1935" s="416">
        <f t="shared" si="458"/>
        <v>1558</v>
      </c>
      <c r="I1935" s="416">
        <f t="shared" si="458"/>
        <v>1659</v>
      </c>
      <c r="J1935" s="533">
        <f t="shared" si="458"/>
        <v>1760</v>
      </c>
      <c r="K1935" s="534">
        <f t="shared" si="458"/>
        <v>1861</v>
      </c>
      <c r="L1935" s="534">
        <f t="shared" si="458"/>
        <v>1962</v>
      </c>
      <c r="M1935" s="554"/>
      <c r="N1935" s="554"/>
      <c r="O1935" s="554"/>
      <c r="P1935" s="554"/>
      <c r="Q1935" s="554"/>
      <c r="R1935" s="554"/>
      <c r="S1935" s="554"/>
      <c r="T1935" s="554"/>
      <c r="U1935" s="554"/>
      <c r="V1935" s="554"/>
      <c r="W1935" s="554"/>
      <c r="X1935" s="554"/>
      <c r="Y1935" s="554"/>
      <c r="Z1935" s="554"/>
      <c r="AA1935" s="554"/>
      <c r="AB1935" s="554"/>
      <c r="AC1935" s="554"/>
      <c r="AD1935" s="554"/>
      <c r="AE1935" s="554"/>
      <c r="AF1935" s="554"/>
      <c r="AG1935" s="554"/>
      <c r="AH1935" s="554"/>
      <c r="AI1935" s="554"/>
      <c r="AJ1935" s="554"/>
      <c r="AK1935" s="554"/>
      <c r="AL1935" s="554"/>
      <c r="AM1935" s="554"/>
      <c r="AN1935" s="554"/>
      <c r="AO1935" s="554"/>
      <c r="AP1935" s="554"/>
      <c r="AQ1935" s="554"/>
      <c r="AR1935" s="554"/>
      <c r="AS1935" s="554"/>
      <c r="AT1935" s="554"/>
      <c r="AU1935" s="554"/>
      <c r="AV1935" s="554"/>
      <c r="AW1935" s="554"/>
      <c r="AX1935" s="554"/>
      <c r="AY1935" s="554"/>
      <c r="AZ1935" s="554"/>
      <c r="BA1935" s="554"/>
      <c r="BB1935" s="554"/>
      <c r="BC1935" s="554"/>
      <c r="BD1935" s="554"/>
      <c r="BE1935" s="554"/>
      <c r="BF1935" s="554"/>
      <c r="BG1935" s="554"/>
      <c r="BH1935" s="554"/>
      <c r="BI1935" s="554"/>
      <c r="BJ1935" s="554"/>
      <c r="BK1935" s="554"/>
      <c r="BL1935" s="554"/>
    </row>
    <row r="1936" spans="1:64" ht="13">
      <c r="A1936" s="454"/>
      <c r="B1936" s="454"/>
      <c r="C1936" s="427"/>
      <c r="D1936" s="416"/>
      <c r="E1936" s="416"/>
      <c r="F1936" s="416"/>
      <c r="G1936" s="416"/>
      <c r="H1936" s="416"/>
      <c r="I1936" s="414"/>
      <c r="J1936" s="400"/>
      <c r="K1936" s="401"/>
      <c r="L1936" s="401"/>
    </row>
    <row r="1937" spans="1:12" ht="77.650000000000006" customHeight="1">
      <c r="A1937" s="454">
        <v>4</v>
      </c>
      <c r="B1937" s="454"/>
      <c r="C1937" s="1276" t="s">
        <v>1087</v>
      </c>
      <c r="D1937" s="1276"/>
      <c r="E1937" s="1276"/>
      <c r="F1937" s="1276"/>
      <c r="G1937" s="1276"/>
      <c r="H1937" s="1276"/>
      <c r="I1937" s="407"/>
      <c r="J1937" s="400"/>
      <c r="K1937" s="401"/>
      <c r="L1937" s="401"/>
    </row>
    <row r="1938" spans="1:12" ht="13">
      <c r="A1938" s="454"/>
      <c r="B1938" s="454"/>
      <c r="C1938" s="455" t="s">
        <v>898</v>
      </c>
      <c r="D1938" s="454"/>
      <c r="E1938" s="454"/>
      <c r="F1938" s="454"/>
      <c r="G1938" s="454"/>
      <c r="H1938" s="454"/>
      <c r="I1938" s="408"/>
      <c r="J1938" s="400"/>
      <c r="K1938" s="401"/>
      <c r="L1938" s="401"/>
    </row>
    <row r="1939" spans="1:12">
      <c r="A1939" s="454"/>
      <c r="B1939" s="454"/>
      <c r="C1939" s="639" t="s">
        <v>899</v>
      </c>
      <c r="D1939" s="454"/>
      <c r="E1939" s="454"/>
      <c r="F1939" s="454"/>
      <c r="G1939" s="454"/>
      <c r="H1939" s="454"/>
      <c r="I1939" s="408"/>
      <c r="J1939" s="400"/>
      <c r="K1939" s="401"/>
      <c r="L1939" s="401"/>
    </row>
    <row r="1940" spans="1:12" ht="13">
      <c r="A1940" s="454"/>
      <c r="B1940" s="454"/>
      <c r="C1940" s="488" t="s">
        <v>873</v>
      </c>
      <c r="D1940" s="454"/>
      <c r="E1940" s="454"/>
      <c r="F1940" s="454"/>
      <c r="G1940" s="454"/>
      <c r="H1940" s="454"/>
      <c r="I1940" s="408"/>
      <c r="J1940" s="400"/>
      <c r="K1940" s="401"/>
      <c r="L1940" s="401"/>
    </row>
    <row r="1941" spans="1:12">
      <c r="A1941" s="454"/>
      <c r="B1941" s="454"/>
      <c r="C1941" s="417" t="s">
        <v>906</v>
      </c>
      <c r="D1941" s="408">
        <v>0.9</v>
      </c>
      <c r="E1941" s="454" t="s">
        <v>57</v>
      </c>
      <c r="F1941" s="408">
        <f>$F$16</f>
        <v>1447.96</v>
      </c>
      <c r="G1941" s="430">
        <v>1</v>
      </c>
      <c r="H1941" s="454" t="str">
        <f t="shared" ref="H1941:H1942" si="459">IF(E1941="","",IF(E1941="No.","Each",IF(E1941="Nos.","Each",E1941)))</f>
        <v>Cum</v>
      </c>
      <c r="I1941" s="408">
        <f t="shared" ref="I1941:I1942" si="460">IF(G1941="",D1941*F1941,(D1941*F1941/G1941))</f>
        <v>1303.164</v>
      </c>
      <c r="J1941" s="400"/>
      <c r="K1941" s="401"/>
      <c r="L1941" s="401"/>
    </row>
    <row r="1942" spans="1:12">
      <c r="A1942" s="454"/>
      <c r="B1942" s="454"/>
      <c r="C1942" s="417" t="s">
        <v>481</v>
      </c>
      <c r="D1942" s="408">
        <v>0.45</v>
      </c>
      <c r="E1942" s="454" t="s">
        <v>57</v>
      </c>
      <c r="F1942" s="408">
        <f>[161]LEAD!$N$12</f>
        <v>2253.91</v>
      </c>
      <c r="G1942" s="430">
        <v>1</v>
      </c>
      <c r="H1942" s="454" t="str">
        <f t="shared" si="459"/>
        <v>Cum</v>
      </c>
      <c r="I1942" s="408">
        <f t="shared" si="460"/>
        <v>1014.2595</v>
      </c>
      <c r="J1942" s="400"/>
      <c r="K1942" s="401"/>
      <c r="L1942" s="401"/>
    </row>
    <row r="1943" spans="1:12">
      <c r="A1943" s="454"/>
      <c r="B1943" s="454"/>
      <c r="C1943" s="417" t="s">
        <v>504</v>
      </c>
      <c r="D1943" s="408">
        <v>220</v>
      </c>
      <c r="E1943" s="454" t="s">
        <v>833</v>
      </c>
      <c r="F1943" s="408">
        <f>[161]LEAD!$N$6</f>
        <v>5200</v>
      </c>
      <c r="G1943" s="430">
        <v>1</v>
      </c>
      <c r="H1943" s="454" t="s">
        <v>122</v>
      </c>
      <c r="I1943" s="408">
        <f>IF(G1943="",D1943*F1943,(D1943*F1943/G1943))/1000</f>
        <v>1144</v>
      </c>
      <c r="J1943" s="400"/>
      <c r="K1943" s="401"/>
      <c r="L1943" s="401"/>
    </row>
    <row r="1944" spans="1:12">
      <c r="A1944" s="454"/>
      <c r="B1944" s="454"/>
      <c r="C1944" s="417" t="s">
        <v>901</v>
      </c>
      <c r="D1944" s="408">
        <v>1.2</v>
      </c>
      <c r="E1944" s="454" t="s">
        <v>853</v>
      </c>
      <c r="F1944" s="408">
        <f>[161]Input!$D$53</f>
        <v>108</v>
      </c>
      <c r="G1944" s="430">
        <v>1</v>
      </c>
      <c r="H1944" s="454" t="str">
        <f>IF(E1944="","",IF(E1944="No.","Each",IF(E1944="Nos.","Each",E1944)))</f>
        <v>Kl</v>
      </c>
      <c r="I1944" s="408">
        <f>IF(G1944="",D1944*F1944,(D1944*F1944/G1944))</f>
        <v>129.6</v>
      </c>
      <c r="J1944" s="400"/>
      <c r="K1944" s="401"/>
      <c r="L1944" s="401"/>
    </row>
    <row r="1945" spans="1:12" ht="13">
      <c r="A1945" s="454"/>
      <c r="B1945" s="454"/>
      <c r="C1945" s="427" t="s">
        <v>878</v>
      </c>
      <c r="D1945" s="408"/>
      <c r="E1945" s="454"/>
      <c r="F1945" s="408"/>
      <c r="G1945" s="430"/>
      <c r="H1945" s="454"/>
      <c r="I1945" s="408"/>
      <c r="J1945" s="400"/>
      <c r="K1945" s="401"/>
      <c r="L1945" s="401"/>
    </row>
    <row r="1946" spans="1:12" ht="25">
      <c r="A1946" s="454"/>
      <c r="B1946" s="454"/>
      <c r="C1946" s="417" t="s">
        <v>879</v>
      </c>
      <c r="D1946" s="408">
        <v>1</v>
      </c>
      <c r="E1946" s="408" t="s">
        <v>826</v>
      </c>
      <c r="F1946" s="408">
        <f>'[161]Civil-SOR'!$G$330</f>
        <v>192.9</v>
      </c>
      <c r="G1946" s="430">
        <v>1</v>
      </c>
      <c r="H1946" s="430" t="str">
        <f t="shared" ref="H1946:H1947" si="461">IF(E1946="","",IF(E1946="No.","Each",IF(E1946="Nos.","Each",E1946)))</f>
        <v>hour</v>
      </c>
      <c r="I1946" s="408">
        <f t="shared" ref="I1946:I1948" si="462">IF(G1946="",D1946*F1946,(D1946*F1946/G1946))</f>
        <v>192.9</v>
      </c>
      <c r="J1946" s="400"/>
      <c r="K1946" s="401"/>
      <c r="L1946" s="401"/>
    </row>
    <row r="1947" spans="1:12">
      <c r="A1947" s="454"/>
      <c r="B1947" s="454"/>
      <c r="C1947" s="417" t="s">
        <v>902</v>
      </c>
      <c r="D1947" s="408">
        <v>1</v>
      </c>
      <c r="E1947" s="408" t="s">
        <v>826</v>
      </c>
      <c r="F1947" s="408">
        <f>'[161]Civil-SOR'!$J$330</f>
        <v>302.89999999999998</v>
      </c>
      <c r="G1947" s="430">
        <v>1</v>
      </c>
      <c r="H1947" s="430" t="str">
        <f t="shared" si="461"/>
        <v>hour</v>
      </c>
      <c r="I1947" s="408">
        <f t="shared" si="462"/>
        <v>302.89999999999998</v>
      </c>
      <c r="J1947" s="400"/>
      <c r="K1947" s="401"/>
      <c r="L1947" s="401"/>
    </row>
    <row r="1948" spans="1:12">
      <c r="A1948" s="454"/>
      <c r="B1948" s="454"/>
      <c r="C1948" s="417" t="s">
        <v>799</v>
      </c>
      <c r="D1948" s="408">
        <f>[161]Input!$D$47</f>
        <v>0.4</v>
      </c>
      <c r="E1948" s="408"/>
      <c r="F1948" s="408">
        <f>'[161]Civil-SOR'!$J$330</f>
        <v>302.89999999999998</v>
      </c>
      <c r="G1948" s="430"/>
      <c r="H1948" s="408"/>
      <c r="I1948" s="408">
        <f t="shared" si="462"/>
        <v>121.16</v>
      </c>
      <c r="J1948" s="400"/>
      <c r="K1948" s="401"/>
      <c r="L1948" s="401"/>
    </row>
    <row r="1949" spans="1:12" ht="13">
      <c r="A1949" s="454"/>
      <c r="B1949" s="454"/>
      <c r="C1949" s="427" t="s">
        <v>880</v>
      </c>
      <c r="D1949" s="408"/>
      <c r="E1949" s="454"/>
      <c r="F1949" s="408"/>
      <c r="G1949" s="430"/>
      <c r="H1949" s="454"/>
      <c r="I1949" s="408"/>
      <c r="J1949" s="400"/>
      <c r="K1949" s="401"/>
      <c r="L1949" s="401"/>
    </row>
    <row r="1950" spans="1:12">
      <c r="A1950" s="454"/>
      <c r="B1950" s="454"/>
      <c r="C1950" s="417" t="s">
        <v>881</v>
      </c>
      <c r="D1950" s="408">
        <v>0.1</v>
      </c>
      <c r="E1950" s="454" t="s">
        <v>375</v>
      </c>
      <c r="F1950" s="408">
        <f>'[161]Civil-SOR'!$G$293</f>
        <v>580</v>
      </c>
      <c r="G1950" s="430">
        <v>1</v>
      </c>
      <c r="H1950" s="454" t="str">
        <f t="shared" ref="H1950:H1951" si="463">IF(E1950="","",IF(E1950="No.","Each",IF(E1950="Nos.","Each",E1950)))</f>
        <v>Each</v>
      </c>
      <c r="I1950" s="408">
        <f t="shared" ref="I1950:I1952" si="464">IF(G1950="",D1950*F1950,(D1950*F1950/G1950))</f>
        <v>58</v>
      </c>
      <c r="J1950" s="400"/>
      <c r="K1950" s="401"/>
      <c r="L1950" s="401"/>
    </row>
    <row r="1951" spans="1:12">
      <c r="A1951" s="454"/>
      <c r="B1951" s="454"/>
      <c r="C1951" s="417" t="s">
        <v>903</v>
      </c>
      <c r="D1951" s="408">
        <v>1.39</v>
      </c>
      <c r="E1951" s="454" t="s">
        <v>375</v>
      </c>
      <c r="F1951" s="408">
        <f>'[161]Civil-SOR'!$G$307</f>
        <v>520</v>
      </c>
      <c r="G1951" s="430">
        <v>1</v>
      </c>
      <c r="H1951" s="454" t="str">
        <f t="shared" si="463"/>
        <v>Each</v>
      </c>
      <c r="I1951" s="408">
        <f t="shared" si="464"/>
        <v>722.8</v>
      </c>
      <c r="J1951" s="400"/>
      <c r="K1951" s="401"/>
      <c r="L1951" s="401"/>
    </row>
    <row r="1952" spans="1:12">
      <c r="A1952" s="454"/>
      <c r="B1952" s="454"/>
      <c r="C1952" s="417" t="str">
        <f>[161]Input!$C$47</f>
        <v>Add for MA @ 40%</v>
      </c>
      <c r="D1952" s="408">
        <f>[161]Input!$D$47</f>
        <v>0.4</v>
      </c>
      <c r="E1952" s="454"/>
      <c r="F1952" s="408">
        <f>SUM(I1950:I1951)</f>
        <v>780.8</v>
      </c>
      <c r="G1952" s="430"/>
      <c r="H1952" s="454"/>
      <c r="I1952" s="408">
        <f t="shared" si="464"/>
        <v>312.32</v>
      </c>
      <c r="J1952" s="400"/>
      <c r="K1952" s="401"/>
      <c r="L1952" s="401"/>
    </row>
    <row r="1953" spans="1:64" ht="13">
      <c r="A1953" s="454"/>
      <c r="B1953" s="454"/>
      <c r="C1953" s="481" t="s">
        <v>724</v>
      </c>
      <c r="D1953" s="408"/>
      <c r="E1953" s="454"/>
      <c r="F1953" s="408"/>
      <c r="G1953" s="430"/>
      <c r="H1953" s="415"/>
      <c r="I1953" s="414">
        <f>SUM(I1941:I1952)</f>
        <v>5301.1035000000002</v>
      </c>
      <c r="J1953" s="411"/>
      <c r="K1953" s="412"/>
      <c r="L1953" s="412"/>
      <c r="M1953" s="554"/>
      <c r="N1953" s="554"/>
      <c r="O1953" s="554"/>
      <c r="P1953" s="554"/>
      <c r="Q1953" s="554"/>
      <c r="R1953" s="554"/>
      <c r="S1953" s="554"/>
      <c r="T1953" s="554"/>
      <c r="U1953" s="554"/>
      <c r="V1953" s="554"/>
      <c r="W1953" s="554"/>
      <c r="X1953" s="554"/>
      <c r="Y1953" s="554"/>
      <c r="Z1953" s="554"/>
      <c r="AA1953" s="554"/>
      <c r="AB1953" s="554"/>
      <c r="AC1953" s="554"/>
      <c r="AD1953" s="554"/>
      <c r="AE1953" s="554"/>
      <c r="AF1953" s="554"/>
      <c r="AG1953" s="554"/>
      <c r="AH1953" s="554"/>
      <c r="AI1953" s="554"/>
      <c r="AJ1953" s="554"/>
      <c r="AK1953" s="554"/>
      <c r="AL1953" s="554"/>
      <c r="AM1953" s="554"/>
      <c r="AN1953" s="554"/>
      <c r="AO1953" s="554"/>
      <c r="AP1953" s="554"/>
      <c r="AQ1953" s="554"/>
      <c r="AR1953" s="554"/>
      <c r="AS1953" s="554"/>
      <c r="AT1953" s="554"/>
      <c r="AU1953" s="554"/>
      <c r="AV1953" s="554"/>
      <c r="AW1953" s="554"/>
      <c r="AX1953" s="554"/>
      <c r="AY1953" s="554"/>
      <c r="AZ1953" s="554"/>
      <c r="BA1953" s="554"/>
      <c r="BB1953" s="554"/>
      <c r="BC1953" s="554"/>
      <c r="BD1953" s="554"/>
      <c r="BE1953" s="554"/>
      <c r="BF1953" s="554"/>
      <c r="BG1953" s="554"/>
      <c r="BH1953" s="554"/>
      <c r="BI1953" s="554"/>
      <c r="BJ1953" s="554"/>
      <c r="BK1953" s="554"/>
      <c r="BL1953" s="554"/>
    </row>
    <row r="1954" spans="1:64" ht="13">
      <c r="A1954" s="454"/>
      <c r="B1954" s="454"/>
      <c r="C1954" s="417"/>
      <c r="D1954" s="408"/>
      <c r="E1954" s="454"/>
      <c r="F1954" s="408"/>
      <c r="G1954" s="430"/>
      <c r="H1954" s="415"/>
      <c r="I1954" s="414"/>
      <c r="J1954" s="400"/>
      <c r="K1954" s="401"/>
      <c r="L1954" s="401"/>
    </row>
    <row r="1955" spans="1:64" ht="13">
      <c r="A1955" s="458"/>
      <c r="B1955" s="458"/>
      <c r="C1955" s="481" t="s">
        <v>953</v>
      </c>
      <c r="D1955" s="461" t="s">
        <v>959</v>
      </c>
      <c r="E1955" s="570" t="s">
        <v>943</v>
      </c>
      <c r="F1955" s="471" t="s">
        <v>944</v>
      </c>
      <c r="G1955" s="461" t="s">
        <v>1036</v>
      </c>
      <c r="H1955" s="461" t="s">
        <v>1037</v>
      </c>
      <c r="I1955" s="461" t="s">
        <v>1038</v>
      </c>
      <c r="J1955" s="400"/>
      <c r="K1955" s="401"/>
      <c r="L1955" s="401"/>
      <c r="M1955" s="554"/>
      <c r="N1955" s="554"/>
      <c r="O1955" s="554"/>
      <c r="P1955" s="554"/>
      <c r="Q1955" s="554"/>
      <c r="R1955" s="554"/>
      <c r="S1955" s="554"/>
      <c r="T1955" s="554"/>
      <c r="U1955" s="554"/>
      <c r="V1955" s="554"/>
      <c r="W1955" s="554"/>
      <c r="X1955" s="554"/>
      <c r="Y1955" s="554"/>
      <c r="Z1955" s="554"/>
      <c r="AA1955" s="554"/>
      <c r="AB1955" s="554"/>
      <c r="AC1955" s="554"/>
      <c r="AD1955" s="554"/>
      <c r="AE1955" s="554"/>
      <c r="AF1955" s="554"/>
      <c r="AG1955" s="554"/>
      <c r="AH1955" s="554"/>
      <c r="AI1955" s="554"/>
      <c r="AJ1955" s="554"/>
      <c r="AK1955" s="554"/>
      <c r="AL1955" s="554"/>
      <c r="AM1955" s="554"/>
      <c r="AN1955" s="554"/>
      <c r="AO1955" s="554"/>
      <c r="AP1955" s="554"/>
      <c r="AQ1955" s="554"/>
      <c r="AR1955" s="554"/>
      <c r="AS1955" s="554"/>
      <c r="AT1955" s="554"/>
      <c r="AU1955" s="554"/>
      <c r="AV1955" s="554"/>
      <c r="AW1955" s="554"/>
      <c r="AX1955" s="554"/>
      <c r="AY1955" s="554"/>
      <c r="AZ1955" s="554"/>
      <c r="BA1955" s="554"/>
      <c r="BB1955" s="554"/>
      <c r="BC1955" s="554"/>
      <c r="BD1955" s="554"/>
      <c r="BE1955" s="554"/>
      <c r="BF1955" s="554"/>
      <c r="BG1955" s="554"/>
      <c r="BH1955" s="554"/>
      <c r="BI1955" s="554"/>
      <c r="BJ1955" s="554"/>
      <c r="BK1955" s="554"/>
      <c r="BL1955" s="554"/>
    </row>
    <row r="1956" spans="1:64">
      <c r="A1956" s="458"/>
      <c r="B1956" s="458"/>
      <c r="C1956" s="417" t="s">
        <v>1064</v>
      </c>
      <c r="D1956" s="459">
        <f t="shared" ref="D1956:I1956" si="465">$I$1953</f>
        <v>5301.1035000000002</v>
      </c>
      <c r="E1956" s="459">
        <f t="shared" si="465"/>
        <v>5301.1035000000002</v>
      </c>
      <c r="F1956" s="459">
        <f t="shared" si="465"/>
        <v>5301.1035000000002</v>
      </c>
      <c r="G1956" s="459">
        <f t="shared" si="465"/>
        <v>5301.1035000000002</v>
      </c>
      <c r="H1956" s="459">
        <f t="shared" si="465"/>
        <v>5301.1035000000002</v>
      </c>
      <c r="I1956" s="459">
        <f t="shared" si="465"/>
        <v>5301.1035000000002</v>
      </c>
      <c r="J1956" s="400"/>
      <c r="K1956" s="401"/>
      <c r="L1956" s="401"/>
    </row>
    <row r="1957" spans="1:64">
      <c r="A1957" s="458"/>
      <c r="B1957" s="458"/>
      <c r="C1957" s="445" t="s">
        <v>921</v>
      </c>
      <c r="D1957" s="459">
        <f>'[161]Civil-SOR'!$F$258</f>
        <v>72</v>
      </c>
      <c r="E1957" s="459">
        <f>'[161]Civil-SOR'!$F$258</f>
        <v>72</v>
      </c>
      <c r="F1957" s="459">
        <f>'[161]Civil-SOR'!$F$258</f>
        <v>72</v>
      </c>
      <c r="G1957" s="459">
        <f>'[161]Civil-SOR'!$F$258</f>
        <v>72</v>
      </c>
      <c r="H1957" s="459">
        <f>'[161]Civil-SOR'!$F$258</f>
        <v>72</v>
      </c>
      <c r="I1957" s="459">
        <f>'[161]Civil-SOR'!$F$258</f>
        <v>72</v>
      </c>
      <c r="J1957" s="400"/>
      <c r="K1957" s="401"/>
      <c r="L1957" s="401"/>
    </row>
    <row r="1958" spans="1:64">
      <c r="A1958" s="458"/>
      <c r="B1958" s="458"/>
      <c r="C1958" s="417" t="s">
        <v>1010</v>
      </c>
      <c r="D1958" s="459">
        <f>'[161]Civil-SOR'!$G$258</f>
        <v>392</v>
      </c>
      <c r="E1958" s="459">
        <f>'[161]Civil-SOR'!$H$258</f>
        <v>431.20000000000005</v>
      </c>
      <c r="F1958" s="459">
        <f>'[161]Civil-SOR'!$I$258</f>
        <v>470.4</v>
      </c>
      <c r="G1958" s="459">
        <f>'[161]Civil-SOR'!$J$258</f>
        <v>509.6</v>
      </c>
      <c r="H1958" s="459">
        <f>'[161]Civil-SOR'!$K$258</f>
        <v>548.79999999999995</v>
      </c>
      <c r="I1958" s="459">
        <f>'[161]Civil-SOR'!$L$258</f>
        <v>588</v>
      </c>
      <c r="J1958" s="400"/>
      <c r="K1958" s="401"/>
      <c r="L1958" s="401"/>
    </row>
    <row r="1959" spans="1:64">
      <c r="A1959" s="458"/>
      <c r="B1959" s="458"/>
      <c r="C1959" s="417" t="str">
        <f>[161]Input!$C$47</f>
        <v>Add for MA @ 40%</v>
      </c>
      <c r="D1959" s="459">
        <f>D1958*[161]Input!$D$47</f>
        <v>156.80000000000001</v>
      </c>
      <c r="E1959" s="459">
        <f>E1958*[161]Input!$D$47</f>
        <v>172.48000000000002</v>
      </c>
      <c r="F1959" s="459">
        <f>F1958*[161]Input!$D$47</f>
        <v>188.16</v>
      </c>
      <c r="G1959" s="459">
        <f>G1958*[161]Input!$D$47</f>
        <v>203.84000000000003</v>
      </c>
      <c r="H1959" s="459">
        <f>H1958*[161]Input!$D$47</f>
        <v>219.51999999999998</v>
      </c>
      <c r="I1959" s="459">
        <f>I1958*[161]Input!$D$47</f>
        <v>235.20000000000002</v>
      </c>
      <c r="J1959" s="400"/>
      <c r="K1959" s="401"/>
      <c r="L1959" s="401"/>
    </row>
    <row r="1960" spans="1:64">
      <c r="A1960" s="458"/>
      <c r="B1960" s="458"/>
      <c r="C1960" s="417" t="s">
        <v>994</v>
      </c>
      <c r="D1960" s="459">
        <v>0</v>
      </c>
      <c r="E1960" s="459">
        <f>ROUND(($F$1952)*10%,2)</f>
        <v>78.08</v>
      </c>
      <c r="F1960" s="459">
        <f>ROUND(($F$1952)*20%,2)</f>
        <v>156.16</v>
      </c>
      <c r="G1960" s="459">
        <f>ROUND(($F$1952)*30%,2)</f>
        <v>234.24</v>
      </c>
      <c r="H1960" s="459">
        <f>ROUND(($F$1952)*40%,2)</f>
        <v>312.32</v>
      </c>
      <c r="I1960" s="459">
        <f>ROUND(($F$1952)*50%,2)</f>
        <v>390.4</v>
      </c>
      <c r="J1960" s="400"/>
      <c r="K1960" s="401"/>
      <c r="L1960" s="401"/>
    </row>
    <row r="1961" spans="1:64">
      <c r="A1961" s="458"/>
      <c r="B1961" s="458"/>
      <c r="C1961" s="417" t="str">
        <f>[161]Input!$C$47</f>
        <v>Add for MA @ 40%</v>
      </c>
      <c r="D1961" s="459">
        <f>D1960*[161]Input!$D$47</f>
        <v>0</v>
      </c>
      <c r="E1961" s="459">
        <f>E1960*[161]Input!$D$47</f>
        <v>31.231999999999999</v>
      </c>
      <c r="F1961" s="459">
        <f>F1960*[161]Input!$D$47</f>
        <v>62.463999999999999</v>
      </c>
      <c r="G1961" s="459">
        <f>G1960*[161]Input!$D$47</f>
        <v>93.696000000000012</v>
      </c>
      <c r="H1961" s="459">
        <f>H1960*[161]Input!$D$47</f>
        <v>124.928</v>
      </c>
      <c r="I1961" s="459">
        <f>I1960*[161]Input!$D$47</f>
        <v>156.16</v>
      </c>
      <c r="J1961" s="400"/>
      <c r="K1961" s="401"/>
      <c r="L1961" s="401"/>
    </row>
    <row r="1962" spans="1:64" ht="13">
      <c r="A1962" s="458"/>
      <c r="B1962" s="458"/>
      <c r="C1962" s="427" t="s">
        <v>724</v>
      </c>
      <c r="D1962" s="459">
        <f t="shared" ref="D1962:I1962" si="466">SUM(D1956:D1961)</f>
        <v>5921.9035000000003</v>
      </c>
      <c r="E1962" s="459">
        <f t="shared" si="466"/>
        <v>6086.0954999999994</v>
      </c>
      <c r="F1962" s="459">
        <f t="shared" si="466"/>
        <v>6250.2874999999995</v>
      </c>
      <c r="G1962" s="459">
        <f t="shared" si="466"/>
        <v>6414.4795000000004</v>
      </c>
      <c r="H1962" s="459">
        <f t="shared" si="466"/>
        <v>6578.6715000000004</v>
      </c>
      <c r="I1962" s="459">
        <f t="shared" si="466"/>
        <v>6742.8634999999995</v>
      </c>
      <c r="J1962" s="400"/>
      <c r="K1962" s="401"/>
      <c r="L1962" s="401"/>
    </row>
    <row r="1963" spans="1:64" ht="25">
      <c r="A1963" s="458"/>
      <c r="B1963" s="458"/>
      <c r="C1963" s="417" t="str">
        <f>[161]Input!$C$48</f>
        <v>Overheads &amp; Contractors Profit @ 13.615%</v>
      </c>
      <c r="D1963" s="459">
        <f>ROUND(D1962*[161]Input!$D$48,2)</f>
        <v>806.27</v>
      </c>
      <c r="E1963" s="459">
        <f>ROUND(E1962*[161]Input!$D$48,2)</f>
        <v>828.62</v>
      </c>
      <c r="F1963" s="459">
        <f>ROUND(F1962*[161]Input!$D$48,2)</f>
        <v>850.98</v>
      </c>
      <c r="G1963" s="459">
        <f>ROUND(G1962*[161]Input!$D$48,2)</f>
        <v>873.33</v>
      </c>
      <c r="H1963" s="459">
        <f>ROUND(H1962*[161]Input!$D$48,2)</f>
        <v>895.69</v>
      </c>
      <c r="I1963" s="459">
        <f>ROUND(I1962*[161]Input!$D$48,2)</f>
        <v>918.04</v>
      </c>
      <c r="J1963" s="400"/>
      <c r="K1963" s="401"/>
      <c r="L1963" s="401"/>
    </row>
    <row r="1964" spans="1:64" ht="13">
      <c r="A1964" s="458"/>
      <c r="B1964" s="458"/>
      <c r="C1964" s="481" t="s">
        <v>724</v>
      </c>
      <c r="D1964" s="461">
        <f t="shared" ref="D1964:I1964" si="467">SUM(D1962:D1963)</f>
        <v>6728.1735000000008</v>
      </c>
      <c r="E1964" s="461">
        <f t="shared" si="467"/>
        <v>6914.7154999999993</v>
      </c>
      <c r="F1964" s="461">
        <f t="shared" si="467"/>
        <v>7101.2674999999999</v>
      </c>
      <c r="G1964" s="461">
        <f t="shared" si="467"/>
        <v>7287.8095000000003</v>
      </c>
      <c r="H1964" s="461">
        <f t="shared" si="467"/>
        <v>7474.3615000000009</v>
      </c>
      <c r="I1964" s="461">
        <f t="shared" si="467"/>
        <v>7660.9034999999994</v>
      </c>
      <c r="J1964" s="400"/>
      <c r="K1964" s="401"/>
      <c r="L1964" s="401"/>
      <c r="M1964" s="554"/>
      <c r="N1964" s="554"/>
      <c r="O1964" s="554"/>
      <c r="P1964" s="554"/>
      <c r="Q1964" s="554"/>
      <c r="R1964" s="554"/>
      <c r="S1964" s="554"/>
      <c r="T1964" s="554"/>
      <c r="U1964" s="554"/>
      <c r="V1964" s="554"/>
      <c r="W1964" s="554"/>
      <c r="X1964" s="554"/>
      <c r="Y1964" s="554"/>
      <c r="Z1964" s="554"/>
      <c r="AA1964" s="554"/>
      <c r="AB1964" s="554"/>
      <c r="AC1964" s="554"/>
      <c r="AD1964" s="554"/>
      <c r="AE1964" s="554"/>
      <c r="AF1964" s="554"/>
      <c r="AG1964" s="554"/>
      <c r="AH1964" s="554"/>
      <c r="AI1964" s="554"/>
      <c r="AJ1964" s="554"/>
      <c r="AK1964" s="554"/>
      <c r="AL1964" s="554"/>
      <c r="AM1964" s="554"/>
      <c r="AN1964" s="554"/>
      <c r="AO1964" s="554"/>
      <c r="AP1964" s="554"/>
      <c r="AQ1964" s="554"/>
      <c r="AR1964" s="554"/>
      <c r="AS1964" s="554"/>
      <c r="AT1964" s="554"/>
      <c r="AU1964" s="554"/>
      <c r="AV1964" s="554"/>
      <c r="AW1964" s="554"/>
      <c r="AX1964" s="554"/>
      <c r="AY1964" s="554"/>
      <c r="AZ1964" s="554"/>
      <c r="BA1964" s="554"/>
      <c r="BB1964" s="554"/>
      <c r="BC1964" s="554"/>
      <c r="BD1964" s="554"/>
      <c r="BE1964" s="554"/>
      <c r="BF1964" s="554"/>
      <c r="BG1964" s="554"/>
      <c r="BH1964" s="554"/>
      <c r="BI1964" s="554"/>
      <c r="BJ1964" s="554"/>
      <c r="BK1964" s="554"/>
      <c r="BL1964" s="554"/>
    </row>
    <row r="1965" spans="1:64" ht="13">
      <c r="A1965" s="458"/>
      <c r="B1965" s="458"/>
      <c r="C1965" s="522" t="s">
        <v>726</v>
      </c>
      <c r="D1965" s="570">
        <f t="shared" ref="D1965:I1965" si="468">ROUND(D1964,0)</f>
        <v>6728</v>
      </c>
      <c r="E1965" s="570">
        <f t="shared" si="468"/>
        <v>6915</v>
      </c>
      <c r="F1965" s="570">
        <f t="shared" si="468"/>
        <v>7101</v>
      </c>
      <c r="G1965" s="570">
        <f t="shared" si="468"/>
        <v>7288</v>
      </c>
      <c r="H1965" s="570">
        <f t="shared" si="468"/>
        <v>7474</v>
      </c>
      <c r="I1965" s="570">
        <f t="shared" si="468"/>
        <v>7661</v>
      </c>
      <c r="J1965" s="400"/>
      <c r="K1965" s="401"/>
      <c r="L1965" s="401"/>
      <c r="M1965" s="554"/>
      <c r="N1965" s="554"/>
      <c r="O1965" s="554"/>
      <c r="P1965" s="554"/>
      <c r="Q1965" s="554"/>
      <c r="R1965" s="554"/>
      <c r="S1965" s="554"/>
      <c r="T1965" s="554"/>
      <c r="U1965" s="554"/>
      <c r="V1965" s="554"/>
      <c r="W1965" s="554"/>
      <c r="X1965" s="554"/>
      <c r="Y1965" s="554"/>
      <c r="Z1965" s="554"/>
      <c r="AA1965" s="554"/>
      <c r="AB1965" s="554"/>
      <c r="AC1965" s="554"/>
      <c r="AD1965" s="554"/>
      <c r="AE1965" s="554"/>
      <c r="AF1965" s="554"/>
      <c r="AG1965" s="554"/>
      <c r="AH1965" s="554"/>
      <c r="AI1965" s="554"/>
      <c r="AJ1965" s="554"/>
      <c r="AK1965" s="554"/>
      <c r="AL1965" s="554"/>
      <c r="AM1965" s="554"/>
      <c r="AN1965" s="554"/>
      <c r="AO1965" s="554"/>
      <c r="AP1965" s="554"/>
      <c r="AQ1965" s="554"/>
      <c r="AR1965" s="554"/>
      <c r="AS1965" s="554"/>
      <c r="AT1965" s="554"/>
      <c r="AU1965" s="554"/>
      <c r="AV1965" s="554"/>
      <c r="AW1965" s="554"/>
      <c r="AX1965" s="554"/>
      <c r="AY1965" s="554"/>
      <c r="AZ1965" s="554"/>
      <c r="BA1965" s="554"/>
      <c r="BB1965" s="554"/>
      <c r="BC1965" s="554"/>
      <c r="BD1965" s="554"/>
      <c r="BE1965" s="554"/>
      <c r="BF1965" s="554"/>
      <c r="BG1965" s="554"/>
      <c r="BH1965" s="554"/>
      <c r="BI1965" s="554"/>
      <c r="BJ1965" s="554"/>
      <c r="BK1965" s="554"/>
      <c r="BL1965" s="554"/>
    </row>
    <row r="1966" spans="1:64" ht="13">
      <c r="A1966" s="454"/>
      <c r="B1966" s="454"/>
      <c r="C1966" s="427"/>
      <c r="D1966" s="416"/>
      <c r="E1966" s="416"/>
      <c r="F1966" s="416"/>
      <c r="G1966" s="416"/>
      <c r="H1966" s="416"/>
      <c r="I1966" s="414"/>
      <c r="J1966" s="400"/>
      <c r="K1966" s="401"/>
      <c r="L1966" s="401"/>
    </row>
    <row r="1967" spans="1:64" ht="13">
      <c r="A1967" s="454"/>
      <c r="B1967" s="454"/>
      <c r="C1967" s="427" t="s">
        <v>953</v>
      </c>
      <c r="D1967" s="492" t="s">
        <v>948</v>
      </c>
      <c r="E1967" s="492" t="s">
        <v>949</v>
      </c>
      <c r="F1967" s="492" t="s">
        <v>950</v>
      </c>
      <c r="G1967" s="416"/>
      <c r="H1967" s="416"/>
      <c r="I1967" s="414"/>
      <c r="J1967" s="400"/>
      <c r="K1967" s="401"/>
      <c r="L1967" s="401"/>
    </row>
    <row r="1968" spans="1:64" ht="13">
      <c r="A1968" s="454"/>
      <c r="B1968" s="454"/>
      <c r="C1968" s="417" t="s">
        <v>1064</v>
      </c>
      <c r="D1968" s="459">
        <f>$I$1953</f>
        <v>5301.1035000000002</v>
      </c>
      <c r="E1968" s="459">
        <f>$I$1953</f>
        <v>5301.1035000000002</v>
      </c>
      <c r="F1968" s="459">
        <f>$I$1953</f>
        <v>5301.1035000000002</v>
      </c>
      <c r="G1968" s="416"/>
      <c r="H1968" s="416"/>
      <c r="I1968" s="414"/>
      <c r="J1968" s="400"/>
      <c r="K1968" s="401"/>
      <c r="L1968" s="401"/>
    </row>
    <row r="1969" spans="1:64" ht="13">
      <c r="A1969" s="454"/>
      <c r="B1969" s="454"/>
      <c r="C1969" s="445" t="s">
        <v>921</v>
      </c>
      <c r="D1969" s="459">
        <f>'[161]Civil-SOR'!$F$258</f>
        <v>72</v>
      </c>
      <c r="E1969" s="459">
        <f>'[161]Civil-SOR'!$F$258</f>
        <v>72</v>
      </c>
      <c r="F1969" s="459">
        <f>'[161]Civil-SOR'!$F$258</f>
        <v>72</v>
      </c>
      <c r="G1969" s="416"/>
      <c r="H1969" s="416"/>
      <c r="I1969" s="414"/>
      <c r="J1969" s="400"/>
      <c r="K1969" s="401"/>
      <c r="L1969" s="401"/>
    </row>
    <row r="1970" spans="1:64" ht="13">
      <c r="A1970" s="454"/>
      <c r="B1970" s="454"/>
      <c r="C1970" s="417" t="s">
        <v>1010</v>
      </c>
      <c r="D1970" s="459">
        <f>'[161]Civil-SOR'!$M$258</f>
        <v>627.20000000000005</v>
      </c>
      <c r="E1970" s="459">
        <f>'[161]Civil-SOR'!$N$258</f>
        <v>666.4</v>
      </c>
      <c r="F1970" s="459">
        <f>'[161]Civil-SOR'!$O$258</f>
        <v>705.6</v>
      </c>
      <c r="G1970" s="416"/>
      <c r="H1970" s="416"/>
      <c r="I1970" s="414"/>
      <c r="J1970" s="400"/>
      <c r="K1970" s="401"/>
      <c r="L1970" s="401"/>
    </row>
    <row r="1971" spans="1:64" ht="13">
      <c r="A1971" s="454"/>
      <c r="B1971" s="454"/>
      <c r="C1971" s="417" t="str">
        <f>[161]Input!$C$47</f>
        <v>Add for MA @ 40%</v>
      </c>
      <c r="D1971" s="459">
        <f>D1970*[161]Input!$D$47</f>
        <v>250.88000000000002</v>
      </c>
      <c r="E1971" s="459">
        <f>E1970*[161]Input!$D$47</f>
        <v>266.56</v>
      </c>
      <c r="F1971" s="459">
        <f>F1970*[161]Input!$D$47</f>
        <v>282.24</v>
      </c>
      <c r="G1971" s="416"/>
      <c r="H1971" s="416"/>
      <c r="I1971" s="414"/>
      <c r="J1971" s="400"/>
      <c r="K1971" s="401"/>
      <c r="L1971" s="401"/>
    </row>
    <row r="1972" spans="1:64" ht="13">
      <c r="A1972" s="454"/>
      <c r="B1972" s="454"/>
      <c r="C1972" s="417" t="s">
        <v>994</v>
      </c>
      <c r="D1972" s="459">
        <f>ROUND(($F$1952)*60%,2)</f>
        <v>468.48</v>
      </c>
      <c r="E1972" s="459">
        <f>ROUND(($F$1952)*70%,2)</f>
        <v>546.55999999999995</v>
      </c>
      <c r="F1972" s="459">
        <f>ROUND(($F$1952)*80%,2)</f>
        <v>624.64</v>
      </c>
      <c r="G1972" s="416"/>
      <c r="H1972" s="416"/>
      <c r="I1972" s="414"/>
      <c r="J1972" s="400"/>
      <c r="K1972" s="401"/>
      <c r="L1972" s="401"/>
    </row>
    <row r="1973" spans="1:64" ht="13">
      <c r="A1973" s="454"/>
      <c r="B1973" s="454"/>
      <c r="C1973" s="417" t="str">
        <f>[161]Input!$C$47</f>
        <v>Add for MA @ 40%</v>
      </c>
      <c r="D1973" s="459">
        <f>D1972*[161]Input!$D$47</f>
        <v>187.39200000000002</v>
      </c>
      <c r="E1973" s="459">
        <f>E1972*[161]Input!$D$47</f>
        <v>218.624</v>
      </c>
      <c r="F1973" s="459">
        <f>F1972*[161]Input!$D$47</f>
        <v>249.85599999999999</v>
      </c>
      <c r="G1973" s="416"/>
      <c r="H1973" s="416"/>
      <c r="I1973" s="414"/>
      <c r="J1973" s="400"/>
      <c r="K1973" s="401"/>
      <c r="L1973" s="401"/>
    </row>
    <row r="1974" spans="1:64" ht="13">
      <c r="A1974" s="454"/>
      <c r="B1974" s="454"/>
      <c r="C1974" s="427" t="s">
        <v>724</v>
      </c>
      <c r="D1974" s="459">
        <f>SUM(D1968:D1973)</f>
        <v>6907.0555000000004</v>
      </c>
      <c r="E1974" s="459">
        <f>SUM(E1968:E1973)</f>
        <v>7071.2474999999995</v>
      </c>
      <c r="F1974" s="459">
        <f>SUM(F1968:F1973)</f>
        <v>7235.4395000000004</v>
      </c>
      <c r="G1974" s="416"/>
      <c r="H1974" s="416"/>
      <c r="I1974" s="414"/>
      <c r="J1974" s="400"/>
      <c r="K1974" s="401"/>
      <c r="L1974" s="401"/>
    </row>
    <row r="1975" spans="1:64" ht="25">
      <c r="A1975" s="454"/>
      <c r="B1975" s="454"/>
      <c r="C1975" s="417" t="str">
        <f>[161]Input!$C$48</f>
        <v>Overheads &amp; Contractors Profit @ 13.615%</v>
      </c>
      <c r="D1975" s="459">
        <f>ROUND(D1974*[161]Input!$D$48,2)</f>
        <v>940.4</v>
      </c>
      <c r="E1975" s="459">
        <f>ROUND(E1974*[161]Input!$D$48,2)</f>
        <v>962.75</v>
      </c>
      <c r="F1975" s="459">
        <f>ROUND(F1974*[161]Input!$D$48,2)</f>
        <v>985.11</v>
      </c>
      <c r="G1975" s="416"/>
      <c r="H1975" s="416"/>
      <c r="I1975" s="414"/>
      <c r="J1975" s="400"/>
      <c r="K1975" s="401"/>
      <c r="L1975" s="401"/>
    </row>
    <row r="1976" spans="1:64" ht="13">
      <c r="A1976" s="454"/>
      <c r="B1976" s="454"/>
      <c r="C1976" s="427" t="s">
        <v>724</v>
      </c>
      <c r="D1976" s="461">
        <f>SUM(D1974:D1975)</f>
        <v>7847.4555</v>
      </c>
      <c r="E1976" s="461">
        <f>SUM(E1974:E1975)</f>
        <v>8033.9974999999995</v>
      </c>
      <c r="F1976" s="461">
        <f>SUM(F1974:F1975)</f>
        <v>8220.549500000001</v>
      </c>
      <c r="G1976" s="416"/>
      <c r="H1976" s="416"/>
      <c r="I1976" s="414"/>
      <c r="J1976" s="400"/>
      <c r="K1976" s="401"/>
      <c r="L1976" s="401"/>
    </row>
    <row r="1977" spans="1:64" ht="13">
      <c r="A1977" s="454"/>
      <c r="B1977" s="454"/>
      <c r="C1977" s="514" t="s">
        <v>726</v>
      </c>
      <c r="D1977" s="570">
        <f>ROUND(D1976,0)</f>
        <v>7847</v>
      </c>
      <c r="E1977" s="570">
        <f>ROUND(E1976,0)</f>
        <v>8034</v>
      </c>
      <c r="F1977" s="461">
        <f>ROUND(F1976,0)</f>
        <v>8221</v>
      </c>
      <c r="G1977" s="416"/>
      <c r="H1977" s="416"/>
      <c r="I1977" s="414"/>
      <c r="J1977" s="400"/>
      <c r="K1977" s="401"/>
      <c r="L1977" s="401"/>
    </row>
    <row r="1978" spans="1:64" ht="13">
      <c r="A1978" s="454"/>
      <c r="B1978" s="454"/>
      <c r="C1978" s="427"/>
      <c r="D1978" s="416"/>
      <c r="E1978" s="416"/>
      <c r="F1978" s="416"/>
      <c r="G1978" s="416"/>
      <c r="H1978" s="416"/>
      <c r="I1978" s="414"/>
      <c r="J1978" s="400"/>
      <c r="K1978" s="401"/>
      <c r="L1978" s="401"/>
    </row>
    <row r="1979" spans="1:64" ht="91" customHeight="1">
      <c r="A1979" s="454">
        <f>A1937+1</f>
        <v>5</v>
      </c>
      <c r="B1979" s="454"/>
      <c r="C1979" s="1276" t="s">
        <v>1088</v>
      </c>
      <c r="D1979" s="1276"/>
      <c r="E1979" s="1276"/>
      <c r="F1979" s="1276"/>
      <c r="G1979" s="1276"/>
      <c r="H1979" s="1276"/>
      <c r="I1979" s="407"/>
      <c r="J1979" s="400"/>
      <c r="K1979" s="401"/>
      <c r="L1979" s="401"/>
    </row>
    <row r="1980" spans="1:64" ht="13">
      <c r="A1980" s="454"/>
      <c r="B1980" s="454"/>
      <c r="C1980" s="455" t="s">
        <v>1089</v>
      </c>
      <c r="D1980" s="408"/>
      <c r="E1980" s="408"/>
      <c r="F1980" s="408"/>
      <c r="G1980" s="430"/>
      <c r="H1980" s="456"/>
      <c r="I1980" s="408"/>
      <c r="J1980" s="400"/>
      <c r="K1980" s="401"/>
      <c r="L1980" s="401"/>
    </row>
    <row r="1981" spans="1:64">
      <c r="A1981" s="454"/>
      <c r="B1981" s="454"/>
      <c r="C1981" s="417" t="s">
        <v>779</v>
      </c>
      <c r="D1981" s="408"/>
      <c r="E1981" s="408"/>
      <c r="F1981" s="408"/>
      <c r="G1981" s="430"/>
      <c r="H1981" s="456"/>
      <c r="I1981" s="408"/>
      <c r="J1981" s="400"/>
      <c r="K1981" s="401"/>
      <c r="L1981" s="401"/>
    </row>
    <row r="1982" spans="1:64" ht="13">
      <c r="A1982" s="454"/>
      <c r="B1982" s="454"/>
      <c r="C1982" s="427" t="s">
        <v>873</v>
      </c>
      <c r="D1982" s="408"/>
      <c r="E1982" s="408"/>
      <c r="F1982" s="408"/>
      <c r="G1982" s="430"/>
      <c r="H1982" s="456"/>
      <c r="I1982" s="408"/>
      <c r="J1982" s="400"/>
      <c r="K1982" s="401"/>
      <c r="L1982" s="401"/>
    </row>
    <row r="1983" spans="1:64">
      <c r="A1983" s="454"/>
      <c r="B1983" s="454"/>
      <c r="C1983" s="417" t="s">
        <v>504</v>
      </c>
      <c r="D1983" s="408">
        <v>330</v>
      </c>
      <c r="E1983" s="408" t="s">
        <v>833</v>
      </c>
      <c r="F1983" s="408">
        <f>[161]LEAD!$N$6</f>
        <v>5200</v>
      </c>
      <c r="G1983" s="430">
        <v>1000</v>
      </c>
      <c r="H1983" s="456" t="str">
        <f t="shared" ref="H1983:H1986" si="469">IF(E1983="","",IF(E1983="No.","Each",IF(E1983="Nos.","Each",E1983)))</f>
        <v>Kgs</v>
      </c>
      <c r="I1983" s="408">
        <f t="shared" ref="I1983:I1986" si="470">IF(G1983="",D1983*F1983,(D1983*F1983/G1983))</f>
        <v>1716</v>
      </c>
      <c r="J1983" s="418"/>
      <c r="K1983" s="419"/>
      <c r="L1983" s="419"/>
      <c r="M1983" s="475"/>
      <c r="N1983" s="475"/>
      <c r="O1983" s="475"/>
      <c r="P1983" s="475"/>
      <c r="Q1983" s="475"/>
      <c r="R1983" s="475"/>
      <c r="S1983" s="475"/>
      <c r="T1983" s="475"/>
      <c r="U1983" s="475"/>
      <c r="V1983" s="475"/>
      <c r="W1983" s="475"/>
      <c r="X1983" s="475"/>
      <c r="Y1983" s="475"/>
      <c r="Z1983" s="475"/>
      <c r="AA1983" s="475"/>
      <c r="AB1983" s="475"/>
      <c r="AC1983" s="475"/>
      <c r="AD1983" s="475"/>
      <c r="AE1983" s="475"/>
      <c r="AF1983" s="475"/>
      <c r="AG1983" s="475"/>
      <c r="AH1983" s="475"/>
      <c r="AI1983" s="475"/>
      <c r="AJ1983" s="475"/>
      <c r="AK1983" s="475"/>
      <c r="AL1983" s="475"/>
      <c r="AM1983" s="475"/>
      <c r="AN1983" s="475"/>
      <c r="AO1983" s="475"/>
      <c r="AP1983" s="475"/>
      <c r="AQ1983" s="475"/>
      <c r="AR1983" s="475"/>
      <c r="AS1983" s="475"/>
      <c r="AT1983" s="475"/>
      <c r="AU1983" s="475"/>
      <c r="AV1983" s="475"/>
      <c r="AW1983" s="475"/>
      <c r="AX1983" s="475"/>
      <c r="AY1983" s="475"/>
      <c r="AZ1983" s="475"/>
      <c r="BA1983" s="475"/>
      <c r="BB1983" s="475"/>
      <c r="BC1983" s="475"/>
      <c r="BD1983" s="475"/>
      <c r="BE1983" s="475"/>
      <c r="BF1983" s="475"/>
      <c r="BG1983" s="475"/>
      <c r="BH1983" s="475"/>
      <c r="BI1983" s="475"/>
      <c r="BJ1983" s="475"/>
      <c r="BK1983" s="475"/>
      <c r="BL1983" s="475"/>
    </row>
    <row r="1984" spans="1:64">
      <c r="A1984" s="454"/>
      <c r="B1984" s="454"/>
      <c r="C1984" s="417" t="s">
        <v>910</v>
      </c>
      <c r="D1984" s="408">
        <v>0.9</v>
      </c>
      <c r="E1984" s="408" t="s">
        <v>57</v>
      </c>
      <c r="F1984" s="408">
        <f>F16</f>
        <v>1447.96</v>
      </c>
      <c r="G1984" s="430">
        <v>1</v>
      </c>
      <c r="H1984" s="456" t="str">
        <f t="shared" si="469"/>
        <v>Cum</v>
      </c>
      <c r="I1984" s="408">
        <f t="shared" si="470"/>
        <v>1303.164</v>
      </c>
      <c r="J1984" s="418"/>
      <c r="K1984" s="419"/>
      <c r="L1984" s="419"/>
      <c r="M1984" s="475"/>
      <c r="N1984" s="475"/>
      <c r="O1984" s="475"/>
      <c r="P1984" s="475"/>
      <c r="Q1984" s="475"/>
      <c r="R1984" s="475"/>
      <c r="S1984" s="475"/>
      <c r="T1984" s="475"/>
      <c r="U1984" s="475"/>
      <c r="V1984" s="475"/>
      <c r="W1984" s="475"/>
      <c r="X1984" s="475"/>
      <c r="Y1984" s="475"/>
      <c r="Z1984" s="475"/>
      <c r="AA1984" s="475"/>
      <c r="AB1984" s="475"/>
      <c r="AC1984" s="475"/>
      <c r="AD1984" s="475"/>
      <c r="AE1984" s="475"/>
      <c r="AF1984" s="475"/>
      <c r="AG1984" s="475"/>
      <c r="AH1984" s="475"/>
      <c r="AI1984" s="475"/>
      <c r="AJ1984" s="475"/>
      <c r="AK1984" s="475"/>
      <c r="AL1984" s="475"/>
      <c r="AM1984" s="475"/>
      <c r="AN1984" s="475"/>
      <c r="AO1984" s="475"/>
      <c r="AP1984" s="475"/>
      <c r="AQ1984" s="475"/>
      <c r="AR1984" s="475"/>
      <c r="AS1984" s="475"/>
      <c r="AT1984" s="475"/>
      <c r="AU1984" s="475"/>
      <c r="AV1984" s="475"/>
      <c r="AW1984" s="475"/>
      <c r="AX1984" s="475"/>
      <c r="AY1984" s="475"/>
      <c r="AZ1984" s="475"/>
      <c r="BA1984" s="475"/>
      <c r="BB1984" s="475"/>
      <c r="BC1984" s="475"/>
      <c r="BD1984" s="475"/>
      <c r="BE1984" s="475"/>
      <c r="BF1984" s="475"/>
      <c r="BG1984" s="475"/>
      <c r="BH1984" s="475"/>
      <c r="BI1984" s="475"/>
      <c r="BJ1984" s="475"/>
      <c r="BK1984" s="475"/>
      <c r="BL1984" s="475"/>
    </row>
    <row r="1985" spans="1:64">
      <c r="A1985" s="454"/>
      <c r="B1985" s="454"/>
      <c r="C1985" s="417" t="s">
        <v>875</v>
      </c>
      <c r="D1985" s="408">
        <v>0.45</v>
      </c>
      <c r="E1985" s="408" t="s">
        <v>57</v>
      </c>
      <c r="F1985" s="408">
        <f>[161]LEAD!$N$12</f>
        <v>2253.91</v>
      </c>
      <c r="G1985" s="430">
        <v>1</v>
      </c>
      <c r="H1985" s="456" t="str">
        <f t="shared" si="469"/>
        <v>Cum</v>
      </c>
      <c r="I1985" s="408">
        <f t="shared" si="470"/>
        <v>1014.2595</v>
      </c>
      <c r="J1985" s="418"/>
      <c r="K1985" s="419"/>
      <c r="L1985" s="419"/>
      <c r="M1985" s="475"/>
      <c r="N1985" s="475"/>
      <c r="O1985" s="475"/>
      <c r="P1985" s="475"/>
      <c r="Q1985" s="475"/>
      <c r="R1985" s="475"/>
      <c r="S1985" s="475"/>
      <c r="T1985" s="475"/>
      <c r="U1985" s="475"/>
      <c r="V1985" s="475"/>
      <c r="W1985" s="475"/>
      <c r="X1985" s="475"/>
      <c r="Y1985" s="475"/>
      <c r="Z1985" s="475"/>
      <c r="AA1985" s="475"/>
      <c r="AB1985" s="475"/>
      <c r="AC1985" s="475"/>
      <c r="AD1985" s="475"/>
      <c r="AE1985" s="475"/>
      <c r="AF1985" s="475"/>
      <c r="AG1985" s="475"/>
      <c r="AH1985" s="475"/>
      <c r="AI1985" s="475"/>
      <c r="AJ1985" s="475"/>
      <c r="AK1985" s="475"/>
      <c r="AL1985" s="475"/>
      <c r="AM1985" s="475"/>
      <c r="AN1985" s="475"/>
      <c r="AO1985" s="475"/>
      <c r="AP1985" s="475"/>
      <c r="AQ1985" s="475"/>
      <c r="AR1985" s="475"/>
      <c r="AS1985" s="475"/>
      <c r="AT1985" s="475"/>
      <c r="AU1985" s="475"/>
      <c r="AV1985" s="475"/>
      <c r="AW1985" s="475"/>
      <c r="AX1985" s="475"/>
      <c r="AY1985" s="475"/>
      <c r="AZ1985" s="475"/>
      <c r="BA1985" s="475"/>
      <c r="BB1985" s="475"/>
      <c r="BC1985" s="475"/>
      <c r="BD1985" s="475"/>
      <c r="BE1985" s="475"/>
      <c r="BF1985" s="475"/>
      <c r="BG1985" s="475"/>
      <c r="BH1985" s="475"/>
      <c r="BI1985" s="475"/>
      <c r="BJ1985" s="475"/>
      <c r="BK1985" s="475"/>
      <c r="BL1985" s="475"/>
    </row>
    <row r="1986" spans="1:64">
      <c r="A1986" s="454"/>
      <c r="B1986" s="454"/>
      <c r="C1986" s="417" t="s">
        <v>876</v>
      </c>
      <c r="D1986" s="408">
        <v>1.2</v>
      </c>
      <c r="E1986" s="408" t="s">
        <v>877</v>
      </c>
      <c r="F1986" s="408">
        <f>[161]Input!$D$53</f>
        <v>108</v>
      </c>
      <c r="G1986" s="430">
        <v>1</v>
      </c>
      <c r="H1986" s="456" t="str">
        <f t="shared" si="469"/>
        <v>kl</v>
      </c>
      <c r="I1986" s="408">
        <f t="shared" si="470"/>
        <v>129.6</v>
      </c>
      <c r="J1986" s="418"/>
      <c r="K1986" s="419"/>
      <c r="L1986" s="419"/>
      <c r="M1986" s="475"/>
      <c r="N1986" s="475"/>
      <c r="O1986" s="475"/>
      <c r="P1986" s="475"/>
      <c r="Q1986" s="475"/>
      <c r="R1986" s="475"/>
      <c r="S1986" s="475"/>
      <c r="T1986" s="475"/>
      <c r="U1986" s="475"/>
      <c r="V1986" s="475"/>
      <c r="W1986" s="475"/>
      <c r="X1986" s="475"/>
      <c r="Y1986" s="475"/>
      <c r="Z1986" s="475"/>
      <c r="AA1986" s="475"/>
      <c r="AB1986" s="475"/>
      <c r="AC1986" s="475"/>
      <c r="AD1986" s="475"/>
      <c r="AE1986" s="475"/>
      <c r="AF1986" s="475"/>
      <c r="AG1986" s="475"/>
      <c r="AH1986" s="475"/>
      <c r="AI1986" s="475"/>
      <c r="AJ1986" s="475"/>
      <c r="AK1986" s="475"/>
      <c r="AL1986" s="475"/>
      <c r="AM1986" s="475"/>
      <c r="AN1986" s="475"/>
      <c r="AO1986" s="475"/>
      <c r="AP1986" s="475"/>
      <c r="AQ1986" s="475"/>
      <c r="AR1986" s="475"/>
      <c r="AS1986" s="475"/>
      <c r="AT1986" s="475"/>
      <c r="AU1986" s="475"/>
      <c r="AV1986" s="475"/>
      <c r="AW1986" s="475"/>
      <c r="AX1986" s="475"/>
      <c r="AY1986" s="475"/>
      <c r="AZ1986" s="475"/>
      <c r="BA1986" s="475"/>
      <c r="BB1986" s="475"/>
      <c r="BC1986" s="475"/>
      <c r="BD1986" s="475"/>
      <c r="BE1986" s="475"/>
      <c r="BF1986" s="475"/>
      <c r="BG1986" s="475"/>
      <c r="BH1986" s="475"/>
      <c r="BI1986" s="475"/>
      <c r="BJ1986" s="475"/>
      <c r="BK1986" s="475"/>
      <c r="BL1986" s="475"/>
    </row>
    <row r="1987" spans="1:64" ht="13">
      <c r="A1987" s="454"/>
      <c r="B1987" s="454"/>
      <c r="C1987" s="427" t="s">
        <v>878</v>
      </c>
      <c r="D1987" s="408"/>
      <c r="E1987" s="408"/>
      <c r="F1987" s="408"/>
      <c r="G1987" s="430"/>
      <c r="H1987" s="456"/>
      <c r="I1987" s="408"/>
      <c r="J1987" s="418"/>
      <c r="K1987" s="419"/>
      <c r="L1987" s="419"/>
      <c r="M1987" s="475"/>
      <c r="N1987" s="475"/>
      <c r="O1987" s="475"/>
      <c r="P1987" s="475"/>
      <c r="Q1987" s="475"/>
      <c r="R1987" s="475"/>
      <c r="S1987" s="475"/>
      <c r="T1987" s="475"/>
      <c r="U1987" s="475"/>
      <c r="V1987" s="475"/>
      <c r="W1987" s="475"/>
      <c r="X1987" s="475"/>
      <c r="Y1987" s="475"/>
      <c r="Z1987" s="475"/>
      <c r="AA1987" s="475"/>
      <c r="AB1987" s="475"/>
      <c r="AC1987" s="475"/>
      <c r="AD1987" s="475"/>
      <c r="AE1987" s="475"/>
      <c r="AF1987" s="475"/>
      <c r="AG1987" s="475"/>
      <c r="AH1987" s="475"/>
      <c r="AI1987" s="475"/>
      <c r="AJ1987" s="475"/>
      <c r="AK1987" s="475"/>
      <c r="AL1987" s="475"/>
      <c r="AM1987" s="475"/>
      <c r="AN1987" s="475"/>
      <c r="AO1987" s="475"/>
      <c r="AP1987" s="475"/>
      <c r="AQ1987" s="475"/>
      <c r="AR1987" s="475"/>
      <c r="AS1987" s="475"/>
      <c r="AT1987" s="475"/>
      <c r="AU1987" s="475"/>
      <c r="AV1987" s="475"/>
      <c r="AW1987" s="475"/>
      <c r="AX1987" s="475"/>
      <c r="AY1987" s="475"/>
      <c r="AZ1987" s="475"/>
      <c r="BA1987" s="475"/>
      <c r="BB1987" s="475"/>
      <c r="BC1987" s="475"/>
      <c r="BD1987" s="475"/>
      <c r="BE1987" s="475"/>
      <c r="BF1987" s="475"/>
      <c r="BG1987" s="475"/>
      <c r="BH1987" s="475"/>
      <c r="BI1987" s="475"/>
      <c r="BJ1987" s="475"/>
      <c r="BK1987" s="475"/>
      <c r="BL1987" s="475"/>
    </row>
    <row r="1988" spans="1:64" ht="25">
      <c r="A1988" s="454"/>
      <c r="B1988" s="454"/>
      <c r="C1988" s="417" t="s">
        <v>879</v>
      </c>
      <c r="D1988" s="408">
        <v>1</v>
      </c>
      <c r="E1988" s="408" t="s">
        <v>826</v>
      </c>
      <c r="F1988" s="408">
        <f>'[161]Civil-SOR'!$G$330</f>
        <v>192.9</v>
      </c>
      <c r="G1988" s="430">
        <v>1</v>
      </c>
      <c r="H1988" s="430" t="str">
        <f t="shared" ref="H1988:H1989" si="471">IF(E1988="","",IF(E1988="No.","Each",IF(E1988="Nos.","Each",E1988)))</f>
        <v>hour</v>
      </c>
      <c r="I1988" s="408">
        <f t="shared" ref="I1988:I1990" si="472">IF(G1988="",D1988*F1988,(D1988*F1988/G1988))</f>
        <v>192.9</v>
      </c>
      <c r="J1988" s="418"/>
      <c r="K1988" s="419"/>
      <c r="L1988" s="419"/>
      <c r="M1988" s="475"/>
      <c r="N1988" s="475"/>
      <c r="O1988" s="475"/>
      <c r="P1988" s="475"/>
      <c r="Q1988" s="475"/>
      <c r="R1988" s="475"/>
      <c r="S1988" s="475"/>
      <c r="T1988" s="475"/>
      <c r="U1988" s="475"/>
      <c r="V1988" s="475"/>
      <c r="W1988" s="475"/>
      <c r="X1988" s="475"/>
      <c r="Y1988" s="475"/>
      <c r="Z1988" s="475"/>
      <c r="AA1988" s="475"/>
      <c r="AB1988" s="475"/>
      <c r="AC1988" s="475"/>
      <c r="AD1988" s="475"/>
      <c r="AE1988" s="475"/>
      <c r="AF1988" s="475"/>
      <c r="AG1988" s="475"/>
      <c r="AH1988" s="475"/>
      <c r="AI1988" s="475"/>
      <c r="AJ1988" s="475"/>
      <c r="AK1988" s="475"/>
      <c r="AL1988" s="475"/>
      <c r="AM1988" s="475"/>
      <c r="AN1988" s="475"/>
      <c r="AO1988" s="475"/>
      <c r="AP1988" s="475"/>
      <c r="AQ1988" s="475"/>
      <c r="AR1988" s="475"/>
      <c r="AS1988" s="475"/>
      <c r="AT1988" s="475"/>
      <c r="AU1988" s="475"/>
      <c r="AV1988" s="475"/>
      <c r="AW1988" s="475"/>
      <c r="AX1988" s="475"/>
      <c r="AY1988" s="475"/>
      <c r="AZ1988" s="475"/>
      <c r="BA1988" s="475"/>
      <c r="BB1988" s="475"/>
      <c r="BC1988" s="475"/>
      <c r="BD1988" s="475"/>
      <c r="BE1988" s="475"/>
      <c r="BF1988" s="475"/>
      <c r="BG1988" s="475"/>
      <c r="BH1988" s="475"/>
      <c r="BI1988" s="475"/>
      <c r="BJ1988" s="475"/>
      <c r="BK1988" s="475"/>
      <c r="BL1988" s="475"/>
    </row>
    <row r="1989" spans="1:64">
      <c r="A1989" s="454"/>
      <c r="B1989" s="454"/>
      <c r="C1989" s="417" t="s">
        <v>828</v>
      </c>
      <c r="D1989" s="408">
        <v>1</v>
      </c>
      <c r="E1989" s="408" t="s">
        <v>826</v>
      </c>
      <c r="F1989" s="408">
        <f>'[161]Civil-SOR'!$J$330</f>
        <v>302.89999999999998</v>
      </c>
      <c r="G1989" s="430">
        <v>1</v>
      </c>
      <c r="H1989" s="430" t="str">
        <f t="shared" si="471"/>
        <v>hour</v>
      </c>
      <c r="I1989" s="408">
        <f t="shared" si="472"/>
        <v>302.89999999999998</v>
      </c>
      <c r="J1989" s="418"/>
      <c r="K1989" s="419"/>
      <c r="L1989" s="419"/>
      <c r="M1989" s="475"/>
      <c r="N1989" s="475"/>
      <c r="O1989" s="475"/>
      <c r="P1989" s="475"/>
      <c r="Q1989" s="475"/>
      <c r="R1989" s="475"/>
      <c r="S1989" s="475"/>
      <c r="T1989" s="475"/>
      <c r="U1989" s="475"/>
      <c r="V1989" s="475"/>
      <c r="W1989" s="475"/>
      <c r="X1989" s="475"/>
      <c r="Y1989" s="475"/>
      <c r="Z1989" s="475"/>
      <c r="AA1989" s="475"/>
      <c r="AB1989" s="475"/>
      <c r="AC1989" s="475"/>
      <c r="AD1989" s="475"/>
      <c r="AE1989" s="475"/>
      <c r="AF1989" s="475"/>
      <c r="AG1989" s="475"/>
      <c r="AH1989" s="475"/>
      <c r="AI1989" s="475"/>
      <c r="AJ1989" s="475"/>
      <c r="AK1989" s="475"/>
      <c r="AL1989" s="475"/>
      <c r="AM1989" s="475"/>
      <c r="AN1989" s="475"/>
      <c r="AO1989" s="475"/>
      <c r="AP1989" s="475"/>
      <c r="AQ1989" s="475"/>
      <c r="AR1989" s="475"/>
      <c r="AS1989" s="475"/>
      <c r="AT1989" s="475"/>
      <c r="AU1989" s="475"/>
      <c r="AV1989" s="475"/>
      <c r="AW1989" s="475"/>
      <c r="AX1989" s="475"/>
      <c r="AY1989" s="475"/>
      <c r="AZ1989" s="475"/>
      <c r="BA1989" s="475"/>
      <c r="BB1989" s="475"/>
      <c r="BC1989" s="475"/>
      <c r="BD1989" s="475"/>
      <c r="BE1989" s="475"/>
      <c r="BF1989" s="475"/>
      <c r="BG1989" s="475"/>
      <c r="BH1989" s="475"/>
      <c r="BI1989" s="475"/>
      <c r="BJ1989" s="475"/>
      <c r="BK1989" s="475"/>
      <c r="BL1989" s="475"/>
    </row>
    <row r="1990" spans="1:64">
      <c r="A1990" s="454"/>
      <c r="B1990" s="454"/>
      <c r="C1990" s="417" t="s">
        <v>799</v>
      </c>
      <c r="D1990" s="408">
        <f>[161]Input!$D$47</f>
        <v>0.4</v>
      </c>
      <c r="E1990" s="408"/>
      <c r="F1990" s="408">
        <f>I1989</f>
        <v>302.89999999999998</v>
      </c>
      <c r="G1990" s="430"/>
      <c r="H1990" s="408"/>
      <c r="I1990" s="408">
        <f t="shared" si="472"/>
        <v>121.16</v>
      </c>
      <c r="J1990" s="418"/>
      <c r="K1990" s="419"/>
      <c r="L1990" s="419"/>
      <c r="M1990" s="475"/>
      <c r="N1990" s="475"/>
      <c r="O1990" s="475"/>
      <c r="P1990" s="475"/>
      <c r="Q1990" s="475"/>
      <c r="R1990" s="475"/>
      <c r="S1990" s="475"/>
      <c r="T1990" s="475"/>
      <c r="U1990" s="475"/>
      <c r="V1990" s="475"/>
      <c r="W1990" s="475"/>
      <c r="X1990" s="475"/>
      <c r="Y1990" s="475"/>
      <c r="Z1990" s="475"/>
      <c r="AA1990" s="475"/>
      <c r="AB1990" s="475"/>
      <c r="AC1990" s="475"/>
      <c r="AD1990" s="475"/>
      <c r="AE1990" s="475"/>
      <c r="AF1990" s="475"/>
      <c r="AG1990" s="475"/>
      <c r="AH1990" s="475"/>
      <c r="AI1990" s="475"/>
      <c r="AJ1990" s="475"/>
      <c r="AK1990" s="475"/>
      <c r="AL1990" s="475"/>
      <c r="AM1990" s="475"/>
      <c r="AN1990" s="475"/>
      <c r="AO1990" s="475"/>
      <c r="AP1990" s="475"/>
      <c r="AQ1990" s="475"/>
      <c r="AR1990" s="475"/>
      <c r="AS1990" s="475"/>
      <c r="AT1990" s="475"/>
      <c r="AU1990" s="475"/>
      <c r="AV1990" s="475"/>
      <c r="AW1990" s="475"/>
      <c r="AX1990" s="475"/>
      <c r="AY1990" s="475"/>
      <c r="AZ1990" s="475"/>
      <c r="BA1990" s="475"/>
      <c r="BB1990" s="475"/>
      <c r="BC1990" s="475"/>
      <c r="BD1990" s="475"/>
      <c r="BE1990" s="475"/>
      <c r="BF1990" s="475"/>
      <c r="BG1990" s="475"/>
      <c r="BH1990" s="475"/>
      <c r="BI1990" s="475"/>
      <c r="BJ1990" s="475"/>
      <c r="BK1990" s="475"/>
      <c r="BL1990" s="475"/>
    </row>
    <row r="1991" spans="1:64" ht="13">
      <c r="A1991" s="454"/>
      <c r="B1991" s="454"/>
      <c r="C1991" s="427" t="s">
        <v>880</v>
      </c>
      <c r="D1991" s="408"/>
      <c r="E1991" s="408"/>
      <c r="F1991" s="408"/>
      <c r="G1991" s="430"/>
      <c r="H1991" s="456"/>
      <c r="I1991" s="408"/>
      <c r="J1991" s="418"/>
      <c r="K1991" s="419"/>
      <c r="L1991" s="419"/>
      <c r="M1991" s="475"/>
      <c r="N1991" s="475"/>
      <c r="O1991" s="475"/>
      <c r="P1991" s="475"/>
      <c r="Q1991" s="475"/>
      <c r="R1991" s="475"/>
      <c r="S1991" s="475"/>
      <c r="T1991" s="475"/>
      <c r="U1991" s="475"/>
      <c r="V1991" s="475"/>
      <c r="W1991" s="475"/>
      <c r="X1991" s="475"/>
      <c r="Y1991" s="475"/>
      <c r="Z1991" s="475"/>
      <c r="AA1991" s="475"/>
      <c r="AB1991" s="475"/>
      <c r="AC1991" s="475"/>
      <c r="AD1991" s="475"/>
      <c r="AE1991" s="475"/>
      <c r="AF1991" s="475"/>
      <c r="AG1991" s="475"/>
      <c r="AH1991" s="475"/>
      <c r="AI1991" s="475"/>
      <c r="AJ1991" s="475"/>
      <c r="AK1991" s="475"/>
      <c r="AL1991" s="475"/>
      <c r="AM1991" s="475"/>
      <c r="AN1991" s="475"/>
      <c r="AO1991" s="475"/>
      <c r="AP1991" s="475"/>
      <c r="AQ1991" s="475"/>
      <c r="AR1991" s="475"/>
      <c r="AS1991" s="475"/>
      <c r="AT1991" s="475"/>
      <c r="AU1991" s="475"/>
      <c r="AV1991" s="475"/>
      <c r="AW1991" s="475"/>
      <c r="AX1991" s="475"/>
      <c r="AY1991" s="475"/>
      <c r="AZ1991" s="475"/>
      <c r="BA1991" s="475"/>
      <c r="BB1991" s="475"/>
      <c r="BC1991" s="475"/>
      <c r="BD1991" s="475"/>
      <c r="BE1991" s="475"/>
      <c r="BF1991" s="475"/>
      <c r="BG1991" s="475"/>
      <c r="BH1991" s="475"/>
      <c r="BI1991" s="475"/>
      <c r="BJ1991" s="475"/>
      <c r="BK1991" s="475"/>
      <c r="BL1991" s="475"/>
    </row>
    <row r="1992" spans="1:64">
      <c r="A1992" s="454"/>
      <c r="B1992" s="454"/>
      <c r="C1992" s="417" t="s">
        <v>881</v>
      </c>
      <c r="D1992" s="408">
        <v>0.1</v>
      </c>
      <c r="E1992" s="408" t="s">
        <v>375</v>
      </c>
      <c r="F1992" s="408">
        <f>'[161]Civil-SOR'!$G$293</f>
        <v>580</v>
      </c>
      <c r="G1992" s="430">
        <v>1</v>
      </c>
      <c r="H1992" s="456" t="str">
        <f t="shared" ref="H1992:H1993" si="473">IF(E1992="","",IF(E1992="No.","Each",IF(E1992="Nos.","Each",E1992)))</f>
        <v>Each</v>
      </c>
      <c r="I1992" s="408">
        <f t="shared" ref="I1992:I1994" si="474">IF(G1992="",D1992*F1992,(D1992*F1992/G1992))</f>
        <v>58</v>
      </c>
      <c r="J1992" s="418"/>
      <c r="K1992" s="419"/>
      <c r="L1992" s="419"/>
      <c r="M1992" s="475"/>
      <c r="N1992" s="475"/>
      <c r="O1992" s="475"/>
      <c r="P1992" s="475"/>
      <c r="Q1992" s="475"/>
      <c r="R1992" s="475"/>
      <c r="S1992" s="475"/>
      <c r="T1992" s="475"/>
      <c r="U1992" s="475"/>
      <c r="V1992" s="475"/>
      <c r="W1992" s="475"/>
      <c r="X1992" s="475"/>
      <c r="Y1992" s="475"/>
      <c r="Z1992" s="475"/>
      <c r="AA1992" s="475"/>
      <c r="AB1992" s="475"/>
      <c r="AC1992" s="475"/>
      <c r="AD1992" s="475"/>
      <c r="AE1992" s="475"/>
      <c r="AF1992" s="475"/>
      <c r="AG1992" s="475"/>
      <c r="AH1992" s="475"/>
      <c r="AI1992" s="475"/>
      <c r="AJ1992" s="475"/>
      <c r="AK1992" s="475"/>
      <c r="AL1992" s="475"/>
      <c r="AM1992" s="475"/>
      <c r="AN1992" s="475"/>
      <c r="AO1992" s="475"/>
      <c r="AP1992" s="475"/>
      <c r="AQ1992" s="475"/>
      <c r="AR1992" s="475"/>
      <c r="AS1992" s="475"/>
      <c r="AT1992" s="475"/>
      <c r="AU1992" s="475"/>
      <c r="AV1992" s="475"/>
      <c r="AW1992" s="475"/>
      <c r="AX1992" s="475"/>
      <c r="AY1992" s="475"/>
      <c r="AZ1992" s="475"/>
      <c r="BA1992" s="475"/>
      <c r="BB1992" s="475"/>
      <c r="BC1992" s="475"/>
      <c r="BD1992" s="475"/>
      <c r="BE1992" s="475"/>
      <c r="BF1992" s="475"/>
      <c r="BG1992" s="475"/>
      <c r="BH1992" s="475"/>
      <c r="BI1992" s="475"/>
      <c r="BJ1992" s="475"/>
      <c r="BK1992" s="475"/>
      <c r="BL1992" s="475"/>
    </row>
    <row r="1993" spans="1:64">
      <c r="A1993" s="454"/>
      <c r="B1993" s="454"/>
      <c r="C1993" s="417" t="s">
        <v>882</v>
      </c>
      <c r="D1993" s="408">
        <v>1.39</v>
      </c>
      <c r="E1993" s="408" t="s">
        <v>375</v>
      </c>
      <c r="F1993" s="408">
        <f>'[161]Civil-SOR'!$G$307</f>
        <v>520</v>
      </c>
      <c r="G1993" s="430">
        <v>1</v>
      </c>
      <c r="H1993" s="456" t="str">
        <f t="shared" si="473"/>
        <v>Each</v>
      </c>
      <c r="I1993" s="408">
        <f t="shared" si="474"/>
        <v>722.8</v>
      </c>
      <c r="J1993" s="418"/>
      <c r="K1993" s="419"/>
      <c r="L1993" s="419"/>
      <c r="M1993" s="475"/>
      <c r="N1993" s="475"/>
      <c r="O1993" s="475"/>
      <c r="P1993" s="475"/>
      <c r="Q1993" s="475"/>
      <c r="R1993" s="475"/>
      <c r="S1993" s="475"/>
      <c r="T1993" s="475"/>
      <c r="U1993" s="475"/>
      <c r="V1993" s="475"/>
      <c r="W1993" s="475"/>
      <c r="X1993" s="475"/>
      <c r="Y1993" s="475"/>
      <c r="Z1993" s="475"/>
      <c r="AA1993" s="475"/>
      <c r="AB1993" s="475"/>
      <c r="AC1993" s="475"/>
      <c r="AD1993" s="475"/>
      <c r="AE1993" s="475"/>
      <c r="AF1993" s="475"/>
      <c r="AG1993" s="475"/>
      <c r="AH1993" s="475"/>
      <c r="AI1993" s="475"/>
      <c r="AJ1993" s="475"/>
      <c r="AK1993" s="475"/>
      <c r="AL1993" s="475"/>
      <c r="AM1993" s="475"/>
      <c r="AN1993" s="475"/>
      <c r="AO1993" s="475"/>
      <c r="AP1993" s="475"/>
      <c r="AQ1993" s="475"/>
      <c r="AR1993" s="475"/>
      <c r="AS1993" s="475"/>
      <c r="AT1993" s="475"/>
      <c r="AU1993" s="475"/>
      <c r="AV1993" s="475"/>
      <c r="AW1993" s="475"/>
      <c r="AX1993" s="475"/>
      <c r="AY1993" s="475"/>
      <c r="AZ1993" s="475"/>
      <c r="BA1993" s="475"/>
      <c r="BB1993" s="475"/>
      <c r="BC1993" s="475"/>
      <c r="BD1993" s="475"/>
      <c r="BE1993" s="475"/>
      <c r="BF1993" s="475"/>
      <c r="BG1993" s="475"/>
      <c r="BH1993" s="475"/>
      <c r="BI1993" s="475"/>
      <c r="BJ1993" s="475"/>
      <c r="BK1993" s="475"/>
      <c r="BL1993" s="475"/>
    </row>
    <row r="1994" spans="1:64">
      <c r="A1994" s="454"/>
      <c r="B1994" s="454"/>
      <c r="C1994" s="417" t="str">
        <f>[161]Input!$C$47</f>
        <v>Add for MA @ 40%</v>
      </c>
      <c r="D1994" s="408">
        <f>[161]Input!$D$47</f>
        <v>0.4</v>
      </c>
      <c r="E1994" s="408"/>
      <c r="F1994" s="408">
        <f>SUM(I1992:I1993)</f>
        <v>780.8</v>
      </c>
      <c r="G1994" s="430"/>
      <c r="H1994" s="456"/>
      <c r="I1994" s="408">
        <f t="shared" si="474"/>
        <v>312.32</v>
      </c>
      <c r="J1994" s="418"/>
      <c r="K1994" s="419"/>
      <c r="L1994" s="419"/>
      <c r="M1994" s="475"/>
      <c r="N1994" s="475"/>
      <c r="O1994" s="475"/>
      <c r="P1994" s="475"/>
      <c r="Q1994" s="475"/>
      <c r="R1994" s="475"/>
      <c r="S1994" s="475"/>
      <c r="T1994" s="475"/>
      <c r="U1994" s="475"/>
      <c r="V1994" s="475"/>
      <c r="W1994" s="475"/>
      <c r="X1994" s="475"/>
      <c r="Y1994" s="475"/>
      <c r="Z1994" s="475"/>
      <c r="AA1994" s="475"/>
      <c r="AB1994" s="475"/>
      <c r="AC1994" s="475"/>
      <c r="AD1994" s="475"/>
      <c r="AE1994" s="475"/>
      <c r="AF1994" s="475"/>
      <c r="AG1994" s="475"/>
      <c r="AH1994" s="475"/>
      <c r="AI1994" s="475"/>
      <c r="AJ1994" s="475"/>
      <c r="AK1994" s="475"/>
      <c r="AL1994" s="475"/>
      <c r="AM1994" s="475"/>
      <c r="AN1994" s="475"/>
      <c r="AO1994" s="475"/>
      <c r="AP1994" s="475"/>
      <c r="AQ1994" s="475"/>
      <c r="AR1994" s="475"/>
      <c r="AS1994" s="475"/>
      <c r="AT1994" s="475"/>
      <c r="AU1994" s="475"/>
      <c r="AV1994" s="475"/>
      <c r="AW1994" s="475"/>
      <c r="AX1994" s="475"/>
      <c r="AY1994" s="475"/>
      <c r="AZ1994" s="475"/>
      <c r="BA1994" s="475"/>
      <c r="BB1994" s="475"/>
      <c r="BC1994" s="475"/>
      <c r="BD1994" s="475"/>
      <c r="BE1994" s="475"/>
      <c r="BF1994" s="475"/>
      <c r="BG1994" s="475"/>
      <c r="BH1994" s="475"/>
      <c r="BI1994" s="475"/>
      <c r="BJ1994" s="475"/>
      <c r="BK1994" s="475"/>
      <c r="BL1994" s="475"/>
    </row>
    <row r="1995" spans="1:64" ht="13">
      <c r="A1995" s="454"/>
      <c r="B1995" s="454"/>
      <c r="C1995" s="417"/>
      <c r="D1995" s="408"/>
      <c r="E1995" s="408"/>
      <c r="F1995" s="408"/>
      <c r="G1995" s="430"/>
      <c r="H1995" s="415"/>
      <c r="I1995" s="408">
        <f>SUM(I1983:I1994)</f>
        <v>5873.1034999999993</v>
      </c>
      <c r="J1995" s="418"/>
      <c r="K1995" s="419"/>
      <c r="L1995" s="419"/>
      <c r="M1995" s="475"/>
      <c r="N1995" s="475"/>
      <c r="O1995" s="475"/>
      <c r="P1995" s="475"/>
      <c r="Q1995" s="475"/>
      <c r="R1995" s="475"/>
      <c r="S1995" s="475"/>
      <c r="T1995" s="475"/>
      <c r="U1995" s="475"/>
      <c r="V1995" s="475"/>
      <c r="W1995" s="475"/>
      <c r="X1995" s="475"/>
      <c r="Y1995" s="475"/>
      <c r="Z1995" s="475"/>
      <c r="AA1995" s="475"/>
      <c r="AB1995" s="475"/>
      <c r="AC1995" s="475"/>
      <c r="AD1995" s="475"/>
      <c r="AE1995" s="475"/>
      <c r="AF1995" s="475"/>
      <c r="AG1995" s="475"/>
      <c r="AH1995" s="475"/>
      <c r="AI1995" s="475"/>
      <c r="AJ1995" s="475"/>
      <c r="AK1995" s="475"/>
      <c r="AL1995" s="475"/>
      <c r="AM1995" s="475"/>
      <c r="AN1995" s="475"/>
      <c r="AO1995" s="475"/>
      <c r="AP1995" s="475"/>
      <c r="AQ1995" s="475"/>
      <c r="AR1995" s="475"/>
      <c r="AS1995" s="475"/>
      <c r="AT1995" s="475"/>
      <c r="AU1995" s="475"/>
      <c r="AV1995" s="475"/>
      <c r="AW1995" s="475"/>
      <c r="AX1995" s="475"/>
      <c r="AY1995" s="475"/>
      <c r="AZ1995" s="475"/>
      <c r="BA1995" s="475"/>
      <c r="BB1995" s="475"/>
      <c r="BC1995" s="475"/>
      <c r="BD1995" s="475"/>
      <c r="BE1995" s="475"/>
      <c r="BF1995" s="475"/>
      <c r="BG1995" s="475"/>
      <c r="BH1995" s="475"/>
      <c r="BI1995" s="475"/>
      <c r="BJ1995" s="475"/>
      <c r="BK1995" s="475"/>
      <c r="BL1995" s="475"/>
    </row>
    <row r="1996" spans="1:64" ht="25">
      <c r="A1996" s="454"/>
      <c r="B1996" s="454"/>
      <c r="C1996" s="417" t="str">
        <f>[161]Input!$C$48</f>
        <v>Overheads &amp; Contractors Profit @ 13.615%</v>
      </c>
      <c r="D1996" s="467">
        <f>[161]Input!$D$48</f>
        <v>0.13614999999999999</v>
      </c>
      <c r="E1996" s="408"/>
      <c r="F1996" s="408">
        <f>I1995</f>
        <v>5873.1034999999993</v>
      </c>
      <c r="G1996" s="430"/>
      <c r="H1996" s="415"/>
      <c r="I1996" s="408">
        <f>IF(G1996="",D1996*F1996,(D1996*F1996/G1996))</f>
        <v>799.62304152499985</v>
      </c>
      <c r="J1996" s="418"/>
      <c r="K1996" s="419"/>
      <c r="L1996" s="419"/>
      <c r="M1996" s="475"/>
      <c r="N1996" s="475"/>
      <c r="O1996" s="475"/>
      <c r="P1996" s="475"/>
      <c r="Q1996" s="475"/>
      <c r="R1996" s="475"/>
      <c r="S1996" s="475"/>
      <c r="T1996" s="475"/>
      <c r="U1996" s="475"/>
      <c r="V1996" s="475"/>
      <c r="W1996" s="475"/>
      <c r="X1996" s="475"/>
      <c r="Y1996" s="475"/>
      <c r="Z1996" s="475"/>
      <c r="AA1996" s="475"/>
      <c r="AB1996" s="475"/>
      <c r="AC1996" s="475"/>
      <c r="AD1996" s="475"/>
      <c r="AE1996" s="475"/>
      <c r="AF1996" s="475"/>
      <c r="AG1996" s="475"/>
      <c r="AH1996" s="475"/>
      <c r="AI1996" s="475"/>
      <c r="AJ1996" s="475"/>
      <c r="AK1996" s="475"/>
      <c r="AL1996" s="475"/>
      <c r="AM1996" s="475"/>
      <c r="AN1996" s="475"/>
      <c r="AO1996" s="475"/>
      <c r="AP1996" s="475"/>
      <c r="AQ1996" s="475"/>
      <c r="AR1996" s="475"/>
      <c r="AS1996" s="475"/>
      <c r="AT1996" s="475"/>
      <c r="AU1996" s="475"/>
      <c r="AV1996" s="475"/>
      <c r="AW1996" s="475"/>
      <c r="AX1996" s="475"/>
      <c r="AY1996" s="475"/>
      <c r="AZ1996" s="475"/>
      <c r="BA1996" s="475"/>
      <c r="BB1996" s="475"/>
      <c r="BC1996" s="475"/>
      <c r="BD1996" s="475"/>
      <c r="BE1996" s="475"/>
      <c r="BF1996" s="475"/>
      <c r="BG1996" s="475"/>
      <c r="BH1996" s="475"/>
      <c r="BI1996" s="475"/>
      <c r="BJ1996" s="475"/>
      <c r="BK1996" s="475"/>
      <c r="BL1996" s="475"/>
    </row>
    <row r="1997" spans="1:64" ht="13">
      <c r="A1997" s="454"/>
      <c r="B1997" s="454"/>
      <c r="C1997" s="481" t="s">
        <v>724</v>
      </c>
      <c r="D1997" s="408"/>
      <c r="E1997" s="408"/>
      <c r="F1997" s="408"/>
      <c r="G1997" s="430"/>
      <c r="H1997" s="426"/>
      <c r="I1997" s="409">
        <f>SUM(I1995:I1996)</f>
        <v>6672.7265415249994</v>
      </c>
      <c r="J1997" s="411"/>
      <c r="K1997" s="412"/>
      <c r="L1997" s="412"/>
      <c r="M1997" s="554"/>
      <c r="N1997" s="554"/>
      <c r="O1997" s="554"/>
      <c r="P1997" s="554"/>
      <c r="Q1997" s="554"/>
      <c r="R1997" s="554"/>
      <c r="S1997" s="554"/>
      <c r="T1997" s="554"/>
      <c r="U1997" s="554"/>
      <c r="V1997" s="554"/>
      <c r="W1997" s="554"/>
      <c r="X1997" s="554"/>
      <c r="Y1997" s="554"/>
      <c r="Z1997" s="554"/>
      <c r="AA1997" s="554"/>
      <c r="AB1997" s="554"/>
      <c r="AC1997" s="554"/>
      <c r="AD1997" s="554"/>
      <c r="AE1997" s="554"/>
      <c r="AF1997" s="554"/>
      <c r="AG1997" s="554"/>
      <c r="AH1997" s="554"/>
      <c r="AI1997" s="554"/>
      <c r="AJ1997" s="554"/>
      <c r="AK1997" s="554"/>
      <c r="AL1997" s="554"/>
      <c r="AM1997" s="554"/>
      <c r="AN1997" s="554"/>
      <c r="AO1997" s="554"/>
      <c r="AP1997" s="554"/>
      <c r="AQ1997" s="554"/>
      <c r="AR1997" s="554"/>
      <c r="AS1997" s="554"/>
      <c r="AT1997" s="554"/>
      <c r="AU1997" s="554"/>
      <c r="AV1997" s="554"/>
      <c r="AW1997" s="554"/>
      <c r="AX1997" s="554"/>
      <c r="AY1997" s="554"/>
      <c r="AZ1997" s="554"/>
      <c r="BA1997" s="554"/>
      <c r="BB1997" s="554"/>
      <c r="BC1997" s="554"/>
      <c r="BD1997" s="554"/>
      <c r="BE1997" s="554"/>
      <c r="BF1997" s="554"/>
      <c r="BG1997" s="554"/>
      <c r="BH1997" s="554"/>
      <c r="BI1997" s="554"/>
      <c r="BJ1997" s="554"/>
      <c r="BK1997" s="554"/>
      <c r="BL1997" s="554"/>
    </row>
    <row r="1998" spans="1:64" ht="13">
      <c r="A1998" s="454"/>
      <c r="B1998" s="454"/>
      <c r="C1998" s="522" t="s">
        <v>726</v>
      </c>
      <c r="D1998" s="408"/>
      <c r="E1998" s="408"/>
      <c r="F1998" s="408"/>
      <c r="G1998" s="430"/>
      <c r="H1998" s="415" t="s">
        <v>726</v>
      </c>
      <c r="I1998" s="414">
        <f>ROUND(I1997,0)</f>
        <v>6673</v>
      </c>
      <c r="J1998" s="411"/>
      <c r="K1998" s="412"/>
      <c r="L1998" s="412"/>
      <c r="M1998" s="554"/>
      <c r="N1998" s="554"/>
      <c r="O1998" s="554"/>
      <c r="P1998" s="554"/>
      <c r="Q1998" s="554"/>
      <c r="R1998" s="554"/>
      <c r="S1998" s="554"/>
      <c r="T1998" s="554"/>
      <c r="U1998" s="554"/>
      <c r="V1998" s="554"/>
      <c r="W1998" s="554"/>
      <c r="X1998" s="554"/>
      <c r="Y1998" s="554"/>
      <c r="Z1998" s="554"/>
      <c r="AA1998" s="554"/>
      <c r="AB1998" s="554"/>
      <c r="AC1998" s="554"/>
      <c r="AD1998" s="554"/>
      <c r="AE1998" s="554"/>
      <c r="AF1998" s="554"/>
      <c r="AG1998" s="554"/>
      <c r="AH1998" s="554"/>
      <c r="AI1998" s="554"/>
      <c r="AJ1998" s="554"/>
      <c r="AK1998" s="554"/>
      <c r="AL1998" s="554"/>
      <c r="AM1998" s="554"/>
      <c r="AN1998" s="554"/>
      <c r="AO1998" s="554"/>
      <c r="AP1998" s="554"/>
      <c r="AQ1998" s="554"/>
      <c r="AR1998" s="554"/>
      <c r="AS1998" s="554"/>
      <c r="AT1998" s="554"/>
      <c r="AU1998" s="554"/>
      <c r="AV1998" s="554"/>
      <c r="AW1998" s="554"/>
      <c r="AX1998" s="554"/>
      <c r="AY1998" s="554"/>
      <c r="AZ1998" s="554"/>
      <c r="BA1998" s="554"/>
      <c r="BB1998" s="554"/>
      <c r="BC1998" s="554"/>
      <c r="BD1998" s="554"/>
      <c r="BE1998" s="554"/>
      <c r="BF1998" s="554"/>
      <c r="BG1998" s="554"/>
      <c r="BH1998" s="554"/>
      <c r="BI1998" s="554"/>
      <c r="BJ1998" s="554"/>
      <c r="BK1998" s="554"/>
      <c r="BL1998" s="554"/>
    </row>
    <row r="1999" spans="1:64" ht="13">
      <c r="A1999" s="454"/>
      <c r="B1999" s="454"/>
      <c r="C1999" s="427"/>
      <c r="D1999" s="416"/>
      <c r="E1999" s="416"/>
      <c r="F1999" s="416"/>
      <c r="G1999" s="416"/>
      <c r="H1999" s="416"/>
      <c r="I1999" s="414"/>
      <c r="J1999" s="400"/>
      <c r="K1999" s="401"/>
      <c r="L1999" s="401"/>
    </row>
    <row r="2000" spans="1:64" s="643" customFormat="1" ht="83.65" customHeight="1">
      <c r="A2000" s="640">
        <f>1+A1937</f>
        <v>5</v>
      </c>
      <c r="B2000" s="640"/>
      <c r="C2000" s="1276" t="s">
        <v>1090</v>
      </c>
      <c r="D2000" s="1276"/>
      <c r="E2000" s="1276"/>
      <c r="F2000" s="1276"/>
      <c r="G2000" s="1276"/>
      <c r="H2000" s="1276"/>
      <c r="I2000" s="407"/>
      <c r="J2000" s="641"/>
      <c r="K2000" s="642"/>
      <c r="L2000" s="642"/>
    </row>
    <row r="2001" spans="1:64" ht="13">
      <c r="A2001" s="454"/>
      <c r="B2001" s="454"/>
      <c r="C2001" s="455" t="s">
        <v>1091</v>
      </c>
      <c r="D2001" s="454"/>
      <c r="E2001" s="454"/>
      <c r="F2001" s="454"/>
      <c r="G2001" s="454"/>
      <c r="H2001" s="454"/>
      <c r="I2001" s="408"/>
      <c r="J2001" s="400"/>
      <c r="K2001" s="401"/>
      <c r="L2001" s="401"/>
      <c r="M2001" s="404"/>
      <c r="N2001" s="404"/>
      <c r="O2001" s="404"/>
      <c r="P2001" s="404"/>
      <c r="Q2001" s="404"/>
      <c r="R2001" s="404"/>
      <c r="S2001" s="404"/>
      <c r="T2001" s="404"/>
      <c r="U2001" s="404"/>
      <c r="V2001" s="404"/>
      <c r="W2001" s="404"/>
      <c r="X2001" s="404"/>
      <c r="Y2001" s="404"/>
      <c r="Z2001" s="404"/>
      <c r="AA2001" s="404"/>
      <c r="AB2001" s="404"/>
      <c r="AC2001" s="404"/>
      <c r="AD2001" s="404"/>
      <c r="AE2001" s="404"/>
      <c r="AF2001" s="404"/>
      <c r="AG2001" s="404"/>
      <c r="AH2001" s="404"/>
      <c r="AI2001" s="404"/>
      <c r="AJ2001" s="404"/>
      <c r="AK2001" s="404"/>
      <c r="AL2001" s="404"/>
      <c r="AM2001" s="404"/>
      <c r="AN2001" s="404"/>
      <c r="AO2001" s="404"/>
      <c r="AP2001" s="404"/>
      <c r="AQ2001" s="404"/>
      <c r="AR2001" s="404"/>
      <c r="AS2001" s="404"/>
      <c r="AT2001" s="404"/>
      <c r="AU2001" s="404"/>
      <c r="AV2001" s="404"/>
      <c r="AW2001" s="404"/>
      <c r="AX2001" s="404"/>
      <c r="AY2001" s="404"/>
      <c r="AZ2001" s="404"/>
      <c r="BA2001" s="404"/>
      <c r="BB2001" s="404"/>
      <c r="BC2001" s="404"/>
      <c r="BD2001" s="404"/>
      <c r="BE2001" s="404"/>
      <c r="BF2001" s="404"/>
      <c r="BG2001" s="404"/>
      <c r="BH2001" s="404"/>
      <c r="BI2001" s="404"/>
      <c r="BJ2001" s="404"/>
      <c r="BK2001" s="404"/>
      <c r="BL2001" s="404"/>
    </row>
    <row r="2002" spans="1:64" ht="13">
      <c r="A2002" s="454"/>
      <c r="B2002" s="454"/>
      <c r="C2002" s="488" t="s">
        <v>873</v>
      </c>
      <c r="D2002" s="454"/>
      <c r="E2002" s="454"/>
      <c r="F2002" s="454"/>
      <c r="G2002" s="454"/>
      <c r="H2002" s="454"/>
      <c r="I2002" s="408"/>
      <c r="J2002" s="400"/>
      <c r="K2002" s="401"/>
      <c r="L2002" s="401"/>
      <c r="M2002" s="404"/>
      <c r="N2002" s="404"/>
      <c r="O2002" s="404"/>
      <c r="P2002" s="404"/>
      <c r="Q2002" s="404"/>
      <c r="R2002" s="404"/>
      <c r="S2002" s="404"/>
      <c r="T2002" s="404"/>
      <c r="U2002" s="404"/>
      <c r="V2002" s="404"/>
      <c r="W2002" s="404"/>
      <c r="X2002" s="404"/>
      <c r="Y2002" s="404"/>
      <c r="Z2002" s="404"/>
      <c r="AA2002" s="404"/>
      <c r="AB2002" s="404"/>
      <c r="AC2002" s="404"/>
      <c r="AD2002" s="404"/>
      <c r="AE2002" s="404"/>
      <c r="AF2002" s="404"/>
      <c r="AG2002" s="404"/>
      <c r="AH2002" s="404"/>
      <c r="AI2002" s="404"/>
      <c r="AJ2002" s="404"/>
      <c r="AK2002" s="404"/>
      <c r="AL2002" s="404"/>
      <c r="AM2002" s="404"/>
      <c r="AN2002" s="404"/>
      <c r="AO2002" s="404"/>
      <c r="AP2002" s="404"/>
      <c r="AQ2002" s="404"/>
      <c r="AR2002" s="404"/>
      <c r="AS2002" s="404"/>
      <c r="AT2002" s="404"/>
      <c r="AU2002" s="404"/>
      <c r="AV2002" s="404"/>
      <c r="AW2002" s="404"/>
      <c r="AX2002" s="404"/>
      <c r="AY2002" s="404"/>
      <c r="AZ2002" s="404"/>
      <c r="BA2002" s="404"/>
      <c r="BB2002" s="404"/>
      <c r="BC2002" s="404"/>
      <c r="BD2002" s="404"/>
      <c r="BE2002" s="404"/>
      <c r="BF2002" s="404"/>
      <c r="BG2002" s="404"/>
      <c r="BH2002" s="404"/>
      <c r="BI2002" s="404"/>
      <c r="BJ2002" s="404"/>
      <c r="BK2002" s="404"/>
      <c r="BL2002" s="404"/>
    </row>
    <row r="2003" spans="1:64">
      <c r="A2003" s="454"/>
      <c r="B2003" s="454"/>
      <c r="C2003" s="417" t="s">
        <v>906</v>
      </c>
      <c r="D2003" s="408">
        <v>0.8</v>
      </c>
      <c r="E2003" s="454" t="s">
        <v>57</v>
      </c>
      <c r="F2003" s="408">
        <f>$F$16</f>
        <v>1447.96</v>
      </c>
      <c r="G2003" s="430">
        <v>1</v>
      </c>
      <c r="H2003" s="454" t="str">
        <f t="shared" ref="H2003:H2006" si="475">IF(E2003="","",IF(E2003="No.","Each",IF(E2003="Nos.","Each",E2003)))</f>
        <v>Cum</v>
      </c>
      <c r="I2003" s="408">
        <f t="shared" ref="I2003:I2006" si="476">IF(G2003="",D2003*F2003,(D2003*F2003/G2003))</f>
        <v>1158.3680000000002</v>
      </c>
      <c r="J2003" s="400"/>
      <c r="K2003" s="495"/>
      <c r="L2003" s="401"/>
      <c r="M2003" s="404"/>
      <c r="N2003" s="404"/>
      <c r="O2003" s="404"/>
      <c r="P2003" s="404"/>
      <c r="Q2003" s="404"/>
      <c r="R2003" s="404"/>
      <c r="S2003" s="404"/>
      <c r="T2003" s="404"/>
      <c r="U2003" s="404"/>
      <c r="V2003" s="404"/>
      <c r="W2003" s="404"/>
      <c r="X2003" s="404"/>
      <c r="Y2003" s="404"/>
      <c r="Z2003" s="404"/>
      <c r="AA2003" s="404"/>
      <c r="AB2003" s="404"/>
      <c r="AC2003" s="404"/>
      <c r="AD2003" s="404"/>
      <c r="AE2003" s="404"/>
      <c r="AF2003" s="404"/>
      <c r="AG2003" s="404"/>
      <c r="AH2003" s="404"/>
      <c r="AI2003" s="404"/>
      <c r="AJ2003" s="404"/>
      <c r="AK2003" s="404"/>
      <c r="AL2003" s="404"/>
      <c r="AM2003" s="404"/>
      <c r="AN2003" s="404"/>
      <c r="AO2003" s="404"/>
      <c r="AP2003" s="404"/>
      <c r="AQ2003" s="404"/>
      <c r="AR2003" s="404"/>
      <c r="AS2003" s="404"/>
      <c r="AT2003" s="404"/>
      <c r="AU2003" s="404"/>
      <c r="AV2003" s="404"/>
      <c r="AW2003" s="404"/>
      <c r="AX2003" s="404"/>
      <c r="AY2003" s="404"/>
      <c r="AZ2003" s="404"/>
      <c r="BA2003" s="404"/>
      <c r="BB2003" s="404"/>
      <c r="BC2003" s="404"/>
      <c r="BD2003" s="404"/>
      <c r="BE2003" s="404"/>
      <c r="BF2003" s="404"/>
      <c r="BG2003" s="404"/>
      <c r="BH2003" s="404"/>
      <c r="BI2003" s="404"/>
      <c r="BJ2003" s="404"/>
      <c r="BK2003" s="404"/>
      <c r="BL2003" s="404"/>
    </row>
    <row r="2004" spans="1:64">
      <c r="A2004" s="454"/>
      <c r="B2004" s="454"/>
      <c r="C2004" s="417" t="s">
        <v>481</v>
      </c>
      <c r="D2004" s="408">
        <v>0.4</v>
      </c>
      <c r="E2004" s="454" t="s">
        <v>57</v>
      </c>
      <c r="F2004" s="408">
        <f>[161]LEAD!$N$12</f>
        <v>2253.91</v>
      </c>
      <c r="G2004" s="430">
        <v>1</v>
      </c>
      <c r="H2004" s="454" t="str">
        <f t="shared" si="475"/>
        <v>Cum</v>
      </c>
      <c r="I2004" s="408">
        <f t="shared" si="476"/>
        <v>901.56399999999996</v>
      </c>
      <c r="J2004" s="400"/>
      <c r="K2004" s="495"/>
      <c r="L2004" s="401"/>
      <c r="M2004" s="404"/>
      <c r="N2004" s="404"/>
      <c r="O2004" s="404"/>
      <c r="P2004" s="404"/>
      <c r="Q2004" s="404"/>
      <c r="R2004" s="404"/>
      <c r="S2004" s="404"/>
      <c r="T2004" s="404"/>
      <c r="U2004" s="404"/>
      <c r="V2004" s="404"/>
      <c r="W2004" s="404"/>
      <c r="X2004" s="404"/>
      <c r="Y2004" s="404"/>
      <c r="Z2004" s="404"/>
      <c r="AA2004" s="404"/>
      <c r="AB2004" s="404"/>
      <c r="AC2004" s="404"/>
      <c r="AD2004" s="404"/>
      <c r="AE2004" s="404"/>
      <c r="AF2004" s="404"/>
      <c r="AG2004" s="404"/>
      <c r="AH2004" s="404"/>
      <c r="AI2004" s="404"/>
      <c r="AJ2004" s="404"/>
      <c r="AK2004" s="404"/>
      <c r="AL2004" s="404"/>
      <c r="AM2004" s="404"/>
      <c r="AN2004" s="404"/>
      <c r="AO2004" s="404"/>
      <c r="AP2004" s="404"/>
      <c r="AQ2004" s="404"/>
      <c r="AR2004" s="404"/>
      <c r="AS2004" s="404"/>
      <c r="AT2004" s="404"/>
      <c r="AU2004" s="404"/>
      <c r="AV2004" s="404"/>
      <c r="AW2004" s="404"/>
      <c r="AX2004" s="404"/>
      <c r="AY2004" s="404"/>
      <c r="AZ2004" s="404"/>
      <c r="BA2004" s="404"/>
      <c r="BB2004" s="404"/>
      <c r="BC2004" s="404"/>
      <c r="BD2004" s="404"/>
      <c r="BE2004" s="404"/>
      <c r="BF2004" s="404"/>
      <c r="BG2004" s="404"/>
      <c r="BH2004" s="404"/>
      <c r="BI2004" s="404"/>
      <c r="BJ2004" s="404"/>
      <c r="BK2004" s="404"/>
      <c r="BL2004" s="404"/>
    </row>
    <row r="2005" spans="1:64">
      <c r="A2005" s="454"/>
      <c r="B2005" s="454"/>
      <c r="C2005" s="417" t="s">
        <v>504</v>
      </c>
      <c r="D2005" s="408">
        <v>330</v>
      </c>
      <c r="E2005" s="454" t="s">
        <v>833</v>
      </c>
      <c r="F2005" s="408">
        <f>[161]LEAD!$N$6</f>
        <v>5200</v>
      </c>
      <c r="G2005" s="430">
        <v>1000</v>
      </c>
      <c r="H2005" s="454" t="str">
        <f t="shared" si="475"/>
        <v>Kgs</v>
      </c>
      <c r="I2005" s="408">
        <f t="shared" si="476"/>
        <v>1716</v>
      </c>
      <c r="J2005" s="400"/>
      <c r="K2005" s="495"/>
      <c r="L2005" s="401"/>
      <c r="M2005" s="404"/>
      <c r="N2005" s="404"/>
      <c r="O2005" s="404"/>
      <c r="P2005" s="404"/>
      <c r="Q2005" s="404"/>
      <c r="R2005" s="404"/>
      <c r="S2005" s="404"/>
      <c r="T2005" s="404"/>
      <c r="U2005" s="404"/>
      <c r="V2005" s="404"/>
      <c r="W2005" s="404"/>
      <c r="X2005" s="404"/>
      <c r="Y2005" s="404"/>
      <c r="Z2005" s="404"/>
      <c r="AA2005" s="404"/>
      <c r="AB2005" s="404"/>
      <c r="AC2005" s="404"/>
      <c r="AD2005" s="404"/>
      <c r="AE2005" s="404"/>
      <c r="AF2005" s="404"/>
      <c r="AG2005" s="404"/>
      <c r="AH2005" s="404"/>
      <c r="AI2005" s="404"/>
      <c r="AJ2005" s="404"/>
      <c r="AK2005" s="404"/>
      <c r="AL2005" s="404"/>
      <c r="AM2005" s="404"/>
      <c r="AN2005" s="404"/>
      <c r="AO2005" s="404"/>
      <c r="AP2005" s="404"/>
      <c r="AQ2005" s="404"/>
      <c r="AR2005" s="404"/>
      <c r="AS2005" s="404"/>
      <c r="AT2005" s="404"/>
      <c r="AU2005" s="404"/>
      <c r="AV2005" s="404"/>
      <c r="AW2005" s="404"/>
      <c r="AX2005" s="404"/>
      <c r="AY2005" s="404"/>
      <c r="AZ2005" s="404"/>
      <c r="BA2005" s="404"/>
      <c r="BB2005" s="404"/>
      <c r="BC2005" s="404"/>
      <c r="BD2005" s="404"/>
      <c r="BE2005" s="404"/>
      <c r="BF2005" s="404"/>
      <c r="BG2005" s="404"/>
      <c r="BH2005" s="404"/>
      <c r="BI2005" s="404"/>
      <c r="BJ2005" s="404"/>
      <c r="BK2005" s="404"/>
      <c r="BL2005" s="404"/>
    </row>
    <row r="2006" spans="1:64">
      <c r="A2006" s="454"/>
      <c r="B2006" s="454"/>
      <c r="C2006" s="417" t="s">
        <v>901</v>
      </c>
      <c r="D2006" s="408">
        <v>1.2</v>
      </c>
      <c r="E2006" s="454" t="s">
        <v>853</v>
      </c>
      <c r="F2006" s="408">
        <f>[161]Input!$D$53</f>
        <v>108</v>
      </c>
      <c r="G2006" s="430">
        <v>1</v>
      </c>
      <c r="H2006" s="454" t="str">
        <f t="shared" si="475"/>
        <v>Kl</v>
      </c>
      <c r="I2006" s="408">
        <f t="shared" si="476"/>
        <v>129.6</v>
      </c>
      <c r="J2006" s="400"/>
      <c r="K2006" s="495"/>
      <c r="L2006" s="401"/>
      <c r="M2006" s="404"/>
      <c r="N2006" s="404"/>
      <c r="O2006" s="404"/>
      <c r="P2006" s="404"/>
      <c r="Q2006" s="404"/>
      <c r="R2006" s="404"/>
      <c r="S2006" s="404"/>
      <c r="T2006" s="404"/>
      <c r="U2006" s="404"/>
      <c r="V2006" s="404"/>
      <c r="W2006" s="404"/>
      <c r="X2006" s="404"/>
      <c r="Y2006" s="404"/>
      <c r="Z2006" s="404"/>
      <c r="AA2006" s="404"/>
      <c r="AB2006" s="404"/>
      <c r="AC2006" s="404"/>
      <c r="AD2006" s="404"/>
      <c r="AE2006" s="404"/>
      <c r="AF2006" s="404"/>
      <c r="AG2006" s="404"/>
      <c r="AH2006" s="404"/>
      <c r="AI2006" s="404"/>
      <c r="AJ2006" s="404"/>
      <c r="AK2006" s="404"/>
      <c r="AL2006" s="404"/>
      <c r="AM2006" s="404"/>
      <c r="AN2006" s="404"/>
      <c r="AO2006" s="404"/>
      <c r="AP2006" s="404"/>
      <c r="AQ2006" s="404"/>
      <c r="AR2006" s="404"/>
      <c r="AS2006" s="404"/>
      <c r="AT2006" s="404"/>
      <c r="AU2006" s="404"/>
      <c r="AV2006" s="404"/>
      <c r="AW2006" s="404"/>
      <c r="AX2006" s="404"/>
      <c r="AY2006" s="404"/>
      <c r="AZ2006" s="404"/>
      <c r="BA2006" s="404"/>
      <c r="BB2006" s="404"/>
      <c r="BC2006" s="404"/>
      <c r="BD2006" s="404"/>
      <c r="BE2006" s="404"/>
      <c r="BF2006" s="404"/>
      <c r="BG2006" s="404"/>
      <c r="BH2006" s="404"/>
      <c r="BI2006" s="404"/>
      <c r="BJ2006" s="404"/>
      <c r="BK2006" s="404"/>
      <c r="BL2006" s="404"/>
    </row>
    <row r="2007" spans="1:64" ht="13">
      <c r="A2007" s="454"/>
      <c r="B2007" s="454"/>
      <c r="C2007" s="427" t="s">
        <v>878</v>
      </c>
      <c r="D2007" s="408"/>
      <c r="E2007" s="454"/>
      <c r="F2007" s="408"/>
      <c r="G2007" s="430"/>
      <c r="H2007" s="454"/>
      <c r="I2007" s="408"/>
      <c r="J2007" s="400"/>
      <c r="K2007" s="495"/>
      <c r="L2007" s="401"/>
      <c r="M2007" s="404"/>
      <c r="N2007" s="404"/>
      <c r="O2007" s="404"/>
      <c r="P2007" s="404"/>
      <c r="Q2007" s="404"/>
      <c r="R2007" s="404"/>
      <c r="S2007" s="404"/>
      <c r="T2007" s="404"/>
      <c r="U2007" s="404"/>
      <c r="V2007" s="404"/>
      <c r="W2007" s="404"/>
      <c r="X2007" s="404"/>
      <c r="Y2007" s="404"/>
      <c r="Z2007" s="404"/>
      <c r="AA2007" s="404"/>
      <c r="AB2007" s="404"/>
      <c r="AC2007" s="404"/>
      <c r="AD2007" s="404"/>
      <c r="AE2007" s="404"/>
      <c r="AF2007" s="404"/>
      <c r="AG2007" s="404"/>
      <c r="AH2007" s="404"/>
      <c r="AI2007" s="404"/>
      <c r="AJ2007" s="404"/>
      <c r="AK2007" s="404"/>
      <c r="AL2007" s="404"/>
      <c r="AM2007" s="404"/>
      <c r="AN2007" s="404"/>
      <c r="AO2007" s="404"/>
      <c r="AP2007" s="404"/>
      <c r="AQ2007" s="404"/>
      <c r="AR2007" s="404"/>
      <c r="AS2007" s="404"/>
      <c r="AT2007" s="404"/>
      <c r="AU2007" s="404"/>
      <c r="AV2007" s="404"/>
      <c r="AW2007" s="404"/>
      <c r="AX2007" s="404"/>
      <c r="AY2007" s="404"/>
      <c r="AZ2007" s="404"/>
      <c r="BA2007" s="404"/>
      <c r="BB2007" s="404"/>
      <c r="BC2007" s="404"/>
      <c r="BD2007" s="404"/>
      <c r="BE2007" s="404"/>
      <c r="BF2007" s="404"/>
      <c r="BG2007" s="404"/>
      <c r="BH2007" s="404"/>
      <c r="BI2007" s="404"/>
      <c r="BJ2007" s="404"/>
      <c r="BK2007" s="404"/>
      <c r="BL2007" s="404"/>
    </row>
    <row r="2008" spans="1:64">
      <c r="A2008" s="454"/>
      <c r="B2008" s="454"/>
      <c r="C2008" s="483" t="s">
        <v>916</v>
      </c>
      <c r="D2008" s="491">
        <v>0.308</v>
      </c>
      <c r="E2008" s="408" t="s">
        <v>826</v>
      </c>
      <c r="F2008" s="408">
        <f>'[161]Civil-SOR'!$G$329</f>
        <v>265.79999999999995</v>
      </c>
      <c r="G2008" s="430">
        <v>1</v>
      </c>
      <c r="H2008" s="430" t="str">
        <f t="shared" ref="H2008:H2009" si="477">IF(E2008="","",IF(E2008="No.","Each",IF(E2008="Nos.","Each",E2008)))</f>
        <v>hour</v>
      </c>
      <c r="I2008" s="408">
        <f t="shared" ref="I2008:I2012" si="478">IF(G2008="",D2008*F2008,(D2008*F2008/G2008))</f>
        <v>81.866399999999985</v>
      </c>
      <c r="J2008" s="400"/>
      <c r="K2008" s="495"/>
      <c r="L2008" s="401"/>
      <c r="M2008" s="404"/>
      <c r="N2008" s="404"/>
      <c r="O2008" s="404"/>
      <c r="P2008" s="404"/>
      <c r="Q2008" s="404"/>
      <c r="R2008" s="404"/>
      <c r="S2008" s="404"/>
      <c r="T2008" s="404"/>
      <c r="U2008" s="404"/>
      <c r="V2008" s="404"/>
      <c r="W2008" s="404"/>
      <c r="X2008" s="404"/>
      <c r="Y2008" s="404"/>
      <c r="Z2008" s="404"/>
      <c r="AA2008" s="404"/>
      <c r="AB2008" s="404"/>
      <c r="AC2008" s="404"/>
      <c r="AD2008" s="404"/>
      <c r="AE2008" s="404"/>
      <c r="AF2008" s="404"/>
      <c r="AG2008" s="404"/>
      <c r="AH2008" s="404"/>
      <c r="AI2008" s="404"/>
      <c r="AJ2008" s="404"/>
      <c r="AK2008" s="404"/>
      <c r="AL2008" s="404"/>
      <c r="AM2008" s="404"/>
      <c r="AN2008" s="404"/>
      <c r="AO2008" s="404"/>
      <c r="AP2008" s="404"/>
      <c r="AQ2008" s="404"/>
      <c r="AR2008" s="404"/>
      <c r="AS2008" s="404"/>
      <c r="AT2008" s="404"/>
      <c r="AU2008" s="404"/>
      <c r="AV2008" s="404"/>
      <c r="AW2008" s="404"/>
      <c r="AX2008" s="404"/>
      <c r="AY2008" s="404"/>
      <c r="AZ2008" s="404"/>
      <c r="BA2008" s="404"/>
      <c r="BB2008" s="404"/>
      <c r="BC2008" s="404"/>
      <c r="BD2008" s="404"/>
      <c r="BE2008" s="404"/>
      <c r="BF2008" s="404"/>
      <c r="BG2008" s="404"/>
      <c r="BH2008" s="404"/>
      <c r="BI2008" s="404"/>
      <c r="BJ2008" s="404"/>
      <c r="BK2008" s="404"/>
      <c r="BL2008" s="404"/>
    </row>
    <row r="2009" spans="1:64">
      <c r="A2009" s="454"/>
      <c r="B2009" s="454"/>
      <c r="C2009" s="483" t="s">
        <v>828</v>
      </c>
      <c r="D2009" s="491">
        <v>0.308</v>
      </c>
      <c r="E2009" s="408" t="s">
        <v>826</v>
      </c>
      <c r="F2009" s="408">
        <f>'[161]Civil-SOR'!$J$329</f>
        <v>454.8</v>
      </c>
      <c r="G2009" s="430">
        <v>1</v>
      </c>
      <c r="H2009" s="430" t="str">
        <f t="shared" si="477"/>
        <v>hour</v>
      </c>
      <c r="I2009" s="408">
        <f t="shared" si="478"/>
        <v>140.07839999999999</v>
      </c>
      <c r="J2009" s="400"/>
      <c r="K2009" s="495"/>
      <c r="L2009" s="401"/>
      <c r="M2009" s="404"/>
      <c r="N2009" s="404"/>
      <c r="O2009" s="404"/>
      <c r="P2009" s="404"/>
      <c r="Q2009" s="404"/>
      <c r="R2009" s="404"/>
      <c r="S2009" s="404"/>
      <c r="T2009" s="404"/>
      <c r="U2009" s="404"/>
      <c r="V2009" s="404"/>
      <c r="W2009" s="404"/>
      <c r="X2009" s="404"/>
      <c r="Y2009" s="404"/>
      <c r="Z2009" s="404"/>
      <c r="AA2009" s="404"/>
      <c r="AB2009" s="404"/>
      <c r="AC2009" s="404"/>
      <c r="AD2009" s="404"/>
      <c r="AE2009" s="404"/>
      <c r="AF2009" s="404"/>
      <c r="AG2009" s="404"/>
      <c r="AH2009" s="404"/>
      <c r="AI2009" s="404"/>
      <c r="AJ2009" s="404"/>
      <c r="AK2009" s="404"/>
      <c r="AL2009" s="404"/>
      <c r="AM2009" s="404"/>
      <c r="AN2009" s="404"/>
      <c r="AO2009" s="404"/>
      <c r="AP2009" s="404"/>
      <c r="AQ2009" s="404"/>
      <c r="AR2009" s="404"/>
      <c r="AS2009" s="404"/>
      <c r="AT2009" s="404"/>
      <c r="AU2009" s="404"/>
      <c r="AV2009" s="404"/>
      <c r="AW2009" s="404"/>
      <c r="AX2009" s="404"/>
      <c r="AY2009" s="404"/>
      <c r="AZ2009" s="404"/>
      <c r="BA2009" s="404"/>
      <c r="BB2009" s="404"/>
      <c r="BC2009" s="404"/>
      <c r="BD2009" s="404"/>
      <c r="BE2009" s="404"/>
      <c r="BF2009" s="404"/>
      <c r="BG2009" s="404"/>
      <c r="BH2009" s="404"/>
      <c r="BI2009" s="404"/>
      <c r="BJ2009" s="404"/>
      <c r="BK2009" s="404"/>
      <c r="BL2009" s="404"/>
    </row>
    <row r="2010" spans="1:64">
      <c r="A2010" s="454"/>
      <c r="B2010" s="454"/>
      <c r="C2010" s="483" t="s">
        <v>917</v>
      </c>
      <c r="D2010" s="491">
        <v>0.308</v>
      </c>
      <c r="E2010" s="426" t="s">
        <v>796</v>
      </c>
      <c r="F2010" s="409">
        <f>'[161]Civil-SOR'!$G$332</f>
        <v>36.5</v>
      </c>
      <c r="G2010" s="410">
        <v>1</v>
      </c>
      <c r="H2010" s="426" t="s">
        <v>826</v>
      </c>
      <c r="I2010" s="408">
        <f t="shared" si="478"/>
        <v>11.241999999999999</v>
      </c>
      <c r="J2010" s="400"/>
      <c r="K2010" s="495"/>
      <c r="L2010" s="401"/>
      <c r="M2010" s="404"/>
      <c r="N2010" s="404"/>
      <c r="O2010" s="404"/>
      <c r="P2010" s="404"/>
      <c r="Q2010" s="404"/>
      <c r="R2010" s="404"/>
      <c r="S2010" s="404"/>
      <c r="T2010" s="404"/>
      <c r="U2010" s="404"/>
      <c r="V2010" s="404"/>
      <c r="W2010" s="404"/>
      <c r="X2010" s="404"/>
      <c r="Y2010" s="404"/>
      <c r="Z2010" s="404"/>
      <c r="AA2010" s="404"/>
      <c r="AB2010" s="404"/>
      <c r="AC2010" s="404"/>
      <c r="AD2010" s="404"/>
      <c r="AE2010" s="404"/>
      <c r="AF2010" s="404"/>
      <c r="AG2010" s="404"/>
      <c r="AH2010" s="404"/>
      <c r="AI2010" s="404"/>
      <c r="AJ2010" s="404"/>
      <c r="AK2010" s="404"/>
      <c r="AL2010" s="404"/>
      <c r="AM2010" s="404"/>
      <c r="AN2010" s="404"/>
      <c r="AO2010" s="404"/>
      <c r="AP2010" s="404"/>
      <c r="AQ2010" s="404"/>
      <c r="AR2010" s="404"/>
      <c r="AS2010" s="404"/>
      <c r="AT2010" s="404"/>
      <c r="AU2010" s="404"/>
      <c r="AV2010" s="404"/>
      <c r="AW2010" s="404"/>
      <c r="AX2010" s="404"/>
      <c r="AY2010" s="404"/>
      <c r="AZ2010" s="404"/>
      <c r="BA2010" s="404"/>
      <c r="BB2010" s="404"/>
      <c r="BC2010" s="404"/>
      <c r="BD2010" s="404"/>
      <c r="BE2010" s="404"/>
      <c r="BF2010" s="404"/>
      <c r="BG2010" s="404"/>
      <c r="BH2010" s="404"/>
      <c r="BI2010" s="404"/>
      <c r="BJ2010" s="404"/>
      <c r="BK2010" s="404"/>
      <c r="BL2010" s="404"/>
    </row>
    <row r="2011" spans="1:64">
      <c r="A2011" s="454"/>
      <c r="B2011" s="454"/>
      <c r="C2011" s="483" t="s">
        <v>828</v>
      </c>
      <c r="D2011" s="491">
        <v>0.308</v>
      </c>
      <c r="E2011" s="426" t="s">
        <v>796</v>
      </c>
      <c r="F2011" s="409">
        <f>'[161]Civil-SOR'!$J$332</f>
        <v>218</v>
      </c>
      <c r="G2011" s="410">
        <v>1</v>
      </c>
      <c r="H2011" s="426" t="s">
        <v>826</v>
      </c>
      <c r="I2011" s="408">
        <f t="shared" si="478"/>
        <v>67.144000000000005</v>
      </c>
      <c r="J2011" s="400"/>
      <c r="K2011" s="495"/>
      <c r="L2011" s="401"/>
      <c r="M2011" s="404"/>
      <c r="N2011" s="404"/>
      <c r="O2011" s="404"/>
      <c r="P2011" s="404"/>
      <c r="Q2011" s="404"/>
      <c r="R2011" s="404"/>
      <c r="S2011" s="404"/>
      <c r="T2011" s="404"/>
      <c r="U2011" s="404"/>
      <c r="V2011" s="404"/>
      <c r="W2011" s="404"/>
      <c r="X2011" s="404"/>
      <c r="Y2011" s="404"/>
      <c r="Z2011" s="404"/>
      <c r="AA2011" s="404"/>
      <c r="AB2011" s="404"/>
      <c r="AC2011" s="404"/>
      <c r="AD2011" s="404"/>
      <c r="AE2011" s="404"/>
      <c r="AF2011" s="404"/>
      <c r="AG2011" s="404"/>
      <c r="AH2011" s="404"/>
      <c r="AI2011" s="404"/>
      <c r="AJ2011" s="404"/>
      <c r="AK2011" s="404"/>
      <c r="AL2011" s="404"/>
      <c r="AM2011" s="404"/>
      <c r="AN2011" s="404"/>
      <c r="AO2011" s="404"/>
      <c r="AP2011" s="404"/>
      <c r="AQ2011" s="404"/>
      <c r="AR2011" s="404"/>
      <c r="AS2011" s="404"/>
      <c r="AT2011" s="404"/>
      <c r="AU2011" s="404"/>
      <c r="AV2011" s="404"/>
      <c r="AW2011" s="404"/>
      <c r="AX2011" s="404"/>
      <c r="AY2011" s="404"/>
      <c r="AZ2011" s="404"/>
      <c r="BA2011" s="404"/>
      <c r="BB2011" s="404"/>
      <c r="BC2011" s="404"/>
      <c r="BD2011" s="404"/>
      <c r="BE2011" s="404"/>
      <c r="BF2011" s="404"/>
      <c r="BG2011" s="404"/>
      <c r="BH2011" s="404"/>
      <c r="BI2011" s="404"/>
      <c r="BJ2011" s="404"/>
      <c r="BK2011" s="404"/>
      <c r="BL2011" s="404"/>
    </row>
    <row r="2012" spans="1:64">
      <c r="A2012" s="454"/>
      <c r="B2012" s="454"/>
      <c r="C2012" s="417" t="s">
        <v>799</v>
      </c>
      <c r="D2012" s="408">
        <f>[161]Input!$D$47</f>
        <v>0.4</v>
      </c>
      <c r="E2012" s="408"/>
      <c r="F2012" s="408">
        <f>I2009+I2011</f>
        <v>207.22239999999999</v>
      </c>
      <c r="G2012" s="430"/>
      <c r="H2012" s="430"/>
      <c r="I2012" s="408">
        <f t="shared" si="478"/>
        <v>82.888959999999997</v>
      </c>
      <c r="J2012" s="400"/>
      <c r="K2012" s="495"/>
      <c r="L2012" s="401"/>
      <c r="M2012" s="404"/>
      <c r="N2012" s="404"/>
      <c r="O2012" s="404"/>
      <c r="P2012" s="404"/>
      <c r="Q2012" s="404"/>
      <c r="R2012" s="404"/>
      <c r="S2012" s="404"/>
      <c r="T2012" s="404"/>
      <c r="U2012" s="404"/>
      <c r="V2012" s="404"/>
      <c r="W2012" s="404"/>
      <c r="X2012" s="404"/>
      <c r="Y2012" s="404"/>
      <c r="Z2012" s="404"/>
      <c r="AA2012" s="404"/>
      <c r="AB2012" s="404"/>
      <c r="AC2012" s="404"/>
      <c r="AD2012" s="404"/>
      <c r="AE2012" s="404"/>
      <c r="AF2012" s="404"/>
      <c r="AG2012" s="404"/>
      <c r="AH2012" s="404"/>
      <c r="AI2012" s="404"/>
      <c r="AJ2012" s="404"/>
      <c r="AK2012" s="404"/>
      <c r="AL2012" s="404"/>
      <c r="AM2012" s="404"/>
      <c r="AN2012" s="404"/>
      <c r="AO2012" s="404"/>
      <c r="AP2012" s="404"/>
      <c r="AQ2012" s="404"/>
      <c r="AR2012" s="404"/>
      <c r="AS2012" s="404"/>
      <c r="AT2012" s="404"/>
      <c r="AU2012" s="404"/>
      <c r="AV2012" s="404"/>
      <c r="AW2012" s="404"/>
      <c r="AX2012" s="404"/>
      <c r="AY2012" s="404"/>
      <c r="AZ2012" s="404"/>
      <c r="BA2012" s="404"/>
      <c r="BB2012" s="404"/>
      <c r="BC2012" s="404"/>
      <c r="BD2012" s="404"/>
      <c r="BE2012" s="404"/>
      <c r="BF2012" s="404"/>
      <c r="BG2012" s="404"/>
      <c r="BH2012" s="404"/>
      <c r="BI2012" s="404"/>
      <c r="BJ2012" s="404"/>
      <c r="BK2012" s="404"/>
      <c r="BL2012" s="404"/>
    </row>
    <row r="2013" spans="1:64" ht="13">
      <c r="A2013" s="454"/>
      <c r="B2013" s="454"/>
      <c r="C2013" s="427" t="s">
        <v>880</v>
      </c>
      <c r="D2013" s="408"/>
      <c r="E2013" s="454"/>
      <c r="F2013" s="408"/>
      <c r="G2013" s="430"/>
      <c r="H2013" s="454"/>
      <c r="I2013" s="408"/>
      <c r="J2013" s="400"/>
      <c r="K2013" s="495"/>
      <c r="L2013" s="401"/>
      <c r="M2013" s="404"/>
      <c r="N2013" s="404"/>
      <c r="O2013" s="404"/>
      <c r="P2013" s="404"/>
      <c r="Q2013" s="404"/>
      <c r="R2013" s="404"/>
      <c r="S2013" s="404"/>
      <c r="T2013" s="404"/>
      <c r="U2013" s="404"/>
      <c r="V2013" s="404"/>
      <c r="W2013" s="404"/>
      <c r="X2013" s="404"/>
      <c r="Y2013" s="404"/>
      <c r="Z2013" s="404"/>
      <c r="AA2013" s="404"/>
      <c r="AB2013" s="404"/>
      <c r="AC2013" s="404"/>
      <c r="AD2013" s="404"/>
      <c r="AE2013" s="404"/>
      <c r="AF2013" s="404"/>
      <c r="AG2013" s="404"/>
      <c r="AH2013" s="404"/>
      <c r="AI2013" s="404"/>
      <c r="AJ2013" s="404"/>
      <c r="AK2013" s="404"/>
      <c r="AL2013" s="404"/>
      <c r="AM2013" s="404"/>
      <c r="AN2013" s="404"/>
      <c r="AO2013" s="404"/>
      <c r="AP2013" s="404"/>
      <c r="AQ2013" s="404"/>
      <c r="AR2013" s="404"/>
      <c r="AS2013" s="404"/>
      <c r="AT2013" s="404"/>
      <c r="AU2013" s="404"/>
      <c r="AV2013" s="404"/>
      <c r="AW2013" s="404"/>
      <c r="AX2013" s="404"/>
      <c r="AY2013" s="404"/>
      <c r="AZ2013" s="404"/>
      <c r="BA2013" s="404"/>
      <c r="BB2013" s="404"/>
      <c r="BC2013" s="404"/>
      <c r="BD2013" s="404"/>
      <c r="BE2013" s="404"/>
      <c r="BF2013" s="404"/>
      <c r="BG2013" s="404"/>
      <c r="BH2013" s="404"/>
      <c r="BI2013" s="404"/>
      <c r="BJ2013" s="404"/>
      <c r="BK2013" s="404"/>
      <c r="BL2013" s="404"/>
    </row>
    <row r="2014" spans="1:64">
      <c r="A2014" s="454"/>
      <c r="B2014" s="454"/>
      <c r="C2014" s="417" t="s">
        <v>881</v>
      </c>
      <c r="D2014" s="532">
        <v>6.7000000000000004E-2</v>
      </c>
      <c r="E2014" s="454" t="s">
        <v>375</v>
      </c>
      <c r="F2014" s="408">
        <f>'[161]Civil-SOR'!$G$293</f>
        <v>580</v>
      </c>
      <c r="G2014" s="430">
        <v>1</v>
      </c>
      <c r="H2014" s="454" t="str">
        <f t="shared" ref="H2014:H2016" si="479">IF(E2014="","",IF(E2014="No.","Each",IF(E2014="Nos.","Each",E2014)))</f>
        <v>Each</v>
      </c>
      <c r="I2014" s="408">
        <f t="shared" ref="I2014:I2017" si="480">IF(G2014="",D2014*F2014,(D2014*F2014/G2014))</f>
        <v>38.86</v>
      </c>
      <c r="J2014" s="400"/>
      <c r="K2014" s="495"/>
      <c r="L2014" s="401"/>
      <c r="M2014" s="404"/>
      <c r="N2014" s="404"/>
      <c r="O2014" s="404"/>
      <c r="P2014" s="404"/>
      <c r="Q2014" s="404"/>
      <c r="R2014" s="404"/>
      <c r="S2014" s="404"/>
      <c r="T2014" s="404"/>
      <c r="U2014" s="404"/>
      <c r="V2014" s="404"/>
      <c r="W2014" s="404"/>
      <c r="X2014" s="404"/>
      <c r="Y2014" s="404"/>
      <c r="Z2014" s="404"/>
      <c r="AA2014" s="404"/>
      <c r="AB2014" s="404"/>
      <c r="AC2014" s="404"/>
      <c r="AD2014" s="404"/>
      <c r="AE2014" s="404"/>
      <c r="AF2014" s="404"/>
      <c r="AG2014" s="404"/>
      <c r="AH2014" s="404"/>
      <c r="AI2014" s="404"/>
      <c r="AJ2014" s="404"/>
      <c r="AK2014" s="404"/>
      <c r="AL2014" s="404"/>
      <c r="AM2014" s="404"/>
      <c r="AN2014" s="404"/>
      <c r="AO2014" s="404"/>
      <c r="AP2014" s="404"/>
      <c r="AQ2014" s="404"/>
      <c r="AR2014" s="404"/>
      <c r="AS2014" s="404"/>
      <c r="AT2014" s="404"/>
      <c r="AU2014" s="404"/>
      <c r="AV2014" s="404"/>
      <c r="AW2014" s="404"/>
      <c r="AX2014" s="404"/>
      <c r="AY2014" s="404"/>
      <c r="AZ2014" s="404"/>
      <c r="BA2014" s="404"/>
      <c r="BB2014" s="404"/>
      <c r="BC2014" s="404"/>
      <c r="BD2014" s="404"/>
      <c r="BE2014" s="404"/>
      <c r="BF2014" s="404"/>
      <c r="BG2014" s="404"/>
      <c r="BH2014" s="404"/>
      <c r="BI2014" s="404"/>
      <c r="BJ2014" s="404"/>
      <c r="BK2014" s="404"/>
      <c r="BL2014" s="404"/>
    </row>
    <row r="2015" spans="1:64">
      <c r="A2015" s="454"/>
      <c r="B2015" s="454"/>
      <c r="C2015" s="417" t="s">
        <v>771</v>
      </c>
      <c r="D2015" s="532">
        <v>0.13300000000000001</v>
      </c>
      <c r="E2015" s="454" t="s">
        <v>375</v>
      </c>
      <c r="F2015" s="408">
        <f>'[161]Civil-SOR'!$G$302</f>
        <v>550</v>
      </c>
      <c r="G2015" s="430">
        <v>1</v>
      </c>
      <c r="H2015" s="454" t="str">
        <f t="shared" si="479"/>
        <v>Each</v>
      </c>
      <c r="I2015" s="408">
        <f t="shared" si="480"/>
        <v>73.150000000000006</v>
      </c>
      <c r="J2015" s="400"/>
      <c r="K2015" s="495"/>
      <c r="L2015" s="401"/>
      <c r="M2015" s="404"/>
      <c r="N2015" s="404"/>
      <c r="O2015" s="404"/>
      <c r="P2015" s="404"/>
      <c r="Q2015" s="404"/>
      <c r="R2015" s="404"/>
      <c r="S2015" s="404"/>
      <c r="T2015" s="404"/>
      <c r="U2015" s="404"/>
      <c r="V2015" s="404"/>
      <c r="W2015" s="404"/>
      <c r="X2015" s="404"/>
      <c r="Y2015" s="404"/>
      <c r="Z2015" s="404"/>
      <c r="AA2015" s="404"/>
      <c r="AB2015" s="404"/>
      <c r="AC2015" s="404"/>
      <c r="AD2015" s="404"/>
      <c r="AE2015" s="404"/>
      <c r="AF2015" s="404"/>
      <c r="AG2015" s="404"/>
      <c r="AH2015" s="404"/>
      <c r="AI2015" s="404"/>
      <c r="AJ2015" s="404"/>
      <c r="AK2015" s="404"/>
      <c r="AL2015" s="404"/>
      <c r="AM2015" s="404"/>
      <c r="AN2015" s="404"/>
      <c r="AO2015" s="404"/>
      <c r="AP2015" s="404"/>
      <c r="AQ2015" s="404"/>
      <c r="AR2015" s="404"/>
      <c r="AS2015" s="404"/>
      <c r="AT2015" s="404"/>
      <c r="AU2015" s="404"/>
      <c r="AV2015" s="404"/>
      <c r="AW2015" s="404"/>
      <c r="AX2015" s="404"/>
      <c r="AY2015" s="404"/>
      <c r="AZ2015" s="404"/>
      <c r="BA2015" s="404"/>
      <c r="BB2015" s="404"/>
      <c r="BC2015" s="404"/>
      <c r="BD2015" s="404"/>
      <c r="BE2015" s="404"/>
      <c r="BF2015" s="404"/>
      <c r="BG2015" s="404"/>
      <c r="BH2015" s="404"/>
      <c r="BI2015" s="404"/>
      <c r="BJ2015" s="404"/>
      <c r="BK2015" s="404"/>
      <c r="BL2015" s="404"/>
    </row>
    <row r="2016" spans="1:64">
      <c r="A2016" s="454"/>
      <c r="B2016" s="454"/>
      <c r="C2016" s="417" t="s">
        <v>903</v>
      </c>
      <c r="D2016" s="532">
        <v>3.077</v>
      </c>
      <c r="E2016" s="454" t="s">
        <v>375</v>
      </c>
      <c r="F2016" s="408">
        <f>'[161]Civil-SOR'!$G$307</f>
        <v>520</v>
      </c>
      <c r="G2016" s="430">
        <v>1</v>
      </c>
      <c r="H2016" s="454" t="str">
        <f t="shared" si="479"/>
        <v>Each</v>
      </c>
      <c r="I2016" s="408">
        <f t="shared" si="480"/>
        <v>1600.04</v>
      </c>
      <c r="J2016" s="400"/>
      <c r="K2016" s="495"/>
      <c r="L2016" s="401"/>
      <c r="M2016" s="404"/>
      <c r="N2016" s="404"/>
      <c r="O2016" s="404"/>
      <c r="P2016" s="404"/>
      <c r="Q2016" s="404"/>
      <c r="R2016" s="404"/>
      <c r="S2016" s="404"/>
      <c r="T2016" s="404"/>
      <c r="U2016" s="404"/>
      <c r="V2016" s="404"/>
      <c r="W2016" s="404"/>
      <c r="X2016" s="404"/>
      <c r="Y2016" s="404"/>
      <c r="Z2016" s="404"/>
      <c r="AA2016" s="404"/>
      <c r="AB2016" s="404"/>
      <c r="AC2016" s="404"/>
      <c r="AD2016" s="404"/>
      <c r="AE2016" s="404"/>
      <c r="AF2016" s="404"/>
      <c r="AG2016" s="404"/>
      <c r="AH2016" s="404"/>
      <c r="AI2016" s="404"/>
      <c r="AJ2016" s="404"/>
      <c r="AK2016" s="404"/>
      <c r="AL2016" s="404"/>
      <c r="AM2016" s="404"/>
      <c r="AN2016" s="404"/>
      <c r="AO2016" s="404"/>
      <c r="AP2016" s="404"/>
      <c r="AQ2016" s="404"/>
      <c r="AR2016" s="404"/>
      <c r="AS2016" s="404"/>
      <c r="AT2016" s="404"/>
      <c r="AU2016" s="404"/>
      <c r="AV2016" s="404"/>
      <c r="AW2016" s="404"/>
      <c r="AX2016" s="404"/>
      <c r="AY2016" s="404"/>
      <c r="AZ2016" s="404"/>
      <c r="BA2016" s="404"/>
      <c r="BB2016" s="404"/>
      <c r="BC2016" s="404"/>
      <c r="BD2016" s="404"/>
      <c r="BE2016" s="404"/>
      <c r="BF2016" s="404"/>
      <c r="BG2016" s="404"/>
      <c r="BH2016" s="404"/>
      <c r="BI2016" s="404"/>
      <c r="BJ2016" s="404"/>
      <c r="BK2016" s="404"/>
      <c r="BL2016" s="404"/>
    </row>
    <row r="2017" spans="1:64">
      <c r="A2017" s="454"/>
      <c r="B2017" s="454"/>
      <c r="C2017" s="417" t="str">
        <f>[161]Input!$C$47</f>
        <v>Add for MA @ 40%</v>
      </c>
      <c r="D2017" s="408">
        <f>[161]Input!$D$47</f>
        <v>0.4</v>
      </c>
      <c r="E2017" s="454"/>
      <c r="F2017" s="408">
        <f>SUM(I2014:I2016)</f>
        <v>1712.05</v>
      </c>
      <c r="G2017" s="430"/>
      <c r="H2017" s="454"/>
      <c r="I2017" s="408">
        <f t="shared" si="480"/>
        <v>684.82</v>
      </c>
      <c r="J2017" s="400"/>
      <c r="K2017" s="495"/>
      <c r="L2017" s="401"/>
      <c r="M2017" s="404"/>
      <c r="N2017" s="404"/>
      <c r="O2017" s="404"/>
      <c r="P2017" s="404"/>
      <c r="Q2017" s="404"/>
      <c r="R2017" s="404"/>
      <c r="S2017" s="404"/>
      <c r="T2017" s="404"/>
      <c r="U2017" s="404"/>
      <c r="V2017" s="404"/>
      <c r="W2017" s="404"/>
      <c r="X2017" s="404"/>
      <c r="Y2017" s="404"/>
      <c r="Z2017" s="404"/>
      <c r="AA2017" s="404"/>
      <c r="AB2017" s="404"/>
      <c r="AC2017" s="404"/>
      <c r="AD2017" s="404"/>
      <c r="AE2017" s="404"/>
      <c r="AF2017" s="404"/>
      <c r="AG2017" s="404"/>
      <c r="AH2017" s="404"/>
      <c r="AI2017" s="404"/>
      <c r="AJ2017" s="404"/>
      <c r="AK2017" s="404"/>
      <c r="AL2017" s="404"/>
      <c r="AM2017" s="404"/>
      <c r="AN2017" s="404"/>
      <c r="AO2017" s="404"/>
      <c r="AP2017" s="404"/>
      <c r="AQ2017" s="404"/>
      <c r="AR2017" s="404"/>
      <c r="AS2017" s="404"/>
      <c r="AT2017" s="404"/>
      <c r="AU2017" s="404"/>
      <c r="AV2017" s="404"/>
      <c r="AW2017" s="404"/>
      <c r="AX2017" s="404"/>
      <c r="AY2017" s="404"/>
      <c r="AZ2017" s="404"/>
      <c r="BA2017" s="404"/>
      <c r="BB2017" s="404"/>
      <c r="BC2017" s="404"/>
      <c r="BD2017" s="404"/>
      <c r="BE2017" s="404"/>
      <c r="BF2017" s="404"/>
      <c r="BG2017" s="404"/>
      <c r="BH2017" s="404"/>
      <c r="BI2017" s="404"/>
      <c r="BJ2017" s="404"/>
      <c r="BK2017" s="404"/>
      <c r="BL2017" s="404"/>
    </row>
    <row r="2018" spans="1:64" ht="13">
      <c r="A2018" s="454"/>
      <c r="B2018" s="454"/>
      <c r="C2018" s="427" t="s">
        <v>724</v>
      </c>
      <c r="D2018" s="408"/>
      <c r="E2018" s="454"/>
      <c r="F2018" s="408"/>
      <c r="G2018" s="430"/>
      <c r="H2018" s="415"/>
      <c r="I2018" s="414">
        <f>SUM(I2003:I2017)</f>
        <v>6685.62176</v>
      </c>
      <c r="J2018" s="400"/>
      <c r="K2018" s="495"/>
      <c r="L2018" s="401"/>
      <c r="M2018" s="404"/>
      <c r="N2018" s="404"/>
      <c r="O2018" s="404"/>
      <c r="P2018" s="404"/>
      <c r="Q2018" s="404"/>
      <c r="R2018" s="404"/>
      <c r="S2018" s="404"/>
      <c r="T2018" s="404"/>
      <c r="U2018" s="404"/>
      <c r="V2018" s="404"/>
      <c r="W2018" s="404"/>
      <c r="X2018" s="404"/>
      <c r="Y2018" s="404"/>
      <c r="Z2018" s="404"/>
      <c r="AA2018" s="404"/>
      <c r="AB2018" s="404"/>
      <c r="AC2018" s="404"/>
      <c r="AD2018" s="404"/>
      <c r="AE2018" s="404"/>
      <c r="AF2018" s="404"/>
      <c r="AG2018" s="404"/>
      <c r="AH2018" s="404"/>
      <c r="AI2018" s="404"/>
      <c r="AJ2018" s="404"/>
      <c r="AK2018" s="404"/>
      <c r="AL2018" s="404"/>
      <c r="AM2018" s="404"/>
      <c r="AN2018" s="404"/>
      <c r="AO2018" s="404"/>
      <c r="AP2018" s="404"/>
      <c r="AQ2018" s="404"/>
      <c r="AR2018" s="404"/>
      <c r="AS2018" s="404"/>
      <c r="AT2018" s="404"/>
      <c r="AU2018" s="404"/>
      <c r="AV2018" s="404"/>
      <c r="AW2018" s="404"/>
      <c r="AX2018" s="404"/>
      <c r="AY2018" s="404"/>
      <c r="AZ2018" s="404"/>
      <c r="BA2018" s="404"/>
      <c r="BB2018" s="404"/>
      <c r="BC2018" s="404"/>
      <c r="BD2018" s="404"/>
      <c r="BE2018" s="404"/>
      <c r="BF2018" s="404"/>
      <c r="BG2018" s="404"/>
      <c r="BH2018" s="404"/>
      <c r="BI2018" s="404"/>
      <c r="BJ2018" s="404"/>
      <c r="BK2018" s="404"/>
      <c r="BL2018" s="404"/>
    </row>
    <row r="2019" spans="1:64" ht="13">
      <c r="A2019" s="454"/>
      <c r="B2019" s="454"/>
      <c r="C2019" s="427"/>
      <c r="D2019" s="416"/>
      <c r="E2019" s="416"/>
      <c r="F2019" s="416"/>
      <c r="G2019" s="416"/>
      <c r="H2019" s="416"/>
      <c r="I2019" s="414"/>
      <c r="J2019" s="400"/>
      <c r="K2019" s="401"/>
      <c r="L2019" s="401"/>
    </row>
    <row r="2020" spans="1:64" ht="13">
      <c r="A2020" s="454"/>
      <c r="B2020" s="454"/>
      <c r="C2020" s="526" t="s">
        <v>953</v>
      </c>
      <c r="D2020" s="414" t="s">
        <v>959</v>
      </c>
      <c r="E2020" s="414" t="s">
        <v>943</v>
      </c>
      <c r="F2020" s="414" t="s">
        <v>944</v>
      </c>
      <c r="G2020" s="414" t="s">
        <v>1036</v>
      </c>
      <c r="H2020" s="414" t="s">
        <v>1037</v>
      </c>
      <c r="I2020" s="414" t="s">
        <v>1038</v>
      </c>
      <c r="J2020" s="535" t="s">
        <v>948</v>
      </c>
      <c r="K2020" s="536" t="s">
        <v>949</v>
      </c>
      <c r="L2020" s="536" t="s">
        <v>950</v>
      </c>
    </row>
    <row r="2021" spans="1:64">
      <c r="A2021" s="454"/>
      <c r="B2021" s="454"/>
      <c r="C2021" s="417" t="s">
        <v>1092</v>
      </c>
      <c r="D2021" s="408">
        <f t="shared" ref="D2021:L2021" si="481">$I$2018</f>
        <v>6685.62176</v>
      </c>
      <c r="E2021" s="408">
        <f t="shared" si="481"/>
        <v>6685.62176</v>
      </c>
      <c r="F2021" s="408">
        <f t="shared" si="481"/>
        <v>6685.62176</v>
      </c>
      <c r="G2021" s="408">
        <f t="shared" si="481"/>
        <v>6685.62176</v>
      </c>
      <c r="H2021" s="408">
        <f t="shared" si="481"/>
        <v>6685.62176</v>
      </c>
      <c r="I2021" s="408">
        <f t="shared" si="481"/>
        <v>6685.62176</v>
      </c>
      <c r="J2021" s="575">
        <f t="shared" si="481"/>
        <v>6685.62176</v>
      </c>
      <c r="K2021" s="644">
        <f t="shared" si="481"/>
        <v>6685.62176</v>
      </c>
      <c r="L2021" s="644">
        <f t="shared" si="481"/>
        <v>6685.62176</v>
      </c>
    </row>
    <row r="2022" spans="1:64">
      <c r="A2022" s="454"/>
      <c r="B2022" s="454"/>
      <c r="C2022" s="483" t="s">
        <v>921</v>
      </c>
      <c r="D2022" s="408">
        <f>'[161]Civil-SOR'!$F$258</f>
        <v>72</v>
      </c>
      <c r="E2022" s="408">
        <f>'[161]Civil-SOR'!$F$258</f>
        <v>72</v>
      </c>
      <c r="F2022" s="408">
        <f>'[161]Civil-SOR'!$F$258</f>
        <v>72</v>
      </c>
      <c r="G2022" s="408">
        <f>'[161]Civil-SOR'!$F$258</f>
        <v>72</v>
      </c>
      <c r="H2022" s="408">
        <f>'[161]Civil-SOR'!$F$258</f>
        <v>72</v>
      </c>
      <c r="I2022" s="408">
        <f>'[161]Civil-SOR'!$F$258</f>
        <v>72</v>
      </c>
      <c r="J2022" s="575">
        <f>'[161]Civil-SOR'!$F$258</f>
        <v>72</v>
      </c>
      <c r="K2022" s="644">
        <f>'[161]Civil-SOR'!$F$258</f>
        <v>72</v>
      </c>
      <c r="L2022" s="644">
        <f>'[161]Civil-SOR'!$F$258</f>
        <v>72</v>
      </c>
    </row>
    <row r="2023" spans="1:64">
      <c r="A2023" s="454"/>
      <c r="B2023" s="454"/>
      <c r="C2023" s="417" t="s">
        <v>1010</v>
      </c>
      <c r="D2023" s="408">
        <f>'[161]Civil-SOR'!$G$258</f>
        <v>392</v>
      </c>
      <c r="E2023" s="408">
        <f>'[161]Civil-SOR'!$H$258</f>
        <v>431.20000000000005</v>
      </c>
      <c r="F2023" s="408">
        <f>'[161]Civil-SOR'!$I$258</f>
        <v>470.4</v>
      </c>
      <c r="G2023" s="408">
        <f>'[161]Civil-SOR'!$J$258</f>
        <v>509.6</v>
      </c>
      <c r="H2023" s="408">
        <f>'[161]Civil-SOR'!$K$258</f>
        <v>548.79999999999995</v>
      </c>
      <c r="I2023" s="408">
        <f>'[161]Civil-SOR'!$L$258</f>
        <v>588</v>
      </c>
      <c r="J2023" s="575">
        <f>'[161]Civil-SOR'!$M$258</f>
        <v>627.20000000000005</v>
      </c>
      <c r="K2023" s="644">
        <f>'[161]Civil-SOR'!$N$258</f>
        <v>666.4</v>
      </c>
      <c r="L2023" s="644">
        <f>'[161]Civil-SOR'!$O$258</f>
        <v>705.6</v>
      </c>
    </row>
    <row r="2024" spans="1:64">
      <c r="A2024" s="454"/>
      <c r="B2024" s="454"/>
      <c r="C2024" s="417" t="str">
        <f>[161]Input!$C$47</f>
        <v>Add for MA @ 40%</v>
      </c>
      <c r="D2024" s="408">
        <f>D2023*[161]Input!$D$47</f>
        <v>156.80000000000001</v>
      </c>
      <c r="E2024" s="408">
        <f>E2023*[161]Input!$D$47</f>
        <v>172.48000000000002</v>
      </c>
      <c r="F2024" s="408">
        <f>F2023*[161]Input!$D$47</f>
        <v>188.16</v>
      </c>
      <c r="G2024" s="408">
        <f>G2023*[161]Input!$D$47</f>
        <v>203.84000000000003</v>
      </c>
      <c r="H2024" s="408">
        <f>H2023*[161]Input!$D$47</f>
        <v>219.51999999999998</v>
      </c>
      <c r="I2024" s="408">
        <f>I2023*[161]Input!$D$47</f>
        <v>235.20000000000002</v>
      </c>
      <c r="J2024" s="575">
        <f>J2023*[161]Input!$D$47</f>
        <v>250.88000000000002</v>
      </c>
      <c r="K2024" s="644">
        <f>K2023*[161]Input!$D$47</f>
        <v>266.56</v>
      </c>
      <c r="L2024" s="644">
        <f>L2023*[161]Input!$D$47</f>
        <v>282.24</v>
      </c>
    </row>
    <row r="2025" spans="1:64">
      <c r="A2025" s="454"/>
      <c r="B2025" s="454"/>
      <c r="C2025" s="417" t="s">
        <v>994</v>
      </c>
      <c r="D2025" s="408">
        <v>0</v>
      </c>
      <c r="E2025" s="408">
        <f>$F$2017*10%</f>
        <v>171.20500000000001</v>
      </c>
      <c r="F2025" s="408">
        <f>$F$2017*20%</f>
        <v>342.41</v>
      </c>
      <c r="G2025" s="408">
        <f>$F$2017*30%</f>
        <v>513.61500000000001</v>
      </c>
      <c r="H2025" s="408">
        <f>$F$2017*40%</f>
        <v>684.82</v>
      </c>
      <c r="I2025" s="408">
        <f>$F$2017*50%</f>
        <v>856.02499999999998</v>
      </c>
      <c r="J2025" s="575">
        <f>$F$2017*60%</f>
        <v>1027.23</v>
      </c>
      <c r="K2025" s="644">
        <f>$F$2017*70%</f>
        <v>1198.4349999999999</v>
      </c>
      <c r="L2025" s="644">
        <f>$F$2017*80%</f>
        <v>1369.64</v>
      </c>
    </row>
    <row r="2026" spans="1:64">
      <c r="A2026" s="454"/>
      <c r="B2026" s="454"/>
      <c r="C2026" s="417" t="str">
        <f>[161]Input!$C$47</f>
        <v>Add for MA @ 40%</v>
      </c>
      <c r="D2026" s="408">
        <f>D2025*[161]Input!$D$47</f>
        <v>0</v>
      </c>
      <c r="E2026" s="408">
        <f>E2025*[161]Input!$D$47</f>
        <v>68.482000000000014</v>
      </c>
      <c r="F2026" s="408">
        <f>F2025*[161]Input!$D$47</f>
        <v>136.96400000000003</v>
      </c>
      <c r="G2026" s="408">
        <f>G2025*[161]Input!$D$47</f>
        <v>205.44600000000003</v>
      </c>
      <c r="H2026" s="408">
        <f>H2025*[161]Input!$D$47</f>
        <v>273.92800000000005</v>
      </c>
      <c r="I2026" s="408">
        <f>I2025*[161]Input!$D$47</f>
        <v>342.41</v>
      </c>
      <c r="J2026" s="575">
        <f>J2025*[161]Input!$D$47</f>
        <v>410.89200000000005</v>
      </c>
      <c r="K2026" s="644">
        <f>K2025*[161]Input!$D$47</f>
        <v>479.37400000000002</v>
      </c>
      <c r="L2026" s="644">
        <f>L2025*[161]Input!$D$47</f>
        <v>547.85600000000011</v>
      </c>
    </row>
    <row r="2027" spans="1:64" ht="13">
      <c r="A2027" s="454"/>
      <c r="B2027" s="454"/>
      <c r="C2027" s="481" t="s">
        <v>724</v>
      </c>
      <c r="D2027" s="408">
        <f t="shared" ref="D2027:L2027" si="482">SUM(D2021:D2026)</f>
        <v>7306.4217600000002</v>
      </c>
      <c r="E2027" s="408">
        <f t="shared" si="482"/>
        <v>7600.9887600000002</v>
      </c>
      <c r="F2027" s="408">
        <f t="shared" si="482"/>
        <v>7895.5557599999993</v>
      </c>
      <c r="G2027" s="408">
        <f t="shared" si="482"/>
        <v>8190.1227600000002</v>
      </c>
      <c r="H2027" s="408">
        <f t="shared" si="482"/>
        <v>8484.6897599999993</v>
      </c>
      <c r="I2027" s="408">
        <f t="shared" si="482"/>
        <v>8779.2567600000002</v>
      </c>
      <c r="J2027" s="645">
        <f t="shared" si="482"/>
        <v>9073.8237599999993</v>
      </c>
      <c r="K2027" s="646">
        <f t="shared" si="482"/>
        <v>9368.3907600000002</v>
      </c>
      <c r="L2027" s="646">
        <f t="shared" si="482"/>
        <v>9662.9577599999993</v>
      </c>
      <c r="M2027" s="554"/>
      <c r="N2027" s="554"/>
      <c r="O2027" s="554"/>
      <c r="P2027" s="554"/>
      <c r="Q2027" s="554"/>
      <c r="R2027" s="554"/>
      <c r="S2027" s="554"/>
      <c r="T2027" s="554"/>
      <c r="U2027" s="554"/>
      <c r="V2027" s="554"/>
      <c r="W2027" s="554"/>
      <c r="X2027" s="554"/>
      <c r="Y2027" s="554"/>
      <c r="Z2027" s="554"/>
      <c r="AA2027" s="554"/>
      <c r="AB2027" s="554"/>
      <c r="AC2027" s="554"/>
      <c r="AD2027" s="554"/>
      <c r="AE2027" s="554"/>
      <c r="AF2027" s="554"/>
      <c r="AG2027" s="554"/>
      <c r="AH2027" s="554"/>
      <c r="AI2027" s="554"/>
      <c r="AJ2027" s="554"/>
      <c r="AK2027" s="554"/>
      <c r="AL2027" s="554"/>
      <c r="AM2027" s="554"/>
      <c r="AN2027" s="554"/>
      <c r="AO2027" s="554"/>
      <c r="AP2027" s="554"/>
      <c r="AQ2027" s="554"/>
      <c r="AR2027" s="554"/>
      <c r="AS2027" s="554"/>
      <c r="AT2027" s="554"/>
      <c r="AU2027" s="554"/>
      <c r="AV2027" s="554"/>
      <c r="AW2027" s="554"/>
      <c r="AX2027" s="554"/>
      <c r="AY2027" s="554"/>
      <c r="AZ2027" s="554"/>
      <c r="BA2027" s="554"/>
      <c r="BB2027" s="554"/>
      <c r="BC2027" s="554"/>
      <c r="BD2027" s="554"/>
      <c r="BE2027" s="554"/>
      <c r="BF2027" s="554"/>
      <c r="BG2027" s="554"/>
      <c r="BH2027" s="554"/>
      <c r="BI2027" s="554"/>
      <c r="BJ2027" s="554"/>
      <c r="BK2027" s="554"/>
      <c r="BL2027" s="554"/>
    </row>
    <row r="2028" spans="1:64" ht="25">
      <c r="A2028" s="454"/>
      <c r="B2028" s="454"/>
      <c r="C2028" s="417" t="str">
        <f>[161]Input!$C$48</f>
        <v>Overheads &amp; Contractors Profit @ 13.615%</v>
      </c>
      <c r="D2028" s="408">
        <f>D2027*[161]Input!$D$48</f>
        <v>994.76932262399998</v>
      </c>
      <c r="E2028" s="408">
        <f>E2027*[161]Input!$D$48</f>
        <v>1034.8746196740001</v>
      </c>
      <c r="F2028" s="408">
        <f>F2027*[161]Input!$D$48</f>
        <v>1074.9799167239998</v>
      </c>
      <c r="G2028" s="408">
        <f>G2027*[161]Input!$D$48</f>
        <v>1115.0852137740001</v>
      </c>
      <c r="H2028" s="408">
        <f>H2027*[161]Input!$D$48</f>
        <v>1155.1905108239998</v>
      </c>
      <c r="I2028" s="408">
        <f>I2027*[161]Input!$D$48</f>
        <v>1195.295807874</v>
      </c>
      <c r="J2028" s="575">
        <f>J2027*[161]Input!$D$48</f>
        <v>1235.4011049239998</v>
      </c>
      <c r="K2028" s="644">
        <f>K2027*[161]Input!$D$48</f>
        <v>1275.506401974</v>
      </c>
      <c r="L2028" s="644">
        <f>L2027*[161]Input!$D$48</f>
        <v>1315.6116990239998</v>
      </c>
    </row>
    <row r="2029" spans="1:64" ht="13">
      <c r="A2029" s="454"/>
      <c r="B2029" s="454"/>
      <c r="C2029" s="481" t="s">
        <v>724</v>
      </c>
      <c r="D2029" s="408">
        <f t="shared" ref="D2029:L2029" si="483">SUM(D2027:D2028)</f>
        <v>8301.191082624</v>
      </c>
      <c r="E2029" s="408">
        <f t="shared" si="483"/>
        <v>8635.8633796739996</v>
      </c>
      <c r="F2029" s="408">
        <f t="shared" si="483"/>
        <v>8970.5356767239991</v>
      </c>
      <c r="G2029" s="408">
        <f t="shared" si="483"/>
        <v>9305.2079737740005</v>
      </c>
      <c r="H2029" s="408">
        <f t="shared" si="483"/>
        <v>9639.880270824</v>
      </c>
      <c r="I2029" s="408">
        <f t="shared" si="483"/>
        <v>9974.5525678739996</v>
      </c>
      <c r="J2029" s="645">
        <f t="shared" si="483"/>
        <v>10309.224864923999</v>
      </c>
      <c r="K2029" s="646">
        <f t="shared" si="483"/>
        <v>10643.897161974</v>
      </c>
      <c r="L2029" s="646">
        <f t="shared" si="483"/>
        <v>10978.569459023998</v>
      </c>
      <c r="M2029" s="413"/>
      <c r="N2029" s="413"/>
      <c r="O2029" s="413"/>
      <c r="P2029" s="413"/>
      <c r="Q2029" s="413"/>
      <c r="R2029" s="413"/>
      <c r="S2029" s="413"/>
      <c r="T2029" s="413"/>
      <c r="U2029" s="413"/>
      <c r="V2029" s="413"/>
      <c r="W2029" s="413"/>
      <c r="X2029" s="413"/>
      <c r="Y2029" s="413"/>
      <c r="Z2029" s="413"/>
      <c r="AA2029" s="413"/>
      <c r="AB2029" s="413"/>
      <c r="AC2029" s="413"/>
      <c r="AD2029" s="413"/>
      <c r="AE2029" s="413"/>
      <c r="AF2029" s="413"/>
      <c r="AG2029" s="413"/>
      <c r="AH2029" s="413"/>
      <c r="AI2029" s="413"/>
      <c r="AJ2029" s="413"/>
      <c r="AK2029" s="413"/>
      <c r="AL2029" s="413"/>
      <c r="AM2029" s="413"/>
      <c r="AN2029" s="413"/>
      <c r="AO2029" s="413"/>
      <c r="AP2029" s="413"/>
      <c r="AQ2029" s="413"/>
      <c r="AR2029" s="413"/>
      <c r="AS2029" s="413"/>
      <c r="AT2029" s="413"/>
      <c r="AU2029" s="413"/>
      <c r="AV2029" s="413"/>
      <c r="AW2029" s="413"/>
      <c r="AX2029" s="413"/>
      <c r="AY2029" s="413"/>
      <c r="AZ2029" s="413"/>
      <c r="BA2029" s="413"/>
      <c r="BB2029" s="413"/>
      <c r="BC2029" s="413"/>
      <c r="BD2029" s="413"/>
      <c r="BE2029" s="413"/>
      <c r="BF2029" s="413"/>
      <c r="BG2029" s="413"/>
      <c r="BH2029" s="413"/>
      <c r="BI2029" s="413"/>
      <c r="BJ2029" s="413"/>
      <c r="BK2029" s="413"/>
      <c r="BL2029" s="413"/>
    </row>
    <row r="2030" spans="1:64" ht="13">
      <c r="A2030" s="454"/>
      <c r="B2030" s="454"/>
      <c r="C2030" s="522" t="s">
        <v>726</v>
      </c>
      <c r="D2030" s="416">
        <f t="shared" ref="D2030:L2030" si="484">ROUND(D2029,0)</f>
        <v>8301</v>
      </c>
      <c r="E2030" s="416">
        <f t="shared" si="484"/>
        <v>8636</v>
      </c>
      <c r="F2030" s="416">
        <f t="shared" si="484"/>
        <v>8971</v>
      </c>
      <c r="G2030" s="416">
        <f t="shared" si="484"/>
        <v>9305</v>
      </c>
      <c r="H2030" s="416">
        <f t="shared" si="484"/>
        <v>9640</v>
      </c>
      <c r="I2030" s="416">
        <f t="shared" si="484"/>
        <v>9975</v>
      </c>
      <c r="J2030" s="533">
        <f t="shared" si="484"/>
        <v>10309</v>
      </c>
      <c r="K2030" s="534">
        <f t="shared" si="484"/>
        <v>10644</v>
      </c>
      <c r="L2030" s="534">
        <f t="shared" si="484"/>
        <v>10979</v>
      </c>
      <c r="M2030" s="413"/>
      <c r="N2030" s="413"/>
      <c r="O2030" s="413"/>
      <c r="P2030" s="413"/>
      <c r="Q2030" s="413"/>
      <c r="R2030" s="413"/>
      <c r="S2030" s="413"/>
      <c r="T2030" s="413"/>
      <c r="U2030" s="413"/>
      <c r="V2030" s="413"/>
      <c r="W2030" s="413"/>
      <c r="X2030" s="413"/>
      <c r="Y2030" s="413"/>
      <c r="Z2030" s="413"/>
      <c r="AA2030" s="413"/>
      <c r="AB2030" s="413"/>
      <c r="AC2030" s="413"/>
      <c r="AD2030" s="413"/>
      <c r="AE2030" s="413"/>
      <c r="AF2030" s="413"/>
      <c r="AG2030" s="413"/>
      <c r="AH2030" s="413"/>
      <c r="AI2030" s="413"/>
      <c r="AJ2030" s="413"/>
      <c r="AK2030" s="413"/>
      <c r="AL2030" s="413"/>
      <c r="AM2030" s="413"/>
      <c r="AN2030" s="413"/>
      <c r="AO2030" s="413"/>
      <c r="AP2030" s="413"/>
      <c r="AQ2030" s="413"/>
      <c r="AR2030" s="413"/>
      <c r="AS2030" s="413"/>
      <c r="AT2030" s="413"/>
      <c r="AU2030" s="413"/>
      <c r="AV2030" s="413"/>
      <c r="AW2030" s="413"/>
      <c r="AX2030" s="413"/>
      <c r="AY2030" s="413"/>
      <c r="AZ2030" s="413"/>
      <c r="BA2030" s="413"/>
      <c r="BB2030" s="413"/>
      <c r="BC2030" s="413"/>
      <c r="BD2030" s="413"/>
      <c r="BE2030" s="413"/>
      <c r="BF2030" s="413"/>
      <c r="BG2030" s="413"/>
      <c r="BH2030" s="413"/>
      <c r="BI2030" s="413"/>
      <c r="BJ2030" s="413"/>
      <c r="BK2030" s="413"/>
      <c r="BL2030" s="413"/>
    </row>
    <row r="2031" spans="1:64" ht="13">
      <c r="A2031" s="454"/>
      <c r="B2031" s="454"/>
      <c r="C2031" s="427"/>
      <c r="D2031" s="416"/>
      <c r="E2031" s="416"/>
      <c r="F2031" s="416"/>
      <c r="G2031" s="416"/>
      <c r="H2031" s="416"/>
      <c r="I2031" s="414"/>
      <c r="J2031" s="400"/>
      <c r="K2031" s="401"/>
      <c r="L2031" s="401"/>
      <c r="M2031" s="404"/>
      <c r="N2031" s="404"/>
      <c r="O2031" s="404"/>
      <c r="P2031" s="404"/>
      <c r="Q2031" s="404"/>
      <c r="R2031" s="404"/>
      <c r="S2031" s="404"/>
      <c r="T2031" s="404"/>
      <c r="U2031" s="404"/>
      <c r="V2031" s="404"/>
      <c r="W2031" s="404"/>
      <c r="X2031" s="404"/>
      <c r="Y2031" s="404"/>
      <c r="Z2031" s="404"/>
      <c r="AA2031" s="404"/>
      <c r="AB2031" s="404"/>
      <c r="AC2031" s="404"/>
      <c r="AD2031" s="404"/>
      <c r="AE2031" s="404"/>
      <c r="AF2031" s="404"/>
      <c r="AG2031" s="404"/>
      <c r="AH2031" s="404"/>
      <c r="AI2031" s="404"/>
      <c r="AJ2031" s="404"/>
      <c r="AK2031" s="404"/>
      <c r="AL2031" s="404"/>
      <c r="AM2031" s="404"/>
      <c r="AN2031" s="404"/>
      <c r="AO2031" s="404"/>
      <c r="AP2031" s="404"/>
      <c r="AQ2031" s="404"/>
      <c r="AR2031" s="404"/>
      <c r="AS2031" s="404"/>
      <c r="AT2031" s="404"/>
      <c r="AU2031" s="404"/>
      <c r="AV2031" s="404"/>
      <c r="AW2031" s="404"/>
      <c r="AX2031" s="404"/>
      <c r="AY2031" s="404"/>
      <c r="AZ2031" s="404"/>
      <c r="BA2031" s="404"/>
      <c r="BB2031" s="404"/>
      <c r="BC2031" s="404"/>
      <c r="BD2031" s="404"/>
      <c r="BE2031" s="404"/>
      <c r="BF2031" s="404"/>
      <c r="BG2031" s="404"/>
      <c r="BH2031" s="404"/>
      <c r="BI2031" s="404"/>
      <c r="BJ2031" s="404"/>
      <c r="BK2031" s="404"/>
      <c r="BL2031" s="404"/>
    </row>
    <row r="2032" spans="1:64" ht="13">
      <c r="A2032" s="454"/>
      <c r="B2032" s="454"/>
      <c r="C2032" s="526" t="s">
        <v>953</v>
      </c>
      <c r="D2032" s="492" t="s">
        <v>948</v>
      </c>
      <c r="E2032" s="492" t="s">
        <v>949</v>
      </c>
      <c r="F2032" s="492" t="s">
        <v>950</v>
      </c>
      <c r="G2032" s="416"/>
      <c r="H2032" s="416"/>
      <c r="I2032" s="414"/>
      <c r="J2032" s="400"/>
      <c r="K2032" s="401"/>
      <c r="L2032" s="401"/>
      <c r="M2032" s="404"/>
      <c r="N2032" s="404"/>
      <c r="O2032" s="404"/>
      <c r="P2032" s="404"/>
      <c r="Q2032" s="404"/>
      <c r="R2032" s="404"/>
      <c r="S2032" s="404"/>
      <c r="T2032" s="404"/>
      <c r="U2032" s="404"/>
      <c r="V2032" s="404"/>
      <c r="W2032" s="404"/>
      <c r="X2032" s="404"/>
      <c r="Y2032" s="404"/>
      <c r="Z2032" s="404"/>
      <c r="AA2032" s="404"/>
      <c r="AB2032" s="404"/>
      <c r="AC2032" s="404"/>
      <c r="AD2032" s="404"/>
      <c r="AE2032" s="404"/>
      <c r="AF2032" s="404"/>
      <c r="AG2032" s="404"/>
      <c r="AH2032" s="404"/>
      <c r="AI2032" s="404"/>
      <c r="AJ2032" s="404"/>
      <c r="AK2032" s="404"/>
      <c r="AL2032" s="404"/>
      <c r="AM2032" s="404"/>
      <c r="AN2032" s="404"/>
      <c r="AO2032" s="404"/>
      <c r="AP2032" s="404"/>
      <c r="AQ2032" s="404"/>
      <c r="AR2032" s="404"/>
      <c r="AS2032" s="404"/>
      <c r="AT2032" s="404"/>
      <c r="AU2032" s="404"/>
      <c r="AV2032" s="404"/>
      <c r="AW2032" s="404"/>
      <c r="AX2032" s="404"/>
      <c r="AY2032" s="404"/>
      <c r="AZ2032" s="404"/>
      <c r="BA2032" s="404"/>
      <c r="BB2032" s="404"/>
      <c r="BC2032" s="404"/>
      <c r="BD2032" s="404"/>
      <c r="BE2032" s="404"/>
      <c r="BF2032" s="404"/>
      <c r="BG2032" s="404"/>
      <c r="BH2032" s="404"/>
      <c r="BI2032" s="404"/>
      <c r="BJ2032" s="404"/>
      <c r="BK2032" s="404"/>
      <c r="BL2032" s="404"/>
    </row>
    <row r="2033" spans="1:64" ht="13">
      <c r="A2033" s="454"/>
      <c r="B2033" s="454"/>
      <c r="C2033" s="417" t="s">
        <v>1092</v>
      </c>
      <c r="D2033" s="408">
        <f>$I$2018</f>
        <v>6685.62176</v>
      </c>
      <c r="E2033" s="408">
        <f>$I$2018</f>
        <v>6685.62176</v>
      </c>
      <c r="F2033" s="408">
        <f>$I$2018</f>
        <v>6685.62176</v>
      </c>
      <c r="G2033" s="416"/>
      <c r="H2033" s="416"/>
      <c r="I2033" s="414"/>
      <c r="J2033" s="400"/>
      <c r="K2033" s="401"/>
      <c r="L2033" s="401"/>
      <c r="M2033" s="404"/>
      <c r="N2033" s="404"/>
      <c r="O2033" s="404"/>
      <c r="P2033" s="404"/>
      <c r="Q2033" s="404"/>
      <c r="R2033" s="404"/>
      <c r="S2033" s="404"/>
      <c r="T2033" s="404"/>
      <c r="U2033" s="404"/>
      <c r="V2033" s="404"/>
      <c r="W2033" s="404"/>
      <c r="X2033" s="404"/>
      <c r="Y2033" s="404"/>
      <c r="Z2033" s="404"/>
      <c r="AA2033" s="404"/>
      <c r="AB2033" s="404"/>
      <c r="AC2033" s="404"/>
      <c r="AD2033" s="404"/>
      <c r="AE2033" s="404"/>
      <c r="AF2033" s="404"/>
      <c r="AG2033" s="404"/>
      <c r="AH2033" s="404"/>
      <c r="AI2033" s="404"/>
      <c r="AJ2033" s="404"/>
      <c r="AK2033" s="404"/>
      <c r="AL2033" s="404"/>
      <c r="AM2033" s="404"/>
      <c r="AN2033" s="404"/>
      <c r="AO2033" s="404"/>
      <c r="AP2033" s="404"/>
      <c r="AQ2033" s="404"/>
      <c r="AR2033" s="404"/>
      <c r="AS2033" s="404"/>
      <c r="AT2033" s="404"/>
      <c r="AU2033" s="404"/>
      <c r="AV2033" s="404"/>
      <c r="AW2033" s="404"/>
      <c r="AX2033" s="404"/>
      <c r="AY2033" s="404"/>
      <c r="AZ2033" s="404"/>
      <c r="BA2033" s="404"/>
      <c r="BB2033" s="404"/>
      <c r="BC2033" s="404"/>
      <c r="BD2033" s="404"/>
      <c r="BE2033" s="404"/>
      <c r="BF2033" s="404"/>
      <c r="BG2033" s="404"/>
      <c r="BH2033" s="404"/>
      <c r="BI2033" s="404"/>
      <c r="BJ2033" s="404"/>
      <c r="BK2033" s="404"/>
      <c r="BL2033" s="404"/>
    </row>
    <row r="2034" spans="1:64" ht="13">
      <c r="A2034" s="454"/>
      <c r="B2034" s="454"/>
      <c r="C2034" s="417" t="s">
        <v>921</v>
      </c>
      <c r="D2034" s="408">
        <f>'[161]Civil-SOR'!$F$258</f>
        <v>72</v>
      </c>
      <c r="E2034" s="408">
        <f>'[161]Civil-SOR'!$F$258</f>
        <v>72</v>
      </c>
      <c r="F2034" s="408">
        <f>'[161]Civil-SOR'!$F$258</f>
        <v>72</v>
      </c>
      <c r="G2034" s="416"/>
      <c r="H2034" s="416"/>
      <c r="I2034" s="414"/>
      <c r="J2034" s="400"/>
      <c r="K2034" s="401"/>
      <c r="L2034" s="401"/>
      <c r="M2034" s="404"/>
      <c r="N2034" s="404"/>
      <c r="O2034" s="404"/>
      <c r="P2034" s="404"/>
      <c r="Q2034" s="404"/>
      <c r="R2034" s="404"/>
      <c r="S2034" s="404"/>
      <c r="T2034" s="404"/>
      <c r="U2034" s="404"/>
      <c r="V2034" s="404"/>
      <c r="W2034" s="404"/>
      <c r="X2034" s="404"/>
      <c r="Y2034" s="404"/>
      <c r="Z2034" s="404"/>
      <c r="AA2034" s="404"/>
      <c r="AB2034" s="404"/>
      <c r="AC2034" s="404"/>
      <c r="AD2034" s="404"/>
      <c r="AE2034" s="404"/>
      <c r="AF2034" s="404"/>
      <c r="AG2034" s="404"/>
      <c r="AH2034" s="404"/>
      <c r="AI2034" s="404"/>
      <c r="AJ2034" s="404"/>
      <c r="AK2034" s="404"/>
      <c r="AL2034" s="404"/>
      <c r="AM2034" s="404"/>
      <c r="AN2034" s="404"/>
      <c r="AO2034" s="404"/>
      <c r="AP2034" s="404"/>
      <c r="AQ2034" s="404"/>
      <c r="AR2034" s="404"/>
      <c r="AS2034" s="404"/>
      <c r="AT2034" s="404"/>
      <c r="AU2034" s="404"/>
      <c r="AV2034" s="404"/>
      <c r="AW2034" s="404"/>
      <c r="AX2034" s="404"/>
      <c r="AY2034" s="404"/>
      <c r="AZ2034" s="404"/>
      <c r="BA2034" s="404"/>
      <c r="BB2034" s="404"/>
      <c r="BC2034" s="404"/>
      <c r="BD2034" s="404"/>
      <c r="BE2034" s="404"/>
      <c r="BF2034" s="404"/>
      <c r="BG2034" s="404"/>
      <c r="BH2034" s="404"/>
      <c r="BI2034" s="404"/>
      <c r="BJ2034" s="404"/>
      <c r="BK2034" s="404"/>
      <c r="BL2034" s="404"/>
    </row>
    <row r="2035" spans="1:64" ht="13">
      <c r="A2035" s="454"/>
      <c r="B2035" s="454"/>
      <c r="C2035" s="417" t="s">
        <v>1010</v>
      </c>
      <c r="D2035" s="408">
        <f>'[161]Civil-SOR'!$M$258</f>
        <v>627.20000000000005</v>
      </c>
      <c r="E2035" s="408">
        <f>'[161]Civil-SOR'!$N$258</f>
        <v>666.4</v>
      </c>
      <c r="F2035" s="408">
        <f>'[161]Civil-SOR'!$O$258</f>
        <v>705.6</v>
      </c>
      <c r="G2035" s="416"/>
      <c r="H2035" s="416"/>
      <c r="I2035" s="414"/>
      <c r="J2035" s="400"/>
      <c r="K2035" s="401"/>
      <c r="L2035" s="401"/>
      <c r="M2035" s="404"/>
      <c r="N2035" s="404"/>
      <c r="O2035" s="404"/>
      <c r="P2035" s="404"/>
      <c r="Q2035" s="404"/>
      <c r="R2035" s="404"/>
      <c r="S2035" s="404"/>
      <c r="T2035" s="404"/>
      <c r="U2035" s="404"/>
      <c r="V2035" s="404"/>
      <c r="W2035" s="404"/>
      <c r="X2035" s="404"/>
      <c r="Y2035" s="404"/>
      <c r="Z2035" s="404"/>
      <c r="AA2035" s="404"/>
      <c r="AB2035" s="404"/>
      <c r="AC2035" s="404"/>
      <c r="AD2035" s="404"/>
      <c r="AE2035" s="404"/>
      <c r="AF2035" s="404"/>
      <c r="AG2035" s="404"/>
      <c r="AH2035" s="404"/>
      <c r="AI2035" s="404"/>
      <c r="AJ2035" s="404"/>
      <c r="AK2035" s="404"/>
      <c r="AL2035" s="404"/>
      <c r="AM2035" s="404"/>
      <c r="AN2035" s="404"/>
      <c r="AO2035" s="404"/>
      <c r="AP2035" s="404"/>
      <c r="AQ2035" s="404"/>
      <c r="AR2035" s="404"/>
      <c r="AS2035" s="404"/>
      <c r="AT2035" s="404"/>
      <c r="AU2035" s="404"/>
      <c r="AV2035" s="404"/>
      <c r="AW2035" s="404"/>
      <c r="AX2035" s="404"/>
      <c r="AY2035" s="404"/>
      <c r="AZ2035" s="404"/>
      <c r="BA2035" s="404"/>
      <c r="BB2035" s="404"/>
      <c r="BC2035" s="404"/>
      <c r="BD2035" s="404"/>
      <c r="BE2035" s="404"/>
      <c r="BF2035" s="404"/>
      <c r="BG2035" s="404"/>
      <c r="BH2035" s="404"/>
      <c r="BI2035" s="404"/>
      <c r="BJ2035" s="404"/>
      <c r="BK2035" s="404"/>
      <c r="BL2035" s="404"/>
    </row>
    <row r="2036" spans="1:64" ht="13">
      <c r="A2036" s="454"/>
      <c r="B2036" s="454"/>
      <c r="C2036" s="417" t="str">
        <f>[161]Input!$C$47</f>
        <v>Add for MA @ 40%</v>
      </c>
      <c r="D2036" s="408">
        <f>D2035*[161]Input!$D$47</f>
        <v>250.88000000000002</v>
      </c>
      <c r="E2036" s="408">
        <f>E2035*[161]Input!$D$47</f>
        <v>266.56</v>
      </c>
      <c r="F2036" s="408">
        <f>F2035*[161]Input!$D$47</f>
        <v>282.24</v>
      </c>
      <c r="G2036" s="416"/>
      <c r="H2036" s="416"/>
      <c r="I2036" s="414"/>
      <c r="J2036" s="400"/>
      <c r="K2036" s="401"/>
      <c r="L2036" s="401"/>
      <c r="M2036" s="404"/>
      <c r="N2036" s="404"/>
      <c r="O2036" s="404"/>
      <c r="P2036" s="404"/>
      <c r="Q2036" s="404"/>
      <c r="R2036" s="404"/>
      <c r="S2036" s="404"/>
      <c r="T2036" s="404"/>
      <c r="U2036" s="404"/>
      <c r="V2036" s="404"/>
      <c r="W2036" s="404"/>
      <c r="X2036" s="404"/>
      <c r="Y2036" s="404"/>
      <c r="Z2036" s="404"/>
      <c r="AA2036" s="404"/>
      <c r="AB2036" s="404"/>
      <c r="AC2036" s="404"/>
      <c r="AD2036" s="404"/>
      <c r="AE2036" s="404"/>
      <c r="AF2036" s="404"/>
      <c r="AG2036" s="404"/>
      <c r="AH2036" s="404"/>
      <c r="AI2036" s="404"/>
      <c r="AJ2036" s="404"/>
      <c r="AK2036" s="404"/>
      <c r="AL2036" s="404"/>
      <c r="AM2036" s="404"/>
      <c r="AN2036" s="404"/>
      <c r="AO2036" s="404"/>
      <c r="AP2036" s="404"/>
      <c r="AQ2036" s="404"/>
      <c r="AR2036" s="404"/>
      <c r="AS2036" s="404"/>
      <c r="AT2036" s="404"/>
      <c r="AU2036" s="404"/>
      <c r="AV2036" s="404"/>
      <c r="AW2036" s="404"/>
      <c r="AX2036" s="404"/>
      <c r="AY2036" s="404"/>
      <c r="AZ2036" s="404"/>
      <c r="BA2036" s="404"/>
      <c r="BB2036" s="404"/>
      <c r="BC2036" s="404"/>
      <c r="BD2036" s="404"/>
      <c r="BE2036" s="404"/>
      <c r="BF2036" s="404"/>
      <c r="BG2036" s="404"/>
      <c r="BH2036" s="404"/>
      <c r="BI2036" s="404"/>
      <c r="BJ2036" s="404"/>
      <c r="BK2036" s="404"/>
      <c r="BL2036" s="404"/>
    </row>
    <row r="2037" spans="1:64" ht="13">
      <c r="A2037" s="454"/>
      <c r="B2037" s="454"/>
      <c r="C2037" s="417" t="s">
        <v>994</v>
      </c>
      <c r="D2037" s="408">
        <f>$F$2017*60%</f>
        <v>1027.23</v>
      </c>
      <c r="E2037" s="408">
        <f>$F$2017*70%</f>
        <v>1198.4349999999999</v>
      </c>
      <c r="F2037" s="408">
        <f>$F$2017*80%</f>
        <v>1369.64</v>
      </c>
      <c r="G2037" s="416"/>
      <c r="H2037" s="416"/>
      <c r="I2037" s="414"/>
      <c r="J2037" s="400"/>
      <c r="K2037" s="401"/>
      <c r="L2037" s="401"/>
      <c r="M2037" s="404"/>
      <c r="N2037" s="404"/>
      <c r="O2037" s="404"/>
      <c r="P2037" s="404"/>
      <c r="Q2037" s="404"/>
      <c r="R2037" s="404"/>
      <c r="S2037" s="404"/>
      <c r="T2037" s="404"/>
      <c r="U2037" s="404"/>
      <c r="V2037" s="404"/>
      <c r="W2037" s="404"/>
      <c r="X2037" s="404"/>
      <c r="Y2037" s="404"/>
      <c r="Z2037" s="404"/>
      <c r="AA2037" s="404"/>
      <c r="AB2037" s="404"/>
      <c r="AC2037" s="404"/>
      <c r="AD2037" s="404"/>
      <c r="AE2037" s="404"/>
      <c r="AF2037" s="404"/>
      <c r="AG2037" s="404"/>
      <c r="AH2037" s="404"/>
      <c r="AI2037" s="404"/>
      <c r="AJ2037" s="404"/>
      <c r="AK2037" s="404"/>
      <c r="AL2037" s="404"/>
      <c r="AM2037" s="404"/>
      <c r="AN2037" s="404"/>
      <c r="AO2037" s="404"/>
      <c r="AP2037" s="404"/>
      <c r="AQ2037" s="404"/>
      <c r="AR2037" s="404"/>
      <c r="AS2037" s="404"/>
      <c r="AT2037" s="404"/>
      <c r="AU2037" s="404"/>
      <c r="AV2037" s="404"/>
      <c r="AW2037" s="404"/>
      <c r="AX2037" s="404"/>
      <c r="AY2037" s="404"/>
      <c r="AZ2037" s="404"/>
      <c r="BA2037" s="404"/>
      <c r="BB2037" s="404"/>
      <c r="BC2037" s="404"/>
      <c r="BD2037" s="404"/>
      <c r="BE2037" s="404"/>
      <c r="BF2037" s="404"/>
      <c r="BG2037" s="404"/>
      <c r="BH2037" s="404"/>
      <c r="BI2037" s="404"/>
      <c r="BJ2037" s="404"/>
      <c r="BK2037" s="404"/>
      <c r="BL2037" s="404"/>
    </row>
    <row r="2038" spans="1:64" ht="13">
      <c r="A2038" s="454"/>
      <c r="B2038" s="454"/>
      <c r="C2038" s="417" t="str">
        <f>[161]Input!$C$47</f>
        <v>Add for MA @ 40%</v>
      </c>
      <c r="D2038" s="408">
        <f>D2037*[161]Input!$D$47</f>
        <v>410.89200000000005</v>
      </c>
      <c r="E2038" s="408">
        <f>E2037*[161]Input!$D$47</f>
        <v>479.37400000000002</v>
      </c>
      <c r="F2038" s="408">
        <f>F2037*[161]Input!$D$47</f>
        <v>547.85600000000011</v>
      </c>
      <c r="G2038" s="416"/>
      <c r="H2038" s="416"/>
      <c r="I2038" s="414"/>
      <c r="J2038" s="400"/>
      <c r="K2038" s="401"/>
      <c r="L2038" s="401"/>
      <c r="M2038" s="404"/>
      <c r="N2038" s="404"/>
      <c r="O2038" s="404"/>
      <c r="P2038" s="404"/>
      <c r="Q2038" s="404"/>
      <c r="R2038" s="404"/>
      <c r="S2038" s="404"/>
      <c r="T2038" s="404"/>
      <c r="U2038" s="404"/>
      <c r="V2038" s="404"/>
      <c r="W2038" s="404"/>
      <c r="X2038" s="404"/>
      <c r="Y2038" s="404"/>
      <c r="Z2038" s="404"/>
      <c r="AA2038" s="404"/>
      <c r="AB2038" s="404"/>
      <c r="AC2038" s="404"/>
      <c r="AD2038" s="404"/>
      <c r="AE2038" s="404"/>
      <c r="AF2038" s="404"/>
      <c r="AG2038" s="404"/>
      <c r="AH2038" s="404"/>
      <c r="AI2038" s="404"/>
      <c r="AJ2038" s="404"/>
      <c r="AK2038" s="404"/>
      <c r="AL2038" s="404"/>
      <c r="AM2038" s="404"/>
      <c r="AN2038" s="404"/>
      <c r="AO2038" s="404"/>
      <c r="AP2038" s="404"/>
      <c r="AQ2038" s="404"/>
      <c r="AR2038" s="404"/>
      <c r="AS2038" s="404"/>
      <c r="AT2038" s="404"/>
      <c r="AU2038" s="404"/>
      <c r="AV2038" s="404"/>
      <c r="AW2038" s="404"/>
      <c r="AX2038" s="404"/>
      <c r="AY2038" s="404"/>
      <c r="AZ2038" s="404"/>
      <c r="BA2038" s="404"/>
      <c r="BB2038" s="404"/>
      <c r="BC2038" s="404"/>
      <c r="BD2038" s="404"/>
      <c r="BE2038" s="404"/>
      <c r="BF2038" s="404"/>
      <c r="BG2038" s="404"/>
      <c r="BH2038" s="404"/>
      <c r="BI2038" s="404"/>
      <c r="BJ2038" s="404"/>
      <c r="BK2038" s="404"/>
      <c r="BL2038" s="404"/>
    </row>
    <row r="2039" spans="1:64" ht="13">
      <c r="A2039" s="454"/>
      <c r="B2039" s="454"/>
      <c r="C2039" s="427" t="s">
        <v>724</v>
      </c>
      <c r="D2039" s="408">
        <f>SUM(D2033:D2038)</f>
        <v>9073.8237599999993</v>
      </c>
      <c r="E2039" s="408">
        <f>SUM(E2033:E2038)</f>
        <v>9368.3907600000002</v>
      </c>
      <c r="F2039" s="408">
        <f>SUM(F2033:F2038)</f>
        <v>9662.9577599999993</v>
      </c>
      <c r="G2039" s="416"/>
      <c r="H2039" s="416"/>
      <c r="I2039" s="414"/>
      <c r="J2039" s="400"/>
      <c r="K2039" s="401"/>
      <c r="L2039" s="401"/>
      <c r="M2039" s="404"/>
      <c r="N2039" s="404"/>
      <c r="O2039" s="404"/>
      <c r="P2039" s="404"/>
      <c r="Q2039" s="404"/>
      <c r="R2039" s="404"/>
      <c r="S2039" s="404"/>
      <c r="T2039" s="404"/>
      <c r="U2039" s="404"/>
      <c r="V2039" s="404"/>
      <c r="W2039" s="404"/>
      <c r="X2039" s="404"/>
      <c r="Y2039" s="404"/>
      <c r="Z2039" s="404"/>
      <c r="AA2039" s="404"/>
      <c r="AB2039" s="404"/>
      <c r="AC2039" s="404"/>
      <c r="AD2039" s="404"/>
      <c r="AE2039" s="404"/>
      <c r="AF2039" s="404"/>
      <c r="AG2039" s="404"/>
      <c r="AH2039" s="404"/>
      <c r="AI2039" s="404"/>
      <c r="AJ2039" s="404"/>
      <c r="AK2039" s="404"/>
      <c r="AL2039" s="404"/>
      <c r="AM2039" s="404"/>
      <c r="AN2039" s="404"/>
      <c r="AO2039" s="404"/>
      <c r="AP2039" s="404"/>
      <c r="AQ2039" s="404"/>
      <c r="AR2039" s="404"/>
      <c r="AS2039" s="404"/>
      <c r="AT2039" s="404"/>
      <c r="AU2039" s="404"/>
      <c r="AV2039" s="404"/>
      <c r="AW2039" s="404"/>
      <c r="AX2039" s="404"/>
      <c r="AY2039" s="404"/>
      <c r="AZ2039" s="404"/>
      <c r="BA2039" s="404"/>
      <c r="BB2039" s="404"/>
      <c r="BC2039" s="404"/>
      <c r="BD2039" s="404"/>
      <c r="BE2039" s="404"/>
      <c r="BF2039" s="404"/>
      <c r="BG2039" s="404"/>
      <c r="BH2039" s="404"/>
      <c r="BI2039" s="404"/>
      <c r="BJ2039" s="404"/>
      <c r="BK2039" s="404"/>
      <c r="BL2039" s="404"/>
    </row>
    <row r="2040" spans="1:64" ht="25">
      <c r="A2040" s="454"/>
      <c r="B2040" s="454"/>
      <c r="C2040" s="417" t="str">
        <f>[161]Input!$C$48</f>
        <v>Overheads &amp; Contractors Profit @ 13.615%</v>
      </c>
      <c r="D2040" s="408">
        <f>D2039*[161]Input!$D$48</f>
        <v>1235.4011049239998</v>
      </c>
      <c r="E2040" s="408">
        <f>E2039*[161]Input!$D$48</f>
        <v>1275.506401974</v>
      </c>
      <c r="F2040" s="408">
        <f>F2039*[161]Input!$D$48</f>
        <v>1315.6116990239998</v>
      </c>
      <c r="G2040" s="416"/>
      <c r="H2040" s="416"/>
      <c r="I2040" s="414"/>
      <c r="J2040" s="400"/>
      <c r="K2040" s="401"/>
      <c r="L2040" s="401"/>
      <c r="M2040" s="404"/>
      <c r="N2040" s="404"/>
      <c r="O2040" s="404"/>
      <c r="P2040" s="404"/>
      <c r="Q2040" s="404"/>
      <c r="R2040" s="404"/>
      <c r="S2040" s="404"/>
      <c r="T2040" s="404"/>
      <c r="U2040" s="404"/>
      <c r="V2040" s="404"/>
      <c r="W2040" s="404"/>
      <c r="X2040" s="404"/>
      <c r="Y2040" s="404"/>
      <c r="Z2040" s="404"/>
      <c r="AA2040" s="404"/>
      <c r="AB2040" s="404"/>
      <c r="AC2040" s="404"/>
      <c r="AD2040" s="404"/>
      <c r="AE2040" s="404"/>
      <c r="AF2040" s="404"/>
      <c r="AG2040" s="404"/>
      <c r="AH2040" s="404"/>
      <c r="AI2040" s="404"/>
      <c r="AJ2040" s="404"/>
      <c r="AK2040" s="404"/>
      <c r="AL2040" s="404"/>
      <c r="AM2040" s="404"/>
      <c r="AN2040" s="404"/>
      <c r="AO2040" s="404"/>
      <c r="AP2040" s="404"/>
      <c r="AQ2040" s="404"/>
      <c r="AR2040" s="404"/>
      <c r="AS2040" s="404"/>
      <c r="AT2040" s="404"/>
      <c r="AU2040" s="404"/>
      <c r="AV2040" s="404"/>
      <c r="AW2040" s="404"/>
      <c r="AX2040" s="404"/>
      <c r="AY2040" s="404"/>
      <c r="AZ2040" s="404"/>
      <c r="BA2040" s="404"/>
      <c r="BB2040" s="404"/>
      <c r="BC2040" s="404"/>
      <c r="BD2040" s="404"/>
      <c r="BE2040" s="404"/>
      <c r="BF2040" s="404"/>
      <c r="BG2040" s="404"/>
      <c r="BH2040" s="404"/>
      <c r="BI2040" s="404"/>
      <c r="BJ2040" s="404"/>
      <c r="BK2040" s="404"/>
      <c r="BL2040" s="404"/>
    </row>
    <row r="2041" spans="1:64" ht="13">
      <c r="A2041" s="454"/>
      <c r="B2041" s="454"/>
      <c r="C2041" s="427" t="s">
        <v>724</v>
      </c>
      <c r="D2041" s="408">
        <f>SUM(D2039:D2040)</f>
        <v>10309.224864923999</v>
      </c>
      <c r="E2041" s="408">
        <f>SUM(E2039:E2040)</f>
        <v>10643.897161974</v>
      </c>
      <c r="F2041" s="408">
        <f>SUM(F2039:F2040)</f>
        <v>10978.569459023998</v>
      </c>
      <c r="G2041" s="416"/>
      <c r="H2041" s="416"/>
      <c r="I2041" s="414"/>
      <c r="J2041" s="400"/>
      <c r="K2041" s="401"/>
      <c r="L2041" s="401"/>
      <c r="M2041" s="404"/>
      <c r="N2041" s="404"/>
      <c r="O2041" s="404"/>
      <c r="P2041" s="404"/>
      <c r="Q2041" s="404"/>
      <c r="R2041" s="404"/>
      <c r="S2041" s="404"/>
      <c r="T2041" s="404"/>
      <c r="U2041" s="404"/>
      <c r="V2041" s="404"/>
      <c r="W2041" s="404"/>
      <c r="X2041" s="404"/>
      <c r="Y2041" s="404"/>
      <c r="Z2041" s="404"/>
      <c r="AA2041" s="404"/>
      <c r="AB2041" s="404"/>
      <c r="AC2041" s="404"/>
      <c r="AD2041" s="404"/>
      <c r="AE2041" s="404"/>
      <c r="AF2041" s="404"/>
      <c r="AG2041" s="404"/>
      <c r="AH2041" s="404"/>
      <c r="AI2041" s="404"/>
      <c r="AJ2041" s="404"/>
      <c r="AK2041" s="404"/>
      <c r="AL2041" s="404"/>
      <c r="AM2041" s="404"/>
      <c r="AN2041" s="404"/>
      <c r="AO2041" s="404"/>
      <c r="AP2041" s="404"/>
      <c r="AQ2041" s="404"/>
      <c r="AR2041" s="404"/>
      <c r="AS2041" s="404"/>
      <c r="AT2041" s="404"/>
      <c r="AU2041" s="404"/>
      <c r="AV2041" s="404"/>
      <c r="AW2041" s="404"/>
      <c r="AX2041" s="404"/>
      <c r="AY2041" s="404"/>
      <c r="AZ2041" s="404"/>
      <c r="BA2041" s="404"/>
      <c r="BB2041" s="404"/>
      <c r="BC2041" s="404"/>
      <c r="BD2041" s="404"/>
      <c r="BE2041" s="404"/>
      <c r="BF2041" s="404"/>
      <c r="BG2041" s="404"/>
      <c r="BH2041" s="404"/>
      <c r="BI2041" s="404"/>
      <c r="BJ2041" s="404"/>
      <c r="BK2041" s="404"/>
      <c r="BL2041" s="404"/>
    </row>
    <row r="2042" spans="1:64" ht="13">
      <c r="A2042" s="454"/>
      <c r="B2042" s="454"/>
      <c r="C2042" s="514" t="s">
        <v>726</v>
      </c>
      <c r="D2042" s="416">
        <f>ROUND(D2041,0)</f>
        <v>10309</v>
      </c>
      <c r="E2042" s="416">
        <f>ROUND(E2041,0)</f>
        <v>10644</v>
      </c>
      <c r="F2042" s="416">
        <f>ROUND(F2041,0)</f>
        <v>10979</v>
      </c>
      <c r="G2042" s="416"/>
      <c r="H2042" s="416"/>
      <c r="I2042" s="414"/>
      <c r="J2042" s="400"/>
      <c r="K2042" s="401"/>
      <c r="L2042" s="401"/>
      <c r="M2042" s="404"/>
      <c r="N2042" s="404"/>
      <c r="O2042" s="404"/>
      <c r="P2042" s="404"/>
      <c r="Q2042" s="404"/>
      <c r="R2042" s="404"/>
      <c r="S2042" s="404"/>
      <c r="T2042" s="404"/>
      <c r="U2042" s="404"/>
      <c r="V2042" s="404"/>
      <c r="W2042" s="404"/>
      <c r="X2042" s="404"/>
      <c r="Y2042" s="404"/>
      <c r="Z2042" s="404"/>
      <c r="AA2042" s="404"/>
      <c r="AB2042" s="404"/>
      <c r="AC2042" s="404"/>
      <c r="AD2042" s="404"/>
      <c r="AE2042" s="404"/>
      <c r="AF2042" s="404"/>
      <c r="AG2042" s="404"/>
      <c r="AH2042" s="404"/>
      <c r="AI2042" s="404"/>
      <c r="AJ2042" s="404"/>
      <c r="AK2042" s="404"/>
      <c r="AL2042" s="404"/>
      <c r="AM2042" s="404"/>
      <c r="AN2042" s="404"/>
      <c r="AO2042" s="404"/>
      <c r="AP2042" s="404"/>
      <c r="AQ2042" s="404"/>
      <c r="AR2042" s="404"/>
      <c r="AS2042" s="404"/>
      <c r="AT2042" s="404"/>
      <c r="AU2042" s="404"/>
      <c r="AV2042" s="404"/>
      <c r="AW2042" s="404"/>
      <c r="AX2042" s="404"/>
      <c r="AY2042" s="404"/>
      <c r="AZ2042" s="404"/>
      <c r="BA2042" s="404"/>
      <c r="BB2042" s="404"/>
      <c r="BC2042" s="404"/>
      <c r="BD2042" s="404"/>
      <c r="BE2042" s="404"/>
      <c r="BF2042" s="404"/>
      <c r="BG2042" s="404"/>
      <c r="BH2042" s="404"/>
      <c r="BI2042" s="404"/>
      <c r="BJ2042" s="404"/>
      <c r="BK2042" s="404"/>
      <c r="BL2042" s="404"/>
    </row>
    <row r="2043" spans="1:64" ht="13">
      <c r="A2043" s="454"/>
      <c r="B2043" s="454"/>
      <c r="C2043" s="427"/>
      <c r="D2043" s="416"/>
      <c r="E2043" s="416"/>
      <c r="F2043" s="416"/>
      <c r="G2043" s="416"/>
      <c r="H2043" s="416"/>
      <c r="I2043" s="414"/>
      <c r="J2043" s="400"/>
      <c r="K2043" s="401"/>
      <c r="L2043" s="401"/>
      <c r="M2043" s="404"/>
      <c r="N2043" s="404"/>
      <c r="O2043" s="404"/>
      <c r="P2043" s="404"/>
      <c r="Q2043" s="404"/>
      <c r="R2043" s="404"/>
      <c r="S2043" s="404"/>
      <c r="T2043" s="404"/>
      <c r="U2043" s="404"/>
      <c r="V2043" s="404"/>
      <c r="W2043" s="404"/>
      <c r="X2043" s="404"/>
      <c r="Y2043" s="404"/>
      <c r="Z2043" s="404"/>
      <c r="AA2043" s="404"/>
      <c r="AB2043" s="404"/>
      <c r="AC2043" s="404"/>
      <c r="AD2043" s="404"/>
      <c r="AE2043" s="404"/>
      <c r="AF2043" s="404"/>
      <c r="AG2043" s="404"/>
      <c r="AH2043" s="404"/>
      <c r="AI2043" s="404"/>
      <c r="AJ2043" s="404"/>
      <c r="AK2043" s="404"/>
      <c r="AL2043" s="404"/>
      <c r="AM2043" s="404"/>
      <c r="AN2043" s="404"/>
      <c r="AO2043" s="404"/>
      <c r="AP2043" s="404"/>
      <c r="AQ2043" s="404"/>
      <c r="AR2043" s="404"/>
      <c r="AS2043" s="404"/>
      <c r="AT2043" s="404"/>
      <c r="AU2043" s="404"/>
      <c r="AV2043" s="404"/>
      <c r="AW2043" s="404"/>
      <c r="AX2043" s="404"/>
      <c r="AY2043" s="404"/>
      <c r="AZ2043" s="404"/>
      <c r="BA2043" s="404"/>
      <c r="BB2043" s="404"/>
      <c r="BC2043" s="404"/>
      <c r="BD2043" s="404"/>
      <c r="BE2043" s="404"/>
      <c r="BF2043" s="404"/>
      <c r="BG2043" s="404"/>
      <c r="BH2043" s="404"/>
      <c r="BI2043" s="404"/>
      <c r="BJ2043" s="404"/>
      <c r="BK2043" s="404"/>
      <c r="BL2043" s="404"/>
    </row>
    <row r="2044" spans="1:64" ht="88.9" customHeight="1">
      <c r="A2044" s="454">
        <f>A2000+1</f>
        <v>6</v>
      </c>
      <c r="B2044" s="454"/>
      <c r="C2044" s="1276" t="s">
        <v>1093</v>
      </c>
      <c r="D2044" s="1276"/>
      <c r="E2044" s="1276"/>
      <c r="F2044" s="1276"/>
      <c r="G2044" s="1276"/>
      <c r="H2044" s="1276"/>
      <c r="I2044" s="407"/>
      <c r="J2044" s="400"/>
      <c r="K2044" s="401"/>
      <c r="L2044" s="401"/>
      <c r="M2044" s="404"/>
      <c r="N2044" s="404"/>
      <c r="O2044" s="404"/>
      <c r="P2044" s="404"/>
      <c r="Q2044" s="404"/>
      <c r="R2044" s="404"/>
      <c r="S2044" s="404"/>
      <c r="T2044" s="404"/>
      <c r="U2044" s="404"/>
      <c r="V2044" s="404"/>
      <c r="W2044" s="404"/>
      <c r="X2044" s="404"/>
      <c r="Y2044" s="404"/>
      <c r="Z2044" s="404"/>
      <c r="AA2044" s="404"/>
      <c r="AB2044" s="404"/>
      <c r="AC2044" s="404"/>
      <c r="AD2044" s="404"/>
      <c r="AE2044" s="404"/>
      <c r="AF2044" s="404"/>
      <c r="AG2044" s="404"/>
      <c r="AH2044" s="404"/>
      <c r="AI2044" s="404"/>
      <c r="AJ2044" s="404"/>
      <c r="AK2044" s="404"/>
      <c r="AL2044" s="404"/>
      <c r="AM2044" s="404"/>
      <c r="AN2044" s="404"/>
      <c r="AO2044" s="404"/>
      <c r="AP2044" s="404"/>
      <c r="AQ2044" s="404"/>
      <c r="AR2044" s="404"/>
      <c r="AS2044" s="404"/>
      <c r="AT2044" s="404"/>
      <c r="AU2044" s="404"/>
      <c r="AV2044" s="404"/>
      <c r="AW2044" s="404"/>
      <c r="AX2044" s="404"/>
      <c r="AY2044" s="404"/>
      <c r="AZ2044" s="404"/>
      <c r="BA2044" s="404"/>
      <c r="BB2044" s="404"/>
      <c r="BC2044" s="404"/>
      <c r="BD2044" s="404"/>
      <c r="BE2044" s="404"/>
      <c r="BF2044" s="404"/>
      <c r="BG2044" s="404"/>
      <c r="BH2044" s="404"/>
      <c r="BI2044" s="404"/>
      <c r="BJ2044" s="404"/>
      <c r="BK2044" s="404"/>
      <c r="BL2044" s="404"/>
    </row>
    <row r="2045" spans="1:64" ht="13">
      <c r="A2045" s="454"/>
      <c r="B2045" s="454"/>
      <c r="C2045" s="455" t="s">
        <v>1094</v>
      </c>
      <c r="D2045" s="406"/>
      <c r="E2045" s="406"/>
      <c r="F2045" s="406"/>
      <c r="G2045" s="406"/>
      <c r="H2045" s="406"/>
      <c r="I2045" s="432"/>
      <c r="J2045" s="400"/>
      <c r="K2045" s="401"/>
      <c r="L2045" s="401"/>
      <c r="M2045" s="404"/>
      <c r="N2045" s="404"/>
      <c r="O2045" s="404"/>
      <c r="P2045" s="404"/>
      <c r="Q2045" s="404"/>
      <c r="R2045" s="404"/>
      <c r="S2045" s="404"/>
      <c r="T2045" s="404"/>
      <c r="U2045" s="404"/>
      <c r="V2045" s="404"/>
      <c r="W2045" s="404"/>
      <c r="X2045" s="404"/>
      <c r="Y2045" s="404"/>
      <c r="Z2045" s="404"/>
      <c r="AA2045" s="404"/>
      <c r="AB2045" s="404"/>
      <c r="AC2045" s="404"/>
      <c r="AD2045" s="404"/>
      <c r="AE2045" s="404"/>
      <c r="AF2045" s="404"/>
      <c r="AG2045" s="404"/>
      <c r="AH2045" s="404"/>
      <c r="AI2045" s="404"/>
      <c r="AJ2045" s="404"/>
      <c r="AK2045" s="404"/>
      <c r="AL2045" s="404"/>
      <c r="AM2045" s="404"/>
      <c r="AN2045" s="404"/>
      <c r="AO2045" s="404"/>
      <c r="AP2045" s="404"/>
      <c r="AQ2045" s="404"/>
      <c r="AR2045" s="404"/>
      <c r="AS2045" s="404"/>
      <c r="AT2045" s="404"/>
      <c r="AU2045" s="404"/>
      <c r="AV2045" s="404"/>
      <c r="AW2045" s="404"/>
      <c r="AX2045" s="404"/>
      <c r="AY2045" s="404"/>
      <c r="AZ2045" s="404"/>
      <c r="BA2045" s="404"/>
      <c r="BB2045" s="404"/>
      <c r="BC2045" s="404"/>
      <c r="BD2045" s="404"/>
      <c r="BE2045" s="404"/>
      <c r="BF2045" s="404"/>
      <c r="BG2045" s="404"/>
      <c r="BH2045" s="404"/>
      <c r="BI2045" s="404"/>
      <c r="BJ2045" s="404"/>
      <c r="BK2045" s="404"/>
      <c r="BL2045" s="404"/>
    </row>
    <row r="2046" spans="1:64" ht="13">
      <c r="A2046" s="454"/>
      <c r="B2046" s="454"/>
      <c r="C2046" s="451" t="s">
        <v>873</v>
      </c>
      <c r="D2046" s="406"/>
      <c r="E2046" s="406"/>
      <c r="F2046" s="406"/>
      <c r="G2046" s="406"/>
      <c r="H2046" s="406"/>
      <c r="I2046" s="432"/>
      <c r="J2046" s="400"/>
      <c r="K2046" s="401"/>
      <c r="L2046" s="401"/>
      <c r="M2046" s="404"/>
      <c r="N2046" s="404"/>
      <c r="O2046" s="404"/>
      <c r="P2046" s="404"/>
      <c r="Q2046" s="404"/>
      <c r="R2046" s="404"/>
      <c r="S2046" s="404"/>
      <c r="T2046" s="404"/>
      <c r="U2046" s="404"/>
      <c r="V2046" s="404"/>
      <c r="W2046" s="404"/>
      <c r="X2046" s="404"/>
      <c r="Y2046" s="404"/>
      <c r="Z2046" s="404"/>
      <c r="AA2046" s="404"/>
      <c r="AB2046" s="404"/>
      <c r="AC2046" s="404"/>
      <c r="AD2046" s="404"/>
      <c r="AE2046" s="404"/>
      <c r="AF2046" s="404"/>
      <c r="AG2046" s="404"/>
      <c r="AH2046" s="404"/>
      <c r="AI2046" s="404"/>
      <c r="AJ2046" s="404"/>
      <c r="AK2046" s="404"/>
      <c r="AL2046" s="404"/>
      <c r="AM2046" s="404"/>
      <c r="AN2046" s="404"/>
      <c r="AO2046" s="404"/>
      <c r="AP2046" s="404"/>
      <c r="AQ2046" s="404"/>
      <c r="AR2046" s="404"/>
      <c r="AS2046" s="404"/>
      <c r="AT2046" s="404"/>
      <c r="AU2046" s="404"/>
      <c r="AV2046" s="404"/>
      <c r="AW2046" s="404"/>
      <c r="AX2046" s="404"/>
      <c r="AY2046" s="404"/>
      <c r="AZ2046" s="404"/>
      <c r="BA2046" s="404"/>
      <c r="BB2046" s="404"/>
      <c r="BC2046" s="404"/>
      <c r="BD2046" s="404"/>
      <c r="BE2046" s="404"/>
      <c r="BF2046" s="404"/>
      <c r="BG2046" s="404"/>
      <c r="BH2046" s="404"/>
      <c r="BI2046" s="404"/>
      <c r="BJ2046" s="404"/>
      <c r="BK2046" s="404"/>
      <c r="BL2046" s="404"/>
    </row>
    <row r="2047" spans="1:64">
      <c r="A2047" s="454"/>
      <c r="B2047" s="454"/>
      <c r="C2047" s="483" t="s">
        <v>504</v>
      </c>
      <c r="D2047" s="409">
        <v>350</v>
      </c>
      <c r="E2047" s="426" t="s">
        <v>833</v>
      </c>
      <c r="F2047" s="409">
        <f>[161]LEAD!$N$6</f>
        <v>5200</v>
      </c>
      <c r="G2047" s="410">
        <v>1000</v>
      </c>
      <c r="H2047" s="426" t="s">
        <v>833</v>
      </c>
      <c r="I2047" s="408">
        <f t="shared" ref="I2047:I2049" si="485">IF(G2047="",D2047*F2047,(D2047*F2047/G2047))</f>
        <v>1820</v>
      </c>
      <c r="J2047" s="400"/>
      <c r="K2047" s="401"/>
      <c r="L2047" s="401"/>
      <c r="M2047" s="404"/>
      <c r="N2047" s="404"/>
      <c r="O2047" s="404"/>
      <c r="P2047" s="404"/>
      <c r="Q2047" s="404"/>
      <c r="R2047" s="404"/>
      <c r="S2047" s="404"/>
      <c r="T2047" s="404"/>
      <c r="U2047" s="404"/>
      <c r="V2047" s="404"/>
      <c r="W2047" s="404"/>
      <c r="X2047" s="404"/>
      <c r="Y2047" s="404"/>
      <c r="Z2047" s="404"/>
      <c r="AA2047" s="404"/>
      <c r="AB2047" s="404"/>
      <c r="AC2047" s="404"/>
      <c r="AD2047" s="404"/>
      <c r="AE2047" s="404"/>
      <c r="AF2047" s="404"/>
      <c r="AG2047" s="404"/>
      <c r="AH2047" s="404"/>
      <c r="AI2047" s="404"/>
      <c r="AJ2047" s="404"/>
      <c r="AK2047" s="404"/>
      <c r="AL2047" s="404"/>
      <c r="AM2047" s="404"/>
      <c r="AN2047" s="404"/>
      <c r="AO2047" s="404"/>
      <c r="AP2047" s="404"/>
      <c r="AQ2047" s="404"/>
      <c r="AR2047" s="404"/>
      <c r="AS2047" s="404"/>
      <c r="AT2047" s="404"/>
      <c r="AU2047" s="404"/>
      <c r="AV2047" s="404"/>
      <c r="AW2047" s="404"/>
      <c r="AX2047" s="404"/>
      <c r="AY2047" s="404"/>
      <c r="AZ2047" s="404"/>
      <c r="BA2047" s="404"/>
      <c r="BB2047" s="404"/>
      <c r="BC2047" s="404"/>
      <c r="BD2047" s="404"/>
      <c r="BE2047" s="404"/>
      <c r="BF2047" s="404"/>
      <c r="BG2047" s="404"/>
      <c r="BH2047" s="404"/>
      <c r="BI2047" s="404"/>
      <c r="BJ2047" s="404"/>
      <c r="BK2047" s="404"/>
      <c r="BL2047" s="404"/>
    </row>
    <row r="2048" spans="1:64">
      <c r="A2048" s="454"/>
      <c r="B2048" s="454"/>
      <c r="C2048" s="483" t="s">
        <v>1034</v>
      </c>
      <c r="D2048" s="409">
        <v>0.8</v>
      </c>
      <c r="E2048" s="426" t="s">
        <v>57</v>
      </c>
      <c r="F2048" s="409">
        <f>$F$22</f>
        <v>1387.96</v>
      </c>
      <c r="G2048" s="410">
        <v>1</v>
      </c>
      <c r="H2048" s="426" t="s">
        <v>57</v>
      </c>
      <c r="I2048" s="408">
        <f t="shared" si="485"/>
        <v>1110.3680000000002</v>
      </c>
      <c r="J2048" s="400"/>
      <c r="K2048" s="401"/>
      <c r="L2048" s="401"/>
      <c r="M2048" s="404"/>
      <c r="N2048" s="404"/>
      <c r="O2048" s="404"/>
      <c r="P2048" s="404"/>
      <c r="Q2048" s="404"/>
      <c r="R2048" s="404"/>
      <c r="S2048" s="404"/>
      <c r="T2048" s="404"/>
      <c r="U2048" s="404"/>
      <c r="V2048" s="404"/>
      <c r="W2048" s="404"/>
      <c r="X2048" s="404"/>
      <c r="Y2048" s="404"/>
      <c r="Z2048" s="404"/>
      <c r="AA2048" s="404"/>
      <c r="AB2048" s="404"/>
      <c r="AC2048" s="404"/>
      <c r="AD2048" s="404"/>
      <c r="AE2048" s="404"/>
      <c r="AF2048" s="404"/>
      <c r="AG2048" s="404"/>
      <c r="AH2048" s="404"/>
      <c r="AI2048" s="404"/>
      <c r="AJ2048" s="404"/>
      <c r="AK2048" s="404"/>
      <c r="AL2048" s="404"/>
      <c r="AM2048" s="404"/>
      <c r="AN2048" s="404"/>
      <c r="AO2048" s="404"/>
      <c r="AP2048" s="404"/>
      <c r="AQ2048" s="404"/>
      <c r="AR2048" s="404"/>
      <c r="AS2048" s="404"/>
      <c r="AT2048" s="404"/>
      <c r="AU2048" s="404"/>
      <c r="AV2048" s="404"/>
      <c r="AW2048" s="404"/>
      <c r="AX2048" s="404"/>
      <c r="AY2048" s="404"/>
      <c r="AZ2048" s="404"/>
      <c r="BA2048" s="404"/>
      <c r="BB2048" s="404"/>
      <c r="BC2048" s="404"/>
      <c r="BD2048" s="404"/>
      <c r="BE2048" s="404"/>
      <c r="BF2048" s="404"/>
      <c r="BG2048" s="404"/>
      <c r="BH2048" s="404"/>
      <c r="BI2048" s="404"/>
      <c r="BJ2048" s="404"/>
      <c r="BK2048" s="404"/>
      <c r="BL2048" s="404"/>
    </row>
    <row r="2049" spans="1:64">
      <c r="A2049" s="454"/>
      <c r="B2049" s="454"/>
      <c r="C2049" s="483" t="s">
        <v>481</v>
      </c>
      <c r="D2049" s="409">
        <v>0.4</v>
      </c>
      <c r="E2049" s="426" t="s">
        <v>57</v>
      </c>
      <c r="F2049" s="409">
        <f>[161]LEAD!$N$12</f>
        <v>2253.91</v>
      </c>
      <c r="G2049" s="410">
        <v>1</v>
      </c>
      <c r="H2049" s="426" t="s">
        <v>57</v>
      </c>
      <c r="I2049" s="408">
        <f t="shared" si="485"/>
        <v>901.56399999999996</v>
      </c>
      <c r="J2049" s="400"/>
      <c r="K2049" s="401"/>
      <c r="L2049" s="401"/>
      <c r="M2049" s="404"/>
      <c r="N2049" s="404"/>
      <c r="O2049" s="404"/>
      <c r="P2049" s="404"/>
      <c r="Q2049" s="404"/>
      <c r="R2049" s="404"/>
      <c r="S2049" s="404"/>
      <c r="T2049" s="404"/>
      <c r="U2049" s="404"/>
      <c r="V2049" s="404"/>
      <c r="W2049" s="404"/>
      <c r="X2049" s="404"/>
      <c r="Y2049" s="404"/>
      <c r="Z2049" s="404"/>
      <c r="AA2049" s="404"/>
      <c r="AB2049" s="404"/>
      <c r="AC2049" s="404"/>
      <c r="AD2049" s="404"/>
      <c r="AE2049" s="404"/>
      <c r="AF2049" s="404"/>
      <c r="AG2049" s="404"/>
      <c r="AH2049" s="404"/>
      <c r="AI2049" s="404"/>
      <c r="AJ2049" s="404"/>
      <c r="AK2049" s="404"/>
      <c r="AL2049" s="404"/>
      <c r="AM2049" s="404"/>
      <c r="AN2049" s="404"/>
      <c r="AO2049" s="404"/>
      <c r="AP2049" s="404"/>
      <c r="AQ2049" s="404"/>
      <c r="AR2049" s="404"/>
      <c r="AS2049" s="404"/>
      <c r="AT2049" s="404"/>
      <c r="AU2049" s="404"/>
      <c r="AV2049" s="404"/>
      <c r="AW2049" s="404"/>
      <c r="AX2049" s="404"/>
      <c r="AY2049" s="404"/>
      <c r="AZ2049" s="404"/>
      <c r="BA2049" s="404"/>
      <c r="BB2049" s="404"/>
      <c r="BC2049" s="404"/>
      <c r="BD2049" s="404"/>
      <c r="BE2049" s="404"/>
      <c r="BF2049" s="404"/>
      <c r="BG2049" s="404"/>
      <c r="BH2049" s="404"/>
      <c r="BI2049" s="404"/>
      <c r="BJ2049" s="404"/>
      <c r="BK2049" s="404"/>
      <c r="BL2049" s="404"/>
    </row>
    <row r="2050" spans="1:64" ht="13">
      <c r="A2050" s="454"/>
      <c r="B2050" s="454"/>
      <c r="C2050" s="433" t="s">
        <v>911</v>
      </c>
      <c r="D2050" s="426"/>
      <c r="E2050" s="426"/>
      <c r="F2050" s="426"/>
      <c r="G2050" s="426"/>
      <c r="H2050" s="426"/>
      <c r="I2050" s="409"/>
      <c r="J2050" s="400"/>
      <c r="K2050" s="401"/>
      <c r="L2050" s="401"/>
      <c r="M2050" s="404"/>
      <c r="N2050" s="404"/>
      <c r="O2050" s="404"/>
      <c r="P2050" s="404"/>
      <c r="Q2050" s="404"/>
      <c r="R2050" s="404"/>
      <c r="S2050" s="404"/>
      <c r="T2050" s="404"/>
      <c r="U2050" s="404"/>
      <c r="V2050" s="404"/>
      <c r="W2050" s="404"/>
      <c r="X2050" s="404"/>
      <c r="Y2050" s="404"/>
      <c r="Z2050" s="404"/>
      <c r="AA2050" s="404"/>
      <c r="AB2050" s="404"/>
      <c r="AC2050" s="404"/>
      <c r="AD2050" s="404"/>
      <c r="AE2050" s="404"/>
      <c r="AF2050" s="404"/>
      <c r="AG2050" s="404"/>
      <c r="AH2050" s="404"/>
      <c r="AI2050" s="404"/>
      <c r="AJ2050" s="404"/>
      <c r="AK2050" s="404"/>
      <c r="AL2050" s="404"/>
      <c r="AM2050" s="404"/>
      <c r="AN2050" s="404"/>
      <c r="AO2050" s="404"/>
      <c r="AP2050" s="404"/>
      <c r="AQ2050" s="404"/>
      <c r="AR2050" s="404"/>
      <c r="AS2050" s="404"/>
      <c r="AT2050" s="404"/>
      <c r="AU2050" s="404"/>
      <c r="AV2050" s="404"/>
      <c r="AW2050" s="404"/>
      <c r="AX2050" s="404"/>
      <c r="AY2050" s="404"/>
      <c r="AZ2050" s="404"/>
      <c r="BA2050" s="404"/>
      <c r="BB2050" s="404"/>
      <c r="BC2050" s="404"/>
      <c r="BD2050" s="404"/>
      <c r="BE2050" s="404"/>
      <c r="BF2050" s="404"/>
      <c r="BG2050" s="404"/>
      <c r="BH2050" s="404"/>
      <c r="BI2050" s="404"/>
      <c r="BJ2050" s="404"/>
      <c r="BK2050" s="404"/>
      <c r="BL2050" s="404"/>
    </row>
    <row r="2051" spans="1:64">
      <c r="A2051" s="454"/>
      <c r="B2051" s="454"/>
      <c r="C2051" s="483" t="s">
        <v>912</v>
      </c>
      <c r="D2051" s="491">
        <v>0.13300000000000001</v>
      </c>
      <c r="E2051" s="426" t="s">
        <v>14</v>
      </c>
      <c r="F2051" s="409">
        <f>'[161]Civil-SOR'!$G$293</f>
        <v>580</v>
      </c>
      <c r="G2051" s="410">
        <v>1</v>
      </c>
      <c r="H2051" s="426" t="s">
        <v>572</v>
      </c>
      <c r="I2051" s="408">
        <f t="shared" ref="I2051:I2054" si="486">IF(G2051="",D2051*F2051,(D2051*F2051/G2051))</f>
        <v>77.14</v>
      </c>
      <c r="J2051" s="400"/>
      <c r="K2051" s="401"/>
      <c r="L2051" s="401"/>
      <c r="M2051" s="404"/>
      <c r="N2051" s="404"/>
      <c r="O2051" s="404"/>
      <c r="P2051" s="404"/>
      <c r="Q2051" s="404"/>
      <c r="R2051" s="404"/>
      <c r="S2051" s="404"/>
      <c r="T2051" s="404"/>
      <c r="U2051" s="404"/>
      <c r="V2051" s="404"/>
      <c r="W2051" s="404"/>
      <c r="X2051" s="404"/>
      <c r="Y2051" s="404"/>
      <c r="Z2051" s="404"/>
      <c r="AA2051" s="404"/>
      <c r="AB2051" s="404"/>
      <c r="AC2051" s="404"/>
      <c r="AD2051" s="404"/>
      <c r="AE2051" s="404"/>
      <c r="AF2051" s="404"/>
      <c r="AG2051" s="404"/>
      <c r="AH2051" s="404"/>
      <c r="AI2051" s="404"/>
      <c r="AJ2051" s="404"/>
      <c r="AK2051" s="404"/>
      <c r="AL2051" s="404"/>
      <c r="AM2051" s="404"/>
      <c r="AN2051" s="404"/>
      <c r="AO2051" s="404"/>
      <c r="AP2051" s="404"/>
      <c r="AQ2051" s="404"/>
      <c r="AR2051" s="404"/>
      <c r="AS2051" s="404"/>
      <c r="AT2051" s="404"/>
      <c r="AU2051" s="404"/>
      <c r="AV2051" s="404"/>
      <c r="AW2051" s="404"/>
      <c r="AX2051" s="404"/>
      <c r="AY2051" s="404"/>
      <c r="AZ2051" s="404"/>
      <c r="BA2051" s="404"/>
      <c r="BB2051" s="404"/>
      <c r="BC2051" s="404"/>
      <c r="BD2051" s="404"/>
      <c r="BE2051" s="404"/>
      <c r="BF2051" s="404"/>
      <c r="BG2051" s="404"/>
      <c r="BH2051" s="404"/>
      <c r="BI2051" s="404"/>
      <c r="BJ2051" s="404"/>
      <c r="BK2051" s="404"/>
      <c r="BL2051" s="404"/>
    </row>
    <row r="2052" spans="1:64">
      <c r="A2052" s="454"/>
      <c r="B2052" s="454"/>
      <c r="C2052" s="483" t="s">
        <v>913</v>
      </c>
      <c r="D2052" s="491">
        <v>0.26700000000000002</v>
      </c>
      <c r="E2052" s="426" t="s">
        <v>14</v>
      </c>
      <c r="F2052" s="409">
        <f>'[161]Civil-SOR'!$G$302</f>
        <v>550</v>
      </c>
      <c r="G2052" s="410">
        <v>1</v>
      </c>
      <c r="H2052" s="426" t="str">
        <f>H2051</f>
        <v>Each</v>
      </c>
      <c r="I2052" s="408">
        <f t="shared" si="486"/>
        <v>146.85</v>
      </c>
      <c r="J2052" s="400"/>
      <c r="K2052" s="401"/>
      <c r="L2052" s="401"/>
      <c r="M2052" s="404"/>
      <c r="N2052" s="404"/>
      <c r="O2052" s="404"/>
      <c r="P2052" s="404"/>
      <c r="Q2052" s="404"/>
      <c r="R2052" s="404"/>
      <c r="S2052" s="404"/>
      <c r="T2052" s="404"/>
      <c r="U2052" s="404"/>
      <c r="V2052" s="404"/>
      <c r="W2052" s="404"/>
      <c r="X2052" s="404"/>
      <c r="Y2052" s="404"/>
      <c r="Z2052" s="404"/>
      <c r="AA2052" s="404"/>
      <c r="AB2052" s="404"/>
      <c r="AC2052" s="404"/>
      <c r="AD2052" s="404"/>
      <c r="AE2052" s="404"/>
      <c r="AF2052" s="404"/>
      <c r="AG2052" s="404"/>
      <c r="AH2052" s="404"/>
      <c r="AI2052" s="404"/>
      <c r="AJ2052" s="404"/>
      <c r="AK2052" s="404"/>
      <c r="AL2052" s="404"/>
      <c r="AM2052" s="404"/>
      <c r="AN2052" s="404"/>
      <c r="AO2052" s="404"/>
      <c r="AP2052" s="404"/>
      <c r="AQ2052" s="404"/>
      <c r="AR2052" s="404"/>
      <c r="AS2052" s="404"/>
      <c r="AT2052" s="404"/>
      <c r="AU2052" s="404"/>
      <c r="AV2052" s="404"/>
      <c r="AW2052" s="404"/>
      <c r="AX2052" s="404"/>
      <c r="AY2052" s="404"/>
      <c r="AZ2052" s="404"/>
      <c r="BA2052" s="404"/>
      <c r="BB2052" s="404"/>
      <c r="BC2052" s="404"/>
      <c r="BD2052" s="404"/>
      <c r="BE2052" s="404"/>
      <c r="BF2052" s="404"/>
      <c r="BG2052" s="404"/>
      <c r="BH2052" s="404"/>
      <c r="BI2052" s="404"/>
      <c r="BJ2052" s="404"/>
      <c r="BK2052" s="404"/>
      <c r="BL2052" s="404"/>
    </row>
    <row r="2053" spans="1:64">
      <c r="A2053" s="454"/>
      <c r="B2053" s="454"/>
      <c r="C2053" s="483" t="s">
        <v>914</v>
      </c>
      <c r="D2053" s="409">
        <v>3.6</v>
      </c>
      <c r="E2053" s="426" t="s">
        <v>14</v>
      </c>
      <c r="F2053" s="409">
        <f>'[161]Civil-SOR'!$G$307</f>
        <v>520</v>
      </c>
      <c r="G2053" s="410">
        <v>1</v>
      </c>
      <c r="H2053" s="426" t="str">
        <f>H2051</f>
        <v>Each</v>
      </c>
      <c r="I2053" s="408">
        <f t="shared" si="486"/>
        <v>1872</v>
      </c>
      <c r="J2053" s="400"/>
      <c r="K2053" s="401"/>
      <c r="L2053" s="401"/>
      <c r="M2053" s="404"/>
      <c r="N2053" s="404"/>
      <c r="O2053" s="404"/>
      <c r="P2053" s="404"/>
      <c r="Q2053" s="404"/>
      <c r="R2053" s="404"/>
      <c r="S2053" s="404"/>
      <c r="T2053" s="404"/>
      <c r="U2053" s="404"/>
      <c r="V2053" s="404"/>
      <c r="W2053" s="404"/>
      <c r="X2053" s="404"/>
      <c r="Y2053" s="404"/>
      <c r="Z2053" s="404"/>
      <c r="AA2053" s="404"/>
      <c r="AB2053" s="404"/>
      <c r="AC2053" s="404"/>
      <c r="AD2053" s="404"/>
      <c r="AE2053" s="404"/>
      <c r="AF2053" s="404"/>
      <c r="AG2053" s="404"/>
      <c r="AH2053" s="404"/>
      <c r="AI2053" s="404"/>
      <c r="AJ2053" s="404"/>
      <c r="AK2053" s="404"/>
      <c r="AL2053" s="404"/>
      <c r="AM2053" s="404"/>
      <c r="AN2053" s="404"/>
      <c r="AO2053" s="404"/>
      <c r="AP2053" s="404"/>
      <c r="AQ2053" s="404"/>
      <c r="AR2053" s="404"/>
      <c r="AS2053" s="404"/>
      <c r="AT2053" s="404"/>
      <c r="AU2053" s="404"/>
      <c r="AV2053" s="404"/>
      <c r="AW2053" s="404"/>
      <c r="AX2053" s="404"/>
      <c r="AY2053" s="404"/>
      <c r="AZ2053" s="404"/>
      <c r="BA2053" s="404"/>
      <c r="BB2053" s="404"/>
      <c r="BC2053" s="404"/>
      <c r="BD2053" s="404"/>
      <c r="BE2053" s="404"/>
      <c r="BF2053" s="404"/>
      <c r="BG2053" s="404"/>
      <c r="BH2053" s="404"/>
      <c r="BI2053" s="404"/>
      <c r="BJ2053" s="404"/>
      <c r="BK2053" s="404"/>
      <c r="BL2053" s="404"/>
    </row>
    <row r="2054" spans="1:64">
      <c r="A2054" s="454"/>
      <c r="B2054" s="454"/>
      <c r="C2054" s="483" t="str">
        <f>[161]Input!$C$47</f>
        <v>Add for MA @ 40%</v>
      </c>
      <c r="D2054" s="409">
        <f>[161]Input!$D$47</f>
        <v>0.4</v>
      </c>
      <c r="E2054" s="426"/>
      <c r="F2054" s="409">
        <f>SUM(I2051:I2053)</f>
        <v>2095.9899999999998</v>
      </c>
      <c r="G2054" s="410"/>
      <c r="H2054" s="426"/>
      <c r="I2054" s="408">
        <f t="shared" si="486"/>
        <v>838.39599999999996</v>
      </c>
      <c r="J2054" s="400"/>
      <c r="K2054" s="401"/>
      <c r="L2054" s="401"/>
      <c r="M2054" s="404"/>
      <c r="N2054" s="404"/>
      <c r="O2054" s="404"/>
      <c r="P2054" s="404"/>
      <c r="Q2054" s="404"/>
      <c r="R2054" s="404"/>
      <c r="S2054" s="404"/>
      <c r="T2054" s="404"/>
      <c r="U2054" s="404"/>
      <c r="V2054" s="404"/>
      <c r="W2054" s="404"/>
      <c r="X2054" s="404"/>
      <c r="Y2054" s="404"/>
      <c r="Z2054" s="404"/>
      <c r="AA2054" s="404"/>
      <c r="AB2054" s="404"/>
      <c r="AC2054" s="404"/>
      <c r="AD2054" s="404"/>
      <c r="AE2054" s="404"/>
      <c r="AF2054" s="404"/>
      <c r="AG2054" s="404"/>
      <c r="AH2054" s="404"/>
      <c r="AI2054" s="404"/>
      <c r="AJ2054" s="404"/>
      <c r="AK2054" s="404"/>
      <c r="AL2054" s="404"/>
      <c r="AM2054" s="404"/>
      <c r="AN2054" s="404"/>
      <c r="AO2054" s="404"/>
      <c r="AP2054" s="404"/>
      <c r="AQ2054" s="404"/>
      <c r="AR2054" s="404"/>
      <c r="AS2054" s="404"/>
      <c r="AT2054" s="404"/>
      <c r="AU2054" s="404"/>
      <c r="AV2054" s="404"/>
      <c r="AW2054" s="404"/>
      <c r="AX2054" s="404"/>
      <c r="AY2054" s="404"/>
      <c r="AZ2054" s="404"/>
      <c r="BA2054" s="404"/>
      <c r="BB2054" s="404"/>
      <c r="BC2054" s="404"/>
      <c r="BD2054" s="404"/>
      <c r="BE2054" s="404"/>
      <c r="BF2054" s="404"/>
      <c r="BG2054" s="404"/>
      <c r="BH2054" s="404"/>
      <c r="BI2054" s="404"/>
      <c r="BJ2054" s="404"/>
      <c r="BK2054" s="404"/>
      <c r="BL2054" s="404"/>
    </row>
    <row r="2055" spans="1:64" ht="13">
      <c r="A2055" s="454"/>
      <c r="B2055" s="454"/>
      <c r="C2055" s="433" t="s">
        <v>915</v>
      </c>
      <c r="D2055" s="409"/>
      <c r="E2055" s="426"/>
      <c r="F2055" s="409"/>
      <c r="G2055" s="410"/>
      <c r="H2055" s="426"/>
      <c r="I2055" s="408"/>
      <c r="J2055" s="400"/>
      <c r="K2055" s="401"/>
      <c r="L2055" s="401"/>
      <c r="M2055" s="404"/>
      <c r="N2055" s="404"/>
      <c r="O2055" s="404"/>
      <c r="P2055" s="404"/>
      <c r="Q2055" s="404"/>
      <c r="R2055" s="404"/>
      <c r="S2055" s="404"/>
      <c r="T2055" s="404"/>
      <c r="U2055" s="404"/>
      <c r="V2055" s="404"/>
      <c r="W2055" s="404"/>
      <c r="X2055" s="404"/>
      <c r="Y2055" s="404"/>
      <c r="Z2055" s="404"/>
      <c r="AA2055" s="404"/>
      <c r="AB2055" s="404"/>
      <c r="AC2055" s="404"/>
      <c r="AD2055" s="404"/>
      <c r="AE2055" s="404"/>
      <c r="AF2055" s="404"/>
      <c r="AG2055" s="404"/>
      <c r="AH2055" s="404"/>
      <c r="AI2055" s="404"/>
      <c r="AJ2055" s="404"/>
      <c r="AK2055" s="404"/>
      <c r="AL2055" s="404"/>
      <c r="AM2055" s="404"/>
      <c r="AN2055" s="404"/>
      <c r="AO2055" s="404"/>
      <c r="AP2055" s="404"/>
      <c r="AQ2055" s="404"/>
      <c r="AR2055" s="404"/>
      <c r="AS2055" s="404"/>
      <c r="AT2055" s="404"/>
      <c r="AU2055" s="404"/>
      <c r="AV2055" s="404"/>
      <c r="AW2055" s="404"/>
      <c r="AX2055" s="404"/>
      <c r="AY2055" s="404"/>
      <c r="AZ2055" s="404"/>
      <c r="BA2055" s="404"/>
      <c r="BB2055" s="404"/>
      <c r="BC2055" s="404"/>
      <c r="BD2055" s="404"/>
      <c r="BE2055" s="404"/>
      <c r="BF2055" s="404"/>
      <c r="BG2055" s="404"/>
      <c r="BH2055" s="404"/>
      <c r="BI2055" s="404"/>
      <c r="BJ2055" s="404"/>
      <c r="BK2055" s="404"/>
      <c r="BL2055" s="404"/>
    </row>
    <row r="2056" spans="1:64">
      <c r="A2056" s="454"/>
      <c r="B2056" s="454"/>
      <c r="C2056" s="483" t="s">
        <v>916</v>
      </c>
      <c r="D2056" s="491">
        <v>0.308</v>
      </c>
      <c r="E2056" s="408" t="s">
        <v>826</v>
      </c>
      <c r="F2056" s="408">
        <f>'[161]Civil-SOR'!$G$329</f>
        <v>265.79999999999995</v>
      </c>
      <c r="G2056" s="430">
        <v>1</v>
      </c>
      <c r="H2056" s="430" t="str">
        <f t="shared" ref="H2056:H2057" si="487">IF(E2056="","",IF(E2056="No.","Each",IF(E2056="Nos.","Each",E2056)))</f>
        <v>hour</v>
      </c>
      <c r="I2056" s="408">
        <f t="shared" ref="I2056:I2059" si="488">IF(G2056="",D2056*F2056,(D2056*F2056/G2056))</f>
        <v>81.866399999999985</v>
      </c>
      <c r="J2056" s="400"/>
      <c r="K2056" s="401"/>
      <c r="L2056" s="401"/>
      <c r="M2056" s="404"/>
      <c r="N2056" s="404"/>
      <c r="O2056" s="404"/>
      <c r="P2056" s="404"/>
      <c r="Q2056" s="404"/>
      <c r="R2056" s="404"/>
      <c r="S2056" s="404"/>
      <c r="T2056" s="404"/>
      <c r="U2056" s="404"/>
      <c r="V2056" s="404"/>
      <c r="W2056" s="404"/>
      <c r="X2056" s="404"/>
      <c r="Y2056" s="404"/>
      <c r="Z2056" s="404"/>
      <c r="AA2056" s="404"/>
      <c r="AB2056" s="404"/>
      <c r="AC2056" s="404"/>
      <c r="AD2056" s="404"/>
      <c r="AE2056" s="404"/>
      <c r="AF2056" s="404"/>
      <c r="AG2056" s="404"/>
      <c r="AH2056" s="404"/>
      <c r="AI2056" s="404"/>
      <c r="AJ2056" s="404"/>
      <c r="AK2056" s="404"/>
      <c r="AL2056" s="404"/>
      <c r="AM2056" s="404"/>
      <c r="AN2056" s="404"/>
      <c r="AO2056" s="404"/>
      <c r="AP2056" s="404"/>
      <c r="AQ2056" s="404"/>
      <c r="AR2056" s="404"/>
      <c r="AS2056" s="404"/>
      <c r="AT2056" s="404"/>
      <c r="AU2056" s="404"/>
      <c r="AV2056" s="404"/>
      <c r="AW2056" s="404"/>
      <c r="AX2056" s="404"/>
      <c r="AY2056" s="404"/>
      <c r="AZ2056" s="404"/>
      <c r="BA2056" s="404"/>
      <c r="BB2056" s="404"/>
      <c r="BC2056" s="404"/>
      <c r="BD2056" s="404"/>
      <c r="BE2056" s="404"/>
      <c r="BF2056" s="404"/>
      <c r="BG2056" s="404"/>
      <c r="BH2056" s="404"/>
      <c r="BI2056" s="404"/>
      <c r="BJ2056" s="404"/>
      <c r="BK2056" s="404"/>
      <c r="BL2056" s="404"/>
    </row>
    <row r="2057" spans="1:64">
      <c r="A2057" s="454"/>
      <c r="B2057" s="454"/>
      <c r="C2057" s="483" t="s">
        <v>828</v>
      </c>
      <c r="D2057" s="491">
        <v>0.308</v>
      </c>
      <c r="E2057" s="408" t="s">
        <v>826</v>
      </c>
      <c r="F2057" s="408">
        <f>'[161]Civil-SOR'!$J$329</f>
        <v>454.8</v>
      </c>
      <c r="G2057" s="430">
        <v>1</v>
      </c>
      <c r="H2057" s="430" t="str">
        <f t="shared" si="487"/>
        <v>hour</v>
      </c>
      <c r="I2057" s="408">
        <f t="shared" si="488"/>
        <v>140.07839999999999</v>
      </c>
      <c r="J2057" s="400"/>
      <c r="K2057" s="401"/>
      <c r="L2057" s="401"/>
      <c r="M2057" s="404"/>
      <c r="N2057" s="404"/>
      <c r="O2057" s="404"/>
      <c r="P2057" s="404"/>
      <c r="Q2057" s="404"/>
      <c r="R2057" s="404"/>
      <c r="S2057" s="404"/>
      <c r="T2057" s="404"/>
      <c r="U2057" s="404"/>
      <c r="V2057" s="404"/>
      <c r="W2057" s="404"/>
      <c r="X2057" s="404"/>
      <c r="Y2057" s="404"/>
      <c r="Z2057" s="404"/>
      <c r="AA2057" s="404"/>
      <c r="AB2057" s="404"/>
      <c r="AC2057" s="404"/>
      <c r="AD2057" s="404"/>
      <c r="AE2057" s="404"/>
      <c r="AF2057" s="404"/>
      <c r="AG2057" s="404"/>
      <c r="AH2057" s="404"/>
      <c r="AI2057" s="404"/>
      <c r="AJ2057" s="404"/>
      <c r="AK2057" s="404"/>
      <c r="AL2057" s="404"/>
      <c r="AM2057" s="404"/>
      <c r="AN2057" s="404"/>
      <c r="AO2057" s="404"/>
      <c r="AP2057" s="404"/>
      <c r="AQ2057" s="404"/>
      <c r="AR2057" s="404"/>
      <c r="AS2057" s="404"/>
      <c r="AT2057" s="404"/>
      <c r="AU2057" s="404"/>
      <c r="AV2057" s="404"/>
      <c r="AW2057" s="404"/>
      <c r="AX2057" s="404"/>
      <c r="AY2057" s="404"/>
      <c r="AZ2057" s="404"/>
      <c r="BA2057" s="404"/>
      <c r="BB2057" s="404"/>
      <c r="BC2057" s="404"/>
      <c r="BD2057" s="404"/>
      <c r="BE2057" s="404"/>
      <c r="BF2057" s="404"/>
      <c r="BG2057" s="404"/>
      <c r="BH2057" s="404"/>
      <c r="BI2057" s="404"/>
      <c r="BJ2057" s="404"/>
      <c r="BK2057" s="404"/>
      <c r="BL2057" s="404"/>
    </row>
    <row r="2058" spans="1:64">
      <c r="A2058" s="454"/>
      <c r="B2058" s="454"/>
      <c r="C2058" s="417" t="s">
        <v>799</v>
      </c>
      <c r="D2058" s="409">
        <f>[161]Input!$D$47</f>
        <v>0.4</v>
      </c>
      <c r="E2058" s="426"/>
      <c r="F2058" s="409">
        <f>I2057</f>
        <v>140.07839999999999</v>
      </c>
      <c r="G2058" s="410"/>
      <c r="H2058" s="426"/>
      <c r="I2058" s="408">
        <f t="shared" si="488"/>
        <v>56.031359999999999</v>
      </c>
      <c r="J2058" s="400"/>
      <c r="K2058" s="401"/>
      <c r="L2058" s="401"/>
      <c r="M2058" s="404"/>
      <c r="N2058" s="404"/>
      <c r="O2058" s="404"/>
      <c r="P2058" s="404"/>
      <c r="Q2058" s="404"/>
      <c r="R2058" s="404"/>
      <c r="S2058" s="404"/>
      <c r="T2058" s="404"/>
      <c r="U2058" s="404"/>
      <c r="V2058" s="404"/>
      <c r="W2058" s="404"/>
      <c r="X2058" s="404"/>
      <c r="Y2058" s="404"/>
      <c r="Z2058" s="404"/>
      <c r="AA2058" s="404"/>
      <c r="AB2058" s="404"/>
      <c r="AC2058" s="404"/>
      <c r="AD2058" s="404"/>
      <c r="AE2058" s="404"/>
      <c r="AF2058" s="404"/>
      <c r="AG2058" s="404"/>
      <c r="AH2058" s="404"/>
      <c r="AI2058" s="404"/>
      <c r="AJ2058" s="404"/>
      <c r="AK2058" s="404"/>
      <c r="AL2058" s="404"/>
      <c r="AM2058" s="404"/>
      <c r="AN2058" s="404"/>
      <c r="AO2058" s="404"/>
      <c r="AP2058" s="404"/>
      <c r="AQ2058" s="404"/>
      <c r="AR2058" s="404"/>
      <c r="AS2058" s="404"/>
      <c r="AT2058" s="404"/>
      <c r="AU2058" s="404"/>
      <c r="AV2058" s="404"/>
      <c r="AW2058" s="404"/>
      <c r="AX2058" s="404"/>
      <c r="AY2058" s="404"/>
      <c r="AZ2058" s="404"/>
      <c r="BA2058" s="404"/>
      <c r="BB2058" s="404"/>
      <c r="BC2058" s="404"/>
      <c r="BD2058" s="404"/>
      <c r="BE2058" s="404"/>
      <c r="BF2058" s="404"/>
      <c r="BG2058" s="404"/>
      <c r="BH2058" s="404"/>
      <c r="BI2058" s="404"/>
      <c r="BJ2058" s="404"/>
      <c r="BK2058" s="404"/>
      <c r="BL2058" s="404"/>
    </row>
    <row r="2059" spans="1:64">
      <c r="A2059" s="454"/>
      <c r="B2059" s="454"/>
      <c r="C2059" s="483" t="s">
        <v>1095</v>
      </c>
      <c r="D2059" s="408">
        <v>1.2</v>
      </c>
      <c r="E2059" s="408" t="s">
        <v>877</v>
      </c>
      <c r="F2059" s="408">
        <f>[161]Input!$D$53</f>
        <v>108</v>
      </c>
      <c r="G2059" s="430">
        <v>1</v>
      </c>
      <c r="H2059" s="456" t="str">
        <f>IF(E2059="","",IF(E2059="No.","Each",IF(E2059="Nos.","Each",E2059)))</f>
        <v>kl</v>
      </c>
      <c r="I2059" s="408">
        <f t="shared" si="488"/>
        <v>129.6</v>
      </c>
      <c r="J2059" s="400"/>
      <c r="K2059" s="401"/>
      <c r="L2059" s="401"/>
      <c r="M2059" s="404"/>
      <c r="N2059" s="404"/>
      <c r="O2059" s="404"/>
      <c r="P2059" s="404"/>
      <c r="Q2059" s="404"/>
      <c r="R2059" s="404"/>
      <c r="S2059" s="404"/>
      <c r="T2059" s="404"/>
      <c r="U2059" s="404"/>
      <c r="V2059" s="404"/>
      <c r="W2059" s="404"/>
      <c r="X2059" s="404"/>
      <c r="Y2059" s="404"/>
      <c r="Z2059" s="404"/>
      <c r="AA2059" s="404"/>
      <c r="AB2059" s="404"/>
      <c r="AC2059" s="404"/>
      <c r="AD2059" s="404"/>
      <c r="AE2059" s="404"/>
      <c r="AF2059" s="404"/>
      <c r="AG2059" s="404"/>
      <c r="AH2059" s="404"/>
      <c r="AI2059" s="404"/>
      <c r="AJ2059" s="404"/>
      <c r="AK2059" s="404"/>
      <c r="AL2059" s="404"/>
      <c r="AM2059" s="404"/>
      <c r="AN2059" s="404"/>
      <c r="AO2059" s="404"/>
      <c r="AP2059" s="404"/>
      <c r="AQ2059" s="404"/>
      <c r="AR2059" s="404"/>
      <c r="AS2059" s="404"/>
      <c r="AT2059" s="404"/>
      <c r="AU2059" s="404"/>
      <c r="AV2059" s="404"/>
      <c r="AW2059" s="404"/>
      <c r="AX2059" s="404"/>
      <c r="AY2059" s="404"/>
      <c r="AZ2059" s="404"/>
      <c r="BA2059" s="404"/>
      <c r="BB2059" s="404"/>
      <c r="BC2059" s="404"/>
      <c r="BD2059" s="404"/>
      <c r="BE2059" s="404"/>
      <c r="BF2059" s="404"/>
      <c r="BG2059" s="404"/>
      <c r="BH2059" s="404"/>
      <c r="BI2059" s="404"/>
      <c r="BJ2059" s="404"/>
      <c r="BK2059" s="404"/>
      <c r="BL2059" s="404"/>
    </row>
    <row r="2060" spans="1:64" ht="13">
      <c r="A2060" s="454"/>
      <c r="B2060" s="454"/>
      <c r="C2060" s="481" t="s">
        <v>1096</v>
      </c>
      <c r="D2060" s="426"/>
      <c r="E2060" s="426"/>
      <c r="F2060" s="426"/>
      <c r="G2060" s="492"/>
      <c r="H2060" s="426"/>
      <c r="I2060" s="434">
        <f>SUM(I2047:I2059)</f>
        <v>7173.8941600000007</v>
      </c>
      <c r="J2060" s="411"/>
      <c r="K2060" s="412"/>
      <c r="L2060" s="412"/>
      <c r="M2060" s="413"/>
      <c r="N2060" s="413"/>
      <c r="O2060" s="413"/>
      <c r="P2060" s="413"/>
      <c r="Q2060" s="413"/>
      <c r="R2060" s="413"/>
      <c r="S2060" s="413"/>
      <c r="T2060" s="413"/>
      <c r="U2060" s="413"/>
      <c r="V2060" s="413"/>
      <c r="W2060" s="413"/>
      <c r="X2060" s="413"/>
      <c r="Y2060" s="413"/>
      <c r="Z2060" s="413"/>
      <c r="AA2060" s="413"/>
      <c r="AB2060" s="413"/>
      <c r="AC2060" s="413"/>
      <c r="AD2060" s="413"/>
      <c r="AE2060" s="413"/>
      <c r="AF2060" s="413"/>
      <c r="AG2060" s="413"/>
      <c r="AH2060" s="413"/>
      <c r="AI2060" s="413"/>
      <c r="AJ2060" s="413"/>
      <c r="AK2060" s="413"/>
      <c r="AL2060" s="413"/>
      <c r="AM2060" s="413"/>
      <c r="AN2060" s="413"/>
      <c r="AO2060" s="413"/>
      <c r="AP2060" s="413"/>
      <c r="AQ2060" s="413"/>
      <c r="AR2060" s="413"/>
      <c r="AS2060" s="413"/>
      <c r="AT2060" s="413"/>
      <c r="AU2060" s="413"/>
      <c r="AV2060" s="413"/>
      <c r="AW2060" s="413"/>
      <c r="AX2060" s="413"/>
      <c r="AY2060" s="413"/>
      <c r="AZ2060" s="413"/>
      <c r="BA2060" s="413"/>
      <c r="BB2060" s="413"/>
      <c r="BC2060" s="413"/>
      <c r="BD2060" s="413"/>
      <c r="BE2060" s="413"/>
      <c r="BF2060" s="413"/>
      <c r="BG2060" s="413"/>
      <c r="BH2060" s="413"/>
      <c r="BI2060" s="413"/>
      <c r="BJ2060" s="413"/>
      <c r="BK2060" s="413"/>
      <c r="BL2060" s="413"/>
    </row>
    <row r="2061" spans="1:64" s="404" customFormat="1" ht="13">
      <c r="A2061" s="454"/>
      <c r="B2061" s="454"/>
      <c r="C2061" s="427" t="s">
        <v>953</v>
      </c>
      <c r="D2061" s="414" t="s">
        <v>416</v>
      </c>
      <c r="E2061" s="416" t="s">
        <v>943</v>
      </c>
      <c r="F2061" s="415" t="s">
        <v>944</v>
      </c>
      <c r="G2061" s="415" t="s">
        <v>945</v>
      </c>
      <c r="H2061" s="415" t="s">
        <v>946</v>
      </c>
      <c r="I2061" s="415" t="s">
        <v>947</v>
      </c>
      <c r="J2061" s="411"/>
      <c r="K2061" s="412"/>
      <c r="L2061" s="412"/>
    </row>
    <row r="2062" spans="1:64">
      <c r="A2062" s="458"/>
      <c r="B2062" s="458"/>
      <c r="C2062" s="417" t="s">
        <v>1064</v>
      </c>
      <c r="D2062" s="459">
        <f t="shared" ref="D2062:I2062" si="489">$I$2060</f>
        <v>7173.8941600000007</v>
      </c>
      <c r="E2062" s="459">
        <f t="shared" si="489"/>
        <v>7173.8941600000007</v>
      </c>
      <c r="F2062" s="459">
        <f t="shared" si="489"/>
        <v>7173.8941600000007</v>
      </c>
      <c r="G2062" s="459">
        <f t="shared" si="489"/>
        <v>7173.8941600000007</v>
      </c>
      <c r="H2062" s="459">
        <f t="shared" si="489"/>
        <v>7173.8941600000007</v>
      </c>
      <c r="I2062" s="459">
        <f t="shared" si="489"/>
        <v>7173.8941600000007</v>
      </c>
      <c r="J2062" s="411"/>
      <c r="K2062" s="412"/>
      <c r="L2062" s="412"/>
    </row>
    <row r="2063" spans="1:64">
      <c r="A2063" s="458"/>
      <c r="B2063" s="458"/>
      <c r="C2063" s="417" t="s">
        <v>921</v>
      </c>
      <c r="D2063" s="459">
        <f>'[161]Civil-SOR'!$F$258</f>
        <v>72</v>
      </c>
      <c r="E2063" s="459">
        <f>'[161]Civil-SOR'!$F$258</f>
        <v>72</v>
      </c>
      <c r="F2063" s="459">
        <f>'[161]Civil-SOR'!$F$258</f>
        <v>72</v>
      </c>
      <c r="G2063" s="459">
        <f>'[161]Civil-SOR'!$F$258</f>
        <v>72</v>
      </c>
      <c r="H2063" s="459">
        <f>'[161]Civil-SOR'!$F$258</f>
        <v>72</v>
      </c>
      <c r="I2063" s="459">
        <f>'[161]Civil-SOR'!$F$258</f>
        <v>72</v>
      </c>
      <c r="J2063" s="411"/>
      <c r="K2063" s="412"/>
      <c r="L2063" s="412"/>
    </row>
    <row r="2064" spans="1:64">
      <c r="A2064" s="458"/>
      <c r="B2064" s="458"/>
      <c r="C2064" s="417" t="s">
        <v>1010</v>
      </c>
      <c r="D2064" s="459">
        <f>'[161]Civil-SOR'!$G$258</f>
        <v>392</v>
      </c>
      <c r="E2064" s="459">
        <f>'[161]Civil-SOR'!$H$258</f>
        <v>431.20000000000005</v>
      </c>
      <c r="F2064" s="459">
        <f>'[161]Civil-SOR'!$I$258</f>
        <v>470.4</v>
      </c>
      <c r="G2064" s="459">
        <f>'[161]Civil-SOR'!$J$258</f>
        <v>509.6</v>
      </c>
      <c r="H2064" s="459">
        <f>'[161]Civil-SOR'!$K$258</f>
        <v>548.79999999999995</v>
      </c>
      <c r="I2064" s="459">
        <f>'[161]Civil-SOR'!$L$258</f>
        <v>588</v>
      </c>
      <c r="J2064" s="411"/>
      <c r="K2064" s="412"/>
      <c r="L2064" s="412"/>
    </row>
    <row r="2065" spans="1:64">
      <c r="A2065" s="458"/>
      <c r="B2065" s="458"/>
      <c r="C2065" s="417" t="str">
        <f>[161]Input!$C$47</f>
        <v>Add for MA @ 40%</v>
      </c>
      <c r="D2065" s="459">
        <f>D2064*[161]Input!$D$47</f>
        <v>156.80000000000001</v>
      </c>
      <c r="E2065" s="459">
        <f>E2064*[161]Input!$D$47</f>
        <v>172.48000000000002</v>
      </c>
      <c r="F2065" s="459">
        <f>F2064*[161]Input!$D$47</f>
        <v>188.16</v>
      </c>
      <c r="G2065" s="459">
        <f>G2064*[161]Input!$D$47</f>
        <v>203.84000000000003</v>
      </c>
      <c r="H2065" s="459">
        <f>H2064*[161]Input!$D$47</f>
        <v>219.51999999999998</v>
      </c>
      <c r="I2065" s="459">
        <f>I2064*[161]Input!$D$47</f>
        <v>235.20000000000002</v>
      </c>
      <c r="J2065" s="411"/>
      <c r="K2065" s="412"/>
      <c r="L2065" s="412"/>
    </row>
    <row r="2066" spans="1:64">
      <c r="A2066" s="458"/>
      <c r="B2066" s="458"/>
      <c r="C2066" s="417" t="s">
        <v>994</v>
      </c>
      <c r="D2066" s="459">
        <v>0</v>
      </c>
      <c r="E2066" s="459">
        <f>$F$2054*10%</f>
        <v>209.59899999999999</v>
      </c>
      <c r="F2066" s="459">
        <f>$F$2054*20%</f>
        <v>419.19799999999998</v>
      </c>
      <c r="G2066" s="459">
        <f>$F$2054*30%</f>
        <v>628.79699999999991</v>
      </c>
      <c r="H2066" s="459">
        <f>$F$2054*40%</f>
        <v>838.39599999999996</v>
      </c>
      <c r="I2066" s="459">
        <f>$F$2054*50%</f>
        <v>1047.9949999999999</v>
      </c>
      <c r="J2066" s="411"/>
      <c r="K2066" s="412"/>
      <c r="L2066" s="412"/>
    </row>
    <row r="2067" spans="1:64">
      <c r="A2067" s="458"/>
      <c r="B2067" s="458"/>
      <c r="C2067" s="417" t="str">
        <f>[161]Input!$C$47</f>
        <v>Add for MA @ 40%</v>
      </c>
      <c r="D2067" s="459">
        <f>D2066*[161]Input!$D$47</f>
        <v>0</v>
      </c>
      <c r="E2067" s="459">
        <f>E2066*[161]Input!$D$47</f>
        <v>83.839600000000004</v>
      </c>
      <c r="F2067" s="459">
        <f>F2066*[161]Input!$D$47</f>
        <v>167.67920000000001</v>
      </c>
      <c r="G2067" s="459">
        <f>G2066*[161]Input!$D$47</f>
        <v>251.51879999999997</v>
      </c>
      <c r="H2067" s="459">
        <f>H2066*[161]Input!$D$47</f>
        <v>335.35840000000002</v>
      </c>
      <c r="I2067" s="459">
        <f>I2066*[161]Input!$D$47</f>
        <v>419.19799999999998</v>
      </c>
      <c r="J2067" s="411"/>
      <c r="K2067" s="412"/>
      <c r="L2067" s="412"/>
    </row>
    <row r="2068" spans="1:64">
      <c r="A2068" s="458"/>
      <c r="B2068" s="458"/>
      <c r="C2068" s="417" t="s">
        <v>724</v>
      </c>
      <c r="D2068" s="459">
        <f t="shared" ref="D2068:I2068" si="490">SUM(D2062:D2067)</f>
        <v>7794.6941600000009</v>
      </c>
      <c r="E2068" s="459">
        <f t="shared" si="490"/>
        <v>8143.0127600000005</v>
      </c>
      <c r="F2068" s="459">
        <f t="shared" si="490"/>
        <v>8491.3313600000001</v>
      </c>
      <c r="G2068" s="459">
        <f t="shared" si="490"/>
        <v>8839.6499600000006</v>
      </c>
      <c r="H2068" s="459">
        <f t="shared" si="490"/>
        <v>9187.9685600000012</v>
      </c>
      <c r="I2068" s="459">
        <f t="shared" si="490"/>
        <v>9536.2871599999999</v>
      </c>
      <c r="J2068" s="411"/>
      <c r="K2068" s="412"/>
      <c r="L2068" s="412"/>
    </row>
    <row r="2069" spans="1:64" ht="25">
      <c r="A2069" s="458"/>
      <c r="B2069" s="458"/>
      <c r="C2069" s="620" t="str">
        <f>[161]Input!$C$48</f>
        <v>Overheads &amp; Contractors Profit @ 13.615%</v>
      </c>
      <c r="D2069" s="459">
        <f>D2068*[161]Input!$D$48</f>
        <v>1061.247609884</v>
      </c>
      <c r="E2069" s="459">
        <f>E2068*[161]Input!$D$48</f>
        <v>1108.671187274</v>
      </c>
      <c r="F2069" s="459">
        <f>F2068*[161]Input!$D$48</f>
        <v>1156.094764664</v>
      </c>
      <c r="G2069" s="459">
        <f>G2068*[161]Input!$D$48</f>
        <v>1203.518342054</v>
      </c>
      <c r="H2069" s="459">
        <f>H2068*[161]Input!$D$48</f>
        <v>1250.9419194440002</v>
      </c>
      <c r="I2069" s="459">
        <f>I2068*[161]Input!$D$48</f>
        <v>1298.3654968339999</v>
      </c>
      <c r="J2069" s="411"/>
      <c r="K2069" s="412"/>
      <c r="L2069" s="412"/>
    </row>
    <row r="2070" spans="1:64" ht="13">
      <c r="A2070" s="458"/>
      <c r="B2070" s="458"/>
      <c r="C2070" s="481" t="s">
        <v>724</v>
      </c>
      <c r="D2070" s="459">
        <f t="shared" ref="D2070:I2070" si="491">SUM(D2068:D2069)</f>
        <v>8855.9417698840007</v>
      </c>
      <c r="E2070" s="459">
        <f t="shared" si="491"/>
        <v>9251.6839472740012</v>
      </c>
      <c r="F2070" s="459">
        <f t="shared" si="491"/>
        <v>9647.4261246639999</v>
      </c>
      <c r="G2070" s="459">
        <f t="shared" si="491"/>
        <v>10043.168302054</v>
      </c>
      <c r="H2070" s="459">
        <f t="shared" si="491"/>
        <v>10438.910479444001</v>
      </c>
      <c r="I2070" s="459">
        <f t="shared" si="491"/>
        <v>10834.652656834</v>
      </c>
      <c r="J2070" s="411"/>
      <c r="K2070" s="412"/>
      <c r="L2070" s="412"/>
      <c r="M2070" s="554"/>
      <c r="N2070" s="554"/>
      <c r="O2070" s="554"/>
      <c r="P2070" s="554"/>
      <c r="Q2070" s="554"/>
      <c r="R2070" s="554"/>
      <c r="S2070" s="554"/>
      <c r="T2070" s="554"/>
      <c r="U2070" s="554"/>
      <c r="V2070" s="554"/>
      <c r="W2070" s="554"/>
      <c r="X2070" s="554"/>
      <c r="Y2070" s="554"/>
      <c r="Z2070" s="554"/>
      <c r="AA2070" s="554"/>
      <c r="AB2070" s="554"/>
      <c r="AC2070" s="554"/>
      <c r="AD2070" s="554"/>
      <c r="AE2070" s="554"/>
      <c r="AF2070" s="554"/>
      <c r="AG2070" s="554"/>
      <c r="AH2070" s="554"/>
      <c r="AI2070" s="554"/>
      <c r="AJ2070" s="554"/>
      <c r="AK2070" s="554"/>
      <c r="AL2070" s="554"/>
      <c r="AM2070" s="554"/>
      <c r="AN2070" s="554"/>
      <c r="AO2070" s="554"/>
      <c r="AP2070" s="554"/>
      <c r="AQ2070" s="554"/>
      <c r="AR2070" s="554"/>
      <c r="AS2070" s="554"/>
      <c r="AT2070" s="554"/>
      <c r="AU2070" s="554"/>
      <c r="AV2070" s="554"/>
      <c r="AW2070" s="554"/>
      <c r="AX2070" s="554"/>
      <c r="AY2070" s="554"/>
      <c r="AZ2070" s="554"/>
      <c r="BA2070" s="554"/>
      <c r="BB2070" s="554"/>
      <c r="BC2070" s="554"/>
      <c r="BD2070" s="554"/>
      <c r="BE2070" s="554"/>
      <c r="BF2070" s="554"/>
      <c r="BG2070" s="554"/>
      <c r="BH2070" s="554"/>
      <c r="BI2070" s="554"/>
      <c r="BJ2070" s="554"/>
      <c r="BK2070" s="554"/>
      <c r="BL2070" s="554"/>
    </row>
    <row r="2071" spans="1:64" ht="13">
      <c r="A2071" s="458"/>
      <c r="B2071" s="458"/>
      <c r="C2071" s="522" t="s">
        <v>726</v>
      </c>
      <c r="D2071" s="570">
        <f t="shared" ref="D2071:I2071" si="492">ROUND(D2070,0)</f>
        <v>8856</v>
      </c>
      <c r="E2071" s="570">
        <f t="shared" si="492"/>
        <v>9252</v>
      </c>
      <c r="F2071" s="570">
        <f t="shared" si="492"/>
        <v>9647</v>
      </c>
      <c r="G2071" s="570">
        <f t="shared" si="492"/>
        <v>10043</v>
      </c>
      <c r="H2071" s="570">
        <f t="shared" si="492"/>
        <v>10439</v>
      </c>
      <c r="I2071" s="570">
        <f t="shared" si="492"/>
        <v>10835</v>
      </c>
      <c r="J2071" s="411"/>
      <c r="K2071" s="412"/>
      <c r="L2071" s="412"/>
      <c r="M2071" s="554"/>
      <c r="N2071" s="554"/>
      <c r="O2071" s="554"/>
      <c r="P2071" s="554"/>
      <c r="Q2071" s="554"/>
      <c r="R2071" s="554"/>
      <c r="S2071" s="554"/>
      <c r="T2071" s="554"/>
      <c r="U2071" s="554"/>
      <c r="V2071" s="554"/>
      <c r="W2071" s="554"/>
      <c r="X2071" s="554"/>
      <c r="Y2071" s="554"/>
      <c r="Z2071" s="554"/>
      <c r="AA2071" s="554"/>
      <c r="AB2071" s="554"/>
      <c r="AC2071" s="554"/>
      <c r="AD2071" s="554"/>
      <c r="AE2071" s="554"/>
      <c r="AF2071" s="554"/>
      <c r="AG2071" s="554"/>
      <c r="AH2071" s="554"/>
      <c r="AI2071" s="554"/>
      <c r="AJ2071" s="554"/>
      <c r="AK2071" s="554"/>
      <c r="AL2071" s="554"/>
      <c r="AM2071" s="554"/>
      <c r="AN2071" s="554"/>
      <c r="AO2071" s="554"/>
      <c r="AP2071" s="554"/>
      <c r="AQ2071" s="554"/>
      <c r="AR2071" s="554"/>
      <c r="AS2071" s="554"/>
      <c r="AT2071" s="554"/>
      <c r="AU2071" s="554"/>
      <c r="AV2071" s="554"/>
      <c r="AW2071" s="554"/>
      <c r="AX2071" s="554"/>
      <c r="AY2071" s="554"/>
      <c r="AZ2071" s="554"/>
      <c r="BA2071" s="554"/>
      <c r="BB2071" s="554"/>
      <c r="BC2071" s="554"/>
      <c r="BD2071" s="554"/>
      <c r="BE2071" s="554"/>
      <c r="BF2071" s="554"/>
      <c r="BG2071" s="554"/>
      <c r="BH2071" s="554"/>
      <c r="BI2071" s="554"/>
      <c r="BJ2071" s="554"/>
      <c r="BK2071" s="554"/>
      <c r="BL2071" s="554"/>
    </row>
    <row r="2072" spans="1:64" ht="13">
      <c r="A2072" s="454"/>
      <c r="B2072" s="454"/>
      <c r="C2072" s="427"/>
      <c r="D2072" s="416"/>
      <c r="E2072" s="416"/>
      <c r="F2072" s="416"/>
      <c r="G2072" s="416"/>
      <c r="H2072" s="416"/>
      <c r="I2072" s="414"/>
      <c r="J2072" s="411"/>
      <c r="K2072" s="412"/>
      <c r="L2072" s="412"/>
    </row>
    <row r="2073" spans="1:64" ht="13">
      <c r="A2073" s="454"/>
      <c r="B2073" s="454"/>
      <c r="C2073" s="427"/>
      <c r="D2073" s="416"/>
      <c r="E2073" s="416"/>
      <c r="F2073" s="416"/>
      <c r="G2073" s="416"/>
      <c r="H2073" s="416"/>
      <c r="I2073" s="414"/>
      <c r="J2073" s="411"/>
      <c r="K2073" s="412"/>
      <c r="L2073" s="412"/>
    </row>
    <row r="2074" spans="1:64" ht="13">
      <c r="A2074" s="454"/>
      <c r="B2074" s="454"/>
      <c r="C2074" s="427" t="s">
        <v>953</v>
      </c>
      <c r="D2074" s="492" t="s">
        <v>948</v>
      </c>
      <c r="E2074" s="492" t="s">
        <v>949</v>
      </c>
      <c r="F2074" s="492" t="s">
        <v>950</v>
      </c>
      <c r="G2074" s="416"/>
      <c r="H2074" s="416"/>
      <c r="I2074" s="414"/>
      <c r="J2074" s="400"/>
      <c r="K2074" s="401"/>
      <c r="L2074" s="401"/>
    </row>
    <row r="2075" spans="1:64" ht="13">
      <c r="A2075" s="454"/>
      <c r="B2075" s="454"/>
      <c r="C2075" s="417" t="s">
        <v>1064</v>
      </c>
      <c r="D2075" s="459">
        <f>$I$2060</f>
        <v>7173.8941600000007</v>
      </c>
      <c r="E2075" s="459">
        <f>$I$2060</f>
        <v>7173.8941600000007</v>
      </c>
      <c r="F2075" s="459">
        <f>$I$2060</f>
        <v>7173.8941600000007</v>
      </c>
      <c r="G2075" s="416"/>
      <c r="H2075" s="416"/>
      <c r="I2075" s="414"/>
      <c r="J2075" s="400"/>
      <c r="K2075" s="401"/>
      <c r="L2075" s="401"/>
    </row>
    <row r="2076" spans="1:64" ht="13">
      <c r="A2076" s="454"/>
      <c r="B2076" s="454"/>
      <c r="C2076" s="417" t="s">
        <v>921</v>
      </c>
      <c r="D2076" s="459">
        <f>'[161]Civil-SOR'!$F$258</f>
        <v>72</v>
      </c>
      <c r="E2076" s="459">
        <f>'[161]Civil-SOR'!$F$258</f>
        <v>72</v>
      </c>
      <c r="F2076" s="459">
        <f>'[161]Civil-SOR'!$F$258</f>
        <v>72</v>
      </c>
      <c r="G2076" s="416"/>
      <c r="H2076" s="416"/>
      <c r="I2076" s="414"/>
      <c r="J2076" s="400"/>
      <c r="K2076" s="401"/>
      <c r="L2076" s="401"/>
    </row>
    <row r="2077" spans="1:64" ht="13">
      <c r="A2077" s="454"/>
      <c r="B2077" s="454"/>
      <c r="C2077" s="417" t="s">
        <v>1010</v>
      </c>
      <c r="D2077" s="459">
        <f>'[161]Civil-SOR'!$M$258</f>
        <v>627.20000000000005</v>
      </c>
      <c r="E2077" s="459">
        <f>'[161]Civil-SOR'!$N$258</f>
        <v>666.4</v>
      </c>
      <c r="F2077" s="459">
        <f>'[161]Civil-SOR'!$O$258</f>
        <v>705.6</v>
      </c>
      <c r="G2077" s="416"/>
      <c r="H2077" s="416"/>
      <c r="I2077" s="414"/>
      <c r="J2077" s="400"/>
      <c r="K2077" s="401"/>
      <c r="L2077" s="401"/>
    </row>
    <row r="2078" spans="1:64" ht="13">
      <c r="A2078" s="454"/>
      <c r="B2078" s="454"/>
      <c r="C2078" s="417" t="str">
        <f>[161]Input!$C$47</f>
        <v>Add for MA @ 40%</v>
      </c>
      <c r="D2078" s="459">
        <f>D2077*[161]Input!$D$47</f>
        <v>250.88000000000002</v>
      </c>
      <c r="E2078" s="459">
        <f>E2077*[161]Input!$D$47</f>
        <v>266.56</v>
      </c>
      <c r="F2078" s="459">
        <f>F2077*[161]Input!$D$47</f>
        <v>282.24</v>
      </c>
      <c r="G2078" s="416"/>
      <c r="H2078" s="416"/>
      <c r="I2078" s="414"/>
      <c r="J2078" s="400"/>
      <c r="K2078" s="401"/>
      <c r="L2078" s="401"/>
    </row>
    <row r="2079" spans="1:64" ht="13">
      <c r="A2079" s="454"/>
      <c r="B2079" s="454"/>
      <c r="C2079" s="417" t="s">
        <v>994</v>
      </c>
      <c r="D2079" s="459">
        <f>$F$2054*60%</f>
        <v>1257.5939999999998</v>
      </c>
      <c r="E2079" s="459">
        <f>$F$2054*70%</f>
        <v>1467.1929999999998</v>
      </c>
      <c r="F2079" s="459">
        <f>$F$2054*80%</f>
        <v>1676.7919999999999</v>
      </c>
      <c r="G2079" s="416"/>
      <c r="H2079" s="416"/>
      <c r="I2079" s="414"/>
      <c r="J2079" s="400"/>
      <c r="K2079" s="401"/>
      <c r="L2079" s="401"/>
    </row>
    <row r="2080" spans="1:64" ht="13">
      <c r="A2080" s="454"/>
      <c r="B2080" s="454"/>
      <c r="C2080" s="417" t="str">
        <f>[161]Input!$C$47</f>
        <v>Add for MA @ 40%</v>
      </c>
      <c r="D2080" s="459">
        <f>D2079*[161]Input!$D$47</f>
        <v>503.03759999999994</v>
      </c>
      <c r="E2080" s="459">
        <f>E2079*[161]Input!$D$47</f>
        <v>586.8771999999999</v>
      </c>
      <c r="F2080" s="459">
        <f>F2079*[161]Input!$D$47</f>
        <v>670.71680000000003</v>
      </c>
      <c r="G2080" s="416"/>
      <c r="H2080" s="416"/>
      <c r="I2080" s="414"/>
      <c r="J2080" s="400"/>
      <c r="K2080" s="401"/>
      <c r="L2080" s="401"/>
    </row>
    <row r="2081" spans="1:12" ht="13">
      <c r="A2081" s="454"/>
      <c r="B2081" s="454"/>
      <c r="C2081" s="417" t="s">
        <v>724</v>
      </c>
      <c r="D2081" s="459">
        <f>SUM(D2075:D2080)</f>
        <v>9884.6057600000004</v>
      </c>
      <c r="E2081" s="459">
        <f>SUM(E2075:E2080)</f>
        <v>10232.924360000001</v>
      </c>
      <c r="F2081" s="459">
        <f>SUM(F2075:F2080)</f>
        <v>10581.242960000001</v>
      </c>
      <c r="G2081" s="416"/>
      <c r="H2081" s="416"/>
      <c r="I2081" s="414"/>
      <c r="J2081" s="400"/>
      <c r="K2081" s="401"/>
      <c r="L2081" s="401"/>
    </row>
    <row r="2082" spans="1:12" ht="25">
      <c r="A2082" s="454"/>
      <c r="B2082" s="454"/>
      <c r="C2082" s="620" t="str">
        <f>[161]Input!$C$48</f>
        <v>Overheads &amp; Contractors Profit @ 13.615%</v>
      </c>
      <c r="D2082" s="459">
        <f>D2081*[161]Input!$D$48</f>
        <v>1345.7890742239999</v>
      </c>
      <c r="E2082" s="459">
        <f>E2081*[161]Input!$D$48</f>
        <v>1393.2126516140002</v>
      </c>
      <c r="F2082" s="459">
        <f>F2081*[161]Input!$D$48</f>
        <v>1440.6362290040001</v>
      </c>
      <c r="G2082" s="416"/>
      <c r="H2082" s="416"/>
      <c r="I2082" s="414"/>
      <c r="J2082" s="400"/>
      <c r="K2082" s="401"/>
      <c r="L2082" s="401"/>
    </row>
    <row r="2083" spans="1:12" ht="13">
      <c r="A2083" s="454"/>
      <c r="B2083" s="454"/>
      <c r="C2083" s="427" t="s">
        <v>724</v>
      </c>
      <c r="D2083" s="459">
        <f>SUM(D2081:D2082)</f>
        <v>11230.394834224</v>
      </c>
      <c r="E2083" s="459">
        <f>SUM(E2081:E2082)</f>
        <v>11626.137011614001</v>
      </c>
      <c r="F2083" s="459">
        <f>SUM(F2081:F2082)</f>
        <v>12021.879189004001</v>
      </c>
      <c r="G2083" s="416"/>
      <c r="H2083" s="416"/>
      <c r="I2083" s="414"/>
      <c r="J2083" s="400"/>
      <c r="K2083" s="401"/>
      <c r="L2083" s="401"/>
    </row>
    <row r="2084" spans="1:12" ht="13">
      <c r="A2084" s="454"/>
      <c r="B2084" s="454"/>
      <c r="C2084" s="514" t="s">
        <v>726</v>
      </c>
      <c r="D2084" s="570">
        <f>ROUND(D2083,0)</f>
        <v>11230</v>
      </c>
      <c r="E2084" s="570">
        <f>ROUND(E2083,0)</f>
        <v>11626</v>
      </c>
      <c r="F2084" s="570">
        <f>ROUND(F2083,0)</f>
        <v>12022</v>
      </c>
      <c r="G2084" s="416"/>
      <c r="H2084" s="416"/>
      <c r="I2084" s="414"/>
      <c r="J2084" s="400"/>
      <c r="K2084" s="401"/>
      <c r="L2084" s="401"/>
    </row>
    <row r="2085" spans="1:12" ht="13">
      <c r="A2085" s="454"/>
      <c r="B2085" s="454"/>
      <c r="C2085" s="427"/>
      <c r="D2085" s="416"/>
      <c r="E2085" s="416"/>
      <c r="F2085" s="416"/>
      <c r="G2085" s="416"/>
      <c r="H2085" s="416"/>
      <c r="I2085" s="414"/>
      <c r="J2085" s="400"/>
      <c r="K2085" s="401"/>
      <c r="L2085" s="401"/>
    </row>
    <row r="2086" spans="1:12" ht="97.75" customHeight="1">
      <c r="A2086" s="454">
        <f>1+A2000</f>
        <v>6</v>
      </c>
      <c r="B2086" s="454"/>
      <c r="C2086" s="1276" t="s">
        <v>1097</v>
      </c>
      <c r="D2086" s="1276"/>
      <c r="E2086" s="1276"/>
      <c r="F2086" s="1276"/>
      <c r="G2086" s="1276"/>
      <c r="H2086" s="1276"/>
      <c r="I2086" s="407"/>
      <c r="J2086" s="400"/>
      <c r="K2086" s="401"/>
      <c r="L2086" s="401"/>
    </row>
    <row r="2087" spans="1:12" ht="13">
      <c r="A2087" s="454"/>
      <c r="B2087" s="454"/>
      <c r="C2087" s="455" t="s">
        <v>987</v>
      </c>
      <c r="D2087" s="406"/>
      <c r="E2087" s="406"/>
      <c r="F2087" s="406"/>
      <c r="G2087" s="406"/>
      <c r="H2087" s="406"/>
      <c r="I2087" s="432"/>
      <c r="J2087" s="400"/>
      <c r="K2087" s="401"/>
      <c r="L2087" s="401"/>
    </row>
    <row r="2088" spans="1:12" ht="13">
      <c r="A2088" s="454"/>
      <c r="B2088" s="454"/>
      <c r="C2088" s="451" t="s">
        <v>873</v>
      </c>
      <c r="D2088" s="406"/>
      <c r="E2088" s="406"/>
      <c r="F2088" s="406"/>
      <c r="G2088" s="406"/>
      <c r="H2088" s="406"/>
      <c r="I2088" s="432"/>
      <c r="J2088" s="400"/>
      <c r="K2088" s="401"/>
      <c r="L2088" s="401"/>
    </row>
    <row r="2089" spans="1:12">
      <c r="A2089" s="454"/>
      <c r="B2089" s="454"/>
      <c r="C2089" s="483" t="s">
        <v>504</v>
      </c>
      <c r="D2089" s="409">
        <v>350</v>
      </c>
      <c r="E2089" s="426" t="s">
        <v>833</v>
      </c>
      <c r="F2089" s="409">
        <f>[161]LEAD!$N$6</f>
        <v>5200</v>
      </c>
      <c r="G2089" s="410">
        <v>1000</v>
      </c>
      <c r="H2089" s="426" t="s">
        <v>833</v>
      </c>
      <c r="I2089" s="408">
        <f t="shared" ref="I2089:I2091" si="493">IF(G2089="",D2089*F2089,(D2089*F2089/G2089))</f>
        <v>1820</v>
      </c>
      <c r="J2089" s="400"/>
      <c r="K2089" s="401"/>
      <c r="L2089" s="401"/>
    </row>
    <row r="2090" spans="1:12">
      <c r="A2090" s="454"/>
      <c r="B2090" s="454"/>
      <c r="C2090" s="483" t="s">
        <v>1034</v>
      </c>
      <c r="D2090" s="409">
        <v>0.8</v>
      </c>
      <c r="E2090" s="426" t="s">
        <v>57</v>
      </c>
      <c r="F2090" s="409">
        <f>$F$22</f>
        <v>1387.96</v>
      </c>
      <c r="G2090" s="410">
        <v>1</v>
      </c>
      <c r="H2090" s="426" t="s">
        <v>57</v>
      </c>
      <c r="I2090" s="408">
        <f t="shared" si="493"/>
        <v>1110.3680000000002</v>
      </c>
      <c r="J2090" s="400"/>
      <c r="K2090" s="401"/>
      <c r="L2090" s="401"/>
    </row>
    <row r="2091" spans="1:12">
      <c r="A2091" s="454"/>
      <c r="B2091" s="454"/>
      <c r="C2091" s="483" t="s">
        <v>481</v>
      </c>
      <c r="D2091" s="409">
        <v>0.4</v>
      </c>
      <c r="E2091" s="426" t="s">
        <v>57</v>
      </c>
      <c r="F2091" s="409">
        <f>[161]LEAD!$N$12</f>
        <v>2253.91</v>
      </c>
      <c r="G2091" s="410">
        <v>1</v>
      </c>
      <c r="H2091" s="426" t="s">
        <v>57</v>
      </c>
      <c r="I2091" s="408">
        <f t="shared" si="493"/>
        <v>901.56399999999996</v>
      </c>
      <c r="J2091" s="400"/>
      <c r="K2091" s="401"/>
      <c r="L2091" s="401"/>
    </row>
    <row r="2092" spans="1:12" ht="13">
      <c r="A2092" s="454"/>
      <c r="B2092" s="454"/>
      <c r="C2092" s="433" t="s">
        <v>911</v>
      </c>
      <c r="D2092" s="426"/>
      <c r="E2092" s="426"/>
      <c r="F2092" s="426"/>
      <c r="G2092" s="426"/>
      <c r="H2092" s="426"/>
      <c r="I2092" s="409"/>
      <c r="J2092" s="400"/>
      <c r="K2092" s="401"/>
      <c r="L2092" s="401"/>
    </row>
    <row r="2093" spans="1:12">
      <c r="A2093" s="454"/>
      <c r="B2093" s="454"/>
      <c r="C2093" s="483" t="s">
        <v>912</v>
      </c>
      <c r="D2093" s="491">
        <v>6.7000000000000004E-2</v>
      </c>
      <c r="E2093" s="426" t="s">
        <v>14</v>
      </c>
      <c r="F2093" s="409">
        <f>'[161]Civil-SOR'!$G$293</f>
        <v>580</v>
      </c>
      <c r="G2093" s="410">
        <v>1</v>
      </c>
      <c r="H2093" s="426" t="s">
        <v>572</v>
      </c>
      <c r="I2093" s="408">
        <f t="shared" ref="I2093:I2096" si="494">IF(G2093="",D2093*F2093,(D2093*F2093/G2093))</f>
        <v>38.86</v>
      </c>
      <c r="J2093" s="400"/>
      <c r="K2093" s="401"/>
      <c r="L2093" s="401"/>
    </row>
    <row r="2094" spans="1:12">
      <c r="A2094" s="454"/>
      <c r="B2094" s="454"/>
      <c r="C2094" s="483" t="s">
        <v>913</v>
      </c>
      <c r="D2094" s="491">
        <v>0.13300000000000001</v>
      </c>
      <c r="E2094" s="426" t="s">
        <v>14</v>
      </c>
      <c r="F2094" s="409">
        <f>'[161]Civil-SOR'!$G$302</f>
        <v>550</v>
      </c>
      <c r="G2094" s="410">
        <v>1</v>
      </c>
      <c r="H2094" s="426" t="str">
        <f>H2093</f>
        <v>Each</v>
      </c>
      <c r="I2094" s="408">
        <f t="shared" si="494"/>
        <v>73.150000000000006</v>
      </c>
      <c r="J2094" s="400"/>
      <c r="K2094" s="401"/>
      <c r="L2094" s="401"/>
    </row>
    <row r="2095" spans="1:12">
      <c r="A2095" s="454"/>
      <c r="B2095" s="454"/>
      <c r="C2095" s="483" t="s">
        <v>989</v>
      </c>
      <c r="D2095" s="491">
        <v>3.077</v>
      </c>
      <c r="E2095" s="426" t="s">
        <v>14</v>
      </c>
      <c r="F2095" s="409">
        <f>'[161]Civil-SOR'!$G$307</f>
        <v>520</v>
      </c>
      <c r="G2095" s="410">
        <v>1</v>
      </c>
      <c r="H2095" s="426" t="str">
        <f>H2093</f>
        <v>Each</v>
      </c>
      <c r="I2095" s="408">
        <f t="shared" si="494"/>
        <v>1600.04</v>
      </c>
      <c r="J2095" s="400"/>
      <c r="K2095" s="401"/>
      <c r="L2095" s="401"/>
    </row>
    <row r="2096" spans="1:12">
      <c r="A2096" s="454"/>
      <c r="B2096" s="454"/>
      <c r="C2096" s="483" t="str">
        <f>[161]Input!$C$47</f>
        <v>Add for MA @ 40%</v>
      </c>
      <c r="D2096" s="409">
        <f>[161]Input!$D$47</f>
        <v>0.4</v>
      </c>
      <c r="E2096" s="426"/>
      <c r="F2096" s="409">
        <f>SUM(I2093:I2095)</f>
        <v>1712.05</v>
      </c>
      <c r="G2096" s="410"/>
      <c r="H2096" s="426"/>
      <c r="I2096" s="408">
        <f t="shared" si="494"/>
        <v>684.82</v>
      </c>
      <c r="J2096" s="400"/>
      <c r="K2096" s="401"/>
      <c r="L2096" s="401"/>
    </row>
    <row r="2097" spans="1:64" ht="13">
      <c r="A2097" s="454"/>
      <c r="B2097" s="454"/>
      <c r="C2097" s="433" t="s">
        <v>915</v>
      </c>
      <c r="D2097" s="409"/>
      <c r="E2097" s="426"/>
      <c r="F2097" s="409"/>
      <c r="G2097" s="410"/>
      <c r="H2097" s="426"/>
      <c r="I2097" s="408"/>
      <c r="J2097" s="400"/>
      <c r="K2097" s="401"/>
      <c r="L2097" s="401"/>
    </row>
    <row r="2098" spans="1:64">
      <c r="A2098" s="454"/>
      <c r="B2098" s="454"/>
      <c r="C2098" s="483" t="s">
        <v>916</v>
      </c>
      <c r="D2098" s="491">
        <v>0.308</v>
      </c>
      <c r="E2098" s="408" t="s">
        <v>826</v>
      </c>
      <c r="F2098" s="408">
        <f>'[161]Civil-SOR'!$G$329</f>
        <v>265.79999999999995</v>
      </c>
      <c r="G2098" s="430">
        <v>1</v>
      </c>
      <c r="H2098" s="430" t="str">
        <f t="shared" ref="H2098:H2099" si="495">IF(E2098="","",IF(E2098="No.","Each",IF(E2098="Nos.","Each",E2098)))</f>
        <v>hour</v>
      </c>
      <c r="I2098" s="408">
        <f t="shared" ref="I2098:I2101" si="496">IF(G2098="",D2098*F2098,(D2098*F2098/G2098))</f>
        <v>81.866399999999985</v>
      </c>
      <c r="J2098" s="400"/>
      <c r="K2098" s="401"/>
      <c r="L2098" s="401"/>
    </row>
    <row r="2099" spans="1:64">
      <c r="A2099" s="454"/>
      <c r="B2099" s="454"/>
      <c r="C2099" s="483" t="s">
        <v>828</v>
      </c>
      <c r="D2099" s="491">
        <v>0.308</v>
      </c>
      <c r="E2099" s="408" t="s">
        <v>826</v>
      </c>
      <c r="F2099" s="408">
        <f>'[161]Civil-SOR'!$J$329</f>
        <v>454.8</v>
      </c>
      <c r="G2099" s="430">
        <v>1</v>
      </c>
      <c r="H2099" s="430" t="str">
        <f t="shared" si="495"/>
        <v>hour</v>
      </c>
      <c r="I2099" s="408">
        <f t="shared" si="496"/>
        <v>140.07839999999999</v>
      </c>
      <c r="J2099" s="400"/>
      <c r="K2099" s="401"/>
      <c r="L2099" s="401"/>
    </row>
    <row r="2100" spans="1:64">
      <c r="A2100" s="454"/>
      <c r="B2100" s="454"/>
      <c r="C2100" s="417" t="s">
        <v>799</v>
      </c>
      <c r="D2100" s="409">
        <f>[161]Input!$D$47</f>
        <v>0.4</v>
      </c>
      <c r="E2100" s="426"/>
      <c r="F2100" s="409">
        <f>I2099</f>
        <v>140.07839999999999</v>
      </c>
      <c r="G2100" s="410"/>
      <c r="H2100" s="426"/>
      <c r="I2100" s="408">
        <f t="shared" si="496"/>
        <v>56.031359999999999</v>
      </c>
      <c r="J2100" s="400"/>
      <c r="K2100" s="401"/>
      <c r="L2100" s="401"/>
    </row>
    <row r="2101" spans="1:64">
      <c r="A2101" s="454"/>
      <c r="B2101" s="454"/>
      <c r="C2101" s="483" t="s">
        <v>918</v>
      </c>
      <c r="D2101" s="408">
        <v>1.2</v>
      </c>
      <c r="E2101" s="408" t="s">
        <v>877</v>
      </c>
      <c r="F2101" s="408">
        <f>[161]Input!$D$53</f>
        <v>108</v>
      </c>
      <c r="G2101" s="430">
        <v>1</v>
      </c>
      <c r="H2101" s="456" t="str">
        <f>IF(E2101="","",IF(E2101="No.","Each",IF(E2101="Nos.","Each",E2101)))</f>
        <v>kl</v>
      </c>
      <c r="I2101" s="408">
        <f t="shared" si="496"/>
        <v>129.6</v>
      </c>
      <c r="J2101" s="400"/>
      <c r="K2101" s="401"/>
      <c r="L2101" s="401"/>
    </row>
    <row r="2102" spans="1:64" ht="13">
      <c r="A2102" s="454"/>
      <c r="B2102" s="454"/>
      <c r="C2102" s="481" t="s">
        <v>1098</v>
      </c>
      <c r="D2102" s="426"/>
      <c r="E2102" s="426"/>
      <c r="F2102" s="426"/>
      <c r="G2102" s="492"/>
      <c r="H2102" s="426"/>
      <c r="I2102" s="434">
        <f>SUM(I2089:I2101)</f>
        <v>6636.3781600000002</v>
      </c>
      <c r="J2102" s="411"/>
      <c r="K2102" s="412"/>
      <c r="L2102" s="412"/>
      <c r="M2102" s="554"/>
      <c r="N2102" s="554"/>
      <c r="O2102" s="554"/>
      <c r="P2102" s="554"/>
      <c r="Q2102" s="554"/>
      <c r="R2102" s="554"/>
      <c r="S2102" s="554"/>
      <c r="T2102" s="554"/>
      <c r="U2102" s="554"/>
      <c r="V2102" s="554"/>
      <c r="W2102" s="554"/>
      <c r="X2102" s="554"/>
      <c r="Y2102" s="554"/>
      <c r="Z2102" s="554"/>
      <c r="AA2102" s="554"/>
      <c r="AB2102" s="554"/>
      <c r="AC2102" s="554"/>
      <c r="AD2102" s="554"/>
      <c r="AE2102" s="554"/>
      <c r="AF2102" s="554"/>
      <c r="AG2102" s="554"/>
      <c r="AH2102" s="554"/>
      <c r="AI2102" s="554"/>
      <c r="AJ2102" s="554"/>
      <c r="AK2102" s="554"/>
      <c r="AL2102" s="554"/>
      <c r="AM2102" s="554"/>
      <c r="AN2102" s="554"/>
      <c r="AO2102" s="554"/>
      <c r="AP2102" s="554"/>
      <c r="AQ2102" s="554"/>
      <c r="AR2102" s="554"/>
      <c r="AS2102" s="554"/>
      <c r="AT2102" s="554"/>
      <c r="AU2102" s="554"/>
      <c r="AV2102" s="554"/>
      <c r="AW2102" s="554"/>
      <c r="AX2102" s="554"/>
      <c r="AY2102" s="554"/>
      <c r="AZ2102" s="554"/>
      <c r="BA2102" s="554"/>
      <c r="BB2102" s="554"/>
      <c r="BC2102" s="554"/>
      <c r="BD2102" s="554"/>
      <c r="BE2102" s="554"/>
      <c r="BF2102" s="554"/>
      <c r="BG2102" s="554"/>
      <c r="BH2102" s="554"/>
      <c r="BI2102" s="554"/>
      <c r="BJ2102" s="554"/>
      <c r="BK2102" s="554"/>
      <c r="BL2102" s="554"/>
    </row>
    <row r="2103" spans="1:64" ht="13">
      <c r="A2103" s="454"/>
      <c r="B2103" s="454"/>
      <c r="C2103" s="427"/>
      <c r="D2103" s="416"/>
      <c r="E2103" s="416"/>
      <c r="F2103" s="416"/>
      <c r="G2103" s="416"/>
      <c r="H2103" s="416"/>
      <c r="I2103" s="414"/>
      <c r="J2103" s="400"/>
      <c r="K2103" s="401"/>
      <c r="L2103" s="401"/>
    </row>
    <row r="2104" spans="1:64" ht="13">
      <c r="A2104" s="454"/>
      <c r="B2104" s="415" t="s">
        <v>720</v>
      </c>
      <c r="C2104" s="526" t="s">
        <v>1099</v>
      </c>
      <c r="D2104" s="409"/>
      <c r="E2104" s="426"/>
      <c r="F2104" s="409"/>
      <c r="G2104" s="410"/>
      <c r="H2104" s="426"/>
      <c r="I2104" s="409"/>
      <c r="J2104" s="400"/>
      <c r="K2104" s="401"/>
      <c r="L2104" s="401"/>
      <c r="M2104" s="404"/>
      <c r="N2104" s="404"/>
      <c r="O2104" s="404"/>
      <c r="P2104" s="404"/>
      <c r="Q2104" s="404"/>
      <c r="R2104" s="404"/>
      <c r="S2104" s="404"/>
      <c r="T2104" s="404"/>
      <c r="U2104" s="404"/>
      <c r="V2104" s="404"/>
      <c r="W2104" s="404"/>
      <c r="X2104" s="404"/>
      <c r="Y2104" s="404"/>
      <c r="Z2104" s="404"/>
      <c r="AA2104" s="404"/>
      <c r="AB2104" s="404"/>
      <c r="AC2104" s="404"/>
      <c r="AD2104" s="404"/>
      <c r="AE2104" s="404"/>
      <c r="AF2104" s="404"/>
      <c r="AG2104" s="404"/>
      <c r="AH2104" s="404"/>
      <c r="AI2104" s="404"/>
      <c r="AJ2104" s="404"/>
      <c r="AK2104" s="404"/>
      <c r="AL2104" s="404"/>
      <c r="AM2104" s="404"/>
      <c r="AN2104" s="404"/>
      <c r="AO2104" s="404"/>
      <c r="AP2104" s="404"/>
      <c r="AQ2104" s="404"/>
      <c r="AR2104" s="404"/>
      <c r="AS2104" s="404"/>
      <c r="AT2104" s="404"/>
      <c r="AU2104" s="404"/>
      <c r="AV2104" s="404"/>
      <c r="AW2104" s="404"/>
      <c r="AX2104" s="404"/>
      <c r="AY2104" s="404"/>
      <c r="AZ2104" s="404"/>
      <c r="BA2104" s="404"/>
      <c r="BB2104" s="404"/>
      <c r="BC2104" s="404"/>
      <c r="BD2104" s="404"/>
      <c r="BE2104" s="404"/>
      <c r="BF2104" s="404"/>
      <c r="BG2104" s="404"/>
      <c r="BH2104" s="404"/>
      <c r="BI2104" s="404"/>
      <c r="BJ2104" s="404"/>
      <c r="BK2104" s="404"/>
      <c r="BL2104" s="404"/>
    </row>
    <row r="2105" spans="1:64" ht="13">
      <c r="A2105" s="454"/>
      <c r="B2105" s="454"/>
      <c r="C2105" s="417" t="s">
        <v>1092</v>
      </c>
      <c r="D2105" s="409">
        <v>0.05</v>
      </c>
      <c r="E2105" s="647" t="s">
        <v>666</v>
      </c>
      <c r="F2105" s="409">
        <f>$I$2102</f>
        <v>6636.3781600000002</v>
      </c>
      <c r="G2105" s="410">
        <v>1</v>
      </c>
      <c r="H2105" s="647" t="s">
        <v>666</v>
      </c>
      <c r="I2105" s="414">
        <f>IF(G2105="",D2105*F2105,(D2105*F2105/G2105))</f>
        <v>331.81890800000002</v>
      </c>
      <c r="J2105" s="400"/>
      <c r="K2105" s="401"/>
      <c r="L2105" s="401"/>
      <c r="M2105" s="404"/>
      <c r="N2105" s="404"/>
      <c r="O2105" s="404"/>
      <c r="P2105" s="404"/>
      <c r="Q2105" s="404"/>
      <c r="R2105" s="404"/>
      <c r="S2105" s="404"/>
      <c r="T2105" s="404"/>
      <c r="U2105" s="404"/>
      <c r="V2105" s="404"/>
      <c r="W2105" s="404"/>
      <c r="X2105" s="404"/>
      <c r="Y2105" s="404"/>
      <c r="Z2105" s="404"/>
      <c r="AA2105" s="404"/>
      <c r="AB2105" s="404"/>
      <c r="AC2105" s="404"/>
      <c r="AD2105" s="404"/>
      <c r="AE2105" s="404"/>
      <c r="AF2105" s="404"/>
      <c r="AG2105" s="404"/>
      <c r="AH2105" s="404"/>
      <c r="AI2105" s="404"/>
      <c r="AJ2105" s="404"/>
      <c r="AK2105" s="404"/>
      <c r="AL2105" s="404"/>
      <c r="AM2105" s="404"/>
      <c r="AN2105" s="404"/>
      <c r="AO2105" s="404"/>
      <c r="AP2105" s="404"/>
      <c r="AQ2105" s="404"/>
      <c r="AR2105" s="404"/>
      <c r="AS2105" s="404"/>
      <c r="AT2105" s="404"/>
      <c r="AU2105" s="404"/>
      <c r="AV2105" s="404"/>
      <c r="AW2105" s="404"/>
      <c r="AX2105" s="404"/>
      <c r="AY2105" s="404"/>
      <c r="AZ2105" s="404"/>
      <c r="BA2105" s="404"/>
      <c r="BB2105" s="404"/>
      <c r="BC2105" s="404"/>
      <c r="BD2105" s="404"/>
      <c r="BE2105" s="404"/>
      <c r="BF2105" s="404"/>
      <c r="BG2105" s="404"/>
      <c r="BH2105" s="404"/>
      <c r="BI2105" s="404"/>
      <c r="BJ2105" s="404"/>
      <c r="BK2105" s="404"/>
      <c r="BL2105" s="404"/>
    </row>
    <row r="2106" spans="1:64" ht="13">
      <c r="A2106" s="454"/>
      <c r="B2106" s="454"/>
      <c r="C2106" s="427"/>
      <c r="D2106" s="416"/>
      <c r="E2106" s="416"/>
      <c r="F2106" s="416"/>
      <c r="G2106" s="416"/>
      <c r="H2106" s="416"/>
      <c r="I2106" s="414"/>
      <c r="J2106" s="400"/>
      <c r="K2106" s="401"/>
      <c r="L2106" s="401"/>
    </row>
    <row r="2107" spans="1:64" ht="13">
      <c r="A2107" s="454"/>
      <c r="B2107" s="454"/>
      <c r="C2107" s="427"/>
      <c r="D2107" s="416"/>
      <c r="E2107" s="416"/>
      <c r="F2107" s="416"/>
      <c r="G2107" s="416"/>
      <c r="H2107" s="416"/>
      <c r="I2107" s="414"/>
      <c r="J2107" s="400"/>
      <c r="K2107" s="401"/>
      <c r="L2107" s="401"/>
    </row>
    <row r="2108" spans="1:64" ht="13">
      <c r="A2108" s="454"/>
      <c r="B2108" s="454"/>
      <c r="C2108" s="427" t="s">
        <v>953</v>
      </c>
      <c r="D2108" s="414" t="s">
        <v>959</v>
      </c>
      <c r="E2108" s="416" t="s">
        <v>943</v>
      </c>
      <c r="F2108" s="415" t="s">
        <v>944</v>
      </c>
      <c r="G2108" s="415" t="s">
        <v>945</v>
      </c>
      <c r="H2108" s="415" t="s">
        <v>946</v>
      </c>
      <c r="I2108" s="415" t="s">
        <v>947</v>
      </c>
      <c r="J2108" s="400"/>
      <c r="K2108" s="401"/>
      <c r="L2108" s="401"/>
    </row>
    <row r="2109" spans="1:64">
      <c r="A2109" s="458"/>
      <c r="B2109" s="458"/>
      <c r="C2109" s="417" t="s">
        <v>1064</v>
      </c>
      <c r="D2109" s="459">
        <f t="shared" ref="D2109:I2109" si="497">$I$2105</f>
        <v>331.81890800000002</v>
      </c>
      <c r="E2109" s="459">
        <f t="shared" si="497"/>
        <v>331.81890800000002</v>
      </c>
      <c r="F2109" s="459">
        <f t="shared" si="497"/>
        <v>331.81890800000002</v>
      </c>
      <c r="G2109" s="459">
        <f t="shared" si="497"/>
        <v>331.81890800000002</v>
      </c>
      <c r="H2109" s="459">
        <f t="shared" si="497"/>
        <v>331.81890800000002</v>
      </c>
      <c r="I2109" s="459">
        <f t="shared" si="497"/>
        <v>331.81890800000002</v>
      </c>
      <c r="J2109" s="400"/>
      <c r="K2109" s="401"/>
      <c r="L2109" s="401"/>
      <c r="M2109" s="559"/>
      <c r="N2109" s="559"/>
      <c r="O2109" s="559"/>
      <c r="P2109" s="559"/>
      <c r="Q2109" s="559"/>
      <c r="R2109" s="559"/>
      <c r="S2109" s="559"/>
      <c r="T2109" s="559"/>
      <c r="U2109" s="559"/>
      <c r="V2109" s="559"/>
      <c r="W2109" s="559"/>
      <c r="X2109" s="559"/>
      <c r="Y2109" s="559"/>
      <c r="Z2109" s="559"/>
      <c r="AA2109" s="559"/>
      <c r="AB2109" s="559"/>
      <c r="AC2109" s="559"/>
      <c r="AD2109" s="559"/>
      <c r="AE2109" s="559"/>
      <c r="AF2109" s="559"/>
      <c r="AG2109" s="559"/>
      <c r="AH2109" s="559"/>
      <c r="AI2109" s="559"/>
      <c r="AJ2109" s="559"/>
      <c r="AK2109" s="559"/>
      <c r="AL2109" s="559"/>
      <c r="AM2109" s="559"/>
      <c r="AN2109" s="559"/>
      <c r="AO2109" s="559"/>
      <c r="AP2109" s="559"/>
      <c r="AQ2109" s="559"/>
      <c r="AR2109" s="559"/>
      <c r="AS2109" s="559"/>
      <c r="AT2109" s="559"/>
      <c r="AU2109" s="559"/>
      <c r="AV2109" s="559"/>
      <c r="AW2109" s="559"/>
      <c r="AX2109" s="559"/>
      <c r="AY2109" s="559"/>
      <c r="AZ2109" s="559"/>
      <c r="BA2109" s="559"/>
      <c r="BB2109" s="559"/>
      <c r="BC2109" s="559"/>
      <c r="BD2109" s="559"/>
      <c r="BE2109" s="559"/>
      <c r="BF2109" s="559"/>
      <c r="BG2109" s="559"/>
      <c r="BH2109" s="559"/>
      <c r="BI2109" s="559"/>
      <c r="BJ2109" s="559"/>
      <c r="BK2109" s="559"/>
      <c r="BL2109" s="559"/>
    </row>
    <row r="2110" spans="1:64" ht="25">
      <c r="A2110" s="458"/>
      <c r="B2110" s="458"/>
      <c r="C2110" s="417" t="s">
        <v>1100</v>
      </c>
      <c r="D2110" s="459">
        <f>'[161]Civil-SOR'!$F$280*50%</f>
        <v>88.5</v>
      </c>
      <c r="E2110" s="459">
        <f>'[161]Civil-SOR'!$F$280*50%</f>
        <v>88.5</v>
      </c>
      <c r="F2110" s="459">
        <f>'[161]Civil-SOR'!$F$280*50%</f>
        <v>88.5</v>
      </c>
      <c r="G2110" s="459">
        <f>'[161]Civil-SOR'!$F$280*50%</f>
        <v>88.5</v>
      </c>
      <c r="H2110" s="459">
        <f>'[161]Civil-SOR'!$F$280*50%</f>
        <v>88.5</v>
      </c>
      <c r="I2110" s="459">
        <f>'[161]Civil-SOR'!$F$280*50%</f>
        <v>88.5</v>
      </c>
      <c r="J2110" s="400"/>
      <c r="K2110" s="401"/>
      <c r="L2110" s="401"/>
      <c r="M2110" s="559"/>
      <c r="N2110" s="559"/>
      <c r="O2110" s="559"/>
      <c r="P2110" s="559"/>
      <c r="Q2110" s="559"/>
      <c r="R2110" s="559"/>
      <c r="S2110" s="559"/>
      <c r="T2110" s="559"/>
      <c r="U2110" s="559"/>
      <c r="V2110" s="559"/>
      <c r="W2110" s="559"/>
      <c r="X2110" s="559"/>
      <c r="Y2110" s="559"/>
      <c r="Z2110" s="559"/>
      <c r="AA2110" s="559"/>
      <c r="AB2110" s="559"/>
      <c r="AC2110" s="559"/>
      <c r="AD2110" s="559"/>
      <c r="AE2110" s="559"/>
      <c r="AF2110" s="559"/>
      <c r="AG2110" s="559"/>
      <c r="AH2110" s="559"/>
      <c r="AI2110" s="559"/>
      <c r="AJ2110" s="559"/>
      <c r="AK2110" s="559"/>
      <c r="AL2110" s="559"/>
      <c r="AM2110" s="559"/>
      <c r="AN2110" s="559"/>
      <c r="AO2110" s="559"/>
      <c r="AP2110" s="559"/>
      <c r="AQ2110" s="559"/>
      <c r="AR2110" s="559"/>
      <c r="AS2110" s="559"/>
      <c r="AT2110" s="559"/>
      <c r="AU2110" s="559"/>
      <c r="AV2110" s="559"/>
      <c r="AW2110" s="559"/>
      <c r="AX2110" s="559"/>
      <c r="AY2110" s="559"/>
      <c r="AZ2110" s="559"/>
      <c r="BA2110" s="559"/>
      <c r="BB2110" s="559"/>
      <c r="BC2110" s="559"/>
      <c r="BD2110" s="559"/>
      <c r="BE2110" s="559"/>
      <c r="BF2110" s="559"/>
      <c r="BG2110" s="559"/>
      <c r="BH2110" s="559"/>
      <c r="BI2110" s="559"/>
      <c r="BJ2110" s="559"/>
      <c r="BK2110" s="559"/>
      <c r="BL2110" s="559"/>
    </row>
    <row r="2111" spans="1:64">
      <c r="A2111" s="458"/>
      <c r="B2111" s="458"/>
      <c r="C2111" s="417" t="s">
        <v>1010</v>
      </c>
      <c r="D2111" s="459">
        <f>'[161]Civil-SOR'!$G$280*50%</f>
        <v>99.5</v>
      </c>
      <c r="E2111" s="459">
        <f>'[161]Civil-SOR'!$H$280*50%</f>
        <v>109.5</v>
      </c>
      <c r="F2111" s="459">
        <f>'[161]Civil-SOR'!$I$280*50%</f>
        <v>119.5</v>
      </c>
      <c r="G2111" s="459">
        <f>'[161]Civil-SOR'!$J$280*50%</f>
        <v>129.5</v>
      </c>
      <c r="H2111" s="459">
        <f>'[161]Civil-SOR'!$K$280*50%</f>
        <v>139.5</v>
      </c>
      <c r="I2111" s="459">
        <f>'[161]Civil-SOR'!$L$280*50%</f>
        <v>149.5</v>
      </c>
      <c r="J2111" s="400"/>
      <c r="K2111" s="401"/>
      <c r="L2111" s="401"/>
      <c r="M2111" s="559"/>
      <c r="N2111" s="559"/>
      <c r="O2111" s="559"/>
      <c r="P2111" s="559"/>
      <c r="Q2111" s="559"/>
      <c r="R2111" s="559"/>
      <c r="S2111" s="559"/>
      <c r="T2111" s="559"/>
      <c r="U2111" s="559"/>
      <c r="V2111" s="559"/>
      <c r="W2111" s="559"/>
      <c r="X2111" s="559"/>
      <c r="Y2111" s="559"/>
      <c r="Z2111" s="559"/>
      <c r="AA2111" s="559"/>
      <c r="AB2111" s="559"/>
      <c r="AC2111" s="559"/>
      <c r="AD2111" s="559"/>
      <c r="AE2111" s="559"/>
      <c r="AF2111" s="559"/>
      <c r="AG2111" s="559"/>
      <c r="AH2111" s="559"/>
      <c r="AI2111" s="559"/>
      <c r="AJ2111" s="559"/>
      <c r="AK2111" s="559"/>
      <c r="AL2111" s="559"/>
      <c r="AM2111" s="559"/>
      <c r="AN2111" s="559"/>
      <c r="AO2111" s="559"/>
      <c r="AP2111" s="559"/>
      <c r="AQ2111" s="559"/>
      <c r="AR2111" s="559"/>
      <c r="AS2111" s="559"/>
      <c r="AT2111" s="559"/>
      <c r="AU2111" s="559"/>
      <c r="AV2111" s="559"/>
      <c r="AW2111" s="559"/>
      <c r="AX2111" s="559"/>
      <c r="AY2111" s="559"/>
      <c r="AZ2111" s="559"/>
      <c r="BA2111" s="559"/>
      <c r="BB2111" s="559"/>
      <c r="BC2111" s="559"/>
      <c r="BD2111" s="559"/>
      <c r="BE2111" s="559"/>
      <c r="BF2111" s="559"/>
      <c r="BG2111" s="559"/>
      <c r="BH2111" s="559"/>
      <c r="BI2111" s="559"/>
      <c r="BJ2111" s="559"/>
      <c r="BK2111" s="559"/>
      <c r="BL2111" s="559"/>
    </row>
    <row r="2112" spans="1:64">
      <c r="A2112" s="458"/>
      <c r="B2112" s="458"/>
      <c r="C2112" s="417" t="str">
        <f>[161]Input!$C$47</f>
        <v>Add for MA @ 40%</v>
      </c>
      <c r="D2112" s="459">
        <f>D2111*[161]Input!$D$47</f>
        <v>39.800000000000004</v>
      </c>
      <c r="E2112" s="459">
        <f>E2111*[161]Input!$D$47</f>
        <v>43.800000000000004</v>
      </c>
      <c r="F2112" s="459">
        <f>F2111*[161]Input!$D$47</f>
        <v>47.800000000000004</v>
      </c>
      <c r="G2112" s="459">
        <f>G2111*[161]Input!$D$47</f>
        <v>51.800000000000004</v>
      </c>
      <c r="H2112" s="459">
        <f>H2111*[161]Input!$D$47</f>
        <v>55.800000000000004</v>
      </c>
      <c r="I2112" s="459">
        <f>I2111*[161]Input!$D$47</f>
        <v>59.800000000000004</v>
      </c>
      <c r="J2112" s="400"/>
      <c r="K2112" s="401"/>
      <c r="L2112" s="401"/>
      <c r="M2112" s="559"/>
      <c r="N2112" s="559"/>
      <c r="O2112" s="559"/>
      <c r="P2112" s="559"/>
      <c r="Q2112" s="559"/>
      <c r="R2112" s="559"/>
      <c r="S2112" s="559"/>
      <c r="T2112" s="559"/>
      <c r="U2112" s="559"/>
      <c r="V2112" s="559"/>
      <c r="W2112" s="559"/>
      <c r="X2112" s="559"/>
      <c r="Y2112" s="559"/>
      <c r="Z2112" s="559"/>
      <c r="AA2112" s="559"/>
      <c r="AB2112" s="559"/>
      <c r="AC2112" s="559"/>
      <c r="AD2112" s="559"/>
      <c r="AE2112" s="559"/>
      <c r="AF2112" s="559"/>
      <c r="AG2112" s="559"/>
      <c r="AH2112" s="559"/>
      <c r="AI2112" s="559"/>
      <c r="AJ2112" s="559"/>
      <c r="AK2112" s="559"/>
      <c r="AL2112" s="559"/>
      <c r="AM2112" s="559"/>
      <c r="AN2112" s="559"/>
      <c r="AO2112" s="559"/>
      <c r="AP2112" s="559"/>
      <c r="AQ2112" s="559"/>
      <c r="AR2112" s="559"/>
      <c r="AS2112" s="559"/>
      <c r="AT2112" s="559"/>
      <c r="AU2112" s="559"/>
      <c r="AV2112" s="559"/>
      <c r="AW2112" s="559"/>
      <c r="AX2112" s="559"/>
      <c r="AY2112" s="559"/>
      <c r="AZ2112" s="559"/>
      <c r="BA2112" s="559"/>
      <c r="BB2112" s="559"/>
      <c r="BC2112" s="559"/>
      <c r="BD2112" s="559"/>
      <c r="BE2112" s="559"/>
      <c r="BF2112" s="559"/>
      <c r="BG2112" s="559"/>
      <c r="BH2112" s="559"/>
      <c r="BI2112" s="559"/>
      <c r="BJ2112" s="559"/>
      <c r="BK2112" s="559"/>
      <c r="BL2112" s="559"/>
    </row>
    <row r="2113" spans="1:64">
      <c r="A2113" s="458"/>
      <c r="B2113" s="458"/>
      <c r="C2113" s="417" t="s">
        <v>994</v>
      </c>
      <c r="D2113" s="459">
        <v>0</v>
      </c>
      <c r="E2113" s="459">
        <f>$F$2096*10%*$D$2105</f>
        <v>8.5602500000000017</v>
      </c>
      <c r="F2113" s="459">
        <f>$F$2096*20%*$D$2105</f>
        <v>17.120500000000003</v>
      </c>
      <c r="G2113" s="459">
        <f>$F$2096*30%*$D$2105</f>
        <v>25.680750000000003</v>
      </c>
      <c r="H2113" s="459">
        <f>$F$2096*40%*$D$2105</f>
        <v>34.241000000000007</v>
      </c>
      <c r="I2113" s="459">
        <f>$F$2096*50%*$D$2105</f>
        <v>42.801250000000003</v>
      </c>
      <c r="J2113" s="400"/>
      <c r="K2113" s="401"/>
      <c r="L2113" s="401"/>
      <c r="M2113" s="559"/>
      <c r="N2113" s="559"/>
      <c r="O2113" s="559"/>
      <c r="P2113" s="559"/>
      <c r="Q2113" s="559"/>
      <c r="R2113" s="559"/>
      <c r="S2113" s="559"/>
      <c r="T2113" s="559"/>
      <c r="U2113" s="559"/>
      <c r="V2113" s="559"/>
      <c r="W2113" s="559"/>
      <c r="X2113" s="559"/>
      <c r="Y2113" s="559"/>
      <c r="Z2113" s="559"/>
      <c r="AA2113" s="559"/>
      <c r="AB2113" s="559"/>
      <c r="AC2113" s="559"/>
      <c r="AD2113" s="559"/>
      <c r="AE2113" s="559"/>
      <c r="AF2113" s="559"/>
      <c r="AG2113" s="559"/>
      <c r="AH2113" s="559"/>
      <c r="AI2113" s="559"/>
      <c r="AJ2113" s="559"/>
      <c r="AK2113" s="559"/>
      <c r="AL2113" s="559"/>
      <c r="AM2113" s="559"/>
      <c r="AN2113" s="559"/>
      <c r="AO2113" s="559"/>
      <c r="AP2113" s="559"/>
      <c r="AQ2113" s="559"/>
      <c r="AR2113" s="559"/>
      <c r="AS2113" s="559"/>
      <c r="AT2113" s="559"/>
      <c r="AU2113" s="559"/>
      <c r="AV2113" s="559"/>
      <c r="AW2113" s="559"/>
      <c r="AX2113" s="559"/>
      <c r="AY2113" s="559"/>
      <c r="AZ2113" s="559"/>
      <c r="BA2113" s="559"/>
      <c r="BB2113" s="559"/>
      <c r="BC2113" s="559"/>
      <c r="BD2113" s="559"/>
      <c r="BE2113" s="559"/>
      <c r="BF2113" s="559"/>
      <c r="BG2113" s="559"/>
      <c r="BH2113" s="559"/>
      <c r="BI2113" s="559"/>
      <c r="BJ2113" s="559"/>
      <c r="BK2113" s="559"/>
      <c r="BL2113" s="559"/>
    </row>
    <row r="2114" spans="1:64">
      <c r="A2114" s="458"/>
      <c r="B2114" s="458"/>
      <c r="C2114" s="417" t="str">
        <f>[161]Input!$C$47</f>
        <v>Add for MA @ 40%</v>
      </c>
      <c r="D2114" s="459">
        <f>D2113*[161]Input!$D$47</f>
        <v>0</v>
      </c>
      <c r="E2114" s="459">
        <f>E2113*[161]Input!$D$47</f>
        <v>3.424100000000001</v>
      </c>
      <c r="F2114" s="459">
        <f>F2113*[161]Input!$D$47</f>
        <v>6.8482000000000021</v>
      </c>
      <c r="G2114" s="459">
        <f>G2113*[161]Input!$D$47</f>
        <v>10.272300000000001</v>
      </c>
      <c r="H2114" s="459">
        <f>H2113*[161]Input!$D$47</f>
        <v>13.696400000000004</v>
      </c>
      <c r="I2114" s="459">
        <f>I2113*[161]Input!$D$47</f>
        <v>17.120500000000003</v>
      </c>
      <c r="J2114" s="400"/>
      <c r="K2114" s="401"/>
      <c r="L2114" s="401"/>
      <c r="M2114" s="559"/>
      <c r="N2114" s="559"/>
      <c r="O2114" s="559"/>
      <c r="P2114" s="559"/>
      <c r="Q2114" s="559"/>
      <c r="R2114" s="559"/>
      <c r="S2114" s="559"/>
      <c r="T2114" s="559"/>
      <c r="U2114" s="559"/>
      <c r="V2114" s="559"/>
      <c r="W2114" s="559"/>
      <c r="X2114" s="559"/>
      <c r="Y2114" s="559"/>
      <c r="Z2114" s="559"/>
      <c r="AA2114" s="559"/>
      <c r="AB2114" s="559"/>
      <c r="AC2114" s="559"/>
      <c r="AD2114" s="559"/>
      <c r="AE2114" s="559"/>
      <c r="AF2114" s="559"/>
      <c r="AG2114" s="559"/>
      <c r="AH2114" s="559"/>
      <c r="AI2114" s="559"/>
      <c r="AJ2114" s="559"/>
      <c r="AK2114" s="559"/>
      <c r="AL2114" s="559"/>
      <c r="AM2114" s="559"/>
      <c r="AN2114" s="559"/>
      <c r="AO2114" s="559"/>
      <c r="AP2114" s="559"/>
      <c r="AQ2114" s="559"/>
      <c r="AR2114" s="559"/>
      <c r="AS2114" s="559"/>
      <c r="AT2114" s="559"/>
      <c r="AU2114" s="559"/>
      <c r="AV2114" s="559"/>
      <c r="AW2114" s="559"/>
      <c r="AX2114" s="559"/>
      <c r="AY2114" s="559"/>
      <c r="AZ2114" s="559"/>
      <c r="BA2114" s="559"/>
      <c r="BB2114" s="559"/>
      <c r="BC2114" s="559"/>
      <c r="BD2114" s="559"/>
      <c r="BE2114" s="559"/>
      <c r="BF2114" s="559"/>
      <c r="BG2114" s="559"/>
      <c r="BH2114" s="559"/>
      <c r="BI2114" s="559"/>
      <c r="BJ2114" s="559"/>
      <c r="BK2114" s="559"/>
      <c r="BL2114" s="559"/>
    </row>
    <row r="2115" spans="1:64" ht="13">
      <c r="A2115" s="458"/>
      <c r="B2115" s="458"/>
      <c r="C2115" s="417" t="s">
        <v>742</v>
      </c>
      <c r="D2115" s="461">
        <f t="shared" ref="D2115:I2115" si="498">SUM(D2109:D2114)</f>
        <v>559.61890799999992</v>
      </c>
      <c r="E2115" s="461">
        <f t="shared" si="498"/>
        <v>585.60325799999987</v>
      </c>
      <c r="F2115" s="461">
        <f t="shared" si="498"/>
        <v>611.58760799999993</v>
      </c>
      <c r="G2115" s="461">
        <f t="shared" si="498"/>
        <v>637.57195799999988</v>
      </c>
      <c r="H2115" s="461">
        <f t="shared" si="498"/>
        <v>663.55630799999994</v>
      </c>
      <c r="I2115" s="461">
        <f t="shared" si="498"/>
        <v>689.54065799999989</v>
      </c>
      <c r="J2115" s="400"/>
      <c r="K2115" s="401"/>
      <c r="L2115" s="401"/>
      <c r="M2115" s="559"/>
      <c r="N2115" s="559"/>
      <c r="O2115" s="559"/>
      <c r="P2115" s="559"/>
      <c r="Q2115" s="559"/>
      <c r="R2115" s="559"/>
      <c r="S2115" s="559"/>
      <c r="T2115" s="559"/>
      <c r="U2115" s="559"/>
      <c r="V2115" s="559"/>
      <c r="W2115" s="559"/>
      <c r="X2115" s="559"/>
      <c r="Y2115" s="559"/>
      <c r="Z2115" s="559"/>
      <c r="AA2115" s="559"/>
      <c r="AB2115" s="559"/>
      <c r="AC2115" s="559"/>
      <c r="AD2115" s="559"/>
      <c r="AE2115" s="559"/>
      <c r="AF2115" s="559"/>
      <c r="AG2115" s="559"/>
      <c r="AH2115" s="559"/>
      <c r="AI2115" s="559"/>
      <c r="AJ2115" s="559"/>
      <c r="AK2115" s="559"/>
      <c r="AL2115" s="559"/>
      <c r="AM2115" s="559"/>
      <c r="AN2115" s="559"/>
      <c r="AO2115" s="559"/>
      <c r="AP2115" s="559"/>
      <c r="AQ2115" s="559"/>
      <c r="AR2115" s="559"/>
      <c r="AS2115" s="559"/>
      <c r="AT2115" s="559"/>
      <c r="AU2115" s="559"/>
      <c r="AV2115" s="559"/>
      <c r="AW2115" s="559"/>
      <c r="AX2115" s="559"/>
      <c r="AY2115" s="559"/>
      <c r="AZ2115" s="559"/>
      <c r="BA2115" s="559"/>
      <c r="BB2115" s="559"/>
      <c r="BC2115" s="559"/>
      <c r="BD2115" s="559"/>
      <c r="BE2115" s="559"/>
      <c r="BF2115" s="559"/>
      <c r="BG2115" s="559"/>
      <c r="BH2115" s="559"/>
      <c r="BI2115" s="559"/>
      <c r="BJ2115" s="559"/>
      <c r="BK2115" s="559"/>
      <c r="BL2115" s="559"/>
    </row>
    <row r="2116" spans="1:64" ht="25">
      <c r="A2116" s="458"/>
      <c r="B2116" s="458"/>
      <c r="C2116" s="620" t="str">
        <f>[161]Input!$C$48</f>
        <v>Overheads &amp; Contractors Profit @ 13.615%</v>
      </c>
      <c r="D2116" s="459">
        <f>D2115*[161]Input!$D$48</f>
        <v>76.192114324199991</v>
      </c>
      <c r="E2116" s="459">
        <f>E2115*[161]Input!$D$48</f>
        <v>79.729883576699976</v>
      </c>
      <c r="F2116" s="459">
        <f>F2115*[161]Input!$D$48</f>
        <v>83.267652829199989</v>
      </c>
      <c r="G2116" s="459">
        <f>G2115*[161]Input!$D$48</f>
        <v>86.805422081699973</v>
      </c>
      <c r="H2116" s="459">
        <f>H2115*[161]Input!$D$48</f>
        <v>90.343191334199986</v>
      </c>
      <c r="I2116" s="459">
        <f>I2115*[161]Input!$D$48</f>
        <v>93.880960586699985</v>
      </c>
      <c r="J2116" s="400"/>
      <c r="K2116" s="401"/>
      <c r="L2116" s="401"/>
      <c r="M2116" s="559"/>
      <c r="N2116" s="559"/>
      <c r="O2116" s="559"/>
      <c r="P2116" s="559"/>
      <c r="Q2116" s="559"/>
      <c r="R2116" s="559"/>
      <c r="S2116" s="559"/>
      <c r="T2116" s="559"/>
      <c r="U2116" s="559"/>
      <c r="V2116" s="559"/>
      <c r="W2116" s="559"/>
      <c r="X2116" s="559"/>
      <c r="Y2116" s="559"/>
      <c r="Z2116" s="559"/>
      <c r="AA2116" s="559"/>
      <c r="AB2116" s="559"/>
      <c r="AC2116" s="559"/>
      <c r="AD2116" s="559"/>
      <c r="AE2116" s="559"/>
      <c r="AF2116" s="559"/>
      <c r="AG2116" s="559"/>
      <c r="AH2116" s="559"/>
      <c r="AI2116" s="559"/>
      <c r="AJ2116" s="559"/>
      <c r="AK2116" s="559"/>
      <c r="AL2116" s="559"/>
      <c r="AM2116" s="559"/>
      <c r="AN2116" s="559"/>
      <c r="AO2116" s="559"/>
      <c r="AP2116" s="559"/>
      <c r="AQ2116" s="559"/>
      <c r="AR2116" s="559"/>
      <c r="AS2116" s="559"/>
      <c r="AT2116" s="559"/>
      <c r="AU2116" s="559"/>
      <c r="AV2116" s="559"/>
      <c r="AW2116" s="559"/>
      <c r="AX2116" s="559"/>
      <c r="AY2116" s="559"/>
      <c r="AZ2116" s="559"/>
      <c r="BA2116" s="559"/>
      <c r="BB2116" s="559"/>
      <c r="BC2116" s="559"/>
      <c r="BD2116" s="559"/>
      <c r="BE2116" s="559"/>
      <c r="BF2116" s="559"/>
      <c r="BG2116" s="559"/>
      <c r="BH2116" s="559"/>
      <c r="BI2116" s="559"/>
      <c r="BJ2116" s="559"/>
      <c r="BK2116" s="559"/>
      <c r="BL2116" s="559"/>
    </row>
    <row r="2117" spans="1:64" ht="13">
      <c r="A2117" s="458"/>
      <c r="B2117" s="458"/>
      <c r="C2117" s="481" t="s">
        <v>742</v>
      </c>
      <c r="D2117" s="459">
        <f t="shared" ref="D2117:I2117" si="499">SUM(D2115:D2116)</f>
        <v>635.81102232419994</v>
      </c>
      <c r="E2117" s="459">
        <f t="shared" si="499"/>
        <v>665.33314157669986</v>
      </c>
      <c r="F2117" s="459">
        <f t="shared" si="499"/>
        <v>694.85526082919989</v>
      </c>
      <c r="G2117" s="459">
        <f t="shared" si="499"/>
        <v>724.37738008169981</v>
      </c>
      <c r="H2117" s="459">
        <f t="shared" si="499"/>
        <v>753.89949933419996</v>
      </c>
      <c r="I2117" s="459">
        <f t="shared" si="499"/>
        <v>783.42161858669988</v>
      </c>
      <c r="J2117" s="400"/>
      <c r="K2117" s="401"/>
      <c r="L2117" s="401"/>
      <c r="M2117" s="560"/>
      <c r="N2117" s="560"/>
      <c r="O2117" s="560"/>
      <c r="P2117" s="560"/>
      <c r="Q2117" s="560"/>
      <c r="R2117" s="560"/>
      <c r="S2117" s="560"/>
      <c r="T2117" s="560"/>
      <c r="U2117" s="560"/>
      <c r="V2117" s="560"/>
      <c r="W2117" s="560"/>
      <c r="X2117" s="560"/>
      <c r="Y2117" s="560"/>
      <c r="Z2117" s="560"/>
      <c r="AA2117" s="560"/>
      <c r="AB2117" s="560"/>
      <c r="AC2117" s="560"/>
      <c r="AD2117" s="560"/>
      <c r="AE2117" s="560"/>
      <c r="AF2117" s="560"/>
      <c r="AG2117" s="560"/>
      <c r="AH2117" s="560"/>
      <c r="AI2117" s="560"/>
      <c r="AJ2117" s="560"/>
      <c r="AK2117" s="560"/>
      <c r="AL2117" s="560"/>
      <c r="AM2117" s="560"/>
      <c r="AN2117" s="560"/>
      <c r="AO2117" s="560"/>
      <c r="AP2117" s="560"/>
      <c r="AQ2117" s="560"/>
      <c r="AR2117" s="560"/>
      <c r="AS2117" s="560"/>
      <c r="AT2117" s="560"/>
      <c r="AU2117" s="560"/>
      <c r="AV2117" s="560"/>
      <c r="AW2117" s="560"/>
      <c r="AX2117" s="560"/>
      <c r="AY2117" s="560"/>
      <c r="AZ2117" s="560"/>
      <c r="BA2117" s="560"/>
      <c r="BB2117" s="560"/>
      <c r="BC2117" s="560"/>
      <c r="BD2117" s="560"/>
      <c r="BE2117" s="560"/>
      <c r="BF2117" s="560"/>
      <c r="BG2117" s="560"/>
      <c r="BH2117" s="560"/>
      <c r="BI2117" s="560"/>
      <c r="BJ2117" s="560"/>
      <c r="BK2117" s="560"/>
      <c r="BL2117" s="560"/>
    </row>
    <row r="2118" spans="1:64" ht="13">
      <c r="A2118" s="454"/>
      <c r="B2118" s="454"/>
      <c r="C2118" s="522" t="s">
        <v>726</v>
      </c>
      <c r="D2118" s="416">
        <f t="shared" ref="D2118:I2118" si="500">ROUND(D2117,0)</f>
        <v>636</v>
      </c>
      <c r="E2118" s="416">
        <f t="shared" si="500"/>
        <v>665</v>
      </c>
      <c r="F2118" s="416">
        <f t="shared" si="500"/>
        <v>695</v>
      </c>
      <c r="G2118" s="416">
        <f t="shared" si="500"/>
        <v>724</v>
      </c>
      <c r="H2118" s="416">
        <f t="shared" si="500"/>
        <v>754</v>
      </c>
      <c r="I2118" s="416">
        <f t="shared" si="500"/>
        <v>783</v>
      </c>
      <c r="J2118" s="400"/>
      <c r="K2118" s="401"/>
      <c r="L2118" s="401"/>
      <c r="M2118" s="554"/>
      <c r="N2118" s="554"/>
      <c r="O2118" s="554"/>
      <c r="P2118" s="554"/>
      <c r="Q2118" s="554"/>
      <c r="R2118" s="554"/>
      <c r="S2118" s="554"/>
      <c r="T2118" s="554"/>
      <c r="U2118" s="554"/>
      <c r="V2118" s="554"/>
      <c r="W2118" s="554"/>
      <c r="X2118" s="554"/>
      <c r="Y2118" s="554"/>
      <c r="Z2118" s="554"/>
      <c r="AA2118" s="554"/>
      <c r="AB2118" s="554"/>
      <c r="AC2118" s="554"/>
      <c r="AD2118" s="554"/>
      <c r="AE2118" s="554"/>
      <c r="AF2118" s="554"/>
      <c r="AG2118" s="554"/>
      <c r="AH2118" s="554"/>
      <c r="AI2118" s="554"/>
      <c r="AJ2118" s="554"/>
      <c r="AK2118" s="554"/>
      <c r="AL2118" s="554"/>
      <c r="AM2118" s="554"/>
      <c r="AN2118" s="554"/>
      <c r="AO2118" s="554"/>
      <c r="AP2118" s="554"/>
      <c r="AQ2118" s="554"/>
      <c r="AR2118" s="554"/>
      <c r="AS2118" s="554"/>
      <c r="AT2118" s="554"/>
      <c r="AU2118" s="554"/>
      <c r="AV2118" s="554"/>
      <c r="AW2118" s="554"/>
      <c r="AX2118" s="554"/>
      <c r="AY2118" s="554"/>
      <c r="AZ2118" s="554"/>
      <c r="BA2118" s="554"/>
      <c r="BB2118" s="554"/>
      <c r="BC2118" s="554"/>
      <c r="BD2118" s="554"/>
      <c r="BE2118" s="554"/>
      <c r="BF2118" s="554"/>
      <c r="BG2118" s="554"/>
      <c r="BH2118" s="554"/>
      <c r="BI2118" s="554"/>
      <c r="BJ2118" s="554"/>
      <c r="BK2118" s="554"/>
      <c r="BL2118" s="554"/>
    </row>
    <row r="2119" spans="1:64" ht="13">
      <c r="A2119" s="454"/>
      <c r="B2119" s="454"/>
      <c r="C2119" s="427"/>
      <c r="D2119" s="416"/>
      <c r="E2119" s="416"/>
      <c r="F2119" s="416"/>
      <c r="G2119" s="416"/>
      <c r="H2119" s="416"/>
      <c r="I2119" s="414"/>
      <c r="J2119" s="400"/>
      <c r="K2119" s="401"/>
      <c r="L2119" s="401"/>
    </row>
    <row r="2120" spans="1:64" ht="13">
      <c r="A2120" s="454"/>
      <c r="B2120" s="454"/>
      <c r="C2120" s="427" t="s">
        <v>953</v>
      </c>
      <c r="D2120" s="415" t="s">
        <v>948</v>
      </c>
      <c r="E2120" s="415" t="s">
        <v>949</v>
      </c>
      <c r="F2120" s="415" t="s">
        <v>950</v>
      </c>
      <c r="G2120" s="416"/>
      <c r="H2120" s="416"/>
      <c r="I2120" s="414"/>
      <c r="J2120" s="400"/>
      <c r="K2120" s="401"/>
      <c r="L2120" s="401"/>
    </row>
    <row r="2121" spans="1:64" ht="13">
      <c r="A2121" s="454"/>
      <c r="B2121" s="454"/>
      <c r="C2121" s="417" t="s">
        <v>1064</v>
      </c>
      <c r="D2121" s="459">
        <f>$I$2105</f>
        <v>331.81890800000002</v>
      </c>
      <c r="E2121" s="459">
        <f>$I$2105</f>
        <v>331.81890800000002</v>
      </c>
      <c r="F2121" s="459">
        <f>$I$2105</f>
        <v>331.81890800000002</v>
      </c>
      <c r="G2121" s="416"/>
      <c r="H2121" s="416"/>
      <c r="I2121" s="414"/>
      <c r="J2121" s="400"/>
      <c r="K2121" s="401"/>
      <c r="L2121" s="401"/>
    </row>
    <row r="2122" spans="1:64" ht="25">
      <c r="A2122" s="454"/>
      <c r="B2122" s="454"/>
      <c r="C2122" s="417" t="s">
        <v>1100</v>
      </c>
      <c r="D2122" s="459">
        <f>'[161]Civil-SOR'!$F$280*50%</f>
        <v>88.5</v>
      </c>
      <c r="E2122" s="459">
        <f>'[161]Civil-SOR'!$F$280*50%</f>
        <v>88.5</v>
      </c>
      <c r="F2122" s="459">
        <f>'[161]Civil-SOR'!$F$280*50%</f>
        <v>88.5</v>
      </c>
      <c r="G2122" s="416"/>
      <c r="H2122" s="416"/>
      <c r="I2122" s="414"/>
      <c r="J2122" s="400"/>
      <c r="K2122" s="401"/>
      <c r="L2122" s="401"/>
    </row>
    <row r="2123" spans="1:64" ht="13">
      <c r="A2123" s="454"/>
      <c r="B2123" s="454"/>
      <c r="C2123" s="417" t="s">
        <v>1010</v>
      </c>
      <c r="D2123" s="459">
        <f>'[161]Civil-SOR'!$M$280*50%</f>
        <v>159</v>
      </c>
      <c r="E2123" s="459">
        <f>'[161]Civil-SOR'!$N$280*50%</f>
        <v>169</v>
      </c>
      <c r="F2123" s="459">
        <f>'[161]Civil-SOR'!$O$280*50%</f>
        <v>179</v>
      </c>
      <c r="G2123" s="416"/>
      <c r="H2123" s="416"/>
      <c r="I2123" s="414"/>
      <c r="J2123" s="400"/>
      <c r="K2123" s="401"/>
      <c r="L2123" s="401"/>
    </row>
    <row r="2124" spans="1:64" ht="13">
      <c r="A2124" s="454"/>
      <c r="B2124" s="454"/>
      <c r="C2124" s="417" t="str">
        <f>[161]Input!$C$47</f>
        <v>Add for MA @ 40%</v>
      </c>
      <c r="D2124" s="459">
        <f>D2123*[161]Input!$D$47</f>
        <v>63.6</v>
      </c>
      <c r="E2124" s="459">
        <f>E2123*[161]Input!$D$47</f>
        <v>67.600000000000009</v>
      </c>
      <c r="F2124" s="459">
        <f>F2123*[161]Input!$D$47</f>
        <v>71.600000000000009</v>
      </c>
      <c r="G2124" s="416"/>
      <c r="H2124" s="416"/>
      <c r="I2124" s="414"/>
      <c r="J2124" s="400"/>
      <c r="K2124" s="401"/>
      <c r="L2124" s="401"/>
    </row>
    <row r="2125" spans="1:64" ht="13">
      <c r="A2125" s="454"/>
      <c r="B2125" s="454"/>
      <c r="C2125" s="417" t="s">
        <v>994</v>
      </c>
      <c r="D2125" s="459">
        <f>$F$2096*60%*$D$2105</f>
        <v>51.361500000000007</v>
      </c>
      <c r="E2125" s="459">
        <f>$F$2096*70%*$D$2105</f>
        <v>59.921750000000003</v>
      </c>
      <c r="F2125" s="459">
        <f>$F$2096*80%*$D$2105</f>
        <v>68.482000000000014</v>
      </c>
      <c r="G2125" s="416"/>
      <c r="H2125" s="416"/>
      <c r="I2125" s="414"/>
      <c r="J2125" s="400"/>
      <c r="K2125" s="401"/>
      <c r="L2125" s="401"/>
    </row>
    <row r="2126" spans="1:64" ht="13">
      <c r="A2126" s="454"/>
      <c r="B2126" s="454"/>
      <c r="C2126" s="417" t="str">
        <f>[161]Input!$C$47</f>
        <v>Add for MA @ 40%</v>
      </c>
      <c r="D2126" s="459">
        <f>D2125*[161]Input!$D$47</f>
        <v>20.544600000000003</v>
      </c>
      <c r="E2126" s="459">
        <f>E2125*[161]Input!$D$47</f>
        <v>23.968700000000002</v>
      </c>
      <c r="F2126" s="459">
        <f>F2125*[161]Input!$D$47</f>
        <v>27.392800000000008</v>
      </c>
      <c r="G2126" s="416"/>
      <c r="H2126" s="416"/>
      <c r="I2126" s="414"/>
      <c r="J2126" s="400"/>
      <c r="K2126" s="401"/>
      <c r="L2126" s="401"/>
    </row>
    <row r="2127" spans="1:64" ht="13">
      <c r="A2127" s="454"/>
      <c r="B2127" s="454"/>
      <c r="C2127" s="417" t="s">
        <v>742</v>
      </c>
      <c r="D2127" s="461">
        <f>SUM(D2121:D2126)</f>
        <v>714.82500800000003</v>
      </c>
      <c r="E2127" s="461">
        <f>SUM(E2121:E2126)</f>
        <v>740.80935799999997</v>
      </c>
      <c r="F2127" s="461">
        <f>SUM(F2121:F2126)</f>
        <v>766.79370799999992</v>
      </c>
      <c r="G2127" s="416"/>
      <c r="H2127" s="416"/>
      <c r="I2127" s="414"/>
      <c r="J2127" s="400"/>
      <c r="K2127" s="401"/>
      <c r="L2127" s="401"/>
    </row>
    <row r="2128" spans="1:64" ht="25">
      <c r="A2128" s="454"/>
      <c r="B2128" s="454"/>
      <c r="C2128" s="620" t="str">
        <f>[161]Input!$C$48</f>
        <v>Overheads &amp; Contractors Profit @ 13.615%</v>
      </c>
      <c r="D2128" s="459">
        <f>D2127*[161]Input!$D$48</f>
        <v>97.323424839200001</v>
      </c>
      <c r="E2128" s="459">
        <f>E2127*[161]Input!$D$48</f>
        <v>100.86119409169999</v>
      </c>
      <c r="F2128" s="459">
        <f>F2127*[161]Input!$D$48</f>
        <v>104.39896334419998</v>
      </c>
      <c r="G2128" s="416"/>
      <c r="H2128" s="416"/>
      <c r="I2128" s="414"/>
      <c r="J2128" s="400"/>
      <c r="K2128" s="401"/>
      <c r="L2128" s="401"/>
    </row>
    <row r="2129" spans="1:64" ht="13">
      <c r="A2129" s="454"/>
      <c r="B2129" s="454"/>
      <c r="C2129" s="427" t="s">
        <v>742</v>
      </c>
      <c r="D2129" s="459">
        <f>SUM(D2127:D2128)</f>
        <v>812.14843283920004</v>
      </c>
      <c r="E2129" s="459">
        <f>SUM(E2127:E2128)</f>
        <v>841.67055209169996</v>
      </c>
      <c r="F2129" s="459">
        <f>SUM(F2127:F2128)</f>
        <v>871.19267134419988</v>
      </c>
      <c r="G2129" s="416"/>
      <c r="H2129" s="416"/>
      <c r="I2129" s="414"/>
      <c r="J2129" s="400"/>
      <c r="K2129" s="401"/>
      <c r="L2129" s="401"/>
    </row>
    <row r="2130" spans="1:64" ht="13">
      <c r="A2130" s="454"/>
      <c r="B2130" s="454"/>
      <c r="C2130" s="514" t="s">
        <v>726</v>
      </c>
      <c r="D2130" s="416">
        <f>ROUND(D2129,0)</f>
        <v>812</v>
      </c>
      <c r="E2130" s="416">
        <f>ROUND(E2129,0)</f>
        <v>842</v>
      </c>
      <c r="F2130" s="416">
        <f>ROUND(F2129,0)</f>
        <v>871</v>
      </c>
      <c r="G2130" s="416"/>
      <c r="H2130" s="416"/>
      <c r="I2130" s="414"/>
      <c r="J2130" s="400"/>
      <c r="K2130" s="401"/>
      <c r="L2130" s="401"/>
    </row>
    <row r="2131" spans="1:64" ht="13">
      <c r="A2131" s="454"/>
      <c r="B2131" s="454"/>
      <c r="C2131" s="427"/>
      <c r="D2131" s="416"/>
      <c r="E2131" s="416"/>
      <c r="F2131" s="416"/>
      <c r="G2131" s="416"/>
      <c r="H2131" s="416"/>
      <c r="I2131" s="414"/>
      <c r="J2131" s="400"/>
      <c r="K2131" s="401"/>
      <c r="L2131" s="401"/>
    </row>
    <row r="2132" spans="1:64" ht="13">
      <c r="A2132" s="454"/>
      <c r="B2132" s="415" t="s">
        <v>727</v>
      </c>
      <c r="C2132" s="427" t="s">
        <v>1101</v>
      </c>
      <c r="D2132" s="625"/>
      <c r="E2132" s="625"/>
      <c r="F2132" s="625"/>
      <c r="G2132" s="410"/>
      <c r="H2132" s="625"/>
      <c r="I2132" s="434"/>
      <c r="J2132" s="400"/>
      <c r="K2132" s="401"/>
      <c r="L2132" s="401"/>
    </row>
    <row r="2133" spans="1:64">
      <c r="A2133" s="454"/>
      <c r="B2133" s="454"/>
      <c r="C2133" s="417" t="s">
        <v>1092</v>
      </c>
      <c r="D2133" s="491">
        <v>2.5000000000000001E-2</v>
      </c>
      <c r="E2133" s="647" t="s">
        <v>666</v>
      </c>
      <c r="F2133" s="409">
        <f>$I$2102</f>
        <v>6636.3781600000002</v>
      </c>
      <c r="G2133" s="410">
        <v>1</v>
      </c>
      <c r="H2133" s="647" t="s">
        <v>666</v>
      </c>
      <c r="I2133" s="408">
        <f>IF(G2133="",D2133*F2133,(D2133*F2133/G2133))</f>
        <v>165.90945400000001</v>
      </c>
      <c r="J2133" s="400"/>
      <c r="K2133" s="401"/>
      <c r="L2133" s="401"/>
    </row>
    <row r="2134" spans="1:64" ht="13">
      <c r="A2134" s="454"/>
      <c r="B2134" s="454"/>
      <c r="C2134" s="417" t="s">
        <v>1102</v>
      </c>
      <c r="D2134" s="625"/>
      <c r="E2134" s="625"/>
      <c r="F2134" s="625"/>
      <c r="G2134" s="410"/>
      <c r="H2134" s="625"/>
      <c r="I2134" s="434">
        <f>SUM(I2133:I2133)</f>
        <v>165.90945400000001</v>
      </c>
      <c r="J2134" s="400"/>
      <c r="K2134" s="401"/>
      <c r="L2134" s="401"/>
    </row>
    <row r="2135" spans="1:64" ht="13">
      <c r="A2135" s="454"/>
      <c r="B2135" s="454"/>
      <c r="C2135" s="427"/>
      <c r="D2135" s="416"/>
      <c r="E2135" s="416"/>
      <c r="F2135" s="416"/>
      <c r="G2135" s="416"/>
      <c r="H2135" s="416"/>
      <c r="I2135" s="414"/>
      <c r="J2135" s="400"/>
      <c r="K2135" s="401"/>
      <c r="L2135" s="401"/>
    </row>
    <row r="2136" spans="1:64" ht="13">
      <c r="A2136" s="454"/>
      <c r="B2136" s="454"/>
      <c r="C2136" s="427" t="s">
        <v>953</v>
      </c>
      <c r="D2136" s="414" t="s">
        <v>959</v>
      </c>
      <c r="E2136" s="416" t="s">
        <v>943</v>
      </c>
      <c r="F2136" s="415" t="s">
        <v>944</v>
      </c>
      <c r="G2136" s="415" t="s">
        <v>945</v>
      </c>
      <c r="H2136" s="415" t="s">
        <v>946</v>
      </c>
      <c r="I2136" s="415" t="s">
        <v>947</v>
      </c>
      <c r="J2136" s="648" t="s">
        <v>948</v>
      </c>
      <c r="K2136" s="649" t="s">
        <v>949</v>
      </c>
      <c r="L2136" s="649" t="s">
        <v>950</v>
      </c>
      <c r="M2136" s="404"/>
      <c r="N2136" s="404"/>
      <c r="O2136" s="404"/>
      <c r="P2136" s="404"/>
      <c r="Q2136" s="404"/>
      <c r="R2136" s="404"/>
      <c r="S2136" s="404"/>
      <c r="T2136" s="404"/>
      <c r="U2136" s="404"/>
      <c r="V2136" s="404"/>
      <c r="W2136" s="404"/>
      <c r="X2136" s="404"/>
      <c r="Y2136" s="404"/>
      <c r="Z2136" s="404"/>
      <c r="AA2136" s="404"/>
      <c r="AB2136" s="404"/>
      <c r="AC2136" s="404"/>
      <c r="AD2136" s="404"/>
      <c r="AE2136" s="404"/>
      <c r="AF2136" s="404"/>
      <c r="AG2136" s="404"/>
      <c r="AH2136" s="404"/>
      <c r="AI2136" s="404"/>
      <c r="AJ2136" s="404"/>
      <c r="AK2136" s="404"/>
      <c r="AL2136" s="404"/>
      <c r="AM2136" s="404"/>
      <c r="AN2136" s="404"/>
      <c r="AO2136" s="404"/>
      <c r="AP2136" s="404"/>
      <c r="AQ2136" s="404"/>
      <c r="AR2136" s="404"/>
      <c r="AS2136" s="404"/>
      <c r="AT2136" s="404"/>
      <c r="AU2136" s="404"/>
      <c r="AV2136" s="404"/>
      <c r="AW2136" s="404"/>
      <c r="AX2136" s="404"/>
      <c r="AY2136" s="404"/>
      <c r="AZ2136" s="404"/>
      <c r="BA2136" s="404"/>
      <c r="BB2136" s="404"/>
      <c r="BC2136" s="404"/>
      <c r="BD2136" s="404"/>
      <c r="BE2136" s="404"/>
      <c r="BF2136" s="404"/>
      <c r="BG2136" s="404"/>
      <c r="BH2136" s="404"/>
      <c r="BI2136" s="404"/>
      <c r="BJ2136" s="404"/>
      <c r="BK2136" s="404"/>
      <c r="BL2136" s="404"/>
    </row>
    <row r="2137" spans="1:64">
      <c r="A2137" s="458"/>
      <c r="B2137" s="458"/>
      <c r="C2137" s="417" t="s">
        <v>1064</v>
      </c>
      <c r="D2137" s="459">
        <f t="shared" ref="D2137:L2137" si="501">$I$2134</f>
        <v>165.90945400000001</v>
      </c>
      <c r="E2137" s="459">
        <f t="shared" si="501"/>
        <v>165.90945400000001</v>
      </c>
      <c r="F2137" s="459">
        <f t="shared" si="501"/>
        <v>165.90945400000001</v>
      </c>
      <c r="G2137" s="459">
        <f t="shared" si="501"/>
        <v>165.90945400000001</v>
      </c>
      <c r="H2137" s="459">
        <f t="shared" si="501"/>
        <v>165.90945400000001</v>
      </c>
      <c r="I2137" s="459">
        <f t="shared" si="501"/>
        <v>165.90945400000001</v>
      </c>
      <c r="J2137" s="565">
        <f t="shared" si="501"/>
        <v>165.90945400000001</v>
      </c>
      <c r="K2137" s="600">
        <f t="shared" si="501"/>
        <v>165.90945400000001</v>
      </c>
      <c r="L2137" s="600">
        <f t="shared" si="501"/>
        <v>165.90945400000001</v>
      </c>
      <c r="M2137" s="464"/>
      <c r="N2137" s="464"/>
      <c r="O2137" s="464"/>
      <c r="P2137" s="464"/>
      <c r="Q2137" s="464"/>
      <c r="R2137" s="464"/>
      <c r="S2137" s="464"/>
      <c r="T2137" s="464"/>
      <c r="U2137" s="464"/>
      <c r="V2137" s="464"/>
      <c r="W2137" s="464"/>
      <c r="X2137" s="464"/>
      <c r="Y2137" s="464"/>
      <c r="Z2137" s="464"/>
      <c r="AA2137" s="464"/>
      <c r="AB2137" s="464"/>
      <c r="AC2137" s="464"/>
      <c r="AD2137" s="464"/>
      <c r="AE2137" s="464"/>
      <c r="AF2137" s="464"/>
      <c r="AG2137" s="464"/>
      <c r="AH2137" s="464"/>
      <c r="AI2137" s="464"/>
      <c r="AJ2137" s="464"/>
      <c r="AK2137" s="464"/>
      <c r="AL2137" s="464"/>
      <c r="AM2137" s="464"/>
      <c r="AN2137" s="464"/>
      <c r="AO2137" s="464"/>
      <c r="AP2137" s="464"/>
      <c r="AQ2137" s="464"/>
      <c r="AR2137" s="464"/>
      <c r="AS2137" s="464"/>
      <c r="AT2137" s="464"/>
      <c r="AU2137" s="464"/>
      <c r="AV2137" s="464"/>
      <c r="AW2137" s="464"/>
      <c r="AX2137" s="464"/>
      <c r="AY2137" s="464"/>
      <c r="AZ2137" s="464"/>
      <c r="BA2137" s="464"/>
      <c r="BB2137" s="464"/>
      <c r="BC2137" s="464"/>
      <c r="BD2137" s="464"/>
      <c r="BE2137" s="464"/>
      <c r="BF2137" s="464"/>
      <c r="BG2137" s="464"/>
      <c r="BH2137" s="464"/>
      <c r="BI2137" s="464"/>
      <c r="BJ2137" s="464"/>
      <c r="BK2137" s="464"/>
      <c r="BL2137" s="464"/>
    </row>
    <row r="2138" spans="1:64" ht="25">
      <c r="A2138" s="458"/>
      <c r="B2138" s="458"/>
      <c r="C2138" s="417" t="s">
        <v>1103</v>
      </c>
      <c r="D2138" s="459">
        <f>'[161]Civil-SOR'!$F$280*25%</f>
        <v>44.25</v>
      </c>
      <c r="E2138" s="459">
        <f>'[161]Civil-SOR'!$F$280*25%</f>
        <v>44.25</v>
      </c>
      <c r="F2138" s="459">
        <f>'[161]Civil-SOR'!$F$280*25%</f>
        <v>44.25</v>
      </c>
      <c r="G2138" s="459">
        <f>'[161]Civil-SOR'!$F$280*25%</f>
        <v>44.25</v>
      </c>
      <c r="H2138" s="459">
        <f>'[161]Civil-SOR'!$F$280*25%</f>
        <v>44.25</v>
      </c>
      <c r="I2138" s="459">
        <f>'[161]Civil-SOR'!$F$280*25%</f>
        <v>44.25</v>
      </c>
      <c r="J2138" s="565">
        <f>'[161]Civil-SOR'!$F$280*25%</f>
        <v>44.25</v>
      </c>
      <c r="K2138" s="600">
        <f>'[161]Civil-SOR'!$F$280*25%</f>
        <v>44.25</v>
      </c>
      <c r="L2138" s="600">
        <f>'[161]Civil-SOR'!$F$280*25%</f>
        <v>44.25</v>
      </c>
      <c r="M2138" s="464"/>
      <c r="N2138" s="464"/>
      <c r="O2138" s="464"/>
      <c r="P2138" s="464"/>
      <c r="Q2138" s="464"/>
      <c r="R2138" s="464"/>
      <c r="S2138" s="464"/>
      <c r="T2138" s="464"/>
      <c r="U2138" s="464"/>
      <c r="V2138" s="464"/>
      <c r="W2138" s="464"/>
      <c r="X2138" s="464"/>
      <c r="Y2138" s="464"/>
      <c r="Z2138" s="464"/>
      <c r="AA2138" s="464"/>
      <c r="AB2138" s="464"/>
      <c r="AC2138" s="464"/>
      <c r="AD2138" s="464"/>
      <c r="AE2138" s="464"/>
      <c r="AF2138" s="464"/>
      <c r="AG2138" s="464"/>
      <c r="AH2138" s="464"/>
      <c r="AI2138" s="464"/>
      <c r="AJ2138" s="464"/>
      <c r="AK2138" s="464"/>
      <c r="AL2138" s="464"/>
      <c r="AM2138" s="464"/>
      <c r="AN2138" s="464"/>
      <c r="AO2138" s="464"/>
      <c r="AP2138" s="464"/>
      <c r="AQ2138" s="464"/>
      <c r="AR2138" s="464"/>
      <c r="AS2138" s="464"/>
      <c r="AT2138" s="464"/>
      <c r="AU2138" s="464"/>
      <c r="AV2138" s="464"/>
      <c r="AW2138" s="464"/>
      <c r="AX2138" s="464"/>
      <c r="AY2138" s="464"/>
      <c r="AZ2138" s="464"/>
      <c r="BA2138" s="464"/>
      <c r="BB2138" s="464"/>
      <c r="BC2138" s="464"/>
      <c r="BD2138" s="464"/>
      <c r="BE2138" s="464"/>
      <c r="BF2138" s="464"/>
      <c r="BG2138" s="464"/>
      <c r="BH2138" s="464"/>
      <c r="BI2138" s="464"/>
      <c r="BJ2138" s="464"/>
      <c r="BK2138" s="464"/>
      <c r="BL2138" s="464"/>
    </row>
    <row r="2139" spans="1:64">
      <c r="A2139" s="458"/>
      <c r="B2139" s="458"/>
      <c r="C2139" s="417" t="s">
        <v>1010</v>
      </c>
      <c r="D2139" s="459">
        <f>'[161]Civil-SOR'!$G$280*25%</f>
        <v>49.75</v>
      </c>
      <c r="E2139" s="459">
        <f>'[161]Civil-SOR'!$H$280*25%</f>
        <v>54.75</v>
      </c>
      <c r="F2139" s="459">
        <f>'[161]Civil-SOR'!$I$280*25%</f>
        <v>59.75</v>
      </c>
      <c r="G2139" s="459">
        <f>'[161]Civil-SOR'!$J$280*25%</f>
        <v>64.75</v>
      </c>
      <c r="H2139" s="459">
        <f>'[161]Civil-SOR'!$K$280*25%</f>
        <v>69.75</v>
      </c>
      <c r="I2139" s="459">
        <f>'[161]Civil-SOR'!$L$280*25%</f>
        <v>74.75</v>
      </c>
      <c r="J2139" s="565">
        <f>'[161]Civil-SOR'!$M$280*25%</f>
        <v>79.5</v>
      </c>
      <c r="K2139" s="600">
        <f>'[161]Civil-SOR'!$N$280*25%</f>
        <v>84.5</v>
      </c>
      <c r="L2139" s="600">
        <f>'[161]Civil-SOR'!$O$280*25%</f>
        <v>89.5</v>
      </c>
      <c r="M2139" s="464"/>
      <c r="N2139" s="464"/>
      <c r="O2139" s="464"/>
      <c r="P2139" s="464"/>
      <c r="Q2139" s="464"/>
      <c r="R2139" s="464"/>
      <c r="S2139" s="464"/>
      <c r="T2139" s="464"/>
      <c r="U2139" s="464"/>
      <c r="V2139" s="464"/>
      <c r="W2139" s="464"/>
      <c r="X2139" s="464"/>
      <c r="Y2139" s="464"/>
      <c r="Z2139" s="464"/>
      <c r="AA2139" s="464"/>
      <c r="AB2139" s="464"/>
      <c r="AC2139" s="464"/>
      <c r="AD2139" s="464"/>
      <c r="AE2139" s="464"/>
      <c r="AF2139" s="464"/>
      <c r="AG2139" s="464"/>
      <c r="AH2139" s="464"/>
      <c r="AI2139" s="464"/>
      <c r="AJ2139" s="464"/>
      <c r="AK2139" s="464"/>
      <c r="AL2139" s="464"/>
      <c r="AM2139" s="464"/>
      <c r="AN2139" s="464"/>
      <c r="AO2139" s="464"/>
      <c r="AP2139" s="464"/>
      <c r="AQ2139" s="464"/>
      <c r="AR2139" s="464"/>
      <c r="AS2139" s="464"/>
      <c r="AT2139" s="464"/>
      <c r="AU2139" s="464"/>
      <c r="AV2139" s="464"/>
      <c r="AW2139" s="464"/>
      <c r="AX2139" s="464"/>
      <c r="AY2139" s="464"/>
      <c r="AZ2139" s="464"/>
      <c r="BA2139" s="464"/>
      <c r="BB2139" s="464"/>
      <c r="BC2139" s="464"/>
      <c r="BD2139" s="464"/>
      <c r="BE2139" s="464"/>
      <c r="BF2139" s="464"/>
      <c r="BG2139" s="464"/>
      <c r="BH2139" s="464"/>
      <c r="BI2139" s="464"/>
      <c r="BJ2139" s="464"/>
      <c r="BK2139" s="464"/>
      <c r="BL2139" s="464"/>
    </row>
    <row r="2140" spans="1:64">
      <c r="A2140" s="458"/>
      <c r="B2140" s="458"/>
      <c r="C2140" s="417" t="str">
        <f>[161]Input!$C$47</f>
        <v>Add for MA @ 40%</v>
      </c>
      <c r="D2140" s="459">
        <f>D2139*[161]Input!$D$47</f>
        <v>19.900000000000002</v>
      </c>
      <c r="E2140" s="459">
        <f>E2139*[161]Input!$D$47</f>
        <v>21.900000000000002</v>
      </c>
      <c r="F2140" s="459">
        <f>F2139*[161]Input!$D$47</f>
        <v>23.900000000000002</v>
      </c>
      <c r="G2140" s="459">
        <f>G2139*[161]Input!$D$47</f>
        <v>25.900000000000002</v>
      </c>
      <c r="H2140" s="459">
        <f>H2139*[161]Input!$D$47</f>
        <v>27.900000000000002</v>
      </c>
      <c r="I2140" s="459">
        <f>I2139*[161]Input!$D$47</f>
        <v>29.900000000000002</v>
      </c>
      <c r="J2140" s="565">
        <f>J2139*[161]Input!$D$47</f>
        <v>31.8</v>
      </c>
      <c r="K2140" s="600">
        <f>K2139*[161]Input!$D$47</f>
        <v>33.800000000000004</v>
      </c>
      <c r="L2140" s="600">
        <f>L2139*[161]Input!$D$47</f>
        <v>35.800000000000004</v>
      </c>
      <c r="M2140" s="464"/>
      <c r="N2140" s="464"/>
      <c r="O2140" s="464"/>
      <c r="P2140" s="464"/>
      <c r="Q2140" s="464"/>
      <c r="R2140" s="464"/>
      <c r="S2140" s="464"/>
      <c r="T2140" s="464"/>
      <c r="U2140" s="464"/>
      <c r="V2140" s="464"/>
      <c r="W2140" s="464"/>
      <c r="X2140" s="464"/>
      <c r="Y2140" s="464"/>
      <c r="Z2140" s="464"/>
      <c r="AA2140" s="464"/>
      <c r="AB2140" s="464"/>
      <c r="AC2140" s="464"/>
      <c r="AD2140" s="464"/>
      <c r="AE2140" s="464"/>
      <c r="AF2140" s="464"/>
      <c r="AG2140" s="464"/>
      <c r="AH2140" s="464"/>
      <c r="AI2140" s="464"/>
      <c r="AJ2140" s="464"/>
      <c r="AK2140" s="464"/>
      <c r="AL2140" s="464"/>
      <c r="AM2140" s="464"/>
      <c r="AN2140" s="464"/>
      <c r="AO2140" s="464"/>
      <c r="AP2140" s="464"/>
      <c r="AQ2140" s="464"/>
      <c r="AR2140" s="464"/>
      <c r="AS2140" s="464"/>
      <c r="AT2140" s="464"/>
      <c r="AU2140" s="464"/>
      <c r="AV2140" s="464"/>
      <c r="AW2140" s="464"/>
      <c r="AX2140" s="464"/>
      <c r="AY2140" s="464"/>
      <c r="AZ2140" s="464"/>
      <c r="BA2140" s="464"/>
      <c r="BB2140" s="464"/>
      <c r="BC2140" s="464"/>
      <c r="BD2140" s="464"/>
      <c r="BE2140" s="464"/>
      <c r="BF2140" s="464"/>
      <c r="BG2140" s="464"/>
      <c r="BH2140" s="464"/>
      <c r="BI2140" s="464"/>
      <c r="BJ2140" s="464"/>
      <c r="BK2140" s="464"/>
      <c r="BL2140" s="464"/>
    </row>
    <row r="2141" spans="1:64">
      <c r="A2141" s="458"/>
      <c r="B2141" s="458"/>
      <c r="C2141" s="417" t="s">
        <v>994</v>
      </c>
      <c r="D2141" s="459">
        <v>0</v>
      </c>
      <c r="E2141" s="459">
        <f>$F$2096*10%*$D$2133</f>
        <v>4.2801250000000008</v>
      </c>
      <c r="F2141" s="459">
        <f>$F$2096*20%*$D$2133</f>
        <v>8.5602500000000017</v>
      </c>
      <c r="G2141" s="459">
        <f>$F$2096*30%*$D$2133</f>
        <v>12.840375000000002</v>
      </c>
      <c r="H2141" s="459">
        <f>$F$2096*40%*$D$2133</f>
        <v>17.120500000000003</v>
      </c>
      <c r="I2141" s="459">
        <f>$F$2096*50%*$D$2133</f>
        <v>21.400625000000002</v>
      </c>
      <c r="J2141" s="565">
        <f>$F$2096*60%*$D$2133</f>
        <v>25.680750000000003</v>
      </c>
      <c r="K2141" s="600">
        <f>$F$2096*70%*$D$2133</f>
        <v>29.960875000000001</v>
      </c>
      <c r="L2141" s="600">
        <f>$F$2096*80%*$D$2133</f>
        <v>34.241000000000007</v>
      </c>
      <c r="M2141" s="464"/>
      <c r="N2141" s="464"/>
      <c r="O2141" s="464"/>
      <c r="P2141" s="464"/>
      <c r="Q2141" s="464"/>
      <c r="R2141" s="464"/>
      <c r="S2141" s="464"/>
      <c r="T2141" s="464"/>
      <c r="U2141" s="464"/>
      <c r="V2141" s="464"/>
      <c r="W2141" s="464"/>
      <c r="X2141" s="464"/>
      <c r="Y2141" s="464"/>
      <c r="Z2141" s="464"/>
      <c r="AA2141" s="464"/>
      <c r="AB2141" s="464"/>
      <c r="AC2141" s="464"/>
      <c r="AD2141" s="464"/>
      <c r="AE2141" s="464"/>
      <c r="AF2141" s="464"/>
      <c r="AG2141" s="464"/>
      <c r="AH2141" s="464"/>
      <c r="AI2141" s="464"/>
      <c r="AJ2141" s="464"/>
      <c r="AK2141" s="464"/>
      <c r="AL2141" s="464"/>
      <c r="AM2141" s="464"/>
      <c r="AN2141" s="464"/>
      <c r="AO2141" s="464"/>
      <c r="AP2141" s="464"/>
      <c r="AQ2141" s="464"/>
      <c r="AR2141" s="464"/>
      <c r="AS2141" s="464"/>
      <c r="AT2141" s="464"/>
      <c r="AU2141" s="464"/>
      <c r="AV2141" s="464"/>
      <c r="AW2141" s="464"/>
      <c r="AX2141" s="464"/>
      <c r="AY2141" s="464"/>
      <c r="AZ2141" s="464"/>
      <c r="BA2141" s="464"/>
      <c r="BB2141" s="464"/>
      <c r="BC2141" s="464"/>
      <c r="BD2141" s="464"/>
      <c r="BE2141" s="464"/>
      <c r="BF2141" s="464"/>
      <c r="BG2141" s="464"/>
      <c r="BH2141" s="464"/>
      <c r="BI2141" s="464"/>
      <c r="BJ2141" s="464"/>
      <c r="BK2141" s="464"/>
      <c r="BL2141" s="464"/>
    </row>
    <row r="2142" spans="1:64">
      <c r="A2142" s="458"/>
      <c r="B2142" s="458"/>
      <c r="C2142" s="417" t="str">
        <f>[161]Input!C47</f>
        <v>Add for MA @ 40%</v>
      </c>
      <c r="D2142" s="459">
        <f>D2141*[161]Input!$D$47</f>
        <v>0</v>
      </c>
      <c r="E2142" s="459">
        <f>E2141*[161]Input!$D$47</f>
        <v>1.7120500000000005</v>
      </c>
      <c r="F2142" s="459">
        <f>F2141*[161]Input!$D$47</f>
        <v>3.424100000000001</v>
      </c>
      <c r="G2142" s="459">
        <f>G2141*[161]Input!$D$47</f>
        <v>5.1361500000000007</v>
      </c>
      <c r="H2142" s="459">
        <f>H2141*[161]Input!$D$47</f>
        <v>6.8482000000000021</v>
      </c>
      <c r="I2142" s="459">
        <f>I2141*[161]Input!$D$47</f>
        <v>8.5602500000000017</v>
      </c>
      <c r="J2142" s="565">
        <f>J2141*[161]Input!$D$47</f>
        <v>10.272300000000001</v>
      </c>
      <c r="K2142" s="600">
        <f>K2141*[161]Input!$D$47</f>
        <v>11.984350000000001</v>
      </c>
      <c r="L2142" s="600">
        <f>L2141*[161]Input!$D$47</f>
        <v>13.696400000000004</v>
      </c>
      <c r="M2142" s="464"/>
      <c r="N2142" s="464"/>
      <c r="O2142" s="464"/>
      <c r="P2142" s="464"/>
      <c r="Q2142" s="464"/>
      <c r="R2142" s="464"/>
      <c r="S2142" s="464"/>
      <c r="T2142" s="464"/>
      <c r="U2142" s="464"/>
      <c r="V2142" s="464"/>
      <c r="W2142" s="464"/>
      <c r="X2142" s="464"/>
      <c r="Y2142" s="464"/>
      <c r="Z2142" s="464"/>
      <c r="AA2142" s="464"/>
      <c r="AB2142" s="464"/>
      <c r="AC2142" s="464"/>
      <c r="AD2142" s="464"/>
      <c r="AE2142" s="464"/>
      <c r="AF2142" s="464"/>
      <c r="AG2142" s="464"/>
      <c r="AH2142" s="464"/>
      <c r="AI2142" s="464"/>
      <c r="AJ2142" s="464"/>
      <c r="AK2142" s="464"/>
      <c r="AL2142" s="464"/>
      <c r="AM2142" s="464"/>
      <c r="AN2142" s="464"/>
      <c r="AO2142" s="464"/>
      <c r="AP2142" s="464"/>
      <c r="AQ2142" s="464"/>
      <c r="AR2142" s="464"/>
      <c r="AS2142" s="464"/>
      <c r="AT2142" s="464"/>
      <c r="AU2142" s="464"/>
      <c r="AV2142" s="464"/>
      <c r="AW2142" s="464"/>
      <c r="AX2142" s="464"/>
      <c r="AY2142" s="464"/>
      <c r="AZ2142" s="464"/>
      <c r="BA2142" s="464"/>
      <c r="BB2142" s="464"/>
      <c r="BC2142" s="464"/>
      <c r="BD2142" s="464"/>
      <c r="BE2142" s="464"/>
      <c r="BF2142" s="464"/>
      <c r="BG2142" s="464"/>
      <c r="BH2142" s="464"/>
      <c r="BI2142" s="464"/>
      <c r="BJ2142" s="464"/>
      <c r="BK2142" s="464"/>
      <c r="BL2142" s="464"/>
    </row>
    <row r="2143" spans="1:64" ht="13">
      <c r="A2143" s="458"/>
      <c r="B2143" s="458"/>
      <c r="C2143" s="427" t="s">
        <v>742</v>
      </c>
      <c r="D2143" s="461">
        <f t="shared" ref="D2143:L2143" si="502">SUM(D2137:D2142)</f>
        <v>279.80945399999996</v>
      </c>
      <c r="E2143" s="461">
        <f t="shared" si="502"/>
        <v>292.80162899999993</v>
      </c>
      <c r="F2143" s="461">
        <f t="shared" si="502"/>
        <v>305.79380399999997</v>
      </c>
      <c r="G2143" s="461">
        <f t="shared" si="502"/>
        <v>318.78597899999994</v>
      </c>
      <c r="H2143" s="461">
        <f t="shared" si="502"/>
        <v>331.77815399999997</v>
      </c>
      <c r="I2143" s="461">
        <f t="shared" si="502"/>
        <v>344.77032899999995</v>
      </c>
      <c r="J2143" s="626">
        <f t="shared" si="502"/>
        <v>357.41250400000001</v>
      </c>
      <c r="K2143" s="627">
        <f t="shared" si="502"/>
        <v>370.40467899999999</v>
      </c>
      <c r="L2143" s="627">
        <f t="shared" si="502"/>
        <v>383.39685399999996</v>
      </c>
      <c r="M2143" s="464"/>
      <c r="N2143" s="464"/>
      <c r="O2143" s="464"/>
      <c r="P2143" s="464"/>
      <c r="Q2143" s="464"/>
      <c r="R2143" s="464"/>
      <c r="S2143" s="464"/>
      <c r="T2143" s="464"/>
      <c r="U2143" s="464"/>
      <c r="V2143" s="464"/>
      <c r="W2143" s="464"/>
      <c r="X2143" s="464"/>
      <c r="Y2143" s="464"/>
      <c r="Z2143" s="464"/>
      <c r="AA2143" s="464"/>
      <c r="AB2143" s="464"/>
      <c r="AC2143" s="464"/>
      <c r="AD2143" s="464"/>
      <c r="AE2143" s="464"/>
      <c r="AF2143" s="464"/>
      <c r="AG2143" s="464"/>
      <c r="AH2143" s="464"/>
      <c r="AI2143" s="464"/>
      <c r="AJ2143" s="464"/>
      <c r="AK2143" s="464"/>
      <c r="AL2143" s="464"/>
      <c r="AM2143" s="464"/>
      <c r="AN2143" s="464"/>
      <c r="AO2143" s="464"/>
      <c r="AP2143" s="464"/>
      <c r="AQ2143" s="464"/>
      <c r="AR2143" s="464"/>
      <c r="AS2143" s="464"/>
      <c r="AT2143" s="464"/>
      <c r="AU2143" s="464"/>
      <c r="AV2143" s="464"/>
      <c r="AW2143" s="464"/>
      <c r="AX2143" s="464"/>
      <c r="AY2143" s="464"/>
      <c r="AZ2143" s="464"/>
      <c r="BA2143" s="464"/>
      <c r="BB2143" s="464"/>
      <c r="BC2143" s="464"/>
      <c r="BD2143" s="464"/>
      <c r="BE2143" s="464"/>
      <c r="BF2143" s="464"/>
      <c r="BG2143" s="464"/>
      <c r="BH2143" s="464"/>
      <c r="BI2143" s="464"/>
      <c r="BJ2143" s="464"/>
      <c r="BK2143" s="464"/>
      <c r="BL2143" s="464"/>
    </row>
    <row r="2144" spans="1:64" ht="25">
      <c r="A2144" s="458"/>
      <c r="B2144" s="458"/>
      <c r="C2144" s="620" t="str">
        <f>[161]Input!C48</f>
        <v>Overheads &amp; Contractors Profit @ 13.615%</v>
      </c>
      <c r="D2144" s="459">
        <f>D2143*[161]Input!$D$48</f>
        <v>38.096057162099996</v>
      </c>
      <c r="E2144" s="459">
        <f>E2143*[161]Input!$D$48</f>
        <v>39.864941788349988</v>
      </c>
      <c r="F2144" s="459">
        <f>F2143*[161]Input!$D$48</f>
        <v>41.633826414599994</v>
      </c>
      <c r="G2144" s="459">
        <f>G2143*[161]Input!$D$48</f>
        <v>43.402711040849987</v>
      </c>
      <c r="H2144" s="459">
        <f>H2143*[161]Input!$D$48</f>
        <v>45.171595667099993</v>
      </c>
      <c r="I2144" s="459">
        <f>I2143*[161]Input!$D$48</f>
        <v>46.940480293349992</v>
      </c>
      <c r="J2144" s="565">
        <f>J2143*[161]Input!$D$48</f>
        <v>48.661712419600001</v>
      </c>
      <c r="K2144" s="600">
        <f>K2143*[161]Input!$D$48</f>
        <v>50.430597045849993</v>
      </c>
      <c r="L2144" s="600">
        <f>L2143*[161]Input!$D$48</f>
        <v>52.199481672099992</v>
      </c>
      <c r="M2144" s="464"/>
      <c r="N2144" s="464"/>
      <c r="O2144" s="464"/>
      <c r="P2144" s="464"/>
      <c r="Q2144" s="464"/>
      <c r="R2144" s="464"/>
      <c r="S2144" s="464"/>
      <c r="T2144" s="464"/>
      <c r="U2144" s="464"/>
      <c r="V2144" s="464"/>
      <c r="W2144" s="464"/>
      <c r="X2144" s="464"/>
      <c r="Y2144" s="464"/>
      <c r="Z2144" s="464"/>
      <c r="AA2144" s="464"/>
      <c r="AB2144" s="464"/>
      <c r="AC2144" s="464"/>
      <c r="AD2144" s="464"/>
      <c r="AE2144" s="464"/>
      <c r="AF2144" s="464"/>
      <c r="AG2144" s="464"/>
      <c r="AH2144" s="464"/>
      <c r="AI2144" s="464"/>
      <c r="AJ2144" s="464"/>
      <c r="AK2144" s="464"/>
      <c r="AL2144" s="464"/>
      <c r="AM2144" s="464"/>
      <c r="AN2144" s="464"/>
      <c r="AO2144" s="464"/>
      <c r="AP2144" s="464"/>
      <c r="AQ2144" s="464"/>
      <c r="AR2144" s="464"/>
      <c r="AS2144" s="464"/>
      <c r="AT2144" s="464"/>
      <c r="AU2144" s="464"/>
      <c r="AV2144" s="464"/>
      <c r="AW2144" s="464"/>
      <c r="AX2144" s="464"/>
      <c r="AY2144" s="464"/>
      <c r="AZ2144" s="464"/>
      <c r="BA2144" s="464"/>
      <c r="BB2144" s="464"/>
      <c r="BC2144" s="464"/>
      <c r="BD2144" s="464"/>
      <c r="BE2144" s="464"/>
      <c r="BF2144" s="464"/>
      <c r="BG2144" s="464"/>
      <c r="BH2144" s="464"/>
      <c r="BI2144" s="464"/>
      <c r="BJ2144" s="464"/>
      <c r="BK2144" s="464"/>
      <c r="BL2144" s="464"/>
    </row>
    <row r="2145" spans="1:64" ht="13">
      <c r="A2145" s="458"/>
      <c r="B2145" s="458"/>
      <c r="C2145" s="481" t="s">
        <v>742</v>
      </c>
      <c r="D2145" s="459">
        <f t="shared" ref="D2145:L2145" si="503">SUM(D2143:D2144)</f>
        <v>317.90551116209997</v>
      </c>
      <c r="E2145" s="459">
        <f t="shared" si="503"/>
        <v>332.66657078834993</v>
      </c>
      <c r="F2145" s="459">
        <f t="shared" si="503"/>
        <v>347.42763041459995</v>
      </c>
      <c r="G2145" s="459">
        <f t="shared" si="503"/>
        <v>362.18869004084991</v>
      </c>
      <c r="H2145" s="459">
        <f t="shared" si="503"/>
        <v>376.94974966709998</v>
      </c>
      <c r="I2145" s="459">
        <f t="shared" si="503"/>
        <v>391.71080929334994</v>
      </c>
      <c r="J2145" s="650">
        <f t="shared" si="503"/>
        <v>406.07421641960002</v>
      </c>
      <c r="K2145" s="651">
        <f t="shared" si="503"/>
        <v>420.83527604584998</v>
      </c>
      <c r="L2145" s="651">
        <f t="shared" si="503"/>
        <v>435.59633567209994</v>
      </c>
      <c r="M2145" s="425"/>
      <c r="N2145" s="425"/>
      <c r="O2145" s="425"/>
      <c r="P2145" s="425"/>
      <c r="Q2145" s="425"/>
      <c r="R2145" s="425"/>
      <c r="S2145" s="425"/>
      <c r="T2145" s="425"/>
      <c r="U2145" s="425"/>
      <c r="V2145" s="425"/>
      <c r="W2145" s="425"/>
      <c r="X2145" s="425"/>
      <c r="Y2145" s="425"/>
      <c r="Z2145" s="425"/>
      <c r="AA2145" s="425"/>
      <c r="AB2145" s="425"/>
      <c r="AC2145" s="425"/>
      <c r="AD2145" s="425"/>
      <c r="AE2145" s="425"/>
      <c r="AF2145" s="425"/>
      <c r="AG2145" s="425"/>
      <c r="AH2145" s="425"/>
      <c r="AI2145" s="425"/>
      <c r="AJ2145" s="425"/>
      <c r="AK2145" s="425"/>
      <c r="AL2145" s="425"/>
      <c r="AM2145" s="425"/>
      <c r="AN2145" s="425"/>
      <c r="AO2145" s="425"/>
      <c r="AP2145" s="425"/>
      <c r="AQ2145" s="425"/>
      <c r="AR2145" s="425"/>
      <c r="AS2145" s="425"/>
      <c r="AT2145" s="425"/>
      <c r="AU2145" s="425"/>
      <c r="AV2145" s="425"/>
      <c r="AW2145" s="425"/>
      <c r="AX2145" s="425"/>
      <c r="AY2145" s="425"/>
      <c r="AZ2145" s="425"/>
      <c r="BA2145" s="425"/>
      <c r="BB2145" s="425"/>
      <c r="BC2145" s="425"/>
      <c r="BD2145" s="425"/>
      <c r="BE2145" s="425"/>
      <c r="BF2145" s="425"/>
      <c r="BG2145" s="425"/>
      <c r="BH2145" s="425"/>
      <c r="BI2145" s="425"/>
      <c r="BJ2145" s="425"/>
      <c r="BK2145" s="425"/>
      <c r="BL2145" s="425"/>
    </row>
    <row r="2146" spans="1:64" ht="13">
      <c r="A2146" s="454"/>
      <c r="B2146" s="454"/>
      <c r="C2146" s="522" t="s">
        <v>726</v>
      </c>
      <c r="D2146" s="416">
        <f t="shared" ref="D2146:L2146" si="504">ROUND(D2145,0)</f>
        <v>318</v>
      </c>
      <c r="E2146" s="416">
        <f t="shared" si="504"/>
        <v>333</v>
      </c>
      <c r="F2146" s="416">
        <f t="shared" si="504"/>
        <v>347</v>
      </c>
      <c r="G2146" s="416">
        <f t="shared" si="504"/>
        <v>362</v>
      </c>
      <c r="H2146" s="416">
        <f t="shared" si="504"/>
        <v>377</v>
      </c>
      <c r="I2146" s="416">
        <f t="shared" si="504"/>
        <v>392</v>
      </c>
      <c r="J2146" s="533">
        <f t="shared" si="504"/>
        <v>406</v>
      </c>
      <c r="K2146" s="534">
        <f t="shared" si="504"/>
        <v>421</v>
      </c>
      <c r="L2146" s="534">
        <f t="shared" si="504"/>
        <v>436</v>
      </c>
      <c r="M2146" s="413"/>
      <c r="N2146" s="413"/>
      <c r="O2146" s="413"/>
      <c r="P2146" s="413"/>
      <c r="Q2146" s="413"/>
      <c r="R2146" s="413"/>
      <c r="S2146" s="413"/>
      <c r="T2146" s="413"/>
      <c r="U2146" s="413"/>
      <c r="V2146" s="413"/>
      <c r="W2146" s="413"/>
      <c r="X2146" s="413"/>
      <c r="Y2146" s="413"/>
      <c r="Z2146" s="413"/>
      <c r="AA2146" s="413"/>
      <c r="AB2146" s="413"/>
      <c r="AC2146" s="413"/>
      <c r="AD2146" s="413"/>
      <c r="AE2146" s="413"/>
      <c r="AF2146" s="413"/>
      <c r="AG2146" s="413"/>
      <c r="AH2146" s="413"/>
      <c r="AI2146" s="413"/>
      <c r="AJ2146" s="413"/>
      <c r="AK2146" s="413"/>
      <c r="AL2146" s="413"/>
      <c r="AM2146" s="413"/>
      <c r="AN2146" s="413"/>
      <c r="AO2146" s="413"/>
      <c r="AP2146" s="413"/>
      <c r="AQ2146" s="413"/>
      <c r="AR2146" s="413"/>
      <c r="AS2146" s="413"/>
      <c r="AT2146" s="413"/>
      <c r="AU2146" s="413"/>
      <c r="AV2146" s="413"/>
      <c r="AW2146" s="413"/>
      <c r="AX2146" s="413"/>
      <c r="AY2146" s="413"/>
      <c r="AZ2146" s="413"/>
      <c r="BA2146" s="413"/>
      <c r="BB2146" s="413"/>
      <c r="BC2146" s="413"/>
      <c r="BD2146" s="413"/>
      <c r="BE2146" s="413"/>
      <c r="BF2146" s="413"/>
      <c r="BG2146" s="413"/>
      <c r="BH2146" s="413"/>
      <c r="BI2146" s="413"/>
      <c r="BJ2146" s="413"/>
      <c r="BK2146" s="413"/>
      <c r="BL2146" s="413"/>
    </row>
    <row r="2147" spans="1:64" ht="13">
      <c r="A2147" s="454"/>
      <c r="B2147" s="454"/>
      <c r="C2147" s="522"/>
      <c r="D2147" s="416"/>
      <c r="E2147" s="416"/>
      <c r="F2147" s="416"/>
      <c r="G2147" s="416"/>
      <c r="H2147" s="416"/>
      <c r="I2147" s="416"/>
      <c r="J2147" s="533"/>
      <c r="K2147" s="534"/>
      <c r="L2147" s="534"/>
      <c r="M2147" s="413"/>
      <c r="N2147" s="413"/>
      <c r="O2147" s="413"/>
      <c r="P2147" s="413"/>
      <c r="Q2147" s="413"/>
      <c r="R2147" s="413"/>
      <c r="S2147" s="413"/>
      <c r="T2147" s="413"/>
      <c r="U2147" s="413"/>
      <c r="V2147" s="413"/>
      <c r="W2147" s="413"/>
      <c r="X2147" s="413"/>
      <c r="Y2147" s="413"/>
      <c r="Z2147" s="413"/>
      <c r="AA2147" s="413"/>
      <c r="AB2147" s="413"/>
      <c r="AC2147" s="413"/>
      <c r="AD2147" s="413"/>
      <c r="AE2147" s="413"/>
      <c r="AF2147" s="413"/>
      <c r="AG2147" s="413"/>
      <c r="AH2147" s="413"/>
      <c r="AI2147" s="413"/>
      <c r="AJ2147" s="413"/>
      <c r="AK2147" s="413"/>
      <c r="AL2147" s="413"/>
      <c r="AM2147" s="413"/>
      <c r="AN2147" s="413"/>
      <c r="AO2147" s="413"/>
      <c r="AP2147" s="413"/>
      <c r="AQ2147" s="413"/>
      <c r="AR2147" s="413"/>
      <c r="AS2147" s="413"/>
      <c r="AT2147" s="413"/>
      <c r="AU2147" s="413"/>
      <c r="AV2147" s="413"/>
      <c r="AW2147" s="413"/>
      <c r="AX2147" s="413"/>
      <c r="AY2147" s="413"/>
      <c r="AZ2147" s="413"/>
      <c r="BA2147" s="413"/>
      <c r="BB2147" s="413"/>
      <c r="BC2147" s="413"/>
      <c r="BD2147" s="413"/>
      <c r="BE2147" s="413"/>
      <c r="BF2147" s="413"/>
      <c r="BG2147" s="413"/>
      <c r="BH2147" s="413"/>
      <c r="BI2147" s="413"/>
      <c r="BJ2147" s="413"/>
      <c r="BK2147" s="413"/>
      <c r="BL2147" s="413"/>
    </row>
    <row r="2148" spans="1:64" ht="13">
      <c r="A2148" s="454"/>
      <c r="B2148" s="454"/>
      <c r="C2148" s="427" t="s">
        <v>953</v>
      </c>
      <c r="D2148" s="415" t="s">
        <v>948</v>
      </c>
      <c r="E2148" s="415" t="s">
        <v>949</v>
      </c>
      <c r="F2148" s="415" t="s">
        <v>950</v>
      </c>
      <c r="G2148" s="416"/>
      <c r="H2148" s="416"/>
      <c r="I2148" s="416"/>
      <c r="J2148" s="533"/>
      <c r="K2148" s="534"/>
      <c r="L2148" s="534"/>
      <c r="M2148" s="413"/>
      <c r="N2148" s="413"/>
      <c r="O2148" s="413"/>
      <c r="P2148" s="413"/>
      <c r="Q2148" s="413"/>
      <c r="R2148" s="413"/>
      <c r="S2148" s="413"/>
      <c r="T2148" s="413"/>
      <c r="U2148" s="413"/>
      <c r="V2148" s="413"/>
      <c r="W2148" s="413"/>
      <c r="X2148" s="413"/>
      <c r="Y2148" s="413"/>
      <c r="Z2148" s="413"/>
      <c r="AA2148" s="413"/>
      <c r="AB2148" s="413"/>
      <c r="AC2148" s="413"/>
      <c r="AD2148" s="413"/>
      <c r="AE2148" s="413"/>
      <c r="AF2148" s="413"/>
      <c r="AG2148" s="413"/>
      <c r="AH2148" s="413"/>
      <c r="AI2148" s="413"/>
      <c r="AJ2148" s="413"/>
      <c r="AK2148" s="413"/>
      <c r="AL2148" s="413"/>
      <c r="AM2148" s="413"/>
      <c r="AN2148" s="413"/>
      <c r="AO2148" s="413"/>
      <c r="AP2148" s="413"/>
      <c r="AQ2148" s="413"/>
      <c r="AR2148" s="413"/>
      <c r="AS2148" s="413"/>
      <c r="AT2148" s="413"/>
      <c r="AU2148" s="413"/>
      <c r="AV2148" s="413"/>
      <c r="AW2148" s="413"/>
      <c r="AX2148" s="413"/>
      <c r="AY2148" s="413"/>
      <c r="AZ2148" s="413"/>
      <c r="BA2148" s="413"/>
      <c r="BB2148" s="413"/>
      <c r="BC2148" s="413"/>
      <c r="BD2148" s="413"/>
      <c r="BE2148" s="413"/>
      <c r="BF2148" s="413"/>
      <c r="BG2148" s="413"/>
      <c r="BH2148" s="413"/>
      <c r="BI2148" s="413"/>
      <c r="BJ2148" s="413"/>
      <c r="BK2148" s="413"/>
      <c r="BL2148" s="413"/>
    </row>
    <row r="2149" spans="1:64" ht="13">
      <c r="A2149" s="454"/>
      <c r="B2149" s="454"/>
      <c r="C2149" s="417" t="s">
        <v>1064</v>
      </c>
      <c r="D2149" s="459">
        <f>$I$2134</f>
        <v>165.90945400000001</v>
      </c>
      <c r="E2149" s="459">
        <f>$I$2134</f>
        <v>165.90945400000001</v>
      </c>
      <c r="F2149" s="459">
        <f>$I$2134</f>
        <v>165.90945400000001</v>
      </c>
      <c r="G2149" s="416"/>
      <c r="H2149" s="416"/>
      <c r="I2149" s="416"/>
      <c r="J2149" s="533"/>
      <c r="K2149" s="534"/>
      <c r="L2149" s="534"/>
      <c r="M2149" s="413"/>
      <c r="N2149" s="413"/>
      <c r="O2149" s="413"/>
      <c r="P2149" s="413"/>
      <c r="Q2149" s="413"/>
      <c r="R2149" s="413"/>
      <c r="S2149" s="413"/>
      <c r="T2149" s="413"/>
      <c r="U2149" s="413"/>
      <c r="V2149" s="413"/>
      <c r="W2149" s="413"/>
      <c r="X2149" s="413"/>
      <c r="Y2149" s="413"/>
      <c r="Z2149" s="413"/>
      <c r="AA2149" s="413"/>
      <c r="AB2149" s="413"/>
      <c r="AC2149" s="413"/>
      <c r="AD2149" s="413"/>
      <c r="AE2149" s="413"/>
      <c r="AF2149" s="413"/>
      <c r="AG2149" s="413"/>
      <c r="AH2149" s="413"/>
      <c r="AI2149" s="413"/>
      <c r="AJ2149" s="413"/>
      <c r="AK2149" s="413"/>
      <c r="AL2149" s="413"/>
      <c r="AM2149" s="413"/>
      <c r="AN2149" s="413"/>
      <c r="AO2149" s="413"/>
      <c r="AP2149" s="413"/>
      <c r="AQ2149" s="413"/>
      <c r="AR2149" s="413"/>
      <c r="AS2149" s="413"/>
      <c r="AT2149" s="413"/>
      <c r="AU2149" s="413"/>
      <c r="AV2149" s="413"/>
      <c r="AW2149" s="413"/>
      <c r="AX2149" s="413"/>
      <c r="AY2149" s="413"/>
      <c r="AZ2149" s="413"/>
      <c r="BA2149" s="413"/>
      <c r="BB2149" s="413"/>
      <c r="BC2149" s="413"/>
      <c r="BD2149" s="413"/>
      <c r="BE2149" s="413"/>
      <c r="BF2149" s="413"/>
      <c r="BG2149" s="413"/>
      <c r="BH2149" s="413"/>
      <c r="BI2149" s="413"/>
      <c r="BJ2149" s="413"/>
      <c r="BK2149" s="413"/>
      <c r="BL2149" s="413"/>
    </row>
    <row r="2150" spans="1:64" ht="25">
      <c r="A2150" s="454"/>
      <c r="B2150" s="454"/>
      <c r="C2150" s="417" t="s">
        <v>1103</v>
      </c>
      <c r="D2150" s="459">
        <f>'[161]Civil-SOR'!$F$280*25%</f>
        <v>44.25</v>
      </c>
      <c r="E2150" s="459">
        <f>'[161]Civil-SOR'!$F$280*25%</f>
        <v>44.25</v>
      </c>
      <c r="F2150" s="459">
        <f>'[161]Civil-SOR'!$F$280*25%</f>
        <v>44.25</v>
      </c>
      <c r="G2150" s="416"/>
      <c r="H2150" s="416"/>
      <c r="I2150" s="416"/>
      <c r="J2150" s="533"/>
      <c r="K2150" s="534"/>
      <c r="L2150" s="534"/>
      <c r="M2150" s="413"/>
      <c r="N2150" s="413"/>
      <c r="O2150" s="413"/>
      <c r="P2150" s="413"/>
      <c r="Q2150" s="413"/>
      <c r="R2150" s="413"/>
      <c r="S2150" s="413"/>
      <c r="T2150" s="413"/>
      <c r="U2150" s="413"/>
      <c r="V2150" s="413"/>
      <c r="W2150" s="413"/>
      <c r="X2150" s="413"/>
      <c r="Y2150" s="413"/>
      <c r="Z2150" s="413"/>
      <c r="AA2150" s="413"/>
      <c r="AB2150" s="413"/>
      <c r="AC2150" s="413"/>
      <c r="AD2150" s="413"/>
      <c r="AE2150" s="413"/>
      <c r="AF2150" s="413"/>
      <c r="AG2150" s="413"/>
      <c r="AH2150" s="413"/>
      <c r="AI2150" s="413"/>
      <c r="AJ2150" s="413"/>
      <c r="AK2150" s="413"/>
      <c r="AL2150" s="413"/>
      <c r="AM2150" s="413"/>
      <c r="AN2150" s="413"/>
      <c r="AO2150" s="413"/>
      <c r="AP2150" s="413"/>
      <c r="AQ2150" s="413"/>
      <c r="AR2150" s="413"/>
      <c r="AS2150" s="413"/>
      <c r="AT2150" s="413"/>
      <c r="AU2150" s="413"/>
      <c r="AV2150" s="413"/>
      <c r="AW2150" s="413"/>
      <c r="AX2150" s="413"/>
      <c r="AY2150" s="413"/>
      <c r="AZ2150" s="413"/>
      <c r="BA2150" s="413"/>
      <c r="BB2150" s="413"/>
      <c r="BC2150" s="413"/>
      <c r="BD2150" s="413"/>
      <c r="BE2150" s="413"/>
      <c r="BF2150" s="413"/>
      <c r="BG2150" s="413"/>
      <c r="BH2150" s="413"/>
      <c r="BI2150" s="413"/>
      <c r="BJ2150" s="413"/>
      <c r="BK2150" s="413"/>
      <c r="BL2150" s="413"/>
    </row>
    <row r="2151" spans="1:64" ht="13">
      <c r="A2151" s="454"/>
      <c r="B2151" s="454"/>
      <c r="C2151" s="417" t="s">
        <v>1010</v>
      </c>
      <c r="D2151" s="459">
        <f>'[161]Civil-SOR'!$M$280*25%</f>
        <v>79.5</v>
      </c>
      <c r="E2151" s="459">
        <f>'[161]Civil-SOR'!$N$280*25%</f>
        <v>84.5</v>
      </c>
      <c r="F2151" s="459">
        <f>'[161]Civil-SOR'!$O$280*25%</f>
        <v>89.5</v>
      </c>
      <c r="G2151" s="416"/>
      <c r="H2151" s="416"/>
      <c r="I2151" s="416"/>
      <c r="J2151" s="533"/>
      <c r="K2151" s="534"/>
      <c r="L2151" s="534"/>
      <c r="M2151" s="413"/>
      <c r="N2151" s="413"/>
      <c r="O2151" s="413"/>
      <c r="P2151" s="413"/>
      <c r="Q2151" s="413"/>
      <c r="R2151" s="413"/>
      <c r="S2151" s="413"/>
      <c r="T2151" s="413"/>
      <c r="U2151" s="413"/>
      <c r="V2151" s="413"/>
      <c r="W2151" s="413"/>
      <c r="X2151" s="413"/>
      <c r="Y2151" s="413"/>
      <c r="Z2151" s="413"/>
      <c r="AA2151" s="413"/>
      <c r="AB2151" s="413"/>
      <c r="AC2151" s="413"/>
      <c r="AD2151" s="413"/>
      <c r="AE2151" s="413"/>
      <c r="AF2151" s="413"/>
      <c r="AG2151" s="413"/>
      <c r="AH2151" s="413"/>
      <c r="AI2151" s="413"/>
      <c r="AJ2151" s="413"/>
      <c r="AK2151" s="413"/>
      <c r="AL2151" s="413"/>
      <c r="AM2151" s="413"/>
      <c r="AN2151" s="413"/>
      <c r="AO2151" s="413"/>
      <c r="AP2151" s="413"/>
      <c r="AQ2151" s="413"/>
      <c r="AR2151" s="413"/>
      <c r="AS2151" s="413"/>
      <c r="AT2151" s="413"/>
      <c r="AU2151" s="413"/>
      <c r="AV2151" s="413"/>
      <c r="AW2151" s="413"/>
      <c r="AX2151" s="413"/>
      <c r="AY2151" s="413"/>
      <c r="AZ2151" s="413"/>
      <c r="BA2151" s="413"/>
      <c r="BB2151" s="413"/>
      <c r="BC2151" s="413"/>
      <c r="BD2151" s="413"/>
      <c r="BE2151" s="413"/>
      <c r="BF2151" s="413"/>
      <c r="BG2151" s="413"/>
      <c r="BH2151" s="413"/>
      <c r="BI2151" s="413"/>
      <c r="BJ2151" s="413"/>
      <c r="BK2151" s="413"/>
      <c r="BL2151" s="413"/>
    </row>
    <row r="2152" spans="1:64" ht="13">
      <c r="A2152" s="454"/>
      <c r="B2152" s="454"/>
      <c r="C2152" s="417" t="str">
        <f>[161]Input!$C$47</f>
        <v>Add for MA @ 40%</v>
      </c>
      <c r="D2152" s="459">
        <f>D2151*[161]Input!$D$47</f>
        <v>31.8</v>
      </c>
      <c r="E2152" s="459">
        <f>E2151*[161]Input!$D$47</f>
        <v>33.800000000000004</v>
      </c>
      <c r="F2152" s="459">
        <f>F2151*[161]Input!$D$47</f>
        <v>35.800000000000004</v>
      </c>
      <c r="G2152" s="416"/>
      <c r="H2152" s="416"/>
      <c r="I2152" s="416"/>
      <c r="J2152" s="533"/>
      <c r="K2152" s="534"/>
      <c r="L2152" s="534"/>
      <c r="M2152" s="413"/>
      <c r="N2152" s="413"/>
      <c r="O2152" s="413"/>
      <c r="P2152" s="413"/>
      <c r="Q2152" s="413"/>
      <c r="R2152" s="413"/>
      <c r="S2152" s="413"/>
      <c r="T2152" s="413"/>
      <c r="U2152" s="413"/>
      <c r="V2152" s="413"/>
      <c r="W2152" s="413"/>
      <c r="X2152" s="413"/>
      <c r="Y2152" s="413"/>
      <c r="Z2152" s="413"/>
      <c r="AA2152" s="413"/>
      <c r="AB2152" s="413"/>
      <c r="AC2152" s="413"/>
      <c r="AD2152" s="413"/>
      <c r="AE2152" s="413"/>
      <c r="AF2152" s="413"/>
      <c r="AG2152" s="413"/>
      <c r="AH2152" s="413"/>
      <c r="AI2152" s="413"/>
      <c r="AJ2152" s="413"/>
      <c r="AK2152" s="413"/>
      <c r="AL2152" s="413"/>
      <c r="AM2152" s="413"/>
      <c r="AN2152" s="413"/>
      <c r="AO2152" s="413"/>
      <c r="AP2152" s="413"/>
      <c r="AQ2152" s="413"/>
      <c r="AR2152" s="413"/>
      <c r="AS2152" s="413"/>
      <c r="AT2152" s="413"/>
      <c r="AU2152" s="413"/>
      <c r="AV2152" s="413"/>
      <c r="AW2152" s="413"/>
      <c r="AX2152" s="413"/>
      <c r="AY2152" s="413"/>
      <c r="AZ2152" s="413"/>
      <c r="BA2152" s="413"/>
      <c r="BB2152" s="413"/>
      <c r="BC2152" s="413"/>
      <c r="BD2152" s="413"/>
      <c r="BE2152" s="413"/>
      <c r="BF2152" s="413"/>
      <c r="BG2152" s="413"/>
      <c r="BH2152" s="413"/>
      <c r="BI2152" s="413"/>
      <c r="BJ2152" s="413"/>
      <c r="BK2152" s="413"/>
      <c r="BL2152" s="413"/>
    </row>
    <row r="2153" spans="1:64" ht="13">
      <c r="A2153" s="454"/>
      <c r="B2153" s="454"/>
      <c r="C2153" s="417" t="s">
        <v>994</v>
      </c>
      <c r="D2153" s="459">
        <f>$F$2096*60%*$D$2133</f>
        <v>25.680750000000003</v>
      </c>
      <c r="E2153" s="459">
        <f>$F$2096*70%*$D$2133</f>
        <v>29.960875000000001</v>
      </c>
      <c r="F2153" s="459">
        <f>$F$2096*80%*$D$2133</f>
        <v>34.241000000000007</v>
      </c>
      <c r="G2153" s="416"/>
      <c r="H2153" s="416"/>
      <c r="I2153" s="416"/>
      <c r="J2153" s="533"/>
      <c r="K2153" s="534"/>
      <c r="L2153" s="534"/>
      <c r="M2153" s="413"/>
      <c r="N2153" s="413"/>
      <c r="O2153" s="413"/>
      <c r="P2153" s="413"/>
      <c r="Q2153" s="413"/>
      <c r="R2153" s="413"/>
      <c r="S2153" s="413"/>
      <c r="T2153" s="413"/>
      <c r="U2153" s="413"/>
      <c r="V2153" s="413"/>
      <c r="W2153" s="413"/>
      <c r="X2153" s="413"/>
      <c r="Y2153" s="413"/>
      <c r="Z2153" s="413"/>
      <c r="AA2153" s="413"/>
      <c r="AB2153" s="413"/>
      <c r="AC2153" s="413"/>
      <c r="AD2153" s="413"/>
      <c r="AE2153" s="413"/>
      <c r="AF2153" s="413"/>
      <c r="AG2153" s="413"/>
      <c r="AH2153" s="413"/>
      <c r="AI2153" s="413"/>
      <c r="AJ2153" s="413"/>
      <c r="AK2153" s="413"/>
      <c r="AL2153" s="413"/>
      <c r="AM2153" s="413"/>
      <c r="AN2153" s="413"/>
      <c r="AO2153" s="413"/>
      <c r="AP2153" s="413"/>
      <c r="AQ2153" s="413"/>
      <c r="AR2153" s="413"/>
      <c r="AS2153" s="413"/>
      <c r="AT2153" s="413"/>
      <c r="AU2153" s="413"/>
      <c r="AV2153" s="413"/>
      <c r="AW2153" s="413"/>
      <c r="AX2153" s="413"/>
      <c r="AY2153" s="413"/>
      <c r="AZ2153" s="413"/>
      <c r="BA2153" s="413"/>
      <c r="BB2153" s="413"/>
      <c r="BC2153" s="413"/>
      <c r="BD2153" s="413"/>
      <c r="BE2153" s="413"/>
      <c r="BF2153" s="413"/>
      <c r="BG2153" s="413"/>
      <c r="BH2153" s="413"/>
      <c r="BI2153" s="413"/>
      <c r="BJ2153" s="413"/>
      <c r="BK2153" s="413"/>
      <c r="BL2153" s="413"/>
    </row>
    <row r="2154" spans="1:64" ht="13">
      <c r="A2154" s="454"/>
      <c r="B2154" s="454"/>
      <c r="C2154" s="417" t="str">
        <f>[161]Input!$C$47</f>
        <v>Add for MA @ 40%</v>
      </c>
      <c r="D2154" s="459">
        <f>D2153*[161]Input!$D$47</f>
        <v>10.272300000000001</v>
      </c>
      <c r="E2154" s="459">
        <f>E2153*[161]Input!$D$47</f>
        <v>11.984350000000001</v>
      </c>
      <c r="F2154" s="459">
        <f>F2153*[161]Input!$D$47</f>
        <v>13.696400000000004</v>
      </c>
      <c r="G2154" s="416"/>
      <c r="H2154" s="416"/>
      <c r="I2154" s="416"/>
      <c r="J2154" s="533"/>
      <c r="K2154" s="534"/>
      <c r="L2154" s="534"/>
      <c r="M2154" s="413"/>
      <c r="N2154" s="413"/>
      <c r="O2154" s="413"/>
      <c r="P2154" s="413"/>
      <c r="Q2154" s="413"/>
      <c r="R2154" s="413"/>
      <c r="S2154" s="413"/>
      <c r="T2154" s="413"/>
      <c r="U2154" s="413"/>
      <c r="V2154" s="413"/>
      <c r="W2154" s="413"/>
      <c r="X2154" s="413"/>
      <c r="Y2154" s="413"/>
      <c r="Z2154" s="413"/>
      <c r="AA2154" s="413"/>
      <c r="AB2154" s="413"/>
      <c r="AC2154" s="413"/>
      <c r="AD2154" s="413"/>
      <c r="AE2154" s="413"/>
      <c r="AF2154" s="413"/>
      <c r="AG2154" s="413"/>
      <c r="AH2154" s="413"/>
      <c r="AI2154" s="413"/>
      <c r="AJ2154" s="413"/>
      <c r="AK2154" s="413"/>
      <c r="AL2154" s="413"/>
      <c r="AM2154" s="413"/>
      <c r="AN2154" s="413"/>
      <c r="AO2154" s="413"/>
      <c r="AP2154" s="413"/>
      <c r="AQ2154" s="413"/>
      <c r="AR2154" s="413"/>
      <c r="AS2154" s="413"/>
      <c r="AT2154" s="413"/>
      <c r="AU2154" s="413"/>
      <c r="AV2154" s="413"/>
      <c r="AW2154" s="413"/>
      <c r="AX2154" s="413"/>
      <c r="AY2154" s="413"/>
      <c r="AZ2154" s="413"/>
      <c r="BA2154" s="413"/>
      <c r="BB2154" s="413"/>
      <c r="BC2154" s="413"/>
      <c r="BD2154" s="413"/>
      <c r="BE2154" s="413"/>
      <c r="BF2154" s="413"/>
      <c r="BG2154" s="413"/>
      <c r="BH2154" s="413"/>
      <c r="BI2154" s="413"/>
      <c r="BJ2154" s="413"/>
      <c r="BK2154" s="413"/>
      <c r="BL2154" s="413"/>
    </row>
    <row r="2155" spans="1:64" ht="13">
      <c r="A2155" s="454"/>
      <c r="B2155" s="454"/>
      <c r="C2155" s="427" t="s">
        <v>742</v>
      </c>
      <c r="D2155" s="461">
        <f>SUM(D2149:D2154)</f>
        <v>357.41250400000001</v>
      </c>
      <c r="E2155" s="461">
        <f>SUM(E2149:E2154)</f>
        <v>370.40467899999999</v>
      </c>
      <c r="F2155" s="461">
        <f>SUM(F2149:F2154)</f>
        <v>383.39685399999996</v>
      </c>
      <c r="G2155" s="416"/>
      <c r="H2155" s="416"/>
      <c r="I2155" s="416"/>
      <c r="J2155" s="533"/>
      <c r="K2155" s="534"/>
      <c r="L2155" s="534"/>
      <c r="M2155" s="413"/>
      <c r="N2155" s="413"/>
      <c r="O2155" s="413"/>
      <c r="P2155" s="413"/>
      <c r="Q2155" s="413"/>
      <c r="R2155" s="413"/>
      <c r="S2155" s="413"/>
      <c r="T2155" s="413"/>
      <c r="U2155" s="413"/>
      <c r="V2155" s="413"/>
      <c r="W2155" s="413"/>
      <c r="X2155" s="413"/>
      <c r="Y2155" s="413"/>
      <c r="Z2155" s="413"/>
      <c r="AA2155" s="413"/>
      <c r="AB2155" s="413"/>
      <c r="AC2155" s="413"/>
      <c r="AD2155" s="413"/>
      <c r="AE2155" s="413"/>
      <c r="AF2155" s="413"/>
      <c r="AG2155" s="413"/>
      <c r="AH2155" s="413"/>
      <c r="AI2155" s="413"/>
      <c r="AJ2155" s="413"/>
      <c r="AK2155" s="413"/>
      <c r="AL2155" s="413"/>
      <c r="AM2155" s="413"/>
      <c r="AN2155" s="413"/>
      <c r="AO2155" s="413"/>
      <c r="AP2155" s="413"/>
      <c r="AQ2155" s="413"/>
      <c r="AR2155" s="413"/>
      <c r="AS2155" s="413"/>
      <c r="AT2155" s="413"/>
      <c r="AU2155" s="413"/>
      <c r="AV2155" s="413"/>
      <c r="AW2155" s="413"/>
      <c r="AX2155" s="413"/>
      <c r="AY2155" s="413"/>
      <c r="AZ2155" s="413"/>
      <c r="BA2155" s="413"/>
      <c r="BB2155" s="413"/>
      <c r="BC2155" s="413"/>
      <c r="BD2155" s="413"/>
      <c r="BE2155" s="413"/>
      <c r="BF2155" s="413"/>
      <c r="BG2155" s="413"/>
      <c r="BH2155" s="413"/>
      <c r="BI2155" s="413"/>
      <c r="BJ2155" s="413"/>
      <c r="BK2155" s="413"/>
      <c r="BL2155" s="413"/>
    </row>
    <row r="2156" spans="1:64" ht="25">
      <c r="A2156" s="454"/>
      <c r="B2156" s="454"/>
      <c r="C2156" s="620" t="str">
        <f>[161]Input!$C$48</f>
        <v>Overheads &amp; Contractors Profit @ 13.615%</v>
      </c>
      <c r="D2156" s="459">
        <f>D2155*[161]Input!$D$48</f>
        <v>48.661712419600001</v>
      </c>
      <c r="E2156" s="459">
        <f>E2155*[161]Input!$D$48</f>
        <v>50.430597045849993</v>
      </c>
      <c r="F2156" s="459">
        <f>F2155*[161]Input!$D$48</f>
        <v>52.199481672099992</v>
      </c>
      <c r="G2156" s="416"/>
      <c r="H2156" s="416"/>
      <c r="I2156" s="416"/>
      <c r="J2156" s="533"/>
      <c r="K2156" s="534"/>
      <c r="L2156" s="534"/>
      <c r="M2156" s="413"/>
      <c r="N2156" s="413"/>
      <c r="O2156" s="413"/>
      <c r="P2156" s="413"/>
      <c r="Q2156" s="413"/>
      <c r="R2156" s="413"/>
      <c r="S2156" s="413"/>
      <c r="T2156" s="413"/>
      <c r="U2156" s="413"/>
      <c r="V2156" s="413"/>
      <c r="W2156" s="413"/>
      <c r="X2156" s="413"/>
      <c r="Y2156" s="413"/>
      <c r="Z2156" s="413"/>
      <c r="AA2156" s="413"/>
      <c r="AB2156" s="413"/>
      <c r="AC2156" s="413"/>
      <c r="AD2156" s="413"/>
      <c r="AE2156" s="413"/>
      <c r="AF2156" s="413"/>
      <c r="AG2156" s="413"/>
      <c r="AH2156" s="413"/>
      <c r="AI2156" s="413"/>
      <c r="AJ2156" s="413"/>
      <c r="AK2156" s="413"/>
      <c r="AL2156" s="413"/>
      <c r="AM2156" s="413"/>
      <c r="AN2156" s="413"/>
      <c r="AO2156" s="413"/>
      <c r="AP2156" s="413"/>
      <c r="AQ2156" s="413"/>
      <c r="AR2156" s="413"/>
      <c r="AS2156" s="413"/>
      <c r="AT2156" s="413"/>
      <c r="AU2156" s="413"/>
      <c r="AV2156" s="413"/>
      <c r="AW2156" s="413"/>
      <c r="AX2156" s="413"/>
      <c r="AY2156" s="413"/>
      <c r="AZ2156" s="413"/>
      <c r="BA2156" s="413"/>
      <c r="BB2156" s="413"/>
      <c r="BC2156" s="413"/>
      <c r="BD2156" s="413"/>
      <c r="BE2156" s="413"/>
      <c r="BF2156" s="413"/>
      <c r="BG2156" s="413"/>
      <c r="BH2156" s="413"/>
      <c r="BI2156" s="413"/>
      <c r="BJ2156" s="413"/>
      <c r="BK2156" s="413"/>
      <c r="BL2156" s="413"/>
    </row>
    <row r="2157" spans="1:64" ht="13">
      <c r="A2157" s="454"/>
      <c r="B2157" s="454"/>
      <c r="C2157" s="427" t="s">
        <v>742</v>
      </c>
      <c r="D2157" s="459">
        <f>SUM(D2155:D2156)</f>
        <v>406.07421641960002</v>
      </c>
      <c r="E2157" s="459">
        <f>SUM(E2155:E2156)</f>
        <v>420.83527604584998</v>
      </c>
      <c r="F2157" s="459">
        <f>SUM(F2155:F2156)</f>
        <v>435.59633567209994</v>
      </c>
      <c r="G2157" s="416"/>
      <c r="H2157" s="416"/>
      <c r="I2157" s="416"/>
      <c r="J2157" s="533"/>
      <c r="K2157" s="534"/>
      <c r="L2157" s="534"/>
      <c r="M2157" s="413"/>
      <c r="N2157" s="413"/>
      <c r="O2157" s="413"/>
      <c r="P2157" s="413"/>
      <c r="Q2157" s="413"/>
      <c r="R2157" s="413"/>
      <c r="S2157" s="413"/>
      <c r="T2157" s="413"/>
      <c r="U2157" s="413"/>
      <c r="V2157" s="413"/>
      <c r="W2157" s="413"/>
      <c r="X2157" s="413"/>
      <c r="Y2157" s="413"/>
      <c r="Z2157" s="413"/>
      <c r="AA2157" s="413"/>
      <c r="AB2157" s="413"/>
      <c r="AC2157" s="413"/>
      <c r="AD2157" s="413"/>
      <c r="AE2157" s="413"/>
      <c r="AF2157" s="413"/>
      <c r="AG2157" s="413"/>
      <c r="AH2157" s="413"/>
      <c r="AI2157" s="413"/>
      <c r="AJ2157" s="413"/>
      <c r="AK2157" s="413"/>
      <c r="AL2157" s="413"/>
      <c r="AM2157" s="413"/>
      <c r="AN2157" s="413"/>
      <c r="AO2157" s="413"/>
      <c r="AP2157" s="413"/>
      <c r="AQ2157" s="413"/>
      <c r="AR2157" s="413"/>
      <c r="AS2157" s="413"/>
      <c r="AT2157" s="413"/>
      <c r="AU2157" s="413"/>
      <c r="AV2157" s="413"/>
      <c r="AW2157" s="413"/>
      <c r="AX2157" s="413"/>
      <c r="AY2157" s="413"/>
      <c r="AZ2157" s="413"/>
      <c r="BA2157" s="413"/>
      <c r="BB2157" s="413"/>
      <c r="BC2157" s="413"/>
      <c r="BD2157" s="413"/>
      <c r="BE2157" s="413"/>
      <c r="BF2157" s="413"/>
      <c r="BG2157" s="413"/>
      <c r="BH2157" s="413"/>
      <c r="BI2157" s="413"/>
      <c r="BJ2157" s="413"/>
      <c r="BK2157" s="413"/>
      <c r="BL2157" s="413"/>
    </row>
    <row r="2158" spans="1:64" ht="13">
      <c r="A2158" s="454"/>
      <c r="B2158" s="454"/>
      <c r="C2158" s="514" t="s">
        <v>726</v>
      </c>
      <c r="D2158" s="416">
        <f>ROUND(D2157,0)</f>
        <v>406</v>
      </c>
      <c r="E2158" s="416">
        <f>ROUND(E2157,0)</f>
        <v>421</v>
      </c>
      <c r="F2158" s="416">
        <f>ROUND(F2157,0)</f>
        <v>436</v>
      </c>
      <c r="G2158" s="416"/>
      <c r="H2158" s="416"/>
      <c r="I2158" s="416"/>
      <c r="J2158" s="533"/>
      <c r="K2158" s="534"/>
      <c r="L2158" s="534"/>
      <c r="M2158" s="413"/>
      <c r="N2158" s="413"/>
      <c r="O2158" s="413"/>
      <c r="P2158" s="413"/>
      <c r="Q2158" s="413"/>
      <c r="R2158" s="413"/>
      <c r="S2158" s="413"/>
      <c r="T2158" s="413"/>
      <c r="U2158" s="413"/>
      <c r="V2158" s="413"/>
      <c r="W2158" s="413"/>
      <c r="X2158" s="413"/>
      <c r="Y2158" s="413"/>
      <c r="Z2158" s="413"/>
      <c r="AA2158" s="413"/>
      <c r="AB2158" s="413"/>
      <c r="AC2158" s="413"/>
      <c r="AD2158" s="413"/>
      <c r="AE2158" s="413"/>
      <c r="AF2158" s="413"/>
      <c r="AG2158" s="413"/>
      <c r="AH2158" s="413"/>
      <c r="AI2158" s="413"/>
      <c r="AJ2158" s="413"/>
      <c r="AK2158" s="413"/>
      <c r="AL2158" s="413"/>
      <c r="AM2158" s="413"/>
      <c r="AN2158" s="413"/>
      <c r="AO2158" s="413"/>
      <c r="AP2158" s="413"/>
      <c r="AQ2158" s="413"/>
      <c r="AR2158" s="413"/>
      <c r="AS2158" s="413"/>
      <c r="AT2158" s="413"/>
      <c r="AU2158" s="413"/>
      <c r="AV2158" s="413"/>
      <c r="AW2158" s="413"/>
      <c r="AX2158" s="413"/>
      <c r="AY2158" s="413"/>
      <c r="AZ2158" s="413"/>
      <c r="BA2158" s="413"/>
      <c r="BB2158" s="413"/>
      <c r="BC2158" s="413"/>
      <c r="BD2158" s="413"/>
      <c r="BE2158" s="413"/>
      <c r="BF2158" s="413"/>
      <c r="BG2158" s="413"/>
      <c r="BH2158" s="413"/>
      <c r="BI2158" s="413"/>
      <c r="BJ2158" s="413"/>
      <c r="BK2158" s="413"/>
      <c r="BL2158" s="413"/>
    </row>
    <row r="2159" spans="1:64" ht="13">
      <c r="A2159" s="454"/>
      <c r="B2159" s="454"/>
      <c r="C2159" s="522"/>
      <c r="D2159" s="416"/>
      <c r="E2159" s="416"/>
      <c r="F2159" s="416"/>
      <c r="G2159" s="416"/>
      <c r="H2159" s="416"/>
      <c r="I2159" s="416"/>
      <c r="J2159" s="533"/>
      <c r="K2159" s="534"/>
      <c r="L2159" s="534"/>
      <c r="M2159" s="413"/>
      <c r="N2159" s="413"/>
      <c r="O2159" s="413"/>
      <c r="P2159" s="413"/>
      <c r="Q2159" s="413"/>
      <c r="R2159" s="413"/>
      <c r="S2159" s="413"/>
      <c r="T2159" s="413"/>
      <c r="U2159" s="413"/>
      <c r="V2159" s="413"/>
      <c r="W2159" s="413"/>
      <c r="X2159" s="413"/>
      <c r="Y2159" s="413"/>
      <c r="Z2159" s="413"/>
      <c r="AA2159" s="413"/>
      <c r="AB2159" s="413"/>
      <c r="AC2159" s="413"/>
      <c r="AD2159" s="413"/>
      <c r="AE2159" s="413"/>
      <c r="AF2159" s="413"/>
      <c r="AG2159" s="413"/>
      <c r="AH2159" s="413"/>
      <c r="AI2159" s="413"/>
      <c r="AJ2159" s="413"/>
      <c r="AK2159" s="413"/>
      <c r="AL2159" s="413"/>
      <c r="AM2159" s="413"/>
      <c r="AN2159" s="413"/>
      <c r="AO2159" s="413"/>
      <c r="AP2159" s="413"/>
      <c r="AQ2159" s="413"/>
      <c r="AR2159" s="413"/>
      <c r="AS2159" s="413"/>
      <c r="AT2159" s="413"/>
      <c r="AU2159" s="413"/>
      <c r="AV2159" s="413"/>
      <c r="AW2159" s="413"/>
      <c r="AX2159" s="413"/>
      <c r="AY2159" s="413"/>
      <c r="AZ2159" s="413"/>
      <c r="BA2159" s="413"/>
      <c r="BB2159" s="413"/>
      <c r="BC2159" s="413"/>
      <c r="BD2159" s="413"/>
      <c r="BE2159" s="413"/>
      <c r="BF2159" s="413"/>
      <c r="BG2159" s="413"/>
      <c r="BH2159" s="413"/>
      <c r="BI2159" s="413"/>
      <c r="BJ2159" s="413"/>
      <c r="BK2159" s="413"/>
      <c r="BL2159" s="413"/>
    </row>
    <row r="2160" spans="1:64" s="653" customFormat="1" ht="85.15" customHeight="1">
      <c r="A2160" s="430">
        <f>A2044+1</f>
        <v>7</v>
      </c>
      <c r="B2160" s="454"/>
      <c r="C2160" s="1276" t="s">
        <v>1104</v>
      </c>
      <c r="D2160" s="1276"/>
      <c r="E2160" s="1276"/>
      <c r="F2160" s="1276"/>
      <c r="G2160" s="1276"/>
      <c r="H2160" s="1276"/>
      <c r="I2160" s="1276"/>
      <c r="J2160" s="533"/>
      <c r="K2160" s="534"/>
      <c r="L2160" s="534"/>
      <c r="M2160" s="652"/>
      <c r="N2160" s="652"/>
      <c r="O2160" s="652"/>
      <c r="P2160" s="652"/>
      <c r="Q2160" s="652"/>
      <c r="R2160" s="652"/>
      <c r="S2160" s="652"/>
      <c r="T2160" s="652"/>
      <c r="U2160" s="652"/>
      <c r="V2160" s="652"/>
      <c r="W2160" s="652"/>
      <c r="X2160" s="652"/>
      <c r="Y2160" s="652"/>
      <c r="Z2160" s="652"/>
      <c r="AA2160" s="652"/>
      <c r="AB2160" s="652"/>
      <c r="AC2160" s="652"/>
      <c r="AD2160" s="652"/>
      <c r="AE2160" s="652"/>
      <c r="AF2160" s="652"/>
      <c r="AG2160" s="652"/>
      <c r="AH2160" s="652"/>
      <c r="AI2160" s="652"/>
      <c r="AJ2160" s="652"/>
      <c r="AK2160" s="652"/>
      <c r="AL2160" s="652"/>
      <c r="AM2160" s="652"/>
      <c r="AN2160" s="652"/>
      <c r="AO2160" s="652"/>
      <c r="AP2160" s="652"/>
      <c r="AQ2160" s="652"/>
      <c r="AR2160" s="652"/>
      <c r="AS2160" s="652"/>
      <c r="AT2160" s="652"/>
      <c r="AU2160" s="652"/>
      <c r="AV2160" s="652"/>
      <c r="AW2160" s="652"/>
      <c r="AX2160" s="652"/>
      <c r="AY2160" s="652"/>
      <c r="AZ2160" s="652"/>
      <c r="BA2160" s="652"/>
      <c r="BB2160" s="652"/>
      <c r="BC2160" s="652"/>
      <c r="BD2160" s="652"/>
      <c r="BE2160" s="652"/>
      <c r="BF2160" s="652"/>
      <c r="BG2160" s="652"/>
      <c r="BH2160" s="652"/>
      <c r="BI2160" s="652"/>
      <c r="BJ2160" s="652"/>
      <c r="BK2160" s="652"/>
      <c r="BL2160" s="652"/>
    </row>
    <row r="2161" spans="1:64" s="653" customFormat="1" ht="13">
      <c r="A2161" s="454"/>
      <c r="B2161" s="454"/>
      <c r="C2161" s="473" t="s">
        <v>987</v>
      </c>
      <c r="D2161" s="406"/>
      <c r="E2161" s="406"/>
      <c r="F2161" s="406"/>
      <c r="G2161" s="406"/>
      <c r="H2161" s="406"/>
      <c r="I2161" s="432"/>
      <c r="J2161" s="533"/>
      <c r="K2161" s="534"/>
      <c r="L2161" s="534"/>
      <c r="M2161" s="652"/>
      <c r="N2161" s="652"/>
      <c r="O2161" s="652"/>
      <c r="P2161" s="652"/>
      <c r="Q2161" s="652"/>
      <c r="R2161" s="652"/>
      <c r="S2161" s="652"/>
      <c r="T2161" s="652"/>
      <c r="U2161" s="652"/>
      <c r="V2161" s="652"/>
      <c r="W2161" s="652"/>
      <c r="X2161" s="652"/>
      <c r="Y2161" s="652"/>
      <c r="Z2161" s="652"/>
      <c r="AA2161" s="652"/>
      <c r="AB2161" s="652"/>
      <c r="AC2161" s="652"/>
      <c r="AD2161" s="652"/>
      <c r="AE2161" s="652"/>
      <c r="AF2161" s="652"/>
      <c r="AG2161" s="652"/>
      <c r="AH2161" s="652"/>
      <c r="AI2161" s="652"/>
      <c r="AJ2161" s="652"/>
      <c r="AK2161" s="652"/>
      <c r="AL2161" s="652"/>
      <c r="AM2161" s="652"/>
      <c r="AN2161" s="652"/>
      <c r="AO2161" s="652"/>
      <c r="AP2161" s="652"/>
      <c r="AQ2161" s="652"/>
      <c r="AR2161" s="652"/>
      <c r="AS2161" s="652"/>
      <c r="AT2161" s="652"/>
      <c r="AU2161" s="652"/>
      <c r="AV2161" s="652"/>
      <c r="AW2161" s="652"/>
      <c r="AX2161" s="652"/>
      <c r="AY2161" s="652"/>
      <c r="AZ2161" s="652"/>
      <c r="BA2161" s="652"/>
      <c r="BB2161" s="652"/>
      <c r="BC2161" s="652"/>
      <c r="BD2161" s="652"/>
      <c r="BE2161" s="652"/>
      <c r="BF2161" s="652"/>
      <c r="BG2161" s="652"/>
      <c r="BH2161" s="652"/>
      <c r="BI2161" s="652"/>
      <c r="BJ2161" s="652"/>
      <c r="BK2161" s="652"/>
      <c r="BL2161" s="652"/>
    </row>
    <row r="2162" spans="1:64" s="653" customFormat="1" ht="13">
      <c r="A2162" s="454"/>
      <c r="B2162" s="454"/>
      <c r="C2162" s="451" t="s">
        <v>873</v>
      </c>
      <c r="D2162" s="406"/>
      <c r="E2162" s="406"/>
      <c r="F2162" s="406"/>
      <c r="G2162" s="406"/>
      <c r="H2162" s="406"/>
      <c r="I2162" s="432"/>
      <c r="J2162" s="533"/>
      <c r="K2162" s="534"/>
      <c r="L2162" s="534"/>
      <c r="M2162" s="652"/>
      <c r="N2162" s="652"/>
      <c r="O2162" s="652"/>
      <c r="P2162" s="652"/>
      <c r="Q2162" s="652"/>
      <c r="R2162" s="652"/>
      <c r="S2162" s="652"/>
      <c r="T2162" s="652"/>
      <c r="U2162" s="652"/>
      <c r="V2162" s="652"/>
      <c r="W2162" s="652"/>
      <c r="X2162" s="652"/>
      <c r="Y2162" s="652"/>
      <c r="Z2162" s="652"/>
      <c r="AA2162" s="652"/>
      <c r="AB2162" s="652"/>
      <c r="AC2162" s="652"/>
      <c r="AD2162" s="652"/>
      <c r="AE2162" s="652"/>
      <c r="AF2162" s="652"/>
      <c r="AG2162" s="652"/>
      <c r="AH2162" s="652"/>
      <c r="AI2162" s="652"/>
      <c r="AJ2162" s="652"/>
      <c r="AK2162" s="652"/>
      <c r="AL2162" s="652"/>
      <c r="AM2162" s="652"/>
      <c r="AN2162" s="652"/>
      <c r="AO2162" s="652"/>
      <c r="AP2162" s="652"/>
      <c r="AQ2162" s="652"/>
      <c r="AR2162" s="652"/>
      <c r="AS2162" s="652"/>
      <c r="AT2162" s="652"/>
      <c r="AU2162" s="652"/>
      <c r="AV2162" s="652"/>
      <c r="AW2162" s="652"/>
      <c r="AX2162" s="652"/>
      <c r="AY2162" s="652"/>
      <c r="AZ2162" s="652"/>
      <c r="BA2162" s="652"/>
      <c r="BB2162" s="652"/>
      <c r="BC2162" s="652"/>
      <c r="BD2162" s="652"/>
      <c r="BE2162" s="652"/>
      <c r="BF2162" s="652"/>
      <c r="BG2162" s="652"/>
      <c r="BH2162" s="652"/>
      <c r="BI2162" s="652"/>
      <c r="BJ2162" s="652"/>
      <c r="BK2162" s="652"/>
      <c r="BL2162" s="652"/>
    </row>
    <row r="2163" spans="1:64" s="653" customFormat="1" ht="13">
      <c r="A2163" s="454"/>
      <c r="B2163" s="454"/>
      <c r="C2163" s="417" t="s">
        <v>504</v>
      </c>
      <c r="D2163" s="409">
        <v>350</v>
      </c>
      <c r="E2163" s="426" t="s">
        <v>833</v>
      </c>
      <c r="F2163" s="409">
        <f>[161]LEAD!$N$6</f>
        <v>5200</v>
      </c>
      <c r="G2163" s="410">
        <v>1000</v>
      </c>
      <c r="H2163" s="426" t="s">
        <v>833</v>
      </c>
      <c r="I2163" s="408">
        <f t="shared" ref="I2163:I2165" si="505">IF(G2163="",D2163*F2163,(D2163*F2163/G2163))</f>
        <v>1820</v>
      </c>
      <c r="J2163" s="533"/>
      <c r="K2163" s="534"/>
      <c r="L2163" s="534"/>
      <c r="M2163" s="652"/>
      <c r="N2163" s="652"/>
      <c r="O2163" s="652"/>
      <c r="P2163" s="652"/>
      <c r="Q2163" s="652"/>
      <c r="R2163" s="652"/>
      <c r="S2163" s="652"/>
      <c r="T2163" s="652"/>
      <c r="U2163" s="652"/>
      <c r="V2163" s="652"/>
      <c r="W2163" s="652"/>
      <c r="X2163" s="652"/>
      <c r="Y2163" s="652"/>
      <c r="Z2163" s="652"/>
      <c r="AA2163" s="652"/>
      <c r="AB2163" s="652"/>
      <c r="AC2163" s="652"/>
      <c r="AD2163" s="652"/>
      <c r="AE2163" s="652"/>
      <c r="AF2163" s="652"/>
      <c r="AG2163" s="652"/>
      <c r="AH2163" s="652"/>
      <c r="AI2163" s="652"/>
      <c r="AJ2163" s="652"/>
      <c r="AK2163" s="652"/>
      <c r="AL2163" s="652"/>
      <c r="AM2163" s="652"/>
      <c r="AN2163" s="652"/>
      <c r="AO2163" s="652"/>
      <c r="AP2163" s="652"/>
      <c r="AQ2163" s="652"/>
      <c r="AR2163" s="652"/>
      <c r="AS2163" s="652"/>
      <c r="AT2163" s="652"/>
      <c r="AU2163" s="652"/>
      <c r="AV2163" s="652"/>
      <c r="AW2163" s="652"/>
      <c r="AX2163" s="652"/>
      <c r="AY2163" s="652"/>
      <c r="AZ2163" s="652"/>
      <c r="BA2163" s="652"/>
      <c r="BB2163" s="652"/>
      <c r="BC2163" s="652"/>
      <c r="BD2163" s="652"/>
      <c r="BE2163" s="652"/>
      <c r="BF2163" s="652"/>
      <c r="BG2163" s="652"/>
      <c r="BH2163" s="652"/>
      <c r="BI2163" s="652"/>
      <c r="BJ2163" s="652"/>
      <c r="BK2163" s="652"/>
      <c r="BL2163" s="652"/>
    </row>
    <row r="2164" spans="1:64" s="653" customFormat="1" ht="13">
      <c r="A2164" s="454"/>
      <c r="B2164" s="454"/>
      <c r="C2164" s="417" t="s">
        <v>1034</v>
      </c>
      <c r="D2164" s="409">
        <v>0.8</v>
      </c>
      <c r="E2164" s="426" t="s">
        <v>57</v>
      </c>
      <c r="F2164" s="409">
        <f>$F$22</f>
        <v>1387.96</v>
      </c>
      <c r="G2164" s="410">
        <v>1</v>
      </c>
      <c r="H2164" s="426" t="s">
        <v>57</v>
      </c>
      <c r="I2164" s="408">
        <f t="shared" si="505"/>
        <v>1110.3680000000002</v>
      </c>
      <c r="J2164" s="533"/>
      <c r="K2164" s="534"/>
      <c r="L2164" s="534"/>
      <c r="M2164" s="652"/>
      <c r="N2164" s="652"/>
      <c r="O2164" s="652"/>
      <c r="P2164" s="652"/>
      <c r="Q2164" s="652"/>
      <c r="R2164" s="652"/>
      <c r="S2164" s="652"/>
      <c r="T2164" s="652"/>
      <c r="U2164" s="652"/>
      <c r="V2164" s="652"/>
      <c r="W2164" s="652"/>
      <c r="X2164" s="652"/>
      <c r="Y2164" s="652"/>
      <c r="Z2164" s="652"/>
      <c r="AA2164" s="652"/>
      <c r="AB2164" s="652"/>
      <c r="AC2164" s="652"/>
      <c r="AD2164" s="652"/>
      <c r="AE2164" s="652"/>
      <c r="AF2164" s="652"/>
      <c r="AG2164" s="652"/>
      <c r="AH2164" s="652"/>
      <c r="AI2164" s="652"/>
      <c r="AJ2164" s="652"/>
      <c r="AK2164" s="652"/>
      <c r="AL2164" s="652"/>
      <c r="AM2164" s="652"/>
      <c r="AN2164" s="652"/>
      <c r="AO2164" s="652"/>
      <c r="AP2164" s="652"/>
      <c r="AQ2164" s="652"/>
      <c r="AR2164" s="652"/>
      <c r="AS2164" s="652"/>
      <c r="AT2164" s="652"/>
      <c r="AU2164" s="652"/>
      <c r="AV2164" s="652"/>
      <c r="AW2164" s="652"/>
      <c r="AX2164" s="652"/>
      <c r="AY2164" s="652"/>
      <c r="AZ2164" s="652"/>
      <c r="BA2164" s="652"/>
      <c r="BB2164" s="652"/>
      <c r="BC2164" s="652"/>
      <c r="BD2164" s="652"/>
      <c r="BE2164" s="652"/>
      <c r="BF2164" s="652"/>
      <c r="BG2164" s="652"/>
      <c r="BH2164" s="652"/>
      <c r="BI2164" s="652"/>
      <c r="BJ2164" s="652"/>
      <c r="BK2164" s="652"/>
      <c r="BL2164" s="652"/>
    </row>
    <row r="2165" spans="1:64" s="653" customFormat="1" ht="13">
      <c r="A2165" s="454"/>
      <c r="B2165" s="454"/>
      <c r="C2165" s="417" t="s">
        <v>481</v>
      </c>
      <c r="D2165" s="409">
        <v>0.4</v>
      </c>
      <c r="E2165" s="426" t="s">
        <v>57</v>
      </c>
      <c r="F2165" s="409">
        <f>[161]LEAD!$N$12</f>
        <v>2253.91</v>
      </c>
      <c r="G2165" s="410">
        <v>1</v>
      </c>
      <c r="H2165" s="426" t="s">
        <v>57</v>
      </c>
      <c r="I2165" s="408">
        <f t="shared" si="505"/>
        <v>901.56399999999996</v>
      </c>
      <c r="J2165" s="533"/>
      <c r="K2165" s="534"/>
      <c r="L2165" s="534"/>
      <c r="M2165" s="652"/>
      <c r="N2165" s="652"/>
      <c r="O2165" s="652"/>
      <c r="P2165" s="652"/>
      <c r="Q2165" s="652"/>
      <c r="R2165" s="652"/>
      <c r="S2165" s="652"/>
      <c r="T2165" s="652"/>
      <c r="U2165" s="652"/>
      <c r="V2165" s="652"/>
      <c r="W2165" s="652"/>
      <c r="X2165" s="652"/>
      <c r="Y2165" s="652"/>
      <c r="Z2165" s="652"/>
      <c r="AA2165" s="652"/>
      <c r="AB2165" s="652"/>
      <c r="AC2165" s="652"/>
      <c r="AD2165" s="652"/>
      <c r="AE2165" s="652"/>
      <c r="AF2165" s="652"/>
      <c r="AG2165" s="652"/>
      <c r="AH2165" s="652"/>
      <c r="AI2165" s="652"/>
      <c r="AJ2165" s="652"/>
      <c r="AK2165" s="652"/>
      <c r="AL2165" s="652"/>
      <c r="AM2165" s="652"/>
      <c r="AN2165" s="652"/>
      <c r="AO2165" s="652"/>
      <c r="AP2165" s="652"/>
      <c r="AQ2165" s="652"/>
      <c r="AR2165" s="652"/>
      <c r="AS2165" s="652"/>
      <c r="AT2165" s="652"/>
      <c r="AU2165" s="652"/>
      <c r="AV2165" s="652"/>
      <c r="AW2165" s="652"/>
      <c r="AX2165" s="652"/>
      <c r="AY2165" s="652"/>
      <c r="AZ2165" s="652"/>
      <c r="BA2165" s="652"/>
      <c r="BB2165" s="652"/>
      <c r="BC2165" s="652"/>
      <c r="BD2165" s="652"/>
      <c r="BE2165" s="652"/>
      <c r="BF2165" s="652"/>
      <c r="BG2165" s="652"/>
      <c r="BH2165" s="652"/>
      <c r="BI2165" s="652"/>
      <c r="BJ2165" s="652"/>
      <c r="BK2165" s="652"/>
      <c r="BL2165" s="652"/>
    </row>
    <row r="2166" spans="1:64" s="653" customFormat="1" ht="13">
      <c r="A2166" s="454"/>
      <c r="B2166" s="454"/>
      <c r="C2166" s="427" t="s">
        <v>911</v>
      </c>
      <c r="D2166" s="426"/>
      <c r="E2166" s="426"/>
      <c r="F2166" s="426"/>
      <c r="G2166" s="426"/>
      <c r="H2166" s="426"/>
      <c r="I2166" s="409"/>
      <c r="J2166" s="533"/>
      <c r="K2166" s="534"/>
      <c r="L2166" s="534"/>
      <c r="M2166" s="652"/>
      <c r="N2166" s="652"/>
      <c r="O2166" s="652"/>
      <c r="P2166" s="652"/>
      <c r="Q2166" s="652"/>
      <c r="R2166" s="652"/>
      <c r="S2166" s="652"/>
      <c r="T2166" s="652"/>
      <c r="U2166" s="652"/>
      <c r="V2166" s="652"/>
      <c r="W2166" s="652"/>
      <c r="X2166" s="652"/>
      <c r="Y2166" s="652"/>
      <c r="Z2166" s="652"/>
      <c r="AA2166" s="652"/>
      <c r="AB2166" s="652"/>
      <c r="AC2166" s="652"/>
      <c r="AD2166" s="652"/>
      <c r="AE2166" s="652"/>
      <c r="AF2166" s="652"/>
      <c r="AG2166" s="652"/>
      <c r="AH2166" s="652"/>
      <c r="AI2166" s="652"/>
      <c r="AJ2166" s="652"/>
      <c r="AK2166" s="652"/>
      <c r="AL2166" s="652"/>
      <c r="AM2166" s="652"/>
      <c r="AN2166" s="652"/>
      <c r="AO2166" s="652"/>
      <c r="AP2166" s="652"/>
      <c r="AQ2166" s="652"/>
      <c r="AR2166" s="652"/>
      <c r="AS2166" s="652"/>
      <c r="AT2166" s="652"/>
      <c r="AU2166" s="652"/>
      <c r="AV2166" s="652"/>
      <c r="AW2166" s="652"/>
      <c r="AX2166" s="652"/>
      <c r="AY2166" s="652"/>
      <c r="AZ2166" s="652"/>
      <c r="BA2166" s="652"/>
      <c r="BB2166" s="652"/>
      <c r="BC2166" s="652"/>
      <c r="BD2166" s="652"/>
      <c r="BE2166" s="652"/>
      <c r="BF2166" s="652"/>
      <c r="BG2166" s="652"/>
      <c r="BH2166" s="652"/>
      <c r="BI2166" s="652"/>
      <c r="BJ2166" s="652"/>
      <c r="BK2166" s="652"/>
      <c r="BL2166" s="652"/>
    </row>
    <row r="2167" spans="1:64" s="653" customFormat="1" ht="13">
      <c r="A2167" s="454"/>
      <c r="B2167" s="454"/>
      <c r="C2167" s="417" t="s">
        <v>912</v>
      </c>
      <c r="D2167" s="491">
        <v>6.7000000000000004E-2</v>
      </c>
      <c r="E2167" s="426" t="s">
        <v>14</v>
      </c>
      <c r="F2167" s="409">
        <f>'[161]Civil-SOR'!$G$293</f>
        <v>580</v>
      </c>
      <c r="G2167" s="410">
        <v>1</v>
      </c>
      <c r="H2167" s="426" t="s">
        <v>572</v>
      </c>
      <c r="I2167" s="408">
        <f t="shared" ref="I2167:I2170" si="506">IF(G2167="",D2167*F2167,(D2167*F2167/G2167))</f>
        <v>38.86</v>
      </c>
      <c r="J2167" s="533"/>
      <c r="K2167" s="534"/>
      <c r="L2167" s="534"/>
      <c r="M2167" s="652"/>
      <c r="N2167" s="652"/>
      <c r="O2167" s="652"/>
      <c r="P2167" s="652"/>
      <c r="Q2167" s="652"/>
      <c r="R2167" s="652"/>
      <c r="S2167" s="652"/>
      <c r="T2167" s="652"/>
      <c r="U2167" s="652"/>
      <c r="V2167" s="652"/>
      <c r="W2167" s="652"/>
      <c r="X2167" s="652"/>
      <c r="Y2167" s="652"/>
      <c r="Z2167" s="652"/>
      <c r="AA2167" s="652"/>
      <c r="AB2167" s="652"/>
      <c r="AC2167" s="652"/>
      <c r="AD2167" s="652"/>
      <c r="AE2167" s="652"/>
      <c r="AF2167" s="652"/>
      <c r="AG2167" s="652"/>
      <c r="AH2167" s="652"/>
      <c r="AI2167" s="652"/>
      <c r="AJ2167" s="652"/>
      <c r="AK2167" s="652"/>
      <c r="AL2167" s="652"/>
      <c r="AM2167" s="652"/>
      <c r="AN2167" s="652"/>
      <c r="AO2167" s="652"/>
      <c r="AP2167" s="652"/>
      <c r="AQ2167" s="652"/>
      <c r="AR2167" s="652"/>
      <c r="AS2167" s="652"/>
      <c r="AT2167" s="652"/>
      <c r="AU2167" s="652"/>
      <c r="AV2167" s="652"/>
      <c r="AW2167" s="652"/>
      <c r="AX2167" s="652"/>
      <c r="AY2167" s="652"/>
      <c r="AZ2167" s="652"/>
      <c r="BA2167" s="652"/>
      <c r="BB2167" s="652"/>
      <c r="BC2167" s="652"/>
      <c r="BD2167" s="652"/>
      <c r="BE2167" s="652"/>
      <c r="BF2167" s="652"/>
      <c r="BG2167" s="652"/>
      <c r="BH2167" s="652"/>
      <c r="BI2167" s="652"/>
      <c r="BJ2167" s="652"/>
      <c r="BK2167" s="652"/>
      <c r="BL2167" s="652"/>
    </row>
    <row r="2168" spans="1:64" s="653" customFormat="1" ht="13">
      <c r="A2168" s="454"/>
      <c r="B2168" s="454"/>
      <c r="C2168" s="417" t="s">
        <v>913</v>
      </c>
      <c r="D2168" s="491">
        <v>0.13300000000000001</v>
      </c>
      <c r="E2168" s="426" t="s">
        <v>14</v>
      </c>
      <c r="F2168" s="409">
        <f>'[161]Civil-SOR'!$G$302</f>
        <v>550</v>
      </c>
      <c r="G2168" s="410">
        <v>1</v>
      </c>
      <c r="H2168" s="426" t="str">
        <f>H2167</f>
        <v>Each</v>
      </c>
      <c r="I2168" s="408">
        <f t="shared" si="506"/>
        <v>73.150000000000006</v>
      </c>
      <c r="J2168" s="533"/>
      <c r="K2168" s="534"/>
      <c r="L2168" s="534"/>
      <c r="M2168" s="652"/>
      <c r="N2168" s="652"/>
      <c r="O2168" s="652"/>
      <c r="P2168" s="652"/>
      <c r="Q2168" s="652"/>
      <c r="R2168" s="652"/>
      <c r="S2168" s="652"/>
      <c r="T2168" s="652"/>
      <c r="U2168" s="652"/>
      <c r="V2168" s="652"/>
      <c r="W2168" s="652"/>
      <c r="X2168" s="652"/>
      <c r="Y2168" s="652"/>
      <c r="Z2168" s="652"/>
      <c r="AA2168" s="652"/>
      <c r="AB2168" s="652"/>
      <c r="AC2168" s="652"/>
      <c r="AD2168" s="652"/>
      <c r="AE2168" s="652"/>
      <c r="AF2168" s="652"/>
      <c r="AG2168" s="652"/>
      <c r="AH2168" s="652"/>
      <c r="AI2168" s="652"/>
      <c r="AJ2168" s="652"/>
      <c r="AK2168" s="652"/>
      <c r="AL2168" s="652"/>
      <c r="AM2168" s="652"/>
      <c r="AN2168" s="652"/>
      <c r="AO2168" s="652"/>
      <c r="AP2168" s="652"/>
      <c r="AQ2168" s="652"/>
      <c r="AR2168" s="652"/>
      <c r="AS2168" s="652"/>
      <c r="AT2168" s="652"/>
      <c r="AU2168" s="652"/>
      <c r="AV2168" s="652"/>
      <c r="AW2168" s="652"/>
      <c r="AX2168" s="652"/>
      <c r="AY2168" s="652"/>
      <c r="AZ2168" s="652"/>
      <c r="BA2168" s="652"/>
      <c r="BB2168" s="652"/>
      <c r="BC2168" s="652"/>
      <c r="BD2168" s="652"/>
      <c r="BE2168" s="652"/>
      <c r="BF2168" s="652"/>
      <c r="BG2168" s="652"/>
      <c r="BH2168" s="652"/>
      <c r="BI2168" s="652"/>
      <c r="BJ2168" s="652"/>
      <c r="BK2168" s="652"/>
      <c r="BL2168" s="652"/>
    </row>
    <row r="2169" spans="1:64" s="653" customFormat="1" ht="13">
      <c r="A2169" s="454"/>
      <c r="B2169" s="454"/>
      <c r="C2169" s="417" t="s">
        <v>989</v>
      </c>
      <c r="D2169" s="491">
        <v>3.077</v>
      </c>
      <c r="E2169" s="426" t="s">
        <v>14</v>
      </c>
      <c r="F2169" s="409">
        <f>'[161]Civil-SOR'!$G$307</f>
        <v>520</v>
      </c>
      <c r="G2169" s="410">
        <v>1</v>
      </c>
      <c r="H2169" s="426" t="str">
        <f>H2167</f>
        <v>Each</v>
      </c>
      <c r="I2169" s="408">
        <f t="shared" si="506"/>
        <v>1600.04</v>
      </c>
      <c r="J2169" s="533"/>
      <c r="K2169" s="534"/>
      <c r="L2169" s="534"/>
      <c r="M2169" s="652"/>
      <c r="N2169" s="652"/>
      <c r="O2169" s="652"/>
      <c r="P2169" s="652"/>
      <c r="Q2169" s="652"/>
      <c r="R2169" s="652"/>
      <c r="S2169" s="652"/>
      <c r="T2169" s="652"/>
      <c r="U2169" s="652"/>
      <c r="V2169" s="652"/>
      <c r="W2169" s="652"/>
      <c r="X2169" s="652"/>
      <c r="Y2169" s="652"/>
      <c r="Z2169" s="652"/>
      <c r="AA2169" s="652"/>
      <c r="AB2169" s="652"/>
      <c r="AC2169" s="652"/>
      <c r="AD2169" s="652"/>
      <c r="AE2169" s="652"/>
      <c r="AF2169" s="652"/>
      <c r="AG2169" s="652"/>
      <c r="AH2169" s="652"/>
      <c r="AI2169" s="652"/>
      <c r="AJ2169" s="652"/>
      <c r="AK2169" s="652"/>
      <c r="AL2169" s="652"/>
      <c r="AM2169" s="652"/>
      <c r="AN2169" s="652"/>
      <c r="AO2169" s="652"/>
      <c r="AP2169" s="652"/>
      <c r="AQ2169" s="652"/>
      <c r="AR2169" s="652"/>
      <c r="AS2169" s="652"/>
      <c r="AT2169" s="652"/>
      <c r="AU2169" s="652"/>
      <c r="AV2169" s="652"/>
      <c r="AW2169" s="652"/>
      <c r="AX2169" s="652"/>
      <c r="AY2169" s="652"/>
      <c r="AZ2169" s="652"/>
      <c r="BA2169" s="652"/>
      <c r="BB2169" s="652"/>
      <c r="BC2169" s="652"/>
      <c r="BD2169" s="652"/>
      <c r="BE2169" s="652"/>
      <c r="BF2169" s="652"/>
      <c r="BG2169" s="652"/>
      <c r="BH2169" s="652"/>
      <c r="BI2169" s="652"/>
      <c r="BJ2169" s="652"/>
      <c r="BK2169" s="652"/>
      <c r="BL2169" s="652"/>
    </row>
    <row r="2170" spans="1:64" s="653" customFormat="1" ht="13">
      <c r="A2170" s="454"/>
      <c r="B2170" s="454"/>
      <c r="C2170" s="417" t="str">
        <f>[161]Input!$C$47</f>
        <v>Add for MA @ 40%</v>
      </c>
      <c r="D2170" s="409">
        <f>[161]Input!$D$47</f>
        <v>0.4</v>
      </c>
      <c r="E2170" s="426"/>
      <c r="F2170" s="409">
        <f>SUM(I2167:I2169)</f>
        <v>1712.05</v>
      </c>
      <c r="G2170" s="410"/>
      <c r="H2170" s="426"/>
      <c r="I2170" s="408">
        <f t="shared" si="506"/>
        <v>684.82</v>
      </c>
      <c r="J2170" s="533"/>
      <c r="K2170" s="534"/>
      <c r="L2170" s="534"/>
      <c r="M2170" s="652"/>
      <c r="N2170" s="652"/>
      <c r="O2170" s="652"/>
      <c r="P2170" s="652"/>
      <c r="Q2170" s="652"/>
      <c r="R2170" s="652"/>
      <c r="S2170" s="652"/>
      <c r="T2170" s="652"/>
      <c r="U2170" s="652"/>
      <c r="V2170" s="652"/>
      <c r="W2170" s="652"/>
      <c r="X2170" s="652"/>
      <c r="Y2170" s="652"/>
      <c r="Z2170" s="652"/>
      <c r="AA2170" s="652"/>
      <c r="AB2170" s="652"/>
      <c r="AC2170" s="652"/>
      <c r="AD2170" s="652"/>
      <c r="AE2170" s="652"/>
      <c r="AF2170" s="652"/>
      <c r="AG2170" s="652"/>
      <c r="AH2170" s="652"/>
      <c r="AI2170" s="652"/>
      <c r="AJ2170" s="652"/>
      <c r="AK2170" s="652"/>
      <c r="AL2170" s="652"/>
      <c r="AM2170" s="652"/>
      <c r="AN2170" s="652"/>
      <c r="AO2170" s="652"/>
      <c r="AP2170" s="652"/>
      <c r="AQ2170" s="652"/>
      <c r="AR2170" s="652"/>
      <c r="AS2170" s="652"/>
      <c r="AT2170" s="652"/>
      <c r="AU2170" s="652"/>
      <c r="AV2170" s="652"/>
      <c r="AW2170" s="652"/>
      <c r="AX2170" s="652"/>
      <c r="AY2170" s="652"/>
      <c r="AZ2170" s="652"/>
      <c r="BA2170" s="652"/>
      <c r="BB2170" s="652"/>
      <c r="BC2170" s="652"/>
      <c r="BD2170" s="652"/>
      <c r="BE2170" s="652"/>
      <c r="BF2170" s="652"/>
      <c r="BG2170" s="652"/>
      <c r="BH2170" s="652"/>
      <c r="BI2170" s="652"/>
      <c r="BJ2170" s="652"/>
      <c r="BK2170" s="652"/>
      <c r="BL2170" s="652"/>
    </row>
    <row r="2171" spans="1:64" s="653" customFormat="1" ht="13">
      <c r="A2171" s="454"/>
      <c r="B2171" s="454"/>
      <c r="C2171" s="427" t="s">
        <v>915</v>
      </c>
      <c r="D2171" s="409"/>
      <c r="E2171" s="426"/>
      <c r="F2171" s="409"/>
      <c r="G2171" s="410"/>
      <c r="H2171" s="426"/>
      <c r="I2171" s="408"/>
      <c r="J2171" s="533"/>
      <c r="K2171" s="534"/>
      <c r="L2171" s="534"/>
      <c r="M2171" s="652"/>
      <c r="N2171" s="652"/>
      <c r="O2171" s="652"/>
      <c r="P2171" s="652"/>
      <c r="Q2171" s="652"/>
      <c r="R2171" s="652"/>
      <c r="S2171" s="652"/>
      <c r="T2171" s="652"/>
      <c r="U2171" s="652"/>
      <c r="V2171" s="652"/>
      <c r="W2171" s="652"/>
      <c r="X2171" s="652"/>
      <c r="Y2171" s="652"/>
      <c r="Z2171" s="652"/>
      <c r="AA2171" s="652"/>
      <c r="AB2171" s="652"/>
      <c r="AC2171" s="652"/>
      <c r="AD2171" s="652"/>
      <c r="AE2171" s="652"/>
      <c r="AF2171" s="652"/>
      <c r="AG2171" s="652"/>
      <c r="AH2171" s="652"/>
      <c r="AI2171" s="652"/>
      <c r="AJ2171" s="652"/>
      <c r="AK2171" s="652"/>
      <c r="AL2171" s="652"/>
      <c r="AM2171" s="652"/>
      <c r="AN2171" s="652"/>
      <c r="AO2171" s="652"/>
      <c r="AP2171" s="652"/>
      <c r="AQ2171" s="652"/>
      <c r="AR2171" s="652"/>
      <c r="AS2171" s="652"/>
      <c r="AT2171" s="652"/>
      <c r="AU2171" s="652"/>
      <c r="AV2171" s="652"/>
      <c r="AW2171" s="652"/>
      <c r="AX2171" s="652"/>
      <c r="AY2171" s="652"/>
      <c r="AZ2171" s="652"/>
      <c r="BA2171" s="652"/>
      <c r="BB2171" s="652"/>
      <c r="BC2171" s="652"/>
      <c r="BD2171" s="652"/>
      <c r="BE2171" s="652"/>
      <c r="BF2171" s="652"/>
      <c r="BG2171" s="652"/>
      <c r="BH2171" s="652"/>
      <c r="BI2171" s="652"/>
      <c r="BJ2171" s="652"/>
      <c r="BK2171" s="652"/>
      <c r="BL2171" s="652"/>
    </row>
    <row r="2172" spans="1:64" s="653" customFormat="1" ht="13">
      <c r="A2172" s="454"/>
      <c r="B2172" s="454"/>
      <c r="C2172" s="417" t="s">
        <v>916</v>
      </c>
      <c r="D2172" s="491">
        <v>0.308</v>
      </c>
      <c r="E2172" s="408" t="s">
        <v>826</v>
      </c>
      <c r="F2172" s="408">
        <f>'[161]Civil-SOR'!$G$329</f>
        <v>265.79999999999995</v>
      </c>
      <c r="G2172" s="430">
        <v>1</v>
      </c>
      <c r="H2172" s="430" t="str">
        <f t="shared" ref="H2172:H2173" si="507">IF(E2172="","",IF(E2172="No.","Each",IF(E2172="Nos.","Each",E2172)))</f>
        <v>hour</v>
      </c>
      <c r="I2172" s="408">
        <f t="shared" ref="I2172:I2175" si="508">IF(G2172="",D2172*F2172,(D2172*F2172/G2172))</f>
        <v>81.866399999999985</v>
      </c>
      <c r="J2172" s="533"/>
      <c r="K2172" s="534"/>
      <c r="L2172" s="534"/>
      <c r="M2172" s="652"/>
      <c r="N2172" s="652"/>
      <c r="O2172" s="652"/>
      <c r="P2172" s="652"/>
      <c r="Q2172" s="652"/>
      <c r="R2172" s="652"/>
      <c r="S2172" s="652"/>
      <c r="T2172" s="652"/>
      <c r="U2172" s="652"/>
      <c r="V2172" s="652"/>
      <c r="W2172" s="652"/>
      <c r="X2172" s="652"/>
      <c r="Y2172" s="652"/>
      <c r="Z2172" s="652"/>
      <c r="AA2172" s="652"/>
      <c r="AB2172" s="652"/>
      <c r="AC2172" s="652"/>
      <c r="AD2172" s="652"/>
      <c r="AE2172" s="652"/>
      <c r="AF2172" s="652"/>
      <c r="AG2172" s="652"/>
      <c r="AH2172" s="652"/>
      <c r="AI2172" s="652"/>
      <c r="AJ2172" s="652"/>
      <c r="AK2172" s="652"/>
      <c r="AL2172" s="652"/>
      <c r="AM2172" s="652"/>
      <c r="AN2172" s="652"/>
      <c r="AO2172" s="652"/>
      <c r="AP2172" s="652"/>
      <c r="AQ2172" s="652"/>
      <c r="AR2172" s="652"/>
      <c r="AS2172" s="652"/>
      <c r="AT2172" s="652"/>
      <c r="AU2172" s="652"/>
      <c r="AV2172" s="652"/>
      <c r="AW2172" s="652"/>
      <c r="AX2172" s="652"/>
      <c r="AY2172" s="652"/>
      <c r="AZ2172" s="652"/>
      <c r="BA2172" s="652"/>
      <c r="BB2172" s="652"/>
      <c r="BC2172" s="652"/>
      <c r="BD2172" s="652"/>
      <c r="BE2172" s="652"/>
      <c r="BF2172" s="652"/>
      <c r="BG2172" s="652"/>
      <c r="BH2172" s="652"/>
      <c r="BI2172" s="652"/>
      <c r="BJ2172" s="652"/>
      <c r="BK2172" s="652"/>
      <c r="BL2172" s="652"/>
    </row>
    <row r="2173" spans="1:64" s="653" customFormat="1" ht="13">
      <c r="A2173" s="454"/>
      <c r="B2173" s="454"/>
      <c r="C2173" s="417" t="s">
        <v>828</v>
      </c>
      <c r="D2173" s="491">
        <v>0.308</v>
      </c>
      <c r="E2173" s="408" t="s">
        <v>826</v>
      </c>
      <c r="F2173" s="408">
        <f>'[161]Civil-SOR'!$J$329</f>
        <v>454.8</v>
      </c>
      <c r="G2173" s="430">
        <v>1</v>
      </c>
      <c r="H2173" s="430" t="str">
        <f t="shared" si="507"/>
        <v>hour</v>
      </c>
      <c r="I2173" s="408">
        <f t="shared" si="508"/>
        <v>140.07839999999999</v>
      </c>
      <c r="J2173" s="533"/>
      <c r="K2173" s="534"/>
      <c r="L2173" s="534"/>
      <c r="M2173" s="652"/>
      <c r="N2173" s="652"/>
      <c r="O2173" s="652"/>
      <c r="P2173" s="652"/>
      <c r="Q2173" s="652"/>
      <c r="R2173" s="652"/>
      <c r="S2173" s="652"/>
      <c r="T2173" s="652"/>
      <c r="U2173" s="652"/>
      <c r="V2173" s="652"/>
      <c r="W2173" s="652"/>
      <c r="X2173" s="652"/>
      <c r="Y2173" s="652"/>
      <c r="Z2173" s="652"/>
      <c r="AA2173" s="652"/>
      <c r="AB2173" s="652"/>
      <c r="AC2173" s="652"/>
      <c r="AD2173" s="652"/>
      <c r="AE2173" s="652"/>
      <c r="AF2173" s="652"/>
      <c r="AG2173" s="652"/>
      <c r="AH2173" s="652"/>
      <c r="AI2173" s="652"/>
      <c r="AJ2173" s="652"/>
      <c r="AK2173" s="652"/>
      <c r="AL2173" s="652"/>
      <c r="AM2173" s="652"/>
      <c r="AN2173" s="652"/>
      <c r="AO2173" s="652"/>
      <c r="AP2173" s="652"/>
      <c r="AQ2173" s="652"/>
      <c r="AR2173" s="652"/>
      <c r="AS2173" s="652"/>
      <c r="AT2173" s="652"/>
      <c r="AU2173" s="652"/>
      <c r="AV2173" s="652"/>
      <c r="AW2173" s="652"/>
      <c r="AX2173" s="652"/>
      <c r="AY2173" s="652"/>
      <c r="AZ2173" s="652"/>
      <c r="BA2173" s="652"/>
      <c r="BB2173" s="652"/>
      <c r="BC2173" s="652"/>
      <c r="BD2173" s="652"/>
      <c r="BE2173" s="652"/>
      <c r="BF2173" s="652"/>
      <c r="BG2173" s="652"/>
      <c r="BH2173" s="652"/>
      <c r="BI2173" s="652"/>
      <c r="BJ2173" s="652"/>
      <c r="BK2173" s="652"/>
      <c r="BL2173" s="652"/>
    </row>
    <row r="2174" spans="1:64" s="653" customFormat="1" ht="13">
      <c r="A2174" s="454"/>
      <c r="B2174" s="454"/>
      <c r="C2174" s="417" t="s">
        <v>799</v>
      </c>
      <c r="D2174" s="409">
        <f>[161]Input!$D$47</f>
        <v>0.4</v>
      </c>
      <c r="E2174" s="426"/>
      <c r="F2174" s="409">
        <f>I2173</f>
        <v>140.07839999999999</v>
      </c>
      <c r="G2174" s="410"/>
      <c r="H2174" s="426"/>
      <c r="I2174" s="408">
        <f t="shared" si="508"/>
        <v>56.031359999999999</v>
      </c>
      <c r="J2174" s="533"/>
      <c r="K2174" s="534"/>
      <c r="L2174" s="534"/>
      <c r="M2174" s="652"/>
      <c r="N2174" s="652"/>
      <c r="O2174" s="652"/>
      <c r="P2174" s="652"/>
      <c r="Q2174" s="652"/>
      <c r="R2174" s="652"/>
      <c r="S2174" s="652"/>
      <c r="T2174" s="652"/>
      <c r="U2174" s="652"/>
      <c r="V2174" s="652"/>
      <c r="W2174" s="652"/>
      <c r="X2174" s="652"/>
      <c r="Y2174" s="652"/>
      <c r="Z2174" s="652"/>
      <c r="AA2174" s="652"/>
      <c r="AB2174" s="652"/>
      <c r="AC2174" s="652"/>
      <c r="AD2174" s="652"/>
      <c r="AE2174" s="652"/>
      <c r="AF2174" s="652"/>
      <c r="AG2174" s="652"/>
      <c r="AH2174" s="652"/>
      <c r="AI2174" s="652"/>
      <c r="AJ2174" s="652"/>
      <c r="AK2174" s="652"/>
      <c r="AL2174" s="652"/>
      <c r="AM2174" s="652"/>
      <c r="AN2174" s="652"/>
      <c r="AO2174" s="652"/>
      <c r="AP2174" s="652"/>
      <c r="AQ2174" s="652"/>
      <c r="AR2174" s="652"/>
      <c r="AS2174" s="652"/>
      <c r="AT2174" s="652"/>
      <c r="AU2174" s="652"/>
      <c r="AV2174" s="652"/>
      <c r="AW2174" s="652"/>
      <c r="AX2174" s="652"/>
      <c r="AY2174" s="652"/>
      <c r="AZ2174" s="652"/>
      <c r="BA2174" s="652"/>
      <c r="BB2174" s="652"/>
      <c r="BC2174" s="652"/>
      <c r="BD2174" s="652"/>
      <c r="BE2174" s="652"/>
      <c r="BF2174" s="652"/>
      <c r="BG2174" s="652"/>
      <c r="BH2174" s="652"/>
      <c r="BI2174" s="652"/>
      <c r="BJ2174" s="652"/>
      <c r="BK2174" s="652"/>
      <c r="BL2174" s="652"/>
    </row>
    <row r="2175" spans="1:64" s="653" customFormat="1" ht="13">
      <c r="A2175" s="454"/>
      <c r="B2175" s="454"/>
      <c r="C2175" s="417" t="s">
        <v>918</v>
      </c>
      <c r="D2175" s="408">
        <v>1.2</v>
      </c>
      <c r="E2175" s="408" t="s">
        <v>877</v>
      </c>
      <c r="F2175" s="408">
        <f>[161]Input!$D$53</f>
        <v>108</v>
      </c>
      <c r="G2175" s="430">
        <v>1</v>
      </c>
      <c r="H2175" s="456" t="str">
        <f>IF(E2175="","",IF(E2175="No.","Each",IF(E2175="Nos.","Each",E2175)))</f>
        <v>kl</v>
      </c>
      <c r="I2175" s="408">
        <f t="shared" si="508"/>
        <v>129.6</v>
      </c>
      <c r="J2175" s="533"/>
      <c r="K2175" s="534"/>
      <c r="L2175" s="534"/>
      <c r="M2175" s="652"/>
      <c r="N2175" s="652"/>
      <c r="O2175" s="652"/>
      <c r="P2175" s="652"/>
      <c r="Q2175" s="652"/>
      <c r="R2175" s="652"/>
      <c r="S2175" s="652"/>
      <c r="T2175" s="652"/>
      <c r="U2175" s="652"/>
      <c r="V2175" s="652"/>
      <c r="W2175" s="652"/>
      <c r="X2175" s="652"/>
      <c r="Y2175" s="652"/>
      <c r="Z2175" s="652"/>
      <c r="AA2175" s="652"/>
      <c r="AB2175" s="652"/>
      <c r="AC2175" s="652"/>
      <c r="AD2175" s="652"/>
      <c r="AE2175" s="652"/>
      <c r="AF2175" s="652"/>
      <c r="AG2175" s="652"/>
      <c r="AH2175" s="652"/>
      <c r="AI2175" s="652"/>
      <c r="AJ2175" s="652"/>
      <c r="AK2175" s="652"/>
      <c r="AL2175" s="652"/>
      <c r="AM2175" s="652"/>
      <c r="AN2175" s="652"/>
      <c r="AO2175" s="652"/>
      <c r="AP2175" s="652"/>
      <c r="AQ2175" s="652"/>
      <c r="AR2175" s="652"/>
      <c r="AS2175" s="652"/>
      <c r="AT2175" s="652"/>
      <c r="AU2175" s="652"/>
      <c r="AV2175" s="652"/>
      <c r="AW2175" s="652"/>
      <c r="AX2175" s="652"/>
      <c r="AY2175" s="652"/>
      <c r="AZ2175" s="652"/>
      <c r="BA2175" s="652"/>
      <c r="BB2175" s="652"/>
      <c r="BC2175" s="652"/>
      <c r="BD2175" s="652"/>
      <c r="BE2175" s="652"/>
      <c r="BF2175" s="652"/>
      <c r="BG2175" s="652"/>
      <c r="BH2175" s="652"/>
      <c r="BI2175" s="652"/>
      <c r="BJ2175" s="652"/>
      <c r="BK2175" s="652"/>
      <c r="BL2175" s="652"/>
    </row>
    <row r="2176" spans="1:64" s="653" customFormat="1" ht="13">
      <c r="A2176" s="454"/>
      <c r="B2176" s="454"/>
      <c r="C2176" s="427" t="s">
        <v>1098</v>
      </c>
      <c r="D2176" s="426"/>
      <c r="E2176" s="426"/>
      <c r="F2176" s="426"/>
      <c r="G2176" s="492"/>
      <c r="H2176" s="426"/>
      <c r="I2176" s="434">
        <f>SUM(I2163:I2175)</f>
        <v>6636.3781600000002</v>
      </c>
      <c r="J2176" s="533"/>
      <c r="K2176" s="534"/>
      <c r="L2176" s="534"/>
      <c r="M2176" s="652"/>
      <c r="N2176" s="652"/>
      <c r="O2176" s="652"/>
      <c r="P2176" s="652"/>
      <c r="Q2176" s="652"/>
      <c r="R2176" s="652"/>
      <c r="S2176" s="652"/>
      <c r="T2176" s="652"/>
      <c r="U2176" s="652"/>
      <c r="V2176" s="652"/>
      <c r="W2176" s="652"/>
      <c r="X2176" s="652"/>
      <c r="Y2176" s="652"/>
      <c r="Z2176" s="652"/>
      <c r="AA2176" s="652"/>
      <c r="AB2176" s="652"/>
      <c r="AC2176" s="652"/>
      <c r="AD2176" s="652"/>
      <c r="AE2176" s="652"/>
      <c r="AF2176" s="652"/>
      <c r="AG2176" s="652"/>
      <c r="AH2176" s="652"/>
      <c r="AI2176" s="652"/>
      <c r="AJ2176" s="652"/>
      <c r="AK2176" s="652"/>
      <c r="AL2176" s="652"/>
      <c r="AM2176" s="652"/>
      <c r="AN2176" s="652"/>
      <c r="AO2176" s="652"/>
      <c r="AP2176" s="652"/>
      <c r="AQ2176" s="652"/>
      <c r="AR2176" s="652"/>
      <c r="AS2176" s="652"/>
      <c r="AT2176" s="652"/>
      <c r="AU2176" s="652"/>
      <c r="AV2176" s="652"/>
      <c r="AW2176" s="652"/>
      <c r="AX2176" s="652"/>
      <c r="AY2176" s="652"/>
      <c r="AZ2176" s="652"/>
      <c r="BA2176" s="652"/>
      <c r="BB2176" s="652"/>
      <c r="BC2176" s="652"/>
      <c r="BD2176" s="652"/>
      <c r="BE2176" s="652"/>
      <c r="BF2176" s="652"/>
      <c r="BG2176" s="652"/>
      <c r="BH2176" s="652"/>
      <c r="BI2176" s="652"/>
      <c r="BJ2176" s="652"/>
      <c r="BK2176" s="652"/>
      <c r="BL2176" s="652"/>
    </row>
    <row r="2177" spans="1:64" s="653" customFormat="1" ht="13">
      <c r="A2177" s="454"/>
      <c r="B2177" s="454"/>
      <c r="C2177" s="427"/>
      <c r="D2177" s="416"/>
      <c r="E2177" s="416"/>
      <c r="F2177" s="416"/>
      <c r="G2177" s="416"/>
      <c r="H2177" s="416"/>
      <c r="I2177" s="414"/>
      <c r="J2177" s="533"/>
      <c r="K2177" s="534"/>
      <c r="L2177" s="534"/>
      <c r="M2177" s="652"/>
      <c r="N2177" s="652"/>
      <c r="O2177" s="652"/>
      <c r="P2177" s="652"/>
      <c r="Q2177" s="652"/>
      <c r="R2177" s="652"/>
      <c r="S2177" s="652"/>
      <c r="T2177" s="652"/>
      <c r="U2177" s="652"/>
      <c r="V2177" s="652"/>
      <c r="W2177" s="652"/>
      <c r="X2177" s="652"/>
      <c r="Y2177" s="652"/>
      <c r="Z2177" s="652"/>
      <c r="AA2177" s="652"/>
      <c r="AB2177" s="652"/>
      <c r="AC2177" s="652"/>
      <c r="AD2177" s="652"/>
      <c r="AE2177" s="652"/>
      <c r="AF2177" s="652"/>
      <c r="AG2177" s="652"/>
      <c r="AH2177" s="652"/>
      <c r="AI2177" s="652"/>
      <c r="AJ2177" s="652"/>
      <c r="AK2177" s="652"/>
      <c r="AL2177" s="652"/>
      <c r="AM2177" s="652"/>
      <c r="AN2177" s="652"/>
      <c r="AO2177" s="652"/>
      <c r="AP2177" s="652"/>
      <c r="AQ2177" s="652"/>
      <c r="AR2177" s="652"/>
      <c r="AS2177" s="652"/>
      <c r="AT2177" s="652"/>
      <c r="AU2177" s="652"/>
      <c r="AV2177" s="652"/>
      <c r="AW2177" s="652"/>
      <c r="AX2177" s="652"/>
      <c r="AY2177" s="652"/>
      <c r="AZ2177" s="652"/>
      <c r="BA2177" s="652"/>
      <c r="BB2177" s="652"/>
      <c r="BC2177" s="652"/>
      <c r="BD2177" s="652"/>
      <c r="BE2177" s="652"/>
      <c r="BF2177" s="652"/>
      <c r="BG2177" s="652"/>
      <c r="BH2177" s="652"/>
      <c r="BI2177" s="652"/>
      <c r="BJ2177" s="652"/>
      <c r="BK2177" s="652"/>
      <c r="BL2177" s="652"/>
    </row>
    <row r="2178" spans="1:64" s="653" customFormat="1" ht="13">
      <c r="A2178" s="454"/>
      <c r="B2178" s="415" t="s">
        <v>720</v>
      </c>
      <c r="C2178" s="526" t="s">
        <v>1099</v>
      </c>
      <c r="D2178" s="409"/>
      <c r="E2178" s="426"/>
      <c r="F2178" s="409"/>
      <c r="G2178" s="410"/>
      <c r="H2178" s="426"/>
      <c r="I2178" s="409"/>
      <c r="J2178" s="533"/>
      <c r="K2178" s="534"/>
      <c r="L2178" s="534"/>
      <c r="M2178" s="652"/>
      <c r="N2178" s="652"/>
      <c r="O2178" s="652"/>
      <c r="P2178" s="652"/>
      <c r="Q2178" s="652"/>
      <c r="R2178" s="652"/>
      <c r="S2178" s="652"/>
      <c r="T2178" s="652"/>
      <c r="U2178" s="652"/>
      <c r="V2178" s="652"/>
      <c r="W2178" s="652"/>
      <c r="X2178" s="652"/>
      <c r="Y2178" s="652"/>
      <c r="Z2178" s="652"/>
      <c r="AA2178" s="652"/>
      <c r="AB2178" s="652"/>
      <c r="AC2178" s="652"/>
      <c r="AD2178" s="652"/>
      <c r="AE2178" s="652"/>
      <c r="AF2178" s="652"/>
      <c r="AG2178" s="652"/>
      <c r="AH2178" s="652"/>
      <c r="AI2178" s="652"/>
      <c r="AJ2178" s="652"/>
      <c r="AK2178" s="652"/>
      <c r="AL2178" s="652"/>
      <c r="AM2178" s="652"/>
      <c r="AN2178" s="652"/>
      <c r="AO2178" s="652"/>
      <c r="AP2178" s="652"/>
      <c r="AQ2178" s="652"/>
      <c r="AR2178" s="652"/>
      <c r="AS2178" s="652"/>
      <c r="AT2178" s="652"/>
      <c r="AU2178" s="652"/>
      <c r="AV2178" s="652"/>
      <c r="AW2178" s="652"/>
      <c r="AX2178" s="652"/>
      <c r="AY2178" s="652"/>
      <c r="AZ2178" s="652"/>
      <c r="BA2178" s="652"/>
      <c r="BB2178" s="652"/>
      <c r="BC2178" s="652"/>
      <c r="BD2178" s="652"/>
      <c r="BE2178" s="652"/>
      <c r="BF2178" s="652"/>
      <c r="BG2178" s="652"/>
      <c r="BH2178" s="652"/>
      <c r="BI2178" s="652"/>
      <c r="BJ2178" s="652"/>
      <c r="BK2178" s="652"/>
      <c r="BL2178" s="652"/>
    </row>
    <row r="2179" spans="1:64" s="653" customFormat="1" ht="13">
      <c r="A2179" s="454"/>
      <c r="B2179" s="454"/>
      <c r="C2179" s="417" t="s">
        <v>1092</v>
      </c>
      <c r="D2179" s="409">
        <v>0.05</v>
      </c>
      <c r="E2179" s="647" t="s">
        <v>666</v>
      </c>
      <c r="F2179" s="409">
        <f>$I$2176</f>
        <v>6636.3781600000002</v>
      </c>
      <c r="G2179" s="410">
        <v>1</v>
      </c>
      <c r="H2179" s="647" t="s">
        <v>666</v>
      </c>
      <c r="I2179" s="414">
        <f>IF(G2179="",D2179*F2179,(D2179*F2179/G2179))</f>
        <v>331.81890800000002</v>
      </c>
      <c r="J2179" s="533"/>
      <c r="K2179" s="534"/>
      <c r="L2179" s="534"/>
      <c r="M2179" s="652"/>
      <c r="N2179" s="652"/>
      <c r="O2179" s="652"/>
      <c r="P2179" s="652"/>
      <c r="Q2179" s="652"/>
      <c r="R2179" s="652"/>
      <c r="S2179" s="652"/>
      <c r="T2179" s="652"/>
      <c r="U2179" s="652"/>
      <c r="V2179" s="652"/>
      <c r="W2179" s="652"/>
      <c r="X2179" s="652"/>
      <c r="Y2179" s="652"/>
      <c r="Z2179" s="652"/>
      <c r="AA2179" s="652"/>
      <c r="AB2179" s="652"/>
      <c r="AC2179" s="652"/>
      <c r="AD2179" s="652"/>
      <c r="AE2179" s="652"/>
      <c r="AF2179" s="652"/>
      <c r="AG2179" s="652"/>
      <c r="AH2179" s="652"/>
      <c r="AI2179" s="652"/>
      <c r="AJ2179" s="652"/>
      <c r="AK2179" s="652"/>
      <c r="AL2179" s="652"/>
      <c r="AM2179" s="652"/>
      <c r="AN2179" s="652"/>
      <c r="AO2179" s="652"/>
      <c r="AP2179" s="652"/>
      <c r="AQ2179" s="652"/>
      <c r="AR2179" s="652"/>
      <c r="AS2179" s="652"/>
      <c r="AT2179" s="652"/>
      <c r="AU2179" s="652"/>
      <c r="AV2179" s="652"/>
      <c r="AW2179" s="652"/>
      <c r="AX2179" s="652"/>
      <c r="AY2179" s="652"/>
      <c r="AZ2179" s="652"/>
      <c r="BA2179" s="652"/>
      <c r="BB2179" s="652"/>
      <c r="BC2179" s="652"/>
      <c r="BD2179" s="652"/>
      <c r="BE2179" s="652"/>
      <c r="BF2179" s="652"/>
      <c r="BG2179" s="652"/>
      <c r="BH2179" s="652"/>
      <c r="BI2179" s="652"/>
      <c r="BJ2179" s="652"/>
      <c r="BK2179" s="652"/>
      <c r="BL2179" s="652"/>
    </row>
    <row r="2180" spans="1:64" s="653" customFormat="1" ht="13">
      <c r="A2180" s="454"/>
      <c r="B2180" s="454"/>
      <c r="C2180" s="427"/>
      <c r="D2180" s="416"/>
      <c r="E2180" s="416"/>
      <c r="F2180" s="416"/>
      <c r="G2180" s="416"/>
      <c r="H2180" s="416"/>
      <c r="I2180" s="414"/>
      <c r="J2180" s="533"/>
      <c r="K2180" s="534"/>
      <c r="L2180" s="534"/>
      <c r="M2180" s="652"/>
      <c r="N2180" s="652"/>
      <c r="O2180" s="652"/>
      <c r="P2180" s="652"/>
      <c r="Q2180" s="652"/>
      <c r="R2180" s="652"/>
      <c r="S2180" s="652"/>
      <c r="T2180" s="652"/>
      <c r="U2180" s="652"/>
      <c r="V2180" s="652"/>
      <c r="W2180" s="652"/>
      <c r="X2180" s="652"/>
      <c r="Y2180" s="652"/>
      <c r="Z2180" s="652"/>
      <c r="AA2180" s="652"/>
      <c r="AB2180" s="652"/>
      <c r="AC2180" s="652"/>
      <c r="AD2180" s="652"/>
      <c r="AE2180" s="652"/>
      <c r="AF2180" s="652"/>
      <c r="AG2180" s="652"/>
      <c r="AH2180" s="652"/>
      <c r="AI2180" s="652"/>
      <c r="AJ2180" s="652"/>
      <c r="AK2180" s="652"/>
      <c r="AL2180" s="652"/>
      <c r="AM2180" s="652"/>
      <c r="AN2180" s="652"/>
      <c r="AO2180" s="652"/>
      <c r="AP2180" s="652"/>
      <c r="AQ2180" s="652"/>
      <c r="AR2180" s="652"/>
      <c r="AS2180" s="652"/>
      <c r="AT2180" s="652"/>
      <c r="AU2180" s="652"/>
      <c r="AV2180" s="652"/>
      <c r="AW2180" s="652"/>
      <c r="AX2180" s="652"/>
      <c r="AY2180" s="652"/>
      <c r="AZ2180" s="652"/>
      <c r="BA2180" s="652"/>
      <c r="BB2180" s="652"/>
      <c r="BC2180" s="652"/>
      <c r="BD2180" s="652"/>
      <c r="BE2180" s="652"/>
      <c r="BF2180" s="652"/>
      <c r="BG2180" s="652"/>
      <c r="BH2180" s="652"/>
      <c r="BI2180" s="652"/>
      <c r="BJ2180" s="652"/>
      <c r="BK2180" s="652"/>
      <c r="BL2180" s="652"/>
    </row>
    <row r="2181" spans="1:64" s="653" customFormat="1" ht="13">
      <c r="A2181" s="454"/>
      <c r="B2181" s="454"/>
      <c r="C2181" s="427"/>
      <c r="D2181" s="416"/>
      <c r="E2181" s="416"/>
      <c r="F2181" s="416"/>
      <c r="G2181" s="416"/>
      <c r="H2181" s="416"/>
      <c r="I2181" s="414"/>
      <c r="J2181" s="533"/>
      <c r="K2181" s="534"/>
      <c r="L2181" s="534"/>
      <c r="M2181" s="652"/>
      <c r="N2181" s="652"/>
      <c r="O2181" s="652"/>
      <c r="P2181" s="652"/>
      <c r="Q2181" s="652"/>
      <c r="R2181" s="652"/>
      <c r="S2181" s="652"/>
      <c r="T2181" s="652"/>
      <c r="U2181" s="652"/>
      <c r="V2181" s="652"/>
      <c r="W2181" s="652"/>
      <c r="X2181" s="652"/>
      <c r="Y2181" s="652"/>
      <c r="Z2181" s="652"/>
      <c r="AA2181" s="652"/>
      <c r="AB2181" s="652"/>
      <c r="AC2181" s="652"/>
      <c r="AD2181" s="652"/>
      <c r="AE2181" s="652"/>
      <c r="AF2181" s="652"/>
      <c r="AG2181" s="652"/>
      <c r="AH2181" s="652"/>
      <c r="AI2181" s="652"/>
      <c r="AJ2181" s="652"/>
      <c r="AK2181" s="652"/>
      <c r="AL2181" s="652"/>
      <c r="AM2181" s="652"/>
      <c r="AN2181" s="652"/>
      <c r="AO2181" s="652"/>
      <c r="AP2181" s="652"/>
      <c r="AQ2181" s="652"/>
      <c r="AR2181" s="652"/>
      <c r="AS2181" s="652"/>
      <c r="AT2181" s="652"/>
      <c r="AU2181" s="652"/>
      <c r="AV2181" s="652"/>
      <c r="AW2181" s="652"/>
      <c r="AX2181" s="652"/>
      <c r="AY2181" s="652"/>
      <c r="AZ2181" s="652"/>
      <c r="BA2181" s="652"/>
      <c r="BB2181" s="652"/>
      <c r="BC2181" s="652"/>
      <c r="BD2181" s="652"/>
      <c r="BE2181" s="652"/>
      <c r="BF2181" s="652"/>
      <c r="BG2181" s="652"/>
      <c r="BH2181" s="652"/>
      <c r="BI2181" s="652"/>
      <c r="BJ2181" s="652"/>
      <c r="BK2181" s="652"/>
      <c r="BL2181" s="652"/>
    </row>
    <row r="2182" spans="1:64" s="653" customFormat="1" ht="13">
      <c r="A2182" s="454"/>
      <c r="B2182" s="454"/>
      <c r="C2182" s="427" t="s">
        <v>953</v>
      </c>
      <c r="D2182" s="414" t="s">
        <v>959</v>
      </c>
      <c r="E2182" s="416" t="s">
        <v>943</v>
      </c>
      <c r="F2182" s="415" t="s">
        <v>944</v>
      </c>
      <c r="G2182" s="415" t="s">
        <v>945</v>
      </c>
      <c r="H2182" s="415" t="s">
        <v>946</v>
      </c>
      <c r="I2182" s="415" t="s">
        <v>947</v>
      </c>
      <c r="J2182" s="533"/>
      <c r="K2182" s="534"/>
      <c r="L2182" s="534"/>
      <c r="M2182" s="652"/>
      <c r="N2182" s="652"/>
      <c r="O2182" s="652"/>
      <c r="P2182" s="652"/>
      <c r="Q2182" s="652"/>
      <c r="R2182" s="652"/>
      <c r="S2182" s="652"/>
      <c r="T2182" s="652"/>
      <c r="U2182" s="652"/>
      <c r="V2182" s="652"/>
      <c r="W2182" s="652"/>
      <c r="X2182" s="652"/>
      <c r="Y2182" s="652"/>
      <c r="Z2182" s="652"/>
      <c r="AA2182" s="652"/>
      <c r="AB2182" s="652"/>
      <c r="AC2182" s="652"/>
      <c r="AD2182" s="652"/>
      <c r="AE2182" s="652"/>
      <c r="AF2182" s="652"/>
      <c r="AG2182" s="652"/>
      <c r="AH2182" s="652"/>
      <c r="AI2182" s="652"/>
      <c r="AJ2182" s="652"/>
      <c r="AK2182" s="652"/>
      <c r="AL2182" s="652"/>
      <c r="AM2182" s="652"/>
      <c r="AN2182" s="652"/>
      <c r="AO2182" s="652"/>
      <c r="AP2182" s="652"/>
      <c r="AQ2182" s="652"/>
      <c r="AR2182" s="652"/>
      <c r="AS2182" s="652"/>
      <c r="AT2182" s="652"/>
      <c r="AU2182" s="652"/>
      <c r="AV2182" s="652"/>
      <c r="AW2182" s="652"/>
      <c r="AX2182" s="652"/>
      <c r="AY2182" s="652"/>
      <c r="AZ2182" s="652"/>
      <c r="BA2182" s="652"/>
      <c r="BB2182" s="652"/>
      <c r="BC2182" s="652"/>
      <c r="BD2182" s="652"/>
      <c r="BE2182" s="652"/>
      <c r="BF2182" s="652"/>
      <c r="BG2182" s="652"/>
      <c r="BH2182" s="652"/>
      <c r="BI2182" s="652"/>
      <c r="BJ2182" s="652"/>
      <c r="BK2182" s="652"/>
      <c r="BL2182" s="652"/>
    </row>
    <row r="2183" spans="1:64" s="653" customFormat="1" ht="13">
      <c r="A2183" s="458"/>
      <c r="B2183" s="458"/>
      <c r="C2183" s="417" t="s">
        <v>1064</v>
      </c>
      <c r="D2183" s="459">
        <f t="shared" ref="D2183:I2183" si="509">$I$2179</f>
        <v>331.81890800000002</v>
      </c>
      <c r="E2183" s="459">
        <f t="shared" si="509"/>
        <v>331.81890800000002</v>
      </c>
      <c r="F2183" s="459">
        <f t="shared" si="509"/>
        <v>331.81890800000002</v>
      </c>
      <c r="G2183" s="459">
        <f t="shared" si="509"/>
        <v>331.81890800000002</v>
      </c>
      <c r="H2183" s="459">
        <f t="shared" si="509"/>
        <v>331.81890800000002</v>
      </c>
      <c r="I2183" s="459">
        <f t="shared" si="509"/>
        <v>331.81890800000002</v>
      </c>
      <c r="J2183" s="533"/>
      <c r="K2183" s="534"/>
      <c r="L2183" s="534"/>
      <c r="M2183" s="652"/>
      <c r="N2183" s="652"/>
      <c r="O2183" s="652"/>
      <c r="P2183" s="652"/>
      <c r="Q2183" s="652"/>
      <c r="R2183" s="652"/>
      <c r="S2183" s="652"/>
      <c r="T2183" s="652"/>
      <c r="U2183" s="652"/>
      <c r="V2183" s="652"/>
      <c r="W2183" s="652"/>
      <c r="X2183" s="652"/>
      <c r="Y2183" s="652"/>
      <c r="Z2183" s="652"/>
      <c r="AA2183" s="652"/>
      <c r="AB2183" s="652"/>
      <c r="AC2183" s="652"/>
      <c r="AD2183" s="652"/>
      <c r="AE2183" s="652"/>
      <c r="AF2183" s="652"/>
      <c r="AG2183" s="652"/>
      <c r="AH2183" s="652"/>
      <c r="AI2183" s="652"/>
      <c r="AJ2183" s="652"/>
      <c r="AK2183" s="652"/>
      <c r="AL2183" s="652"/>
      <c r="AM2183" s="652"/>
      <c r="AN2183" s="652"/>
      <c r="AO2183" s="652"/>
      <c r="AP2183" s="652"/>
      <c r="AQ2183" s="652"/>
      <c r="AR2183" s="652"/>
      <c r="AS2183" s="652"/>
      <c r="AT2183" s="652"/>
      <c r="AU2183" s="652"/>
      <c r="AV2183" s="652"/>
      <c r="AW2183" s="652"/>
      <c r="AX2183" s="652"/>
      <c r="AY2183" s="652"/>
      <c r="AZ2183" s="652"/>
      <c r="BA2183" s="652"/>
      <c r="BB2183" s="652"/>
      <c r="BC2183" s="652"/>
      <c r="BD2183" s="652"/>
      <c r="BE2183" s="652"/>
      <c r="BF2183" s="652"/>
      <c r="BG2183" s="652"/>
      <c r="BH2183" s="652"/>
      <c r="BI2183" s="652"/>
      <c r="BJ2183" s="652"/>
      <c r="BK2183" s="652"/>
      <c r="BL2183" s="652"/>
    </row>
    <row r="2184" spans="1:64" s="653" customFormat="1" ht="25">
      <c r="A2184" s="458"/>
      <c r="B2184" s="458"/>
      <c r="C2184" s="417" t="s">
        <v>1100</v>
      </c>
      <c r="D2184" s="459">
        <f>'[161]Civil-SOR'!$F$280*50%</f>
        <v>88.5</v>
      </c>
      <c r="E2184" s="459">
        <f>'[161]Civil-SOR'!$F$280*50%</f>
        <v>88.5</v>
      </c>
      <c r="F2184" s="459">
        <f>'[161]Civil-SOR'!$F$280*50%</f>
        <v>88.5</v>
      </c>
      <c r="G2184" s="459">
        <f>'[161]Civil-SOR'!$F$280*50%</f>
        <v>88.5</v>
      </c>
      <c r="H2184" s="459">
        <f>'[161]Civil-SOR'!$F$280*50%</f>
        <v>88.5</v>
      </c>
      <c r="I2184" s="459">
        <f>'[161]Civil-SOR'!$F$280*50%</f>
        <v>88.5</v>
      </c>
      <c r="J2184" s="533"/>
      <c r="K2184" s="534"/>
      <c r="L2184" s="534"/>
      <c r="M2184" s="652"/>
      <c r="N2184" s="652"/>
      <c r="O2184" s="652"/>
      <c r="P2184" s="652"/>
      <c r="Q2184" s="652"/>
      <c r="R2184" s="652"/>
      <c r="S2184" s="652"/>
      <c r="T2184" s="652"/>
      <c r="U2184" s="652"/>
      <c r="V2184" s="652"/>
      <c r="W2184" s="652"/>
      <c r="X2184" s="652"/>
      <c r="Y2184" s="652"/>
      <c r="Z2184" s="652"/>
      <c r="AA2184" s="652"/>
      <c r="AB2184" s="652"/>
      <c r="AC2184" s="652"/>
      <c r="AD2184" s="652"/>
      <c r="AE2184" s="652"/>
      <c r="AF2184" s="652"/>
      <c r="AG2184" s="652"/>
      <c r="AH2184" s="652"/>
      <c r="AI2184" s="652"/>
      <c r="AJ2184" s="652"/>
      <c r="AK2184" s="652"/>
      <c r="AL2184" s="652"/>
      <c r="AM2184" s="652"/>
      <c r="AN2184" s="652"/>
      <c r="AO2184" s="652"/>
      <c r="AP2184" s="652"/>
      <c r="AQ2184" s="652"/>
      <c r="AR2184" s="652"/>
      <c r="AS2184" s="652"/>
      <c r="AT2184" s="652"/>
      <c r="AU2184" s="652"/>
      <c r="AV2184" s="652"/>
      <c r="AW2184" s="652"/>
      <c r="AX2184" s="652"/>
      <c r="AY2184" s="652"/>
      <c r="AZ2184" s="652"/>
      <c r="BA2184" s="652"/>
      <c r="BB2184" s="652"/>
      <c r="BC2184" s="652"/>
      <c r="BD2184" s="652"/>
      <c r="BE2184" s="652"/>
      <c r="BF2184" s="652"/>
      <c r="BG2184" s="652"/>
      <c r="BH2184" s="652"/>
      <c r="BI2184" s="652"/>
      <c r="BJ2184" s="652"/>
      <c r="BK2184" s="652"/>
      <c r="BL2184" s="652"/>
    </row>
    <row r="2185" spans="1:64" s="653" customFormat="1" ht="13">
      <c r="A2185" s="458"/>
      <c r="B2185" s="458"/>
      <c r="C2185" s="417" t="s">
        <v>1010</v>
      </c>
      <c r="D2185" s="459">
        <f>'[161]Civil-SOR'!$G$280*50%</f>
        <v>99.5</v>
      </c>
      <c r="E2185" s="459">
        <f>'[161]Civil-SOR'!$H$280*50%</f>
        <v>109.5</v>
      </c>
      <c r="F2185" s="459">
        <f>'[161]Civil-SOR'!$I$280*50%</f>
        <v>119.5</v>
      </c>
      <c r="G2185" s="459">
        <f>'[161]Civil-SOR'!$J$280*50%</f>
        <v>129.5</v>
      </c>
      <c r="H2185" s="459">
        <f>'[161]Civil-SOR'!$K$280*50%</f>
        <v>139.5</v>
      </c>
      <c r="I2185" s="459">
        <f>'[161]Civil-SOR'!$L$280*50%</f>
        <v>149.5</v>
      </c>
      <c r="J2185" s="533"/>
      <c r="K2185" s="534"/>
      <c r="L2185" s="534"/>
      <c r="M2185" s="652"/>
      <c r="N2185" s="652"/>
      <c r="O2185" s="652"/>
      <c r="P2185" s="652"/>
      <c r="Q2185" s="652"/>
      <c r="R2185" s="652"/>
      <c r="S2185" s="652"/>
      <c r="T2185" s="652"/>
      <c r="U2185" s="652"/>
      <c r="V2185" s="652"/>
      <c r="W2185" s="652"/>
      <c r="X2185" s="652"/>
      <c r="Y2185" s="652"/>
      <c r="Z2185" s="652"/>
      <c r="AA2185" s="652"/>
      <c r="AB2185" s="652"/>
      <c r="AC2185" s="652"/>
      <c r="AD2185" s="652"/>
      <c r="AE2185" s="652"/>
      <c r="AF2185" s="652"/>
      <c r="AG2185" s="652"/>
      <c r="AH2185" s="652"/>
      <c r="AI2185" s="652"/>
      <c r="AJ2185" s="652"/>
      <c r="AK2185" s="652"/>
      <c r="AL2185" s="652"/>
      <c r="AM2185" s="652"/>
      <c r="AN2185" s="652"/>
      <c r="AO2185" s="652"/>
      <c r="AP2185" s="652"/>
      <c r="AQ2185" s="652"/>
      <c r="AR2185" s="652"/>
      <c r="AS2185" s="652"/>
      <c r="AT2185" s="652"/>
      <c r="AU2185" s="652"/>
      <c r="AV2185" s="652"/>
      <c r="AW2185" s="652"/>
      <c r="AX2185" s="652"/>
      <c r="AY2185" s="652"/>
      <c r="AZ2185" s="652"/>
      <c r="BA2185" s="652"/>
      <c r="BB2185" s="652"/>
      <c r="BC2185" s="652"/>
      <c r="BD2185" s="652"/>
      <c r="BE2185" s="652"/>
      <c r="BF2185" s="652"/>
      <c r="BG2185" s="652"/>
      <c r="BH2185" s="652"/>
      <c r="BI2185" s="652"/>
      <c r="BJ2185" s="652"/>
      <c r="BK2185" s="652"/>
      <c r="BL2185" s="652"/>
    </row>
    <row r="2186" spans="1:64" s="653" customFormat="1" ht="13">
      <c r="A2186" s="458"/>
      <c r="B2186" s="458"/>
      <c r="C2186" s="417" t="str">
        <f>[161]Input!$C$47</f>
        <v>Add for MA @ 40%</v>
      </c>
      <c r="D2186" s="459">
        <f>D2185*[161]Input!$D$47</f>
        <v>39.800000000000004</v>
      </c>
      <c r="E2186" s="459">
        <f>E2185*[161]Input!$D$47</f>
        <v>43.800000000000004</v>
      </c>
      <c r="F2186" s="459">
        <f>F2185*[161]Input!$D$47</f>
        <v>47.800000000000004</v>
      </c>
      <c r="G2186" s="459">
        <f>G2185*[161]Input!$D$47</f>
        <v>51.800000000000004</v>
      </c>
      <c r="H2186" s="459">
        <f>H2185*[161]Input!$D$47</f>
        <v>55.800000000000004</v>
      </c>
      <c r="I2186" s="459">
        <f>I2185*[161]Input!$D$47</f>
        <v>59.800000000000004</v>
      </c>
      <c r="J2186" s="533"/>
      <c r="K2186" s="534"/>
      <c r="L2186" s="534"/>
      <c r="M2186" s="652"/>
      <c r="N2186" s="652"/>
      <c r="O2186" s="652"/>
      <c r="P2186" s="652"/>
      <c r="Q2186" s="652"/>
      <c r="R2186" s="652"/>
      <c r="S2186" s="652"/>
      <c r="T2186" s="652"/>
      <c r="U2186" s="652"/>
      <c r="V2186" s="652"/>
      <c r="W2186" s="652"/>
      <c r="X2186" s="652"/>
      <c r="Y2186" s="652"/>
      <c r="Z2186" s="652"/>
      <c r="AA2186" s="652"/>
      <c r="AB2186" s="652"/>
      <c r="AC2186" s="652"/>
      <c r="AD2186" s="652"/>
      <c r="AE2186" s="652"/>
      <c r="AF2186" s="652"/>
      <c r="AG2186" s="652"/>
      <c r="AH2186" s="652"/>
      <c r="AI2186" s="652"/>
      <c r="AJ2186" s="652"/>
      <c r="AK2186" s="652"/>
      <c r="AL2186" s="652"/>
      <c r="AM2186" s="652"/>
      <c r="AN2186" s="652"/>
      <c r="AO2186" s="652"/>
      <c r="AP2186" s="652"/>
      <c r="AQ2186" s="652"/>
      <c r="AR2186" s="652"/>
      <c r="AS2186" s="652"/>
      <c r="AT2186" s="652"/>
      <c r="AU2186" s="652"/>
      <c r="AV2186" s="652"/>
      <c r="AW2186" s="652"/>
      <c r="AX2186" s="652"/>
      <c r="AY2186" s="652"/>
      <c r="AZ2186" s="652"/>
      <c r="BA2186" s="652"/>
      <c r="BB2186" s="652"/>
      <c r="BC2186" s="652"/>
      <c r="BD2186" s="652"/>
      <c r="BE2186" s="652"/>
      <c r="BF2186" s="652"/>
      <c r="BG2186" s="652"/>
      <c r="BH2186" s="652"/>
      <c r="BI2186" s="652"/>
      <c r="BJ2186" s="652"/>
      <c r="BK2186" s="652"/>
      <c r="BL2186" s="652"/>
    </row>
    <row r="2187" spans="1:64" s="653" customFormat="1" ht="13">
      <c r="A2187" s="458"/>
      <c r="B2187" s="458"/>
      <c r="C2187" s="417" t="s">
        <v>994</v>
      </c>
      <c r="D2187" s="459">
        <v>0</v>
      </c>
      <c r="E2187" s="459">
        <f>$F$2170*10%*$D$2179</f>
        <v>8.5602500000000017</v>
      </c>
      <c r="F2187" s="459">
        <f>$F$2170*20%*$D$2179</f>
        <v>17.120500000000003</v>
      </c>
      <c r="G2187" s="459">
        <f>$F$2170*30%*$D$2179</f>
        <v>25.680750000000003</v>
      </c>
      <c r="H2187" s="459">
        <f>$F$2170*40%*$D$2179</f>
        <v>34.241000000000007</v>
      </c>
      <c r="I2187" s="459">
        <f>$F$2170*50%*$D$2179</f>
        <v>42.801250000000003</v>
      </c>
      <c r="J2187" s="533"/>
      <c r="K2187" s="534"/>
      <c r="L2187" s="534"/>
      <c r="M2187" s="652"/>
      <c r="N2187" s="652"/>
      <c r="O2187" s="652"/>
      <c r="P2187" s="652"/>
      <c r="Q2187" s="652"/>
      <c r="R2187" s="652"/>
      <c r="S2187" s="652"/>
      <c r="T2187" s="652"/>
      <c r="U2187" s="652"/>
      <c r="V2187" s="652"/>
      <c r="W2187" s="652"/>
      <c r="X2187" s="652"/>
      <c r="Y2187" s="652"/>
      <c r="Z2187" s="652"/>
      <c r="AA2187" s="652"/>
      <c r="AB2187" s="652"/>
      <c r="AC2187" s="652"/>
      <c r="AD2187" s="652"/>
      <c r="AE2187" s="652"/>
      <c r="AF2187" s="652"/>
      <c r="AG2187" s="652"/>
      <c r="AH2187" s="652"/>
      <c r="AI2187" s="652"/>
      <c r="AJ2187" s="652"/>
      <c r="AK2187" s="652"/>
      <c r="AL2187" s="652"/>
      <c r="AM2187" s="652"/>
      <c r="AN2187" s="652"/>
      <c r="AO2187" s="652"/>
      <c r="AP2187" s="652"/>
      <c r="AQ2187" s="652"/>
      <c r="AR2187" s="652"/>
      <c r="AS2187" s="652"/>
      <c r="AT2187" s="652"/>
      <c r="AU2187" s="652"/>
      <c r="AV2187" s="652"/>
      <c r="AW2187" s="652"/>
      <c r="AX2187" s="652"/>
      <c r="AY2187" s="652"/>
      <c r="AZ2187" s="652"/>
      <c r="BA2187" s="652"/>
      <c r="BB2187" s="652"/>
      <c r="BC2187" s="652"/>
      <c r="BD2187" s="652"/>
      <c r="BE2187" s="652"/>
      <c r="BF2187" s="652"/>
      <c r="BG2187" s="652"/>
      <c r="BH2187" s="652"/>
      <c r="BI2187" s="652"/>
      <c r="BJ2187" s="652"/>
      <c r="BK2187" s="652"/>
      <c r="BL2187" s="652"/>
    </row>
    <row r="2188" spans="1:64" s="653" customFormat="1" ht="13">
      <c r="A2188" s="458"/>
      <c r="B2188" s="458"/>
      <c r="C2188" s="417" t="str">
        <f>[161]Input!$C$47</f>
        <v>Add for MA @ 40%</v>
      </c>
      <c r="D2188" s="459">
        <f>D2187*[161]Input!$D$47</f>
        <v>0</v>
      </c>
      <c r="E2188" s="459">
        <f>E2187*[161]Input!$D$47</f>
        <v>3.424100000000001</v>
      </c>
      <c r="F2188" s="459">
        <f>F2187*[161]Input!$D$47</f>
        <v>6.8482000000000021</v>
      </c>
      <c r="G2188" s="459">
        <f>G2187*[161]Input!$D$47</f>
        <v>10.272300000000001</v>
      </c>
      <c r="H2188" s="459">
        <f>H2187*[161]Input!$D$47</f>
        <v>13.696400000000004</v>
      </c>
      <c r="I2188" s="459">
        <f>I2187*[161]Input!$D$47</f>
        <v>17.120500000000003</v>
      </c>
      <c r="J2188" s="533"/>
      <c r="K2188" s="534"/>
      <c r="L2188" s="534"/>
      <c r="M2188" s="652"/>
      <c r="N2188" s="652"/>
      <c r="O2188" s="652"/>
      <c r="P2188" s="652"/>
      <c r="Q2188" s="652"/>
      <c r="R2188" s="652"/>
      <c r="S2188" s="652"/>
      <c r="T2188" s="652"/>
      <c r="U2188" s="652"/>
      <c r="V2188" s="652"/>
      <c r="W2188" s="652"/>
      <c r="X2188" s="652"/>
      <c r="Y2188" s="652"/>
      <c r="Z2188" s="652"/>
      <c r="AA2188" s="652"/>
      <c r="AB2188" s="652"/>
      <c r="AC2188" s="652"/>
      <c r="AD2188" s="652"/>
      <c r="AE2188" s="652"/>
      <c r="AF2188" s="652"/>
      <c r="AG2188" s="652"/>
      <c r="AH2188" s="652"/>
      <c r="AI2188" s="652"/>
      <c r="AJ2188" s="652"/>
      <c r="AK2188" s="652"/>
      <c r="AL2188" s="652"/>
      <c r="AM2188" s="652"/>
      <c r="AN2188" s="652"/>
      <c r="AO2188" s="652"/>
      <c r="AP2188" s="652"/>
      <c r="AQ2188" s="652"/>
      <c r="AR2188" s="652"/>
      <c r="AS2188" s="652"/>
      <c r="AT2188" s="652"/>
      <c r="AU2188" s="652"/>
      <c r="AV2188" s="652"/>
      <c r="AW2188" s="652"/>
      <c r="AX2188" s="652"/>
      <c r="AY2188" s="652"/>
      <c r="AZ2188" s="652"/>
      <c r="BA2188" s="652"/>
      <c r="BB2188" s="652"/>
      <c r="BC2188" s="652"/>
      <c r="BD2188" s="652"/>
      <c r="BE2188" s="652"/>
      <c r="BF2188" s="652"/>
      <c r="BG2188" s="652"/>
      <c r="BH2188" s="652"/>
      <c r="BI2188" s="652"/>
      <c r="BJ2188" s="652"/>
      <c r="BK2188" s="652"/>
      <c r="BL2188" s="652"/>
    </row>
    <row r="2189" spans="1:64" s="653" customFormat="1" ht="13">
      <c r="A2189" s="458"/>
      <c r="B2189" s="458"/>
      <c r="C2189" s="417" t="s">
        <v>742</v>
      </c>
      <c r="D2189" s="461">
        <f t="shared" ref="D2189:I2189" si="510">SUM(D2183:D2188)</f>
        <v>559.61890799999992</v>
      </c>
      <c r="E2189" s="461">
        <f t="shared" si="510"/>
        <v>585.60325799999987</v>
      </c>
      <c r="F2189" s="461">
        <f t="shared" si="510"/>
        <v>611.58760799999993</v>
      </c>
      <c r="G2189" s="461">
        <f t="shared" si="510"/>
        <v>637.57195799999988</v>
      </c>
      <c r="H2189" s="461">
        <f t="shared" si="510"/>
        <v>663.55630799999994</v>
      </c>
      <c r="I2189" s="461">
        <f t="shared" si="510"/>
        <v>689.54065799999989</v>
      </c>
      <c r="J2189" s="533"/>
      <c r="K2189" s="534"/>
      <c r="L2189" s="534"/>
      <c r="M2189" s="652"/>
      <c r="N2189" s="652"/>
      <c r="O2189" s="652"/>
      <c r="P2189" s="652"/>
      <c r="Q2189" s="652"/>
      <c r="R2189" s="652"/>
      <c r="S2189" s="652"/>
      <c r="T2189" s="652"/>
      <c r="U2189" s="652"/>
      <c r="V2189" s="652"/>
      <c r="W2189" s="652"/>
      <c r="X2189" s="652"/>
      <c r="Y2189" s="652"/>
      <c r="Z2189" s="652"/>
      <c r="AA2189" s="652"/>
      <c r="AB2189" s="652"/>
      <c r="AC2189" s="652"/>
      <c r="AD2189" s="652"/>
      <c r="AE2189" s="652"/>
      <c r="AF2189" s="652"/>
      <c r="AG2189" s="652"/>
      <c r="AH2189" s="652"/>
      <c r="AI2189" s="652"/>
      <c r="AJ2189" s="652"/>
      <c r="AK2189" s="652"/>
      <c r="AL2189" s="652"/>
      <c r="AM2189" s="652"/>
      <c r="AN2189" s="652"/>
      <c r="AO2189" s="652"/>
      <c r="AP2189" s="652"/>
      <c r="AQ2189" s="652"/>
      <c r="AR2189" s="652"/>
      <c r="AS2189" s="652"/>
      <c r="AT2189" s="652"/>
      <c r="AU2189" s="652"/>
      <c r="AV2189" s="652"/>
      <c r="AW2189" s="652"/>
      <c r="AX2189" s="652"/>
      <c r="AY2189" s="652"/>
      <c r="AZ2189" s="652"/>
      <c r="BA2189" s="652"/>
      <c r="BB2189" s="652"/>
      <c r="BC2189" s="652"/>
      <c r="BD2189" s="652"/>
      <c r="BE2189" s="652"/>
      <c r="BF2189" s="652"/>
      <c r="BG2189" s="652"/>
      <c r="BH2189" s="652"/>
      <c r="BI2189" s="652"/>
      <c r="BJ2189" s="652"/>
      <c r="BK2189" s="652"/>
      <c r="BL2189" s="652"/>
    </row>
    <row r="2190" spans="1:64" s="653" customFormat="1" ht="25">
      <c r="A2190" s="458"/>
      <c r="B2190" s="458"/>
      <c r="C2190" s="620" t="str">
        <f>[161]Input!$C$48</f>
        <v>Overheads &amp; Contractors Profit @ 13.615%</v>
      </c>
      <c r="D2190" s="459">
        <f>D2189*[161]Input!$D$48</f>
        <v>76.192114324199991</v>
      </c>
      <c r="E2190" s="459">
        <f>E2189*[161]Input!$D$48</f>
        <v>79.729883576699976</v>
      </c>
      <c r="F2190" s="459">
        <f>F2189*[161]Input!$D$48</f>
        <v>83.267652829199989</v>
      </c>
      <c r="G2190" s="459">
        <f>G2189*[161]Input!$D$48</f>
        <v>86.805422081699973</v>
      </c>
      <c r="H2190" s="459">
        <f>H2189*[161]Input!$D$48</f>
        <v>90.343191334199986</v>
      </c>
      <c r="I2190" s="459">
        <f>I2189*[161]Input!$D$48</f>
        <v>93.880960586699985</v>
      </c>
      <c r="J2190" s="533"/>
      <c r="K2190" s="534"/>
      <c r="L2190" s="534"/>
      <c r="M2190" s="652"/>
      <c r="N2190" s="652"/>
      <c r="O2190" s="652"/>
      <c r="P2190" s="652"/>
      <c r="Q2190" s="652"/>
      <c r="R2190" s="652"/>
      <c r="S2190" s="652"/>
      <c r="T2190" s="652"/>
      <c r="U2190" s="652"/>
      <c r="V2190" s="652"/>
      <c r="W2190" s="652"/>
      <c r="X2190" s="652"/>
      <c r="Y2190" s="652"/>
      <c r="Z2190" s="652"/>
      <c r="AA2190" s="652"/>
      <c r="AB2190" s="652"/>
      <c r="AC2190" s="652"/>
      <c r="AD2190" s="652"/>
      <c r="AE2190" s="652"/>
      <c r="AF2190" s="652"/>
      <c r="AG2190" s="652"/>
      <c r="AH2190" s="652"/>
      <c r="AI2190" s="652"/>
      <c r="AJ2190" s="652"/>
      <c r="AK2190" s="652"/>
      <c r="AL2190" s="652"/>
      <c r="AM2190" s="652"/>
      <c r="AN2190" s="652"/>
      <c r="AO2190" s="652"/>
      <c r="AP2190" s="652"/>
      <c r="AQ2190" s="652"/>
      <c r="AR2190" s="652"/>
      <c r="AS2190" s="652"/>
      <c r="AT2190" s="652"/>
      <c r="AU2190" s="652"/>
      <c r="AV2190" s="652"/>
      <c r="AW2190" s="652"/>
      <c r="AX2190" s="652"/>
      <c r="AY2190" s="652"/>
      <c r="AZ2190" s="652"/>
      <c r="BA2190" s="652"/>
      <c r="BB2190" s="652"/>
      <c r="BC2190" s="652"/>
      <c r="BD2190" s="652"/>
      <c r="BE2190" s="652"/>
      <c r="BF2190" s="652"/>
      <c r="BG2190" s="652"/>
      <c r="BH2190" s="652"/>
      <c r="BI2190" s="652"/>
      <c r="BJ2190" s="652"/>
      <c r="BK2190" s="652"/>
      <c r="BL2190" s="652"/>
    </row>
    <row r="2191" spans="1:64" s="653" customFormat="1" ht="13">
      <c r="A2191" s="458"/>
      <c r="B2191" s="458"/>
      <c r="C2191" s="427" t="s">
        <v>742</v>
      </c>
      <c r="D2191" s="459">
        <f t="shared" ref="D2191:I2191" si="511">SUM(D2189:D2190)</f>
        <v>635.81102232419994</v>
      </c>
      <c r="E2191" s="459">
        <f t="shared" si="511"/>
        <v>665.33314157669986</v>
      </c>
      <c r="F2191" s="459">
        <f t="shared" si="511"/>
        <v>694.85526082919989</v>
      </c>
      <c r="G2191" s="459">
        <f t="shared" si="511"/>
        <v>724.37738008169981</v>
      </c>
      <c r="H2191" s="459">
        <f t="shared" si="511"/>
        <v>753.89949933419996</v>
      </c>
      <c r="I2191" s="459">
        <f t="shared" si="511"/>
        <v>783.42161858669988</v>
      </c>
      <c r="J2191" s="533"/>
      <c r="K2191" s="534"/>
      <c r="L2191" s="534"/>
      <c r="M2191" s="652"/>
      <c r="N2191" s="652"/>
      <c r="O2191" s="652"/>
      <c r="P2191" s="652"/>
      <c r="Q2191" s="652"/>
      <c r="R2191" s="652"/>
      <c r="S2191" s="652"/>
      <c r="T2191" s="652"/>
      <c r="U2191" s="652"/>
      <c r="V2191" s="652"/>
      <c r="W2191" s="652"/>
      <c r="X2191" s="652"/>
      <c r="Y2191" s="652"/>
      <c r="Z2191" s="652"/>
      <c r="AA2191" s="652"/>
      <c r="AB2191" s="652"/>
      <c r="AC2191" s="652"/>
      <c r="AD2191" s="652"/>
      <c r="AE2191" s="652"/>
      <c r="AF2191" s="652"/>
      <c r="AG2191" s="652"/>
      <c r="AH2191" s="652"/>
      <c r="AI2191" s="652"/>
      <c r="AJ2191" s="652"/>
      <c r="AK2191" s="652"/>
      <c r="AL2191" s="652"/>
      <c r="AM2191" s="652"/>
      <c r="AN2191" s="652"/>
      <c r="AO2191" s="652"/>
      <c r="AP2191" s="652"/>
      <c r="AQ2191" s="652"/>
      <c r="AR2191" s="652"/>
      <c r="AS2191" s="652"/>
      <c r="AT2191" s="652"/>
      <c r="AU2191" s="652"/>
      <c r="AV2191" s="652"/>
      <c r="AW2191" s="652"/>
      <c r="AX2191" s="652"/>
      <c r="AY2191" s="652"/>
      <c r="AZ2191" s="652"/>
      <c r="BA2191" s="652"/>
      <c r="BB2191" s="652"/>
      <c r="BC2191" s="652"/>
      <c r="BD2191" s="652"/>
      <c r="BE2191" s="652"/>
      <c r="BF2191" s="652"/>
      <c r="BG2191" s="652"/>
      <c r="BH2191" s="652"/>
      <c r="BI2191" s="652"/>
      <c r="BJ2191" s="652"/>
      <c r="BK2191" s="652"/>
      <c r="BL2191" s="652"/>
    </row>
    <row r="2192" spans="1:64" s="653" customFormat="1" ht="13">
      <c r="A2192" s="454"/>
      <c r="B2192" s="454"/>
      <c r="C2192" s="514" t="s">
        <v>726</v>
      </c>
      <c r="D2192" s="416">
        <f t="shared" ref="D2192:I2192" si="512">ROUND(D2191,0)</f>
        <v>636</v>
      </c>
      <c r="E2192" s="416">
        <f t="shared" si="512"/>
        <v>665</v>
      </c>
      <c r="F2192" s="416">
        <f t="shared" si="512"/>
        <v>695</v>
      </c>
      <c r="G2192" s="416">
        <f t="shared" si="512"/>
        <v>724</v>
      </c>
      <c r="H2192" s="416">
        <f t="shared" si="512"/>
        <v>754</v>
      </c>
      <c r="I2192" s="416">
        <f t="shared" si="512"/>
        <v>783</v>
      </c>
      <c r="J2192" s="533"/>
      <c r="K2192" s="534"/>
      <c r="L2192" s="534"/>
      <c r="M2192" s="652"/>
      <c r="N2192" s="652"/>
      <c r="O2192" s="652"/>
      <c r="P2192" s="652"/>
      <c r="Q2192" s="652"/>
      <c r="R2192" s="652"/>
      <c r="S2192" s="652"/>
      <c r="T2192" s="652"/>
      <c r="U2192" s="652"/>
      <c r="V2192" s="652"/>
      <c r="W2192" s="652"/>
      <c r="X2192" s="652"/>
      <c r="Y2192" s="652"/>
      <c r="Z2192" s="652"/>
      <c r="AA2192" s="652"/>
      <c r="AB2192" s="652"/>
      <c r="AC2192" s="652"/>
      <c r="AD2192" s="652"/>
      <c r="AE2192" s="652"/>
      <c r="AF2192" s="652"/>
      <c r="AG2192" s="652"/>
      <c r="AH2192" s="652"/>
      <c r="AI2192" s="652"/>
      <c r="AJ2192" s="652"/>
      <c r="AK2192" s="652"/>
      <c r="AL2192" s="652"/>
      <c r="AM2192" s="652"/>
      <c r="AN2192" s="652"/>
      <c r="AO2192" s="652"/>
      <c r="AP2192" s="652"/>
      <c r="AQ2192" s="652"/>
      <c r="AR2192" s="652"/>
      <c r="AS2192" s="652"/>
      <c r="AT2192" s="652"/>
      <c r="AU2192" s="652"/>
      <c r="AV2192" s="652"/>
      <c r="AW2192" s="652"/>
      <c r="AX2192" s="652"/>
      <c r="AY2192" s="652"/>
      <c r="AZ2192" s="652"/>
      <c r="BA2192" s="652"/>
      <c r="BB2192" s="652"/>
      <c r="BC2192" s="652"/>
      <c r="BD2192" s="652"/>
      <c r="BE2192" s="652"/>
      <c r="BF2192" s="652"/>
      <c r="BG2192" s="652"/>
      <c r="BH2192" s="652"/>
      <c r="BI2192" s="652"/>
      <c r="BJ2192" s="652"/>
      <c r="BK2192" s="652"/>
      <c r="BL2192" s="652"/>
    </row>
    <row r="2193" spans="1:64" s="653" customFormat="1" ht="13">
      <c r="A2193" s="454"/>
      <c r="B2193" s="454"/>
      <c r="C2193" s="514"/>
      <c r="D2193" s="416"/>
      <c r="E2193" s="416"/>
      <c r="F2193" s="416"/>
      <c r="G2193" s="416"/>
      <c r="H2193" s="416"/>
      <c r="I2193" s="416"/>
      <c r="J2193" s="533"/>
      <c r="K2193" s="534"/>
      <c r="L2193" s="534"/>
      <c r="M2193" s="652"/>
      <c r="N2193" s="652"/>
      <c r="O2193" s="652"/>
      <c r="P2193" s="652"/>
      <c r="Q2193" s="652"/>
      <c r="R2193" s="652"/>
      <c r="S2193" s="652"/>
      <c r="T2193" s="652"/>
      <c r="U2193" s="652"/>
      <c r="V2193" s="652"/>
      <c r="W2193" s="652"/>
      <c r="X2193" s="652"/>
      <c r="Y2193" s="652"/>
      <c r="Z2193" s="652"/>
      <c r="AA2193" s="652"/>
      <c r="AB2193" s="652"/>
      <c r="AC2193" s="652"/>
      <c r="AD2193" s="652"/>
      <c r="AE2193" s="652"/>
      <c r="AF2193" s="652"/>
      <c r="AG2193" s="652"/>
      <c r="AH2193" s="652"/>
      <c r="AI2193" s="652"/>
      <c r="AJ2193" s="652"/>
      <c r="AK2193" s="652"/>
      <c r="AL2193" s="652"/>
      <c r="AM2193" s="652"/>
      <c r="AN2193" s="652"/>
      <c r="AO2193" s="652"/>
      <c r="AP2193" s="652"/>
      <c r="AQ2193" s="652"/>
      <c r="AR2193" s="652"/>
      <c r="AS2193" s="652"/>
      <c r="AT2193" s="652"/>
      <c r="AU2193" s="652"/>
      <c r="AV2193" s="652"/>
      <c r="AW2193" s="652"/>
      <c r="AX2193" s="652"/>
      <c r="AY2193" s="652"/>
      <c r="AZ2193" s="652"/>
      <c r="BA2193" s="652"/>
      <c r="BB2193" s="652"/>
      <c r="BC2193" s="652"/>
      <c r="BD2193" s="652"/>
      <c r="BE2193" s="652"/>
      <c r="BF2193" s="652"/>
      <c r="BG2193" s="652"/>
      <c r="BH2193" s="652"/>
      <c r="BI2193" s="652"/>
      <c r="BJ2193" s="652"/>
      <c r="BK2193" s="652"/>
      <c r="BL2193" s="652"/>
    </row>
    <row r="2194" spans="1:64" s="653" customFormat="1" ht="13">
      <c r="A2194" s="454"/>
      <c r="B2194" s="415" t="s">
        <v>720</v>
      </c>
      <c r="C2194" s="526" t="s">
        <v>1105</v>
      </c>
      <c r="D2194" s="409"/>
      <c r="E2194" s="426"/>
      <c r="F2194" s="409"/>
      <c r="G2194" s="410"/>
      <c r="H2194" s="426"/>
      <c r="I2194" s="409"/>
      <c r="J2194" s="533"/>
      <c r="K2194" s="534"/>
      <c r="L2194" s="534"/>
      <c r="M2194" s="652"/>
      <c r="N2194" s="652"/>
      <c r="O2194" s="652"/>
      <c r="P2194" s="652"/>
      <c r="Q2194" s="652"/>
      <c r="R2194" s="652"/>
      <c r="S2194" s="652"/>
      <c r="T2194" s="652"/>
      <c r="U2194" s="652"/>
      <c r="V2194" s="652"/>
      <c r="W2194" s="652"/>
      <c r="X2194" s="652"/>
      <c r="Y2194" s="652"/>
      <c r="Z2194" s="652"/>
      <c r="AA2194" s="652"/>
      <c r="AB2194" s="652"/>
      <c r="AC2194" s="652"/>
      <c r="AD2194" s="652"/>
      <c r="AE2194" s="652"/>
      <c r="AF2194" s="652"/>
      <c r="AG2194" s="652"/>
      <c r="AH2194" s="652"/>
      <c r="AI2194" s="652"/>
      <c r="AJ2194" s="652"/>
      <c r="AK2194" s="652"/>
      <c r="AL2194" s="652"/>
      <c r="AM2194" s="652"/>
      <c r="AN2194" s="652"/>
      <c r="AO2194" s="652"/>
      <c r="AP2194" s="652"/>
      <c r="AQ2194" s="652"/>
      <c r="AR2194" s="652"/>
      <c r="AS2194" s="652"/>
      <c r="AT2194" s="652"/>
      <c r="AU2194" s="652"/>
      <c r="AV2194" s="652"/>
      <c r="AW2194" s="652"/>
      <c r="AX2194" s="652"/>
      <c r="AY2194" s="652"/>
      <c r="AZ2194" s="652"/>
      <c r="BA2194" s="652"/>
      <c r="BB2194" s="652"/>
      <c r="BC2194" s="652"/>
      <c r="BD2194" s="652"/>
      <c r="BE2194" s="652"/>
      <c r="BF2194" s="652"/>
      <c r="BG2194" s="652"/>
      <c r="BH2194" s="652"/>
      <c r="BI2194" s="652"/>
      <c r="BJ2194" s="652"/>
      <c r="BK2194" s="652"/>
      <c r="BL2194" s="652"/>
    </row>
    <row r="2195" spans="1:64" s="653" customFormat="1" ht="13">
      <c r="A2195" s="454"/>
      <c r="B2195" s="454"/>
      <c r="C2195" s="417" t="s">
        <v>1092</v>
      </c>
      <c r="D2195" s="409">
        <v>7.4999999999999997E-2</v>
      </c>
      <c r="E2195" s="647" t="s">
        <v>666</v>
      </c>
      <c r="F2195" s="409">
        <f>$I$2176</f>
        <v>6636.3781600000002</v>
      </c>
      <c r="G2195" s="410">
        <v>1</v>
      </c>
      <c r="H2195" s="647" t="s">
        <v>666</v>
      </c>
      <c r="I2195" s="414">
        <f>IF(G2195="",D2195*F2195,(D2195*F2195/G2195))</f>
        <v>497.728362</v>
      </c>
      <c r="J2195" s="533"/>
      <c r="K2195" s="534"/>
      <c r="L2195" s="534"/>
      <c r="M2195" s="652"/>
      <c r="N2195" s="652"/>
      <c r="O2195" s="652"/>
      <c r="P2195" s="652"/>
      <c r="Q2195" s="652"/>
      <c r="R2195" s="652"/>
      <c r="S2195" s="652"/>
      <c r="T2195" s="652"/>
      <c r="U2195" s="652"/>
      <c r="V2195" s="652"/>
      <c r="W2195" s="652"/>
      <c r="X2195" s="652"/>
      <c r="Y2195" s="652"/>
      <c r="Z2195" s="652"/>
      <c r="AA2195" s="652"/>
      <c r="AB2195" s="652"/>
      <c r="AC2195" s="652"/>
      <c r="AD2195" s="652"/>
      <c r="AE2195" s="652"/>
      <c r="AF2195" s="652"/>
      <c r="AG2195" s="652"/>
      <c r="AH2195" s="652"/>
      <c r="AI2195" s="652"/>
      <c r="AJ2195" s="652"/>
      <c r="AK2195" s="652"/>
      <c r="AL2195" s="652"/>
      <c r="AM2195" s="652"/>
      <c r="AN2195" s="652"/>
      <c r="AO2195" s="652"/>
      <c r="AP2195" s="652"/>
      <c r="AQ2195" s="652"/>
      <c r="AR2195" s="652"/>
      <c r="AS2195" s="652"/>
      <c r="AT2195" s="652"/>
      <c r="AU2195" s="652"/>
      <c r="AV2195" s="652"/>
      <c r="AW2195" s="652"/>
      <c r="AX2195" s="652"/>
      <c r="AY2195" s="652"/>
      <c r="AZ2195" s="652"/>
      <c r="BA2195" s="652"/>
      <c r="BB2195" s="652"/>
      <c r="BC2195" s="652"/>
      <c r="BD2195" s="652"/>
      <c r="BE2195" s="652"/>
      <c r="BF2195" s="652"/>
      <c r="BG2195" s="652"/>
      <c r="BH2195" s="652"/>
      <c r="BI2195" s="652"/>
      <c r="BJ2195" s="652"/>
      <c r="BK2195" s="652"/>
      <c r="BL2195" s="652"/>
    </row>
    <row r="2196" spans="1:64" s="653" customFormat="1" ht="13">
      <c r="A2196" s="454"/>
      <c r="B2196" s="454"/>
      <c r="C2196" s="427"/>
      <c r="D2196" s="416"/>
      <c r="E2196" s="416"/>
      <c r="F2196" s="416"/>
      <c r="G2196" s="416"/>
      <c r="H2196" s="416"/>
      <c r="I2196" s="414"/>
      <c r="J2196" s="533"/>
      <c r="K2196" s="534"/>
      <c r="L2196" s="534"/>
      <c r="M2196" s="652"/>
      <c r="N2196" s="652"/>
      <c r="O2196" s="652"/>
      <c r="P2196" s="652"/>
      <c r="Q2196" s="652"/>
      <c r="R2196" s="652"/>
      <c r="S2196" s="652"/>
      <c r="T2196" s="652"/>
      <c r="U2196" s="652"/>
      <c r="V2196" s="652"/>
      <c r="W2196" s="652"/>
      <c r="X2196" s="652"/>
      <c r="Y2196" s="652"/>
      <c r="Z2196" s="652"/>
      <c r="AA2196" s="652"/>
      <c r="AB2196" s="652"/>
      <c r="AC2196" s="652"/>
      <c r="AD2196" s="652"/>
      <c r="AE2196" s="652"/>
      <c r="AF2196" s="652"/>
      <c r="AG2196" s="652"/>
      <c r="AH2196" s="652"/>
      <c r="AI2196" s="652"/>
      <c r="AJ2196" s="652"/>
      <c r="AK2196" s="652"/>
      <c r="AL2196" s="652"/>
      <c r="AM2196" s="652"/>
      <c r="AN2196" s="652"/>
      <c r="AO2196" s="652"/>
      <c r="AP2196" s="652"/>
      <c r="AQ2196" s="652"/>
      <c r="AR2196" s="652"/>
      <c r="AS2196" s="652"/>
      <c r="AT2196" s="652"/>
      <c r="AU2196" s="652"/>
      <c r="AV2196" s="652"/>
      <c r="AW2196" s="652"/>
      <c r="AX2196" s="652"/>
      <c r="AY2196" s="652"/>
      <c r="AZ2196" s="652"/>
      <c r="BA2196" s="652"/>
      <c r="BB2196" s="652"/>
      <c r="BC2196" s="652"/>
      <c r="BD2196" s="652"/>
      <c r="BE2196" s="652"/>
      <c r="BF2196" s="652"/>
      <c r="BG2196" s="652"/>
      <c r="BH2196" s="652"/>
      <c r="BI2196" s="652"/>
      <c r="BJ2196" s="652"/>
      <c r="BK2196" s="652"/>
      <c r="BL2196" s="652"/>
    </row>
    <row r="2197" spans="1:64" s="653" customFormat="1" ht="13">
      <c r="A2197" s="454"/>
      <c r="B2197" s="454"/>
      <c r="C2197" s="427"/>
      <c r="D2197" s="416"/>
      <c r="E2197" s="416"/>
      <c r="F2197" s="416"/>
      <c r="G2197" s="416"/>
      <c r="H2197" s="416"/>
      <c r="I2197" s="414"/>
      <c r="J2197" s="533"/>
      <c r="K2197" s="534"/>
      <c r="L2197" s="534"/>
      <c r="M2197" s="652"/>
      <c r="N2197" s="652"/>
      <c r="O2197" s="652"/>
      <c r="P2197" s="652"/>
      <c r="Q2197" s="652"/>
      <c r="R2197" s="652"/>
      <c r="S2197" s="652"/>
      <c r="T2197" s="652"/>
      <c r="U2197" s="652"/>
      <c r="V2197" s="652"/>
      <c r="W2197" s="652"/>
      <c r="X2197" s="652"/>
      <c r="Y2197" s="652"/>
      <c r="Z2197" s="652"/>
      <c r="AA2197" s="652"/>
      <c r="AB2197" s="652"/>
      <c r="AC2197" s="652"/>
      <c r="AD2197" s="652"/>
      <c r="AE2197" s="652"/>
      <c r="AF2197" s="652"/>
      <c r="AG2197" s="652"/>
      <c r="AH2197" s="652"/>
      <c r="AI2197" s="652"/>
      <c r="AJ2197" s="652"/>
      <c r="AK2197" s="652"/>
      <c r="AL2197" s="652"/>
      <c r="AM2197" s="652"/>
      <c r="AN2197" s="652"/>
      <c r="AO2197" s="652"/>
      <c r="AP2197" s="652"/>
      <c r="AQ2197" s="652"/>
      <c r="AR2197" s="652"/>
      <c r="AS2197" s="652"/>
      <c r="AT2197" s="652"/>
      <c r="AU2197" s="652"/>
      <c r="AV2197" s="652"/>
      <c r="AW2197" s="652"/>
      <c r="AX2197" s="652"/>
      <c r="AY2197" s="652"/>
      <c r="AZ2197" s="652"/>
      <c r="BA2197" s="652"/>
      <c r="BB2197" s="652"/>
      <c r="BC2197" s="652"/>
      <c r="BD2197" s="652"/>
      <c r="BE2197" s="652"/>
      <c r="BF2197" s="652"/>
      <c r="BG2197" s="652"/>
      <c r="BH2197" s="652"/>
      <c r="BI2197" s="652"/>
      <c r="BJ2197" s="652"/>
      <c r="BK2197" s="652"/>
      <c r="BL2197" s="652"/>
    </row>
    <row r="2198" spans="1:64" s="653" customFormat="1" ht="13">
      <c r="A2198" s="454"/>
      <c r="B2198" s="454"/>
      <c r="C2198" s="427" t="s">
        <v>953</v>
      </c>
      <c r="D2198" s="414" t="s">
        <v>959</v>
      </c>
      <c r="E2198" s="416" t="s">
        <v>943</v>
      </c>
      <c r="F2198" s="415" t="s">
        <v>944</v>
      </c>
      <c r="G2198" s="415" t="s">
        <v>945</v>
      </c>
      <c r="H2198" s="415" t="s">
        <v>946</v>
      </c>
      <c r="I2198" s="415" t="s">
        <v>947</v>
      </c>
      <c r="J2198" s="533"/>
      <c r="K2198" s="534"/>
      <c r="L2198" s="534"/>
      <c r="M2198" s="652"/>
      <c r="N2198" s="652"/>
      <c r="O2198" s="652"/>
      <c r="P2198" s="652"/>
      <c r="Q2198" s="652"/>
      <c r="R2198" s="652"/>
      <c r="S2198" s="652"/>
      <c r="T2198" s="652"/>
      <c r="U2198" s="652"/>
      <c r="V2198" s="652"/>
      <c r="W2198" s="652"/>
      <c r="X2198" s="652"/>
      <c r="Y2198" s="652"/>
      <c r="Z2198" s="652"/>
      <c r="AA2198" s="652"/>
      <c r="AB2198" s="652"/>
      <c r="AC2198" s="652"/>
      <c r="AD2198" s="652"/>
      <c r="AE2198" s="652"/>
      <c r="AF2198" s="652"/>
      <c r="AG2198" s="652"/>
      <c r="AH2198" s="652"/>
      <c r="AI2198" s="652"/>
      <c r="AJ2198" s="652"/>
      <c r="AK2198" s="652"/>
      <c r="AL2198" s="652"/>
      <c r="AM2198" s="652"/>
      <c r="AN2198" s="652"/>
      <c r="AO2198" s="652"/>
      <c r="AP2198" s="652"/>
      <c r="AQ2198" s="652"/>
      <c r="AR2198" s="652"/>
      <c r="AS2198" s="652"/>
      <c r="AT2198" s="652"/>
      <c r="AU2198" s="652"/>
      <c r="AV2198" s="652"/>
      <c r="AW2198" s="652"/>
      <c r="AX2198" s="652"/>
      <c r="AY2198" s="652"/>
      <c r="AZ2198" s="652"/>
      <c r="BA2198" s="652"/>
      <c r="BB2198" s="652"/>
      <c r="BC2198" s="652"/>
      <c r="BD2198" s="652"/>
      <c r="BE2198" s="652"/>
      <c r="BF2198" s="652"/>
      <c r="BG2198" s="652"/>
      <c r="BH2198" s="652"/>
      <c r="BI2198" s="652"/>
      <c r="BJ2198" s="652"/>
      <c r="BK2198" s="652"/>
      <c r="BL2198" s="652"/>
    </row>
    <row r="2199" spans="1:64" s="653" customFormat="1" ht="13">
      <c r="A2199" s="458"/>
      <c r="B2199" s="458"/>
      <c r="C2199" s="417" t="s">
        <v>1064</v>
      </c>
      <c r="D2199" s="459">
        <f t="shared" ref="D2199:I2199" si="513">$I$2195</f>
        <v>497.728362</v>
      </c>
      <c r="E2199" s="459">
        <f t="shared" si="513"/>
        <v>497.728362</v>
      </c>
      <c r="F2199" s="459">
        <f t="shared" si="513"/>
        <v>497.728362</v>
      </c>
      <c r="G2199" s="459">
        <f t="shared" si="513"/>
        <v>497.728362</v>
      </c>
      <c r="H2199" s="459">
        <f t="shared" si="513"/>
        <v>497.728362</v>
      </c>
      <c r="I2199" s="459">
        <f t="shared" si="513"/>
        <v>497.728362</v>
      </c>
      <c r="J2199" s="533"/>
      <c r="K2199" s="534"/>
      <c r="L2199" s="534"/>
      <c r="M2199" s="652"/>
      <c r="N2199" s="652"/>
      <c r="O2199" s="652"/>
      <c r="P2199" s="652"/>
      <c r="Q2199" s="652"/>
      <c r="R2199" s="652"/>
      <c r="S2199" s="652"/>
      <c r="T2199" s="652"/>
      <c r="U2199" s="652"/>
      <c r="V2199" s="652"/>
      <c r="W2199" s="652"/>
      <c r="X2199" s="652"/>
      <c r="Y2199" s="652"/>
      <c r="Z2199" s="652"/>
      <c r="AA2199" s="652"/>
      <c r="AB2199" s="652"/>
      <c r="AC2199" s="652"/>
      <c r="AD2199" s="652"/>
      <c r="AE2199" s="652"/>
      <c r="AF2199" s="652"/>
      <c r="AG2199" s="652"/>
      <c r="AH2199" s="652"/>
      <c r="AI2199" s="652"/>
      <c r="AJ2199" s="652"/>
      <c r="AK2199" s="652"/>
      <c r="AL2199" s="652"/>
      <c r="AM2199" s="652"/>
      <c r="AN2199" s="652"/>
      <c r="AO2199" s="652"/>
      <c r="AP2199" s="652"/>
      <c r="AQ2199" s="652"/>
      <c r="AR2199" s="652"/>
      <c r="AS2199" s="652"/>
      <c r="AT2199" s="652"/>
      <c r="AU2199" s="652"/>
      <c r="AV2199" s="652"/>
      <c r="AW2199" s="652"/>
      <c r="AX2199" s="652"/>
      <c r="AY2199" s="652"/>
      <c r="AZ2199" s="652"/>
      <c r="BA2199" s="652"/>
      <c r="BB2199" s="652"/>
      <c r="BC2199" s="652"/>
      <c r="BD2199" s="652"/>
      <c r="BE2199" s="652"/>
      <c r="BF2199" s="652"/>
      <c r="BG2199" s="652"/>
      <c r="BH2199" s="652"/>
      <c r="BI2199" s="652"/>
      <c r="BJ2199" s="652"/>
      <c r="BK2199" s="652"/>
      <c r="BL2199" s="652"/>
    </row>
    <row r="2200" spans="1:64" s="653" customFormat="1" ht="25">
      <c r="A2200" s="458"/>
      <c r="B2200" s="458"/>
      <c r="C2200" s="417" t="s">
        <v>1100</v>
      </c>
      <c r="D2200" s="459">
        <f>'[161]Civil-SOR'!$F$280*50%</f>
        <v>88.5</v>
      </c>
      <c r="E2200" s="459">
        <f>'[161]Civil-SOR'!$F$280*50%</f>
        <v>88.5</v>
      </c>
      <c r="F2200" s="459">
        <f>'[161]Civil-SOR'!$F$280*50%</f>
        <v>88.5</v>
      </c>
      <c r="G2200" s="459">
        <f>'[161]Civil-SOR'!$F$280*50%</f>
        <v>88.5</v>
      </c>
      <c r="H2200" s="459">
        <f>'[161]Civil-SOR'!$F$280*50%</f>
        <v>88.5</v>
      </c>
      <c r="I2200" s="459">
        <f>'[161]Civil-SOR'!$F$280*50%</f>
        <v>88.5</v>
      </c>
      <c r="J2200" s="533"/>
      <c r="K2200" s="534"/>
      <c r="L2200" s="534"/>
      <c r="M2200" s="652"/>
      <c r="N2200" s="652"/>
      <c r="O2200" s="652"/>
      <c r="P2200" s="652"/>
      <c r="Q2200" s="652"/>
      <c r="R2200" s="652"/>
      <c r="S2200" s="652"/>
      <c r="T2200" s="652"/>
      <c r="U2200" s="652"/>
      <c r="V2200" s="652"/>
      <c r="W2200" s="652"/>
      <c r="X2200" s="652"/>
      <c r="Y2200" s="652"/>
      <c r="Z2200" s="652"/>
      <c r="AA2200" s="652"/>
      <c r="AB2200" s="652"/>
      <c r="AC2200" s="652"/>
      <c r="AD2200" s="652"/>
      <c r="AE2200" s="652"/>
      <c r="AF2200" s="652"/>
      <c r="AG2200" s="652"/>
      <c r="AH2200" s="652"/>
      <c r="AI2200" s="652"/>
      <c r="AJ2200" s="652"/>
      <c r="AK2200" s="652"/>
      <c r="AL2200" s="652"/>
      <c r="AM2200" s="652"/>
      <c r="AN2200" s="652"/>
      <c r="AO2200" s="652"/>
      <c r="AP2200" s="652"/>
      <c r="AQ2200" s="652"/>
      <c r="AR2200" s="652"/>
      <c r="AS2200" s="652"/>
      <c r="AT2200" s="652"/>
      <c r="AU2200" s="652"/>
      <c r="AV2200" s="652"/>
      <c r="AW2200" s="652"/>
      <c r="AX2200" s="652"/>
      <c r="AY2200" s="652"/>
      <c r="AZ2200" s="652"/>
      <c r="BA2200" s="652"/>
      <c r="BB2200" s="652"/>
      <c r="BC2200" s="652"/>
      <c r="BD2200" s="652"/>
      <c r="BE2200" s="652"/>
      <c r="BF2200" s="652"/>
      <c r="BG2200" s="652"/>
      <c r="BH2200" s="652"/>
      <c r="BI2200" s="652"/>
      <c r="BJ2200" s="652"/>
      <c r="BK2200" s="652"/>
      <c r="BL2200" s="652"/>
    </row>
    <row r="2201" spans="1:64" s="653" customFormat="1" ht="13">
      <c r="A2201" s="458"/>
      <c r="B2201" s="458"/>
      <c r="C2201" s="417" t="s">
        <v>1010</v>
      </c>
      <c r="D2201" s="459">
        <f>'[161]Civil-SOR'!$G$280*50%</f>
        <v>99.5</v>
      </c>
      <c r="E2201" s="459">
        <f>'[161]Civil-SOR'!$H$280*50%</f>
        <v>109.5</v>
      </c>
      <c r="F2201" s="459">
        <f>'[161]Civil-SOR'!$I$280*50%</f>
        <v>119.5</v>
      </c>
      <c r="G2201" s="459">
        <f>'[161]Civil-SOR'!$J$280*50%</f>
        <v>129.5</v>
      </c>
      <c r="H2201" s="459">
        <f>'[161]Civil-SOR'!$K$280*50%</f>
        <v>139.5</v>
      </c>
      <c r="I2201" s="459">
        <f>'[161]Civil-SOR'!$L$280*50%</f>
        <v>149.5</v>
      </c>
      <c r="J2201" s="533"/>
      <c r="K2201" s="534"/>
      <c r="L2201" s="534"/>
      <c r="M2201" s="652"/>
      <c r="N2201" s="652"/>
      <c r="O2201" s="652"/>
      <c r="P2201" s="652"/>
      <c r="Q2201" s="652"/>
      <c r="R2201" s="652"/>
      <c r="S2201" s="652"/>
      <c r="T2201" s="652"/>
      <c r="U2201" s="652"/>
      <c r="V2201" s="652"/>
      <c r="W2201" s="652"/>
      <c r="X2201" s="652"/>
      <c r="Y2201" s="652"/>
      <c r="Z2201" s="652"/>
      <c r="AA2201" s="652"/>
      <c r="AB2201" s="652"/>
      <c r="AC2201" s="652"/>
      <c r="AD2201" s="652"/>
      <c r="AE2201" s="652"/>
      <c r="AF2201" s="652"/>
      <c r="AG2201" s="652"/>
      <c r="AH2201" s="652"/>
      <c r="AI2201" s="652"/>
      <c r="AJ2201" s="652"/>
      <c r="AK2201" s="652"/>
      <c r="AL2201" s="652"/>
      <c r="AM2201" s="652"/>
      <c r="AN2201" s="652"/>
      <c r="AO2201" s="652"/>
      <c r="AP2201" s="652"/>
      <c r="AQ2201" s="652"/>
      <c r="AR2201" s="652"/>
      <c r="AS2201" s="652"/>
      <c r="AT2201" s="652"/>
      <c r="AU2201" s="652"/>
      <c r="AV2201" s="652"/>
      <c r="AW2201" s="652"/>
      <c r="AX2201" s="652"/>
      <c r="AY2201" s="652"/>
      <c r="AZ2201" s="652"/>
      <c r="BA2201" s="652"/>
      <c r="BB2201" s="652"/>
      <c r="BC2201" s="652"/>
      <c r="BD2201" s="652"/>
      <c r="BE2201" s="652"/>
      <c r="BF2201" s="652"/>
      <c r="BG2201" s="652"/>
      <c r="BH2201" s="652"/>
      <c r="BI2201" s="652"/>
      <c r="BJ2201" s="652"/>
      <c r="BK2201" s="652"/>
      <c r="BL2201" s="652"/>
    </row>
    <row r="2202" spans="1:64" s="653" customFormat="1" ht="13">
      <c r="A2202" s="458"/>
      <c r="B2202" s="458"/>
      <c r="C2202" s="417" t="str">
        <f>[161]Input!$C$47</f>
        <v>Add for MA @ 40%</v>
      </c>
      <c r="D2202" s="459">
        <f>D2201*[161]Input!$D$47</f>
        <v>39.800000000000004</v>
      </c>
      <c r="E2202" s="459">
        <f>E2201*[161]Input!$D$47</f>
        <v>43.800000000000004</v>
      </c>
      <c r="F2202" s="459">
        <f>F2201*[161]Input!$D$47</f>
        <v>47.800000000000004</v>
      </c>
      <c r="G2202" s="459">
        <f>G2201*[161]Input!$D$47</f>
        <v>51.800000000000004</v>
      </c>
      <c r="H2202" s="459">
        <f>H2201*[161]Input!$D$47</f>
        <v>55.800000000000004</v>
      </c>
      <c r="I2202" s="459">
        <f>I2201*[161]Input!$D$47</f>
        <v>59.800000000000004</v>
      </c>
      <c r="J2202" s="533"/>
      <c r="K2202" s="534"/>
      <c r="L2202" s="534"/>
      <c r="M2202" s="652"/>
      <c r="N2202" s="652"/>
      <c r="O2202" s="652"/>
      <c r="P2202" s="652"/>
      <c r="Q2202" s="652"/>
      <c r="R2202" s="652"/>
      <c r="S2202" s="652"/>
      <c r="T2202" s="652"/>
      <c r="U2202" s="652"/>
      <c r="V2202" s="652"/>
      <c r="W2202" s="652"/>
      <c r="X2202" s="652"/>
      <c r="Y2202" s="652"/>
      <c r="Z2202" s="652"/>
      <c r="AA2202" s="652"/>
      <c r="AB2202" s="652"/>
      <c r="AC2202" s="652"/>
      <c r="AD2202" s="652"/>
      <c r="AE2202" s="652"/>
      <c r="AF2202" s="652"/>
      <c r="AG2202" s="652"/>
      <c r="AH2202" s="652"/>
      <c r="AI2202" s="652"/>
      <c r="AJ2202" s="652"/>
      <c r="AK2202" s="652"/>
      <c r="AL2202" s="652"/>
      <c r="AM2202" s="652"/>
      <c r="AN2202" s="652"/>
      <c r="AO2202" s="652"/>
      <c r="AP2202" s="652"/>
      <c r="AQ2202" s="652"/>
      <c r="AR2202" s="652"/>
      <c r="AS2202" s="652"/>
      <c r="AT2202" s="652"/>
      <c r="AU2202" s="652"/>
      <c r="AV2202" s="652"/>
      <c r="AW2202" s="652"/>
      <c r="AX2202" s="652"/>
      <c r="AY2202" s="652"/>
      <c r="AZ2202" s="652"/>
      <c r="BA2202" s="652"/>
      <c r="BB2202" s="652"/>
      <c r="BC2202" s="652"/>
      <c r="BD2202" s="652"/>
      <c r="BE2202" s="652"/>
      <c r="BF2202" s="652"/>
      <c r="BG2202" s="652"/>
      <c r="BH2202" s="652"/>
      <c r="BI2202" s="652"/>
      <c r="BJ2202" s="652"/>
      <c r="BK2202" s="652"/>
      <c r="BL2202" s="652"/>
    </row>
    <row r="2203" spans="1:64" s="653" customFormat="1" ht="13">
      <c r="A2203" s="458"/>
      <c r="B2203" s="458"/>
      <c r="C2203" s="417" t="s">
        <v>994</v>
      </c>
      <c r="D2203" s="459">
        <v>0</v>
      </c>
      <c r="E2203" s="459">
        <f>$F$2170*10%*$D$2179</f>
        <v>8.5602500000000017</v>
      </c>
      <c r="F2203" s="459">
        <f>$F$2170*20%*$D$2179</f>
        <v>17.120500000000003</v>
      </c>
      <c r="G2203" s="459">
        <f>$F$2170*30%*$D$2179</f>
        <v>25.680750000000003</v>
      </c>
      <c r="H2203" s="459">
        <f>$F$2170*40%*$D$2179</f>
        <v>34.241000000000007</v>
      </c>
      <c r="I2203" s="459">
        <f>$F$2170*50%*$D$2179</f>
        <v>42.801250000000003</v>
      </c>
      <c r="J2203" s="533"/>
      <c r="K2203" s="534"/>
      <c r="L2203" s="534"/>
      <c r="M2203" s="652"/>
      <c r="N2203" s="652"/>
      <c r="O2203" s="652"/>
      <c r="P2203" s="652"/>
      <c r="Q2203" s="652"/>
      <c r="R2203" s="652"/>
      <c r="S2203" s="652"/>
      <c r="T2203" s="652"/>
      <c r="U2203" s="652"/>
      <c r="V2203" s="652"/>
      <c r="W2203" s="652"/>
      <c r="X2203" s="652"/>
      <c r="Y2203" s="652"/>
      <c r="Z2203" s="652"/>
      <c r="AA2203" s="652"/>
      <c r="AB2203" s="652"/>
      <c r="AC2203" s="652"/>
      <c r="AD2203" s="652"/>
      <c r="AE2203" s="652"/>
      <c r="AF2203" s="652"/>
      <c r="AG2203" s="652"/>
      <c r="AH2203" s="652"/>
      <c r="AI2203" s="652"/>
      <c r="AJ2203" s="652"/>
      <c r="AK2203" s="652"/>
      <c r="AL2203" s="652"/>
      <c r="AM2203" s="652"/>
      <c r="AN2203" s="652"/>
      <c r="AO2203" s="652"/>
      <c r="AP2203" s="652"/>
      <c r="AQ2203" s="652"/>
      <c r="AR2203" s="652"/>
      <c r="AS2203" s="652"/>
      <c r="AT2203" s="652"/>
      <c r="AU2203" s="652"/>
      <c r="AV2203" s="652"/>
      <c r="AW2203" s="652"/>
      <c r="AX2203" s="652"/>
      <c r="AY2203" s="652"/>
      <c r="AZ2203" s="652"/>
      <c r="BA2203" s="652"/>
      <c r="BB2203" s="652"/>
      <c r="BC2203" s="652"/>
      <c r="BD2203" s="652"/>
      <c r="BE2203" s="652"/>
      <c r="BF2203" s="652"/>
      <c r="BG2203" s="652"/>
      <c r="BH2203" s="652"/>
      <c r="BI2203" s="652"/>
      <c r="BJ2203" s="652"/>
      <c r="BK2203" s="652"/>
      <c r="BL2203" s="652"/>
    </row>
    <row r="2204" spans="1:64" s="653" customFormat="1" ht="13">
      <c r="A2204" s="458"/>
      <c r="B2204" s="458"/>
      <c r="C2204" s="417" t="str">
        <f>[161]Input!$C$47</f>
        <v>Add for MA @ 40%</v>
      </c>
      <c r="D2204" s="459">
        <f>D2203*[161]Input!$D$47</f>
        <v>0</v>
      </c>
      <c r="E2204" s="459">
        <f>E2203*[161]Input!$D$47</f>
        <v>3.424100000000001</v>
      </c>
      <c r="F2204" s="459">
        <f>F2203*[161]Input!$D$47</f>
        <v>6.8482000000000021</v>
      </c>
      <c r="G2204" s="459">
        <f>G2203*[161]Input!$D$47</f>
        <v>10.272300000000001</v>
      </c>
      <c r="H2204" s="459">
        <f>H2203*[161]Input!$D$47</f>
        <v>13.696400000000004</v>
      </c>
      <c r="I2204" s="459">
        <f>I2203*[161]Input!$D$47</f>
        <v>17.120500000000003</v>
      </c>
      <c r="J2204" s="533"/>
      <c r="K2204" s="534"/>
      <c r="L2204" s="534"/>
      <c r="M2204" s="652"/>
      <c r="N2204" s="652"/>
      <c r="O2204" s="652"/>
      <c r="P2204" s="652"/>
      <c r="Q2204" s="652"/>
      <c r="R2204" s="652"/>
      <c r="S2204" s="652"/>
      <c r="T2204" s="652"/>
      <c r="U2204" s="652"/>
      <c r="V2204" s="652"/>
      <c r="W2204" s="652"/>
      <c r="X2204" s="652"/>
      <c r="Y2204" s="652"/>
      <c r="Z2204" s="652"/>
      <c r="AA2204" s="652"/>
      <c r="AB2204" s="652"/>
      <c r="AC2204" s="652"/>
      <c r="AD2204" s="652"/>
      <c r="AE2204" s="652"/>
      <c r="AF2204" s="652"/>
      <c r="AG2204" s="652"/>
      <c r="AH2204" s="652"/>
      <c r="AI2204" s="652"/>
      <c r="AJ2204" s="652"/>
      <c r="AK2204" s="652"/>
      <c r="AL2204" s="652"/>
      <c r="AM2204" s="652"/>
      <c r="AN2204" s="652"/>
      <c r="AO2204" s="652"/>
      <c r="AP2204" s="652"/>
      <c r="AQ2204" s="652"/>
      <c r="AR2204" s="652"/>
      <c r="AS2204" s="652"/>
      <c r="AT2204" s="652"/>
      <c r="AU2204" s="652"/>
      <c r="AV2204" s="652"/>
      <c r="AW2204" s="652"/>
      <c r="AX2204" s="652"/>
      <c r="AY2204" s="652"/>
      <c r="AZ2204" s="652"/>
      <c r="BA2204" s="652"/>
      <c r="BB2204" s="652"/>
      <c r="BC2204" s="652"/>
      <c r="BD2204" s="652"/>
      <c r="BE2204" s="652"/>
      <c r="BF2204" s="652"/>
      <c r="BG2204" s="652"/>
      <c r="BH2204" s="652"/>
      <c r="BI2204" s="652"/>
      <c r="BJ2204" s="652"/>
      <c r="BK2204" s="652"/>
      <c r="BL2204" s="652"/>
    </row>
    <row r="2205" spans="1:64" s="653" customFormat="1" ht="13">
      <c r="A2205" s="458"/>
      <c r="B2205" s="458"/>
      <c r="C2205" s="417" t="s">
        <v>742</v>
      </c>
      <c r="D2205" s="461">
        <f t="shared" ref="D2205:I2205" si="514">SUM(D2199:D2204)</f>
        <v>725.52836200000002</v>
      </c>
      <c r="E2205" s="461">
        <f t="shared" si="514"/>
        <v>751.51271199999996</v>
      </c>
      <c r="F2205" s="461">
        <f t="shared" si="514"/>
        <v>777.49706200000003</v>
      </c>
      <c r="G2205" s="461">
        <f t="shared" si="514"/>
        <v>803.48141199999998</v>
      </c>
      <c r="H2205" s="461">
        <f t="shared" si="514"/>
        <v>829.46576200000004</v>
      </c>
      <c r="I2205" s="461">
        <f t="shared" si="514"/>
        <v>855.45011199999999</v>
      </c>
      <c r="J2205" s="533"/>
      <c r="K2205" s="534"/>
      <c r="L2205" s="534"/>
      <c r="M2205" s="652"/>
      <c r="N2205" s="652"/>
      <c r="O2205" s="652"/>
      <c r="P2205" s="652"/>
      <c r="Q2205" s="652"/>
      <c r="R2205" s="652"/>
      <c r="S2205" s="652"/>
      <c r="T2205" s="652"/>
      <c r="U2205" s="652"/>
      <c r="V2205" s="652"/>
      <c r="W2205" s="652"/>
      <c r="X2205" s="652"/>
      <c r="Y2205" s="652"/>
      <c r="Z2205" s="652"/>
      <c r="AA2205" s="652"/>
      <c r="AB2205" s="652"/>
      <c r="AC2205" s="652"/>
      <c r="AD2205" s="652"/>
      <c r="AE2205" s="652"/>
      <c r="AF2205" s="652"/>
      <c r="AG2205" s="652"/>
      <c r="AH2205" s="652"/>
      <c r="AI2205" s="652"/>
      <c r="AJ2205" s="652"/>
      <c r="AK2205" s="652"/>
      <c r="AL2205" s="652"/>
      <c r="AM2205" s="652"/>
      <c r="AN2205" s="652"/>
      <c r="AO2205" s="652"/>
      <c r="AP2205" s="652"/>
      <c r="AQ2205" s="652"/>
      <c r="AR2205" s="652"/>
      <c r="AS2205" s="652"/>
      <c r="AT2205" s="652"/>
      <c r="AU2205" s="652"/>
      <c r="AV2205" s="652"/>
      <c r="AW2205" s="652"/>
      <c r="AX2205" s="652"/>
      <c r="AY2205" s="652"/>
      <c r="AZ2205" s="652"/>
      <c r="BA2205" s="652"/>
      <c r="BB2205" s="652"/>
      <c r="BC2205" s="652"/>
      <c r="BD2205" s="652"/>
      <c r="BE2205" s="652"/>
      <c r="BF2205" s="652"/>
      <c r="BG2205" s="652"/>
      <c r="BH2205" s="652"/>
      <c r="BI2205" s="652"/>
      <c r="BJ2205" s="652"/>
      <c r="BK2205" s="652"/>
      <c r="BL2205" s="652"/>
    </row>
    <row r="2206" spans="1:64" s="653" customFormat="1" ht="25">
      <c r="A2206" s="458"/>
      <c r="B2206" s="458"/>
      <c r="C2206" s="620" t="str">
        <f>[161]Input!$C$48</f>
        <v>Overheads &amp; Contractors Profit @ 13.615%</v>
      </c>
      <c r="D2206" s="459">
        <f>D2205*[161]Input!$D$48</f>
        <v>98.780686486299999</v>
      </c>
      <c r="E2206" s="459">
        <f>E2205*[161]Input!$D$48</f>
        <v>102.31845573879998</v>
      </c>
      <c r="F2206" s="459">
        <f>F2205*[161]Input!$D$48</f>
        <v>105.8562249913</v>
      </c>
      <c r="G2206" s="459">
        <f>G2205*[161]Input!$D$48</f>
        <v>109.39399424379999</v>
      </c>
      <c r="H2206" s="459">
        <f>H2205*[161]Input!$D$48</f>
        <v>112.93176349629999</v>
      </c>
      <c r="I2206" s="459">
        <f>I2205*[161]Input!$D$48</f>
        <v>116.46953274879999</v>
      </c>
      <c r="J2206" s="533"/>
      <c r="K2206" s="534"/>
      <c r="L2206" s="534"/>
      <c r="M2206" s="652"/>
      <c r="N2206" s="652"/>
      <c r="O2206" s="652"/>
      <c r="P2206" s="652"/>
      <c r="Q2206" s="652"/>
      <c r="R2206" s="652"/>
      <c r="S2206" s="652"/>
      <c r="T2206" s="652"/>
      <c r="U2206" s="652"/>
      <c r="V2206" s="652"/>
      <c r="W2206" s="652"/>
      <c r="X2206" s="652"/>
      <c r="Y2206" s="652"/>
      <c r="Z2206" s="652"/>
      <c r="AA2206" s="652"/>
      <c r="AB2206" s="652"/>
      <c r="AC2206" s="652"/>
      <c r="AD2206" s="652"/>
      <c r="AE2206" s="652"/>
      <c r="AF2206" s="652"/>
      <c r="AG2206" s="652"/>
      <c r="AH2206" s="652"/>
      <c r="AI2206" s="652"/>
      <c r="AJ2206" s="652"/>
      <c r="AK2206" s="652"/>
      <c r="AL2206" s="652"/>
      <c r="AM2206" s="652"/>
      <c r="AN2206" s="652"/>
      <c r="AO2206" s="652"/>
      <c r="AP2206" s="652"/>
      <c r="AQ2206" s="652"/>
      <c r="AR2206" s="652"/>
      <c r="AS2206" s="652"/>
      <c r="AT2206" s="652"/>
      <c r="AU2206" s="652"/>
      <c r="AV2206" s="652"/>
      <c r="AW2206" s="652"/>
      <c r="AX2206" s="652"/>
      <c r="AY2206" s="652"/>
      <c r="AZ2206" s="652"/>
      <c r="BA2206" s="652"/>
      <c r="BB2206" s="652"/>
      <c r="BC2206" s="652"/>
      <c r="BD2206" s="652"/>
      <c r="BE2206" s="652"/>
      <c r="BF2206" s="652"/>
      <c r="BG2206" s="652"/>
      <c r="BH2206" s="652"/>
      <c r="BI2206" s="652"/>
      <c r="BJ2206" s="652"/>
      <c r="BK2206" s="652"/>
      <c r="BL2206" s="652"/>
    </row>
    <row r="2207" spans="1:64" s="653" customFormat="1" ht="13">
      <c r="A2207" s="458"/>
      <c r="B2207" s="458"/>
      <c r="C2207" s="427" t="s">
        <v>742</v>
      </c>
      <c r="D2207" s="459">
        <f t="shared" ref="D2207:I2207" si="515">SUM(D2205:D2206)</f>
        <v>824.30904848630007</v>
      </c>
      <c r="E2207" s="459">
        <f t="shared" si="515"/>
        <v>853.83116773879999</v>
      </c>
      <c r="F2207" s="459">
        <f t="shared" si="515"/>
        <v>883.35328699130002</v>
      </c>
      <c r="G2207" s="459">
        <f t="shared" si="515"/>
        <v>912.87540624379994</v>
      </c>
      <c r="H2207" s="459">
        <f t="shared" si="515"/>
        <v>942.39752549629998</v>
      </c>
      <c r="I2207" s="459">
        <f t="shared" si="515"/>
        <v>971.91964474880001</v>
      </c>
      <c r="J2207" s="533"/>
      <c r="K2207" s="534"/>
      <c r="L2207" s="534"/>
      <c r="M2207" s="652"/>
      <c r="N2207" s="652"/>
      <c r="O2207" s="652"/>
      <c r="P2207" s="652"/>
      <c r="Q2207" s="652"/>
      <c r="R2207" s="652"/>
      <c r="S2207" s="652"/>
      <c r="T2207" s="652"/>
      <c r="U2207" s="652"/>
      <c r="V2207" s="652"/>
      <c r="W2207" s="652"/>
      <c r="X2207" s="652"/>
      <c r="Y2207" s="652"/>
      <c r="Z2207" s="652"/>
      <c r="AA2207" s="652"/>
      <c r="AB2207" s="652"/>
      <c r="AC2207" s="652"/>
      <c r="AD2207" s="652"/>
      <c r="AE2207" s="652"/>
      <c r="AF2207" s="652"/>
      <c r="AG2207" s="652"/>
      <c r="AH2207" s="652"/>
      <c r="AI2207" s="652"/>
      <c r="AJ2207" s="652"/>
      <c r="AK2207" s="652"/>
      <c r="AL2207" s="652"/>
      <c r="AM2207" s="652"/>
      <c r="AN2207" s="652"/>
      <c r="AO2207" s="652"/>
      <c r="AP2207" s="652"/>
      <c r="AQ2207" s="652"/>
      <c r="AR2207" s="652"/>
      <c r="AS2207" s="652"/>
      <c r="AT2207" s="652"/>
      <c r="AU2207" s="652"/>
      <c r="AV2207" s="652"/>
      <c r="AW2207" s="652"/>
      <c r="AX2207" s="652"/>
      <c r="AY2207" s="652"/>
      <c r="AZ2207" s="652"/>
      <c r="BA2207" s="652"/>
      <c r="BB2207" s="652"/>
      <c r="BC2207" s="652"/>
      <c r="BD2207" s="652"/>
      <c r="BE2207" s="652"/>
      <c r="BF2207" s="652"/>
      <c r="BG2207" s="652"/>
      <c r="BH2207" s="652"/>
      <c r="BI2207" s="652"/>
      <c r="BJ2207" s="652"/>
      <c r="BK2207" s="652"/>
      <c r="BL2207" s="652"/>
    </row>
    <row r="2208" spans="1:64" s="653" customFormat="1" ht="13">
      <c r="A2208" s="454"/>
      <c r="B2208" s="454"/>
      <c r="C2208" s="514" t="s">
        <v>726</v>
      </c>
      <c r="D2208" s="416">
        <f t="shared" ref="D2208:I2208" si="516">ROUND(D2207,0)</f>
        <v>824</v>
      </c>
      <c r="E2208" s="416">
        <f t="shared" si="516"/>
        <v>854</v>
      </c>
      <c r="F2208" s="416">
        <f t="shared" si="516"/>
        <v>883</v>
      </c>
      <c r="G2208" s="416">
        <f t="shared" si="516"/>
        <v>913</v>
      </c>
      <c r="H2208" s="416">
        <f t="shared" si="516"/>
        <v>942</v>
      </c>
      <c r="I2208" s="416">
        <f t="shared" si="516"/>
        <v>972</v>
      </c>
      <c r="J2208" s="533"/>
      <c r="K2208" s="534"/>
      <c r="L2208" s="534"/>
      <c r="M2208" s="652"/>
      <c r="N2208" s="652"/>
      <c r="O2208" s="652"/>
      <c r="P2208" s="652"/>
      <c r="Q2208" s="652"/>
      <c r="R2208" s="652"/>
      <c r="S2208" s="652"/>
      <c r="T2208" s="652"/>
      <c r="U2208" s="652"/>
      <c r="V2208" s="652"/>
      <c r="W2208" s="652"/>
      <c r="X2208" s="652"/>
      <c r="Y2208" s="652"/>
      <c r="Z2208" s="652"/>
      <c r="AA2208" s="652"/>
      <c r="AB2208" s="652"/>
      <c r="AC2208" s="652"/>
      <c r="AD2208" s="652"/>
      <c r="AE2208" s="652"/>
      <c r="AF2208" s="652"/>
      <c r="AG2208" s="652"/>
      <c r="AH2208" s="652"/>
      <c r="AI2208" s="652"/>
      <c r="AJ2208" s="652"/>
      <c r="AK2208" s="652"/>
      <c r="AL2208" s="652"/>
      <c r="AM2208" s="652"/>
      <c r="AN2208" s="652"/>
      <c r="AO2208" s="652"/>
      <c r="AP2208" s="652"/>
      <c r="AQ2208" s="652"/>
      <c r="AR2208" s="652"/>
      <c r="AS2208" s="652"/>
      <c r="AT2208" s="652"/>
      <c r="AU2208" s="652"/>
      <c r="AV2208" s="652"/>
      <c r="AW2208" s="652"/>
      <c r="AX2208" s="652"/>
      <c r="AY2208" s="652"/>
      <c r="AZ2208" s="652"/>
      <c r="BA2208" s="652"/>
      <c r="BB2208" s="652"/>
      <c r="BC2208" s="652"/>
      <c r="BD2208" s="652"/>
      <c r="BE2208" s="652"/>
      <c r="BF2208" s="652"/>
      <c r="BG2208" s="652"/>
      <c r="BH2208" s="652"/>
      <c r="BI2208" s="652"/>
      <c r="BJ2208" s="652"/>
      <c r="BK2208" s="652"/>
      <c r="BL2208" s="652"/>
    </row>
    <row r="2209" spans="1:64" s="653" customFormat="1" ht="13">
      <c r="A2209" s="454"/>
      <c r="B2209" s="454"/>
      <c r="C2209" s="514"/>
      <c r="D2209" s="416"/>
      <c r="E2209" s="416"/>
      <c r="F2209" s="416"/>
      <c r="G2209" s="416"/>
      <c r="H2209" s="416"/>
      <c r="I2209" s="416"/>
      <c r="J2209" s="533"/>
      <c r="K2209" s="534"/>
      <c r="L2209" s="534"/>
      <c r="M2209" s="652"/>
      <c r="N2209" s="652"/>
      <c r="O2209" s="652"/>
      <c r="P2209" s="652"/>
      <c r="Q2209" s="652"/>
      <c r="R2209" s="652"/>
      <c r="S2209" s="652"/>
      <c r="T2209" s="652"/>
      <c r="U2209" s="652"/>
      <c r="V2209" s="652"/>
      <c r="W2209" s="652"/>
      <c r="X2209" s="652"/>
      <c r="Y2209" s="652"/>
      <c r="Z2209" s="652"/>
      <c r="AA2209" s="652"/>
      <c r="AB2209" s="652"/>
      <c r="AC2209" s="652"/>
      <c r="AD2209" s="652"/>
      <c r="AE2209" s="652"/>
      <c r="AF2209" s="652"/>
      <c r="AG2209" s="652"/>
      <c r="AH2209" s="652"/>
      <c r="AI2209" s="652"/>
      <c r="AJ2209" s="652"/>
      <c r="AK2209" s="652"/>
      <c r="AL2209" s="652"/>
      <c r="AM2209" s="652"/>
      <c r="AN2209" s="652"/>
      <c r="AO2209" s="652"/>
      <c r="AP2209" s="652"/>
      <c r="AQ2209" s="652"/>
      <c r="AR2209" s="652"/>
      <c r="AS2209" s="652"/>
      <c r="AT2209" s="652"/>
      <c r="AU2209" s="652"/>
      <c r="AV2209" s="652"/>
      <c r="AW2209" s="652"/>
      <c r="AX2209" s="652"/>
      <c r="AY2209" s="652"/>
      <c r="AZ2209" s="652"/>
      <c r="BA2209" s="652"/>
      <c r="BB2209" s="652"/>
      <c r="BC2209" s="652"/>
      <c r="BD2209" s="652"/>
      <c r="BE2209" s="652"/>
      <c r="BF2209" s="652"/>
      <c r="BG2209" s="652"/>
      <c r="BH2209" s="652"/>
      <c r="BI2209" s="652"/>
      <c r="BJ2209" s="652"/>
      <c r="BK2209" s="652"/>
      <c r="BL2209" s="652"/>
    </row>
    <row r="2210" spans="1:64" s="653" customFormat="1" ht="13">
      <c r="A2210" s="454"/>
      <c r="B2210" s="415" t="s">
        <v>727</v>
      </c>
      <c r="C2210" s="427" t="s">
        <v>1101</v>
      </c>
      <c r="D2210" s="625"/>
      <c r="E2210" s="625"/>
      <c r="F2210" s="625"/>
      <c r="G2210" s="410"/>
      <c r="H2210" s="625"/>
      <c r="I2210" s="434"/>
      <c r="J2210" s="533"/>
      <c r="K2210" s="534"/>
      <c r="L2210" s="534"/>
      <c r="M2210" s="652"/>
      <c r="N2210" s="652"/>
      <c r="O2210" s="652"/>
      <c r="P2210" s="652"/>
      <c r="Q2210" s="652"/>
      <c r="R2210" s="652"/>
      <c r="S2210" s="652"/>
      <c r="T2210" s="652"/>
      <c r="U2210" s="652"/>
      <c r="V2210" s="652"/>
      <c r="W2210" s="652"/>
      <c r="X2210" s="652"/>
      <c r="Y2210" s="652"/>
      <c r="Z2210" s="652"/>
      <c r="AA2210" s="652"/>
      <c r="AB2210" s="652"/>
      <c r="AC2210" s="652"/>
      <c r="AD2210" s="652"/>
      <c r="AE2210" s="652"/>
      <c r="AF2210" s="652"/>
      <c r="AG2210" s="652"/>
      <c r="AH2210" s="652"/>
      <c r="AI2210" s="652"/>
      <c r="AJ2210" s="652"/>
      <c r="AK2210" s="652"/>
      <c r="AL2210" s="652"/>
      <c r="AM2210" s="652"/>
      <c r="AN2210" s="652"/>
      <c r="AO2210" s="652"/>
      <c r="AP2210" s="652"/>
      <c r="AQ2210" s="652"/>
      <c r="AR2210" s="652"/>
      <c r="AS2210" s="652"/>
      <c r="AT2210" s="652"/>
      <c r="AU2210" s="652"/>
      <c r="AV2210" s="652"/>
      <c r="AW2210" s="652"/>
      <c r="AX2210" s="652"/>
      <c r="AY2210" s="652"/>
      <c r="AZ2210" s="652"/>
      <c r="BA2210" s="652"/>
      <c r="BB2210" s="652"/>
      <c r="BC2210" s="652"/>
      <c r="BD2210" s="652"/>
      <c r="BE2210" s="652"/>
      <c r="BF2210" s="652"/>
      <c r="BG2210" s="652"/>
      <c r="BH2210" s="652"/>
      <c r="BI2210" s="652"/>
      <c r="BJ2210" s="652"/>
      <c r="BK2210" s="652"/>
      <c r="BL2210" s="652"/>
    </row>
    <row r="2211" spans="1:64" s="653" customFormat="1" ht="13">
      <c r="A2211" s="454"/>
      <c r="B2211" s="454"/>
      <c r="C2211" s="417" t="s">
        <v>1092</v>
      </c>
      <c r="D2211" s="491">
        <v>2.5000000000000001E-2</v>
      </c>
      <c r="E2211" s="647" t="s">
        <v>666</v>
      </c>
      <c r="F2211" s="409">
        <f>$I$2176</f>
        <v>6636.3781600000002</v>
      </c>
      <c r="G2211" s="410">
        <v>1</v>
      </c>
      <c r="H2211" s="647" t="s">
        <v>666</v>
      </c>
      <c r="I2211" s="408">
        <f>IF(G2211="",D2211*F2211,(D2211*F2211/G2211))</f>
        <v>165.90945400000001</v>
      </c>
      <c r="J2211" s="533"/>
      <c r="K2211" s="534"/>
      <c r="L2211" s="534"/>
      <c r="M2211" s="652"/>
      <c r="N2211" s="652"/>
      <c r="O2211" s="652"/>
      <c r="P2211" s="652"/>
      <c r="Q2211" s="652"/>
      <c r="R2211" s="652"/>
      <c r="S2211" s="652"/>
      <c r="T2211" s="652"/>
      <c r="U2211" s="652"/>
      <c r="V2211" s="652"/>
      <c r="W2211" s="652"/>
      <c r="X2211" s="652"/>
      <c r="Y2211" s="652"/>
      <c r="Z2211" s="652"/>
      <c r="AA2211" s="652"/>
      <c r="AB2211" s="652"/>
      <c r="AC2211" s="652"/>
      <c r="AD2211" s="652"/>
      <c r="AE2211" s="652"/>
      <c r="AF2211" s="652"/>
      <c r="AG2211" s="652"/>
      <c r="AH2211" s="652"/>
      <c r="AI2211" s="652"/>
      <c r="AJ2211" s="652"/>
      <c r="AK2211" s="652"/>
      <c r="AL2211" s="652"/>
      <c r="AM2211" s="652"/>
      <c r="AN2211" s="652"/>
      <c r="AO2211" s="652"/>
      <c r="AP2211" s="652"/>
      <c r="AQ2211" s="652"/>
      <c r="AR2211" s="652"/>
      <c r="AS2211" s="652"/>
      <c r="AT2211" s="652"/>
      <c r="AU2211" s="652"/>
      <c r="AV2211" s="652"/>
      <c r="AW2211" s="652"/>
      <c r="AX2211" s="652"/>
      <c r="AY2211" s="652"/>
      <c r="AZ2211" s="652"/>
      <c r="BA2211" s="652"/>
      <c r="BB2211" s="652"/>
      <c r="BC2211" s="652"/>
      <c r="BD2211" s="652"/>
      <c r="BE2211" s="652"/>
      <c r="BF2211" s="652"/>
      <c r="BG2211" s="652"/>
      <c r="BH2211" s="652"/>
      <c r="BI2211" s="652"/>
      <c r="BJ2211" s="652"/>
      <c r="BK2211" s="652"/>
      <c r="BL2211" s="652"/>
    </row>
    <row r="2212" spans="1:64" s="653" customFormat="1" ht="13">
      <c r="A2212" s="454"/>
      <c r="B2212" s="454"/>
      <c r="C2212" s="417" t="s">
        <v>1102</v>
      </c>
      <c r="D2212" s="625"/>
      <c r="E2212" s="625"/>
      <c r="F2212" s="625"/>
      <c r="G2212" s="410"/>
      <c r="H2212" s="625"/>
      <c r="I2212" s="434">
        <f>SUM(I2211:I2211)</f>
        <v>165.90945400000001</v>
      </c>
      <c r="J2212" s="533"/>
      <c r="K2212" s="534"/>
      <c r="L2212" s="534"/>
      <c r="M2212" s="652"/>
      <c r="N2212" s="652"/>
      <c r="O2212" s="652"/>
      <c r="P2212" s="652"/>
      <c r="Q2212" s="652"/>
      <c r="R2212" s="652"/>
      <c r="S2212" s="652"/>
      <c r="T2212" s="652"/>
      <c r="U2212" s="652"/>
      <c r="V2212" s="652"/>
      <c r="W2212" s="652"/>
      <c r="X2212" s="652"/>
      <c r="Y2212" s="652"/>
      <c r="Z2212" s="652"/>
      <c r="AA2212" s="652"/>
      <c r="AB2212" s="652"/>
      <c r="AC2212" s="652"/>
      <c r="AD2212" s="652"/>
      <c r="AE2212" s="652"/>
      <c r="AF2212" s="652"/>
      <c r="AG2212" s="652"/>
      <c r="AH2212" s="652"/>
      <c r="AI2212" s="652"/>
      <c r="AJ2212" s="652"/>
      <c r="AK2212" s="652"/>
      <c r="AL2212" s="652"/>
      <c r="AM2212" s="652"/>
      <c r="AN2212" s="652"/>
      <c r="AO2212" s="652"/>
      <c r="AP2212" s="652"/>
      <c r="AQ2212" s="652"/>
      <c r="AR2212" s="652"/>
      <c r="AS2212" s="652"/>
      <c r="AT2212" s="652"/>
      <c r="AU2212" s="652"/>
      <c r="AV2212" s="652"/>
      <c r="AW2212" s="652"/>
      <c r="AX2212" s="652"/>
      <c r="AY2212" s="652"/>
      <c r="AZ2212" s="652"/>
      <c r="BA2212" s="652"/>
      <c r="BB2212" s="652"/>
      <c r="BC2212" s="652"/>
      <c r="BD2212" s="652"/>
      <c r="BE2212" s="652"/>
      <c r="BF2212" s="652"/>
      <c r="BG2212" s="652"/>
      <c r="BH2212" s="652"/>
      <c r="BI2212" s="652"/>
      <c r="BJ2212" s="652"/>
      <c r="BK2212" s="652"/>
      <c r="BL2212" s="652"/>
    </row>
    <row r="2213" spans="1:64" s="653" customFormat="1" ht="13">
      <c r="A2213" s="454"/>
      <c r="B2213" s="454"/>
      <c r="C2213" s="427"/>
      <c r="D2213" s="416"/>
      <c r="E2213" s="416"/>
      <c r="F2213" s="416"/>
      <c r="G2213" s="416"/>
      <c r="H2213" s="416"/>
      <c r="I2213" s="414"/>
      <c r="J2213" s="533"/>
      <c r="K2213" s="534"/>
      <c r="L2213" s="534"/>
      <c r="M2213" s="652"/>
      <c r="N2213" s="652"/>
      <c r="O2213" s="652"/>
      <c r="P2213" s="652"/>
      <c r="Q2213" s="652"/>
      <c r="R2213" s="652"/>
      <c r="S2213" s="652"/>
      <c r="T2213" s="652"/>
      <c r="U2213" s="652"/>
      <c r="V2213" s="652"/>
      <c r="W2213" s="652"/>
      <c r="X2213" s="652"/>
      <c r="Y2213" s="652"/>
      <c r="Z2213" s="652"/>
      <c r="AA2213" s="652"/>
      <c r="AB2213" s="652"/>
      <c r="AC2213" s="652"/>
      <c r="AD2213" s="652"/>
      <c r="AE2213" s="652"/>
      <c r="AF2213" s="652"/>
      <c r="AG2213" s="652"/>
      <c r="AH2213" s="652"/>
      <c r="AI2213" s="652"/>
      <c r="AJ2213" s="652"/>
      <c r="AK2213" s="652"/>
      <c r="AL2213" s="652"/>
      <c r="AM2213" s="652"/>
      <c r="AN2213" s="652"/>
      <c r="AO2213" s="652"/>
      <c r="AP2213" s="652"/>
      <c r="AQ2213" s="652"/>
      <c r="AR2213" s="652"/>
      <c r="AS2213" s="652"/>
      <c r="AT2213" s="652"/>
      <c r="AU2213" s="652"/>
      <c r="AV2213" s="652"/>
      <c r="AW2213" s="652"/>
      <c r="AX2213" s="652"/>
      <c r="AY2213" s="652"/>
      <c r="AZ2213" s="652"/>
      <c r="BA2213" s="652"/>
      <c r="BB2213" s="652"/>
      <c r="BC2213" s="652"/>
      <c r="BD2213" s="652"/>
      <c r="BE2213" s="652"/>
      <c r="BF2213" s="652"/>
      <c r="BG2213" s="652"/>
      <c r="BH2213" s="652"/>
      <c r="BI2213" s="652"/>
      <c r="BJ2213" s="652"/>
      <c r="BK2213" s="652"/>
      <c r="BL2213" s="652"/>
    </row>
    <row r="2214" spans="1:64" s="653" customFormat="1" ht="13">
      <c r="A2214" s="454"/>
      <c r="B2214" s="454"/>
      <c r="C2214" s="427" t="s">
        <v>953</v>
      </c>
      <c r="D2214" s="414" t="s">
        <v>959</v>
      </c>
      <c r="E2214" s="416" t="s">
        <v>943</v>
      </c>
      <c r="F2214" s="415" t="s">
        <v>944</v>
      </c>
      <c r="G2214" s="415" t="s">
        <v>945</v>
      </c>
      <c r="H2214" s="415" t="s">
        <v>946</v>
      </c>
      <c r="I2214" s="415" t="s">
        <v>947</v>
      </c>
      <c r="J2214" s="533"/>
      <c r="K2214" s="534"/>
      <c r="L2214" s="534"/>
      <c r="M2214" s="652"/>
      <c r="N2214" s="652"/>
      <c r="O2214" s="652"/>
      <c r="P2214" s="652"/>
      <c r="Q2214" s="652"/>
      <c r="R2214" s="652"/>
      <c r="S2214" s="652"/>
      <c r="T2214" s="652"/>
      <c r="U2214" s="652"/>
      <c r="V2214" s="652"/>
      <c r="W2214" s="652"/>
      <c r="X2214" s="652"/>
      <c r="Y2214" s="652"/>
      <c r="Z2214" s="652"/>
      <c r="AA2214" s="652"/>
      <c r="AB2214" s="652"/>
      <c r="AC2214" s="652"/>
      <c r="AD2214" s="652"/>
      <c r="AE2214" s="652"/>
      <c r="AF2214" s="652"/>
      <c r="AG2214" s="652"/>
      <c r="AH2214" s="652"/>
      <c r="AI2214" s="652"/>
      <c r="AJ2214" s="652"/>
      <c r="AK2214" s="652"/>
      <c r="AL2214" s="652"/>
      <c r="AM2214" s="652"/>
      <c r="AN2214" s="652"/>
      <c r="AO2214" s="652"/>
      <c r="AP2214" s="652"/>
      <c r="AQ2214" s="652"/>
      <c r="AR2214" s="652"/>
      <c r="AS2214" s="652"/>
      <c r="AT2214" s="652"/>
      <c r="AU2214" s="652"/>
      <c r="AV2214" s="652"/>
      <c r="AW2214" s="652"/>
      <c r="AX2214" s="652"/>
      <c r="AY2214" s="652"/>
      <c r="AZ2214" s="652"/>
      <c r="BA2214" s="652"/>
      <c r="BB2214" s="652"/>
      <c r="BC2214" s="652"/>
      <c r="BD2214" s="652"/>
      <c r="BE2214" s="652"/>
      <c r="BF2214" s="652"/>
      <c r="BG2214" s="652"/>
      <c r="BH2214" s="652"/>
      <c r="BI2214" s="652"/>
      <c r="BJ2214" s="652"/>
      <c r="BK2214" s="652"/>
      <c r="BL2214" s="652"/>
    </row>
    <row r="2215" spans="1:64" s="653" customFormat="1" ht="13">
      <c r="A2215" s="458"/>
      <c r="B2215" s="458"/>
      <c r="C2215" s="417" t="s">
        <v>1064</v>
      </c>
      <c r="D2215" s="459">
        <f t="shared" ref="D2215:I2215" si="517">$I$2211</f>
        <v>165.90945400000001</v>
      </c>
      <c r="E2215" s="459">
        <f t="shared" si="517"/>
        <v>165.90945400000001</v>
      </c>
      <c r="F2215" s="459">
        <f t="shared" si="517"/>
        <v>165.90945400000001</v>
      </c>
      <c r="G2215" s="459">
        <f t="shared" si="517"/>
        <v>165.90945400000001</v>
      </c>
      <c r="H2215" s="459">
        <f t="shared" si="517"/>
        <v>165.90945400000001</v>
      </c>
      <c r="I2215" s="459">
        <f t="shared" si="517"/>
        <v>165.90945400000001</v>
      </c>
      <c r="J2215" s="533"/>
      <c r="K2215" s="534"/>
      <c r="L2215" s="534"/>
      <c r="M2215" s="652"/>
      <c r="N2215" s="652"/>
      <c r="O2215" s="652"/>
      <c r="P2215" s="652"/>
      <c r="Q2215" s="652"/>
      <c r="R2215" s="652"/>
      <c r="S2215" s="652"/>
      <c r="T2215" s="652"/>
      <c r="U2215" s="652"/>
      <c r="V2215" s="652"/>
      <c r="W2215" s="652"/>
      <c r="X2215" s="652"/>
      <c r="Y2215" s="652"/>
      <c r="Z2215" s="652"/>
      <c r="AA2215" s="652"/>
      <c r="AB2215" s="652"/>
      <c r="AC2215" s="652"/>
      <c r="AD2215" s="652"/>
      <c r="AE2215" s="652"/>
      <c r="AF2215" s="652"/>
      <c r="AG2215" s="652"/>
      <c r="AH2215" s="652"/>
      <c r="AI2215" s="652"/>
      <c r="AJ2215" s="652"/>
      <c r="AK2215" s="652"/>
      <c r="AL2215" s="652"/>
      <c r="AM2215" s="652"/>
      <c r="AN2215" s="652"/>
      <c r="AO2215" s="652"/>
      <c r="AP2215" s="652"/>
      <c r="AQ2215" s="652"/>
      <c r="AR2215" s="652"/>
      <c r="AS2215" s="652"/>
      <c r="AT2215" s="652"/>
      <c r="AU2215" s="652"/>
      <c r="AV2215" s="652"/>
      <c r="AW2215" s="652"/>
      <c r="AX2215" s="652"/>
      <c r="AY2215" s="652"/>
      <c r="AZ2215" s="652"/>
      <c r="BA2215" s="652"/>
      <c r="BB2215" s="652"/>
      <c r="BC2215" s="652"/>
      <c r="BD2215" s="652"/>
      <c r="BE2215" s="652"/>
      <c r="BF2215" s="652"/>
      <c r="BG2215" s="652"/>
      <c r="BH2215" s="652"/>
      <c r="BI2215" s="652"/>
      <c r="BJ2215" s="652"/>
      <c r="BK2215" s="652"/>
      <c r="BL2215" s="652"/>
    </row>
    <row r="2216" spans="1:64" s="653" customFormat="1" ht="25">
      <c r="A2216" s="458"/>
      <c r="B2216" s="458"/>
      <c r="C2216" s="417" t="s">
        <v>1103</v>
      </c>
      <c r="D2216" s="459">
        <f>'[161]Civil-SOR'!$F$280*25%</f>
        <v>44.25</v>
      </c>
      <c r="E2216" s="459">
        <f>'[161]Civil-SOR'!$F$280*25%</f>
        <v>44.25</v>
      </c>
      <c r="F2216" s="459">
        <f>'[161]Civil-SOR'!$F$280*25%</f>
        <v>44.25</v>
      </c>
      <c r="G2216" s="459">
        <f>'[161]Civil-SOR'!$F$280*25%</f>
        <v>44.25</v>
      </c>
      <c r="H2216" s="459">
        <f>'[161]Civil-SOR'!$F$280*25%</f>
        <v>44.25</v>
      </c>
      <c r="I2216" s="459">
        <f>'[161]Civil-SOR'!$F$280*25%</f>
        <v>44.25</v>
      </c>
      <c r="J2216" s="533"/>
      <c r="K2216" s="534"/>
      <c r="L2216" s="534"/>
      <c r="M2216" s="652"/>
      <c r="N2216" s="652"/>
      <c r="O2216" s="652"/>
      <c r="P2216" s="652"/>
      <c r="Q2216" s="652"/>
      <c r="R2216" s="652"/>
      <c r="S2216" s="652"/>
      <c r="T2216" s="652"/>
      <c r="U2216" s="652"/>
      <c r="V2216" s="652"/>
      <c r="W2216" s="652"/>
      <c r="X2216" s="652"/>
      <c r="Y2216" s="652"/>
      <c r="Z2216" s="652"/>
      <c r="AA2216" s="652"/>
      <c r="AB2216" s="652"/>
      <c r="AC2216" s="652"/>
      <c r="AD2216" s="652"/>
      <c r="AE2216" s="652"/>
      <c r="AF2216" s="652"/>
      <c r="AG2216" s="652"/>
      <c r="AH2216" s="652"/>
      <c r="AI2216" s="652"/>
      <c r="AJ2216" s="652"/>
      <c r="AK2216" s="652"/>
      <c r="AL2216" s="652"/>
      <c r="AM2216" s="652"/>
      <c r="AN2216" s="652"/>
      <c r="AO2216" s="652"/>
      <c r="AP2216" s="652"/>
      <c r="AQ2216" s="652"/>
      <c r="AR2216" s="652"/>
      <c r="AS2216" s="652"/>
      <c r="AT2216" s="652"/>
      <c r="AU2216" s="652"/>
      <c r="AV2216" s="652"/>
      <c r="AW2216" s="652"/>
      <c r="AX2216" s="652"/>
      <c r="AY2216" s="652"/>
      <c r="AZ2216" s="652"/>
      <c r="BA2216" s="652"/>
      <c r="BB2216" s="652"/>
      <c r="BC2216" s="652"/>
      <c r="BD2216" s="652"/>
      <c r="BE2216" s="652"/>
      <c r="BF2216" s="652"/>
      <c r="BG2216" s="652"/>
      <c r="BH2216" s="652"/>
      <c r="BI2216" s="652"/>
      <c r="BJ2216" s="652"/>
      <c r="BK2216" s="652"/>
      <c r="BL2216" s="652"/>
    </row>
    <row r="2217" spans="1:64" s="653" customFormat="1" ht="13">
      <c r="A2217" s="458"/>
      <c r="B2217" s="458"/>
      <c r="C2217" s="417" t="s">
        <v>1010</v>
      </c>
      <c r="D2217" s="459">
        <f>'[161]Civil-SOR'!$G$280*25%</f>
        <v>49.75</v>
      </c>
      <c r="E2217" s="459">
        <f>'[161]Civil-SOR'!$H$280*25%</f>
        <v>54.75</v>
      </c>
      <c r="F2217" s="459">
        <f>'[161]Civil-SOR'!$I$280*25%</f>
        <v>59.75</v>
      </c>
      <c r="G2217" s="459">
        <f>'[161]Civil-SOR'!$J$280*25%</f>
        <v>64.75</v>
      </c>
      <c r="H2217" s="459">
        <f>'[161]Civil-SOR'!$K$280*25%</f>
        <v>69.75</v>
      </c>
      <c r="I2217" s="459">
        <f>'[161]Civil-SOR'!$L$280*25%</f>
        <v>74.75</v>
      </c>
      <c r="J2217" s="533"/>
      <c r="K2217" s="534"/>
      <c r="L2217" s="534"/>
      <c r="M2217" s="652"/>
      <c r="N2217" s="652"/>
      <c r="O2217" s="652"/>
      <c r="P2217" s="652"/>
      <c r="Q2217" s="652"/>
      <c r="R2217" s="652"/>
      <c r="S2217" s="652"/>
      <c r="T2217" s="652"/>
      <c r="U2217" s="652"/>
      <c r="V2217" s="652"/>
      <c r="W2217" s="652"/>
      <c r="X2217" s="652"/>
      <c r="Y2217" s="652"/>
      <c r="Z2217" s="652"/>
      <c r="AA2217" s="652"/>
      <c r="AB2217" s="652"/>
      <c r="AC2217" s="652"/>
      <c r="AD2217" s="652"/>
      <c r="AE2217" s="652"/>
      <c r="AF2217" s="652"/>
      <c r="AG2217" s="652"/>
      <c r="AH2217" s="652"/>
      <c r="AI2217" s="652"/>
      <c r="AJ2217" s="652"/>
      <c r="AK2217" s="652"/>
      <c r="AL2217" s="652"/>
      <c r="AM2217" s="652"/>
      <c r="AN2217" s="652"/>
      <c r="AO2217" s="652"/>
      <c r="AP2217" s="652"/>
      <c r="AQ2217" s="652"/>
      <c r="AR2217" s="652"/>
      <c r="AS2217" s="652"/>
      <c r="AT2217" s="652"/>
      <c r="AU2217" s="652"/>
      <c r="AV2217" s="652"/>
      <c r="AW2217" s="652"/>
      <c r="AX2217" s="652"/>
      <c r="AY2217" s="652"/>
      <c r="AZ2217" s="652"/>
      <c r="BA2217" s="652"/>
      <c r="BB2217" s="652"/>
      <c r="BC2217" s="652"/>
      <c r="BD2217" s="652"/>
      <c r="BE2217" s="652"/>
      <c r="BF2217" s="652"/>
      <c r="BG2217" s="652"/>
      <c r="BH2217" s="652"/>
      <c r="BI2217" s="652"/>
      <c r="BJ2217" s="652"/>
      <c r="BK2217" s="652"/>
      <c r="BL2217" s="652"/>
    </row>
    <row r="2218" spans="1:64" s="653" customFormat="1" ht="13">
      <c r="A2218" s="458"/>
      <c r="B2218" s="458"/>
      <c r="C2218" s="417" t="str">
        <f>[161]Input!$C$47</f>
        <v>Add for MA @ 40%</v>
      </c>
      <c r="D2218" s="459">
        <f>D2217*[161]Input!$D$47</f>
        <v>19.900000000000002</v>
      </c>
      <c r="E2218" s="459">
        <f>E2217*[161]Input!$D$47</f>
        <v>21.900000000000002</v>
      </c>
      <c r="F2218" s="459">
        <f>F2217*[161]Input!$D$47</f>
        <v>23.900000000000002</v>
      </c>
      <c r="G2218" s="459">
        <f>G2217*[161]Input!$D$47</f>
        <v>25.900000000000002</v>
      </c>
      <c r="H2218" s="459">
        <f>H2217*[161]Input!$D$47</f>
        <v>27.900000000000002</v>
      </c>
      <c r="I2218" s="459">
        <f>I2217*[161]Input!$D$47</f>
        <v>29.900000000000002</v>
      </c>
      <c r="J2218" s="533"/>
      <c r="K2218" s="534"/>
      <c r="L2218" s="534"/>
      <c r="M2218" s="652"/>
      <c r="N2218" s="652"/>
      <c r="O2218" s="652"/>
      <c r="P2218" s="652"/>
      <c r="Q2218" s="652"/>
      <c r="R2218" s="652"/>
      <c r="S2218" s="652"/>
      <c r="T2218" s="652"/>
      <c r="U2218" s="652"/>
      <c r="V2218" s="652"/>
      <c r="W2218" s="652"/>
      <c r="X2218" s="652"/>
      <c r="Y2218" s="652"/>
      <c r="Z2218" s="652"/>
      <c r="AA2218" s="652"/>
      <c r="AB2218" s="652"/>
      <c r="AC2218" s="652"/>
      <c r="AD2218" s="652"/>
      <c r="AE2218" s="652"/>
      <c r="AF2218" s="652"/>
      <c r="AG2218" s="652"/>
      <c r="AH2218" s="652"/>
      <c r="AI2218" s="652"/>
      <c r="AJ2218" s="652"/>
      <c r="AK2218" s="652"/>
      <c r="AL2218" s="652"/>
      <c r="AM2218" s="652"/>
      <c r="AN2218" s="652"/>
      <c r="AO2218" s="652"/>
      <c r="AP2218" s="652"/>
      <c r="AQ2218" s="652"/>
      <c r="AR2218" s="652"/>
      <c r="AS2218" s="652"/>
      <c r="AT2218" s="652"/>
      <c r="AU2218" s="652"/>
      <c r="AV2218" s="652"/>
      <c r="AW2218" s="652"/>
      <c r="AX2218" s="652"/>
      <c r="AY2218" s="652"/>
      <c r="AZ2218" s="652"/>
      <c r="BA2218" s="652"/>
      <c r="BB2218" s="652"/>
      <c r="BC2218" s="652"/>
      <c r="BD2218" s="652"/>
      <c r="BE2218" s="652"/>
      <c r="BF2218" s="652"/>
      <c r="BG2218" s="652"/>
      <c r="BH2218" s="652"/>
      <c r="BI2218" s="652"/>
      <c r="BJ2218" s="652"/>
      <c r="BK2218" s="652"/>
      <c r="BL2218" s="652"/>
    </row>
    <row r="2219" spans="1:64" s="653" customFormat="1" ht="13">
      <c r="A2219" s="458"/>
      <c r="B2219" s="458"/>
      <c r="C2219" s="417" t="s">
        <v>994</v>
      </c>
      <c r="D2219" s="459">
        <v>0</v>
      </c>
      <c r="E2219" s="459">
        <f>$F$2170*10%*$D$2211</f>
        <v>4.2801250000000008</v>
      </c>
      <c r="F2219" s="459">
        <f>$F$2170*20%*$D$2211</f>
        <v>8.5602500000000017</v>
      </c>
      <c r="G2219" s="459">
        <f>$F$2170*30%*$D$2211</f>
        <v>12.840375000000002</v>
      </c>
      <c r="H2219" s="459">
        <f>$F$2170*40%*$D$2211</f>
        <v>17.120500000000003</v>
      </c>
      <c r="I2219" s="459">
        <f>$F$2170*50%*$D$2211</f>
        <v>21.400625000000002</v>
      </c>
      <c r="J2219" s="533"/>
      <c r="K2219" s="534"/>
      <c r="L2219" s="534"/>
      <c r="M2219" s="652"/>
      <c r="N2219" s="652"/>
      <c r="O2219" s="652"/>
      <c r="P2219" s="652"/>
      <c r="Q2219" s="652"/>
      <c r="R2219" s="652"/>
      <c r="S2219" s="652"/>
      <c r="T2219" s="652"/>
      <c r="U2219" s="652"/>
      <c r="V2219" s="652"/>
      <c r="W2219" s="652"/>
      <c r="X2219" s="652"/>
      <c r="Y2219" s="652"/>
      <c r="Z2219" s="652"/>
      <c r="AA2219" s="652"/>
      <c r="AB2219" s="652"/>
      <c r="AC2219" s="652"/>
      <c r="AD2219" s="652"/>
      <c r="AE2219" s="652"/>
      <c r="AF2219" s="652"/>
      <c r="AG2219" s="652"/>
      <c r="AH2219" s="652"/>
      <c r="AI2219" s="652"/>
      <c r="AJ2219" s="652"/>
      <c r="AK2219" s="652"/>
      <c r="AL2219" s="652"/>
      <c r="AM2219" s="652"/>
      <c r="AN2219" s="652"/>
      <c r="AO2219" s="652"/>
      <c r="AP2219" s="652"/>
      <c r="AQ2219" s="652"/>
      <c r="AR2219" s="652"/>
      <c r="AS2219" s="652"/>
      <c r="AT2219" s="652"/>
      <c r="AU2219" s="652"/>
      <c r="AV2219" s="652"/>
      <c r="AW2219" s="652"/>
      <c r="AX2219" s="652"/>
      <c r="AY2219" s="652"/>
      <c r="AZ2219" s="652"/>
      <c r="BA2219" s="652"/>
      <c r="BB2219" s="652"/>
      <c r="BC2219" s="652"/>
      <c r="BD2219" s="652"/>
      <c r="BE2219" s="652"/>
      <c r="BF2219" s="652"/>
      <c r="BG2219" s="652"/>
      <c r="BH2219" s="652"/>
      <c r="BI2219" s="652"/>
      <c r="BJ2219" s="652"/>
      <c r="BK2219" s="652"/>
      <c r="BL2219" s="652"/>
    </row>
    <row r="2220" spans="1:64" s="653" customFormat="1" ht="13">
      <c r="A2220" s="458"/>
      <c r="B2220" s="458"/>
      <c r="C2220" s="417" t="str">
        <f>[161]Input!$C$47</f>
        <v>Add for MA @ 40%</v>
      </c>
      <c r="D2220" s="459">
        <f>D2219*[161]Input!$D$47</f>
        <v>0</v>
      </c>
      <c r="E2220" s="459">
        <f>E2219*[161]Input!$D$47</f>
        <v>1.7120500000000005</v>
      </c>
      <c r="F2220" s="459">
        <f>F2219*[161]Input!$D$47</f>
        <v>3.424100000000001</v>
      </c>
      <c r="G2220" s="459">
        <f>G2219*[161]Input!$D$47</f>
        <v>5.1361500000000007</v>
      </c>
      <c r="H2220" s="459">
        <f>H2219*[161]Input!$D$47</f>
        <v>6.8482000000000021</v>
      </c>
      <c r="I2220" s="459">
        <f>I2219*[161]Input!$D$47</f>
        <v>8.5602500000000017</v>
      </c>
      <c r="J2220" s="533"/>
      <c r="K2220" s="534"/>
      <c r="L2220" s="534"/>
      <c r="M2220" s="652"/>
      <c r="N2220" s="652"/>
      <c r="O2220" s="652"/>
      <c r="P2220" s="652"/>
      <c r="Q2220" s="652"/>
      <c r="R2220" s="652"/>
      <c r="S2220" s="652"/>
      <c r="T2220" s="652"/>
      <c r="U2220" s="652"/>
      <c r="V2220" s="652"/>
      <c r="W2220" s="652"/>
      <c r="X2220" s="652"/>
      <c r="Y2220" s="652"/>
      <c r="Z2220" s="652"/>
      <c r="AA2220" s="652"/>
      <c r="AB2220" s="652"/>
      <c r="AC2220" s="652"/>
      <c r="AD2220" s="652"/>
      <c r="AE2220" s="652"/>
      <c r="AF2220" s="652"/>
      <c r="AG2220" s="652"/>
      <c r="AH2220" s="652"/>
      <c r="AI2220" s="652"/>
      <c r="AJ2220" s="652"/>
      <c r="AK2220" s="652"/>
      <c r="AL2220" s="652"/>
      <c r="AM2220" s="652"/>
      <c r="AN2220" s="652"/>
      <c r="AO2220" s="652"/>
      <c r="AP2220" s="652"/>
      <c r="AQ2220" s="652"/>
      <c r="AR2220" s="652"/>
      <c r="AS2220" s="652"/>
      <c r="AT2220" s="652"/>
      <c r="AU2220" s="652"/>
      <c r="AV2220" s="652"/>
      <c r="AW2220" s="652"/>
      <c r="AX2220" s="652"/>
      <c r="AY2220" s="652"/>
      <c r="AZ2220" s="652"/>
      <c r="BA2220" s="652"/>
      <c r="BB2220" s="652"/>
      <c r="BC2220" s="652"/>
      <c r="BD2220" s="652"/>
      <c r="BE2220" s="652"/>
      <c r="BF2220" s="652"/>
      <c r="BG2220" s="652"/>
      <c r="BH2220" s="652"/>
      <c r="BI2220" s="652"/>
      <c r="BJ2220" s="652"/>
      <c r="BK2220" s="652"/>
      <c r="BL2220" s="652"/>
    </row>
    <row r="2221" spans="1:64" s="653" customFormat="1" ht="13">
      <c r="A2221" s="458"/>
      <c r="B2221" s="458"/>
      <c r="C2221" s="427" t="s">
        <v>742</v>
      </c>
      <c r="D2221" s="461">
        <f t="shared" ref="D2221:I2221" si="518">SUM(D2215:D2220)</f>
        <v>279.80945399999996</v>
      </c>
      <c r="E2221" s="461">
        <f t="shared" si="518"/>
        <v>292.80162899999993</v>
      </c>
      <c r="F2221" s="461">
        <f t="shared" si="518"/>
        <v>305.79380399999997</v>
      </c>
      <c r="G2221" s="461">
        <f t="shared" si="518"/>
        <v>318.78597899999994</v>
      </c>
      <c r="H2221" s="461">
        <f t="shared" si="518"/>
        <v>331.77815399999997</v>
      </c>
      <c r="I2221" s="461">
        <f t="shared" si="518"/>
        <v>344.77032899999995</v>
      </c>
      <c r="J2221" s="533"/>
      <c r="K2221" s="534"/>
      <c r="L2221" s="534"/>
      <c r="M2221" s="652"/>
      <c r="N2221" s="652"/>
      <c r="O2221" s="652"/>
      <c r="P2221" s="652"/>
      <c r="Q2221" s="652"/>
      <c r="R2221" s="652"/>
      <c r="S2221" s="652"/>
      <c r="T2221" s="652"/>
      <c r="U2221" s="652"/>
      <c r="V2221" s="652"/>
      <c r="W2221" s="652"/>
      <c r="X2221" s="652"/>
      <c r="Y2221" s="652"/>
      <c r="Z2221" s="652"/>
      <c r="AA2221" s="652"/>
      <c r="AB2221" s="652"/>
      <c r="AC2221" s="652"/>
      <c r="AD2221" s="652"/>
      <c r="AE2221" s="652"/>
      <c r="AF2221" s="652"/>
      <c r="AG2221" s="652"/>
      <c r="AH2221" s="652"/>
      <c r="AI2221" s="652"/>
      <c r="AJ2221" s="652"/>
      <c r="AK2221" s="652"/>
      <c r="AL2221" s="652"/>
      <c r="AM2221" s="652"/>
      <c r="AN2221" s="652"/>
      <c r="AO2221" s="652"/>
      <c r="AP2221" s="652"/>
      <c r="AQ2221" s="652"/>
      <c r="AR2221" s="652"/>
      <c r="AS2221" s="652"/>
      <c r="AT2221" s="652"/>
      <c r="AU2221" s="652"/>
      <c r="AV2221" s="652"/>
      <c r="AW2221" s="652"/>
      <c r="AX2221" s="652"/>
      <c r="AY2221" s="652"/>
      <c r="AZ2221" s="652"/>
      <c r="BA2221" s="652"/>
      <c r="BB2221" s="652"/>
      <c r="BC2221" s="652"/>
      <c r="BD2221" s="652"/>
      <c r="BE2221" s="652"/>
      <c r="BF2221" s="652"/>
      <c r="BG2221" s="652"/>
      <c r="BH2221" s="652"/>
      <c r="BI2221" s="652"/>
      <c r="BJ2221" s="652"/>
      <c r="BK2221" s="652"/>
      <c r="BL2221" s="652"/>
    </row>
    <row r="2222" spans="1:64" s="653" customFormat="1" ht="25">
      <c r="A2222" s="458"/>
      <c r="B2222" s="458"/>
      <c r="C2222" s="620" t="str">
        <f>[161]Input!$C$48</f>
        <v>Overheads &amp; Contractors Profit @ 13.615%</v>
      </c>
      <c r="D2222" s="459">
        <f>D2221*[161]Input!$D$48</f>
        <v>38.096057162099996</v>
      </c>
      <c r="E2222" s="459">
        <f>E2221*[161]Input!$D$48</f>
        <v>39.864941788349988</v>
      </c>
      <c r="F2222" s="459">
        <f>F2221*[161]Input!$D$48</f>
        <v>41.633826414599994</v>
      </c>
      <c r="G2222" s="459">
        <f>G2221*[161]Input!$D$48</f>
        <v>43.402711040849987</v>
      </c>
      <c r="H2222" s="459">
        <f>H2221*[161]Input!$D$48</f>
        <v>45.171595667099993</v>
      </c>
      <c r="I2222" s="459">
        <f>I2221*[161]Input!$D$48</f>
        <v>46.940480293349992</v>
      </c>
      <c r="J2222" s="533"/>
      <c r="K2222" s="534"/>
      <c r="L2222" s="534"/>
      <c r="M2222" s="652"/>
      <c r="N2222" s="652"/>
      <c r="O2222" s="652"/>
      <c r="P2222" s="652"/>
      <c r="Q2222" s="652"/>
      <c r="R2222" s="652"/>
      <c r="S2222" s="652"/>
      <c r="T2222" s="652"/>
      <c r="U2222" s="652"/>
      <c r="V2222" s="652"/>
      <c r="W2222" s="652"/>
      <c r="X2222" s="652"/>
      <c r="Y2222" s="652"/>
      <c r="Z2222" s="652"/>
      <c r="AA2222" s="652"/>
      <c r="AB2222" s="652"/>
      <c r="AC2222" s="652"/>
      <c r="AD2222" s="652"/>
      <c r="AE2222" s="652"/>
      <c r="AF2222" s="652"/>
      <c r="AG2222" s="652"/>
      <c r="AH2222" s="652"/>
      <c r="AI2222" s="652"/>
      <c r="AJ2222" s="652"/>
      <c r="AK2222" s="652"/>
      <c r="AL2222" s="652"/>
      <c r="AM2222" s="652"/>
      <c r="AN2222" s="652"/>
      <c r="AO2222" s="652"/>
      <c r="AP2222" s="652"/>
      <c r="AQ2222" s="652"/>
      <c r="AR2222" s="652"/>
      <c r="AS2222" s="652"/>
      <c r="AT2222" s="652"/>
      <c r="AU2222" s="652"/>
      <c r="AV2222" s="652"/>
      <c r="AW2222" s="652"/>
      <c r="AX2222" s="652"/>
      <c r="AY2222" s="652"/>
      <c r="AZ2222" s="652"/>
      <c r="BA2222" s="652"/>
      <c r="BB2222" s="652"/>
      <c r="BC2222" s="652"/>
      <c r="BD2222" s="652"/>
      <c r="BE2222" s="652"/>
      <c r="BF2222" s="652"/>
      <c r="BG2222" s="652"/>
      <c r="BH2222" s="652"/>
      <c r="BI2222" s="652"/>
      <c r="BJ2222" s="652"/>
      <c r="BK2222" s="652"/>
      <c r="BL2222" s="652"/>
    </row>
    <row r="2223" spans="1:64" s="653" customFormat="1" ht="13">
      <c r="A2223" s="458"/>
      <c r="B2223" s="458"/>
      <c r="C2223" s="427" t="s">
        <v>742</v>
      </c>
      <c r="D2223" s="459">
        <f t="shared" ref="D2223:I2223" si="519">SUM(D2221:D2222)</f>
        <v>317.90551116209997</v>
      </c>
      <c r="E2223" s="459">
        <f t="shared" si="519"/>
        <v>332.66657078834993</v>
      </c>
      <c r="F2223" s="459">
        <f t="shared" si="519"/>
        <v>347.42763041459995</v>
      </c>
      <c r="G2223" s="459">
        <f t="shared" si="519"/>
        <v>362.18869004084991</v>
      </c>
      <c r="H2223" s="459">
        <f t="shared" si="519"/>
        <v>376.94974966709998</v>
      </c>
      <c r="I2223" s="459">
        <f t="shared" si="519"/>
        <v>391.71080929334994</v>
      </c>
      <c r="J2223" s="533"/>
      <c r="K2223" s="534"/>
      <c r="L2223" s="534"/>
      <c r="M2223" s="652"/>
      <c r="N2223" s="652"/>
      <c r="O2223" s="652"/>
      <c r="P2223" s="652"/>
      <c r="Q2223" s="652"/>
      <c r="R2223" s="652"/>
      <c r="S2223" s="652"/>
      <c r="T2223" s="652"/>
      <c r="U2223" s="652"/>
      <c r="V2223" s="652"/>
      <c r="W2223" s="652"/>
      <c r="X2223" s="652"/>
      <c r="Y2223" s="652"/>
      <c r="Z2223" s="652"/>
      <c r="AA2223" s="652"/>
      <c r="AB2223" s="652"/>
      <c r="AC2223" s="652"/>
      <c r="AD2223" s="652"/>
      <c r="AE2223" s="652"/>
      <c r="AF2223" s="652"/>
      <c r="AG2223" s="652"/>
      <c r="AH2223" s="652"/>
      <c r="AI2223" s="652"/>
      <c r="AJ2223" s="652"/>
      <c r="AK2223" s="652"/>
      <c r="AL2223" s="652"/>
      <c r="AM2223" s="652"/>
      <c r="AN2223" s="652"/>
      <c r="AO2223" s="652"/>
      <c r="AP2223" s="652"/>
      <c r="AQ2223" s="652"/>
      <c r="AR2223" s="652"/>
      <c r="AS2223" s="652"/>
      <c r="AT2223" s="652"/>
      <c r="AU2223" s="652"/>
      <c r="AV2223" s="652"/>
      <c r="AW2223" s="652"/>
      <c r="AX2223" s="652"/>
      <c r="AY2223" s="652"/>
      <c r="AZ2223" s="652"/>
      <c r="BA2223" s="652"/>
      <c r="BB2223" s="652"/>
      <c r="BC2223" s="652"/>
      <c r="BD2223" s="652"/>
      <c r="BE2223" s="652"/>
      <c r="BF2223" s="652"/>
      <c r="BG2223" s="652"/>
      <c r="BH2223" s="652"/>
      <c r="BI2223" s="652"/>
      <c r="BJ2223" s="652"/>
      <c r="BK2223" s="652"/>
      <c r="BL2223" s="652"/>
    </row>
    <row r="2224" spans="1:64" s="653" customFormat="1" ht="13">
      <c r="A2224" s="454"/>
      <c r="B2224" s="454"/>
      <c r="C2224" s="514" t="s">
        <v>726</v>
      </c>
      <c r="D2224" s="416">
        <f t="shared" ref="D2224:I2224" si="520">ROUND(D2223,0)</f>
        <v>318</v>
      </c>
      <c r="E2224" s="416">
        <f t="shared" si="520"/>
        <v>333</v>
      </c>
      <c r="F2224" s="416">
        <f t="shared" si="520"/>
        <v>347</v>
      </c>
      <c r="G2224" s="416">
        <f t="shared" si="520"/>
        <v>362</v>
      </c>
      <c r="H2224" s="416">
        <f t="shared" si="520"/>
        <v>377</v>
      </c>
      <c r="I2224" s="416">
        <f t="shared" si="520"/>
        <v>392</v>
      </c>
      <c r="J2224" s="533"/>
      <c r="K2224" s="534"/>
      <c r="L2224" s="534"/>
      <c r="M2224" s="652"/>
      <c r="N2224" s="652"/>
      <c r="O2224" s="652"/>
      <c r="P2224" s="652"/>
      <c r="Q2224" s="652"/>
      <c r="R2224" s="652"/>
      <c r="S2224" s="652"/>
      <c r="T2224" s="652"/>
      <c r="U2224" s="652"/>
      <c r="V2224" s="652"/>
      <c r="W2224" s="652"/>
      <c r="X2224" s="652"/>
      <c r="Y2224" s="652"/>
      <c r="Z2224" s="652"/>
      <c r="AA2224" s="652"/>
      <c r="AB2224" s="652"/>
      <c r="AC2224" s="652"/>
      <c r="AD2224" s="652"/>
      <c r="AE2224" s="652"/>
      <c r="AF2224" s="652"/>
      <c r="AG2224" s="652"/>
      <c r="AH2224" s="652"/>
      <c r="AI2224" s="652"/>
      <c r="AJ2224" s="652"/>
      <c r="AK2224" s="652"/>
      <c r="AL2224" s="652"/>
      <c r="AM2224" s="652"/>
      <c r="AN2224" s="652"/>
      <c r="AO2224" s="652"/>
      <c r="AP2224" s="652"/>
      <c r="AQ2224" s="652"/>
      <c r="AR2224" s="652"/>
      <c r="AS2224" s="652"/>
      <c r="AT2224" s="652"/>
      <c r="AU2224" s="652"/>
      <c r="AV2224" s="652"/>
      <c r="AW2224" s="652"/>
      <c r="AX2224" s="652"/>
      <c r="AY2224" s="652"/>
      <c r="AZ2224" s="652"/>
      <c r="BA2224" s="652"/>
      <c r="BB2224" s="652"/>
      <c r="BC2224" s="652"/>
      <c r="BD2224" s="652"/>
      <c r="BE2224" s="652"/>
      <c r="BF2224" s="652"/>
      <c r="BG2224" s="652"/>
      <c r="BH2224" s="652"/>
      <c r="BI2224" s="652"/>
      <c r="BJ2224" s="652"/>
      <c r="BK2224" s="652"/>
      <c r="BL2224" s="652"/>
    </row>
    <row r="2225" spans="1:64" s="653" customFormat="1" ht="13">
      <c r="A2225" s="454"/>
      <c r="B2225" s="454"/>
      <c r="C2225" s="514"/>
      <c r="D2225" s="416"/>
      <c r="E2225" s="416"/>
      <c r="F2225" s="416"/>
      <c r="G2225" s="416"/>
      <c r="H2225" s="416"/>
      <c r="I2225" s="416"/>
      <c r="J2225" s="533"/>
      <c r="K2225" s="534"/>
      <c r="L2225" s="534"/>
      <c r="M2225" s="652"/>
      <c r="N2225" s="652"/>
      <c r="O2225" s="652"/>
      <c r="P2225" s="652"/>
      <c r="Q2225" s="652"/>
      <c r="R2225" s="652"/>
      <c r="S2225" s="652"/>
      <c r="T2225" s="652"/>
      <c r="U2225" s="652"/>
      <c r="V2225" s="652"/>
      <c r="W2225" s="652"/>
      <c r="X2225" s="652"/>
      <c r="Y2225" s="652"/>
      <c r="Z2225" s="652"/>
      <c r="AA2225" s="652"/>
      <c r="AB2225" s="652"/>
      <c r="AC2225" s="652"/>
      <c r="AD2225" s="652"/>
      <c r="AE2225" s="652"/>
      <c r="AF2225" s="652"/>
      <c r="AG2225" s="652"/>
      <c r="AH2225" s="652"/>
      <c r="AI2225" s="652"/>
      <c r="AJ2225" s="652"/>
      <c r="AK2225" s="652"/>
      <c r="AL2225" s="652"/>
      <c r="AM2225" s="652"/>
      <c r="AN2225" s="652"/>
      <c r="AO2225" s="652"/>
      <c r="AP2225" s="652"/>
      <c r="AQ2225" s="652"/>
      <c r="AR2225" s="652"/>
      <c r="AS2225" s="652"/>
      <c r="AT2225" s="652"/>
      <c r="AU2225" s="652"/>
      <c r="AV2225" s="652"/>
      <c r="AW2225" s="652"/>
      <c r="AX2225" s="652"/>
      <c r="AY2225" s="652"/>
      <c r="AZ2225" s="652"/>
      <c r="BA2225" s="652"/>
      <c r="BB2225" s="652"/>
      <c r="BC2225" s="652"/>
      <c r="BD2225" s="652"/>
      <c r="BE2225" s="652"/>
      <c r="BF2225" s="652"/>
      <c r="BG2225" s="652"/>
      <c r="BH2225" s="652"/>
      <c r="BI2225" s="652"/>
      <c r="BJ2225" s="652"/>
      <c r="BK2225" s="652"/>
      <c r="BL2225" s="652"/>
    </row>
    <row r="2226" spans="1:64" ht="114.25" customHeight="1">
      <c r="A2226" s="426">
        <f>1+A2160</f>
        <v>8</v>
      </c>
      <c r="B2226" s="426"/>
      <c r="C2226" s="1276" t="s">
        <v>1106</v>
      </c>
      <c r="D2226" s="1276"/>
      <c r="E2226" s="1276"/>
      <c r="F2226" s="1276"/>
      <c r="G2226" s="1276"/>
      <c r="H2226" s="1276"/>
      <c r="I2226" s="407"/>
      <c r="J2226" s="400"/>
      <c r="K2226" s="401"/>
      <c r="L2226" s="401"/>
      <c r="M2226" s="404"/>
      <c r="N2226" s="404"/>
      <c r="O2226" s="404"/>
      <c r="P2226" s="404"/>
      <c r="Q2226" s="404"/>
      <c r="R2226" s="404"/>
      <c r="S2226" s="404"/>
      <c r="T2226" s="404"/>
      <c r="U2226" s="404"/>
      <c r="V2226" s="404"/>
      <c r="W2226" s="404"/>
      <c r="X2226" s="404"/>
      <c r="Y2226" s="404"/>
      <c r="Z2226" s="404"/>
      <c r="AA2226" s="404"/>
      <c r="AB2226" s="404"/>
      <c r="AC2226" s="404"/>
      <c r="AD2226" s="404"/>
      <c r="AE2226" s="404"/>
      <c r="AF2226" s="404"/>
      <c r="AG2226" s="404"/>
      <c r="AH2226" s="404"/>
      <c r="AI2226" s="404"/>
      <c r="AJ2226" s="404"/>
      <c r="AK2226" s="404"/>
      <c r="AL2226" s="404"/>
      <c r="AM2226" s="404"/>
      <c r="AN2226" s="404"/>
      <c r="AO2226" s="404"/>
      <c r="AP2226" s="404"/>
      <c r="AQ2226" s="404"/>
      <c r="AR2226" s="404"/>
      <c r="AS2226" s="404"/>
      <c r="AT2226" s="404"/>
      <c r="AU2226" s="404"/>
      <c r="AV2226" s="404"/>
      <c r="AW2226" s="404"/>
      <c r="AX2226" s="404"/>
      <c r="AY2226" s="404"/>
      <c r="AZ2226" s="404"/>
      <c r="BA2226" s="404"/>
      <c r="BB2226" s="404"/>
      <c r="BC2226" s="404"/>
      <c r="BD2226" s="404"/>
      <c r="BE2226" s="404"/>
      <c r="BF2226" s="404"/>
      <c r="BG2226" s="404"/>
      <c r="BH2226" s="404"/>
      <c r="BI2226" s="404"/>
      <c r="BJ2226" s="404"/>
      <c r="BK2226" s="404"/>
      <c r="BL2226" s="404"/>
    </row>
    <row r="2227" spans="1:64" ht="13">
      <c r="A2227" s="426"/>
      <c r="B2227" s="426"/>
      <c r="C2227" s="455" t="s">
        <v>1107</v>
      </c>
      <c r="D2227" s="407"/>
      <c r="E2227" s="407"/>
      <c r="F2227" s="407"/>
      <c r="G2227" s="407"/>
      <c r="H2227" s="407"/>
      <c r="I2227" s="422"/>
      <c r="J2227" s="400"/>
      <c r="K2227" s="401"/>
      <c r="L2227" s="401"/>
      <c r="M2227" s="404"/>
      <c r="N2227" s="404"/>
      <c r="O2227" s="404"/>
      <c r="P2227" s="404"/>
      <c r="Q2227" s="404"/>
      <c r="R2227" s="404"/>
      <c r="S2227" s="404"/>
      <c r="T2227" s="404"/>
      <c r="U2227" s="404"/>
      <c r="V2227" s="404"/>
      <c r="W2227" s="404"/>
      <c r="X2227" s="404"/>
      <c r="Y2227" s="404"/>
      <c r="Z2227" s="404"/>
      <c r="AA2227" s="404"/>
      <c r="AB2227" s="404"/>
      <c r="AC2227" s="404"/>
      <c r="AD2227" s="404"/>
      <c r="AE2227" s="404"/>
      <c r="AF2227" s="404"/>
      <c r="AG2227" s="404"/>
      <c r="AH2227" s="404"/>
      <c r="AI2227" s="404"/>
      <c r="AJ2227" s="404"/>
      <c r="AK2227" s="404"/>
      <c r="AL2227" s="404"/>
      <c r="AM2227" s="404"/>
      <c r="AN2227" s="404"/>
      <c r="AO2227" s="404"/>
      <c r="AP2227" s="404"/>
      <c r="AQ2227" s="404"/>
      <c r="AR2227" s="404"/>
      <c r="AS2227" s="404"/>
      <c r="AT2227" s="404"/>
      <c r="AU2227" s="404"/>
      <c r="AV2227" s="404"/>
      <c r="AW2227" s="404"/>
      <c r="AX2227" s="404"/>
      <c r="AY2227" s="404"/>
      <c r="AZ2227" s="404"/>
      <c r="BA2227" s="404"/>
      <c r="BB2227" s="404"/>
      <c r="BC2227" s="404"/>
      <c r="BD2227" s="404"/>
      <c r="BE2227" s="404"/>
      <c r="BF2227" s="404"/>
      <c r="BG2227" s="404"/>
      <c r="BH2227" s="404"/>
      <c r="BI2227" s="404"/>
      <c r="BJ2227" s="404"/>
      <c r="BK2227" s="404"/>
      <c r="BL2227" s="404"/>
    </row>
    <row r="2228" spans="1:64" ht="13">
      <c r="A2228" s="426"/>
      <c r="B2228" s="426"/>
      <c r="C2228" s="427" t="s">
        <v>1108</v>
      </c>
      <c r="D2228" s="407"/>
      <c r="E2228" s="407"/>
      <c r="F2228" s="407"/>
      <c r="G2228" s="407"/>
      <c r="H2228" s="407"/>
      <c r="I2228" s="422"/>
      <c r="J2228" s="400"/>
      <c r="K2228" s="401"/>
      <c r="L2228" s="401"/>
      <c r="M2228" s="404"/>
      <c r="N2228" s="404"/>
      <c r="O2228" s="404"/>
      <c r="P2228" s="404"/>
      <c r="Q2228" s="404"/>
      <c r="R2228" s="404"/>
      <c r="S2228" s="404"/>
      <c r="T2228" s="404"/>
      <c r="U2228" s="404"/>
      <c r="V2228" s="404"/>
      <c r="W2228" s="404"/>
      <c r="X2228" s="404"/>
      <c r="Y2228" s="404"/>
      <c r="Z2228" s="404"/>
      <c r="AA2228" s="404"/>
      <c r="AB2228" s="404"/>
      <c r="AC2228" s="404"/>
      <c r="AD2228" s="404"/>
      <c r="AE2228" s="404"/>
      <c r="AF2228" s="404"/>
      <c r="AG2228" s="404"/>
      <c r="AH2228" s="404"/>
      <c r="AI2228" s="404"/>
      <c r="AJ2228" s="404"/>
      <c r="AK2228" s="404"/>
      <c r="AL2228" s="404"/>
      <c r="AM2228" s="404"/>
      <c r="AN2228" s="404"/>
      <c r="AO2228" s="404"/>
      <c r="AP2228" s="404"/>
      <c r="AQ2228" s="404"/>
      <c r="AR2228" s="404"/>
      <c r="AS2228" s="404"/>
      <c r="AT2228" s="404"/>
      <c r="AU2228" s="404"/>
      <c r="AV2228" s="404"/>
      <c r="AW2228" s="404"/>
      <c r="AX2228" s="404"/>
      <c r="AY2228" s="404"/>
      <c r="AZ2228" s="404"/>
      <c r="BA2228" s="404"/>
      <c r="BB2228" s="404"/>
      <c r="BC2228" s="404"/>
      <c r="BD2228" s="404"/>
      <c r="BE2228" s="404"/>
      <c r="BF2228" s="404"/>
      <c r="BG2228" s="404"/>
      <c r="BH2228" s="404"/>
      <c r="BI2228" s="404"/>
      <c r="BJ2228" s="404"/>
      <c r="BK2228" s="404"/>
      <c r="BL2228" s="404"/>
    </row>
    <row r="2229" spans="1:64" ht="13">
      <c r="A2229" s="426"/>
      <c r="B2229" s="426" t="s">
        <v>720</v>
      </c>
      <c r="C2229" s="427" t="s">
        <v>1109</v>
      </c>
      <c r="D2229" s="407"/>
      <c r="E2229" s="407"/>
      <c r="F2229" s="407"/>
      <c r="G2229" s="407"/>
      <c r="H2229" s="407"/>
      <c r="I2229" s="422"/>
      <c r="J2229" s="400"/>
      <c r="K2229" s="401"/>
      <c r="L2229" s="401"/>
      <c r="M2229" s="404"/>
      <c r="N2229" s="404"/>
      <c r="O2229" s="404"/>
      <c r="P2229" s="404"/>
      <c r="Q2229" s="404"/>
      <c r="R2229" s="404"/>
      <c r="S2229" s="404"/>
      <c r="T2229" s="404"/>
      <c r="U2229" s="404"/>
      <c r="V2229" s="404"/>
      <c r="W2229" s="404"/>
      <c r="X2229" s="404"/>
      <c r="Y2229" s="404"/>
      <c r="Z2229" s="404"/>
      <c r="AA2229" s="404"/>
      <c r="AB2229" s="404"/>
      <c r="AC2229" s="404"/>
      <c r="AD2229" s="404"/>
      <c r="AE2229" s="404"/>
      <c r="AF2229" s="404"/>
      <c r="AG2229" s="404"/>
      <c r="AH2229" s="404"/>
      <c r="AI2229" s="404"/>
      <c r="AJ2229" s="404"/>
      <c r="AK2229" s="404"/>
      <c r="AL2229" s="404"/>
      <c r="AM2229" s="404"/>
      <c r="AN2229" s="404"/>
      <c r="AO2229" s="404"/>
      <c r="AP2229" s="404"/>
      <c r="AQ2229" s="404"/>
      <c r="AR2229" s="404"/>
      <c r="AS2229" s="404"/>
      <c r="AT2229" s="404"/>
      <c r="AU2229" s="404"/>
      <c r="AV2229" s="404"/>
      <c r="AW2229" s="404"/>
      <c r="AX2229" s="404"/>
      <c r="AY2229" s="404"/>
      <c r="AZ2229" s="404"/>
      <c r="BA2229" s="404"/>
      <c r="BB2229" s="404"/>
      <c r="BC2229" s="404"/>
      <c r="BD2229" s="404"/>
      <c r="BE2229" s="404"/>
      <c r="BF2229" s="404"/>
      <c r="BG2229" s="404"/>
      <c r="BH2229" s="404"/>
      <c r="BI2229" s="404"/>
      <c r="BJ2229" s="404"/>
      <c r="BK2229" s="404"/>
      <c r="BL2229" s="404"/>
    </row>
    <row r="2230" spans="1:64" ht="25">
      <c r="A2230" s="406"/>
      <c r="B2230" s="406"/>
      <c r="C2230" s="417" t="s">
        <v>1110</v>
      </c>
      <c r="D2230" s="459">
        <v>1.05</v>
      </c>
      <c r="E2230" s="458" t="s">
        <v>122</v>
      </c>
      <c r="F2230" s="459">
        <f>[161]LEAD!$N$7</f>
        <v>60000</v>
      </c>
      <c r="G2230" s="460">
        <v>1</v>
      </c>
      <c r="H2230" s="458" t="str">
        <f t="shared" ref="H2230:H2231" si="521">IF(E2230="","",IF(E2230="No.","Each",IF(E2230="Nos.","Each",E2230)))</f>
        <v>MT</v>
      </c>
      <c r="I2230" s="459">
        <f t="shared" ref="I2230:I2231" si="522">IF(G2230="",D2230*F2230,(D2230*F2230/G2230))</f>
        <v>63000</v>
      </c>
      <c r="J2230" s="462"/>
      <c r="K2230" s="463"/>
      <c r="L2230" s="463"/>
      <c r="M2230" s="464"/>
      <c r="N2230" s="464"/>
      <c r="O2230" s="464"/>
      <c r="P2230" s="464"/>
      <c r="Q2230" s="464"/>
      <c r="R2230" s="464"/>
      <c r="S2230" s="464"/>
      <c r="T2230" s="464"/>
      <c r="U2230" s="464"/>
      <c r="V2230" s="464"/>
      <c r="W2230" s="464"/>
      <c r="X2230" s="464"/>
      <c r="Y2230" s="464"/>
      <c r="Z2230" s="464"/>
      <c r="AA2230" s="464"/>
      <c r="AB2230" s="464"/>
      <c r="AC2230" s="464"/>
      <c r="AD2230" s="464"/>
      <c r="AE2230" s="464"/>
      <c r="AF2230" s="464"/>
      <c r="AG2230" s="464"/>
      <c r="AH2230" s="464"/>
      <c r="AI2230" s="464"/>
      <c r="AJ2230" s="464"/>
      <c r="AK2230" s="464"/>
      <c r="AL2230" s="464"/>
      <c r="AM2230" s="464"/>
      <c r="AN2230" s="464"/>
      <c r="AO2230" s="464"/>
      <c r="AP2230" s="464"/>
      <c r="AQ2230" s="464"/>
      <c r="AR2230" s="464"/>
      <c r="AS2230" s="464"/>
      <c r="AT2230" s="464"/>
      <c r="AU2230" s="464"/>
      <c r="AV2230" s="464"/>
      <c r="AW2230" s="464"/>
      <c r="AX2230" s="464"/>
      <c r="AY2230" s="464"/>
      <c r="AZ2230" s="464"/>
      <c r="BA2230" s="464"/>
      <c r="BB2230" s="464"/>
      <c r="BC2230" s="464"/>
      <c r="BD2230" s="464"/>
      <c r="BE2230" s="464"/>
      <c r="BF2230" s="464"/>
      <c r="BG2230" s="464"/>
      <c r="BH2230" s="464"/>
      <c r="BI2230" s="464"/>
      <c r="BJ2230" s="464"/>
      <c r="BK2230" s="464"/>
      <c r="BL2230" s="464"/>
    </row>
    <row r="2231" spans="1:64">
      <c r="A2231" s="406"/>
      <c r="B2231" s="406"/>
      <c r="C2231" s="417" t="s">
        <v>1111</v>
      </c>
      <c r="D2231" s="459">
        <v>6</v>
      </c>
      <c r="E2231" s="458" t="s">
        <v>833</v>
      </c>
      <c r="F2231" s="459">
        <f>'[161]Civil-SOR'!$G$309</f>
        <v>71</v>
      </c>
      <c r="G2231" s="460">
        <v>1</v>
      </c>
      <c r="H2231" s="458" t="str">
        <f t="shared" si="521"/>
        <v>Kgs</v>
      </c>
      <c r="I2231" s="459">
        <f t="shared" si="522"/>
        <v>426</v>
      </c>
      <c r="J2231" s="462"/>
      <c r="K2231" s="463"/>
      <c r="L2231" s="463"/>
      <c r="M2231" s="464"/>
      <c r="N2231" s="464"/>
      <c r="O2231" s="464"/>
      <c r="P2231" s="464"/>
      <c r="Q2231" s="464"/>
      <c r="R2231" s="464"/>
      <c r="S2231" s="464"/>
      <c r="T2231" s="464"/>
      <c r="U2231" s="464"/>
      <c r="V2231" s="464"/>
      <c r="W2231" s="464"/>
      <c r="X2231" s="464"/>
      <c r="Y2231" s="464"/>
      <c r="Z2231" s="464"/>
      <c r="AA2231" s="464"/>
      <c r="AB2231" s="464"/>
      <c r="AC2231" s="464"/>
      <c r="AD2231" s="464"/>
      <c r="AE2231" s="464"/>
      <c r="AF2231" s="464"/>
      <c r="AG2231" s="464"/>
      <c r="AH2231" s="464"/>
      <c r="AI2231" s="464"/>
      <c r="AJ2231" s="464"/>
      <c r="AK2231" s="464"/>
      <c r="AL2231" s="464"/>
      <c r="AM2231" s="464"/>
      <c r="AN2231" s="464"/>
      <c r="AO2231" s="464"/>
      <c r="AP2231" s="464"/>
      <c r="AQ2231" s="464"/>
      <c r="AR2231" s="464"/>
      <c r="AS2231" s="464"/>
      <c r="AT2231" s="464"/>
      <c r="AU2231" s="464"/>
      <c r="AV2231" s="464"/>
      <c r="AW2231" s="464"/>
      <c r="AX2231" s="464"/>
      <c r="AY2231" s="464"/>
      <c r="AZ2231" s="464"/>
      <c r="BA2231" s="464"/>
      <c r="BB2231" s="464"/>
      <c r="BC2231" s="464"/>
      <c r="BD2231" s="464"/>
      <c r="BE2231" s="464"/>
      <c r="BF2231" s="464"/>
      <c r="BG2231" s="464"/>
      <c r="BH2231" s="464"/>
      <c r="BI2231" s="464"/>
      <c r="BJ2231" s="464"/>
      <c r="BK2231" s="464"/>
      <c r="BL2231" s="464"/>
    </row>
    <row r="2232" spans="1:64" ht="25.5">
      <c r="A2232" s="406"/>
      <c r="B2232" s="406" t="s">
        <v>727</v>
      </c>
      <c r="C2232" s="427" t="s">
        <v>1112</v>
      </c>
      <c r="D2232" s="432"/>
      <c r="E2232" s="406"/>
      <c r="F2232" s="432"/>
      <c r="G2232" s="431"/>
      <c r="H2232" s="406"/>
      <c r="I2232" s="432"/>
      <c r="J2232" s="462"/>
      <c r="K2232" s="463"/>
      <c r="L2232" s="463"/>
      <c r="M2232" s="464"/>
      <c r="N2232" s="464"/>
      <c r="O2232" s="464"/>
      <c r="P2232" s="464"/>
      <c r="Q2232" s="464"/>
      <c r="R2232" s="464"/>
      <c r="S2232" s="464"/>
      <c r="T2232" s="464"/>
      <c r="U2232" s="464"/>
      <c r="V2232" s="464"/>
      <c r="W2232" s="464"/>
      <c r="X2232" s="464"/>
      <c r="Y2232" s="464"/>
      <c r="Z2232" s="464"/>
      <c r="AA2232" s="464"/>
      <c r="AB2232" s="464"/>
      <c r="AC2232" s="464"/>
      <c r="AD2232" s="464"/>
      <c r="AE2232" s="464"/>
      <c r="AF2232" s="464"/>
      <c r="AG2232" s="464"/>
      <c r="AH2232" s="464"/>
      <c r="AI2232" s="464"/>
      <c r="AJ2232" s="464"/>
      <c r="AK2232" s="464"/>
      <c r="AL2232" s="464"/>
      <c r="AM2232" s="464"/>
      <c r="AN2232" s="464"/>
      <c r="AO2232" s="464"/>
      <c r="AP2232" s="464"/>
      <c r="AQ2232" s="464"/>
      <c r="AR2232" s="464"/>
      <c r="AS2232" s="464"/>
      <c r="AT2232" s="464"/>
      <c r="AU2232" s="464"/>
      <c r="AV2232" s="464"/>
      <c r="AW2232" s="464"/>
      <c r="AX2232" s="464"/>
      <c r="AY2232" s="464"/>
      <c r="AZ2232" s="464"/>
      <c r="BA2232" s="464"/>
      <c r="BB2232" s="464"/>
      <c r="BC2232" s="464"/>
      <c r="BD2232" s="464"/>
      <c r="BE2232" s="464"/>
      <c r="BF2232" s="464"/>
      <c r="BG2232" s="464"/>
      <c r="BH2232" s="464"/>
      <c r="BI2232" s="464"/>
      <c r="BJ2232" s="464"/>
      <c r="BK2232" s="464"/>
      <c r="BL2232" s="464"/>
    </row>
    <row r="2233" spans="1:64">
      <c r="A2233" s="406"/>
      <c r="B2233" s="406"/>
      <c r="C2233" s="417" t="s">
        <v>1113</v>
      </c>
      <c r="D2233" s="459">
        <v>3</v>
      </c>
      <c r="E2233" s="459" t="s">
        <v>375</v>
      </c>
      <c r="F2233" s="459">
        <f>'[161]Civil-SOR'!$G$288</f>
        <v>685</v>
      </c>
      <c r="G2233" s="460">
        <v>1</v>
      </c>
      <c r="H2233" s="599" t="str">
        <f t="shared" ref="H2233:H2235" si="523">IF(E2233="","",IF(E2233="No.","Each",IF(E2233="Nos.","Each",E2233)))</f>
        <v>Each</v>
      </c>
      <c r="I2233" s="459">
        <f t="shared" ref="I2233:I2236" si="524">IF(G2233="",D2233*F2233,(D2233*F2233/G2233))</f>
        <v>2055</v>
      </c>
      <c r="J2233" s="462"/>
      <c r="K2233" s="463"/>
      <c r="L2233" s="463"/>
      <c r="M2233" s="464"/>
      <c r="N2233" s="464"/>
      <c r="O2233" s="464"/>
      <c r="P2233" s="464"/>
      <c r="Q2233" s="464"/>
      <c r="R2233" s="464"/>
      <c r="S2233" s="464"/>
      <c r="T2233" s="464"/>
      <c r="U2233" s="464"/>
      <c r="V2233" s="464"/>
      <c r="W2233" s="464"/>
      <c r="X2233" s="464"/>
      <c r="Y2233" s="464"/>
      <c r="Z2233" s="464"/>
      <c r="AA2233" s="464"/>
      <c r="AB2233" s="464"/>
      <c r="AC2233" s="464"/>
      <c r="AD2233" s="464"/>
      <c r="AE2233" s="464"/>
      <c r="AF2233" s="464"/>
      <c r="AG2233" s="464"/>
      <c r="AH2233" s="464"/>
      <c r="AI2233" s="464"/>
      <c r="AJ2233" s="464"/>
      <c r="AK2233" s="464"/>
      <c r="AL2233" s="464"/>
      <c r="AM2233" s="464"/>
      <c r="AN2233" s="464"/>
      <c r="AO2233" s="464"/>
      <c r="AP2233" s="464"/>
      <c r="AQ2233" s="464"/>
      <c r="AR2233" s="464"/>
      <c r="AS2233" s="464"/>
      <c r="AT2233" s="464"/>
      <c r="AU2233" s="464"/>
      <c r="AV2233" s="464"/>
      <c r="AW2233" s="464"/>
      <c r="AX2233" s="464"/>
      <c r="AY2233" s="464"/>
      <c r="AZ2233" s="464"/>
      <c r="BA2233" s="464"/>
      <c r="BB2233" s="464"/>
      <c r="BC2233" s="464"/>
      <c r="BD2233" s="464"/>
      <c r="BE2233" s="464"/>
      <c r="BF2233" s="464"/>
      <c r="BG2233" s="464"/>
      <c r="BH2233" s="464"/>
      <c r="BI2233" s="464"/>
      <c r="BJ2233" s="464"/>
      <c r="BK2233" s="464"/>
      <c r="BL2233" s="464"/>
    </row>
    <row r="2234" spans="1:64">
      <c r="A2234" s="406"/>
      <c r="B2234" s="406"/>
      <c r="C2234" s="417" t="s">
        <v>1114</v>
      </c>
      <c r="D2234" s="459">
        <v>7</v>
      </c>
      <c r="E2234" s="459" t="s">
        <v>375</v>
      </c>
      <c r="F2234" s="459">
        <f>'[161]Civil-SOR'!$G$289</f>
        <v>575</v>
      </c>
      <c r="G2234" s="460">
        <v>1</v>
      </c>
      <c r="H2234" s="599" t="str">
        <f t="shared" si="523"/>
        <v>Each</v>
      </c>
      <c r="I2234" s="459">
        <f t="shared" si="524"/>
        <v>4025</v>
      </c>
      <c r="J2234" s="462"/>
      <c r="K2234" s="463"/>
      <c r="L2234" s="463"/>
      <c r="M2234" s="464"/>
      <c r="N2234" s="464"/>
      <c r="O2234" s="464"/>
      <c r="P2234" s="464"/>
      <c r="Q2234" s="464"/>
      <c r="R2234" s="464"/>
      <c r="S2234" s="464"/>
      <c r="T2234" s="464"/>
      <c r="U2234" s="464"/>
      <c r="V2234" s="464"/>
      <c r="W2234" s="464"/>
      <c r="X2234" s="464"/>
      <c r="Y2234" s="464"/>
      <c r="Z2234" s="464"/>
      <c r="AA2234" s="464"/>
      <c r="AB2234" s="464"/>
      <c r="AC2234" s="464"/>
      <c r="AD2234" s="464"/>
      <c r="AE2234" s="464"/>
      <c r="AF2234" s="464"/>
      <c r="AG2234" s="464"/>
      <c r="AH2234" s="464"/>
      <c r="AI2234" s="464"/>
      <c r="AJ2234" s="464"/>
      <c r="AK2234" s="464"/>
      <c r="AL2234" s="464"/>
      <c r="AM2234" s="464"/>
      <c r="AN2234" s="464"/>
      <c r="AO2234" s="464"/>
      <c r="AP2234" s="464"/>
      <c r="AQ2234" s="464"/>
      <c r="AR2234" s="464"/>
      <c r="AS2234" s="464"/>
      <c r="AT2234" s="464"/>
      <c r="AU2234" s="464"/>
      <c r="AV2234" s="464"/>
      <c r="AW2234" s="464"/>
      <c r="AX2234" s="464"/>
      <c r="AY2234" s="464"/>
      <c r="AZ2234" s="464"/>
      <c r="BA2234" s="464"/>
      <c r="BB2234" s="464"/>
      <c r="BC2234" s="464"/>
      <c r="BD2234" s="464"/>
      <c r="BE2234" s="464"/>
      <c r="BF2234" s="464"/>
      <c r="BG2234" s="464"/>
      <c r="BH2234" s="464"/>
      <c r="BI2234" s="464"/>
      <c r="BJ2234" s="464"/>
      <c r="BK2234" s="464"/>
      <c r="BL2234" s="464"/>
    </row>
    <row r="2235" spans="1:64">
      <c r="A2235" s="406"/>
      <c r="B2235" s="406"/>
      <c r="C2235" s="417" t="s">
        <v>1115</v>
      </c>
      <c r="D2235" s="459">
        <v>10</v>
      </c>
      <c r="E2235" s="459" t="s">
        <v>375</v>
      </c>
      <c r="F2235" s="459">
        <f>'[161]Civil-SOR'!$G$307</f>
        <v>520</v>
      </c>
      <c r="G2235" s="460">
        <v>1</v>
      </c>
      <c r="H2235" s="599" t="str">
        <f t="shared" si="523"/>
        <v>Each</v>
      </c>
      <c r="I2235" s="459">
        <f t="shared" si="524"/>
        <v>5200</v>
      </c>
      <c r="J2235" s="462"/>
      <c r="K2235" s="463"/>
      <c r="L2235" s="463"/>
      <c r="M2235" s="464"/>
      <c r="N2235" s="464"/>
      <c r="O2235" s="464"/>
      <c r="P2235" s="464"/>
      <c r="Q2235" s="464"/>
      <c r="R2235" s="464"/>
      <c r="S2235" s="464"/>
      <c r="T2235" s="464"/>
      <c r="U2235" s="464"/>
      <c r="V2235" s="464"/>
      <c r="W2235" s="464"/>
      <c r="X2235" s="464"/>
      <c r="Y2235" s="464"/>
      <c r="Z2235" s="464"/>
      <c r="AA2235" s="464"/>
      <c r="AB2235" s="464"/>
      <c r="AC2235" s="464"/>
      <c r="AD2235" s="464"/>
      <c r="AE2235" s="464"/>
      <c r="AF2235" s="464"/>
      <c r="AG2235" s="464"/>
      <c r="AH2235" s="464"/>
      <c r="AI2235" s="464"/>
      <c r="AJ2235" s="464"/>
      <c r="AK2235" s="464"/>
      <c r="AL2235" s="464"/>
      <c r="AM2235" s="464"/>
      <c r="AN2235" s="464"/>
      <c r="AO2235" s="464"/>
      <c r="AP2235" s="464"/>
      <c r="AQ2235" s="464"/>
      <c r="AR2235" s="464"/>
      <c r="AS2235" s="464"/>
      <c r="AT2235" s="464"/>
      <c r="AU2235" s="464"/>
      <c r="AV2235" s="464"/>
      <c r="AW2235" s="464"/>
      <c r="AX2235" s="464"/>
      <c r="AY2235" s="464"/>
      <c r="AZ2235" s="464"/>
      <c r="BA2235" s="464"/>
      <c r="BB2235" s="464"/>
      <c r="BC2235" s="464"/>
      <c r="BD2235" s="464"/>
      <c r="BE2235" s="464"/>
      <c r="BF2235" s="464"/>
      <c r="BG2235" s="464"/>
      <c r="BH2235" s="464"/>
      <c r="BI2235" s="464"/>
      <c r="BJ2235" s="464"/>
      <c r="BK2235" s="464"/>
      <c r="BL2235" s="464"/>
    </row>
    <row r="2236" spans="1:64">
      <c r="A2236" s="406"/>
      <c r="B2236" s="406"/>
      <c r="C2236" s="417" t="str">
        <f>[161]Input!$C$47</f>
        <v>Add for MA @ 40%</v>
      </c>
      <c r="D2236" s="459">
        <f>[161]Input!$D$47</f>
        <v>0.4</v>
      </c>
      <c r="E2236" s="459"/>
      <c r="F2236" s="459">
        <f>SUM(I2233:I2235)</f>
        <v>11280</v>
      </c>
      <c r="G2236" s="460"/>
      <c r="H2236" s="599"/>
      <c r="I2236" s="459">
        <f t="shared" si="524"/>
        <v>4512</v>
      </c>
      <c r="J2236" s="462"/>
      <c r="K2236" s="463"/>
      <c r="L2236" s="463"/>
      <c r="M2236" s="464"/>
      <c r="N2236" s="464"/>
      <c r="O2236" s="464"/>
      <c r="P2236" s="464"/>
      <c r="Q2236" s="464"/>
      <c r="R2236" s="464"/>
      <c r="S2236" s="464"/>
      <c r="T2236" s="464"/>
      <c r="U2236" s="464"/>
      <c r="V2236" s="464"/>
      <c r="W2236" s="464"/>
      <c r="X2236" s="464"/>
      <c r="Y2236" s="464"/>
      <c r="Z2236" s="464"/>
      <c r="AA2236" s="464"/>
      <c r="AB2236" s="464"/>
      <c r="AC2236" s="464"/>
      <c r="AD2236" s="464"/>
      <c r="AE2236" s="464"/>
      <c r="AF2236" s="464"/>
      <c r="AG2236" s="464"/>
      <c r="AH2236" s="464"/>
      <c r="AI2236" s="464"/>
      <c r="AJ2236" s="464"/>
      <c r="AK2236" s="464"/>
      <c r="AL2236" s="464"/>
      <c r="AM2236" s="464"/>
      <c r="AN2236" s="464"/>
      <c r="AO2236" s="464"/>
      <c r="AP2236" s="464"/>
      <c r="AQ2236" s="464"/>
      <c r="AR2236" s="464"/>
      <c r="AS2236" s="464"/>
      <c r="AT2236" s="464"/>
      <c r="AU2236" s="464"/>
      <c r="AV2236" s="464"/>
      <c r="AW2236" s="464"/>
      <c r="AX2236" s="464"/>
      <c r="AY2236" s="464"/>
      <c r="AZ2236" s="464"/>
      <c r="BA2236" s="464"/>
      <c r="BB2236" s="464"/>
      <c r="BC2236" s="464"/>
      <c r="BD2236" s="464"/>
      <c r="BE2236" s="464"/>
      <c r="BF2236" s="464"/>
      <c r="BG2236" s="464"/>
      <c r="BH2236" s="464"/>
      <c r="BI2236" s="464"/>
      <c r="BJ2236" s="464"/>
      <c r="BK2236" s="464"/>
      <c r="BL2236" s="464"/>
    </row>
    <row r="2237" spans="1:64" ht="13">
      <c r="A2237" s="426"/>
      <c r="B2237" s="426"/>
      <c r="C2237" s="481"/>
      <c r="D2237" s="407"/>
      <c r="E2237" s="407"/>
      <c r="F2237" s="407"/>
      <c r="G2237" s="407"/>
      <c r="H2237" s="407"/>
      <c r="I2237" s="414">
        <f>SUM(I2230:I2236)</f>
        <v>79218</v>
      </c>
      <c r="J2237" s="654"/>
      <c r="K2237" s="655"/>
      <c r="L2237" s="655"/>
      <c r="M2237" s="656"/>
      <c r="N2237" s="656"/>
      <c r="O2237" s="656"/>
      <c r="P2237" s="656"/>
      <c r="Q2237" s="656"/>
      <c r="R2237" s="656"/>
      <c r="S2237" s="413"/>
      <c r="T2237" s="413"/>
      <c r="U2237" s="413"/>
      <c r="V2237" s="413"/>
      <c r="W2237" s="413"/>
      <c r="X2237" s="413"/>
      <c r="Y2237" s="413"/>
      <c r="Z2237" s="413"/>
      <c r="AA2237" s="413"/>
      <c r="AB2237" s="413"/>
      <c r="AC2237" s="413"/>
      <c r="AD2237" s="413"/>
      <c r="AE2237" s="413"/>
      <c r="AF2237" s="413"/>
      <c r="AG2237" s="413"/>
      <c r="AH2237" s="413"/>
      <c r="AI2237" s="413"/>
      <c r="AJ2237" s="413"/>
      <c r="AK2237" s="413"/>
      <c r="AL2237" s="413"/>
      <c r="AM2237" s="413"/>
      <c r="AN2237" s="413"/>
      <c r="AO2237" s="413"/>
      <c r="AP2237" s="413"/>
      <c r="AQ2237" s="413"/>
      <c r="AR2237" s="413"/>
      <c r="AS2237" s="413"/>
      <c r="AT2237" s="413"/>
      <c r="AU2237" s="413"/>
      <c r="AV2237" s="413"/>
      <c r="AW2237" s="413"/>
      <c r="AX2237" s="413"/>
      <c r="AY2237" s="413"/>
      <c r="AZ2237" s="413"/>
      <c r="BA2237" s="413"/>
      <c r="BB2237" s="413"/>
      <c r="BC2237" s="413"/>
      <c r="BD2237" s="413"/>
      <c r="BE2237" s="413"/>
      <c r="BF2237" s="413"/>
      <c r="BG2237" s="413"/>
      <c r="BH2237" s="413"/>
      <c r="BI2237" s="413"/>
      <c r="BJ2237" s="413"/>
      <c r="BK2237" s="413"/>
      <c r="BL2237" s="413"/>
    </row>
    <row r="2238" spans="1:64" ht="13">
      <c r="A2238" s="426"/>
      <c r="B2238" s="426"/>
      <c r="C2238" s="427"/>
      <c r="D2238" s="407"/>
      <c r="E2238" s="407"/>
      <c r="F2238" s="407"/>
      <c r="G2238" s="407"/>
      <c r="H2238" s="407"/>
      <c r="I2238" s="422"/>
      <c r="J2238" s="654"/>
      <c r="K2238" s="655"/>
      <c r="L2238" s="655"/>
      <c r="M2238" s="404"/>
      <c r="N2238" s="404"/>
      <c r="O2238" s="404"/>
      <c r="P2238" s="404"/>
      <c r="Q2238" s="404"/>
      <c r="R2238" s="404"/>
      <c r="S2238" s="404"/>
      <c r="T2238" s="404"/>
      <c r="U2238" s="404"/>
      <c r="V2238" s="404"/>
      <c r="W2238" s="404"/>
      <c r="X2238" s="404"/>
      <c r="Y2238" s="404"/>
      <c r="Z2238" s="404"/>
      <c r="AA2238" s="404"/>
      <c r="AB2238" s="404"/>
      <c r="AC2238" s="404"/>
      <c r="AD2238" s="404"/>
      <c r="AE2238" s="404"/>
      <c r="AF2238" s="404"/>
      <c r="AG2238" s="404"/>
      <c r="AH2238" s="404"/>
      <c r="AI2238" s="404"/>
      <c r="AJ2238" s="404"/>
      <c r="AK2238" s="404"/>
      <c r="AL2238" s="404"/>
      <c r="AM2238" s="404"/>
      <c r="AN2238" s="404"/>
      <c r="AO2238" s="404"/>
      <c r="AP2238" s="404"/>
      <c r="AQ2238" s="404"/>
      <c r="AR2238" s="404"/>
      <c r="AS2238" s="404"/>
      <c r="AT2238" s="404"/>
      <c r="AU2238" s="404"/>
      <c r="AV2238" s="404"/>
      <c r="AW2238" s="404"/>
      <c r="AX2238" s="404"/>
      <c r="AY2238" s="404"/>
      <c r="AZ2238" s="404"/>
      <c r="BA2238" s="404"/>
      <c r="BB2238" s="404"/>
      <c r="BC2238" s="404"/>
      <c r="BD2238" s="404"/>
      <c r="BE2238" s="404"/>
      <c r="BF2238" s="404"/>
      <c r="BG2238" s="404"/>
      <c r="BH2238" s="404"/>
      <c r="BI2238" s="404"/>
      <c r="BJ2238" s="404"/>
      <c r="BK2238" s="404"/>
      <c r="BL2238" s="404"/>
    </row>
    <row r="2239" spans="1:64" ht="13">
      <c r="A2239" s="426"/>
      <c r="B2239" s="426"/>
      <c r="C2239" s="427" t="s">
        <v>953</v>
      </c>
      <c r="D2239" s="414" t="s">
        <v>959</v>
      </c>
      <c r="E2239" s="416" t="s">
        <v>943</v>
      </c>
      <c r="F2239" s="415" t="s">
        <v>944</v>
      </c>
      <c r="G2239" s="415" t="s">
        <v>1036</v>
      </c>
      <c r="H2239" s="415" t="s">
        <v>1037</v>
      </c>
      <c r="I2239" s="414" t="s">
        <v>1038</v>
      </c>
      <c r="J2239" s="654"/>
      <c r="K2239" s="655"/>
      <c r="L2239" s="655"/>
      <c r="M2239" s="404"/>
      <c r="N2239" s="404"/>
      <c r="O2239" s="404"/>
      <c r="P2239" s="404"/>
      <c r="Q2239" s="404"/>
      <c r="R2239" s="404"/>
      <c r="S2239" s="404"/>
      <c r="T2239" s="404"/>
      <c r="U2239" s="404"/>
      <c r="V2239" s="404"/>
      <c r="W2239" s="404"/>
      <c r="X2239" s="404"/>
      <c r="Y2239" s="404"/>
      <c r="Z2239" s="404"/>
      <c r="AA2239" s="404"/>
      <c r="AB2239" s="404"/>
      <c r="AC2239" s="404"/>
      <c r="AD2239" s="404"/>
      <c r="AE2239" s="404"/>
      <c r="AF2239" s="404"/>
      <c r="AG2239" s="404"/>
      <c r="AH2239" s="404"/>
      <c r="AI2239" s="404"/>
      <c r="AJ2239" s="404"/>
      <c r="AK2239" s="404"/>
      <c r="AL2239" s="404"/>
      <c r="AM2239" s="404"/>
      <c r="AN2239" s="404"/>
      <c r="AO2239" s="404"/>
      <c r="AP2239" s="404"/>
      <c r="AQ2239" s="404"/>
      <c r="AR2239" s="404"/>
      <c r="AS2239" s="404"/>
      <c r="AT2239" s="404"/>
      <c r="AU2239" s="404"/>
      <c r="AV2239" s="404"/>
      <c r="AW2239" s="404"/>
      <c r="AX2239" s="404"/>
      <c r="AY2239" s="404"/>
      <c r="AZ2239" s="404"/>
      <c r="BA2239" s="404"/>
      <c r="BB2239" s="404"/>
      <c r="BC2239" s="404"/>
      <c r="BD2239" s="404"/>
      <c r="BE2239" s="404"/>
      <c r="BF2239" s="404"/>
      <c r="BG2239" s="404"/>
      <c r="BH2239" s="404"/>
      <c r="BI2239" s="404"/>
      <c r="BJ2239" s="404"/>
      <c r="BK2239" s="404"/>
      <c r="BL2239" s="404"/>
    </row>
    <row r="2240" spans="1:64">
      <c r="A2240" s="426"/>
      <c r="B2240" s="426"/>
      <c r="C2240" s="417" t="s">
        <v>1064</v>
      </c>
      <c r="D2240" s="408">
        <f t="shared" ref="D2240:I2240" si="525">$I$2237</f>
        <v>79218</v>
      </c>
      <c r="E2240" s="408">
        <f t="shared" si="525"/>
        <v>79218</v>
      </c>
      <c r="F2240" s="408">
        <f t="shared" si="525"/>
        <v>79218</v>
      </c>
      <c r="G2240" s="408">
        <f t="shared" si="525"/>
        <v>79218</v>
      </c>
      <c r="H2240" s="408">
        <f t="shared" si="525"/>
        <v>79218</v>
      </c>
      <c r="I2240" s="408">
        <f t="shared" si="525"/>
        <v>79218</v>
      </c>
      <c r="J2240" s="654"/>
      <c r="K2240" s="655"/>
      <c r="L2240" s="655"/>
      <c r="M2240" s="404"/>
      <c r="N2240" s="404"/>
      <c r="O2240" s="404"/>
      <c r="P2240" s="404"/>
      <c r="Q2240" s="404"/>
      <c r="R2240" s="404"/>
      <c r="S2240" s="404"/>
      <c r="T2240" s="404"/>
      <c r="U2240" s="404"/>
      <c r="V2240" s="404"/>
      <c r="W2240" s="404"/>
      <c r="X2240" s="404"/>
      <c r="Y2240" s="404"/>
      <c r="Z2240" s="404"/>
      <c r="AA2240" s="404"/>
      <c r="AB2240" s="404"/>
      <c r="AC2240" s="404"/>
      <c r="AD2240" s="404"/>
      <c r="AE2240" s="404"/>
      <c r="AF2240" s="404"/>
      <c r="AG2240" s="404"/>
      <c r="AH2240" s="404"/>
      <c r="AI2240" s="404"/>
      <c r="AJ2240" s="404"/>
      <c r="AK2240" s="404"/>
      <c r="AL2240" s="404"/>
      <c r="AM2240" s="404"/>
      <c r="AN2240" s="404"/>
      <c r="AO2240" s="404"/>
      <c r="AP2240" s="404"/>
      <c r="AQ2240" s="404"/>
      <c r="AR2240" s="404"/>
      <c r="AS2240" s="404"/>
      <c r="AT2240" s="404"/>
      <c r="AU2240" s="404"/>
      <c r="AV2240" s="404"/>
      <c r="AW2240" s="404"/>
      <c r="AX2240" s="404"/>
      <c r="AY2240" s="404"/>
      <c r="AZ2240" s="404"/>
      <c r="BA2240" s="404"/>
      <c r="BB2240" s="404"/>
      <c r="BC2240" s="404"/>
      <c r="BD2240" s="404"/>
      <c r="BE2240" s="404"/>
      <c r="BF2240" s="404"/>
      <c r="BG2240" s="404"/>
      <c r="BH2240" s="404"/>
      <c r="BI2240" s="404"/>
      <c r="BJ2240" s="404"/>
      <c r="BK2240" s="404"/>
      <c r="BL2240" s="404"/>
    </row>
    <row r="2241" spans="1:64">
      <c r="A2241" s="426"/>
      <c r="B2241" s="426"/>
      <c r="C2241" s="417" t="s">
        <v>1116</v>
      </c>
      <c r="D2241" s="408">
        <v>0</v>
      </c>
      <c r="E2241" s="408">
        <f>$F$2236*10%</f>
        <v>1128</v>
      </c>
      <c r="F2241" s="408">
        <f>$F$2236*20%</f>
        <v>2256</v>
      </c>
      <c r="G2241" s="408">
        <f>$F$2236*30%</f>
        <v>3384</v>
      </c>
      <c r="H2241" s="408">
        <f>$F$2236*40%</f>
        <v>4512</v>
      </c>
      <c r="I2241" s="408">
        <f>$F$2236*50%</f>
        <v>5640</v>
      </c>
      <c r="J2241" s="654"/>
      <c r="K2241" s="655"/>
      <c r="L2241" s="655"/>
      <c r="M2241" s="404"/>
      <c r="N2241" s="404"/>
      <c r="O2241" s="404"/>
      <c r="P2241" s="404"/>
      <c r="Q2241" s="404"/>
      <c r="R2241" s="404"/>
      <c r="S2241" s="404"/>
      <c r="T2241" s="404"/>
      <c r="U2241" s="404"/>
      <c r="V2241" s="404"/>
      <c r="W2241" s="404"/>
      <c r="X2241" s="404"/>
      <c r="Y2241" s="404"/>
      <c r="Z2241" s="404"/>
      <c r="AA2241" s="404"/>
      <c r="AB2241" s="404"/>
      <c r="AC2241" s="404"/>
      <c r="AD2241" s="404"/>
      <c r="AE2241" s="404"/>
      <c r="AF2241" s="404"/>
      <c r="AG2241" s="404"/>
      <c r="AH2241" s="404"/>
      <c r="AI2241" s="404"/>
      <c r="AJ2241" s="404"/>
      <c r="AK2241" s="404"/>
      <c r="AL2241" s="404"/>
      <c r="AM2241" s="404"/>
      <c r="AN2241" s="404"/>
      <c r="AO2241" s="404"/>
      <c r="AP2241" s="404"/>
      <c r="AQ2241" s="404"/>
      <c r="AR2241" s="404"/>
      <c r="AS2241" s="404"/>
      <c r="AT2241" s="404"/>
      <c r="AU2241" s="404"/>
      <c r="AV2241" s="404"/>
      <c r="AW2241" s="404"/>
      <c r="AX2241" s="404"/>
      <c r="AY2241" s="404"/>
      <c r="AZ2241" s="404"/>
      <c r="BA2241" s="404"/>
      <c r="BB2241" s="404"/>
      <c r="BC2241" s="404"/>
      <c r="BD2241" s="404"/>
      <c r="BE2241" s="404"/>
      <c r="BF2241" s="404"/>
      <c r="BG2241" s="404"/>
      <c r="BH2241" s="404"/>
      <c r="BI2241" s="404"/>
      <c r="BJ2241" s="404"/>
      <c r="BK2241" s="404"/>
      <c r="BL2241" s="404"/>
    </row>
    <row r="2242" spans="1:64">
      <c r="A2242" s="426"/>
      <c r="B2242" s="426"/>
      <c r="C2242" s="417" t="str">
        <f>[161]Input!$C$47</f>
        <v>Add for MA @ 40%</v>
      </c>
      <c r="D2242" s="408">
        <f>D2241*[161]Input!$D$47</f>
        <v>0</v>
      </c>
      <c r="E2242" s="408">
        <f>E2241*[161]Input!$D$47</f>
        <v>451.20000000000005</v>
      </c>
      <c r="F2242" s="408">
        <f>F2241*[161]Input!$D$47</f>
        <v>902.40000000000009</v>
      </c>
      <c r="G2242" s="408">
        <f>G2241*[161]Input!$D$47</f>
        <v>1353.6000000000001</v>
      </c>
      <c r="H2242" s="408">
        <f>H2241*[161]Input!$D$47</f>
        <v>1804.8000000000002</v>
      </c>
      <c r="I2242" s="408">
        <f>I2241*[161]Input!$D$47</f>
        <v>2256</v>
      </c>
      <c r="J2242" s="654"/>
      <c r="K2242" s="655"/>
      <c r="L2242" s="655"/>
      <c r="M2242" s="404"/>
      <c r="N2242" s="404"/>
      <c r="O2242" s="404"/>
      <c r="P2242" s="404"/>
      <c r="Q2242" s="404"/>
      <c r="R2242" s="404"/>
      <c r="S2242" s="404"/>
      <c r="T2242" s="404"/>
      <c r="U2242" s="404"/>
      <c r="V2242" s="404"/>
      <c r="W2242" s="404"/>
      <c r="X2242" s="404"/>
      <c r="Y2242" s="404"/>
      <c r="Z2242" s="404"/>
      <c r="AA2242" s="404"/>
      <c r="AB2242" s="404"/>
      <c r="AC2242" s="404"/>
      <c r="AD2242" s="404"/>
      <c r="AE2242" s="404"/>
      <c r="AF2242" s="404"/>
      <c r="AG2242" s="404"/>
      <c r="AH2242" s="404"/>
      <c r="AI2242" s="404"/>
      <c r="AJ2242" s="404"/>
      <c r="AK2242" s="404"/>
      <c r="AL2242" s="404"/>
      <c r="AM2242" s="404"/>
      <c r="AN2242" s="404"/>
      <c r="AO2242" s="404"/>
      <c r="AP2242" s="404"/>
      <c r="AQ2242" s="404"/>
      <c r="AR2242" s="404"/>
      <c r="AS2242" s="404"/>
      <c r="AT2242" s="404"/>
      <c r="AU2242" s="404"/>
      <c r="AV2242" s="404"/>
      <c r="AW2242" s="404"/>
      <c r="AX2242" s="404"/>
      <c r="AY2242" s="404"/>
      <c r="AZ2242" s="404"/>
      <c r="BA2242" s="404"/>
      <c r="BB2242" s="404"/>
      <c r="BC2242" s="404"/>
      <c r="BD2242" s="404"/>
      <c r="BE2242" s="404"/>
      <c r="BF2242" s="404"/>
      <c r="BG2242" s="404"/>
      <c r="BH2242" s="404"/>
      <c r="BI2242" s="404"/>
      <c r="BJ2242" s="404"/>
      <c r="BK2242" s="404"/>
      <c r="BL2242" s="404"/>
    </row>
    <row r="2243" spans="1:64" ht="13">
      <c r="A2243" s="426"/>
      <c r="B2243" s="426"/>
      <c r="C2243" s="427" t="s">
        <v>1117</v>
      </c>
      <c r="D2243" s="408">
        <f t="shared" ref="D2243:I2243" si="526">SUM(D2240:D2242)</f>
        <v>79218</v>
      </c>
      <c r="E2243" s="408">
        <f t="shared" si="526"/>
        <v>80797.2</v>
      </c>
      <c r="F2243" s="408">
        <f t="shared" si="526"/>
        <v>82376.399999999994</v>
      </c>
      <c r="G2243" s="408">
        <f t="shared" si="526"/>
        <v>83955.6</v>
      </c>
      <c r="H2243" s="408">
        <f t="shared" si="526"/>
        <v>85534.8</v>
      </c>
      <c r="I2243" s="408">
        <f t="shared" si="526"/>
        <v>87114</v>
      </c>
      <c r="J2243" s="654"/>
      <c r="K2243" s="655"/>
      <c r="L2243" s="655"/>
      <c r="M2243" s="404"/>
      <c r="N2243" s="404"/>
      <c r="O2243" s="404"/>
      <c r="P2243" s="404"/>
      <c r="Q2243" s="404"/>
      <c r="R2243" s="404"/>
      <c r="S2243" s="404"/>
      <c r="T2243" s="404"/>
      <c r="U2243" s="404"/>
      <c r="V2243" s="404"/>
      <c r="W2243" s="404"/>
      <c r="X2243" s="404"/>
      <c r="Y2243" s="404"/>
      <c r="Z2243" s="404"/>
      <c r="AA2243" s="404"/>
      <c r="AB2243" s="404"/>
      <c r="AC2243" s="404"/>
      <c r="AD2243" s="404"/>
      <c r="AE2243" s="404"/>
      <c r="AF2243" s="404"/>
      <c r="AG2243" s="404"/>
      <c r="AH2243" s="404"/>
      <c r="AI2243" s="404"/>
      <c r="AJ2243" s="404"/>
      <c r="AK2243" s="404"/>
      <c r="AL2243" s="404"/>
      <c r="AM2243" s="404"/>
      <c r="AN2243" s="404"/>
      <c r="AO2243" s="404"/>
      <c r="AP2243" s="404"/>
      <c r="AQ2243" s="404"/>
      <c r="AR2243" s="404"/>
      <c r="AS2243" s="404"/>
      <c r="AT2243" s="404"/>
      <c r="AU2243" s="404"/>
      <c r="AV2243" s="404"/>
      <c r="AW2243" s="404"/>
      <c r="AX2243" s="404"/>
      <c r="AY2243" s="404"/>
      <c r="AZ2243" s="404"/>
      <c r="BA2243" s="404"/>
      <c r="BB2243" s="404"/>
      <c r="BC2243" s="404"/>
      <c r="BD2243" s="404"/>
      <c r="BE2243" s="404"/>
      <c r="BF2243" s="404"/>
      <c r="BG2243" s="404"/>
      <c r="BH2243" s="404"/>
      <c r="BI2243" s="404"/>
      <c r="BJ2243" s="404"/>
      <c r="BK2243" s="404"/>
      <c r="BL2243" s="404"/>
    </row>
    <row r="2244" spans="1:64" ht="25">
      <c r="A2244" s="426"/>
      <c r="B2244" s="426"/>
      <c r="C2244" s="417" t="str">
        <f>[161]Input!$C$48</f>
        <v>Overheads &amp; Contractors Profit @ 13.615%</v>
      </c>
      <c r="D2244" s="408">
        <f>ROUND(D2243*[161]Input!$D$48,2)</f>
        <v>10785.53</v>
      </c>
      <c r="E2244" s="408">
        <f>ROUND(E2243*[161]Input!$D$48,2)</f>
        <v>11000.54</v>
      </c>
      <c r="F2244" s="408">
        <f>ROUND(F2243*[161]Input!$D$48,2)</f>
        <v>11215.55</v>
      </c>
      <c r="G2244" s="408">
        <f>ROUND(G2243*[161]Input!$D$48,2)</f>
        <v>11430.55</v>
      </c>
      <c r="H2244" s="408">
        <f>ROUND(H2243*[161]Input!$D$48,2)</f>
        <v>11645.56</v>
      </c>
      <c r="I2244" s="408">
        <f>ROUND(I2243*[161]Input!$D$48,2)</f>
        <v>11860.57</v>
      </c>
      <c r="J2244" s="654"/>
      <c r="K2244" s="655"/>
      <c r="L2244" s="655"/>
      <c r="M2244" s="404"/>
      <c r="N2244" s="404"/>
      <c r="O2244" s="404"/>
      <c r="P2244" s="404"/>
      <c r="Q2244" s="404"/>
      <c r="R2244" s="404"/>
      <c r="S2244" s="404"/>
      <c r="T2244" s="404"/>
      <c r="U2244" s="404"/>
      <c r="V2244" s="404"/>
      <c r="W2244" s="404"/>
      <c r="X2244" s="404"/>
      <c r="Y2244" s="404"/>
      <c r="Z2244" s="404"/>
      <c r="AA2244" s="404"/>
      <c r="AB2244" s="404"/>
      <c r="AC2244" s="404"/>
      <c r="AD2244" s="404"/>
      <c r="AE2244" s="404"/>
      <c r="AF2244" s="404"/>
      <c r="AG2244" s="404"/>
      <c r="AH2244" s="404"/>
      <c r="AI2244" s="404"/>
      <c r="AJ2244" s="404"/>
      <c r="AK2244" s="404"/>
      <c r="AL2244" s="404"/>
      <c r="AM2244" s="404"/>
      <c r="AN2244" s="404"/>
      <c r="AO2244" s="404"/>
      <c r="AP2244" s="404"/>
      <c r="AQ2244" s="404"/>
      <c r="AR2244" s="404"/>
      <c r="AS2244" s="404"/>
      <c r="AT2244" s="404"/>
      <c r="AU2244" s="404"/>
      <c r="AV2244" s="404"/>
      <c r="AW2244" s="404"/>
      <c r="AX2244" s="404"/>
      <c r="AY2244" s="404"/>
      <c r="AZ2244" s="404"/>
      <c r="BA2244" s="404"/>
      <c r="BB2244" s="404"/>
      <c r="BC2244" s="404"/>
      <c r="BD2244" s="404"/>
      <c r="BE2244" s="404"/>
      <c r="BF2244" s="404"/>
      <c r="BG2244" s="404"/>
      <c r="BH2244" s="404"/>
      <c r="BI2244" s="404"/>
      <c r="BJ2244" s="404"/>
      <c r="BK2244" s="404"/>
      <c r="BL2244" s="404"/>
    </row>
    <row r="2245" spans="1:64" ht="13">
      <c r="A2245" s="426"/>
      <c r="B2245" s="426"/>
      <c r="C2245" s="481" t="s">
        <v>1117</v>
      </c>
      <c r="D2245" s="408">
        <f t="shared" ref="D2245:I2245" si="527">SUM(D2243:D2244)</f>
        <v>90003.53</v>
      </c>
      <c r="E2245" s="408">
        <f t="shared" si="527"/>
        <v>91797.739999999991</v>
      </c>
      <c r="F2245" s="408">
        <f t="shared" si="527"/>
        <v>93591.95</v>
      </c>
      <c r="G2245" s="408">
        <f t="shared" si="527"/>
        <v>95386.150000000009</v>
      </c>
      <c r="H2245" s="408">
        <f t="shared" si="527"/>
        <v>97180.36</v>
      </c>
      <c r="I2245" s="408">
        <f t="shared" si="527"/>
        <v>98974.57</v>
      </c>
      <c r="J2245" s="654"/>
      <c r="K2245" s="655"/>
      <c r="L2245" s="655"/>
      <c r="M2245" s="413"/>
      <c r="N2245" s="413"/>
      <c r="O2245" s="413"/>
      <c r="P2245" s="413"/>
      <c r="Q2245" s="413"/>
      <c r="R2245" s="413"/>
      <c r="S2245" s="413"/>
      <c r="T2245" s="413"/>
      <c r="U2245" s="413"/>
      <c r="V2245" s="413"/>
      <c r="W2245" s="413"/>
      <c r="X2245" s="413"/>
      <c r="Y2245" s="413"/>
      <c r="Z2245" s="413"/>
      <c r="AA2245" s="413"/>
      <c r="AB2245" s="413"/>
      <c r="AC2245" s="413"/>
      <c r="AD2245" s="413"/>
      <c r="AE2245" s="413"/>
      <c r="AF2245" s="413"/>
      <c r="AG2245" s="413"/>
      <c r="AH2245" s="413"/>
      <c r="AI2245" s="413"/>
      <c r="AJ2245" s="413"/>
      <c r="AK2245" s="413"/>
      <c r="AL2245" s="413"/>
      <c r="AM2245" s="413"/>
      <c r="AN2245" s="413"/>
      <c r="AO2245" s="413"/>
      <c r="AP2245" s="413"/>
      <c r="AQ2245" s="413"/>
      <c r="AR2245" s="413"/>
      <c r="AS2245" s="413"/>
      <c r="AT2245" s="413"/>
      <c r="AU2245" s="413"/>
      <c r="AV2245" s="413"/>
      <c r="AW2245" s="413"/>
      <c r="AX2245" s="413"/>
      <c r="AY2245" s="413"/>
      <c r="AZ2245" s="413"/>
      <c r="BA2245" s="413"/>
      <c r="BB2245" s="413"/>
      <c r="BC2245" s="413"/>
      <c r="BD2245" s="413"/>
      <c r="BE2245" s="413"/>
      <c r="BF2245" s="413"/>
      <c r="BG2245" s="413"/>
      <c r="BH2245" s="413"/>
      <c r="BI2245" s="413"/>
      <c r="BJ2245" s="413"/>
      <c r="BK2245" s="413"/>
      <c r="BL2245" s="413"/>
    </row>
    <row r="2246" spans="1:64" ht="13">
      <c r="A2246" s="426"/>
      <c r="B2246" s="426"/>
      <c r="C2246" s="522" t="s">
        <v>726</v>
      </c>
      <c r="D2246" s="416">
        <f t="shared" ref="D2246:I2246" si="528">ROUND(D2245,0)</f>
        <v>90004</v>
      </c>
      <c r="E2246" s="416">
        <f t="shared" si="528"/>
        <v>91798</v>
      </c>
      <c r="F2246" s="416">
        <f t="shared" si="528"/>
        <v>93592</v>
      </c>
      <c r="G2246" s="416">
        <f t="shared" si="528"/>
        <v>95386</v>
      </c>
      <c r="H2246" s="416">
        <f t="shared" si="528"/>
        <v>97180</v>
      </c>
      <c r="I2246" s="416">
        <f t="shared" si="528"/>
        <v>98975</v>
      </c>
      <c r="J2246" s="654"/>
      <c r="K2246" s="655"/>
      <c r="L2246" s="655"/>
      <c r="M2246" s="413"/>
      <c r="N2246" s="413"/>
      <c r="O2246" s="413"/>
      <c r="P2246" s="413"/>
      <c r="Q2246" s="413"/>
      <c r="R2246" s="413"/>
      <c r="S2246" s="413"/>
      <c r="T2246" s="413"/>
      <c r="U2246" s="413"/>
      <c r="V2246" s="413"/>
      <c r="W2246" s="413"/>
      <c r="X2246" s="413"/>
      <c r="Y2246" s="413"/>
      <c r="Z2246" s="413"/>
      <c r="AA2246" s="413"/>
      <c r="AB2246" s="413"/>
      <c r="AC2246" s="413"/>
      <c r="AD2246" s="413"/>
      <c r="AE2246" s="413"/>
      <c r="AF2246" s="413"/>
      <c r="AG2246" s="413"/>
      <c r="AH2246" s="413"/>
      <c r="AI2246" s="413"/>
      <c r="AJ2246" s="413"/>
      <c r="AK2246" s="413"/>
      <c r="AL2246" s="413"/>
      <c r="AM2246" s="413"/>
      <c r="AN2246" s="413"/>
      <c r="AO2246" s="413"/>
      <c r="AP2246" s="413"/>
      <c r="AQ2246" s="413"/>
      <c r="AR2246" s="413"/>
      <c r="AS2246" s="413"/>
      <c r="AT2246" s="413"/>
      <c r="AU2246" s="413"/>
      <c r="AV2246" s="413"/>
      <c r="AW2246" s="413"/>
      <c r="AX2246" s="413"/>
      <c r="AY2246" s="413"/>
      <c r="AZ2246" s="413"/>
      <c r="BA2246" s="413"/>
      <c r="BB2246" s="413"/>
      <c r="BC2246" s="413"/>
      <c r="BD2246" s="413"/>
      <c r="BE2246" s="413"/>
      <c r="BF2246" s="413"/>
      <c r="BG2246" s="413"/>
      <c r="BH2246" s="413"/>
      <c r="BI2246" s="413"/>
      <c r="BJ2246" s="413"/>
      <c r="BK2246" s="413"/>
      <c r="BL2246" s="413"/>
    </row>
    <row r="2247" spans="1:64" ht="13">
      <c r="A2247" s="426"/>
      <c r="B2247" s="426"/>
      <c r="C2247" s="427"/>
      <c r="D2247" s="407"/>
      <c r="E2247" s="407"/>
      <c r="F2247" s="407"/>
      <c r="G2247" s="407"/>
      <c r="H2247" s="407"/>
      <c r="I2247" s="422"/>
      <c r="J2247" s="654"/>
      <c r="K2247" s="655"/>
      <c r="L2247" s="655"/>
      <c r="M2247" s="404"/>
      <c r="N2247" s="404"/>
      <c r="O2247" s="404"/>
      <c r="P2247" s="404"/>
      <c r="Q2247" s="404"/>
      <c r="R2247" s="404"/>
      <c r="S2247" s="404"/>
      <c r="T2247" s="404"/>
      <c r="U2247" s="404"/>
      <c r="V2247" s="404"/>
      <c r="W2247" s="404"/>
      <c r="X2247" s="404"/>
      <c r="Y2247" s="404"/>
      <c r="Z2247" s="404"/>
      <c r="AA2247" s="404"/>
      <c r="AB2247" s="404"/>
      <c r="AC2247" s="404"/>
      <c r="AD2247" s="404"/>
      <c r="AE2247" s="404"/>
      <c r="AF2247" s="404"/>
      <c r="AG2247" s="404"/>
      <c r="AH2247" s="404"/>
      <c r="AI2247" s="404"/>
      <c r="AJ2247" s="404"/>
      <c r="AK2247" s="404"/>
      <c r="AL2247" s="404"/>
      <c r="AM2247" s="404"/>
      <c r="AN2247" s="404"/>
      <c r="AO2247" s="404"/>
      <c r="AP2247" s="404"/>
      <c r="AQ2247" s="404"/>
      <c r="AR2247" s="404"/>
      <c r="AS2247" s="404"/>
      <c r="AT2247" s="404"/>
      <c r="AU2247" s="404"/>
      <c r="AV2247" s="404"/>
      <c r="AW2247" s="404"/>
      <c r="AX2247" s="404"/>
      <c r="AY2247" s="404"/>
      <c r="AZ2247" s="404"/>
      <c r="BA2247" s="404"/>
      <c r="BB2247" s="404"/>
      <c r="BC2247" s="404"/>
      <c r="BD2247" s="404"/>
      <c r="BE2247" s="404"/>
      <c r="BF2247" s="404"/>
      <c r="BG2247" s="404"/>
      <c r="BH2247" s="404"/>
      <c r="BI2247" s="404"/>
      <c r="BJ2247" s="404"/>
      <c r="BK2247" s="404"/>
      <c r="BL2247" s="404"/>
    </row>
    <row r="2248" spans="1:64" ht="13">
      <c r="A2248" s="426"/>
      <c r="B2248" s="426"/>
      <c r="C2248" s="427" t="s">
        <v>953</v>
      </c>
      <c r="D2248" s="415" t="s">
        <v>1118</v>
      </c>
      <c r="E2248" s="415" t="s">
        <v>1119</v>
      </c>
      <c r="F2248" s="414" t="s">
        <v>1120</v>
      </c>
      <c r="G2248" s="407"/>
      <c r="H2248" s="407"/>
      <c r="I2248" s="422"/>
      <c r="J2248" s="400"/>
      <c r="K2248" s="401"/>
      <c r="L2248" s="401"/>
      <c r="M2248" s="404"/>
      <c r="N2248" s="404"/>
      <c r="O2248" s="404"/>
      <c r="P2248" s="404"/>
      <c r="Q2248" s="404"/>
      <c r="R2248" s="404"/>
      <c r="S2248" s="404"/>
      <c r="T2248" s="404"/>
      <c r="U2248" s="404"/>
      <c r="V2248" s="404"/>
      <c r="W2248" s="404"/>
      <c r="X2248" s="404"/>
      <c r="Y2248" s="404"/>
      <c r="Z2248" s="404"/>
      <c r="AA2248" s="404"/>
      <c r="AB2248" s="404"/>
      <c r="AC2248" s="404"/>
      <c r="AD2248" s="404"/>
      <c r="AE2248" s="404"/>
      <c r="AF2248" s="404"/>
      <c r="AG2248" s="404"/>
      <c r="AH2248" s="404"/>
      <c r="AI2248" s="404"/>
      <c r="AJ2248" s="404"/>
      <c r="AK2248" s="404"/>
      <c r="AL2248" s="404"/>
      <c r="AM2248" s="404"/>
      <c r="AN2248" s="404"/>
      <c r="AO2248" s="404"/>
      <c r="AP2248" s="404"/>
      <c r="AQ2248" s="404"/>
      <c r="AR2248" s="404"/>
      <c r="AS2248" s="404"/>
      <c r="AT2248" s="404"/>
      <c r="AU2248" s="404"/>
      <c r="AV2248" s="404"/>
      <c r="AW2248" s="404"/>
      <c r="AX2248" s="404"/>
      <c r="AY2248" s="404"/>
      <c r="AZ2248" s="404"/>
      <c r="BA2248" s="404"/>
      <c r="BB2248" s="404"/>
      <c r="BC2248" s="404"/>
      <c r="BD2248" s="404"/>
      <c r="BE2248" s="404"/>
      <c r="BF2248" s="404"/>
      <c r="BG2248" s="404"/>
      <c r="BH2248" s="404"/>
      <c r="BI2248" s="404"/>
      <c r="BJ2248" s="404"/>
      <c r="BK2248" s="404"/>
      <c r="BL2248" s="404"/>
    </row>
    <row r="2249" spans="1:64" ht="13">
      <c r="A2249" s="426"/>
      <c r="B2249" s="426"/>
      <c r="C2249" s="417" t="s">
        <v>1064</v>
      </c>
      <c r="D2249" s="408">
        <f>$I$2237</f>
        <v>79218</v>
      </c>
      <c r="E2249" s="408">
        <f>$I$2237</f>
        <v>79218</v>
      </c>
      <c r="F2249" s="408">
        <f>$I$2237</f>
        <v>79218</v>
      </c>
      <c r="G2249" s="407"/>
      <c r="H2249" s="407"/>
      <c r="I2249" s="422"/>
      <c r="J2249" s="400"/>
      <c r="K2249" s="401"/>
      <c r="L2249" s="401"/>
      <c r="M2249" s="404"/>
      <c r="N2249" s="404"/>
      <c r="O2249" s="404"/>
      <c r="P2249" s="404"/>
      <c r="Q2249" s="404"/>
      <c r="R2249" s="404"/>
      <c r="S2249" s="404"/>
      <c r="T2249" s="404"/>
      <c r="U2249" s="404"/>
      <c r="V2249" s="404"/>
      <c r="W2249" s="404"/>
      <c r="X2249" s="404"/>
      <c r="Y2249" s="404"/>
      <c r="Z2249" s="404"/>
      <c r="AA2249" s="404"/>
      <c r="AB2249" s="404"/>
      <c r="AC2249" s="404"/>
      <c r="AD2249" s="404"/>
      <c r="AE2249" s="404"/>
      <c r="AF2249" s="404"/>
      <c r="AG2249" s="404"/>
      <c r="AH2249" s="404"/>
      <c r="AI2249" s="404"/>
      <c r="AJ2249" s="404"/>
      <c r="AK2249" s="404"/>
      <c r="AL2249" s="404"/>
      <c r="AM2249" s="404"/>
      <c r="AN2249" s="404"/>
      <c r="AO2249" s="404"/>
      <c r="AP2249" s="404"/>
      <c r="AQ2249" s="404"/>
      <c r="AR2249" s="404"/>
      <c r="AS2249" s="404"/>
      <c r="AT2249" s="404"/>
      <c r="AU2249" s="404"/>
      <c r="AV2249" s="404"/>
      <c r="AW2249" s="404"/>
      <c r="AX2249" s="404"/>
      <c r="AY2249" s="404"/>
      <c r="AZ2249" s="404"/>
      <c r="BA2249" s="404"/>
      <c r="BB2249" s="404"/>
      <c r="BC2249" s="404"/>
      <c r="BD2249" s="404"/>
      <c r="BE2249" s="404"/>
      <c r="BF2249" s="404"/>
      <c r="BG2249" s="404"/>
      <c r="BH2249" s="404"/>
      <c r="BI2249" s="404"/>
      <c r="BJ2249" s="404"/>
      <c r="BK2249" s="404"/>
      <c r="BL2249" s="404"/>
    </row>
    <row r="2250" spans="1:64" ht="13">
      <c r="A2250" s="426"/>
      <c r="B2250" s="426"/>
      <c r="C2250" s="417" t="s">
        <v>1116</v>
      </c>
      <c r="D2250" s="408">
        <f>$F$2236*60%</f>
        <v>6768</v>
      </c>
      <c r="E2250" s="408">
        <f>$F$2236*70%</f>
        <v>7895.9999999999991</v>
      </c>
      <c r="F2250" s="408">
        <f>$F$2236*80%</f>
        <v>9024</v>
      </c>
      <c r="G2250" s="407"/>
      <c r="H2250" s="407"/>
      <c r="I2250" s="422"/>
      <c r="J2250" s="400"/>
      <c r="K2250" s="401"/>
      <c r="L2250" s="401"/>
      <c r="M2250" s="404"/>
      <c r="N2250" s="404"/>
      <c r="O2250" s="404"/>
      <c r="P2250" s="404"/>
      <c r="Q2250" s="404"/>
      <c r="R2250" s="404"/>
      <c r="S2250" s="404"/>
      <c r="T2250" s="404"/>
      <c r="U2250" s="404"/>
      <c r="V2250" s="404"/>
      <c r="W2250" s="404"/>
      <c r="X2250" s="404"/>
      <c r="Y2250" s="404"/>
      <c r="Z2250" s="404"/>
      <c r="AA2250" s="404"/>
      <c r="AB2250" s="404"/>
      <c r="AC2250" s="404"/>
      <c r="AD2250" s="404"/>
      <c r="AE2250" s="404"/>
      <c r="AF2250" s="404"/>
      <c r="AG2250" s="404"/>
      <c r="AH2250" s="404"/>
      <c r="AI2250" s="404"/>
      <c r="AJ2250" s="404"/>
      <c r="AK2250" s="404"/>
      <c r="AL2250" s="404"/>
      <c r="AM2250" s="404"/>
      <c r="AN2250" s="404"/>
      <c r="AO2250" s="404"/>
      <c r="AP2250" s="404"/>
      <c r="AQ2250" s="404"/>
      <c r="AR2250" s="404"/>
      <c r="AS2250" s="404"/>
      <c r="AT2250" s="404"/>
      <c r="AU2250" s="404"/>
      <c r="AV2250" s="404"/>
      <c r="AW2250" s="404"/>
      <c r="AX2250" s="404"/>
      <c r="AY2250" s="404"/>
      <c r="AZ2250" s="404"/>
      <c r="BA2250" s="404"/>
      <c r="BB2250" s="404"/>
      <c r="BC2250" s="404"/>
      <c r="BD2250" s="404"/>
      <c r="BE2250" s="404"/>
      <c r="BF2250" s="404"/>
      <c r="BG2250" s="404"/>
      <c r="BH2250" s="404"/>
      <c r="BI2250" s="404"/>
      <c r="BJ2250" s="404"/>
      <c r="BK2250" s="404"/>
      <c r="BL2250" s="404"/>
    </row>
    <row r="2251" spans="1:64" ht="13">
      <c r="A2251" s="426"/>
      <c r="B2251" s="426"/>
      <c r="C2251" s="417" t="str">
        <f>[161]Input!$C$47</f>
        <v>Add for MA @ 40%</v>
      </c>
      <c r="D2251" s="408">
        <f>D2250*[161]Input!$D$47</f>
        <v>2707.2000000000003</v>
      </c>
      <c r="E2251" s="408">
        <f>E2250*[161]Input!$D$47</f>
        <v>3158.3999999999996</v>
      </c>
      <c r="F2251" s="408">
        <f>F2250*[161]Input!$D$47</f>
        <v>3609.6000000000004</v>
      </c>
      <c r="G2251" s="407"/>
      <c r="H2251" s="407"/>
      <c r="I2251" s="422"/>
      <c r="J2251" s="400"/>
      <c r="K2251" s="401"/>
      <c r="L2251" s="401"/>
      <c r="M2251" s="404"/>
      <c r="N2251" s="404"/>
      <c r="O2251" s="404"/>
      <c r="P2251" s="404"/>
      <c r="Q2251" s="404"/>
      <c r="R2251" s="404"/>
      <c r="S2251" s="404"/>
      <c r="T2251" s="404"/>
      <c r="U2251" s="404"/>
      <c r="V2251" s="404"/>
      <c r="W2251" s="404"/>
      <c r="X2251" s="404"/>
      <c r="Y2251" s="404"/>
      <c r="Z2251" s="404"/>
      <c r="AA2251" s="404"/>
      <c r="AB2251" s="404"/>
      <c r="AC2251" s="404"/>
      <c r="AD2251" s="404"/>
      <c r="AE2251" s="404"/>
      <c r="AF2251" s="404"/>
      <c r="AG2251" s="404"/>
      <c r="AH2251" s="404"/>
      <c r="AI2251" s="404"/>
      <c r="AJ2251" s="404"/>
      <c r="AK2251" s="404"/>
      <c r="AL2251" s="404"/>
      <c r="AM2251" s="404"/>
      <c r="AN2251" s="404"/>
      <c r="AO2251" s="404"/>
      <c r="AP2251" s="404"/>
      <c r="AQ2251" s="404"/>
      <c r="AR2251" s="404"/>
      <c r="AS2251" s="404"/>
      <c r="AT2251" s="404"/>
      <c r="AU2251" s="404"/>
      <c r="AV2251" s="404"/>
      <c r="AW2251" s="404"/>
      <c r="AX2251" s="404"/>
      <c r="AY2251" s="404"/>
      <c r="AZ2251" s="404"/>
      <c r="BA2251" s="404"/>
      <c r="BB2251" s="404"/>
      <c r="BC2251" s="404"/>
      <c r="BD2251" s="404"/>
      <c r="BE2251" s="404"/>
      <c r="BF2251" s="404"/>
      <c r="BG2251" s="404"/>
      <c r="BH2251" s="404"/>
      <c r="BI2251" s="404"/>
      <c r="BJ2251" s="404"/>
      <c r="BK2251" s="404"/>
      <c r="BL2251" s="404"/>
    </row>
    <row r="2252" spans="1:64" ht="13">
      <c r="A2252" s="426"/>
      <c r="B2252" s="426"/>
      <c r="C2252" s="427" t="s">
        <v>1117</v>
      </c>
      <c r="D2252" s="408">
        <f>SUM(D2249:D2251)</f>
        <v>88693.2</v>
      </c>
      <c r="E2252" s="408">
        <f>SUM(E2249:E2251)</f>
        <v>90272.4</v>
      </c>
      <c r="F2252" s="408">
        <f>SUM(F2249:F2251)</f>
        <v>91851.6</v>
      </c>
      <c r="G2252" s="407"/>
      <c r="H2252" s="407"/>
      <c r="I2252" s="422"/>
      <c r="J2252" s="400"/>
      <c r="K2252" s="401"/>
      <c r="L2252" s="401"/>
      <c r="M2252" s="404"/>
      <c r="N2252" s="404"/>
      <c r="O2252" s="404"/>
      <c r="P2252" s="404"/>
      <c r="Q2252" s="404"/>
      <c r="R2252" s="404"/>
      <c r="S2252" s="404"/>
      <c r="T2252" s="404"/>
      <c r="U2252" s="404"/>
      <c r="V2252" s="404"/>
      <c r="W2252" s="404"/>
      <c r="X2252" s="404"/>
      <c r="Y2252" s="404"/>
      <c r="Z2252" s="404"/>
      <c r="AA2252" s="404"/>
      <c r="AB2252" s="404"/>
      <c r="AC2252" s="404"/>
      <c r="AD2252" s="404"/>
      <c r="AE2252" s="404"/>
      <c r="AF2252" s="404"/>
      <c r="AG2252" s="404"/>
      <c r="AH2252" s="404"/>
      <c r="AI2252" s="404"/>
      <c r="AJ2252" s="404"/>
      <c r="AK2252" s="404"/>
      <c r="AL2252" s="404"/>
      <c r="AM2252" s="404"/>
      <c r="AN2252" s="404"/>
      <c r="AO2252" s="404"/>
      <c r="AP2252" s="404"/>
      <c r="AQ2252" s="404"/>
      <c r="AR2252" s="404"/>
      <c r="AS2252" s="404"/>
      <c r="AT2252" s="404"/>
      <c r="AU2252" s="404"/>
      <c r="AV2252" s="404"/>
      <c r="AW2252" s="404"/>
      <c r="AX2252" s="404"/>
      <c r="AY2252" s="404"/>
      <c r="AZ2252" s="404"/>
      <c r="BA2252" s="404"/>
      <c r="BB2252" s="404"/>
      <c r="BC2252" s="404"/>
      <c r="BD2252" s="404"/>
      <c r="BE2252" s="404"/>
      <c r="BF2252" s="404"/>
      <c r="BG2252" s="404"/>
      <c r="BH2252" s="404"/>
      <c r="BI2252" s="404"/>
      <c r="BJ2252" s="404"/>
      <c r="BK2252" s="404"/>
      <c r="BL2252" s="404"/>
    </row>
    <row r="2253" spans="1:64" ht="25">
      <c r="A2253" s="426"/>
      <c r="B2253" s="426"/>
      <c r="C2253" s="417" t="str">
        <f>[161]Input!$C$48</f>
        <v>Overheads &amp; Contractors Profit @ 13.615%</v>
      </c>
      <c r="D2253" s="408">
        <f>ROUND(D2252*[161]Input!$D$48,2)</f>
        <v>12075.58</v>
      </c>
      <c r="E2253" s="408">
        <f>ROUND(E2252*[161]Input!$D$48,2)</f>
        <v>12290.59</v>
      </c>
      <c r="F2253" s="408">
        <f>ROUND(F2252*[161]Input!$D$48,2)</f>
        <v>12505.6</v>
      </c>
      <c r="G2253" s="407"/>
      <c r="H2253" s="407"/>
      <c r="I2253" s="422"/>
      <c r="J2253" s="400"/>
      <c r="K2253" s="401"/>
      <c r="L2253" s="401"/>
      <c r="M2253" s="404"/>
      <c r="N2253" s="404"/>
      <c r="O2253" s="404"/>
      <c r="P2253" s="404"/>
      <c r="Q2253" s="404"/>
      <c r="R2253" s="404"/>
      <c r="S2253" s="404"/>
      <c r="T2253" s="404"/>
      <c r="U2253" s="404"/>
      <c r="V2253" s="404"/>
      <c r="W2253" s="404"/>
      <c r="X2253" s="404"/>
      <c r="Y2253" s="404"/>
      <c r="Z2253" s="404"/>
      <c r="AA2253" s="404"/>
      <c r="AB2253" s="404"/>
      <c r="AC2253" s="404"/>
      <c r="AD2253" s="404"/>
      <c r="AE2253" s="404"/>
      <c r="AF2253" s="404"/>
      <c r="AG2253" s="404"/>
      <c r="AH2253" s="404"/>
      <c r="AI2253" s="404"/>
      <c r="AJ2253" s="404"/>
      <c r="AK2253" s="404"/>
      <c r="AL2253" s="404"/>
      <c r="AM2253" s="404"/>
      <c r="AN2253" s="404"/>
      <c r="AO2253" s="404"/>
      <c r="AP2253" s="404"/>
      <c r="AQ2253" s="404"/>
      <c r="AR2253" s="404"/>
      <c r="AS2253" s="404"/>
      <c r="AT2253" s="404"/>
      <c r="AU2253" s="404"/>
      <c r="AV2253" s="404"/>
      <c r="AW2253" s="404"/>
      <c r="AX2253" s="404"/>
      <c r="AY2253" s="404"/>
      <c r="AZ2253" s="404"/>
      <c r="BA2253" s="404"/>
      <c r="BB2253" s="404"/>
      <c r="BC2253" s="404"/>
      <c r="BD2253" s="404"/>
      <c r="BE2253" s="404"/>
      <c r="BF2253" s="404"/>
      <c r="BG2253" s="404"/>
      <c r="BH2253" s="404"/>
      <c r="BI2253" s="404"/>
      <c r="BJ2253" s="404"/>
      <c r="BK2253" s="404"/>
      <c r="BL2253" s="404"/>
    </row>
    <row r="2254" spans="1:64" ht="13">
      <c r="A2254" s="426"/>
      <c r="B2254" s="426"/>
      <c r="C2254" s="427" t="s">
        <v>1117</v>
      </c>
      <c r="D2254" s="408">
        <f>SUM(D2252:D2253)</f>
        <v>100768.78</v>
      </c>
      <c r="E2254" s="408">
        <f>SUM(E2252:E2253)</f>
        <v>102562.98999999999</v>
      </c>
      <c r="F2254" s="408">
        <f>SUM(F2252:F2253)</f>
        <v>104357.20000000001</v>
      </c>
      <c r="G2254" s="407"/>
      <c r="H2254" s="407"/>
      <c r="I2254" s="422"/>
      <c r="J2254" s="400"/>
      <c r="K2254" s="401"/>
      <c r="L2254" s="401"/>
      <c r="M2254" s="404"/>
      <c r="N2254" s="404"/>
      <c r="O2254" s="404"/>
      <c r="P2254" s="404"/>
      <c r="Q2254" s="404"/>
      <c r="R2254" s="404"/>
      <c r="S2254" s="404"/>
      <c r="T2254" s="404"/>
      <c r="U2254" s="404"/>
      <c r="V2254" s="404"/>
      <c r="W2254" s="404"/>
      <c r="X2254" s="404"/>
      <c r="Y2254" s="404"/>
      <c r="Z2254" s="404"/>
      <c r="AA2254" s="404"/>
      <c r="AB2254" s="404"/>
      <c r="AC2254" s="404"/>
      <c r="AD2254" s="404"/>
      <c r="AE2254" s="404"/>
      <c r="AF2254" s="404"/>
      <c r="AG2254" s="404"/>
      <c r="AH2254" s="404"/>
      <c r="AI2254" s="404"/>
      <c r="AJ2254" s="404"/>
      <c r="AK2254" s="404"/>
      <c r="AL2254" s="404"/>
      <c r="AM2254" s="404"/>
      <c r="AN2254" s="404"/>
      <c r="AO2254" s="404"/>
      <c r="AP2254" s="404"/>
      <c r="AQ2254" s="404"/>
      <c r="AR2254" s="404"/>
      <c r="AS2254" s="404"/>
      <c r="AT2254" s="404"/>
      <c r="AU2254" s="404"/>
      <c r="AV2254" s="404"/>
      <c r="AW2254" s="404"/>
      <c r="AX2254" s="404"/>
      <c r="AY2254" s="404"/>
      <c r="AZ2254" s="404"/>
      <c r="BA2254" s="404"/>
      <c r="BB2254" s="404"/>
      <c r="BC2254" s="404"/>
      <c r="BD2254" s="404"/>
      <c r="BE2254" s="404"/>
      <c r="BF2254" s="404"/>
      <c r="BG2254" s="404"/>
      <c r="BH2254" s="404"/>
      <c r="BI2254" s="404"/>
      <c r="BJ2254" s="404"/>
      <c r="BK2254" s="404"/>
      <c r="BL2254" s="404"/>
    </row>
    <row r="2255" spans="1:64" ht="13">
      <c r="A2255" s="426"/>
      <c r="B2255" s="426"/>
      <c r="C2255" s="514" t="s">
        <v>726</v>
      </c>
      <c r="D2255" s="416">
        <f>ROUND(D2254,0)</f>
        <v>100769</v>
      </c>
      <c r="E2255" s="416">
        <f>ROUND(E2254,0)</f>
        <v>102563</v>
      </c>
      <c r="F2255" s="416">
        <f>ROUND(F2254,0)</f>
        <v>104357</v>
      </c>
      <c r="G2255" s="407"/>
      <c r="H2255" s="407"/>
      <c r="I2255" s="422"/>
      <c r="J2255" s="400"/>
      <c r="K2255" s="401"/>
      <c r="L2255" s="401"/>
      <c r="M2255" s="404"/>
      <c r="N2255" s="404"/>
      <c r="O2255" s="404"/>
      <c r="P2255" s="404"/>
      <c r="Q2255" s="404"/>
      <c r="R2255" s="404"/>
      <c r="S2255" s="404"/>
      <c r="T2255" s="404"/>
      <c r="U2255" s="404"/>
      <c r="V2255" s="404"/>
      <c r="W2255" s="404"/>
      <c r="X2255" s="404"/>
      <c r="Y2255" s="404"/>
      <c r="Z2255" s="404"/>
      <c r="AA2255" s="404"/>
      <c r="AB2255" s="404"/>
      <c r="AC2255" s="404"/>
      <c r="AD2255" s="404"/>
      <c r="AE2255" s="404"/>
      <c r="AF2255" s="404"/>
      <c r="AG2255" s="404"/>
      <c r="AH2255" s="404"/>
      <c r="AI2255" s="404"/>
      <c r="AJ2255" s="404"/>
      <c r="AK2255" s="404"/>
      <c r="AL2255" s="404"/>
      <c r="AM2255" s="404"/>
      <c r="AN2255" s="404"/>
      <c r="AO2255" s="404"/>
      <c r="AP2255" s="404"/>
      <c r="AQ2255" s="404"/>
      <c r="AR2255" s="404"/>
      <c r="AS2255" s="404"/>
      <c r="AT2255" s="404"/>
      <c r="AU2255" s="404"/>
      <c r="AV2255" s="404"/>
      <c r="AW2255" s="404"/>
      <c r="AX2255" s="404"/>
      <c r="AY2255" s="404"/>
      <c r="AZ2255" s="404"/>
      <c r="BA2255" s="404"/>
      <c r="BB2255" s="404"/>
      <c r="BC2255" s="404"/>
      <c r="BD2255" s="404"/>
      <c r="BE2255" s="404"/>
      <c r="BF2255" s="404"/>
      <c r="BG2255" s="404"/>
      <c r="BH2255" s="404"/>
      <c r="BI2255" s="404"/>
      <c r="BJ2255" s="404"/>
      <c r="BK2255" s="404"/>
      <c r="BL2255" s="404"/>
    </row>
    <row r="2256" spans="1:64" ht="13">
      <c r="A2256" s="426"/>
      <c r="B2256" s="426"/>
      <c r="C2256" s="427"/>
      <c r="D2256" s="407"/>
      <c r="E2256" s="407"/>
      <c r="F2256" s="407"/>
      <c r="G2256" s="407"/>
      <c r="H2256" s="407"/>
      <c r="I2256" s="422"/>
      <c r="J2256" s="400"/>
      <c r="K2256" s="401"/>
      <c r="L2256" s="401"/>
      <c r="M2256" s="404"/>
      <c r="N2256" s="404"/>
      <c r="O2256" s="404"/>
      <c r="P2256" s="404"/>
      <c r="Q2256" s="404"/>
      <c r="R2256" s="404"/>
      <c r="S2256" s="404"/>
      <c r="T2256" s="404"/>
      <c r="U2256" s="404"/>
      <c r="V2256" s="404"/>
      <c r="W2256" s="404"/>
      <c r="X2256" s="404"/>
      <c r="Y2256" s="404"/>
      <c r="Z2256" s="404"/>
      <c r="AA2256" s="404"/>
      <c r="AB2256" s="404"/>
      <c r="AC2256" s="404"/>
      <c r="AD2256" s="404"/>
      <c r="AE2256" s="404"/>
      <c r="AF2256" s="404"/>
      <c r="AG2256" s="404"/>
      <c r="AH2256" s="404"/>
      <c r="AI2256" s="404"/>
      <c r="AJ2256" s="404"/>
      <c r="AK2256" s="404"/>
      <c r="AL2256" s="404"/>
      <c r="AM2256" s="404"/>
      <c r="AN2256" s="404"/>
      <c r="AO2256" s="404"/>
      <c r="AP2256" s="404"/>
      <c r="AQ2256" s="404"/>
      <c r="AR2256" s="404"/>
      <c r="AS2256" s="404"/>
      <c r="AT2256" s="404"/>
      <c r="AU2256" s="404"/>
      <c r="AV2256" s="404"/>
      <c r="AW2256" s="404"/>
      <c r="AX2256" s="404"/>
      <c r="AY2256" s="404"/>
      <c r="AZ2256" s="404"/>
      <c r="BA2256" s="404"/>
      <c r="BB2256" s="404"/>
      <c r="BC2256" s="404"/>
      <c r="BD2256" s="404"/>
      <c r="BE2256" s="404"/>
      <c r="BF2256" s="404"/>
      <c r="BG2256" s="404"/>
      <c r="BH2256" s="404"/>
      <c r="BI2256" s="404"/>
      <c r="BJ2256" s="404"/>
      <c r="BK2256" s="404"/>
      <c r="BL2256" s="404"/>
    </row>
    <row r="2257" spans="1:64" ht="100.75" customHeight="1">
      <c r="A2257" s="454">
        <f>A2226+1</f>
        <v>9</v>
      </c>
      <c r="B2257" s="454"/>
      <c r="C2257" s="1276" t="s">
        <v>1121</v>
      </c>
      <c r="D2257" s="1276"/>
      <c r="E2257" s="1276"/>
      <c r="F2257" s="1276"/>
      <c r="G2257" s="1276"/>
      <c r="H2257" s="1276"/>
      <c r="I2257" s="407"/>
      <c r="J2257" s="400"/>
      <c r="K2257" s="401"/>
      <c r="L2257" s="401"/>
      <c r="M2257" s="404"/>
      <c r="N2257" s="404"/>
      <c r="O2257" s="404"/>
      <c r="P2257" s="404"/>
      <c r="Q2257" s="404"/>
      <c r="R2257" s="404"/>
      <c r="S2257" s="404"/>
      <c r="T2257" s="404"/>
      <c r="U2257" s="404"/>
      <c r="V2257" s="404"/>
      <c r="W2257" s="404"/>
      <c r="X2257" s="404"/>
      <c r="Y2257" s="404"/>
      <c r="Z2257" s="404"/>
      <c r="AA2257" s="404"/>
      <c r="AB2257" s="404"/>
      <c r="AC2257" s="404"/>
      <c r="AD2257" s="404"/>
      <c r="AE2257" s="404"/>
      <c r="AF2257" s="404"/>
      <c r="AG2257" s="404"/>
      <c r="AH2257" s="404"/>
      <c r="AI2257" s="404"/>
      <c r="AJ2257" s="404"/>
      <c r="AK2257" s="404"/>
      <c r="AL2257" s="404"/>
      <c r="AM2257" s="404"/>
      <c r="AN2257" s="404"/>
      <c r="AO2257" s="404"/>
      <c r="AP2257" s="404"/>
      <c r="AQ2257" s="404"/>
      <c r="AR2257" s="404"/>
      <c r="AS2257" s="404"/>
      <c r="AT2257" s="404"/>
      <c r="AU2257" s="404"/>
      <c r="AV2257" s="404"/>
      <c r="AW2257" s="404"/>
      <c r="AX2257" s="404"/>
      <c r="AY2257" s="404"/>
      <c r="AZ2257" s="404"/>
      <c r="BA2257" s="404"/>
      <c r="BB2257" s="404"/>
      <c r="BC2257" s="404"/>
      <c r="BD2257" s="404"/>
      <c r="BE2257" s="404"/>
      <c r="BF2257" s="404"/>
      <c r="BG2257" s="404"/>
      <c r="BH2257" s="404"/>
      <c r="BI2257" s="404"/>
      <c r="BJ2257" s="404"/>
      <c r="BK2257" s="404"/>
      <c r="BL2257" s="404"/>
    </row>
    <row r="2258" spans="1:64" ht="13">
      <c r="A2258" s="454"/>
      <c r="B2258" s="426"/>
      <c r="C2258" s="455" t="s">
        <v>1107</v>
      </c>
      <c r="D2258" s="407"/>
      <c r="E2258" s="407"/>
      <c r="F2258" s="407"/>
      <c r="G2258" s="407"/>
      <c r="H2258" s="407"/>
      <c r="I2258" s="422"/>
      <c r="J2258" s="400"/>
      <c r="K2258" s="401"/>
      <c r="L2258" s="401"/>
      <c r="M2258" s="404"/>
      <c r="N2258" s="404"/>
      <c r="O2258" s="404"/>
      <c r="P2258" s="404"/>
      <c r="Q2258" s="404"/>
      <c r="R2258" s="404"/>
      <c r="S2258" s="404"/>
      <c r="T2258" s="404"/>
      <c r="U2258" s="404"/>
      <c r="V2258" s="404"/>
      <c r="W2258" s="404"/>
      <c r="X2258" s="404"/>
      <c r="Y2258" s="404"/>
      <c r="Z2258" s="404"/>
      <c r="AA2258" s="404"/>
      <c r="AB2258" s="404"/>
      <c r="AC2258" s="404"/>
      <c r="AD2258" s="404"/>
      <c r="AE2258" s="404"/>
      <c r="AF2258" s="404"/>
      <c r="AG2258" s="404"/>
      <c r="AH2258" s="404"/>
      <c r="AI2258" s="404"/>
      <c r="AJ2258" s="404"/>
      <c r="AK2258" s="404"/>
      <c r="AL2258" s="404"/>
      <c r="AM2258" s="404"/>
      <c r="AN2258" s="404"/>
      <c r="AO2258" s="404"/>
      <c r="AP2258" s="404"/>
      <c r="AQ2258" s="404"/>
      <c r="AR2258" s="404"/>
      <c r="AS2258" s="404"/>
      <c r="AT2258" s="404"/>
      <c r="AU2258" s="404"/>
      <c r="AV2258" s="404"/>
      <c r="AW2258" s="404"/>
      <c r="AX2258" s="404"/>
      <c r="AY2258" s="404"/>
      <c r="AZ2258" s="404"/>
      <c r="BA2258" s="404"/>
      <c r="BB2258" s="404"/>
      <c r="BC2258" s="404"/>
      <c r="BD2258" s="404"/>
      <c r="BE2258" s="404"/>
      <c r="BF2258" s="404"/>
      <c r="BG2258" s="404"/>
      <c r="BH2258" s="404"/>
      <c r="BI2258" s="404"/>
      <c r="BJ2258" s="404"/>
      <c r="BK2258" s="404"/>
      <c r="BL2258" s="404"/>
    </row>
    <row r="2259" spans="1:64" ht="13">
      <c r="A2259" s="454"/>
      <c r="B2259" s="426"/>
      <c r="C2259" s="427" t="s">
        <v>1108</v>
      </c>
      <c r="D2259" s="407"/>
      <c r="E2259" s="407"/>
      <c r="F2259" s="407"/>
      <c r="G2259" s="407"/>
      <c r="H2259" s="407"/>
      <c r="I2259" s="422"/>
      <c r="J2259" s="400"/>
      <c r="K2259" s="401"/>
      <c r="L2259" s="401"/>
      <c r="M2259" s="404"/>
      <c r="N2259" s="404"/>
      <c r="O2259" s="404"/>
      <c r="P2259" s="404"/>
      <c r="Q2259" s="404"/>
      <c r="R2259" s="404"/>
      <c r="S2259" s="404"/>
      <c r="T2259" s="404"/>
      <c r="U2259" s="404"/>
      <c r="V2259" s="404"/>
      <c r="W2259" s="404"/>
      <c r="X2259" s="404"/>
      <c r="Y2259" s="404"/>
      <c r="Z2259" s="404"/>
      <c r="AA2259" s="404"/>
      <c r="AB2259" s="404"/>
      <c r="AC2259" s="404"/>
      <c r="AD2259" s="404"/>
      <c r="AE2259" s="404"/>
      <c r="AF2259" s="404"/>
      <c r="AG2259" s="404"/>
      <c r="AH2259" s="404"/>
      <c r="AI2259" s="404"/>
      <c r="AJ2259" s="404"/>
      <c r="AK2259" s="404"/>
      <c r="AL2259" s="404"/>
      <c r="AM2259" s="404"/>
      <c r="AN2259" s="404"/>
      <c r="AO2259" s="404"/>
      <c r="AP2259" s="404"/>
      <c r="AQ2259" s="404"/>
      <c r="AR2259" s="404"/>
      <c r="AS2259" s="404"/>
      <c r="AT2259" s="404"/>
      <c r="AU2259" s="404"/>
      <c r="AV2259" s="404"/>
      <c r="AW2259" s="404"/>
      <c r="AX2259" s="404"/>
      <c r="AY2259" s="404"/>
      <c r="AZ2259" s="404"/>
      <c r="BA2259" s="404"/>
      <c r="BB2259" s="404"/>
      <c r="BC2259" s="404"/>
      <c r="BD2259" s="404"/>
      <c r="BE2259" s="404"/>
      <c r="BF2259" s="404"/>
      <c r="BG2259" s="404"/>
      <c r="BH2259" s="404"/>
      <c r="BI2259" s="404"/>
      <c r="BJ2259" s="404"/>
      <c r="BK2259" s="404"/>
      <c r="BL2259" s="404"/>
    </row>
    <row r="2260" spans="1:64" ht="13">
      <c r="A2260" s="454"/>
      <c r="B2260" s="474" t="s">
        <v>720</v>
      </c>
      <c r="C2260" s="427" t="s">
        <v>1109</v>
      </c>
      <c r="D2260" s="407"/>
      <c r="E2260" s="407"/>
      <c r="F2260" s="407"/>
      <c r="G2260" s="407"/>
      <c r="H2260" s="407"/>
      <c r="I2260" s="422"/>
      <c r="J2260" s="400"/>
      <c r="K2260" s="401"/>
      <c r="L2260" s="401"/>
      <c r="M2260" s="404"/>
      <c r="N2260" s="404"/>
      <c r="O2260" s="404"/>
      <c r="P2260" s="404"/>
      <c r="Q2260" s="404"/>
      <c r="R2260" s="404"/>
      <c r="S2260" s="404"/>
      <c r="T2260" s="404"/>
      <c r="U2260" s="404"/>
      <c r="V2260" s="404"/>
      <c r="W2260" s="404"/>
      <c r="X2260" s="404"/>
      <c r="Y2260" s="404"/>
      <c r="Z2260" s="404"/>
      <c r="AA2260" s="404"/>
      <c r="AB2260" s="404"/>
      <c r="AC2260" s="404"/>
      <c r="AD2260" s="404"/>
      <c r="AE2260" s="404"/>
      <c r="AF2260" s="404"/>
      <c r="AG2260" s="404"/>
      <c r="AH2260" s="404"/>
      <c r="AI2260" s="404"/>
      <c r="AJ2260" s="404"/>
      <c r="AK2260" s="404"/>
      <c r="AL2260" s="404"/>
      <c r="AM2260" s="404"/>
      <c r="AN2260" s="404"/>
      <c r="AO2260" s="404"/>
      <c r="AP2260" s="404"/>
      <c r="AQ2260" s="404"/>
      <c r="AR2260" s="404"/>
      <c r="AS2260" s="404"/>
      <c r="AT2260" s="404"/>
      <c r="AU2260" s="404"/>
      <c r="AV2260" s="404"/>
      <c r="AW2260" s="404"/>
      <c r="AX2260" s="404"/>
      <c r="AY2260" s="404"/>
      <c r="AZ2260" s="404"/>
      <c r="BA2260" s="404"/>
      <c r="BB2260" s="404"/>
      <c r="BC2260" s="404"/>
      <c r="BD2260" s="404"/>
      <c r="BE2260" s="404"/>
      <c r="BF2260" s="404"/>
      <c r="BG2260" s="404"/>
      <c r="BH2260" s="404"/>
      <c r="BI2260" s="404"/>
      <c r="BJ2260" s="404"/>
      <c r="BK2260" s="404"/>
      <c r="BL2260" s="404"/>
    </row>
    <row r="2261" spans="1:64" ht="25">
      <c r="A2261" s="458"/>
      <c r="B2261" s="407"/>
      <c r="C2261" s="417" t="s">
        <v>1122</v>
      </c>
      <c r="D2261" s="459">
        <v>1.05</v>
      </c>
      <c r="E2261" s="458" t="s">
        <v>122</v>
      </c>
      <c r="F2261" s="459">
        <f>[161]LEAD!$N$9</f>
        <v>61000</v>
      </c>
      <c r="G2261" s="460">
        <v>1</v>
      </c>
      <c r="H2261" s="458" t="str">
        <f t="shared" ref="H2261:H2262" si="529">IF(E2261="","",IF(E2261="No.","Each",IF(E2261="Nos.","Each",E2261)))</f>
        <v>MT</v>
      </c>
      <c r="I2261" s="459">
        <f t="shared" ref="I2261:I2262" si="530">IF(G2261="",D2261*F2261,(D2261*F2261/G2261))</f>
        <v>64050</v>
      </c>
      <c r="J2261" s="462"/>
      <c r="K2261" s="463"/>
      <c r="L2261" s="463"/>
      <c r="M2261" s="464"/>
      <c r="N2261" s="464"/>
      <c r="O2261" s="464"/>
      <c r="P2261" s="464"/>
      <c r="Q2261" s="464"/>
      <c r="R2261" s="464"/>
      <c r="S2261" s="464"/>
      <c r="T2261" s="464"/>
      <c r="U2261" s="464"/>
      <c r="V2261" s="464"/>
      <c r="W2261" s="464"/>
      <c r="X2261" s="464"/>
      <c r="Y2261" s="464"/>
      <c r="Z2261" s="464"/>
      <c r="AA2261" s="464"/>
      <c r="AB2261" s="464"/>
      <c r="AC2261" s="464"/>
      <c r="AD2261" s="464"/>
      <c r="AE2261" s="464"/>
      <c r="AF2261" s="464"/>
      <c r="AG2261" s="464"/>
      <c r="AH2261" s="464"/>
      <c r="AI2261" s="464"/>
      <c r="AJ2261" s="464"/>
      <c r="AK2261" s="464"/>
      <c r="AL2261" s="464"/>
      <c r="AM2261" s="464"/>
      <c r="AN2261" s="464"/>
      <c r="AO2261" s="464"/>
      <c r="AP2261" s="464"/>
      <c r="AQ2261" s="464"/>
      <c r="AR2261" s="464"/>
      <c r="AS2261" s="464"/>
      <c r="AT2261" s="464"/>
      <c r="AU2261" s="464"/>
      <c r="AV2261" s="464"/>
      <c r="AW2261" s="464"/>
      <c r="AX2261" s="464"/>
      <c r="AY2261" s="464"/>
      <c r="AZ2261" s="464"/>
      <c r="BA2261" s="464"/>
      <c r="BB2261" s="464"/>
      <c r="BC2261" s="464"/>
      <c r="BD2261" s="464"/>
      <c r="BE2261" s="464"/>
      <c r="BF2261" s="464"/>
      <c r="BG2261" s="464"/>
      <c r="BH2261" s="464"/>
      <c r="BI2261" s="464"/>
      <c r="BJ2261" s="464"/>
      <c r="BK2261" s="464"/>
      <c r="BL2261" s="464"/>
    </row>
    <row r="2262" spans="1:64" ht="13">
      <c r="A2262" s="458"/>
      <c r="B2262" s="407"/>
      <c r="C2262" s="417" t="s">
        <v>1111</v>
      </c>
      <c r="D2262" s="459">
        <v>6</v>
      </c>
      <c r="E2262" s="458" t="s">
        <v>833</v>
      </c>
      <c r="F2262" s="459">
        <f>'[161]Civil-SOR'!$G$309</f>
        <v>71</v>
      </c>
      <c r="G2262" s="460">
        <v>1</v>
      </c>
      <c r="H2262" s="458" t="str">
        <f t="shared" si="529"/>
        <v>Kgs</v>
      </c>
      <c r="I2262" s="459">
        <f t="shared" si="530"/>
        <v>426</v>
      </c>
      <c r="J2262" s="462"/>
      <c r="K2262" s="463"/>
      <c r="L2262" s="463"/>
      <c r="M2262" s="464"/>
      <c r="N2262" s="464"/>
      <c r="O2262" s="464"/>
      <c r="P2262" s="464"/>
      <c r="Q2262" s="464"/>
      <c r="R2262" s="464"/>
      <c r="S2262" s="464"/>
      <c r="T2262" s="464"/>
      <c r="U2262" s="464"/>
      <c r="V2262" s="464"/>
      <c r="W2262" s="464"/>
      <c r="X2262" s="464"/>
      <c r="Y2262" s="464"/>
      <c r="Z2262" s="464"/>
      <c r="AA2262" s="464"/>
      <c r="AB2262" s="464"/>
      <c r="AC2262" s="464"/>
      <c r="AD2262" s="464"/>
      <c r="AE2262" s="464"/>
      <c r="AF2262" s="464"/>
      <c r="AG2262" s="464"/>
      <c r="AH2262" s="464"/>
      <c r="AI2262" s="464"/>
      <c r="AJ2262" s="464"/>
      <c r="AK2262" s="464"/>
      <c r="AL2262" s="464"/>
      <c r="AM2262" s="464"/>
      <c r="AN2262" s="464"/>
      <c r="AO2262" s="464"/>
      <c r="AP2262" s="464"/>
      <c r="AQ2262" s="464"/>
      <c r="AR2262" s="464"/>
      <c r="AS2262" s="464"/>
      <c r="AT2262" s="464"/>
      <c r="AU2262" s="464"/>
      <c r="AV2262" s="464"/>
      <c r="AW2262" s="464"/>
      <c r="AX2262" s="464"/>
      <c r="AY2262" s="464"/>
      <c r="AZ2262" s="464"/>
      <c r="BA2262" s="464"/>
      <c r="BB2262" s="464"/>
      <c r="BC2262" s="464"/>
      <c r="BD2262" s="464"/>
      <c r="BE2262" s="464"/>
      <c r="BF2262" s="464"/>
      <c r="BG2262" s="464"/>
      <c r="BH2262" s="464"/>
      <c r="BI2262" s="464"/>
      <c r="BJ2262" s="464"/>
      <c r="BK2262" s="464"/>
      <c r="BL2262" s="464"/>
    </row>
    <row r="2263" spans="1:64" ht="26">
      <c r="A2263" s="458"/>
      <c r="B2263" s="407" t="s">
        <v>727</v>
      </c>
      <c r="C2263" s="417" t="s">
        <v>1123</v>
      </c>
      <c r="D2263" s="432"/>
      <c r="E2263" s="406"/>
      <c r="F2263" s="432"/>
      <c r="G2263" s="431"/>
      <c r="H2263" s="406"/>
      <c r="I2263" s="432"/>
      <c r="J2263" s="462"/>
      <c r="K2263" s="463"/>
      <c r="L2263" s="463"/>
      <c r="M2263" s="464"/>
      <c r="N2263" s="464"/>
      <c r="O2263" s="464"/>
      <c r="P2263" s="464"/>
      <c r="Q2263" s="464"/>
      <c r="R2263" s="464"/>
      <c r="S2263" s="464"/>
      <c r="T2263" s="464"/>
      <c r="U2263" s="464"/>
      <c r="V2263" s="464"/>
      <c r="W2263" s="464"/>
      <c r="X2263" s="464"/>
      <c r="Y2263" s="464"/>
      <c r="Z2263" s="464"/>
      <c r="AA2263" s="464"/>
      <c r="AB2263" s="464"/>
      <c r="AC2263" s="464"/>
      <c r="AD2263" s="464"/>
      <c r="AE2263" s="464"/>
      <c r="AF2263" s="464"/>
      <c r="AG2263" s="464"/>
      <c r="AH2263" s="464"/>
      <c r="AI2263" s="464"/>
      <c r="AJ2263" s="464"/>
      <c r="AK2263" s="464"/>
      <c r="AL2263" s="464"/>
      <c r="AM2263" s="464"/>
      <c r="AN2263" s="464"/>
      <c r="AO2263" s="464"/>
      <c r="AP2263" s="464"/>
      <c r="AQ2263" s="464"/>
      <c r="AR2263" s="464"/>
      <c r="AS2263" s="464"/>
      <c r="AT2263" s="464"/>
      <c r="AU2263" s="464"/>
      <c r="AV2263" s="464"/>
      <c r="AW2263" s="464"/>
      <c r="AX2263" s="464"/>
      <c r="AY2263" s="464"/>
      <c r="AZ2263" s="464"/>
      <c r="BA2263" s="464"/>
      <c r="BB2263" s="464"/>
      <c r="BC2263" s="464"/>
      <c r="BD2263" s="464"/>
      <c r="BE2263" s="464"/>
      <c r="BF2263" s="464"/>
      <c r="BG2263" s="464"/>
      <c r="BH2263" s="464"/>
      <c r="BI2263" s="464"/>
      <c r="BJ2263" s="464"/>
      <c r="BK2263" s="464"/>
      <c r="BL2263" s="464"/>
    </row>
    <row r="2264" spans="1:64">
      <c r="A2264" s="458"/>
      <c r="B2264" s="406"/>
      <c r="C2264" s="417" t="s">
        <v>1113</v>
      </c>
      <c r="D2264" s="459">
        <v>3</v>
      </c>
      <c r="E2264" s="459" t="s">
        <v>375</v>
      </c>
      <c r="F2264" s="459">
        <f>'[161]Civil-SOR'!$G$288</f>
        <v>685</v>
      </c>
      <c r="G2264" s="460">
        <v>1</v>
      </c>
      <c r="H2264" s="599" t="str">
        <f t="shared" ref="H2264:H2266" si="531">IF(E2264="","",IF(E2264="No.","Each",IF(E2264="Nos.","Each",E2264)))</f>
        <v>Each</v>
      </c>
      <c r="I2264" s="459">
        <f t="shared" ref="I2264:I2267" si="532">IF(G2264="",D2264*F2264,(D2264*F2264/G2264))</f>
        <v>2055</v>
      </c>
      <c r="J2264" s="462"/>
      <c r="K2264" s="463"/>
      <c r="L2264" s="463"/>
      <c r="M2264" s="464"/>
      <c r="N2264" s="464"/>
      <c r="O2264" s="464"/>
      <c r="P2264" s="464"/>
      <c r="Q2264" s="464"/>
      <c r="R2264" s="464"/>
      <c r="S2264" s="464"/>
      <c r="T2264" s="464"/>
      <c r="U2264" s="464"/>
      <c r="V2264" s="464"/>
      <c r="W2264" s="464"/>
      <c r="X2264" s="464"/>
      <c r="Y2264" s="464"/>
      <c r="Z2264" s="464"/>
      <c r="AA2264" s="464"/>
      <c r="AB2264" s="464"/>
      <c r="AC2264" s="464"/>
      <c r="AD2264" s="464"/>
      <c r="AE2264" s="464"/>
      <c r="AF2264" s="464"/>
      <c r="AG2264" s="464"/>
      <c r="AH2264" s="464"/>
      <c r="AI2264" s="464"/>
      <c r="AJ2264" s="464"/>
      <c r="AK2264" s="464"/>
      <c r="AL2264" s="464"/>
      <c r="AM2264" s="464"/>
      <c r="AN2264" s="464"/>
      <c r="AO2264" s="464"/>
      <c r="AP2264" s="464"/>
      <c r="AQ2264" s="464"/>
      <c r="AR2264" s="464"/>
      <c r="AS2264" s="464"/>
      <c r="AT2264" s="464"/>
      <c r="AU2264" s="464"/>
      <c r="AV2264" s="464"/>
      <c r="AW2264" s="464"/>
      <c r="AX2264" s="464"/>
      <c r="AY2264" s="464"/>
      <c r="AZ2264" s="464"/>
      <c r="BA2264" s="464"/>
      <c r="BB2264" s="464"/>
      <c r="BC2264" s="464"/>
      <c r="BD2264" s="464"/>
      <c r="BE2264" s="464"/>
      <c r="BF2264" s="464"/>
      <c r="BG2264" s="464"/>
      <c r="BH2264" s="464"/>
      <c r="BI2264" s="464"/>
      <c r="BJ2264" s="464"/>
      <c r="BK2264" s="464"/>
      <c r="BL2264" s="464"/>
    </row>
    <row r="2265" spans="1:64">
      <c r="A2265" s="458"/>
      <c r="B2265" s="406"/>
      <c r="C2265" s="417" t="s">
        <v>1114</v>
      </c>
      <c r="D2265" s="459">
        <v>7</v>
      </c>
      <c r="E2265" s="459" t="s">
        <v>375</v>
      </c>
      <c r="F2265" s="459">
        <f>'[161]Civil-SOR'!$G$289</f>
        <v>575</v>
      </c>
      <c r="G2265" s="460">
        <v>1</v>
      </c>
      <c r="H2265" s="599" t="str">
        <f t="shared" si="531"/>
        <v>Each</v>
      </c>
      <c r="I2265" s="459">
        <f t="shared" si="532"/>
        <v>4025</v>
      </c>
      <c r="J2265" s="462"/>
      <c r="K2265" s="463"/>
      <c r="L2265" s="463"/>
      <c r="M2265" s="464"/>
      <c r="N2265" s="464"/>
      <c r="O2265" s="464"/>
      <c r="P2265" s="464"/>
      <c r="Q2265" s="464"/>
      <c r="R2265" s="464"/>
      <c r="S2265" s="464"/>
      <c r="T2265" s="464"/>
      <c r="U2265" s="464"/>
      <c r="V2265" s="464"/>
      <c r="W2265" s="464"/>
      <c r="X2265" s="464"/>
      <c r="Y2265" s="464"/>
      <c r="Z2265" s="464"/>
      <c r="AA2265" s="464"/>
      <c r="AB2265" s="464"/>
      <c r="AC2265" s="464"/>
      <c r="AD2265" s="464"/>
      <c r="AE2265" s="464"/>
      <c r="AF2265" s="464"/>
      <c r="AG2265" s="464"/>
      <c r="AH2265" s="464"/>
      <c r="AI2265" s="464"/>
      <c r="AJ2265" s="464"/>
      <c r="AK2265" s="464"/>
      <c r="AL2265" s="464"/>
      <c r="AM2265" s="464"/>
      <c r="AN2265" s="464"/>
      <c r="AO2265" s="464"/>
      <c r="AP2265" s="464"/>
      <c r="AQ2265" s="464"/>
      <c r="AR2265" s="464"/>
      <c r="AS2265" s="464"/>
      <c r="AT2265" s="464"/>
      <c r="AU2265" s="464"/>
      <c r="AV2265" s="464"/>
      <c r="AW2265" s="464"/>
      <c r="AX2265" s="464"/>
      <c r="AY2265" s="464"/>
      <c r="AZ2265" s="464"/>
      <c r="BA2265" s="464"/>
      <c r="BB2265" s="464"/>
      <c r="BC2265" s="464"/>
      <c r="BD2265" s="464"/>
      <c r="BE2265" s="464"/>
      <c r="BF2265" s="464"/>
      <c r="BG2265" s="464"/>
      <c r="BH2265" s="464"/>
      <c r="BI2265" s="464"/>
      <c r="BJ2265" s="464"/>
      <c r="BK2265" s="464"/>
      <c r="BL2265" s="464"/>
    </row>
    <row r="2266" spans="1:64">
      <c r="A2266" s="458"/>
      <c r="B2266" s="406"/>
      <c r="C2266" s="417" t="s">
        <v>1115</v>
      </c>
      <c r="D2266" s="459">
        <v>10</v>
      </c>
      <c r="E2266" s="459" t="s">
        <v>375</v>
      </c>
      <c r="F2266" s="459">
        <f>'[161]Civil-SOR'!$G$307</f>
        <v>520</v>
      </c>
      <c r="G2266" s="460">
        <v>1</v>
      </c>
      <c r="H2266" s="599" t="str">
        <f t="shared" si="531"/>
        <v>Each</v>
      </c>
      <c r="I2266" s="459">
        <f t="shared" si="532"/>
        <v>5200</v>
      </c>
      <c r="J2266" s="462"/>
      <c r="K2266" s="463"/>
      <c r="L2266" s="463"/>
      <c r="M2266" s="464"/>
      <c r="N2266" s="464"/>
      <c r="O2266" s="464"/>
      <c r="P2266" s="464"/>
      <c r="Q2266" s="464"/>
      <c r="R2266" s="464"/>
      <c r="S2266" s="464"/>
      <c r="T2266" s="464"/>
      <c r="U2266" s="464"/>
      <c r="V2266" s="464"/>
      <c r="W2266" s="464"/>
      <c r="X2266" s="464"/>
      <c r="Y2266" s="464"/>
      <c r="Z2266" s="464"/>
      <c r="AA2266" s="464"/>
      <c r="AB2266" s="464"/>
      <c r="AC2266" s="464"/>
      <c r="AD2266" s="464"/>
      <c r="AE2266" s="464"/>
      <c r="AF2266" s="464"/>
      <c r="AG2266" s="464"/>
      <c r="AH2266" s="464"/>
      <c r="AI2266" s="464"/>
      <c r="AJ2266" s="464"/>
      <c r="AK2266" s="464"/>
      <c r="AL2266" s="464"/>
      <c r="AM2266" s="464"/>
      <c r="AN2266" s="464"/>
      <c r="AO2266" s="464"/>
      <c r="AP2266" s="464"/>
      <c r="AQ2266" s="464"/>
      <c r="AR2266" s="464"/>
      <c r="AS2266" s="464"/>
      <c r="AT2266" s="464"/>
      <c r="AU2266" s="464"/>
      <c r="AV2266" s="464"/>
      <c r="AW2266" s="464"/>
      <c r="AX2266" s="464"/>
      <c r="AY2266" s="464"/>
      <c r="AZ2266" s="464"/>
      <c r="BA2266" s="464"/>
      <c r="BB2266" s="464"/>
      <c r="BC2266" s="464"/>
      <c r="BD2266" s="464"/>
      <c r="BE2266" s="464"/>
      <c r="BF2266" s="464"/>
      <c r="BG2266" s="464"/>
      <c r="BH2266" s="464"/>
      <c r="BI2266" s="464"/>
      <c r="BJ2266" s="464"/>
      <c r="BK2266" s="464"/>
      <c r="BL2266" s="464"/>
    </row>
    <row r="2267" spans="1:64">
      <c r="A2267" s="458"/>
      <c r="B2267" s="406"/>
      <c r="C2267" s="417" t="str">
        <f>[161]Input!$C$47</f>
        <v>Add for MA @ 40%</v>
      </c>
      <c r="D2267" s="459">
        <f>[161]Input!$D$47</f>
        <v>0.4</v>
      </c>
      <c r="E2267" s="459"/>
      <c r="F2267" s="459">
        <f>SUM(I2264:I2266)</f>
        <v>11280</v>
      </c>
      <c r="G2267" s="460"/>
      <c r="H2267" s="599"/>
      <c r="I2267" s="459">
        <f t="shared" si="532"/>
        <v>4512</v>
      </c>
      <c r="J2267" s="462"/>
      <c r="K2267" s="463"/>
      <c r="L2267" s="463"/>
      <c r="M2267" s="464"/>
      <c r="N2267" s="464"/>
      <c r="O2267" s="464"/>
      <c r="P2267" s="464"/>
      <c r="Q2267" s="464"/>
      <c r="R2267" s="464"/>
      <c r="S2267" s="464"/>
      <c r="T2267" s="464"/>
      <c r="U2267" s="464"/>
      <c r="V2267" s="464"/>
      <c r="W2267" s="464"/>
      <c r="X2267" s="464"/>
      <c r="Y2267" s="464"/>
      <c r="Z2267" s="464"/>
      <c r="AA2267" s="464"/>
      <c r="AB2267" s="464"/>
      <c r="AC2267" s="464"/>
      <c r="AD2267" s="464"/>
      <c r="AE2267" s="464"/>
      <c r="AF2267" s="464"/>
      <c r="AG2267" s="464"/>
      <c r="AH2267" s="464"/>
      <c r="AI2267" s="464"/>
      <c r="AJ2267" s="464"/>
      <c r="AK2267" s="464"/>
      <c r="AL2267" s="464"/>
      <c r="AM2267" s="464"/>
      <c r="AN2267" s="464"/>
      <c r="AO2267" s="464"/>
      <c r="AP2267" s="464"/>
      <c r="AQ2267" s="464"/>
      <c r="AR2267" s="464"/>
      <c r="AS2267" s="464"/>
      <c r="AT2267" s="464"/>
      <c r="AU2267" s="464"/>
      <c r="AV2267" s="464"/>
      <c r="AW2267" s="464"/>
      <c r="AX2267" s="464"/>
      <c r="AY2267" s="464"/>
      <c r="AZ2267" s="464"/>
      <c r="BA2267" s="464"/>
      <c r="BB2267" s="464"/>
      <c r="BC2267" s="464"/>
      <c r="BD2267" s="464"/>
      <c r="BE2267" s="464"/>
      <c r="BF2267" s="464"/>
      <c r="BG2267" s="464"/>
      <c r="BH2267" s="464"/>
      <c r="BI2267" s="464"/>
      <c r="BJ2267" s="464"/>
      <c r="BK2267" s="464"/>
      <c r="BL2267" s="464"/>
    </row>
    <row r="2268" spans="1:64" ht="13">
      <c r="A2268" s="454"/>
      <c r="B2268" s="426"/>
      <c r="C2268" s="481"/>
      <c r="D2268" s="407"/>
      <c r="E2268" s="407"/>
      <c r="F2268" s="407"/>
      <c r="G2268" s="407"/>
      <c r="H2268" s="407"/>
      <c r="I2268" s="414">
        <f>SUM(I2261:I2267)</f>
        <v>80268</v>
      </c>
      <c r="J2268" s="411"/>
      <c r="K2268" s="412"/>
      <c r="L2268" s="412"/>
      <c r="M2268" s="413"/>
      <c r="N2268" s="413"/>
      <c r="O2268" s="413"/>
      <c r="P2268" s="413"/>
      <c r="Q2268" s="413"/>
      <c r="R2268" s="413"/>
      <c r="S2268" s="413"/>
      <c r="T2268" s="413"/>
      <c r="U2268" s="413"/>
      <c r="V2268" s="413"/>
      <c r="W2268" s="413"/>
      <c r="X2268" s="413"/>
      <c r="Y2268" s="413"/>
      <c r="Z2268" s="413"/>
      <c r="AA2268" s="413"/>
      <c r="AB2268" s="413"/>
      <c r="AC2268" s="413"/>
      <c r="AD2268" s="413"/>
      <c r="AE2268" s="413"/>
      <c r="AF2268" s="413"/>
      <c r="AG2268" s="413"/>
      <c r="AH2268" s="413"/>
      <c r="AI2268" s="413"/>
      <c r="AJ2268" s="413"/>
      <c r="AK2268" s="413"/>
      <c r="AL2268" s="413"/>
      <c r="AM2268" s="413"/>
      <c r="AN2268" s="413"/>
      <c r="AO2268" s="413"/>
      <c r="AP2268" s="413"/>
      <c r="AQ2268" s="413"/>
      <c r="AR2268" s="413"/>
      <c r="AS2268" s="413"/>
      <c r="AT2268" s="413"/>
      <c r="AU2268" s="413"/>
      <c r="AV2268" s="413"/>
      <c r="AW2268" s="413"/>
      <c r="AX2268" s="413"/>
      <c r="AY2268" s="413"/>
      <c r="AZ2268" s="413"/>
      <c r="BA2268" s="413"/>
      <c r="BB2268" s="413"/>
      <c r="BC2268" s="413"/>
      <c r="BD2268" s="413"/>
      <c r="BE2268" s="413"/>
      <c r="BF2268" s="413"/>
      <c r="BG2268" s="413"/>
      <c r="BH2268" s="413"/>
      <c r="BI2268" s="413"/>
      <c r="BJ2268" s="413"/>
      <c r="BK2268" s="413"/>
      <c r="BL2268" s="413"/>
    </row>
    <row r="2269" spans="1:64" ht="13">
      <c r="A2269" s="454"/>
      <c r="B2269" s="426"/>
      <c r="C2269" s="427"/>
      <c r="D2269" s="407"/>
      <c r="E2269" s="407"/>
      <c r="F2269" s="407"/>
      <c r="G2269" s="407"/>
      <c r="H2269" s="407"/>
      <c r="I2269" s="422"/>
      <c r="J2269" s="411"/>
      <c r="K2269" s="412"/>
      <c r="L2269" s="412"/>
      <c r="M2269" s="404"/>
      <c r="N2269" s="404"/>
      <c r="O2269" s="404"/>
      <c r="P2269" s="404"/>
      <c r="Q2269" s="404"/>
      <c r="R2269" s="404"/>
      <c r="S2269" s="404"/>
      <c r="T2269" s="404"/>
      <c r="U2269" s="404"/>
      <c r="V2269" s="404"/>
      <c r="W2269" s="404"/>
      <c r="X2269" s="404"/>
      <c r="Y2269" s="404"/>
      <c r="Z2269" s="404"/>
      <c r="AA2269" s="404"/>
      <c r="AB2269" s="404"/>
      <c r="AC2269" s="404"/>
      <c r="AD2269" s="404"/>
      <c r="AE2269" s="404"/>
      <c r="AF2269" s="404"/>
      <c r="AG2269" s="404"/>
      <c r="AH2269" s="404"/>
      <c r="AI2269" s="404"/>
      <c r="AJ2269" s="404"/>
      <c r="AK2269" s="404"/>
      <c r="AL2269" s="404"/>
      <c r="AM2269" s="404"/>
      <c r="AN2269" s="404"/>
      <c r="AO2269" s="404"/>
      <c r="AP2269" s="404"/>
      <c r="AQ2269" s="404"/>
      <c r="AR2269" s="404"/>
      <c r="AS2269" s="404"/>
      <c r="AT2269" s="404"/>
      <c r="AU2269" s="404"/>
      <c r="AV2269" s="404"/>
      <c r="AW2269" s="404"/>
      <c r="AX2269" s="404"/>
      <c r="AY2269" s="404"/>
      <c r="AZ2269" s="404"/>
      <c r="BA2269" s="404"/>
      <c r="BB2269" s="404"/>
      <c r="BC2269" s="404"/>
      <c r="BD2269" s="404"/>
      <c r="BE2269" s="404"/>
      <c r="BF2269" s="404"/>
      <c r="BG2269" s="404"/>
      <c r="BH2269" s="404"/>
      <c r="BI2269" s="404"/>
      <c r="BJ2269" s="404"/>
      <c r="BK2269" s="404"/>
      <c r="BL2269" s="404"/>
    </row>
    <row r="2270" spans="1:64" ht="13">
      <c r="A2270" s="454"/>
      <c r="B2270" s="426"/>
      <c r="C2270" s="427" t="s">
        <v>953</v>
      </c>
      <c r="D2270" s="414" t="s">
        <v>959</v>
      </c>
      <c r="E2270" s="416" t="s">
        <v>943</v>
      </c>
      <c r="F2270" s="415" t="s">
        <v>944</v>
      </c>
      <c r="G2270" s="415" t="s">
        <v>1036</v>
      </c>
      <c r="H2270" s="415" t="s">
        <v>1037</v>
      </c>
      <c r="I2270" s="415" t="s">
        <v>1038</v>
      </c>
      <c r="J2270" s="411"/>
      <c r="K2270" s="412"/>
      <c r="L2270" s="412"/>
      <c r="M2270" s="404"/>
      <c r="N2270" s="404"/>
      <c r="O2270" s="404"/>
      <c r="P2270" s="404"/>
      <c r="Q2270" s="404"/>
      <c r="R2270" s="404"/>
      <c r="S2270" s="404"/>
      <c r="T2270" s="404"/>
      <c r="U2270" s="404"/>
      <c r="V2270" s="404"/>
      <c r="W2270" s="404"/>
      <c r="X2270" s="404"/>
      <c r="Y2270" s="404"/>
      <c r="Z2270" s="404"/>
      <c r="AA2270" s="404"/>
      <c r="AB2270" s="404"/>
      <c r="AC2270" s="404"/>
      <c r="AD2270" s="404"/>
      <c r="AE2270" s="404"/>
      <c r="AF2270" s="404"/>
      <c r="AG2270" s="404"/>
      <c r="AH2270" s="404"/>
      <c r="AI2270" s="404"/>
      <c r="AJ2270" s="404"/>
      <c r="AK2270" s="404"/>
      <c r="AL2270" s="404"/>
      <c r="AM2270" s="404"/>
      <c r="AN2270" s="404"/>
      <c r="AO2270" s="404"/>
      <c r="AP2270" s="404"/>
      <c r="AQ2270" s="404"/>
      <c r="AR2270" s="404"/>
      <c r="AS2270" s="404"/>
      <c r="AT2270" s="404"/>
      <c r="AU2270" s="404"/>
      <c r="AV2270" s="404"/>
      <c r="AW2270" s="404"/>
      <c r="AX2270" s="404"/>
      <c r="AY2270" s="404"/>
      <c r="AZ2270" s="404"/>
      <c r="BA2270" s="404"/>
      <c r="BB2270" s="404"/>
      <c r="BC2270" s="404"/>
      <c r="BD2270" s="404"/>
      <c r="BE2270" s="404"/>
      <c r="BF2270" s="404"/>
      <c r="BG2270" s="404"/>
      <c r="BH2270" s="404"/>
      <c r="BI2270" s="404"/>
      <c r="BJ2270" s="404"/>
      <c r="BK2270" s="404"/>
      <c r="BL2270" s="404"/>
    </row>
    <row r="2271" spans="1:64">
      <c r="A2271" s="454"/>
      <c r="B2271" s="426"/>
      <c r="C2271" s="417" t="s">
        <v>1064</v>
      </c>
      <c r="D2271" s="408">
        <f t="shared" ref="D2271:I2271" si="533">$I$2268</f>
        <v>80268</v>
      </c>
      <c r="E2271" s="408">
        <f t="shared" si="533"/>
        <v>80268</v>
      </c>
      <c r="F2271" s="408">
        <f t="shared" si="533"/>
        <v>80268</v>
      </c>
      <c r="G2271" s="408">
        <f t="shared" si="533"/>
        <v>80268</v>
      </c>
      <c r="H2271" s="408">
        <f t="shared" si="533"/>
        <v>80268</v>
      </c>
      <c r="I2271" s="408">
        <f t="shared" si="533"/>
        <v>80268</v>
      </c>
      <c r="J2271" s="411"/>
      <c r="K2271" s="412"/>
      <c r="L2271" s="412"/>
      <c r="M2271" s="404"/>
      <c r="N2271" s="404"/>
      <c r="O2271" s="404"/>
      <c r="P2271" s="404"/>
      <c r="Q2271" s="404"/>
      <c r="R2271" s="404"/>
      <c r="S2271" s="404"/>
      <c r="T2271" s="404"/>
      <c r="U2271" s="404"/>
      <c r="V2271" s="404"/>
      <c r="W2271" s="404"/>
      <c r="X2271" s="404"/>
      <c r="Y2271" s="404"/>
      <c r="Z2271" s="404"/>
      <c r="AA2271" s="404"/>
      <c r="AB2271" s="404"/>
      <c r="AC2271" s="404"/>
      <c r="AD2271" s="404"/>
      <c r="AE2271" s="404"/>
      <c r="AF2271" s="404"/>
      <c r="AG2271" s="404"/>
      <c r="AH2271" s="404"/>
      <c r="AI2271" s="404"/>
      <c r="AJ2271" s="404"/>
      <c r="AK2271" s="404"/>
      <c r="AL2271" s="404"/>
      <c r="AM2271" s="404"/>
      <c r="AN2271" s="404"/>
      <c r="AO2271" s="404"/>
      <c r="AP2271" s="404"/>
      <c r="AQ2271" s="404"/>
      <c r="AR2271" s="404"/>
      <c r="AS2271" s="404"/>
      <c r="AT2271" s="404"/>
      <c r="AU2271" s="404"/>
      <c r="AV2271" s="404"/>
      <c r="AW2271" s="404"/>
      <c r="AX2271" s="404"/>
      <c r="AY2271" s="404"/>
      <c r="AZ2271" s="404"/>
      <c r="BA2271" s="404"/>
      <c r="BB2271" s="404"/>
      <c r="BC2271" s="404"/>
      <c r="BD2271" s="404"/>
      <c r="BE2271" s="404"/>
      <c r="BF2271" s="404"/>
      <c r="BG2271" s="404"/>
      <c r="BH2271" s="404"/>
      <c r="BI2271" s="404"/>
      <c r="BJ2271" s="404"/>
      <c r="BK2271" s="404"/>
      <c r="BL2271" s="404"/>
    </row>
    <row r="2272" spans="1:64">
      <c r="A2272" s="454"/>
      <c r="B2272" s="426"/>
      <c r="C2272" s="417" t="s">
        <v>1124</v>
      </c>
      <c r="D2272" s="408">
        <v>0</v>
      </c>
      <c r="E2272" s="408">
        <f>ROUND(($F$2267)*10%,2)</f>
        <v>1128</v>
      </c>
      <c r="F2272" s="408">
        <f>ROUND(($F$2267)*20%,2)</f>
        <v>2256</v>
      </c>
      <c r="G2272" s="408">
        <f>ROUND(($F$2267)*30%,2)</f>
        <v>3384</v>
      </c>
      <c r="H2272" s="408">
        <f>ROUND(($F$2267)*40%,2)</f>
        <v>4512</v>
      </c>
      <c r="I2272" s="408">
        <f>ROUND(($F$2267)*50%,2)</f>
        <v>5640</v>
      </c>
      <c r="J2272" s="411"/>
      <c r="K2272" s="412"/>
      <c r="L2272" s="412"/>
      <c r="M2272" s="404"/>
      <c r="N2272" s="404"/>
      <c r="O2272" s="404"/>
      <c r="P2272" s="404"/>
      <c r="Q2272" s="404"/>
      <c r="R2272" s="404"/>
      <c r="S2272" s="404"/>
      <c r="T2272" s="404"/>
      <c r="U2272" s="404"/>
      <c r="V2272" s="404"/>
      <c r="W2272" s="404"/>
      <c r="X2272" s="404"/>
      <c r="Y2272" s="404"/>
      <c r="Z2272" s="404"/>
      <c r="AA2272" s="404"/>
      <c r="AB2272" s="404"/>
      <c r="AC2272" s="404"/>
      <c r="AD2272" s="404"/>
      <c r="AE2272" s="404"/>
      <c r="AF2272" s="404"/>
      <c r="AG2272" s="404"/>
      <c r="AH2272" s="404"/>
      <c r="AI2272" s="404"/>
      <c r="AJ2272" s="404"/>
      <c r="AK2272" s="404"/>
      <c r="AL2272" s="404"/>
      <c r="AM2272" s="404"/>
      <c r="AN2272" s="404"/>
      <c r="AO2272" s="404"/>
      <c r="AP2272" s="404"/>
      <c r="AQ2272" s="404"/>
      <c r="AR2272" s="404"/>
      <c r="AS2272" s="404"/>
      <c r="AT2272" s="404"/>
      <c r="AU2272" s="404"/>
      <c r="AV2272" s="404"/>
      <c r="AW2272" s="404"/>
      <c r="AX2272" s="404"/>
      <c r="AY2272" s="404"/>
      <c r="AZ2272" s="404"/>
      <c r="BA2272" s="404"/>
      <c r="BB2272" s="404"/>
      <c r="BC2272" s="404"/>
      <c r="BD2272" s="404"/>
      <c r="BE2272" s="404"/>
      <c r="BF2272" s="404"/>
      <c r="BG2272" s="404"/>
      <c r="BH2272" s="404"/>
      <c r="BI2272" s="404"/>
      <c r="BJ2272" s="404"/>
      <c r="BK2272" s="404"/>
      <c r="BL2272" s="404"/>
    </row>
    <row r="2273" spans="1:64">
      <c r="A2273" s="454"/>
      <c r="B2273" s="426"/>
      <c r="C2273" s="417" t="str">
        <f>[161]Input!$C$47</f>
        <v>Add for MA @ 40%</v>
      </c>
      <c r="D2273" s="408">
        <f>D2272*[161]Input!$D$47</f>
        <v>0</v>
      </c>
      <c r="E2273" s="408">
        <f>E2272*[161]Input!$D$47</f>
        <v>451.20000000000005</v>
      </c>
      <c r="F2273" s="408">
        <f>F2272*[161]Input!$D$47</f>
        <v>902.40000000000009</v>
      </c>
      <c r="G2273" s="408">
        <f>G2272*[161]Input!$D$47</f>
        <v>1353.6000000000001</v>
      </c>
      <c r="H2273" s="408">
        <f>H2272*[161]Input!$D$47</f>
        <v>1804.8000000000002</v>
      </c>
      <c r="I2273" s="408">
        <f>I2272*[161]Input!$D$47</f>
        <v>2256</v>
      </c>
      <c r="J2273" s="411"/>
      <c r="K2273" s="412"/>
      <c r="L2273" s="412"/>
      <c r="M2273" s="404"/>
      <c r="N2273" s="404"/>
      <c r="O2273" s="404"/>
      <c r="P2273" s="404"/>
      <c r="Q2273" s="404"/>
      <c r="R2273" s="404"/>
      <c r="S2273" s="404"/>
      <c r="T2273" s="404"/>
      <c r="U2273" s="404"/>
      <c r="V2273" s="404"/>
      <c r="W2273" s="404"/>
      <c r="X2273" s="404"/>
      <c r="Y2273" s="404"/>
      <c r="Z2273" s="404"/>
      <c r="AA2273" s="404"/>
      <c r="AB2273" s="404"/>
      <c r="AC2273" s="404"/>
      <c r="AD2273" s="404"/>
      <c r="AE2273" s="404"/>
      <c r="AF2273" s="404"/>
      <c r="AG2273" s="404"/>
      <c r="AH2273" s="404"/>
      <c r="AI2273" s="404"/>
      <c r="AJ2273" s="404"/>
      <c r="AK2273" s="404"/>
      <c r="AL2273" s="404"/>
      <c r="AM2273" s="404"/>
      <c r="AN2273" s="404"/>
      <c r="AO2273" s="404"/>
      <c r="AP2273" s="404"/>
      <c r="AQ2273" s="404"/>
      <c r="AR2273" s="404"/>
      <c r="AS2273" s="404"/>
      <c r="AT2273" s="404"/>
      <c r="AU2273" s="404"/>
      <c r="AV2273" s="404"/>
      <c r="AW2273" s="404"/>
      <c r="AX2273" s="404"/>
      <c r="AY2273" s="404"/>
      <c r="AZ2273" s="404"/>
      <c r="BA2273" s="404"/>
      <c r="BB2273" s="404"/>
      <c r="BC2273" s="404"/>
      <c r="BD2273" s="404"/>
      <c r="BE2273" s="404"/>
      <c r="BF2273" s="404"/>
      <c r="BG2273" s="404"/>
      <c r="BH2273" s="404"/>
      <c r="BI2273" s="404"/>
      <c r="BJ2273" s="404"/>
      <c r="BK2273" s="404"/>
      <c r="BL2273" s="404"/>
    </row>
    <row r="2274" spans="1:64" ht="13">
      <c r="A2274" s="454"/>
      <c r="B2274" s="426"/>
      <c r="C2274" s="427" t="s">
        <v>1117</v>
      </c>
      <c r="D2274" s="408">
        <f t="shared" ref="D2274:I2274" si="534">SUM(D2271:D2273)</f>
        <v>80268</v>
      </c>
      <c r="E2274" s="408">
        <f t="shared" si="534"/>
        <v>81847.199999999997</v>
      </c>
      <c r="F2274" s="408">
        <f t="shared" si="534"/>
        <v>83426.399999999994</v>
      </c>
      <c r="G2274" s="408">
        <f t="shared" si="534"/>
        <v>85005.6</v>
      </c>
      <c r="H2274" s="408">
        <f t="shared" si="534"/>
        <v>86584.8</v>
      </c>
      <c r="I2274" s="408">
        <f t="shared" si="534"/>
        <v>88164</v>
      </c>
      <c r="J2274" s="411"/>
      <c r="K2274" s="412"/>
      <c r="L2274" s="412"/>
      <c r="M2274" s="404"/>
      <c r="N2274" s="404"/>
      <c r="O2274" s="404"/>
      <c r="P2274" s="404"/>
      <c r="Q2274" s="404"/>
      <c r="R2274" s="404"/>
      <c r="S2274" s="404"/>
      <c r="T2274" s="404"/>
      <c r="U2274" s="404"/>
      <c r="V2274" s="404"/>
      <c r="W2274" s="404"/>
      <c r="X2274" s="404"/>
      <c r="Y2274" s="404"/>
      <c r="Z2274" s="404"/>
      <c r="AA2274" s="404"/>
      <c r="AB2274" s="404"/>
      <c r="AC2274" s="404"/>
      <c r="AD2274" s="404"/>
      <c r="AE2274" s="404"/>
      <c r="AF2274" s="404"/>
      <c r="AG2274" s="404"/>
      <c r="AH2274" s="404"/>
      <c r="AI2274" s="404"/>
      <c r="AJ2274" s="404"/>
      <c r="AK2274" s="404"/>
      <c r="AL2274" s="404"/>
      <c r="AM2274" s="404"/>
      <c r="AN2274" s="404"/>
      <c r="AO2274" s="404"/>
      <c r="AP2274" s="404"/>
      <c r="AQ2274" s="404"/>
      <c r="AR2274" s="404"/>
      <c r="AS2274" s="404"/>
      <c r="AT2274" s="404"/>
      <c r="AU2274" s="404"/>
      <c r="AV2274" s="404"/>
      <c r="AW2274" s="404"/>
      <c r="AX2274" s="404"/>
      <c r="AY2274" s="404"/>
      <c r="AZ2274" s="404"/>
      <c r="BA2274" s="404"/>
      <c r="BB2274" s="404"/>
      <c r="BC2274" s="404"/>
      <c r="BD2274" s="404"/>
      <c r="BE2274" s="404"/>
      <c r="BF2274" s="404"/>
      <c r="BG2274" s="404"/>
      <c r="BH2274" s="404"/>
      <c r="BI2274" s="404"/>
      <c r="BJ2274" s="404"/>
      <c r="BK2274" s="404"/>
      <c r="BL2274" s="404"/>
    </row>
    <row r="2275" spans="1:64" ht="25">
      <c r="A2275" s="454"/>
      <c r="B2275" s="426"/>
      <c r="C2275" s="417" t="str">
        <f>[161]Input!$C$48</f>
        <v>Overheads &amp; Contractors Profit @ 13.615%</v>
      </c>
      <c r="D2275" s="408">
        <f>ROUND(D2274*[161]Input!$D$48,2)</f>
        <v>10928.49</v>
      </c>
      <c r="E2275" s="408">
        <f>ROUND(E2274*[161]Input!$D$48,2)</f>
        <v>11143.5</v>
      </c>
      <c r="F2275" s="408">
        <f>ROUND(F2274*[161]Input!$D$48,2)</f>
        <v>11358.5</v>
      </c>
      <c r="G2275" s="408">
        <f>ROUND(G2274*[161]Input!$D$48,2)</f>
        <v>11573.51</v>
      </c>
      <c r="H2275" s="408">
        <f>ROUND(H2274*[161]Input!$D$48,2)</f>
        <v>11788.52</v>
      </c>
      <c r="I2275" s="408">
        <f>ROUND(I2274*[161]Input!$D$48,2)</f>
        <v>12003.53</v>
      </c>
      <c r="J2275" s="411"/>
      <c r="K2275" s="412"/>
      <c r="L2275" s="412"/>
      <c r="M2275" s="404"/>
      <c r="N2275" s="404"/>
      <c r="O2275" s="404"/>
      <c r="P2275" s="404"/>
      <c r="Q2275" s="404"/>
      <c r="R2275" s="404"/>
      <c r="S2275" s="404"/>
      <c r="T2275" s="404"/>
      <c r="U2275" s="404"/>
      <c r="V2275" s="404"/>
      <c r="W2275" s="404"/>
      <c r="X2275" s="404"/>
      <c r="Y2275" s="404"/>
      <c r="Z2275" s="404"/>
      <c r="AA2275" s="404"/>
      <c r="AB2275" s="404"/>
      <c r="AC2275" s="404"/>
      <c r="AD2275" s="404"/>
      <c r="AE2275" s="404"/>
      <c r="AF2275" s="404"/>
      <c r="AG2275" s="404"/>
      <c r="AH2275" s="404"/>
      <c r="AI2275" s="404"/>
      <c r="AJ2275" s="404"/>
      <c r="AK2275" s="404"/>
      <c r="AL2275" s="404"/>
      <c r="AM2275" s="404"/>
      <c r="AN2275" s="404"/>
      <c r="AO2275" s="404"/>
      <c r="AP2275" s="404"/>
      <c r="AQ2275" s="404"/>
      <c r="AR2275" s="404"/>
      <c r="AS2275" s="404"/>
      <c r="AT2275" s="404"/>
      <c r="AU2275" s="404"/>
      <c r="AV2275" s="404"/>
      <c r="AW2275" s="404"/>
      <c r="AX2275" s="404"/>
      <c r="AY2275" s="404"/>
      <c r="AZ2275" s="404"/>
      <c r="BA2275" s="404"/>
      <c r="BB2275" s="404"/>
      <c r="BC2275" s="404"/>
      <c r="BD2275" s="404"/>
      <c r="BE2275" s="404"/>
      <c r="BF2275" s="404"/>
      <c r="BG2275" s="404"/>
      <c r="BH2275" s="404"/>
      <c r="BI2275" s="404"/>
      <c r="BJ2275" s="404"/>
      <c r="BK2275" s="404"/>
      <c r="BL2275" s="404"/>
    </row>
    <row r="2276" spans="1:64" ht="13">
      <c r="A2276" s="454"/>
      <c r="B2276" s="426"/>
      <c r="C2276" s="481" t="s">
        <v>1117</v>
      </c>
      <c r="D2276" s="408">
        <f t="shared" ref="D2276:I2276" si="535">SUM(D2274:D2275)</f>
        <v>91196.49</v>
      </c>
      <c r="E2276" s="408">
        <f t="shared" si="535"/>
        <v>92990.7</v>
      </c>
      <c r="F2276" s="408">
        <f t="shared" si="535"/>
        <v>94784.9</v>
      </c>
      <c r="G2276" s="408">
        <f t="shared" si="535"/>
        <v>96579.11</v>
      </c>
      <c r="H2276" s="408">
        <f t="shared" si="535"/>
        <v>98373.32</v>
      </c>
      <c r="I2276" s="408">
        <f t="shared" si="535"/>
        <v>100167.53</v>
      </c>
      <c r="J2276" s="411"/>
      <c r="K2276" s="412"/>
      <c r="L2276" s="412"/>
      <c r="M2276" s="413"/>
      <c r="N2276" s="413"/>
      <c r="O2276" s="413"/>
      <c r="P2276" s="413"/>
      <c r="Q2276" s="413"/>
      <c r="R2276" s="413"/>
      <c r="S2276" s="413"/>
      <c r="T2276" s="413"/>
      <c r="U2276" s="413"/>
      <c r="V2276" s="413"/>
      <c r="W2276" s="413"/>
      <c r="X2276" s="413"/>
      <c r="Y2276" s="413"/>
      <c r="Z2276" s="413"/>
      <c r="AA2276" s="413"/>
      <c r="AB2276" s="413"/>
      <c r="AC2276" s="413"/>
      <c r="AD2276" s="413"/>
      <c r="AE2276" s="413"/>
      <c r="AF2276" s="413"/>
      <c r="AG2276" s="413"/>
      <c r="AH2276" s="413"/>
      <c r="AI2276" s="413"/>
      <c r="AJ2276" s="413"/>
      <c r="AK2276" s="413"/>
      <c r="AL2276" s="413"/>
      <c r="AM2276" s="413"/>
      <c r="AN2276" s="413"/>
      <c r="AO2276" s="413"/>
      <c r="AP2276" s="413"/>
      <c r="AQ2276" s="413"/>
      <c r="AR2276" s="413"/>
      <c r="AS2276" s="413"/>
      <c r="AT2276" s="413"/>
      <c r="AU2276" s="413"/>
      <c r="AV2276" s="413"/>
      <c r="AW2276" s="413"/>
      <c r="AX2276" s="413"/>
      <c r="AY2276" s="413"/>
      <c r="AZ2276" s="413"/>
      <c r="BA2276" s="413"/>
      <c r="BB2276" s="413"/>
      <c r="BC2276" s="413"/>
      <c r="BD2276" s="413"/>
      <c r="BE2276" s="413"/>
      <c r="BF2276" s="413"/>
      <c r="BG2276" s="413"/>
      <c r="BH2276" s="413"/>
      <c r="BI2276" s="413"/>
      <c r="BJ2276" s="413"/>
      <c r="BK2276" s="413"/>
      <c r="BL2276" s="413"/>
    </row>
    <row r="2277" spans="1:64" ht="13">
      <c r="A2277" s="454"/>
      <c r="B2277" s="426"/>
      <c r="C2277" s="522" t="s">
        <v>726</v>
      </c>
      <c r="D2277" s="416">
        <f t="shared" ref="D2277:I2277" si="536">ROUND(D2276,0)</f>
        <v>91196</v>
      </c>
      <c r="E2277" s="416">
        <f t="shared" si="536"/>
        <v>92991</v>
      </c>
      <c r="F2277" s="416">
        <f t="shared" si="536"/>
        <v>94785</v>
      </c>
      <c r="G2277" s="416">
        <f t="shared" si="536"/>
        <v>96579</v>
      </c>
      <c r="H2277" s="416">
        <f t="shared" si="536"/>
        <v>98373</v>
      </c>
      <c r="I2277" s="416">
        <f t="shared" si="536"/>
        <v>100168</v>
      </c>
      <c r="J2277" s="411"/>
      <c r="K2277" s="412"/>
      <c r="L2277" s="412"/>
      <c r="M2277" s="413"/>
      <c r="N2277" s="413"/>
      <c r="O2277" s="413"/>
      <c r="P2277" s="413"/>
      <c r="Q2277" s="413"/>
      <c r="R2277" s="413"/>
      <c r="S2277" s="413"/>
      <c r="T2277" s="413"/>
      <c r="U2277" s="413"/>
      <c r="V2277" s="413"/>
      <c r="W2277" s="413"/>
      <c r="X2277" s="413"/>
      <c r="Y2277" s="413"/>
      <c r="Z2277" s="413"/>
      <c r="AA2277" s="413"/>
      <c r="AB2277" s="413"/>
      <c r="AC2277" s="413"/>
      <c r="AD2277" s="413"/>
      <c r="AE2277" s="413"/>
      <c r="AF2277" s="413"/>
      <c r="AG2277" s="413"/>
      <c r="AH2277" s="413"/>
      <c r="AI2277" s="413"/>
      <c r="AJ2277" s="413"/>
      <c r="AK2277" s="413"/>
      <c r="AL2277" s="413"/>
      <c r="AM2277" s="413"/>
      <c r="AN2277" s="413"/>
      <c r="AO2277" s="413"/>
      <c r="AP2277" s="413"/>
      <c r="AQ2277" s="413"/>
      <c r="AR2277" s="413"/>
      <c r="AS2277" s="413"/>
      <c r="AT2277" s="413"/>
      <c r="AU2277" s="413"/>
      <c r="AV2277" s="413"/>
      <c r="AW2277" s="413"/>
      <c r="AX2277" s="413"/>
      <c r="AY2277" s="413"/>
      <c r="AZ2277" s="413"/>
      <c r="BA2277" s="413"/>
      <c r="BB2277" s="413"/>
      <c r="BC2277" s="413"/>
      <c r="BD2277" s="413"/>
      <c r="BE2277" s="413"/>
      <c r="BF2277" s="413"/>
      <c r="BG2277" s="413"/>
      <c r="BH2277" s="413"/>
      <c r="BI2277" s="413"/>
      <c r="BJ2277" s="413"/>
      <c r="BK2277" s="413"/>
      <c r="BL2277" s="413"/>
    </row>
    <row r="2278" spans="1:64" ht="13">
      <c r="A2278" s="454"/>
      <c r="B2278" s="454"/>
      <c r="C2278" s="427"/>
      <c r="D2278" s="408"/>
      <c r="E2278" s="454"/>
      <c r="F2278" s="408"/>
      <c r="G2278" s="430"/>
      <c r="H2278" s="415"/>
      <c r="I2278" s="414"/>
      <c r="J2278" s="411"/>
      <c r="K2278" s="412"/>
      <c r="L2278" s="412"/>
      <c r="M2278" s="404"/>
      <c r="N2278" s="404"/>
      <c r="O2278" s="404"/>
      <c r="P2278" s="404"/>
      <c r="Q2278" s="404"/>
      <c r="R2278" s="404"/>
      <c r="S2278" s="404"/>
      <c r="T2278" s="404"/>
      <c r="U2278" s="404"/>
      <c r="V2278" s="404"/>
      <c r="W2278" s="404"/>
      <c r="X2278" s="404"/>
      <c r="Y2278" s="404"/>
      <c r="Z2278" s="404"/>
      <c r="AA2278" s="404"/>
      <c r="AB2278" s="404"/>
      <c r="AC2278" s="404"/>
      <c r="AD2278" s="404"/>
      <c r="AE2278" s="404"/>
      <c r="AF2278" s="404"/>
      <c r="AG2278" s="404"/>
      <c r="AH2278" s="404"/>
      <c r="AI2278" s="404"/>
      <c r="AJ2278" s="404"/>
      <c r="AK2278" s="404"/>
      <c r="AL2278" s="404"/>
      <c r="AM2278" s="404"/>
      <c r="AN2278" s="404"/>
      <c r="AO2278" s="404"/>
      <c r="AP2278" s="404"/>
      <c r="AQ2278" s="404"/>
      <c r="AR2278" s="404"/>
      <c r="AS2278" s="404"/>
      <c r="AT2278" s="404"/>
      <c r="AU2278" s="404"/>
      <c r="AV2278" s="404"/>
      <c r="AW2278" s="404"/>
      <c r="AX2278" s="404"/>
      <c r="AY2278" s="404"/>
      <c r="AZ2278" s="404"/>
      <c r="BA2278" s="404"/>
      <c r="BB2278" s="404"/>
      <c r="BC2278" s="404"/>
      <c r="BD2278" s="404"/>
      <c r="BE2278" s="404"/>
      <c r="BF2278" s="404"/>
      <c r="BG2278" s="404"/>
      <c r="BH2278" s="404"/>
      <c r="BI2278" s="404"/>
      <c r="BJ2278" s="404"/>
      <c r="BK2278" s="404"/>
      <c r="BL2278" s="404"/>
    </row>
    <row r="2279" spans="1:64" ht="13">
      <c r="A2279" s="454"/>
      <c r="B2279" s="454"/>
      <c r="C2279" s="427" t="s">
        <v>953</v>
      </c>
      <c r="D2279" s="415" t="s">
        <v>1118</v>
      </c>
      <c r="E2279" s="415" t="s">
        <v>1119</v>
      </c>
      <c r="F2279" s="415" t="s">
        <v>1120</v>
      </c>
      <c r="G2279" s="430"/>
      <c r="H2279" s="415"/>
      <c r="I2279" s="414"/>
      <c r="J2279" s="400"/>
      <c r="K2279" s="401"/>
      <c r="L2279" s="401"/>
      <c r="M2279" s="404"/>
      <c r="N2279" s="404"/>
      <c r="O2279" s="404"/>
      <c r="P2279" s="404"/>
      <c r="Q2279" s="404"/>
      <c r="R2279" s="404"/>
      <c r="S2279" s="404"/>
      <c r="T2279" s="404"/>
      <c r="U2279" s="404"/>
      <c r="V2279" s="404"/>
      <c r="W2279" s="404"/>
      <c r="X2279" s="404"/>
      <c r="Y2279" s="404"/>
      <c r="Z2279" s="404"/>
      <c r="AA2279" s="404"/>
      <c r="AB2279" s="404"/>
      <c r="AC2279" s="404"/>
      <c r="AD2279" s="404"/>
      <c r="AE2279" s="404"/>
      <c r="AF2279" s="404"/>
      <c r="AG2279" s="404"/>
      <c r="AH2279" s="404"/>
      <c r="AI2279" s="404"/>
      <c r="AJ2279" s="404"/>
      <c r="AK2279" s="404"/>
      <c r="AL2279" s="404"/>
      <c r="AM2279" s="404"/>
      <c r="AN2279" s="404"/>
      <c r="AO2279" s="404"/>
      <c r="AP2279" s="404"/>
      <c r="AQ2279" s="404"/>
      <c r="AR2279" s="404"/>
      <c r="AS2279" s="404"/>
      <c r="AT2279" s="404"/>
      <c r="AU2279" s="404"/>
      <c r="AV2279" s="404"/>
      <c r="AW2279" s="404"/>
      <c r="AX2279" s="404"/>
      <c r="AY2279" s="404"/>
      <c r="AZ2279" s="404"/>
      <c r="BA2279" s="404"/>
      <c r="BB2279" s="404"/>
      <c r="BC2279" s="404"/>
      <c r="BD2279" s="404"/>
      <c r="BE2279" s="404"/>
      <c r="BF2279" s="404"/>
      <c r="BG2279" s="404"/>
      <c r="BH2279" s="404"/>
      <c r="BI2279" s="404"/>
      <c r="BJ2279" s="404"/>
      <c r="BK2279" s="404"/>
      <c r="BL2279" s="404"/>
    </row>
    <row r="2280" spans="1:64" ht="13">
      <c r="A2280" s="454"/>
      <c r="B2280" s="454"/>
      <c r="C2280" s="417" t="s">
        <v>1064</v>
      </c>
      <c r="D2280" s="408">
        <f>$I$2268</f>
        <v>80268</v>
      </c>
      <c r="E2280" s="408">
        <f>$I$2268</f>
        <v>80268</v>
      </c>
      <c r="F2280" s="408">
        <f>$I$2268</f>
        <v>80268</v>
      </c>
      <c r="G2280" s="430"/>
      <c r="H2280" s="415"/>
      <c r="I2280" s="414"/>
      <c r="J2280" s="400"/>
      <c r="K2280" s="401"/>
      <c r="L2280" s="401"/>
      <c r="M2280" s="404"/>
      <c r="N2280" s="404"/>
      <c r="O2280" s="404"/>
      <c r="P2280" s="404"/>
      <c r="Q2280" s="404"/>
      <c r="R2280" s="404"/>
      <c r="S2280" s="404"/>
      <c r="T2280" s="404"/>
      <c r="U2280" s="404"/>
      <c r="V2280" s="404"/>
      <c r="W2280" s="404"/>
      <c r="X2280" s="404"/>
      <c r="Y2280" s="404"/>
      <c r="Z2280" s="404"/>
      <c r="AA2280" s="404"/>
      <c r="AB2280" s="404"/>
      <c r="AC2280" s="404"/>
      <c r="AD2280" s="404"/>
      <c r="AE2280" s="404"/>
      <c r="AF2280" s="404"/>
      <c r="AG2280" s="404"/>
      <c r="AH2280" s="404"/>
      <c r="AI2280" s="404"/>
      <c r="AJ2280" s="404"/>
      <c r="AK2280" s="404"/>
      <c r="AL2280" s="404"/>
      <c r="AM2280" s="404"/>
      <c r="AN2280" s="404"/>
      <c r="AO2280" s="404"/>
      <c r="AP2280" s="404"/>
      <c r="AQ2280" s="404"/>
      <c r="AR2280" s="404"/>
      <c r="AS2280" s="404"/>
      <c r="AT2280" s="404"/>
      <c r="AU2280" s="404"/>
      <c r="AV2280" s="404"/>
      <c r="AW2280" s="404"/>
      <c r="AX2280" s="404"/>
      <c r="AY2280" s="404"/>
      <c r="AZ2280" s="404"/>
      <c r="BA2280" s="404"/>
      <c r="BB2280" s="404"/>
      <c r="BC2280" s="404"/>
      <c r="BD2280" s="404"/>
      <c r="BE2280" s="404"/>
      <c r="BF2280" s="404"/>
      <c r="BG2280" s="404"/>
      <c r="BH2280" s="404"/>
      <c r="BI2280" s="404"/>
      <c r="BJ2280" s="404"/>
      <c r="BK2280" s="404"/>
      <c r="BL2280" s="404"/>
    </row>
    <row r="2281" spans="1:64" ht="13">
      <c r="A2281" s="454"/>
      <c r="B2281" s="454"/>
      <c r="C2281" s="417" t="s">
        <v>1124</v>
      </c>
      <c r="D2281" s="408">
        <f>ROUND(($F$2267)*60%,2)</f>
        <v>6768</v>
      </c>
      <c r="E2281" s="408">
        <f>ROUND(($F$2267)*70%,2)</f>
        <v>7896</v>
      </c>
      <c r="F2281" s="408">
        <f>ROUND(($F$2267)*80%,2)</f>
        <v>9024</v>
      </c>
      <c r="G2281" s="430"/>
      <c r="H2281" s="415"/>
      <c r="I2281" s="414"/>
      <c r="J2281" s="400"/>
      <c r="K2281" s="401"/>
      <c r="L2281" s="401"/>
      <c r="M2281" s="404"/>
      <c r="N2281" s="404"/>
      <c r="O2281" s="404"/>
      <c r="P2281" s="404"/>
      <c r="Q2281" s="404"/>
      <c r="R2281" s="404"/>
      <c r="S2281" s="404"/>
      <c r="T2281" s="404"/>
      <c r="U2281" s="404"/>
      <c r="V2281" s="404"/>
      <c r="W2281" s="404"/>
      <c r="X2281" s="404"/>
      <c r="Y2281" s="404"/>
      <c r="Z2281" s="404"/>
      <c r="AA2281" s="404"/>
      <c r="AB2281" s="404"/>
      <c r="AC2281" s="404"/>
      <c r="AD2281" s="404"/>
      <c r="AE2281" s="404"/>
      <c r="AF2281" s="404"/>
      <c r="AG2281" s="404"/>
      <c r="AH2281" s="404"/>
      <c r="AI2281" s="404"/>
      <c r="AJ2281" s="404"/>
      <c r="AK2281" s="404"/>
      <c r="AL2281" s="404"/>
      <c r="AM2281" s="404"/>
      <c r="AN2281" s="404"/>
      <c r="AO2281" s="404"/>
      <c r="AP2281" s="404"/>
      <c r="AQ2281" s="404"/>
      <c r="AR2281" s="404"/>
      <c r="AS2281" s="404"/>
      <c r="AT2281" s="404"/>
      <c r="AU2281" s="404"/>
      <c r="AV2281" s="404"/>
      <c r="AW2281" s="404"/>
      <c r="AX2281" s="404"/>
      <c r="AY2281" s="404"/>
      <c r="AZ2281" s="404"/>
      <c r="BA2281" s="404"/>
      <c r="BB2281" s="404"/>
      <c r="BC2281" s="404"/>
      <c r="BD2281" s="404"/>
      <c r="BE2281" s="404"/>
      <c r="BF2281" s="404"/>
      <c r="BG2281" s="404"/>
      <c r="BH2281" s="404"/>
      <c r="BI2281" s="404"/>
      <c r="BJ2281" s="404"/>
      <c r="BK2281" s="404"/>
      <c r="BL2281" s="404"/>
    </row>
    <row r="2282" spans="1:64" ht="13">
      <c r="A2282" s="454"/>
      <c r="B2282" s="454"/>
      <c r="C2282" s="417" t="str">
        <f>[161]Input!$C$47</f>
        <v>Add for MA @ 40%</v>
      </c>
      <c r="D2282" s="408">
        <f>D2281*[161]Input!$D$47</f>
        <v>2707.2000000000003</v>
      </c>
      <c r="E2282" s="408">
        <f>E2281*[161]Input!$D$47</f>
        <v>3158.4</v>
      </c>
      <c r="F2282" s="408">
        <f>F2281*[161]Input!$D$47</f>
        <v>3609.6000000000004</v>
      </c>
      <c r="G2282" s="430"/>
      <c r="H2282" s="415"/>
      <c r="I2282" s="414"/>
      <c r="J2282" s="400"/>
      <c r="K2282" s="401"/>
      <c r="L2282" s="401"/>
      <c r="M2282" s="404"/>
      <c r="N2282" s="404"/>
      <c r="O2282" s="404"/>
      <c r="P2282" s="404"/>
      <c r="Q2282" s="404"/>
      <c r="R2282" s="404"/>
      <c r="S2282" s="404"/>
      <c r="T2282" s="404"/>
      <c r="U2282" s="404"/>
      <c r="V2282" s="404"/>
      <c r="W2282" s="404"/>
      <c r="X2282" s="404"/>
      <c r="Y2282" s="404"/>
      <c r="Z2282" s="404"/>
      <c r="AA2282" s="404"/>
      <c r="AB2282" s="404"/>
      <c r="AC2282" s="404"/>
      <c r="AD2282" s="404"/>
      <c r="AE2282" s="404"/>
      <c r="AF2282" s="404"/>
      <c r="AG2282" s="404"/>
      <c r="AH2282" s="404"/>
      <c r="AI2282" s="404"/>
      <c r="AJ2282" s="404"/>
      <c r="AK2282" s="404"/>
      <c r="AL2282" s="404"/>
      <c r="AM2282" s="404"/>
      <c r="AN2282" s="404"/>
      <c r="AO2282" s="404"/>
      <c r="AP2282" s="404"/>
      <c r="AQ2282" s="404"/>
      <c r="AR2282" s="404"/>
      <c r="AS2282" s="404"/>
      <c r="AT2282" s="404"/>
      <c r="AU2282" s="404"/>
      <c r="AV2282" s="404"/>
      <c r="AW2282" s="404"/>
      <c r="AX2282" s="404"/>
      <c r="AY2282" s="404"/>
      <c r="AZ2282" s="404"/>
      <c r="BA2282" s="404"/>
      <c r="BB2282" s="404"/>
      <c r="BC2282" s="404"/>
      <c r="BD2282" s="404"/>
      <c r="BE2282" s="404"/>
      <c r="BF2282" s="404"/>
      <c r="BG2282" s="404"/>
      <c r="BH2282" s="404"/>
      <c r="BI2282" s="404"/>
      <c r="BJ2282" s="404"/>
      <c r="BK2282" s="404"/>
      <c r="BL2282" s="404"/>
    </row>
    <row r="2283" spans="1:64" ht="13">
      <c r="A2283" s="454"/>
      <c r="B2283" s="454"/>
      <c r="C2283" s="427" t="s">
        <v>1117</v>
      </c>
      <c r="D2283" s="408">
        <f>SUM(D2280:D2282)</f>
        <v>89743.2</v>
      </c>
      <c r="E2283" s="408">
        <f>SUM(E2280:E2282)</f>
        <v>91322.4</v>
      </c>
      <c r="F2283" s="408">
        <f>SUM(F2280:F2282)</f>
        <v>92901.6</v>
      </c>
      <c r="G2283" s="430"/>
      <c r="H2283" s="415"/>
      <c r="I2283" s="414"/>
      <c r="J2283" s="400"/>
      <c r="K2283" s="401"/>
      <c r="L2283" s="401"/>
      <c r="M2283" s="404"/>
      <c r="N2283" s="404"/>
      <c r="O2283" s="404"/>
      <c r="P2283" s="404"/>
      <c r="Q2283" s="404"/>
      <c r="R2283" s="404"/>
      <c r="S2283" s="404"/>
      <c r="T2283" s="404"/>
      <c r="U2283" s="404"/>
      <c r="V2283" s="404"/>
      <c r="W2283" s="404"/>
      <c r="X2283" s="404"/>
      <c r="Y2283" s="404"/>
      <c r="Z2283" s="404"/>
      <c r="AA2283" s="404"/>
      <c r="AB2283" s="404"/>
      <c r="AC2283" s="404"/>
      <c r="AD2283" s="404"/>
      <c r="AE2283" s="404"/>
      <c r="AF2283" s="404"/>
      <c r="AG2283" s="404"/>
      <c r="AH2283" s="404"/>
      <c r="AI2283" s="404"/>
      <c r="AJ2283" s="404"/>
      <c r="AK2283" s="404"/>
      <c r="AL2283" s="404"/>
      <c r="AM2283" s="404"/>
      <c r="AN2283" s="404"/>
      <c r="AO2283" s="404"/>
      <c r="AP2283" s="404"/>
      <c r="AQ2283" s="404"/>
      <c r="AR2283" s="404"/>
      <c r="AS2283" s="404"/>
      <c r="AT2283" s="404"/>
      <c r="AU2283" s="404"/>
      <c r="AV2283" s="404"/>
      <c r="AW2283" s="404"/>
      <c r="AX2283" s="404"/>
      <c r="AY2283" s="404"/>
      <c r="AZ2283" s="404"/>
      <c r="BA2283" s="404"/>
      <c r="BB2283" s="404"/>
      <c r="BC2283" s="404"/>
      <c r="BD2283" s="404"/>
      <c r="BE2283" s="404"/>
      <c r="BF2283" s="404"/>
      <c r="BG2283" s="404"/>
      <c r="BH2283" s="404"/>
      <c r="BI2283" s="404"/>
      <c r="BJ2283" s="404"/>
      <c r="BK2283" s="404"/>
      <c r="BL2283" s="404"/>
    </row>
    <row r="2284" spans="1:64" ht="25">
      <c r="A2284" s="454"/>
      <c r="B2284" s="454"/>
      <c r="C2284" s="417" t="str">
        <f>[161]Input!$C$48</f>
        <v>Overheads &amp; Contractors Profit @ 13.615%</v>
      </c>
      <c r="D2284" s="408">
        <f>ROUND(D2283*[161]Input!$D$48,2)</f>
        <v>12218.54</v>
      </c>
      <c r="E2284" s="408">
        <f>ROUND(E2283*[161]Input!$D$48,2)</f>
        <v>12433.54</v>
      </c>
      <c r="F2284" s="408">
        <f>ROUND(F2283*[161]Input!$D$48,2)</f>
        <v>12648.55</v>
      </c>
      <c r="G2284" s="430"/>
      <c r="H2284" s="415"/>
      <c r="I2284" s="414"/>
      <c r="J2284" s="400"/>
      <c r="K2284" s="401"/>
      <c r="L2284" s="401"/>
      <c r="M2284" s="404"/>
      <c r="N2284" s="404"/>
      <c r="O2284" s="404"/>
      <c r="P2284" s="404"/>
      <c r="Q2284" s="404"/>
      <c r="R2284" s="404"/>
      <c r="S2284" s="404"/>
      <c r="T2284" s="404"/>
      <c r="U2284" s="404"/>
      <c r="V2284" s="404"/>
      <c r="W2284" s="404"/>
      <c r="X2284" s="404"/>
      <c r="Y2284" s="404"/>
      <c r="Z2284" s="404"/>
      <c r="AA2284" s="404"/>
      <c r="AB2284" s="404"/>
      <c r="AC2284" s="404"/>
      <c r="AD2284" s="404"/>
      <c r="AE2284" s="404"/>
      <c r="AF2284" s="404"/>
      <c r="AG2284" s="404"/>
      <c r="AH2284" s="404"/>
      <c r="AI2284" s="404"/>
      <c r="AJ2284" s="404"/>
      <c r="AK2284" s="404"/>
      <c r="AL2284" s="404"/>
      <c r="AM2284" s="404"/>
      <c r="AN2284" s="404"/>
      <c r="AO2284" s="404"/>
      <c r="AP2284" s="404"/>
      <c r="AQ2284" s="404"/>
      <c r="AR2284" s="404"/>
      <c r="AS2284" s="404"/>
      <c r="AT2284" s="404"/>
      <c r="AU2284" s="404"/>
      <c r="AV2284" s="404"/>
      <c r="AW2284" s="404"/>
      <c r="AX2284" s="404"/>
      <c r="AY2284" s="404"/>
      <c r="AZ2284" s="404"/>
      <c r="BA2284" s="404"/>
      <c r="BB2284" s="404"/>
      <c r="BC2284" s="404"/>
      <c r="BD2284" s="404"/>
      <c r="BE2284" s="404"/>
      <c r="BF2284" s="404"/>
      <c r="BG2284" s="404"/>
      <c r="BH2284" s="404"/>
      <c r="BI2284" s="404"/>
      <c r="BJ2284" s="404"/>
      <c r="BK2284" s="404"/>
      <c r="BL2284" s="404"/>
    </row>
    <row r="2285" spans="1:64" ht="13">
      <c r="A2285" s="454"/>
      <c r="B2285" s="454"/>
      <c r="C2285" s="427" t="s">
        <v>1117</v>
      </c>
      <c r="D2285" s="408">
        <f>SUM(D2283:D2284)</f>
        <v>101961.73999999999</v>
      </c>
      <c r="E2285" s="408">
        <f>SUM(E2283:E2284)</f>
        <v>103755.94</v>
      </c>
      <c r="F2285" s="408">
        <f>SUM(F2283:F2284)</f>
        <v>105550.15000000001</v>
      </c>
      <c r="G2285" s="430"/>
      <c r="H2285" s="415"/>
      <c r="I2285" s="414"/>
      <c r="J2285" s="400"/>
      <c r="K2285" s="401"/>
      <c r="L2285" s="401"/>
      <c r="M2285" s="404"/>
      <c r="N2285" s="404"/>
      <c r="O2285" s="404"/>
      <c r="P2285" s="404"/>
      <c r="Q2285" s="404"/>
      <c r="R2285" s="404"/>
      <c r="S2285" s="404"/>
      <c r="T2285" s="404"/>
      <c r="U2285" s="404"/>
      <c r="V2285" s="404"/>
      <c r="W2285" s="404"/>
      <c r="X2285" s="404"/>
      <c r="Y2285" s="404"/>
      <c r="Z2285" s="404"/>
      <c r="AA2285" s="404"/>
      <c r="AB2285" s="404"/>
      <c r="AC2285" s="404"/>
      <c r="AD2285" s="404"/>
      <c r="AE2285" s="404"/>
      <c r="AF2285" s="404"/>
      <c r="AG2285" s="404"/>
      <c r="AH2285" s="404"/>
      <c r="AI2285" s="404"/>
      <c r="AJ2285" s="404"/>
      <c r="AK2285" s="404"/>
      <c r="AL2285" s="404"/>
      <c r="AM2285" s="404"/>
      <c r="AN2285" s="404"/>
      <c r="AO2285" s="404"/>
      <c r="AP2285" s="404"/>
      <c r="AQ2285" s="404"/>
      <c r="AR2285" s="404"/>
      <c r="AS2285" s="404"/>
      <c r="AT2285" s="404"/>
      <c r="AU2285" s="404"/>
      <c r="AV2285" s="404"/>
      <c r="AW2285" s="404"/>
      <c r="AX2285" s="404"/>
      <c r="AY2285" s="404"/>
      <c r="AZ2285" s="404"/>
      <c r="BA2285" s="404"/>
      <c r="BB2285" s="404"/>
      <c r="BC2285" s="404"/>
      <c r="BD2285" s="404"/>
      <c r="BE2285" s="404"/>
      <c r="BF2285" s="404"/>
      <c r="BG2285" s="404"/>
      <c r="BH2285" s="404"/>
      <c r="BI2285" s="404"/>
      <c r="BJ2285" s="404"/>
      <c r="BK2285" s="404"/>
      <c r="BL2285" s="404"/>
    </row>
    <row r="2286" spans="1:64" ht="13">
      <c r="A2286" s="454"/>
      <c r="B2286" s="454"/>
      <c r="C2286" s="514" t="s">
        <v>726</v>
      </c>
      <c r="D2286" s="416">
        <f>ROUND(D2285,0)</f>
        <v>101962</v>
      </c>
      <c r="E2286" s="416">
        <f>ROUND(E2285,0)</f>
        <v>103756</v>
      </c>
      <c r="F2286" s="416">
        <f>ROUND(F2285,0)</f>
        <v>105550</v>
      </c>
      <c r="G2286" s="430"/>
      <c r="H2286" s="415"/>
      <c r="I2286" s="414"/>
      <c r="J2286" s="400"/>
      <c r="K2286" s="401"/>
      <c r="L2286" s="401"/>
      <c r="M2286" s="404"/>
      <c r="N2286" s="404"/>
      <c r="O2286" s="404"/>
      <c r="P2286" s="404"/>
      <c r="Q2286" s="404"/>
      <c r="R2286" s="404"/>
      <c r="S2286" s="404"/>
      <c r="T2286" s="404"/>
      <c r="U2286" s="404"/>
      <c r="V2286" s="404"/>
      <c r="W2286" s="404"/>
      <c r="X2286" s="404"/>
      <c r="Y2286" s="404"/>
      <c r="Z2286" s="404"/>
      <c r="AA2286" s="404"/>
      <c r="AB2286" s="404"/>
      <c r="AC2286" s="404"/>
      <c r="AD2286" s="404"/>
      <c r="AE2286" s="404"/>
      <c r="AF2286" s="404"/>
      <c r="AG2286" s="404"/>
      <c r="AH2286" s="404"/>
      <c r="AI2286" s="404"/>
      <c r="AJ2286" s="404"/>
      <c r="AK2286" s="404"/>
      <c r="AL2286" s="404"/>
      <c r="AM2286" s="404"/>
      <c r="AN2286" s="404"/>
      <c r="AO2286" s="404"/>
      <c r="AP2286" s="404"/>
      <c r="AQ2286" s="404"/>
      <c r="AR2286" s="404"/>
      <c r="AS2286" s="404"/>
      <c r="AT2286" s="404"/>
      <c r="AU2286" s="404"/>
      <c r="AV2286" s="404"/>
      <c r="AW2286" s="404"/>
      <c r="AX2286" s="404"/>
      <c r="AY2286" s="404"/>
      <c r="AZ2286" s="404"/>
      <c r="BA2286" s="404"/>
      <c r="BB2286" s="404"/>
      <c r="BC2286" s="404"/>
      <c r="BD2286" s="404"/>
      <c r="BE2286" s="404"/>
      <c r="BF2286" s="404"/>
      <c r="BG2286" s="404"/>
      <c r="BH2286" s="404"/>
      <c r="BI2286" s="404"/>
      <c r="BJ2286" s="404"/>
      <c r="BK2286" s="404"/>
      <c r="BL2286" s="404"/>
    </row>
    <row r="2287" spans="1:64" ht="13">
      <c r="A2287" s="454"/>
      <c r="B2287" s="454"/>
      <c r="C2287" s="427"/>
      <c r="D2287" s="408"/>
      <c r="E2287" s="454"/>
      <c r="F2287" s="408"/>
      <c r="G2287" s="430"/>
      <c r="H2287" s="415"/>
      <c r="I2287" s="414"/>
      <c r="J2287" s="400"/>
      <c r="K2287" s="401"/>
      <c r="L2287" s="401"/>
      <c r="M2287" s="404"/>
      <c r="N2287" s="404"/>
      <c r="O2287" s="404"/>
      <c r="P2287" s="404"/>
      <c r="Q2287" s="404"/>
      <c r="R2287" s="404"/>
      <c r="S2287" s="404"/>
      <c r="T2287" s="404"/>
      <c r="U2287" s="404"/>
      <c r="V2287" s="404"/>
      <c r="W2287" s="404"/>
      <c r="X2287" s="404"/>
      <c r="Y2287" s="404"/>
      <c r="Z2287" s="404"/>
      <c r="AA2287" s="404"/>
      <c r="AB2287" s="404"/>
      <c r="AC2287" s="404"/>
      <c r="AD2287" s="404"/>
      <c r="AE2287" s="404"/>
      <c r="AF2287" s="404"/>
      <c r="AG2287" s="404"/>
      <c r="AH2287" s="404"/>
      <c r="AI2287" s="404"/>
      <c r="AJ2287" s="404"/>
      <c r="AK2287" s="404"/>
      <c r="AL2287" s="404"/>
      <c r="AM2287" s="404"/>
      <c r="AN2287" s="404"/>
      <c r="AO2287" s="404"/>
      <c r="AP2287" s="404"/>
      <c r="AQ2287" s="404"/>
      <c r="AR2287" s="404"/>
      <c r="AS2287" s="404"/>
      <c r="AT2287" s="404"/>
      <c r="AU2287" s="404"/>
      <c r="AV2287" s="404"/>
      <c r="AW2287" s="404"/>
      <c r="AX2287" s="404"/>
      <c r="AY2287" s="404"/>
      <c r="AZ2287" s="404"/>
      <c r="BA2287" s="404"/>
      <c r="BB2287" s="404"/>
      <c r="BC2287" s="404"/>
      <c r="BD2287" s="404"/>
      <c r="BE2287" s="404"/>
      <c r="BF2287" s="404"/>
      <c r="BG2287" s="404"/>
      <c r="BH2287" s="404"/>
      <c r="BI2287" s="404"/>
      <c r="BJ2287" s="404"/>
      <c r="BK2287" s="404"/>
      <c r="BL2287" s="404"/>
    </row>
    <row r="2288" spans="1:64" ht="80.650000000000006" customHeight="1">
      <c r="A2288" s="454">
        <v>5</v>
      </c>
      <c r="B2288" s="454"/>
      <c r="C2288" s="1276" t="s">
        <v>1125</v>
      </c>
      <c r="D2288" s="1276"/>
      <c r="E2288" s="1276"/>
      <c r="F2288" s="1276"/>
      <c r="G2288" s="1276"/>
      <c r="H2288" s="1276"/>
      <c r="I2288" s="407"/>
      <c r="J2288" s="400"/>
      <c r="K2288" s="401"/>
      <c r="L2288" s="401"/>
      <c r="M2288" s="404"/>
      <c r="N2288" s="404"/>
      <c r="O2288" s="404"/>
      <c r="P2288" s="404"/>
      <c r="Q2288" s="404"/>
      <c r="R2288" s="404"/>
      <c r="S2288" s="404"/>
      <c r="T2288" s="404"/>
      <c r="U2288" s="404"/>
      <c r="V2288" s="404"/>
      <c r="W2288" s="404"/>
      <c r="X2288" s="404"/>
      <c r="Y2288" s="404"/>
      <c r="Z2288" s="404"/>
      <c r="AA2288" s="404"/>
      <c r="AB2288" s="404"/>
      <c r="AC2288" s="404"/>
      <c r="AD2288" s="404"/>
      <c r="AE2288" s="404"/>
      <c r="AF2288" s="404"/>
      <c r="AG2288" s="404"/>
      <c r="AH2288" s="404"/>
      <c r="AI2288" s="404"/>
      <c r="AJ2288" s="404"/>
      <c r="AK2288" s="404"/>
      <c r="AL2288" s="404"/>
      <c r="AM2288" s="404"/>
      <c r="AN2288" s="404"/>
      <c r="AO2288" s="404"/>
      <c r="AP2288" s="404"/>
      <c r="AQ2288" s="404"/>
      <c r="AR2288" s="404"/>
      <c r="AS2288" s="404"/>
      <c r="AT2288" s="404"/>
      <c r="AU2288" s="404"/>
      <c r="AV2288" s="404"/>
      <c r="AW2288" s="404"/>
      <c r="AX2288" s="404"/>
      <c r="AY2288" s="404"/>
      <c r="AZ2288" s="404"/>
      <c r="BA2288" s="404"/>
      <c r="BB2288" s="404"/>
      <c r="BC2288" s="404"/>
      <c r="BD2288" s="404"/>
      <c r="BE2288" s="404"/>
      <c r="BF2288" s="404"/>
      <c r="BG2288" s="404"/>
      <c r="BH2288" s="404"/>
      <c r="BI2288" s="404"/>
      <c r="BJ2288" s="404"/>
      <c r="BK2288" s="404"/>
      <c r="BL2288" s="404"/>
    </row>
    <row r="2289" spans="1:64" ht="13">
      <c r="A2289" s="454"/>
      <c r="B2289" s="454"/>
      <c r="C2289" s="455" t="s">
        <v>1126</v>
      </c>
      <c r="D2289" s="408"/>
      <c r="E2289" s="454"/>
      <c r="F2289" s="408"/>
      <c r="G2289" s="430"/>
      <c r="H2289" s="454"/>
      <c r="I2289" s="408"/>
      <c r="J2289" s="400"/>
      <c r="K2289" s="401"/>
      <c r="L2289" s="401"/>
      <c r="M2289" s="404"/>
      <c r="N2289" s="404"/>
      <c r="O2289" s="404"/>
      <c r="P2289" s="404"/>
      <c r="Q2289" s="404"/>
      <c r="R2289" s="404"/>
      <c r="S2289" s="404"/>
      <c r="T2289" s="404"/>
      <c r="U2289" s="404"/>
      <c r="V2289" s="404"/>
      <c r="W2289" s="404"/>
      <c r="X2289" s="404"/>
      <c r="Y2289" s="404"/>
      <c r="Z2289" s="404"/>
      <c r="AA2289" s="404"/>
      <c r="AB2289" s="404"/>
      <c r="AC2289" s="404"/>
      <c r="AD2289" s="404"/>
      <c r="AE2289" s="404"/>
      <c r="AF2289" s="404"/>
      <c r="AG2289" s="404"/>
      <c r="AH2289" s="404"/>
      <c r="AI2289" s="404"/>
      <c r="AJ2289" s="404"/>
      <c r="AK2289" s="404"/>
      <c r="AL2289" s="404"/>
      <c r="AM2289" s="404"/>
      <c r="AN2289" s="404"/>
      <c r="AO2289" s="404"/>
      <c r="AP2289" s="404"/>
      <c r="AQ2289" s="404"/>
      <c r="AR2289" s="404"/>
      <c r="AS2289" s="404"/>
      <c r="AT2289" s="404"/>
      <c r="AU2289" s="404"/>
      <c r="AV2289" s="404"/>
      <c r="AW2289" s="404"/>
      <c r="AX2289" s="404"/>
      <c r="AY2289" s="404"/>
      <c r="AZ2289" s="404"/>
      <c r="BA2289" s="404"/>
      <c r="BB2289" s="404"/>
      <c r="BC2289" s="404"/>
      <c r="BD2289" s="404"/>
      <c r="BE2289" s="404"/>
      <c r="BF2289" s="404"/>
      <c r="BG2289" s="404"/>
      <c r="BH2289" s="404"/>
      <c r="BI2289" s="404"/>
      <c r="BJ2289" s="404"/>
      <c r="BK2289" s="404"/>
      <c r="BL2289" s="404"/>
    </row>
    <row r="2290" spans="1:64">
      <c r="A2290" s="454"/>
      <c r="B2290" s="454"/>
      <c r="C2290" s="469" t="s">
        <v>1127</v>
      </c>
      <c r="D2290" s="408"/>
      <c r="E2290" s="454"/>
      <c r="F2290" s="408"/>
      <c r="G2290" s="430"/>
      <c r="H2290" s="454"/>
      <c r="I2290" s="408"/>
      <c r="J2290" s="400"/>
      <c r="K2290" s="401"/>
      <c r="L2290" s="401"/>
      <c r="M2290" s="404"/>
      <c r="N2290" s="404"/>
      <c r="O2290" s="404"/>
      <c r="P2290" s="404"/>
      <c r="Q2290" s="404"/>
      <c r="R2290" s="404"/>
      <c r="S2290" s="404"/>
      <c r="T2290" s="404"/>
      <c r="U2290" s="404"/>
      <c r="V2290" s="404"/>
      <c r="W2290" s="404"/>
      <c r="X2290" s="404"/>
      <c r="Y2290" s="404"/>
      <c r="Z2290" s="404"/>
      <c r="AA2290" s="404"/>
      <c r="AB2290" s="404"/>
      <c r="AC2290" s="404"/>
      <c r="AD2290" s="404"/>
      <c r="AE2290" s="404"/>
      <c r="AF2290" s="404"/>
      <c r="AG2290" s="404"/>
      <c r="AH2290" s="404"/>
      <c r="AI2290" s="404"/>
      <c r="AJ2290" s="404"/>
      <c r="AK2290" s="404"/>
      <c r="AL2290" s="404"/>
      <c r="AM2290" s="404"/>
      <c r="AN2290" s="404"/>
      <c r="AO2290" s="404"/>
      <c r="AP2290" s="404"/>
      <c r="AQ2290" s="404"/>
      <c r="AR2290" s="404"/>
      <c r="AS2290" s="404"/>
      <c r="AT2290" s="404"/>
      <c r="AU2290" s="404"/>
      <c r="AV2290" s="404"/>
      <c r="AW2290" s="404"/>
      <c r="AX2290" s="404"/>
      <c r="AY2290" s="404"/>
      <c r="AZ2290" s="404"/>
      <c r="BA2290" s="404"/>
      <c r="BB2290" s="404"/>
      <c r="BC2290" s="404"/>
      <c r="BD2290" s="404"/>
      <c r="BE2290" s="404"/>
      <c r="BF2290" s="404"/>
      <c r="BG2290" s="404"/>
      <c r="BH2290" s="404"/>
      <c r="BI2290" s="404"/>
      <c r="BJ2290" s="404"/>
      <c r="BK2290" s="404"/>
      <c r="BL2290" s="404"/>
    </row>
    <row r="2291" spans="1:64" ht="13">
      <c r="A2291" s="454"/>
      <c r="B2291" s="454"/>
      <c r="C2291" s="427" t="s">
        <v>873</v>
      </c>
      <c r="D2291" s="408"/>
      <c r="E2291" s="454"/>
      <c r="F2291" s="408"/>
      <c r="G2291" s="430"/>
      <c r="H2291" s="454"/>
      <c r="I2291" s="408"/>
      <c r="J2291" s="400"/>
      <c r="K2291" s="401"/>
      <c r="L2291" s="401"/>
      <c r="M2291" s="404"/>
      <c r="N2291" s="404"/>
      <c r="O2291" s="404"/>
      <c r="P2291" s="404"/>
      <c r="Q2291" s="404"/>
      <c r="R2291" s="404"/>
      <c r="S2291" s="404"/>
      <c r="T2291" s="404"/>
      <c r="U2291" s="404"/>
      <c r="V2291" s="404"/>
      <c r="W2291" s="404"/>
      <c r="X2291" s="404"/>
      <c r="Y2291" s="404"/>
      <c r="Z2291" s="404"/>
      <c r="AA2291" s="404"/>
      <c r="AB2291" s="404"/>
      <c r="AC2291" s="404"/>
      <c r="AD2291" s="404"/>
      <c r="AE2291" s="404"/>
      <c r="AF2291" s="404"/>
      <c r="AG2291" s="404"/>
      <c r="AH2291" s="404"/>
      <c r="AI2291" s="404"/>
      <c r="AJ2291" s="404"/>
      <c r="AK2291" s="404"/>
      <c r="AL2291" s="404"/>
      <c r="AM2291" s="404"/>
      <c r="AN2291" s="404"/>
      <c r="AO2291" s="404"/>
      <c r="AP2291" s="404"/>
      <c r="AQ2291" s="404"/>
      <c r="AR2291" s="404"/>
      <c r="AS2291" s="404"/>
      <c r="AT2291" s="404"/>
      <c r="AU2291" s="404"/>
      <c r="AV2291" s="404"/>
      <c r="AW2291" s="404"/>
      <c r="AX2291" s="404"/>
      <c r="AY2291" s="404"/>
      <c r="AZ2291" s="404"/>
      <c r="BA2291" s="404"/>
      <c r="BB2291" s="404"/>
      <c r="BC2291" s="404"/>
      <c r="BD2291" s="404"/>
      <c r="BE2291" s="404"/>
      <c r="BF2291" s="404"/>
      <c r="BG2291" s="404"/>
      <c r="BH2291" s="404"/>
      <c r="BI2291" s="404"/>
      <c r="BJ2291" s="404"/>
      <c r="BK2291" s="404"/>
      <c r="BL2291" s="404"/>
    </row>
    <row r="2292" spans="1:64">
      <c r="A2292" s="454"/>
      <c r="B2292" s="454"/>
      <c r="C2292" s="417" t="s">
        <v>1128</v>
      </c>
      <c r="D2292" s="408"/>
      <c r="E2292" s="454"/>
      <c r="F2292" s="408"/>
      <c r="G2292" s="430"/>
      <c r="H2292" s="454"/>
      <c r="I2292" s="408"/>
      <c r="J2292" s="400"/>
      <c r="K2292" s="401"/>
      <c r="L2292" s="401"/>
      <c r="M2292" s="404"/>
      <c r="N2292" s="404"/>
      <c r="O2292" s="404"/>
      <c r="P2292" s="404"/>
      <c r="Q2292" s="404"/>
      <c r="R2292" s="404"/>
      <c r="S2292" s="404"/>
      <c r="T2292" s="404"/>
      <c r="U2292" s="404"/>
      <c r="V2292" s="404"/>
      <c r="W2292" s="404"/>
      <c r="X2292" s="404"/>
      <c r="Y2292" s="404"/>
      <c r="Z2292" s="404"/>
      <c r="AA2292" s="404"/>
      <c r="AB2292" s="404"/>
      <c r="AC2292" s="404"/>
      <c r="AD2292" s="404"/>
      <c r="AE2292" s="404"/>
      <c r="AF2292" s="404"/>
      <c r="AG2292" s="404"/>
      <c r="AH2292" s="404"/>
      <c r="AI2292" s="404"/>
      <c r="AJ2292" s="404"/>
      <c r="AK2292" s="404"/>
      <c r="AL2292" s="404"/>
      <c r="AM2292" s="404"/>
      <c r="AN2292" s="404"/>
      <c r="AO2292" s="404"/>
      <c r="AP2292" s="404"/>
      <c r="AQ2292" s="404"/>
      <c r="AR2292" s="404"/>
      <c r="AS2292" s="404"/>
      <c r="AT2292" s="404"/>
      <c r="AU2292" s="404"/>
      <c r="AV2292" s="404"/>
      <c r="AW2292" s="404"/>
      <c r="AX2292" s="404"/>
      <c r="AY2292" s="404"/>
      <c r="AZ2292" s="404"/>
      <c r="BA2292" s="404"/>
      <c r="BB2292" s="404"/>
      <c r="BC2292" s="404"/>
      <c r="BD2292" s="404"/>
      <c r="BE2292" s="404"/>
      <c r="BF2292" s="404"/>
      <c r="BG2292" s="404"/>
      <c r="BH2292" s="404"/>
      <c r="BI2292" s="404"/>
      <c r="BJ2292" s="404"/>
      <c r="BK2292" s="404"/>
      <c r="BL2292" s="404"/>
    </row>
    <row r="2293" spans="1:64">
      <c r="A2293" s="454"/>
      <c r="B2293" s="454"/>
      <c r="C2293" s="417" t="s">
        <v>1129</v>
      </c>
      <c r="D2293" s="408">
        <v>26.4</v>
      </c>
      <c r="E2293" s="454" t="s">
        <v>833</v>
      </c>
      <c r="F2293" s="408">
        <f>[161]LEAD!$N$6</f>
        <v>5200</v>
      </c>
      <c r="G2293" s="430">
        <v>1000</v>
      </c>
      <c r="H2293" s="456" t="str">
        <f t="shared" ref="H2293:H2294" si="537">IF(E2293="","",IF(E2293="No.","Each",IF(E2293="Nos.","Each",E2293)))</f>
        <v>Kgs</v>
      </c>
      <c r="I2293" s="408">
        <f t="shared" ref="I2293:I2294" si="538">IF(G2293="",D2293*F2293,(D2293*F2293/G2293))</f>
        <v>137.28</v>
      </c>
      <c r="J2293" s="487"/>
      <c r="K2293" s="401"/>
      <c r="L2293" s="401"/>
      <c r="M2293" s="404"/>
      <c r="N2293" s="404"/>
      <c r="O2293" s="404"/>
      <c r="P2293" s="404"/>
      <c r="Q2293" s="404"/>
      <c r="R2293" s="404"/>
      <c r="S2293" s="404"/>
      <c r="T2293" s="404"/>
      <c r="U2293" s="404"/>
      <c r="V2293" s="404"/>
      <c r="W2293" s="404"/>
      <c r="X2293" s="404"/>
      <c r="Y2293" s="404"/>
      <c r="Z2293" s="404"/>
      <c r="AA2293" s="404"/>
      <c r="AB2293" s="404"/>
      <c r="AC2293" s="404"/>
      <c r="AD2293" s="404"/>
      <c r="AE2293" s="404"/>
      <c r="AF2293" s="404"/>
      <c r="AG2293" s="404"/>
      <c r="AH2293" s="404"/>
      <c r="AI2293" s="404"/>
      <c r="AJ2293" s="404"/>
      <c r="AK2293" s="404"/>
      <c r="AL2293" s="404"/>
      <c r="AM2293" s="404"/>
      <c r="AN2293" s="404"/>
      <c r="AO2293" s="404"/>
      <c r="AP2293" s="404"/>
      <c r="AQ2293" s="404"/>
      <c r="AR2293" s="404"/>
      <c r="AS2293" s="404"/>
      <c r="AT2293" s="404"/>
      <c r="AU2293" s="404"/>
      <c r="AV2293" s="404"/>
      <c r="AW2293" s="404"/>
      <c r="AX2293" s="404"/>
      <c r="AY2293" s="404"/>
      <c r="AZ2293" s="404"/>
      <c r="BA2293" s="404"/>
      <c r="BB2293" s="404"/>
      <c r="BC2293" s="404"/>
      <c r="BD2293" s="404"/>
      <c r="BE2293" s="404"/>
      <c r="BF2293" s="404"/>
      <c r="BG2293" s="404"/>
      <c r="BH2293" s="404"/>
      <c r="BI2293" s="404"/>
      <c r="BJ2293" s="404"/>
      <c r="BK2293" s="404"/>
      <c r="BL2293" s="404"/>
    </row>
    <row r="2294" spans="1:64">
      <c r="A2294" s="454"/>
      <c r="B2294" s="454"/>
      <c r="C2294" s="417" t="s">
        <v>1130</v>
      </c>
      <c r="D2294" s="408">
        <v>0.11</v>
      </c>
      <c r="E2294" s="454" t="s">
        <v>57</v>
      </c>
      <c r="F2294" s="408">
        <f>[161]LEAD!$N$13</f>
        <v>2453.91</v>
      </c>
      <c r="G2294" s="430">
        <v>1</v>
      </c>
      <c r="H2294" s="456" t="str">
        <f t="shared" si="537"/>
        <v>Cum</v>
      </c>
      <c r="I2294" s="408">
        <f t="shared" si="538"/>
        <v>269.93009999999998</v>
      </c>
      <c r="J2294" s="487"/>
      <c r="K2294" s="401"/>
      <c r="L2294" s="401"/>
      <c r="M2294" s="404"/>
      <c r="N2294" s="404"/>
      <c r="O2294" s="404"/>
      <c r="P2294" s="404"/>
      <c r="Q2294" s="404"/>
      <c r="R2294" s="404"/>
      <c r="S2294" s="404"/>
      <c r="T2294" s="404"/>
      <c r="U2294" s="404"/>
      <c r="V2294" s="404"/>
      <c r="W2294" s="404"/>
      <c r="X2294" s="404"/>
      <c r="Y2294" s="404"/>
      <c r="Z2294" s="404"/>
      <c r="AA2294" s="404"/>
      <c r="AB2294" s="404"/>
      <c r="AC2294" s="404"/>
      <c r="AD2294" s="404"/>
      <c r="AE2294" s="404"/>
      <c r="AF2294" s="404"/>
      <c r="AG2294" s="404"/>
      <c r="AH2294" s="404"/>
      <c r="AI2294" s="404"/>
      <c r="AJ2294" s="404"/>
      <c r="AK2294" s="404"/>
      <c r="AL2294" s="404"/>
      <c r="AM2294" s="404"/>
      <c r="AN2294" s="404"/>
      <c r="AO2294" s="404"/>
      <c r="AP2294" s="404"/>
      <c r="AQ2294" s="404"/>
      <c r="AR2294" s="404"/>
      <c r="AS2294" s="404"/>
      <c r="AT2294" s="404"/>
      <c r="AU2294" s="404"/>
      <c r="AV2294" s="404"/>
      <c r="AW2294" s="404"/>
      <c r="AX2294" s="404"/>
      <c r="AY2294" s="404"/>
      <c r="AZ2294" s="404"/>
      <c r="BA2294" s="404"/>
      <c r="BB2294" s="404"/>
      <c r="BC2294" s="404"/>
      <c r="BD2294" s="404"/>
      <c r="BE2294" s="404"/>
      <c r="BF2294" s="404"/>
      <c r="BG2294" s="404"/>
      <c r="BH2294" s="404"/>
      <c r="BI2294" s="404"/>
      <c r="BJ2294" s="404"/>
      <c r="BK2294" s="404"/>
      <c r="BL2294" s="404"/>
    </row>
    <row r="2295" spans="1:64">
      <c r="A2295" s="454"/>
      <c r="B2295" s="454"/>
      <c r="C2295" s="417" t="s">
        <v>1131</v>
      </c>
      <c r="D2295" s="408"/>
      <c r="E2295" s="454"/>
      <c r="F2295" s="408"/>
      <c r="G2295" s="430"/>
      <c r="H2295" s="456"/>
      <c r="I2295" s="408"/>
      <c r="J2295" s="487"/>
      <c r="K2295" s="401"/>
      <c r="L2295" s="401"/>
      <c r="M2295" s="404"/>
      <c r="N2295" s="404"/>
      <c r="O2295" s="404"/>
      <c r="P2295" s="404"/>
      <c r="Q2295" s="404"/>
      <c r="R2295" s="404"/>
      <c r="S2295" s="404"/>
      <c r="T2295" s="404"/>
      <c r="U2295" s="404"/>
      <c r="V2295" s="404"/>
      <c r="W2295" s="404"/>
      <c r="X2295" s="404"/>
      <c r="Y2295" s="404"/>
      <c r="Z2295" s="404"/>
      <c r="AA2295" s="404"/>
      <c r="AB2295" s="404"/>
      <c r="AC2295" s="404"/>
      <c r="AD2295" s="404"/>
      <c r="AE2295" s="404"/>
      <c r="AF2295" s="404"/>
      <c r="AG2295" s="404"/>
      <c r="AH2295" s="404"/>
      <c r="AI2295" s="404"/>
      <c r="AJ2295" s="404"/>
      <c r="AK2295" s="404"/>
      <c r="AL2295" s="404"/>
      <c r="AM2295" s="404"/>
      <c r="AN2295" s="404"/>
      <c r="AO2295" s="404"/>
      <c r="AP2295" s="404"/>
      <c r="AQ2295" s="404"/>
      <c r="AR2295" s="404"/>
      <c r="AS2295" s="404"/>
      <c r="AT2295" s="404"/>
      <c r="AU2295" s="404"/>
      <c r="AV2295" s="404"/>
      <c r="AW2295" s="404"/>
      <c r="AX2295" s="404"/>
      <c r="AY2295" s="404"/>
      <c r="AZ2295" s="404"/>
      <c r="BA2295" s="404"/>
      <c r="BB2295" s="404"/>
      <c r="BC2295" s="404"/>
      <c r="BD2295" s="404"/>
      <c r="BE2295" s="404"/>
      <c r="BF2295" s="404"/>
      <c r="BG2295" s="404"/>
      <c r="BH2295" s="404"/>
      <c r="BI2295" s="404"/>
      <c r="BJ2295" s="404"/>
      <c r="BK2295" s="404"/>
      <c r="BL2295" s="404"/>
    </row>
    <row r="2296" spans="1:64">
      <c r="A2296" s="454"/>
      <c r="B2296" s="454"/>
      <c r="C2296" s="417" t="s">
        <v>1129</v>
      </c>
      <c r="D2296" s="408">
        <v>14.4</v>
      </c>
      <c r="E2296" s="454" t="s">
        <v>833</v>
      </c>
      <c r="F2296" s="408">
        <f>[161]LEAD!$N$6</f>
        <v>5200</v>
      </c>
      <c r="G2296" s="430">
        <v>1000</v>
      </c>
      <c r="H2296" s="456" t="str">
        <f t="shared" ref="H2296:H2297" si="539">IF(E2296="","",IF(E2296="No.","Each",IF(E2296="Nos.","Each",E2296)))</f>
        <v>Kgs</v>
      </c>
      <c r="I2296" s="408">
        <f t="shared" ref="I2296:I2297" si="540">IF(G2296="",D2296*F2296,(D2296*F2296/G2296))</f>
        <v>74.88</v>
      </c>
      <c r="J2296" s="487"/>
      <c r="K2296" s="401"/>
      <c r="L2296" s="401"/>
      <c r="M2296" s="404"/>
      <c r="N2296" s="404"/>
      <c r="O2296" s="404"/>
      <c r="P2296" s="404"/>
      <c r="Q2296" s="404"/>
      <c r="R2296" s="404"/>
      <c r="S2296" s="404"/>
      <c r="T2296" s="404"/>
      <c r="U2296" s="404"/>
      <c r="V2296" s="404"/>
      <c r="W2296" s="404"/>
      <c r="X2296" s="404"/>
      <c r="Y2296" s="404"/>
      <c r="Z2296" s="404"/>
      <c r="AA2296" s="404"/>
      <c r="AB2296" s="404"/>
      <c r="AC2296" s="404"/>
      <c r="AD2296" s="404"/>
      <c r="AE2296" s="404"/>
      <c r="AF2296" s="404"/>
      <c r="AG2296" s="404"/>
      <c r="AH2296" s="404"/>
      <c r="AI2296" s="404"/>
      <c r="AJ2296" s="404"/>
      <c r="AK2296" s="404"/>
      <c r="AL2296" s="404"/>
      <c r="AM2296" s="404"/>
      <c r="AN2296" s="404"/>
      <c r="AO2296" s="404"/>
      <c r="AP2296" s="404"/>
      <c r="AQ2296" s="404"/>
      <c r="AR2296" s="404"/>
      <c r="AS2296" s="404"/>
      <c r="AT2296" s="404"/>
      <c r="AU2296" s="404"/>
      <c r="AV2296" s="404"/>
      <c r="AW2296" s="404"/>
      <c r="AX2296" s="404"/>
      <c r="AY2296" s="404"/>
      <c r="AZ2296" s="404"/>
      <c r="BA2296" s="404"/>
      <c r="BB2296" s="404"/>
      <c r="BC2296" s="404"/>
      <c r="BD2296" s="404"/>
      <c r="BE2296" s="404"/>
      <c r="BF2296" s="404"/>
      <c r="BG2296" s="404"/>
      <c r="BH2296" s="404"/>
      <c r="BI2296" s="404"/>
      <c r="BJ2296" s="404"/>
      <c r="BK2296" s="404"/>
      <c r="BL2296" s="404"/>
    </row>
    <row r="2297" spans="1:64">
      <c r="A2297" s="454"/>
      <c r="B2297" s="454"/>
      <c r="C2297" s="417" t="s">
        <v>1130</v>
      </c>
      <c r="D2297" s="408">
        <v>0.04</v>
      </c>
      <c r="E2297" s="454" t="s">
        <v>57</v>
      </c>
      <c r="F2297" s="408">
        <f>[161]LEAD!$N$13</f>
        <v>2453.91</v>
      </c>
      <c r="G2297" s="430">
        <v>1</v>
      </c>
      <c r="H2297" s="456" t="str">
        <f t="shared" si="539"/>
        <v>Cum</v>
      </c>
      <c r="I2297" s="408">
        <f t="shared" si="540"/>
        <v>98.156399999999991</v>
      </c>
      <c r="J2297" s="487"/>
      <c r="K2297" s="401"/>
      <c r="L2297" s="401"/>
      <c r="M2297" s="404"/>
      <c r="N2297" s="404"/>
      <c r="O2297" s="404"/>
      <c r="P2297" s="404"/>
      <c r="Q2297" s="404"/>
      <c r="R2297" s="404"/>
      <c r="S2297" s="404"/>
      <c r="T2297" s="404"/>
      <c r="U2297" s="404"/>
      <c r="V2297" s="404"/>
      <c r="W2297" s="404"/>
      <c r="X2297" s="404"/>
      <c r="Y2297" s="404"/>
      <c r="Z2297" s="404"/>
      <c r="AA2297" s="404"/>
      <c r="AB2297" s="404"/>
      <c r="AC2297" s="404"/>
      <c r="AD2297" s="404"/>
      <c r="AE2297" s="404"/>
      <c r="AF2297" s="404"/>
      <c r="AG2297" s="404"/>
      <c r="AH2297" s="404"/>
      <c r="AI2297" s="404"/>
      <c r="AJ2297" s="404"/>
      <c r="AK2297" s="404"/>
      <c r="AL2297" s="404"/>
      <c r="AM2297" s="404"/>
      <c r="AN2297" s="404"/>
      <c r="AO2297" s="404"/>
      <c r="AP2297" s="404"/>
      <c r="AQ2297" s="404"/>
      <c r="AR2297" s="404"/>
      <c r="AS2297" s="404"/>
      <c r="AT2297" s="404"/>
      <c r="AU2297" s="404"/>
      <c r="AV2297" s="404"/>
      <c r="AW2297" s="404"/>
      <c r="AX2297" s="404"/>
      <c r="AY2297" s="404"/>
      <c r="AZ2297" s="404"/>
      <c r="BA2297" s="404"/>
      <c r="BB2297" s="404"/>
      <c r="BC2297" s="404"/>
      <c r="BD2297" s="404"/>
      <c r="BE2297" s="404"/>
      <c r="BF2297" s="404"/>
      <c r="BG2297" s="404"/>
      <c r="BH2297" s="404"/>
      <c r="BI2297" s="404"/>
      <c r="BJ2297" s="404"/>
      <c r="BK2297" s="404"/>
      <c r="BL2297" s="404"/>
    </row>
    <row r="2298" spans="1:64" ht="13">
      <c r="A2298" s="454"/>
      <c r="B2298" s="454"/>
      <c r="C2298" s="427" t="s">
        <v>911</v>
      </c>
      <c r="D2298" s="408"/>
      <c r="E2298" s="454"/>
      <c r="F2298" s="408"/>
      <c r="G2298" s="430"/>
      <c r="H2298" s="456"/>
      <c r="I2298" s="408"/>
      <c r="J2298" s="487"/>
      <c r="K2298" s="401"/>
      <c r="L2298" s="401"/>
      <c r="M2298" s="404"/>
      <c r="N2298" s="404"/>
      <c r="O2298" s="404"/>
      <c r="P2298" s="404"/>
      <c r="Q2298" s="404"/>
      <c r="R2298" s="404"/>
      <c r="S2298" s="404"/>
      <c r="T2298" s="404"/>
      <c r="U2298" s="404"/>
      <c r="V2298" s="404"/>
      <c r="W2298" s="404"/>
      <c r="X2298" s="404"/>
      <c r="Y2298" s="404"/>
      <c r="Z2298" s="404"/>
      <c r="AA2298" s="404"/>
      <c r="AB2298" s="404"/>
      <c r="AC2298" s="404"/>
      <c r="AD2298" s="404"/>
      <c r="AE2298" s="404"/>
      <c r="AF2298" s="404"/>
      <c r="AG2298" s="404"/>
      <c r="AH2298" s="404"/>
      <c r="AI2298" s="404"/>
      <c r="AJ2298" s="404"/>
      <c r="AK2298" s="404"/>
      <c r="AL2298" s="404"/>
      <c r="AM2298" s="404"/>
      <c r="AN2298" s="404"/>
      <c r="AO2298" s="404"/>
      <c r="AP2298" s="404"/>
      <c r="AQ2298" s="404"/>
      <c r="AR2298" s="404"/>
      <c r="AS2298" s="404"/>
      <c r="AT2298" s="404"/>
      <c r="AU2298" s="404"/>
      <c r="AV2298" s="404"/>
      <c r="AW2298" s="404"/>
      <c r="AX2298" s="404"/>
      <c r="AY2298" s="404"/>
      <c r="AZ2298" s="404"/>
      <c r="BA2298" s="404"/>
      <c r="BB2298" s="404"/>
      <c r="BC2298" s="404"/>
      <c r="BD2298" s="404"/>
      <c r="BE2298" s="404"/>
      <c r="BF2298" s="404"/>
      <c r="BG2298" s="404"/>
      <c r="BH2298" s="404"/>
      <c r="BI2298" s="404"/>
      <c r="BJ2298" s="404"/>
      <c r="BK2298" s="404"/>
      <c r="BL2298" s="404"/>
    </row>
    <row r="2299" spans="1:64">
      <c r="A2299" s="454"/>
      <c r="B2299" s="454"/>
      <c r="C2299" s="417" t="s">
        <v>1132</v>
      </c>
      <c r="D2299" s="408">
        <v>0.63</v>
      </c>
      <c r="E2299" s="408" t="s">
        <v>375</v>
      </c>
      <c r="F2299" s="408">
        <f>'[161]Civil-SOR'!$G$293</f>
        <v>580</v>
      </c>
      <c r="G2299" s="430">
        <v>1</v>
      </c>
      <c r="H2299" s="456" t="str">
        <f t="shared" ref="H2299:H2301" si="541">IF(E2299="","",IF(E2299="No.","Each",IF(E2299="Nos.","Each",E2299)))</f>
        <v>Each</v>
      </c>
      <c r="I2299" s="408">
        <f t="shared" ref="I2299:I2303" si="542">IF(G2299="",D2299*F2299,(D2299*F2299/G2299))</f>
        <v>365.4</v>
      </c>
      <c r="J2299" s="487"/>
      <c r="K2299" s="401"/>
      <c r="L2299" s="401"/>
      <c r="M2299" s="404"/>
      <c r="N2299" s="404"/>
      <c r="O2299" s="404"/>
      <c r="P2299" s="404"/>
      <c r="Q2299" s="404"/>
      <c r="R2299" s="404"/>
      <c r="S2299" s="404"/>
      <c r="T2299" s="404"/>
      <c r="U2299" s="404"/>
      <c r="V2299" s="404"/>
      <c r="W2299" s="404"/>
      <c r="X2299" s="404"/>
      <c r="Y2299" s="404"/>
      <c r="Z2299" s="404"/>
      <c r="AA2299" s="404"/>
      <c r="AB2299" s="404"/>
      <c r="AC2299" s="404"/>
      <c r="AD2299" s="404"/>
      <c r="AE2299" s="404"/>
      <c r="AF2299" s="404"/>
      <c r="AG2299" s="404"/>
      <c r="AH2299" s="404"/>
      <c r="AI2299" s="404"/>
      <c r="AJ2299" s="404"/>
      <c r="AK2299" s="404"/>
      <c r="AL2299" s="404"/>
      <c r="AM2299" s="404"/>
      <c r="AN2299" s="404"/>
      <c r="AO2299" s="404"/>
      <c r="AP2299" s="404"/>
      <c r="AQ2299" s="404"/>
      <c r="AR2299" s="404"/>
      <c r="AS2299" s="404"/>
      <c r="AT2299" s="404"/>
      <c r="AU2299" s="404"/>
      <c r="AV2299" s="404"/>
      <c r="AW2299" s="404"/>
      <c r="AX2299" s="404"/>
      <c r="AY2299" s="404"/>
      <c r="AZ2299" s="404"/>
      <c r="BA2299" s="404"/>
      <c r="BB2299" s="404"/>
      <c r="BC2299" s="404"/>
      <c r="BD2299" s="404"/>
      <c r="BE2299" s="404"/>
      <c r="BF2299" s="404"/>
      <c r="BG2299" s="404"/>
      <c r="BH2299" s="404"/>
      <c r="BI2299" s="404"/>
      <c r="BJ2299" s="404"/>
      <c r="BK2299" s="404"/>
      <c r="BL2299" s="404"/>
    </row>
    <row r="2300" spans="1:64">
      <c r="A2300" s="454"/>
      <c r="B2300" s="454"/>
      <c r="C2300" s="417" t="s">
        <v>1133</v>
      </c>
      <c r="D2300" s="408">
        <v>1.47</v>
      </c>
      <c r="E2300" s="408" t="s">
        <v>375</v>
      </c>
      <c r="F2300" s="408">
        <f>'[161]Civil-SOR'!$G$302</f>
        <v>550</v>
      </c>
      <c r="G2300" s="430">
        <v>1</v>
      </c>
      <c r="H2300" s="456" t="str">
        <f t="shared" si="541"/>
        <v>Each</v>
      </c>
      <c r="I2300" s="408">
        <f t="shared" si="542"/>
        <v>808.5</v>
      </c>
      <c r="J2300" s="487"/>
      <c r="K2300" s="401"/>
      <c r="L2300" s="401"/>
      <c r="M2300" s="404"/>
      <c r="N2300" s="404"/>
      <c r="O2300" s="404"/>
      <c r="P2300" s="404"/>
      <c r="Q2300" s="404"/>
      <c r="R2300" s="404"/>
      <c r="S2300" s="404"/>
      <c r="T2300" s="404"/>
      <c r="U2300" s="404"/>
      <c r="V2300" s="404"/>
      <c r="W2300" s="404"/>
      <c r="X2300" s="404"/>
      <c r="Y2300" s="404"/>
      <c r="Z2300" s="404"/>
      <c r="AA2300" s="404"/>
      <c r="AB2300" s="404"/>
      <c r="AC2300" s="404"/>
      <c r="AD2300" s="404"/>
      <c r="AE2300" s="404"/>
      <c r="AF2300" s="404"/>
      <c r="AG2300" s="404"/>
      <c r="AH2300" s="404"/>
      <c r="AI2300" s="404"/>
      <c r="AJ2300" s="404"/>
      <c r="AK2300" s="404"/>
      <c r="AL2300" s="404"/>
      <c r="AM2300" s="404"/>
      <c r="AN2300" s="404"/>
      <c r="AO2300" s="404"/>
      <c r="AP2300" s="404"/>
      <c r="AQ2300" s="404"/>
      <c r="AR2300" s="404"/>
      <c r="AS2300" s="404"/>
      <c r="AT2300" s="404"/>
      <c r="AU2300" s="404"/>
      <c r="AV2300" s="404"/>
      <c r="AW2300" s="404"/>
      <c r="AX2300" s="404"/>
      <c r="AY2300" s="404"/>
      <c r="AZ2300" s="404"/>
      <c r="BA2300" s="404"/>
      <c r="BB2300" s="404"/>
      <c r="BC2300" s="404"/>
      <c r="BD2300" s="404"/>
      <c r="BE2300" s="404"/>
      <c r="BF2300" s="404"/>
      <c r="BG2300" s="404"/>
      <c r="BH2300" s="404"/>
      <c r="BI2300" s="404"/>
      <c r="BJ2300" s="404"/>
      <c r="BK2300" s="404"/>
      <c r="BL2300" s="404"/>
    </row>
    <row r="2301" spans="1:64">
      <c r="A2301" s="454"/>
      <c r="B2301" s="454"/>
      <c r="C2301" s="417" t="s">
        <v>903</v>
      </c>
      <c r="D2301" s="408">
        <v>3.9</v>
      </c>
      <c r="E2301" s="454" t="s">
        <v>375</v>
      </c>
      <c r="F2301" s="408">
        <f>'[161]Civil-SOR'!$G$307</f>
        <v>520</v>
      </c>
      <c r="G2301" s="430">
        <v>1</v>
      </c>
      <c r="H2301" s="456" t="str">
        <f t="shared" si="541"/>
        <v>Each</v>
      </c>
      <c r="I2301" s="408">
        <f t="shared" si="542"/>
        <v>2028</v>
      </c>
      <c r="J2301" s="487"/>
      <c r="K2301" s="401"/>
      <c r="L2301" s="401"/>
      <c r="M2301" s="404"/>
      <c r="N2301" s="404"/>
      <c r="O2301" s="404"/>
      <c r="P2301" s="404"/>
      <c r="Q2301" s="404"/>
      <c r="R2301" s="404"/>
      <c r="S2301" s="404"/>
      <c r="T2301" s="404"/>
      <c r="U2301" s="404"/>
      <c r="V2301" s="404"/>
      <c r="W2301" s="404"/>
      <c r="X2301" s="404"/>
      <c r="Y2301" s="404"/>
      <c r="Z2301" s="404"/>
      <c r="AA2301" s="404"/>
      <c r="AB2301" s="404"/>
      <c r="AC2301" s="404"/>
      <c r="AD2301" s="404"/>
      <c r="AE2301" s="404"/>
      <c r="AF2301" s="404"/>
      <c r="AG2301" s="404"/>
      <c r="AH2301" s="404"/>
      <c r="AI2301" s="404"/>
      <c r="AJ2301" s="404"/>
      <c r="AK2301" s="404"/>
      <c r="AL2301" s="404"/>
      <c r="AM2301" s="404"/>
      <c r="AN2301" s="404"/>
      <c r="AO2301" s="404"/>
      <c r="AP2301" s="404"/>
      <c r="AQ2301" s="404"/>
      <c r="AR2301" s="404"/>
      <c r="AS2301" s="404"/>
      <c r="AT2301" s="404"/>
      <c r="AU2301" s="404"/>
      <c r="AV2301" s="404"/>
      <c r="AW2301" s="404"/>
      <c r="AX2301" s="404"/>
      <c r="AY2301" s="404"/>
      <c r="AZ2301" s="404"/>
      <c r="BA2301" s="404"/>
      <c r="BB2301" s="404"/>
      <c r="BC2301" s="404"/>
      <c r="BD2301" s="404"/>
      <c r="BE2301" s="404"/>
      <c r="BF2301" s="404"/>
      <c r="BG2301" s="404"/>
      <c r="BH2301" s="404"/>
      <c r="BI2301" s="404"/>
      <c r="BJ2301" s="404"/>
      <c r="BK2301" s="404"/>
      <c r="BL2301" s="404"/>
    </row>
    <row r="2302" spans="1:64">
      <c r="A2302" s="454"/>
      <c r="B2302" s="454"/>
      <c r="C2302" s="417" t="str">
        <f>[161]Input!$C$47</f>
        <v>Add for MA @ 40%</v>
      </c>
      <c r="D2302" s="621">
        <f>[161]Input!$D$47</f>
        <v>0.4</v>
      </c>
      <c r="E2302" s="454"/>
      <c r="F2302" s="408">
        <f>SUM(I2299:I2301)</f>
        <v>3201.9</v>
      </c>
      <c r="G2302" s="410"/>
      <c r="H2302" s="426"/>
      <c r="I2302" s="408">
        <f t="shared" si="542"/>
        <v>1280.7600000000002</v>
      </c>
      <c r="J2302" s="487"/>
      <c r="K2302" s="401"/>
      <c r="L2302" s="401"/>
      <c r="M2302" s="404"/>
      <c r="N2302" s="404"/>
      <c r="O2302" s="404"/>
      <c r="P2302" s="404"/>
      <c r="Q2302" s="404"/>
      <c r="R2302" s="404"/>
      <c r="S2302" s="404"/>
      <c r="T2302" s="404"/>
      <c r="U2302" s="404"/>
      <c r="V2302" s="404"/>
      <c r="W2302" s="404"/>
      <c r="X2302" s="404"/>
      <c r="Y2302" s="404"/>
      <c r="Z2302" s="404"/>
      <c r="AA2302" s="404"/>
      <c r="AB2302" s="404"/>
      <c r="AC2302" s="404"/>
      <c r="AD2302" s="404"/>
      <c r="AE2302" s="404"/>
      <c r="AF2302" s="404"/>
      <c r="AG2302" s="404"/>
      <c r="AH2302" s="404"/>
      <c r="AI2302" s="404"/>
      <c r="AJ2302" s="404"/>
      <c r="AK2302" s="404"/>
      <c r="AL2302" s="404"/>
      <c r="AM2302" s="404"/>
      <c r="AN2302" s="404"/>
      <c r="AO2302" s="404"/>
      <c r="AP2302" s="404"/>
      <c r="AQ2302" s="404"/>
      <c r="AR2302" s="404"/>
      <c r="AS2302" s="404"/>
      <c r="AT2302" s="404"/>
      <c r="AU2302" s="404"/>
      <c r="AV2302" s="404"/>
      <c r="AW2302" s="404"/>
      <c r="AX2302" s="404"/>
      <c r="AY2302" s="404"/>
      <c r="AZ2302" s="404"/>
      <c r="BA2302" s="404"/>
      <c r="BB2302" s="404"/>
      <c r="BC2302" s="404"/>
      <c r="BD2302" s="404"/>
      <c r="BE2302" s="404"/>
      <c r="BF2302" s="404"/>
      <c r="BG2302" s="404"/>
      <c r="BH2302" s="404"/>
      <c r="BI2302" s="404"/>
      <c r="BJ2302" s="404"/>
      <c r="BK2302" s="404"/>
      <c r="BL2302" s="404"/>
    </row>
    <row r="2303" spans="1:64">
      <c r="A2303" s="454"/>
      <c r="B2303" s="454"/>
      <c r="C2303" s="417" t="s">
        <v>1058</v>
      </c>
      <c r="D2303" s="408">
        <v>0.01</v>
      </c>
      <c r="E2303" s="408"/>
      <c r="F2303" s="408">
        <f>SUM(I2293:I2302)</f>
        <v>5062.9065000000001</v>
      </c>
      <c r="G2303" s="430"/>
      <c r="H2303" s="456"/>
      <c r="I2303" s="408">
        <f t="shared" si="542"/>
        <v>50.629065000000004</v>
      </c>
      <c r="J2303" s="487"/>
      <c r="K2303" s="401"/>
      <c r="L2303" s="401"/>
      <c r="M2303" s="404"/>
      <c r="N2303" s="404"/>
      <c r="O2303" s="404"/>
      <c r="P2303" s="404"/>
      <c r="Q2303" s="404"/>
      <c r="R2303" s="404"/>
      <c r="S2303" s="404"/>
      <c r="T2303" s="404"/>
      <c r="U2303" s="404"/>
      <c r="V2303" s="404"/>
      <c r="W2303" s="404"/>
      <c r="X2303" s="404"/>
      <c r="Y2303" s="404"/>
      <c r="Z2303" s="404"/>
      <c r="AA2303" s="404"/>
      <c r="AB2303" s="404"/>
      <c r="AC2303" s="404"/>
      <c r="AD2303" s="404"/>
      <c r="AE2303" s="404"/>
      <c r="AF2303" s="404"/>
      <c r="AG2303" s="404"/>
      <c r="AH2303" s="404"/>
      <c r="AI2303" s="404"/>
      <c r="AJ2303" s="404"/>
      <c r="AK2303" s="404"/>
      <c r="AL2303" s="404"/>
      <c r="AM2303" s="404"/>
      <c r="AN2303" s="404"/>
      <c r="AO2303" s="404"/>
      <c r="AP2303" s="404"/>
      <c r="AQ2303" s="404"/>
      <c r="AR2303" s="404"/>
      <c r="AS2303" s="404"/>
      <c r="AT2303" s="404"/>
      <c r="AU2303" s="404"/>
      <c r="AV2303" s="404"/>
      <c r="AW2303" s="404"/>
      <c r="AX2303" s="404"/>
      <c r="AY2303" s="404"/>
      <c r="AZ2303" s="404"/>
      <c r="BA2303" s="404"/>
      <c r="BB2303" s="404"/>
      <c r="BC2303" s="404"/>
      <c r="BD2303" s="404"/>
      <c r="BE2303" s="404"/>
      <c r="BF2303" s="404"/>
      <c r="BG2303" s="404"/>
      <c r="BH2303" s="404"/>
      <c r="BI2303" s="404"/>
      <c r="BJ2303" s="404"/>
      <c r="BK2303" s="404"/>
      <c r="BL2303" s="404"/>
    </row>
    <row r="2304" spans="1:64" ht="13">
      <c r="A2304" s="454"/>
      <c r="B2304" s="454"/>
      <c r="C2304" s="481" t="s">
        <v>1047</v>
      </c>
      <c r="D2304" s="621"/>
      <c r="E2304" s="454"/>
      <c r="F2304" s="408"/>
      <c r="G2304" s="410"/>
      <c r="H2304" s="426"/>
      <c r="I2304" s="414">
        <f>SUM(I2293:I2303)</f>
        <v>5113.5355650000001</v>
      </c>
      <c r="J2304" s="654"/>
      <c r="K2304" s="412"/>
      <c r="L2304" s="412"/>
      <c r="M2304" s="413"/>
      <c r="N2304" s="413"/>
      <c r="O2304" s="413"/>
      <c r="P2304" s="413"/>
      <c r="Q2304" s="413"/>
      <c r="R2304" s="413"/>
      <c r="S2304" s="413"/>
      <c r="T2304" s="413"/>
      <c r="U2304" s="413"/>
      <c r="V2304" s="413"/>
      <c r="W2304" s="413"/>
      <c r="X2304" s="413"/>
      <c r="Y2304" s="413"/>
      <c r="Z2304" s="413"/>
      <c r="AA2304" s="413"/>
      <c r="AB2304" s="413"/>
      <c r="AC2304" s="413"/>
      <c r="AD2304" s="413"/>
      <c r="AE2304" s="413"/>
      <c r="AF2304" s="413"/>
      <c r="AG2304" s="413"/>
      <c r="AH2304" s="413"/>
      <c r="AI2304" s="413"/>
      <c r="AJ2304" s="413"/>
      <c r="AK2304" s="413"/>
      <c r="AL2304" s="413"/>
      <c r="AM2304" s="413"/>
      <c r="AN2304" s="413"/>
      <c r="AO2304" s="413"/>
      <c r="AP2304" s="413"/>
      <c r="AQ2304" s="413"/>
      <c r="AR2304" s="413"/>
      <c r="AS2304" s="413"/>
      <c r="AT2304" s="413"/>
      <c r="AU2304" s="413"/>
      <c r="AV2304" s="413"/>
      <c r="AW2304" s="413"/>
      <c r="AX2304" s="413"/>
      <c r="AY2304" s="413"/>
      <c r="AZ2304" s="413"/>
      <c r="BA2304" s="413"/>
      <c r="BB2304" s="413"/>
      <c r="BC2304" s="413"/>
      <c r="BD2304" s="413"/>
      <c r="BE2304" s="413"/>
      <c r="BF2304" s="413"/>
      <c r="BG2304" s="413"/>
      <c r="BH2304" s="413"/>
      <c r="BI2304" s="413"/>
      <c r="BJ2304" s="413"/>
      <c r="BK2304" s="413"/>
      <c r="BL2304" s="413"/>
    </row>
    <row r="2305" spans="1:64" ht="13">
      <c r="A2305" s="454"/>
      <c r="B2305" s="454"/>
      <c r="C2305" s="481" t="s">
        <v>845</v>
      </c>
      <c r="D2305" s="408"/>
      <c r="E2305" s="454"/>
      <c r="F2305" s="408"/>
      <c r="G2305" s="430"/>
      <c r="H2305" s="454"/>
      <c r="I2305" s="414">
        <f>ROUND(I2304/10,2)</f>
        <v>511.35</v>
      </c>
      <c r="J2305" s="654"/>
      <c r="K2305" s="412"/>
      <c r="L2305" s="412"/>
      <c r="M2305" s="413"/>
      <c r="N2305" s="413"/>
      <c r="O2305" s="413"/>
      <c r="P2305" s="413"/>
      <c r="Q2305" s="413"/>
      <c r="R2305" s="413"/>
      <c r="S2305" s="413"/>
      <c r="T2305" s="413"/>
      <c r="U2305" s="413"/>
      <c r="V2305" s="413"/>
      <c r="W2305" s="413"/>
      <c r="X2305" s="413"/>
      <c r="Y2305" s="413"/>
      <c r="Z2305" s="413"/>
      <c r="AA2305" s="413"/>
      <c r="AB2305" s="413"/>
      <c r="AC2305" s="413"/>
      <c r="AD2305" s="413"/>
      <c r="AE2305" s="413"/>
      <c r="AF2305" s="413"/>
      <c r="AG2305" s="413"/>
      <c r="AH2305" s="413"/>
      <c r="AI2305" s="413"/>
      <c r="AJ2305" s="413"/>
      <c r="AK2305" s="413"/>
      <c r="AL2305" s="413"/>
      <c r="AM2305" s="413"/>
      <c r="AN2305" s="413"/>
      <c r="AO2305" s="413"/>
      <c r="AP2305" s="413"/>
      <c r="AQ2305" s="413"/>
      <c r="AR2305" s="413"/>
      <c r="AS2305" s="413"/>
      <c r="AT2305" s="413"/>
      <c r="AU2305" s="413"/>
      <c r="AV2305" s="413"/>
      <c r="AW2305" s="413"/>
      <c r="AX2305" s="413"/>
      <c r="AY2305" s="413"/>
      <c r="AZ2305" s="413"/>
      <c r="BA2305" s="413"/>
      <c r="BB2305" s="413"/>
      <c r="BC2305" s="413"/>
      <c r="BD2305" s="413"/>
      <c r="BE2305" s="413"/>
      <c r="BF2305" s="413"/>
      <c r="BG2305" s="413"/>
      <c r="BH2305" s="413"/>
      <c r="BI2305" s="413"/>
      <c r="BJ2305" s="413"/>
      <c r="BK2305" s="413"/>
      <c r="BL2305" s="413"/>
    </row>
    <row r="2306" spans="1:64">
      <c r="A2306" s="454"/>
      <c r="B2306" s="454"/>
      <c r="C2306" s="417"/>
      <c r="D2306" s="408"/>
      <c r="E2306" s="454"/>
      <c r="F2306" s="408"/>
      <c r="G2306" s="430"/>
      <c r="H2306" s="456"/>
      <c r="I2306" s="408"/>
      <c r="J2306" s="400"/>
      <c r="K2306" s="401"/>
      <c r="L2306" s="401"/>
      <c r="M2306" s="404"/>
      <c r="N2306" s="404"/>
      <c r="O2306" s="404"/>
      <c r="P2306" s="404"/>
      <c r="Q2306" s="404"/>
      <c r="R2306" s="404"/>
      <c r="S2306" s="404"/>
      <c r="T2306" s="404"/>
      <c r="U2306" s="404"/>
      <c r="V2306" s="404"/>
      <c r="W2306" s="404"/>
      <c r="X2306" s="404"/>
      <c r="Y2306" s="404"/>
      <c r="Z2306" s="404"/>
      <c r="AA2306" s="404"/>
      <c r="AB2306" s="404"/>
      <c r="AC2306" s="404"/>
      <c r="AD2306" s="404"/>
      <c r="AE2306" s="404"/>
      <c r="AF2306" s="404"/>
      <c r="AG2306" s="404"/>
      <c r="AH2306" s="404"/>
      <c r="AI2306" s="404"/>
      <c r="AJ2306" s="404"/>
      <c r="AK2306" s="404"/>
      <c r="AL2306" s="404"/>
      <c r="AM2306" s="404"/>
      <c r="AN2306" s="404"/>
      <c r="AO2306" s="404"/>
      <c r="AP2306" s="404"/>
      <c r="AQ2306" s="404"/>
      <c r="AR2306" s="404"/>
      <c r="AS2306" s="404"/>
      <c r="AT2306" s="404"/>
      <c r="AU2306" s="404"/>
      <c r="AV2306" s="404"/>
      <c r="AW2306" s="404"/>
      <c r="AX2306" s="404"/>
      <c r="AY2306" s="404"/>
      <c r="AZ2306" s="404"/>
      <c r="BA2306" s="404"/>
      <c r="BB2306" s="404"/>
      <c r="BC2306" s="404"/>
      <c r="BD2306" s="404"/>
      <c r="BE2306" s="404"/>
      <c r="BF2306" s="404"/>
      <c r="BG2306" s="404"/>
      <c r="BH2306" s="404"/>
      <c r="BI2306" s="404"/>
      <c r="BJ2306" s="404"/>
      <c r="BK2306" s="404"/>
      <c r="BL2306" s="404"/>
    </row>
    <row r="2307" spans="1:64" ht="13">
      <c r="A2307" s="454"/>
      <c r="B2307" s="454"/>
      <c r="C2307" s="427" t="s">
        <v>953</v>
      </c>
      <c r="D2307" s="414" t="s">
        <v>959</v>
      </c>
      <c r="E2307" s="416" t="s">
        <v>943</v>
      </c>
      <c r="F2307" s="415" t="s">
        <v>944</v>
      </c>
      <c r="G2307" s="414" t="s">
        <v>1036</v>
      </c>
      <c r="H2307" s="414" t="s">
        <v>1037</v>
      </c>
      <c r="I2307" s="414" t="s">
        <v>1038</v>
      </c>
      <c r="J2307" s="657" t="s">
        <v>1118</v>
      </c>
      <c r="K2307" s="631" t="s">
        <v>1119</v>
      </c>
      <c r="L2307" s="631" t="s">
        <v>1120</v>
      </c>
      <c r="M2307" s="404"/>
      <c r="N2307" s="404"/>
      <c r="O2307" s="404"/>
      <c r="P2307" s="404"/>
      <c r="Q2307" s="404"/>
      <c r="R2307" s="404"/>
      <c r="S2307" s="404"/>
      <c r="T2307" s="404"/>
      <c r="U2307" s="404"/>
      <c r="V2307" s="404"/>
      <c r="W2307" s="404"/>
      <c r="X2307" s="404"/>
      <c r="Y2307" s="404"/>
      <c r="Z2307" s="404"/>
      <c r="AA2307" s="404"/>
      <c r="AB2307" s="404"/>
      <c r="AC2307" s="404"/>
      <c r="AD2307" s="404"/>
      <c r="AE2307" s="404"/>
      <c r="AF2307" s="404"/>
      <c r="AG2307" s="404"/>
      <c r="AH2307" s="404"/>
      <c r="AI2307" s="404"/>
      <c r="AJ2307" s="404"/>
      <c r="AK2307" s="404"/>
      <c r="AL2307" s="404"/>
      <c r="AM2307" s="404"/>
      <c r="AN2307" s="404"/>
      <c r="AO2307" s="404"/>
      <c r="AP2307" s="404"/>
      <c r="AQ2307" s="404"/>
      <c r="AR2307" s="404"/>
      <c r="AS2307" s="404"/>
      <c r="AT2307" s="404"/>
      <c r="AU2307" s="404"/>
      <c r="AV2307" s="404"/>
      <c r="AW2307" s="404"/>
      <c r="AX2307" s="404"/>
      <c r="AY2307" s="404"/>
      <c r="AZ2307" s="404"/>
      <c r="BA2307" s="404"/>
      <c r="BB2307" s="404"/>
      <c r="BC2307" s="404"/>
      <c r="BD2307" s="404"/>
      <c r="BE2307" s="404"/>
      <c r="BF2307" s="404"/>
      <c r="BG2307" s="404"/>
      <c r="BH2307" s="404"/>
      <c r="BI2307" s="404"/>
      <c r="BJ2307" s="404"/>
      <c r="BK2307" s="404"/>
      <c r="BL2307" s="404"/>
    </row>
    <row r="2308" spans="1:64">
      <c r="A2308" s="454"/>
      <c r="B2308" s="454"/>
      <c r="C2308" s="417" t="s">
        <v>1064</v>
      </c>
      <c r="D2308" s="408">
        <f t="shared" ref="D2308:L2308" si="543">$I$2305</f>
        <v>511.35</v>
      </c>
      <c r="E2308" s="408">
        <f t="shared" si="543"/>
        <v>511.35</v>
      </c>
      <c r="F2308" s="408">
        <f t="shared" si="543"/>
        <v>511.35</v>
      </c>
      <c r="G2308" s="408">
        <f t="shared" si="543"/>
        <v>511.35</v>
      </c>
      <c r="H2308" s="408">
        <f t="shared" si="543"/>
        <v>511.35</v>
      </c>
      <c r="I2308" s="408">
        <f t="shared" si="543"/>
        <v>511.35</v>
      </c>
      <c r="J2308" s="575">
        <f t="shared" si="543"/>
        <v>511.35</v>
      </c>
      <c r="K2308" s="644">
        <f t="shared" si="543"/>
        <v>511.35</v>
      </c>
      <c r="L2308" s="644">
        <f t="shared" si="543"/>
        <v>511.35</v>
      </c>
      <c r="M2308" s="404"/>
      <c r="N2308" s="404"/>
      <c r="O2308" s="404"/>
      <c r="P2308" s="404"/>
      <c r="Q2308" s="404"/>
      <c r="R2308" s="404"/>
      <c r="S2308" s="404"/>
      <c r="T2308" s="404"/>
      <c r="U2308" s="404"/>
      <c r="V2308" s="404"/>
      <c r="W2308" s="404"/>
      <c r="X2308" s="404"/>
      <c r="Y2308" s="404"/>
      <c r="Z2308" s="404"/>
      <c r="AA2308" s="404"/>
      <c r="AB2308" s="404"/>
      <c r="AC2308" s="404"/>
      <c r="AD2308" s="404"/>
      <c r="AE2308" s="404"/>
      <c r="AF2308" s="404"/>
      <c r="AG2308" s="404"/>
      <c r="AH2308" s="404"/>
      <c r="AI2308" s="404"/>
      <c r="AJ2308" s="404"/>
      <c r="AK2308" s="404"/>
      <c r="AL2308" s="404"/>
      <c r="AM2308" s="404"/>
      <c r="AN2308" s="404"/>
      <c r="AO2308" s="404"/>
      <c r="AP2308" s="404"/>
      <c r="AQ2308" s="404"/>
      <c r="AR2308" s="404"/>
      <c r="AS2308" s="404"/>
      <c r="AT2308" s="404"/>
      <c r="AU2308" s="404"/>
      <c r="AV2308" s="404"/>
      <c r="AW2308" s="404"/>
      <c r="AX2308" s="404"/>
      <c r="AY2308" s="404"/>
      <c r="AZ2308" s="404"/>
      <c r="BA2308" s="404"/>
      <c r="BB2308" s="404"/>
      <c r="BC2308" s="404"/>
      <c r="BD2308" s="404"/>
      <c r="BE2308" s="404"/>
      <c r="BF2308" s="404"/>
      <c r="BG2308" s="404"/>
      <c r="BH2308" s="404"/>
      <c r="BI2308" s="404"/>
      <c r="BJ2308" s="404"/>
      <c r="BK2308" s="404"/>
      <c r="BL2308" s="404"/>
    </row>
    <row r="2309" spans="1:64">
      <c r="A2309" s="454"/>
      <c r="B2309" s="454"/>
      <c r="C2309" s="417" t="s">
        <v>1134</v>
      </c>
      <c r="D2309" s="408">
        <f>'[161]Civil-SOR'!$F$245</f>
        <v>2.78</v>
      </c>
      <c r="E2309" s="408">
        <f>'[161]Civil-SOR'!$F$246</f>
        <v>2.78</v>
      </c>
      <c r="F2309" s="408">
        <f>'[161]Civil-SOR'!$F$247</f>
        <v>2.78</v>
      </c>
      <c r="G2309" s="408">
        <f>'[161]Civil-SOR'!$F$248</f>
        <v>2.78</v>
      </c>
      <c r="H2309" s="408">
        <f>'[161]Civil-SOR'!$F$248</f>
        <v>2.78</v>
      </c>
      <c r="I2309" s="408">
        <f>'[161]Civil-SOR'!$F$248</f>
        <v>2.78</v>
      </c>
      <c r="J2309" s="658">
        <f>'[161]Civil-SOR'!$F$248</f>
        <v>2.78</v>
      </c>
      <c r="K2309" s="659">
        <f>'[161]Civil-SOR'!$F$248</f>
        <v>2.78</v>
      </c>
      <c r="L2309" s="659">
        <f>'[161]Civil-SOR'!$F$248</f>
        <v>2.78</v>
      </c>
      <c r="M2309" s="404"/>
      <c r="N2309" s="404"/>
      <c r="O2309" s="404"/>
      <c r="P2309" s="404"/>
      <c r="Q2309" s="404"/>
      <c r="R2309" s="404"/>
      <c r="S2309" s="404"/>
      <c r="T2309" s="404"/>
      <c r="U2309" s="404"/>
      <c r="V2309" s="404"/>
      <c r="W2309" s="404"/>
      <c r="X2309" s="404"/>
      <c r="Y2309" s="404"/>
      <c r="Z2309" s="404"/>
      <c r="AA2309" s="404"/>
      <c r="AB2309" s="404"/>
      <c r="AC2309" s="404"/>
      <c r="AD2309" s="404"/>
      <c r="AE2309" s="404"/>
      <c r="AF2309" s="404"/>
      <c r="AG2309" s="404"/>
      <c r="AH2309" s="404"/>
      <c r="AI2309" s="404"/>
      <c r="AJ2309" s="404"/>
      <c r="AK2309" s="404"/>
      <c r="AL2309" s="404"/>
      <c r="AM2309" s="404"/>
      <c r="AN2309" s="404"/>
      <c r="AO2309" s="404"/>
      <c r="AP2309" s="404"/>
      <c r="AQ2309" s="404"/>
      <c r="AR2309" s="404"/>
      <c r="AS2309" s="404"/>
      <c r="AT2309" s="404"/>
      <c r="AU2309" s="404"/>
      <c r="AV2309" s="404"/>
      <c r="AW2309" s="404"/>
      <c r="AX2309" s="404"/>
      <c r="AY2309" s="404"/>
      <c r="AZ2309" s="404"/>
      <c r="BA2309" s="404"/>
      <c r="BB2309" s="404"/>
      <c r="BC2309" s="404"/>
      <c r="BD2309" s="404"/>
      <c r="BE2309" s="404"/>
      <c r="BF2309" s="404"/>
      <c r="BG2309" s="404"/>
      <c r="BH2309" s="404"/>
      <c r="BI2309" s="404"/>
      <c r="BJ2309" s="404"/>
      <c r="BK2309" s="404"/>
      <c r="BL2309" s="404"/>
    </row>
    <row r="2310" spans="1:64">
      <c r="A2310" s="454"/>
      <c r="B2310" s="454"/>
      <c r="C2310" s="417" t="s">
        <v>1060</v>
      </c>
      <c r="D2310" s="408">
        <f>'[161]Civil-SOR'!$G$245</f>
        <v>18.940000000000001</v>
      </c>
      <c r="E2310" s="408">
        <f>'[161]Civil-SOR'!$G$246</f>
        <v>27.03</v>
      </c>
      <c r="F2310" s="408">
        <f>'[161]Civil-SOR'!$G$247</f>
        <v>35.11</v>
      </c>
      <c r="G2310" s="408">
        <f>'[161]Civil-SOR'!$G$248</f>
        <v>43.2</v>
      </c>
      <c r="H2310" s="408">
        <f>'[161]Civil-SOR'!$G$249</f>
        <v>51.28</v>
      </c>
      <c r="I2310" s="408">
        <f>'[161]Civil-SOR'!$G$250</f>
        <v>59.37</v>
      </c>
      <c r="J2310" s="658">
        <f>'[161]Civil-SOR'!$G$251</f>
        <v>67.45</v>
      </c>
      <c r="K2310" s="659">
        <f>'[161]Civil-SOR'!$G$252</f>
        <v>75.540000000000006</v>
      </c>
      <c r="L2310" s="659">
        <f>'[161]Civil-SOR'!$G$253</f>
        <v>83.62</v>
      </c>
      <c r="M2310" s="404"/>
      <c r="N2310" s="404"/>
      <c r="O2310" s="404"/>
      <c r="P2310" s="404"/>
      <c r="Q2310" s="404"/>
      <c r="R2310" s="404"/>
      <c r="S2310" s="404"/>
      <c r="T2310" s="404"/>
      <c r="U2310" s="404"/>
      <c r="V2310" s="404"/>
      <c r="W2310" s="404"/>
      <c r="X2310" s="404"/>
      <c r="Y2310" s="404"/>
      <c r="Z2310" s="404"/>
      <c r="AA2310" s="404"/>
      <c r="AB2310" s="404"/>
      <c r="AC2310" s="404"/>
      <c r="AD2310" s="404"/>
      <c r="AE2310" s="404"/>
      <c r="AF2310" s="404"/>
      <c r="AG2310" s="404"/>
      <c r="AH2310" s="404"/>
      <c r="AI2310" s="404"/>
      <c r="AJ2310" s="404"/>
      <c r="AK2310" s="404"/>
      <c r="AL2310" s="404"/>
      <c r="AM2310" s="404"/>
      <c r="AN2310" s="404"/>
      <c r="AO2310" s="404"/>
      <c r="AP2310" s="404"/>
      <c r="AQ2310" s="404"/>
      <c r="AR2310" s="404"/>
      <c r="AS2310" s="404"/>
      <c r="AT2310" s="404"/>
      <c r="AU2310" s="404"/>
      <c r="AV2310" s="404"/>
      <c r="AW2310" s="404"/>
      <c r="AX2310" s="404"/>
      <c r="AY2310" s="404"/>
      <c r="AZ2310" s="404"/>
      <c r="BA2310" s="404"/>
      <c r="BB2310" s="404"/>
      <c r="BC2310" s="404"/>
      <c r="BD2310" s="404"/>
      <c r="BE2310" s="404"/>
      <c r="BF2310" s="404"/>
      <c r="BG2310" s="404"/>
      <c r="BH2310" s="404"/>
      <c r="BI2310" s="404"/>
      <c r="BJ2310" s="404"/>
      <c r="BK2310" s="404"/>
      <c r="BL2310" s="404"/>
    </row>
    <row r="2311" spans="1:64">
      <c r="A2311" s="454"/>
      <c r="B2311" s="454"/>
      <c r="C2311" s="417" t="str">
        <f>[161]Input!$C$47</f>
        <v>Add for MA @ 40%</v>
      </c>
      <c r="D2311" s="408">
        <f>ROUND(D2310*[161]Input!$D$47,2)</f>
        <v>7.58</v>
      </c>
      <c r="E2311" s="408">
        <f>ROUND(E2310*[161]Input!$D$47,2)</f>
        <v>10.81</v>
      </c>
      <c r="F2311" s="408">
        <f>ROUND(F2310*[161]Input!$D$47,2)</f>
        <v>14.04</v>
      </c>
      <c r="G2311" s="408">
        <f>ROUND(G2310*[161]Input!$D$47,2)</f>
        <v>17.28</v>
      </c>
      <c r="H2311" s="408">
        <f>ROUND(H2310*[161]Input!$D$47,2)</f>
        <v>20.51</v>
      </c>
      <c r="I2311" s="408">
        <f>ROUND(I2310*[161]Input!$D$47,2)</f>
        <v>23.75</v>
      </c>
      <c r="J2311" s="575">
        <f>ROUND(J2310*[161]Input!$D$47,2)</f>
        <v>26.98</v>
      </c>
      <c r="K2311" s="644">
        <f>ROUND(K2310*[161]Input!$D$47,2)</f>
        <v>30.22</v>
      </c>
      <c r="L2311" s="644">
        <f>ROUND(L2310*[161]Input!$D$47,2)</f>
        <v>33.450000000000003</v>
      </c>
      <c r="M2311" s="404"/>
      <c r="N2311" s="404"/>
      <c r="O2311" s="404"/>
      <c r="P2311" s="404"/>
      <c r="Q2311" s="404"/>
      <c r="R2311" s="404"/>
      <c r="S2311" s="404"/>
      <c r="T2311" s="404"/>
      <c r="U2311" s="404"/>
      <c r="V2311" s="404"/>
      <c r="W2311" s="404"/>
      <c r="X2311" s="404"/>
      <c r="Y2311" s="404"/>
      <c r="Z2311" s="404"/>
      <c r="AA2311" s="404"/>
      <c r="AB2311" s="404"/>
      <c r="AC2311" s="404"/>
      <c r="AD2311" s="404"/>
      <c r="AE2311" s="404"/>
      <c r="AF2311" s="404"/>
      <c r="AG2311" s="404"/>
      <c r="AH2311" s="404"/>
      <c r="AI2311" s="404"/>
      <c r="AJ2311" s="404"/>
      <c r="AK2311" s="404"/>
      <c r="AL2311" s="404"/>
      <c r="AM2311" s="404"/>
      <c r="AN2311" s="404"/>
      <c r="AO2311" s="404"/>
      <c r="AP2311" s="404"/>
      <c r="AQ2311" s="404"/>
      <c r="AR2311" s="404"/>
      <c r="AS2311" s="404"/>
      <c r="AT2311" s="404"/>
      <c r="AU2311" s="404"/>
      <c r="AV2311" s="404"/>
      <c r="AW2311" s="404"/>
      <c r="AX2311" s="404"/>
      <c r="AY2311" s="404"/>
      <c r="AZ2311" s="404"/>
      <c r="BA2311" s="404"/>
      <c r="BB2311" s="404"/>
      <c r="BC2311" s="404"/>
      <c r="BD2311" s="404"/>
      <c r="BE2311" s="404"/>
      <c r="BF2311" s="404"/>
      <c r="BG2311" s="404"/>
      <c r="BH2311" s="404"/>
      <c r="BI2311" s="404"/>
      <c r="BJ2311" s="404"/>
      <c r="BK2311" s="404"/>
      <c r="BL2311" s="404"/>
    </row>
    <row r="2312" spans="1:64">
      <c r="A2312" s="454"/>
      <c r="B2312" s="454"/>
      <c r="C2312" s="417" t="s">
        <v>994</v>
      </c>
      <c r="D2312" s="408">
        <v>0</v>
      </c>
      <c r="E2312" s="408">
        <f>ROUND($F$2302/10*10%,2)</f>
        <v>32.020000000000003</v>
      </c>
      <c r="F2312" s="408">
        <f>ROUND($F$2302/10*20%,2)</f>
        <v>64.040000000000006</v>
      </c>
      <c r="G2312" s="408">
        <f>ROUND($F$2302/10*30%,2)</f>
        <v>96.06</v>
      </c>
      <c r="H2312" s="408">
        <f>ROUND($F$2302/10*40%,2)</f>
        <v>128.08000000000001</v>
      </c>
      <c r="I2312" s="408">
        <f>ROUND($F$2302/10*50%,2)</f>
        <v>160.1</v>
      </c>
      <c r="J2312" s="575">
        <f>ROUND($F$2302/10*60%,2)</f>
        <v>192.11</v>
      </c>
      <c r="K2312" s="644">
        <f>ROUND($F$2302/10*70%,2)</f>
        <v>224.13</v>
      </c>
      <c r="L2312" s="644">
        <f>ROUND($F$2302/10*80%,2)</f>
        <v>256.14999999999998</v>
      </c>
      <c r="M2312" s="404"/>
      <c r="N2312" s="404"/>
      <c r="O2312" s="404"/>
      <c r="P2312" s="404"/>
      <c r="Q2312" s="404"/>
      <c r="R2312" s="404"/>
      <c r="S2312" s="404"/>
      <c r="T2312" s="404"/>
      <c r="U2312" s="404"/>
      <c r="V2312" s="404"/>
      <c r="W2312" s="404"/>
      <c r="X2312" s="404"/>
      <c r="Y2312" s="404"/>
      <c r="Z2312" s="404"/>
      <c r="AA2312" s="404"/>
      <c r="AB2312" s="404"/>
      <c r="AC2312" s="404"/>
      <c r="AD2312" s="404"/>
      <c r="AE2312" s="404"/>
      <c r="AF2312" s="404"/>
      <c r="AG2312" s="404"/>
      <c r="AH2312" s="404"/>
      <c r="AI2312" s="404"/>
      <c r="AJ2312" s="404"/>
      <c r="AK2312" s="404"/>
      <c r="AL2312" s="404"/>
      <c r="AM2312" s="404"/>
      <c r="AN2312" s="404"/>
      <c r="AO2312" s="404"/>
      <c r="AP2312" s="404"/>
      <c r="AQ2312" s="404"/>
      <c r="AR2312" s="404"/>
      <c r="AS2312" s="404"/>
      <c r="AT2312" s="404"/>
      <c r="AU2312" s="404"/>
      <c r="AV2312" s="404"/>
      <c r="AW2312" s="404"/>
      <c r="AX2312" s="404"/>
      <c r="AY2312" s="404"/>
      <c r="AZ2312" s="404"/>
      <c r="BA2312" s="404"/>
      <c r="BB2312" s="404"/>
      <c r="BC2312" s="404"/>
      <c r="BD2312" s="404"/>
      <c r="BE2312" s="404"/>
      <c r="BF2312" s="404"/>
      <c r="BG2312" s="404"/>
      <c r="BH2312" s="404"/>
      <c r="BI2312" s="404"/>
      <c r="BJ2312" s="404"/>
      <c r="BK2312" s="404"/>
      <c r="BL2312" s="404"/>
    </row>
    <row r="2313" spans="1:64">
      <c r="A2313" s="454"/>
      <c r="B2313" s="454"/>
      <c r="C2313" s="417" t="str">
        <f>[161]Input!$C$47</f>
        <v>Add for MA @ 40%</v>
      </c>
      <c r="D2313" s="408">
        <f>D2312*[161]Input!$D$47</f>
        <v>0</v>
      </c>
      <c r="E2313" s="408">
        <f>E2312*[161]Input!$D$47</f>
        <v>12.808000000000002</v>
      </c>
      <c r="F2313" s="408">
        <f>F2312*[161]Input!$D$47</f>
        <v>25.616000000000003</v>
      </c>
      <c r="G2313" s="408">
        <f>G2312*[161]Input!$D$47</f>
        <v>38.424000000000007</v>
      </c>
      <c r="H2313" s="408">
        <f>H2312*[161]Input!$D$47</f>
        <v>51.232000000000006</v>
      </c>
      <c r="I2313" s="408">
        <f>I2312*[161]Input!$D$47</f>
        <v>64.040000000000006</v>
      </c>
      <c r="J2313" s="575">
        <f>J2312*[161]Input!$D$47</f>
        <v>76.844000000000008</v>
      </c>
      <c r="K2313" s="644">
        <f>K2312*[161]Input!$D$47</f>
        <v>89.652000000000001</v>
      </c>
      <c r="L2313" s="644">
        <f>L2312*[161]Input!$D$47</f>
        <v>102.46</v>
      </c>
      <c r="M2313" s="404"/>
      <c r="N2313" s="404"/>
      <c r="O2313" s="404"/>
      <c r="P2313" s="404"/>
      <c r="Q2313" s="404"/>
      <c r="R2313" s="404"/>
      <c r="S2313" s="404"/>
      <c r="T2313" s="404"/>
      <c r="U2313" s="404"/>
      <c r="V2313" s="404"/>
      <c r="W2313" s="404"/>
      <c r="X2313" s="404"/>
      <c r="Y2313" s="404"/>
      <c r="Z2313" s="404"/>
      <c r="AA2313" s="404"/>
      <c r="AB2313" s="404"/>
      <c r="AC2313" s="404"/>
      <c r="AD2313" s="404"/>
      <c r="AE2313" s="404"/>
      <c r="AF2313" s="404"/>
      <c r="AG2313" s="404"/>
      <c r="AH2313" s="404"/>
      <c r="AI2313" s="404"/>
      <c r="AJ2313" s="404"/>
      <c r="AK2313" s="404"/>
      <c r="AL2313" s="404"/>
      <c r="AM2313" s="404"/>
      <c r="AN2313" s="404"/>
      <c r="AO2313" s="404"/>
      <c r="AP2313" s="404"/>
      <c r="AQ2313" s="404"/>
      <c r="AR2313" s="404"/>
      <c r="AS2313" s="404"/>
      <c r="AT2313" s="404"/>
      <c r="AU2313" s="404"/>
      <c r="AV2313" s="404"/>
      <c r="AW2313" s="404"/>
      <c r="AX2313" s="404"/>
      <c r="AY2313" s="404"/>
      <c r="AZ2313" s="404"/>
      <c r="BA2313" s="404"/>
      <c r="BB2313" s="404"/>
      <c r="BC2313" s="404"/>
      <c r="BD2313" s="404"/>
      <c r="BE2313" s="404"/>
      <c r="BF2313" s="404"/>
      <c r="BG2313" s="404"/>
      <c r="BH2313" s="404"/>
      <c r="BI2313" s="404"/>
      <c r="BJ2313" s="404"/>
      <c r="BK2313" s="404"/>
      <c r="BL2313" s="404"/>
    </row>
    <row r="2314" spans="1:64" ht="13">
      <c r="A2314" s="454"/>
      <c r="B2314" s="454"/>
      <c r="C2314" s="427" t="s">
        <v>845</v>
      </c>
      <c r="D2314" s="408">
        <f t="shared" ref="D2314:L2314" si="544">SUM(D2308:D2313)</f>
        <v>540.65000000000009</v>
      </c>
      <c r="E2314" s="408">
        <f t="shared" si="544"/>
        <v>596.79799999999989</v>
      </c>
      <c r="F2314" s="408">
        <f t="shared" si="544"/>
        <v>652.93599999999992</v>
      </c>
      <c r="G2314" s="408">
        <f t="shared" si="544"/>
        <v>709.09400000000005</v>
      </c>
      <c r="H2314" s="408">
        <f t="shared" si="544"/>
        <v>765.23199999999997</v>
      </c>
      <c r="I2314" s="408">
        <f t="shared" si="544"/>
        <v>821.39</v>
      </c>
      <c r="J2314" s="575">
        <f t="shared" si="544"/>
        <v>877.51400000000012</v>
      </c>
      <c r="K2314" s="644">
        <f t="shared" si="544"/>
        <v>933.67200000000003</v>
      </c>
      <c r="L2314" s="644">
        <f t="shared" si="544"/>
        <v>989.81000000000006</v>
      </c>
      <c r="M2314" s="404"/>
      <c r="N2314" s="404"/>
      <c r="O2314" s="404"/>
      <c r="P2314" s="404"/>
      <c r="Q2314" s="404"/>
      <c r="R2314" s="404"/>
      <c r="S2314" s="404"/>
      <c r="T2314" s="404"/>
      <c r="U2314" s="404"/>
      <c r="V2314" s="404"/>
      <c r="W2314" s="404"/>
      <c r="X2314" s="404"/>
      <c r="Y2314" s="404"/>
      <c r="Z2314" s="404"/>
      <c r="AA2314" s="404"/>
      <c r="AB2314" s="404"/>
      <c r="AC2314" s="404"/>
      <c r="AD2314" s="404"/>
      <c r="AE2314" s="404"/>
      <c r="AF2314" s="404"/>
      <c r="AG2314" s="404"/>
      <c r="AH2314" s="404"/>
      <c r="AI2314" s="404"/>
      <c r="AJ2314" s="404"/>
      <c r="AK2314" s="404"/>
      <c r="AL2314" s="404"/>
      <c r="AM2314" s="404"/>
      <c r="AN2314" s="404"/>
      <c r="AO2314" s="404"/>
      <c r="AP2314" s="404"/>
      <c r="AQ2314" s="404"/>
      <c r="AR2314" s="404"/>
      <c r="AS2314" s="404"/>
      <c r="AT2314" s="404"/>
      <c r="AU2314" s="404"/>
      <c r="AV2314" s="404"/>
      <c r="AW2314" s="404"/>
      <c r="AX2314" s="404"/>
      <c r="AY2314" s="404"/>
      <c r="AZ2314" s="404"/>
      <c r="BA2314" s="404"/>
      <c r="BB2314" s="404"/>
      <c r="BC2314" s="404"/>
      <c r="BD2314" s="404"/>
      <c r="BE2314" s="404"/>
      <c r="BF2314" s="404"/>
      <c r="BG2314" s="404"/>
      <c r="BH2314" s="404"/>
      <c r="BI2314" s="404"/>
      <c r="BJ2314" s="404"/>
      <c r="BK2314" s="404"/>
      <c r="BL2314" s="404"/>
    </row>
    <row r="2315" spans="1:64" ht="25">
      <c r="A2315" s="454"/>
      <c r="B2315" s="454"/>
      <c r="C2315" s="417" t="str">
        <f>[161]Input!$C$48</f>
        <v>Overheads &amp; Contractors Profit @ 13.615%</v>
      </c>
      <c r="D2315" s="408">
        <f>ROUND(D2314*[161]Input!$D$48,2)</f>
        <v>73.61</v>
      </c>
      <c r="E2315" s="408">
        <f>ROUND(E2314*[161]Input!$D$48,2)</f>
        <v>81.25</v>
      </c>
      <c r="F2315" s="408">
        <f>ROUND(F2314*[161]Input!$D$48,2)</f>
        <v>88.9</v>
      </c>
      <c r="G2315" s="408">
        <f>ROUND(G2314*[161]Input!$D$48,2)</f>
        <v>96.54</v>
      </c>
      <c r="H2315" s="408">
        <f>ROUND(H2314*[161]Input!$D$48,2)</f>
        <v>104.19</v>
      </c>
      <c r="I2315" s="408">
        <f>ROUND(I2314*[161]Input!$D$48,2)</f>
        <v>111.83</v>
      </c>
      <c r="J2315" s="575">
        <f>ROUND(J2314*[161]Input!$D$48,2)</f>
        <v>119.47</v>
      </c>
      <c r="K2315" s="644">
        <f>ROUND(K2314*[161]Input!$D$48,2)</f>
        <v>127.12</v>
      </c>
      <c r="L2315" s="644">
        <f>ROUND(L2314*[161]Input!$D$48,2)</f>
        <v>134.76</v>
      </c>
      <c r="M2315" s="404"/>
      <c r="N2315" s="404"/>
      <c r="O2315" s="404"/>
      <c r="P2315" s="404"/>
      <c r="Q2315" s="404"/>
      <c r="R2315" s="404"/>
      <c r="S2315" s="404"/>
      <c r="T2315" s="404"/>
      <c r="U2315" s="404"/>
      <c r="V2315" s="404"/>
      <c r="W2315" s="404"/>
      <c r="X2315" s="404"/>
      <c r="Y2315" s="404"/>
      <c r="Z2315" s="404"/>
      <c r="AA2315" s="404"/>
      <c r="AB2315" s="404"/>
      <c r="AC2315" s="404"/>
      <c r="AD2315" s="404"/>
      <c r="AE2315" s="404"/>
      <c r="AF2315" s="404"/>
      <c r="AG2315" s="404"/>
      <c r="AH2315" s="404"/>
      <c r="AI2315" s="404"/>
      <c r="AJ2315" s="404"/>
      <c r="AK2315" s="404"/>
      <c r="AL2315" s="404"/>
      <c r="AM2315" s="404"/>
      <c r="AN2315" s="404"/>
      <c r="AO2315" s="404"/>
      <c r="AP2315" s="404"/>
      <c r="AQ2315" s="404"/>
      <c r="AR2315" s="404"/>
      <c r="AS2315" s="404"/>
      <c r="AT2315" s="404"/>
      <c r="AU2315" s="404"/>
      <c r="AV2315" s="404"/>
      <c r="AW2315" s="404"/>
      <c r="AX2315" s="404"/>
      <c r="AY2315" s="404"/>
      <c r="AZ2315" s="404"/>
      <c r="BA2315" s="404"/>
      <c r="BB2315" s="404"/>
      <c r="BC2315" s="404"/>
      <c r="BD2315" s="404"/>
      <c r="BE2315" s="404"/>
      <c r="BF2315" s="404"/>
      <c r="BG2315" s="404"/>
      <c r="BH2315" s="404"/>
      <c r="BI2315" s="404"/>
      <c r="BJ2315" s="404"/>
      <c r="BK2315" s="404"/>
      <c r="BL2315" s="404"/>
    </row>
    <row r="2316" spans="1:64" ht="13">
      <c r="A2316" s="454"/>
      <c r="B2316" s="454"/>
      <c r="C2316" s="427" t="s">
        <v>845</v>
      </c>
      <c r="D2316" s="414">
        <f t="shared" ref="D2316:L2316" si="545">SUM(D2314:D2315)</f>
        <v>614.2600000000001</v>
      </c>
      <c r="E2316" s="414">
        <f t="shared" si="545"/>
        <v>678.04799999999989</v>
      </c>
      <c r="F2316" s="414">
        <f t="shared" si="545"/>
        <v>741.8359999999999</v>
      </c>
      <c r="G2316" s="414">
        <f t="shared" si="545"/>
        <v>805.63400000000001</v>
      </c>
      <c r="H2316" s="414">
        <f t="shared" si="545"/>
        <v>869.42200000000003</v>
      </c>
      <c r="I2316" s="414">
        <f t="shared" si="545"/>
        <v>933.22</v>
      </c>
      <c r="J2316" s="660">
        <f t="shared" si="545"/>
        <v>996.98400000000015</v>
      </c>
      <c r="K2316" s="661">
        <f t="shared" si="545"/>
        <v>1060.7919999999999</v>
      </c>
      <c r="L2316" s="631">
        <f t="shared" si="545"/>
        <v>1124.5700000000002</v>
      </c>
      <c r="M2316" s="404"/>
      <c r="N2316" s="404"/>
      <c r="O2316" s="404"/>
      <c r="P2316" s="404"/>
      <c r="Q2316" s="404"/>
      <c r="R2316" s="404"/>
      <c r="S2316" s="404"/>
      <c r="T2316" s="404"/>
      <c r="U2316" s="404"/>
      <c r="V2316" s="404"/>
      <c r="W2316" s="404"/>
      <c r="X2316" s="404"/>
      <c r="Y2316" s="404"/>
      <c r="Z2316" s="404"/>
      <c r="AA2316" s="404"/>
      <c r="AB2316" s="404"/>
      <c r="AC2316" s="404"/>
      <c r="AD2316" s="404"/>
      <c r="AE2316" s="404"/>
      <c r="AF2316" s="404"/>
      <c r="AG2316" s="404"/>
      <c r="AH2316" s="404"/>
      <c r="AI2316" s="404"/>
      <c r="AJ2316" s="404"/>
      <c r="AK2316" s="404"/>
      <c r="AL2316" s="404"/>
      <c r="AM2316" s="404"/>
      <c r="AN2316" s="404"/>
      <c r="AO2316" s="404"/>
      <c r="AP2316" s="404"/>
      <c r="AQ2316" s="404"/>
      <c r="AR2316" s="404"/>
      <c r="AS2316" s="404"/>
      <c r="AT2316" s="404"/>
      <c r="AU2316" s="404"/>
      <c r="AV2316" s="404"/>
      <c r="AW2316" s="404"/>
      <c r="AX2316" s="404"/>
      <c r="AY2316" s="404"/>
      <c r="AZ2316" s="404"/>
      <c r="BA2316" s="404"/>
      <c r="BB2316" s="404"/>
      <c r="BC2316" s="404"/>
      <c r="BD2316" s="404"/>
      <c r="BE2316" s="404"/>
      <c r="BF2316" s="404"/>
      <c r="BG2316" s="404"/>
      <c r="BH2316" s="404"/>
      <c r="BI2316" s="404"/>
      <c r="BJ2316" s="404"/>
      <c r="BK2316" s="404"/>
      <c r="BL2316" s="404"/>
    </row>
    <row r="2317" spans="1:64" ht="13">
      <c r="A2317" s="454"/>
      <c r="B2317" s="454"/>
      <c r="C2317" s="522" t="s">
        <v>726</v>
      </c>
      <c r="D2317" s="416">
        <f t="shared" ref="D2317:L2317" si="546">ROUND(D2316,0)</f>
        <v>614</v>
      </c>
      <c r="E2317" s="416">
        <f t="shared" si="546"/>
        <v>678</v>
      </c>
      <c r="F2317" s="416">
        <f t="shared" si="546"/>
        <v>742</v>
      </c>
      <c r="G2317" s="416">
        <f t="shared" si="546"/>
        <v>806</v>
      </c>
      <c r="H2317" s="416">
        <f t="shared" si="546"/>
        <v>869</v>
      </c>
      <c r="I2317" s="414">
        <f t="shared" si="546"/>
        <v>933</v>
      </c>
      <c r="J2317" s="529">
        <f t="shared" si="546"/>
        <v>997</v>
      </c>
      <c r="K2317" s="530">
        <f t="shared" si="546"/>
        <v>1061</v>
      </c>
      <c r="L2317" s="631">
        <f t="shared" si="546"/>
        <v>1125</v>
      </c>
      <c r="M2317" s="404"/>
      <c r="N2317" s="404"/>
      <c r="O2317" s="404"/>
      <c r="P2317" s="404"/>
      <c r="Q2317" s="404"/>
      <c r="R2317" s="404"/>
      <c r="S2317" s="404"/>
      <c r="T2317" s="404"/>
      <c r="U2317" s="404"/>
      <c r="V2317" s="404"/>
      <c r="W2317" s="404"/>
      <c r="X2317" s="404"/>
      <c r="Y2317" s="404"/>
      <c r="Z2317" s="404"/>
      <c r="AA2317" s="404"/>
      <c r="AB2317" s="404"/>
      <c r="AC2317" s="404"/>
      <c r="AD2317" s="404"/>
      <c r="AE2317" s="404"/>
      <c r="AF2317" s="404"/>
      <c r="AG2317" s="404"/>
      <c r="AH2317" s="404"/>
      <c r="AI2317" s="404"/>
      <c r="AJ2317" s="404"/>
      <c r="AK2317" s="404"/>
      <c r="AL2317" s="404"/>
      <c r="AM2317" s="404"/>
      <c r="AN2317" s="404"/>
      <c r="AO2317" s="404"/>
      <c r="AP2317" s="404"/>
      <c r="AQ2317" s="404"/>
      <c r="AR2317" s="404"/>
      <c r="AS2317" s="404"/>
      <c r="AT2317" s="404"/>
      <c r="AU2317" s="404"/>
      <c r="AV2317" s="404"/>
      <c r="AW2317" s="404"/>
      <c r="AX2317" s="404"/>
      <c r="AY2317" s="404"/>
      <c r="AZ2317" s="404"/>
      <c r="BA2317" s="404"/>
      <c r="BB2317" s="404"/>
      <c r="BC2317" s="404"/>
      <c r="BD2317" s="404"/>
      <c r="BE2317" s="404"/>
      <c r="BF2317" s="404"/>
      <c r="BG2317" s="404"/>
      <c r="BH2317" s="404"/>
      <c r="BI2317" s="404"/>
      <c r="BJ2317" s="404"/>
      <c r="BK2317" s="404"/>
      <c r="BL2317" s="404"/>
    </row>
    <row r="2318" spans="1:64" ht="13">
      <c r="A2318" s="454"/>
      <c r="B2318" s="454"/>
      <c r="C2318" s="427"/>
      <c r="D2318" s="408"/>
      <c r="E2318" s="454"/>
      <c r="F2318" s="408"/>
      <c r="G2318" s="430"/>
      <c r="H2318" s="415"/>
      <c r="I2318" s="414"/>
      <c r="J2318" s="400"/>
      <c r="K2318" s="401"/>
      <c r="L2318" s="401"/>
    </row>
    <row r="2319" spans="1:64" ht="13">
      <c r="A2319" s="454"/>
      <c r="B2319" s="454"/>
      <c r="C2319" s="427" t="s">
        <v>953</v>
      </c>
      <c r="D2319" s="414" t="s">
        <v>1118</v>
      </c>
      <c r="E2319" s="414" t="s">
        <v>1119</v>
      </c>
      <c r="F2319" s="414" t="s">
        <v>1120</v>
      </c>
      <c r="G2319" s="430"/>
      <c r="H2319" s="415"/>
      <c r="I2319" s="414"/>
      <c r="J2319" s="400"/>
      <c r="K2319" s="401"/>
      <c r="L2319" s="401"/>
    </row>
    <row r="2320" spans="1:64" ht="13">
      <c r="A2320" s="454"/>
      <c r="B2320" s="454"/>
      <c r="C2320" s="417" t="s">
        <v>1064</v>
      </c>
      <c r="D2320" s="408">
        <f>$I$2305</f>
        <v>511.35</v>
      </c>
      <c r="E2320" s="408">
        <f>$I$2305</f>
        <v>511.35</v>
      </c>
      <c r="F2320" s="408">
        <f>$I$2305</f>
        <v>511.35</v>
      </c>
      <c r="G2320" s="430"/>
      <c r="H2320" s="415"/>
      <c r="I2320" s="414"/>
      <c r="J2320" s="400"/>
      <c r="K2320" s="401"/>
      <c r="L2320" s="401"/>
    </row>
    <row r="2321" spans="1:12" ht="13">
      <c r="A2321" s="454"/>
      <c r="B2321" s="454"/>
      <c r="C2321" s="417" t="s">
        <v>1134</v>
      </c>
      <c r="D2321" s="408">
        <f>'[161]Civil-SOR'!$F$248</f>
        <v>2.78</v>
      </c>
      <c r="E2321" s="408">
        <f>'[161]Civil-SOR'!$F$248</f>
        <v>2.78</v>
      </c>
      <c r="F2321" s="408">
        <f>'[161]Civil-SOR'!$F$248</f>
        <v>2.78</v>
      </c>
      <c r="G2321" s="430"/>
      <c r="H2321" s="415"/>
      <c r="I2321" s="414"/>
      <c r="J2321" s="400"/>
      <c r="K2321" s="401"/>
      <c r="L2321" s="401"/>
    </row>
    <row r="2322" spans="1:12" ht="13">
      <c r="A2322" s="454"/>
      <c r="B2322" s="454"/>
      <c r="C2322" s="417" t="s">
        <v>1060</v>
      </c>
      <c r="D2322" s="408">
        <f>'[161]Civil-SOR'!$G$251</f>
        <v>67.45</v>
      </c>
      <c r="E2322" s="408">
        <f>'[161]Civil-SOR'!$G$252</f>
        <v>75.540000000000006</v>
      </c>
      <c r="F2322" s="408">
        <f>'[161]Civil-SOR'!$G$253</f>
        <v>83.62</v>
      </c>
      <c r="G2322" s="430"/>
      <c r="H2322" s="415"/>
      <c r="I2322" s="414"/>
      <c r="J2322" s="400"/>
      <c r="K2322" s="401"/>
      <c r="L2322" s="401"/>
    </row>
    <row r="2323" spans="1:12" ht="13">
      <c r="A2323" s="454"/>
      <c r="B2323" s="454"/>
      <c r="C2323" s="417" t="str">
        <f>[161]Input!$C$47</f>
        <v>Add for MA @ 40%</v>
      </c>
      <c r="D2323" s="408">
        <f>ROUND(D2322*[161]Input!$D$47,2)</f>
        <v>26.98</v>
      </c>
      <c r="E2323" s="408">
        <f>ROUND(E2322*[161]Input!$D$47,2)</f>
        <v>30.22</v>
      </c>
      <c r="F2323" s="408">
        <f>ROUND(F2322*[161]Input!$D$47,2)</f>
        <v>33.450000000000003</v>
      </c>
      <c r="G2323" s="430"/>
      <c r="H2323" s="415"/>
      <c r="I2323" s="414"/>
      <c r="J2323" s="400"/>
      <c r="K2323" s="401"/>
      <c r="L2323" s="401"/>
    </row>
    <row r="2324" spans="1:12" ht="13">
      <c r="A2324" s="454"/>
      <c r="B2324" s="454"/>
      <c r="C2324" s="417" t="s">
        <v>994</v>
      </c>
      <c r="D2324" s="408">
        <f>ROUND($F$2302/10*60%,2)</f>
        <v>192.11</v>
      </c>
      <c r="E2324" s="408">
        <f>ROUND($F$2302/10*70%,2)</f>
        <v>224.13</v>
      </c>
      <c r="F2324" s="408">
        <f>ROUND($F$2302/10*80%,2)</f>
        <v>256.14999999999998</v>
      </c>
      <c r="G2324" s="430"/>
      <c r="H2324" s="415"/>
      <c r="I2324" s="414"/>
      <c r="J2324" s="400"/>
      <c r="K2324" s="401"/>
      <c r="L2324" s="401"/>
    </row>
    <row r="2325" spans="1:12" ht="13">
      <c r="A2325" s="454"/>
      <c r="B2325" s="454"/>
      <c r="C2325" s="417" t="str">
        <f>[161]Input!$C$47</f>
        <v>Add for MA @ 40%</v>
      </c>
      <c r="D2325" s="408">
        <f>D2324*[161]Input!$D$47</f>
        <v>76.844000000000008</v>
      </c>
      <c r="E2325" s="408">
        <f>E2324*[161]Input!$D$47</f>
        <v>89.652000000000001</v>
      </c>
      <c r="F2325" s="408">
        <f>F2324*[161]Input!$D$47</f>
        <v>102.46</v>
      </c>
      <c r="G2325" s="430"/>
      <c r="H2325" s="415"/>
      <c r="I2325" s="414"/>
      <c r="J2325" s="400"/>
      <c r="K2325" s="401"/>
      <c r="L2325" s="401"/>
    </row>
    <row r="2326" spans="1:12" ht="13">
      <c r="A2326" s="454"/>
      <c r="B2326" s="454"/>
      <c r="C2326" s="427" t="s">
        <v>845</v>
      </c>
      <c r="D2326" s="408">
        <f>SUM(D2320:D2325)</f>
        <v>877.51400000000012</v>
      </c>
      <c r="E2326" s="408">
        <f>SUM(E2320:E2325)</f>
        <v>933.67200000000003</v>
      </c>
      <c r="F2326" s="408">
        <f>SUM(F2320:F2325)</f>
        <v>989.81000000000006</v>
      </c>
      <c r="G2326" s="430"/>
      <c r="H2326" s="415"/>
      <c r="I2326" s="414"/>
      <c r="J2326" s="400"/>
      <c r="K2326" s="401"/>
      <c r="L2326" s="401"/>
    </row>
    <row r="2327" spans="1:12" ht="25">
      <c r="A2327" s="454"/>
      <c r="B2327" s="454"/>
      <c r="C2327" s="417" t="str">
        <f>[161]Input!$C$48</f>
        <v>Overheads &amp; Contractors Profit @ 13.615%</v>
      </c>
      <c r="D2327" s="408">
        <f>ROUND(D2326*[161]Input!$D$48,2)</f>
        <v>119.47</v>
      </c>
      <c r="E2327" s="408">
        <f>ROUND(E2326*[161]Input!$D$48,2)</f>
        <v>127.12</v>
      </c>
      <c r="F2327" s="408">
        <f>ROUND(F2326*[161]Input!$D$48,2)</f>
        <v>134.76</v>
      </c>
      <c r="G2327" s="430"/>
      <c r="H2327" s="415"/>
      <c r="I2327" s="414"/>
      <c r="J2327" s="400"/>
      <c r="K2327" s="401"/>
      <c r="L2327" s="401"/>
    </row>
    <row r="2328" spans="1:12" ht="13">
      <c r="A2328" s="454"/>
      <c r="B2328" s="454"/>
      <c r="C2328" s="427" t="s">
        <v>845</v>
      </c>
      <c r="D2328" s="414">
        <f>SUM(D2326:D2327)</f>
        <v>996.98400000000015</v>
      </c>
      <c r="E2328" s="414">
        <f>SUM(E2326:E2327)</f>
        <v>1060.7919999999999</v>
      </c>
      <c r="F2328" s="414">
        <f>SUM(F2326:F2327)</f>
        <v>1124.5700000000002</v>
      </c>
      <c r="G2328" s="430"/>
      <c r="H2328" s="415"/>
      <c r="I2328" s="414"/>
      <c r="J2328" s="400"/>
      <c r="K2328" s="401"/>
      <c r="L2328" s="401"/>
    </row>
    <row r="2329" spans="1:12" ht="13">
      <c r="A2329" s="454"/>
      <c r="B2329" s="454"/>
      <c r="C2329" s="514" t="s">
        <v>726</v>
      </c>
      <c r="D2329" s="416">
        <f>ROUND(D2328,0)</f>
        <v>997</v>
      </c>
      <c r="E2329" s="416">
        <f>ROUND(E2328,0)</f>
        <v>1061</v>
      </c>
      <c r="F2329" s="414">
        <f>ROUND(F2328,0)</f>
        <v>1125</v>
      </c>
      <c r="G2329" s="430"/>
      <c r="H2329" s="415"/>
      <c r="I2329" s="414"/>
      <c r="J2329" s="400"/>
      <c r="K2329" s="401"/>
      <c r="L2329" s="401"/>
    </row>
    <row r="2330" spans="1:12" ht="13">
      <c r="A2330" s="454"/>
      <c r="B2330" s="454"/>
      <c r="C2330" s="427"/>
      <c r="D2330" s="408"/>
      <c r="E2330" s="454"/>
      <c r="F2330" s="408"/>
      <c r="G2330" s="430"/>
      <c r="H2330" s="415"/>
      <c r="I2330" s="414"/>
      <c r="J2330" s="400"/>
      <c r="K2330" s="401"/>
      <c r="L2330" s="401"/>
    </row>
    <row r="2331" spans="1:12" ht="82.15" customHeight="1">
      <c r="A2331" s="454">
        <f>A2288+1</f>
        <v>6</v>
      </c>
      <c r="B2331" s="454"/>
      <c r="C2331" s="1276" t="s">
        <v>1135</v>
      </c>
      <c r="D2331" s="1276"/>
      <c r="E2331" s="1276"/>
      <c r="F2331" s="1276"/>
      <c r="G2331" s="1276"/>
      <c r="H2331" s="1276"/>
      <c r="I2331" s="407"/>
      <c r="J2331" s="400"/>
      <c r="K2331" s="401"/>
      <c r="L2331" s="401"/>
    </row>
    <row r="2332" spans="1:12" ht="13">
      <c r="A2332" s="454"/>
      <c r="B2332" s="454"/>
      <c r="C2332" s="455" t="s">
        <v>1136</v>
      </c>
      <c r="D2332" s="408"/>
      <c r="E2332" s="454"/>
      <c r="F2332" s="408"/>
      <c r="G2332" s="430"/>
      <c r="H2332" s="454"/>
      <c r="I2332" s="408"/>
      <c r="J2332" s="400"/>
      <c r="K2332" s="401"/>
      <c r="L2332" s="401"/>
    </row>
    <row r="2333" spans="1:12">
      <c r="A2333" s="454"/>
      <c r="B2333" s="454"/>
      <c r="C2333" s="469" t="s">
        <v>1127</v>
      </c>
      <c r="D2333" s="408"/>
      <c r="E2333" s="454"/>
      <c r="F2333" s="408"/>
      <c r="G2333" s="430"/>
      <c r="H2333" s="454"/>
      <c r="I2333" s="408"/>
      <c r="J2333" s="400"/>
      <c r="K2333" s="401"/>
      <c r="L2333" s="401"/>
    </row>
    <row r="2334" spans="1:12" ht="13">
      <c r="A2334" s="454"/>
      <c r="B2334" s="454"/>
      <c r="C2334" s="427" t="s">
        <v>873</v>
      </c>
      <c r="D2334" s="408"/>
      <c r="E2334" s="454"/>
      <c r="F2334" s="408"/>
      <c r="G2334" s="430"/>
      <c r="H2334" s="454"/>
      <c r="I2334" s="408"/>
      <c r="J2334" s="400"/>
      <c r="K2334" s="401"/>
      <c r="L2334" s="401"/>
    </row>
    <row r="2335" spans="1:12" ht="13">
      <c r="A2335" s="454"/>
      <c r="B2335" s="454"/>
      <c r="C2335" s="427" t="s">
        <v>1128</v>
      </c>
      <c r="D2335" s="408"/>
      <c r="E2335" s="454"/>
      <c r="F2335" s="408"/>
      <c r="G2335" s="430"/>
      <c r="H2335" s="454"/>
      <c r="I2335" s="408"/>
      <c r="J2335" s="400"/>
      <c r="K2335" s="401"/>
      <c r="L2335" s="401"/>
    </row>
    <row r="2336" spans="1:12">
      <c r="A2336" s="454"/>
      <c r="B2336" s="454"/>
      <c r="C2336" s="417" t="s">
        <v>1129</v>
      </c>
      <c r="D2336" s="408">
        <v>26.4</v>
      </c>
      <c r="E2336" s="454" t="s">
        <v>833</v>
      </c>
      <c r="F2336" s="408">
        <f>[161]LEAD!$N$6</f>
        <v>5200</v>
      </c>
      <c r="G2336" s="430">
        <v>1000</v>
      </c>
      <c r="H2336" s="456" t="str">
        <f t="shared" ref="H2336:H2337" si="547">IF(E2336="","",IF(E2336="No.","Each",IF(E2336="Nos.","Each",E2336)))</f>
        <v>Kgs</v>
      </c>
      <c r="I2336" s="408">
        <f t="shared" ref="I2336:I2337" si="548">IF(G2336="",D2336*F2336,(D2336*F2336/G2336))</f>
        <v>137.28</v>
      </c>
      <c r="J2336" s="400"/>
      <c r="K2336" s="401"/>
      <c r="L2336" s="401"/>
    </row>
    <row r="2337" spans="1:64">
      <c r="A2337" s="454"/>
      <c r="B2337" s="454"/>
      <c r="C2337" s="417" t="s">
        <v>1130</v>
      </c>
      <c r="D2337" s="408">
        <v>0.11</v>
      </c>
      <c r="E2337" s="454" t="s">
        <v>57</v>
      </c>
      <c r="F2337" s="408">
        <f>[161]LEAD!$N$13</f>
        <v>2453.91</v>
      </c>
      <c r="G2337" s="430">
        <v>1</v>
      </c>
      <c r="H2337" s="456" t="str">
        <f t="shared" si="547"/>
        <v>Cum</v>
      </c>
      <c r="I2337" s="408">
        <f t="shared" si="548"/>
        <v>269.93009999999998</v>
      </c>
      <c r="J2337" s="400"/>
      <c r="K2337" s="401"/>
      <c r="L2337" s="401"/>
    </row>
    <row r="2338" spans="1:64" ht="13">
      <c r="A2338" s="454"/>
      <c r="B2338" s="454"/>
      <c r="C2338" s="427" t="s">
        <v>1131</v>
      </c>
      <c r="D2338" s="408"/>
      <c r="E2338" s="454"/>
      <c r="F2338" s="408"/>
      <c r="G2338" s="430"/>
      <c r="H2338" s="456"/>
      <c r="I2338" s="408"/>
      <c r="J2338" s="400"/>
      <c r="K2338" s="401"/>
      <c r="L2338" s="401"/>
    </row>
    <row r="2339" spans="1:64">
      <c r="A2339" s="454"/>
      <c r="B2339" s="454"/>
      <c r="C2339" s="417" t="s">
        <v>1129</v>
      </c>
      <c r="D2339" s="408">
        <v>14.4</v>
      </c>
      <c r="E2339" s="454" t="s">
        <v>833</v>
      </c>
      <c r="F2339" s="408">
        <f>[161]LEAD!$N$6</f>
        <v>5200</v>
      </c>
      <c r="G2339" s="430">
        <v>1000</v>
      </c>
      <c r="H2339" s="456" t="str">
        <f t="shared" ref="H2339:H2340" si="549">IF(E2339="","",IF(E2339="No.","Each",IF(E2339="Nos.","Each",E2339)))</f>
        <v>Kgs</v>
      </c>
      <c r="I2339" s="408">
        <f t="shared" ref="I2339:I2340" si="550">IF(G2339="",D2339*F2339,(D2339*F2339/G2339))</f>
        <v>74.88</v>
      </c>
      <c r="J2339" s="400"/>
      <c r="K2339" s="401"/>
      <c r="L2339" s="401"/>
    </row>
    <row r="2340" spans="1:64">
      <c r="A2340" s="454"/>
      <c r="B2340" s="454"/>
      <c r="C2340" s="417" t="s">
        <v>1130</v>
      </c>
      <c r="D2340" s="408">
        <v>0.04</v>
      </c>
      <c r="E2340" s="454" t="s">
        <v>57</v>
      </c>
      <c r="F2340" s="408">
        <f>[161]LEAD!$N$13</f>
        <v>2453.91</v>
      </c>
      <c r="G2340" s="430">
        <v>1</v>
      </c>
      <c r="H2340" s="456" t="str">
        <f t="shared" si="549"/>
        <v>Cum</v>
      </c>
      <c r="I2340" s="408">
        <f t="shared" si="550"/>
        <v>98.156399999999991</v>
      </c>
      <c r="J2340" s="400"/>
      <c r="K2340" s="401"/>
      <c r="L2340" s="401"/>
    </row>
    <row r="2341" spans="1:64" ht="13">
      <c r="A2341" s="454"/>
      <c r="B2341" s="454"/>
      <c r="C2341" s="427" t="s">
        <v>911</v>
      </c>
      <c r="D2341" s="408"/>
      <c r="E2341" s="454"/>
      <c r="F2341" s="408"/>
      <c r="G2341" s="430"/>
      <c r="H2341" s="456"/>
      <c r="I2341" s="408"/>
      <c r="J2341" s="400"/>
      <c r="K2341" s="401"/>
      <c r="L2341" s="401"/>
    </row>
    <row r="2342" spans="1:64">
      <c r="A2342" s="454"/>
      <c r="B2342" s="454"/>
      <c r="C2342" s="417" t="s">
        <v>1132</v>
      </c>
      <c r="D2342" s="408">
        <v>0.63</v>
      </c>
      <c r="E2342" s="408" t="s">
        <v>375</v>
      </c>
      <c r="F2342" s="408">
        <f>'[161]Civil-SOR'!$G$293</f>
        <v>580</v>
      </c>
      <c r="G2342" s="430">
        <v>1</v>
      </c>
      <c r="H2342" s="456" t="str">
        <f t="shared" ref="H2342:H2344" si="551">IF(E2342="","",IF(E2342="No.","Each",IF(E2342="Nos.","Each",E2342)))</f>
        <v>Each</v>
      </c>
      <c r="I2342" s="408">
        <f t="shared" ref="I2342:I2346" si="552">IF(G2342="",D2342*F2342,(D2342*F2342/G2342))</f>
        <v>365.4</v>
      </c>
      <c r="J2342" s="400"/>
      <c r="K2342" s="401"/>
      <c r="L2342" s="401"/>
    </row>
    <row r="2343" spans="1:64">
      <c r="A2343" s="454"/>
      <c r="B2343" s="454"/>
      <c r="C2343" s="417" t="s">
        <v>1133</v>
      </c>
      <c r="D2343" s="408">
        <v>1.47</v>
      </c>
      <c r="E2343" s="408" t="s">
        <v>375</v>
      </c>
      <c r="F2343" s="408">
        <f>'[161]Civil-SOR'!$G$302</f>
        <v>550</v>
      </c>
      <c r="G2343" s="430">
        <v>1</v>
      </c>
      <c r="H2343" s="456" t="str">
        <f t="shared" si="551"/>
        <v>Each</v>
      </c>
      <c r="I2343" s="408">
        <f t="shared" si="552"/>
        <v>808.5</v>
      </c>
      <c r="J2343" s="400"/>
      <c r="K2343" s="401"/>
      <c r="L2343" s="401"/>
    </row>
    <row r="2344" spans="1:64">
      <c r="A2344" s="454"/>
      <c r="B2344" s="454"/>
      <c r="C2344" s="417" t="s">
        <v>903</v>
      </c>
      <c r="D2344" s="408">
        <v>3.9</v>
      </c>
      <c r="E2344" s="454" t="s">
        <v>375</v>
      </c>
      <c r="F2344" s="408">
        <f>'[161]Civil-SOR'!$G$307</f>
        <v>520</v>
      </c>
      <c r="G2344" s="430">
        <v>1</v>
      </c>
      <c r="H2344" s="456" t="str">
        <f t="shared" si="551"/>
        <v>Each</v>
      </c>
      <c r="I2344" s="408">
        <f t="shared" si="552"/>
        <v>2028</v>
      </c>
      <c r="J2344" s="400"/>
      <c r="K2344" s="401"/>
      <c r="L2344" s="401"/>
    </row>
    <row r="2345" spans="1:64">
      <c r="A2345" s="454"/>
      <c r="B2345" s="454"/>
      <c r="C2345" s="417" t="str">
        <f>[161]Input!$C$47</f>
        <v>Add for MA @ 40%</v>
      </c>
      <c r="D2345" s="621">
        <f>[161]Input!$D$47</f>
        <v>0.4</v>
      </c>
      <c r="E2345" s="454"/>
      <c r="F2345" s="408">
        <f>SUM(I2342:I2344)</f>
        <v>3201.9</v>
      </c>
      <c r="G2345" s="410"/>
      <c r="H2345" s="426"/>
      <c r="I2345" s="408">
        <f t="shared" si="552"/>
        <v>1280.7600000000002</v>
      </c>
      <c r="J2345" s="400"/>
      <c r="K2345" s="401"/>
      <c r="L2345" s="401"/>
    </row>
    <row r="2346" spans="1:64">
      <c r="A2346" s="454"/>
      <c r="B2346" s="454"/>
      <c r="C2346" s="417" t="s">
        <v>1058</v>
      </c>
      <c r="D2346" s="408">
        <v>0.01</v>
      </c>
      <c r="E2346" s="408"/>
      <c r="F2346" s="408">
        <f>SUM(I2336:I2345)</f>
        <v>5062.9065000000001</v>
      </c>
      <c r="G2346" s="430"/>
      <c r="H2346" s="456"/>
      <c r="I2346" s="408">
        <f t="shared" si="552"/>
        <v>50.629065000000004</v>
      </c>
      <c r="J2346" s="400"/>
      <c r="K2346" s="401"/>
      <c r="L2346" s="401"/>
    </row>
    <row r="2347" spans="1:64" ht="13">
      <c r="A2347" s="454"/>
      <c r="B2347" s="454"/>
      <c r="C2347" s="481" t="s">
        <v>1047</v>
      </c>
      <c r="D2347" s="621"/>
      <c r="E2347" s="454"/>
      <c r="F2347" s="408"/>
      <c r="G2347" s="410"/>
      <c r="H2347" s="426"/>
      <c r="I2347" s="408">
        <f>SUM(I2336:I2346)</f>
        <v>5113.5355650000001</v>
      </c>
      <c r="J2347" s="411"/>
      <c r="K2347" s="412"/>
      <c r="L2347" s="412"/>
      <c r="M2347" s="554"/>
      <c r="N2347" s="554"/>
      <c r="O2347" s="554"/>
      <c r="P2347" s="554"/>
      <c r="Q2347" s="554"/>
      <c r="R2347" s="554"/>
      <c r="S2347" s="554"/>
      <c r="T2347" s="554"/>
      <c r="U2347" s="554"/>
      <c r="V2347" s="554"/>
      <c r="W2347" s="554"/>
      <c r="X2347" s="554"/>
      <c r="Y2347" s="554"/>
      <c r="Z2347" s="554"/>
      <c r="AA2347" s="554"/>
      <c r="AB2347" s="554"/>
      <c r="AC2347" s="554"/>
      <c r="AD2347" s="554"/>
      <c r="AE2347" s="554"/>
      <c r="AF2347" s="554"/>
      <c r="AG2347" s="554"/>
      <c r="AH2347" s="554"/>
      <c r="AI2347" s="554"/>
      <c r="AJ2347" s="554"/>
      <c r="AK2347" s="554"/>
      <c r="AL2347" s="554"/>
      <c r="AM2347" s="554"/>
      <c r="AN2347" s="554"/>
      <c r="AO2347" s="554"/>
      <c r="AP2347" s="554"/>
      <c r="AQ2347" s="554"/>
      <c r="AR2347" s="554"/>
      <c r="AS2347" s="554"/>
      <c r="AT2347" s="554"/>
      <c r="AU2347" s="554"/>
      <c r="AV2347" s="554"/>
      <c r="AW2347" s="554"/>
      <c r="AX2347" s="554"/>
      <c r="AY2347" s="554"/>
      <c r="AZ2347" s="554"/>
      <c r="BA2347" s="554"/>
      <c r="BB2347" s="554"/>
      <c r="BC2347" s="554"/>
      <c r="BD2347" s="554"/>
      <c r="BE2347" s="554"/>
      <c r="BF2347" s="554"/>
      <c r="BG2347" s="554"/>
      <c r="BH2347" s="554"/>
      <c r="BI2347" s="554"/>
      <c r="BJ2347" s="554"/>
      <c r="BK2347" s="554"/>
      <c r="BL2347" s="554"/>
    </row>
    <row r="2348" spans="1:64" ht="13">
      <c r="A2348" s="454"/>
      <c r="B2348" s="454"/>
      <c r="C2348" s="481" t="s">
        <v>845</v>
      </c>
      <c r="D2348" s="408"/>
      <c r="E2348" s="454"/>
      <c r="F2348" s="408"/>
      <c r="G2348" s="430"/>
      <c r="H2348" s="454"/>
      <c r="I2348" s="414">
        <f>ROUND(I2347/10,2)</f>
        <v>511.35</v>
      </c>
      <c r="J2348" s="411"/>
      <c r="K2348" s="412"/>
      <c r="L2348" s="412"/>
      <c r="M2348" s="554"/>
      <c r="N2348" s="554"/>
      <c r="O2348" s="554"/>
      <c r="P2348" s="554"/>
      <c r="Q2348" s="554"/>
      <c r="R2348" s="554"/>
      <c r="S2348" s="554"/>
      <c r="T2348" s="554"/>
      <c r="U2348" s="554"/>
      <c r="V2348" s="554"/>
      <c r="W2348" s="554"/>
      <c r="X2348" s="554"/>
      <c r="Y2348" s="554"/>
      <c r="Z2348" s="554"/>
      <c r="AA2348" s="554"/>
      <c r="AB2348" s="554"/>
      <c r="AC2348" s="554"/>
      <c r="AD2348" s="554"/>
      <c r="AE2348" s="554"/>
      <c r="AF2348" s="554"/>
      <c r="AG2348" s="554"/>
      <c r="AH2348" s="554"/>
      <c r="AI2348" s="554"/>
      <c r="AJ2348" s="554"/>
      <c r="AK2348" s="554"/>
      <c r="AL2348" s="554"/>
      <c r="AM2348" s="554"/>
      <c r="AN2348" s="554"/>
      <c r="AO2348" s="554"/>
      <c r="AP2348" s="554"/>
      <c r="AQ2348" s="554"/>
      <c r="AR2348" s="554"/>
      <c r="AS2348" s="554"/>
      <c r="AT2348" s="554"/>
      <c r="AU2348" s="554"/>
      <c r="AV2348" s="554"/>
      <c r="AW2348" s="554"/>
      <c r="AX2348" s="554"/>
      <c r="AY2348" s="554"/>
      <c r="AZ2348" s="554"/>
      <c r="BA2348" s="554"/>
      <c r="BB2348" s="554"/>
      <c r="BC2348" s="554"/>
      <c r="BD2348" s="554"/>
      <c r="BE2348" s="554"/>
      <c r="BF2348" s="554"/>
      <c r="BG2348" s="554"/>
      <c r="BH2348" s="554"/>
      <c r="BI2348" s="554"/>
      <c r="BJ2348" s="554"/>
      <c r="BK2348" s="554"/>
      <c r="BL2348" s="554"/>
    </row>
    <row r="2349" spans="1:64">
      <c r="A2349" s="454"/>
      <c r="B2349" s="454"/>
      <c r="C2349" s="417"/>
      <c r="D2349" s="408"/>
      <c r="E2349" s="454"/>
      <c r="F2349" s="408"/>
      <c r="G2349" s="430"/>
      <c r="H2349" s="456"/>
      <c r="I2349" s="408"/>
      <c r="J2349" s="400"/>
      <c r="K2349" s="401"/>
      <c r="L2349" s="401"/>
    </row>
    <row r="2350" spans="1:64" ht="13">
      <c r="A2350" s="454"/>
      <c r="B2350" s="454"/>
      <c r="C2350" s="526" t="s">
        <v>1137</v>
      </c>
      <c r="D2350" s="416"/>
      <c r="E2350" s="416"/>
      <c r="F2350" s="416"/>
      <c r="G2350" s="416"/>
      <c r="H2350" s="416"/>
      <c r="I2350" s="414"/>
      <c r="J2350" s="529"/>
      <c r="K2350" s="530"/>
      <c r="L2350" s="531"/>
      <c r="M2350" s="404"/>
      <c r="N2350" s="404"/>
      <c r="O2350" s="404"/>
      <c r="P2350" s="404"/>
      <c r="Q2350" s="404"/>
      <c r="R2350" s="404"/>
      <c r="S2350" s="404"/>
      <c r="T2350" s="404"/>
      <c r="U2350" s="404"/>
      <c r="V2350" s="404"/>
      <c r="W2350" s="404"/>
      <c r="X2350" s="404"/>
      <c r="Y2350" s="404"/>
      <c r="Z2350" s="404"/>
      <c r="AA2350" s="404"/>
      <c r="AB2350" s="404"/>
      <c r="AC2350" s="404"/>
      <c r="AD2350" s="404"/>
      <c r="AE2350" s="404"/>
      <c r="AF2350" s="404"/>
      <c r="AG2350" s="404"/>
      <c r="AH2350" s="404"/>
      <c r="AI2350" s="404"/>
      <c r="AJ2350" s="404"/>
      <c r="AK2350" s="404"/>
      <c r="AL2350" s="404"/>
      <c r="AM2350" s="404"/>
      <c r="AN2350" s="404"/>
      <c r="AO2350" s="404"/>
      <c r="AP2350" s="404"/>
      <c r="AQ2350" s="404"/>
      <c r="AR2350" s="404"/>
      <c r="AS2350" s="404"/>
      <c r="AT2350" s="404"/>
      <c r="AU2350" s="404"/>
      <c r="AV2350" s="404"/>
      <c r="AW2350" s="404"/>
      <c r="AX2350" s="404"/>
      <c r="AY2350" s="404"/>
      <c r="AZ2350" s="404"/>
      <c r="BA2350" s="404"/>
      <c r="BB2350" s="404"/>
      <c r="BC2350" s="404"/>
      <c r="BD2350" s="404"/>
      <c r="BE2350" s="404"/>
      <c r="BF2350" s="404"/>
      <c r="BG2350" s="404"/>
      <c r="BH2350" s="404"/>
      <c r="BI2350" s="404"/>
      <c r="BJ2350" s="404"/>
      <c r="BK2350" s="404"/>
      <c r="BL2350" s="404"/>
    </row>
    <row r="2351" spans="1:64" ht="13">
      <c r="A2351" s="454"/>
      <c r="B2351" s="454"/>
      <c r="C2351" s="427" t="s">
        <v>953</v>
      </c>
      <c r="D2351" s="414" t="s">
        <v>959</v>
      </c>
      <c r="E2351" s="416" t="s">
        <v>943</v>
      </c>
      <c r="F2351" s="415" t="s">
        <v>944</v>
      </c>
      <c r="G2351" s="414" t="s">
        <v>1036</v>
      </c>
      <c r="H2351" s="414" t="s">
        <v>1037</v>
      </c>
      <c r="I2351" s="414" t="s">
        <v>1038</v>
      </c>
      <c r="J2351" s="529"/>
      <c r="K2351" s="530"/>
      <c r="L2351" s="531"/>
      <c r="M2351" s="404"/>
      <c r="N2351" s="404"/>
      <c r="O2351" s="404"/>
      <c r="P2351" s="404"/>
      <c r="Q2351" s="404"/>
      <c r="R2351" s="404"/>
      <c r="S2351" s="404"/>
      <c r="T2351" s="404"/>
      <c r="U2351" s="404"/>
      <c r="V2351" s="404"/>
      <c r="W2351" s="404"/>
      <c r="X2351" s="404"/>
      <c r="Y2351" s="404"/>
      <c r="Z2351" s="404"/>
      <c r="AA2351" s="404"/>
      <c r="AB2351" s="404"/>
      <c r="AC2351" s="404"/>
      <c r="AD2351" s="404"/>
      <c r="AE2351" s="404"/>
      <c r="AF2351" s="404"/>
      <c r="AG2351" s="404"/>
      <c r="AH2351" s="404"/>
      <c r="AI2351" s="404"/>
      <c r="AJ2351" s="404"/>
      <c r="AK2351" s="404"/>
      <c r="AL2351" s="404"/>
      <c r="AM2351" s="404"/>
      <c r="AN2351" s="404"/>
      <c r="AO2351" s="404"/>
      <c r="AP2351" s="404"/>
      <c r="AQ2351" s="404"/>
      <c r="AR2351" s="404"/>
      <c r="AS2351" s="404"/>
      <c r="AT2351" s="404"/>
      <c r="AU2351" s="404"/>
      <c r="AV2351" s="404"/>
      <c r="AW2351" s="404"/>
      <c r="AX2351" s="404"/>
      <c r="AY2351" s="404"/>
      <c r="AZ2351" s="404"/>
      <c r="BA2351" s="404"/>
      <c r="BB2351" s="404"/>
      <c r="BC2351" s="404"/>
      <c r="BD2351" s="404"/>
      <c r="BE2351" s="404"/>
      <c r="BF2351" s="404"/>
      <c r="BG2351" s="404"/>
      <c r="BH2351" s="404"/>
      <c r="BI2351" s="404"/>
      <c r="BJ2351" s="404"/>
      <c r="BK2351" s="404"/>
      <c r="BL2351" s="404"/>
    </row>
    <row r="2352" spans="1:64" ht="13">
      <c r="A2352" s="454"/>
      <c r="B2352" s="454"/>
      <c r="C2352" s="417" t="s">
        <v>1064</v>
      </c>
      <c r="D2352" s="408">
        <f t="shared" ref="D2352:I2352" si="553">$I$2348</f>
        <v>511.35</v>
      </c>
      <c r="E2352" s="408">
        <f t="shared" si="553"/>
        <v>511.35</v>
      </c>
      <c r="F2352" s="408">
        <f t="shared" si="553"/>
        <v>511.35</v>
      </c>
      <c r="G2352" s="408">
        <f t="shared" si="553"/>
        <v>511.35</v>
      </c>
      <c r="H2352" s="408">
        <f t="shared" si="553"/>
        <v>511.35</v>
      </c>
      <c r="I2352" s="408">
        <f t="shared" si="553"/>
        <v>511.35</v>
      </c>
      <c r="J2352" s="529"/>
      <c r="K2352" s="530"/>
      <c r="L2352" s="531"/>
      <c r="M2352" s="404"/>
      <c r="N2352" s="404"/>
      <c r="O2352" s="404"/>
      <c r="P2352" s="404"/>
      <c r="Q2352" s="404"/>
      <c r="R2352" s="404"/>
      <c r="S2352" s="404"/>
      <c r="T2352" s="404"/>
      <c r="U2352" s="404"/>
      <c r="V2352" s="404"/>
      <c r="W2352" s="404"/>
      <c r="X2352" s="404"/>
      <c r="Y2352" s="404"/>
      <c r="Z2352" s="404"/>
      <c r="AA2352" s="404"/>
      <c r="AB2352" s="404"/>
      <c r="AC2352" s="404"/>
      <c r="AD2352" s="404"/>
      <c r="AE2352" s="404"/>
      <c r="AF2352" s="404"/>
      <c r="AG2352" s="404"/>
      <c r="AH2352" s="404"/>
      <c r="AI2352" s="404"/>
      <c r="AJ2352" s="404"/>
      <c r="AK2352" s="404"/>
      <c r="AL2352" s="404"/>
      <c r="AM2352" s="404"/>
      <c r="AN2352" s="404"/>
      <c r="AO2352" s="404"/>
      <c r="AP2352" s="404"/>
      <c r="AQ2352" s="404"/>
      <c r="AR2352" s="404"/>
      <c r="AS2352" s="404"/>
      <c r="AT2352" s="404"/>
      <c r="AU2352" s="404"/>
      <c r="AV2352" s="404"/>
      <c r="AW2352" s="404"/>
      <c r="AX2352" s="404"/>
      <c r="AY2352" s="404"/>
      <c r="AZ2352" s="404"/>
      <c r="BA2352" s="404"/>
      <c r="BB2352" s="404"/>
      <c r="BC2352" s="404"/>
      <c r="BD2352" s="404"/>
      <c r="BE2352" s="404"/>
      <c r="BF2352" s="404"/>
      <c r="BG2352" s="404"/>
      <c r="BH2352" s="404"/>
      <c r="BI2352" s="404"/>
      <c r="BJ2352" s="404"/>
      <c r="BK2352" s="404"/>
      <c r="BL2352" s="404"/>
    </row>
    <row r="2353" spans="1:64" ht="13">
      <c r="A2353" s="454"/>
      <c r="B2353" s="454"/>
      <c r="C2353" s="417" t="s">
        <v>1134</v>
      </c>
      <c r="D2353" s="408">
        <f>'[161]Civil-SOR'!$F$233</f>
        <v>1.17</v>
      </c>
      <c r="E2353" s="408">
        <f>'[161]Civil-SOR'!$F$234</f>
        <v>1.17</v>
      </c>
      <c r="F2353" s="408">
        <f>'[161]Civil-SOR'!$F$235</f>
        <v>1.17</v>
      </c>
      <c r="G2353" s="408">
        <f>'[161]Civil-SOR'!$F$236</f>
        <v>1.17</v>
      </c>
      <c r="H2353" s="408">
        <f>'[161]Civil-SOR'!$F$236</f>
        <v>1.17</v>
      </c>
      <c r="I2353" s="408">
        <f>'[161]Civil-SOR'!$F$236</f>
        <v>1.17</v>
      </c>
      <c r="J2353" s="529"/>
      <c r="K2353" s="530"/>
      <c r="L2353" s="531"/>
      <c r="M2353" s="404"/>
      <c r="N2353" s="404"/>
      <c r="O2353" s="404"/>
      <c r="P2353" s="404"/>
      <c r="Q2353" s="404"/>
      <c r="R2353" s="404"/>
      <c r="S2353" s="404"/>
      <c r="T2353" s="404"/>
      <c r="U2353" s="404"/>
      <c r="V2353" s="404"/>
      <c r="W2353" s="404"/>
      <c r="X2353" s="404"/>
      <c r="Y2353" s="404"/>
      <c r="Z2353" s="404"/>
      <c r="AA2353" s="404"/>
      <c r="AB2353" s="404"/>
      <c r="AC2353" s="404"/>
      <c r="AD2353" s="404"/>
      <c r="AE2353" s="404"/>
      <c r="AF2353" s="404"/>
      <c r="AG2353" s="404"/>
      <c r="AH2353" s="404"/>
      <c r="AI2353" s="404"/>
      <c r="AJ2353" s="404"/>
      <c r="AK2353" s="404"/>
      <c r="AL2353" s="404"/>
      <c r="AM2353" s="404"/>
      <c r="AN2353" s="404"/>
      <c r="AO2353" s="404"/>
      <c r="AP2353" s="404"/>
      <c r="AQ2353" s="404"/>
      <c r="AR2353" s="404"/>
      <c r="AS2353" s="404"/>
      <c r="AT2353" s="404"/>
      <c r="AU2353" s="404"/>
      <c r="AV2353" s="404"/>
      <c r="AW2353" s="404"/>
      <c r="AX2353" s="404"/>
      <c r="AY2353" s="404"/>
      <c r="AZ2353" s="404"/>
      <c r="BA2353" s="404"/>
      <c r="BB2353" s="404"/>
      <c r="BC2353" s="404"/>
      <c r="BD2353" s="404"/>
      <c r="BE2353" s="404"/>
      <c r="BF2353" s="404"/>
      <c r="BG2353" s="404"/>
      <c r="BH2353" s="404"/>
      <c r="BI2353" s="404"/>
      <c r="BJ2353" s="404"/>
      <c r="BK2353" s="404"/>
      <c r="BL2353" s="404"/>
    </row>
    <row r="2354" spans="1:64" ht="13">
      <c r="A2354" s="454"/>
      <c r="B2354" s="454"/>
      <c r="C2354" s="417" t="s">
        <v>1060</v>
      </c>
      <c r="D2354" s="408">
        <f>'[161]Civil-SOR'!$G$233</f>
        <v>9.43</v>
      </c>
      <c r="E2354" s="408">
        <f>'[161]Civil-SOR'!$G$234</f>
        <v>13.56</v>
      </c>
      <c r="F2354" s="408">
        <f>'[161]Civil-SOR'!$G$235</f>
        <v>17.690000000000001</v>
      </c>
      <c r="G2354" s="408">
        <f>'[161]Civil-SOR'!$G$236</f>
        <v>21.82</v>
      </c>
      <c r="H2354" s="408">
        <f>'[161]Civil-SOR'!$G$237</f>
        <v>25.96</v>
      </c>
      <c r="I2354" s="408">
        <f>'[161]Civil-SOR'!$G$238</f>
        <v>30.09</v>
      </c>
      <c r="J2354" s="529"/>
      <c r="K2354" s="530"/>
      <c r="L2354" s="531"/>
      <c r="M2354" s="404"/>
      <c r="N2354" s="404"/>
      <c r="O2354" s="404"/>
      <c r="P2354" s="404"/>
      <c r="Q2354" s="404"/>
      <c r="R2354" s="404"/>
      <c r="S2354" s="404"/>
      <c r="T2354" s="404"/>
      <c r="U2354" s="404"/>
      <c r="V2354" s="404"/>
      <c r="W2354" s="404"/>
      <c r="X2354" s="404"/>
      <c r="Y2354" s="404"/>
      <c r="Z2354" s="404"/>
      <c r="AA2354" s="404"/>
      <c r="AB2354" s="404"/>
      <c r="AC2354" s="404"/>
      <c r="AD2354" s="404"/>
      <c r="AE2354" s="404"/>
      <c r="AF2354" s="404"/>
      <c r="AG2354" s="404"/>
      <c r="AH2354" s="404"/>
      <c r="AI2354" s="404"/>
      <c r="AJ2354" s="404"/>
      <c r="AK2354" s="404"/>
      <c r="AL2354" s="404"/>
      <c r="AM2354" s="404"/>
      <c r="AN2354" s="404"/>
      <c r="AO2354" s="404"/>
      <c r="AP2354" s="404"/>
      <c r="AQ2354" s="404"/>
      <c r="AR2354" s="404"/>
      <c r="AS2354" s="404"/>
      <c r="AT2354" s="404"/>
      <c r="AU2354" s="404"/>
      <c r="AV2354" s="404"/>
      <c r="AW2354" s="404"/>
      <c r="AX2354" s="404"/>
      <c r="AY2354" s="404"/>
      <c r="AZ2354" s="404"/>
      <c r="BA2354" s="404"/>
      <c r="BB2354" s="404"/>
      <c r="BC2354" s="404"/>
      <c r="BD2354" s="404"/>
      <c r="BE2354" s="404"/>
      <c r="BF2354" s="404"/>
      <c r="BG2354" s="404"/>
      <c r="BH2354" s="404"/>
      <c r="BI2354" s="404"/>
      <c r="BJ2354" s="404"/>
      <c r="BK2354" s="404"/>
      <c r="BL2354" s="404"/>
    </row>
    <row r="2355" spans="1:64" ht="13">
      <c r="A2355" s="454"/>
      <c r="B2355" s="454"/>
      <c r="C2355" s="417" t="str">
        <f>[161]Input!$C$47</f>
        <v>Add for MA @ 40%</v>
      </c>
      <c r="D2355" s="408">
        <f>ROUND(D2354*[161]Input!$D$47,2)</f>
        <v>3.77</v>
      </c>
      <c r="E2355" s="408">
        <f>ROUND(E2354*[161]Input!$D$47,2)</f>
        <v>5.42</v>
      </c>
      <c r="F2355" s="408">
        <f>ROUND(F2354*[161]Input!$D$47,2)</f>
        <v>7.08</v>
      </c>
      <c r="G2355" s="408">
        <f>ROUND(G2354*[161]Input!$D$47,2)</f>
        <v>8.73</v>
      </c>
      <c r="H2355" s="408">
        <f>ROUND(H2354*[161]Input!$D$47,2)</f>
        <v>10.38</v>
      </c>
      <c r="I2355" s="408">
        <f>ROUND(I2354*[161]Input!$D$47,2)</f>
        <v>12.04</v>
      </c>
      <c r="J2355" s="529"/>
      <c r="K2355" s="530"/>
      <c r="L2355" s="531"/>
      <c r="M2355" s="404"/>
      <c r="N2355" s="404"/>
      <c r="O2355" s="404"/>
      <c r="P2355" s="404"/>
      <c r="Q2355" s="404"/>
      <c r="R2355" s="404"/>
      <c r="S2355" s="404"/>
      <c r="T2355" s="404"/>
      <c r="U2355" s="404"/>
      <c r="V2355" s="404"/>
      <c r="W2355" s="404"/>
      <c r="X2355" s="404"/>
      <c r="Y2355" s="404"/>
      <c r="Z2355" s="404"/>
      <c r="AA2355" s="404"/>
      <c r="AB2355" s="404"/>
      <c r="AC2355" s="404"/>
      <c r="AD2355" s="404"/>
      <c r="AE2355" s="404"/>
      <c r="AF2355" s="404"/>
      <c r="AG2355" s="404"/>
      <c r="AH2355" s="404"/>
      <c r="AI2355" s="404"/>
      <c r="AJ2355" s="404"/>
      <c r="AK2355" s="404"/>
      <c r="AL2355" s="404"/>
      <c r="AM2355" s="404"/>
      <c r="AN2355" s="404"/>
      <c r="AO2355" s="404"/>
      <c r="AP2355" s="404"/>
      <c r="AQ2355" s="404"/>
      <c r="AR2355" s="404"/>
      <c r="AS2355" s="404"/>
      <c r="AT2355" s="404"/>
      <c r="AU2355" s="404"/>
      <c r="AV2355" s="404"/>
      <c r="AW2355" s="404"/>
      <c r="AX2355" s="404"/>
      <c r="AY2355" s="404"/>
      <c r="AZ2355" s="404"/>
      <c r="BA2355" s="404"/>
      <c r="BB2355" s="404"/>
      <c r="BC2355" s="404"/>
      <c r="BD2355" s="404"/>
      <c r="BE2355" s="404"/>
      <c r="BF2355" s="404"/>
      <c r="BG2355" s="404"/>
      <c r="BH2355" s="404"/>
      <c r="BI2355" s="404"/>
      <c r="BJ2355" s="404"/>
      <c r="BK2355" s="404"/>
      <c r="BL2355" s="404"/>
    </row>
    <row r="2356" spans="1:64" ht="13">
      <c r="A2356" s="454"/>
      <c r="B2356" s="454"/>
      <c r="C2356" s="417" t="s">
        <v>994</v>
      </c>
      <c r="D2356" s="408">
        <v>0</v>
      </c>
      <c r="E2356" s="408">
        <f>ROUND($F$2345/10*10%,2)</f>
        <v>32.020000000000003</v>
      </c>
      <c r="F2356" s="408">
        <f>ROUND($F$2345/10*20%,2)</f>
        <v>64.040000000000006</v>
      </c>
      <c r="G2356" s="408">
        <f>ROUND($F$2345/10*30%,2)</f>
        <v>96.06</v>
      </c>
      <c r="H2356" s="408">
        <f>ROUND($F$2345/10*40%,2)</f>
        <v>128.08000000000001</v>
      </c>
      <c r="I2356" s="408">
        <f>ROUND($F$2345/10*50%,2)</f>
        <v>160.1</v>
      </c>
      <c r="J2356" s="529"/>
      <c r="K2356" s="530"/>
      <c r="L2356" s="531"/>
      <c r="M2356" s="404"/>
      <c r="N2356" s="404"/>
      <c r="O2356" s="404"/>
      <c r="P2356" s="404"/>
      <c r="Q2356" s="404"/>
      <c r="R2356" s="404"/>
      <c r="S2356" s="404"/>
      <c r="T2356" s="404"/>
      <c r="U2356" s="404"/>
      <c r="V2356" s="404"/>
      <c r="W2356" s="404"/>
      <c r="X2356" s="404"/>
      <c r="Y2356" s="404"/>
      <c r="Z2356" s="404"/>
      <c r="AA2356" s="404"/>
      <c r="AB2356" s="404"/>
      <c r="AC2356" s="404"/>
      <c r="AD2356" s="404"/>
      <c r="AE2356" s="404"/>
      <c r="AF2356" s="404"/>
      <c r="AG2356" s="404"/>
      <c r="AH2356" s="404"/>
      <c r="AI2356" s="404"/>
      <c r="AJ2356" s="404"/>
      <c r="AK2356" s="404"/>
      <c r="AL2356" s="404"/>
      <c r="AM2356" s="404"/>
      <c r="AN2356" s="404"/>
      <c r="AO2356" s="404"/>
      <c r="AP2356" s="404"/>
      <c r="AQ2356" s="404"/>
      <c r="AR2356" s="404"/>
      <c r="AS2356" s="404"/>
      <c r="AT2356" s="404"/>
      <c r="AU2356" s="404"/>
      <c r="AV2356" s="404"/>
      <c r="AW2356" s="404"/>
      <c r="AX2356" s="404"/>
      <c r="AY2356" s="404"/>
      <c r="AZ2356" s="404"/>
      <c r="BA2356" s="404"/>
      <c r="BB2356" s="404"/>
      <c r="BC2356" s="404"/>
      <c r="BD2356" s="404"/>
      <c r="BE2356" s="404"/>
      <c r="BF2356" s="404"/>
      <c r="BG2356" s="404"/>
      <c r="BH2356" s="404"/>
      <c r="BI2356" s="404"/>
      <c r="BJ2356" s="404"/>
      <c r="BK2356" s="404"/>
      <c r="BL2356" s="404"/>
    </row>
    <row r="2357" spans="1:64" ht="13">
      <c r="A2357" s="454"/>
      <c r="B2357" s="454"/>
      <c r="C2357" s="417" t="str">
        <f>[161]Input!$C$47</f>
        <v>Add for MA @ 40%</v>
      </c>
      <c r="D2357" s="408">
        <f>D2356*[161]Input!$D$47</f>
        <v>0</v>
      </c>
      <c r="E2357" s="408">
        <f>E2356*[161]Input!$D$47</f>
        <v>12.808000000000002</v>
      </c>
      <c r="F2357" s="408">
        <f>F2356*[161]Input!$D$47</f>
        <v>25.616000000000003</v>
      </c>
      <c r="G2357" s="408">
        <f>G2356*[161]Input!$D$47</f>
        <v>38.424000000000007</v>
      </c>
      <c r="H2357" s="408">
        <f>H2356*[161]Input!$D$47</f>
        <v>51.232000000000006</v>
      </c>
      <c r="I2357" s="408">
        <f>I2356*[161]Input!$D$47</f>
        <v>64.040000000000006</v>
      </c>
      <c r="J2357" s="529"/>
      <c r="K2357" s="530"/>
      <c r="L2357" s="531"/>
      <c r="M2357" s="404"/>
      <c r="N2357" s="404"/>
      <c r="O2357" s="404"/>
      <c r="P2357" s="404"/>
      <c r="Q2357" s="404"/>
      <c r="R2357" s="404"/>
      <c r="S2357" s="404"/>
      <c r="T2357" s="404"/>
      <c r="U2357" s="404"/>
      <c r="V2357" s="404"/>
      <c r="W2357" s="404"/>
      <c r="X2357" s="404"/>
      <c r="Y2357" s="404"/>
      <c r="Z2357" s="404"/>
      <c r="AA2357" s="404"/>
      <c r="AB2357" s="404"/>
      <c r="AC2357" s="404"/>
      <c r="AD2357" s="404"/>
      <c r="AE2357" s="404"/>
      <c r="AF2357" s="404"/>
      <c r="AG2357" s="404"/>
      <c r="AH2357" s="404"/>
      <c r="AI2357" s="404"/>
      <c r="AJ2357" s="404"/>
      <c r="AK2357" s="404"/>
      <c r="AL2357" s="404"/>
      <c r="AM2357" s="404"/>
      <c r="AN2357" s="404"/>
      <c r="AO2357" s="404"/>
      <c r="AP2357" s="404"/>
      <c r="AQ2357" s="404"/>
      <c r="AR2357" s="404"/>
      <c r="AS2357" s="404"/>
      <c r="AT2357" s="404"/>
      <c r="AU2357" s="404"/>
      <c r="AV2357" s="404"/>
      <c r="AW2357" s="404"/>
      <c r="AX2357" s="404"/>
      <c r="AY2357" s="404"/>
      <c r="AZ2357" s="404"/>
      <c r="BA2357" s="404"/>
      <c r="BB2357" s="404"/>
      <c r="BC2357" s="404"/>
      <c r="BD2357" s="404"/>
      <c r="BE2357" s="404"/>
      <c r="BF2357" s="404"/>
      <c r="BG2357" s="404"/>
      <c r="BH2357" s="404"/>
      <c r="BI2357" s="404"/>
      <c r="BJ2357" s="404"/>
      <c r="BK2357" s="404"/>
      <c r="BL2357" s="404"/>
    </row>
    <row r="2358" spans="1:64" ht="13">
      <c r="A2358" s="454"/>
      <c r="B2358" s="454"/>
      <c r="C2358" s="427" t="s">
        <v>845</v>
      </c>
      <c r="D2358" s="408">
        <f t="shared" ref="D2358:I2358" si="554">SUM(D2352:D2357)</f>
        <v>525.71999999999991</v>
      </c>
      <c r="E2358" s="408">
        <f t="shared" si="554"/>
        <v>576.32799999999986</v>
      </c>
      <c r="F2358" s="408">
        <f t="shared" si="554"/>
        <v>626.94600000000003</v>
      </c>
      <c r="G2358" s="408">
        <f t="shared" si="554"/>
        <v>677.55400000000009</v>
      </c>
      <c r="H2358" s="408">
        <f t="shared" si="554"/>
        <v>728.17200000000003</v>
      </c>
      <c r="I2358" s="408">
        <f t="shared" si="554"/>
        <v>778.79</v>
      </c>
      <c r="J2358" s="529"/>
      <c r="K2358" s="530"/>
      <c r="L2358" s="531"/>
      <c r="M2358" s="404"/>
      <c r="N2358" s="404"/>
      <c r="O2358" s="404"/>
      <c r="P2358" s="404"/>
      <c r="Q2358" s="404"/>
      <c r="R2358" s="404"/>
      <c r="S2358" s="404"/>
      <c r="T2358" s="404"/>
      <c r="U2358" s="404"/>
      <c r="V2358" s="404"/>
      <c r="W2358" s="404"/>
      <c r="X2358" s="404"/>
      <c r="Y2358" s="404"/>
      <c r="Z2358" s="404"/>
      <c r="AA2358" s="404"/>
      <c r="AB2358" s="404"/>
      <c r="AC2358" s="404"/>
      <c r="AD2358" s="404"/>
      <c r="AE2358" s="404"/>
      <c r="AF2358" s="404"/>
      <c r="AG2358" s="404"/>
      <c r="AH2358" s="404"/>
      <c r="AI2358" s="404"/>
      <c r="AJ2358" s="404"/>
      <c r="AK2358" s="404"/>
      <c r="AL2358" s="404"/>
      <c r="AM2358" s="404"/>
      <c r="AN2358" s="404"/>
      <c r="AO2358" s="404"/>
      <c r="AP2358" s="404"/>
      <c r="AQ2358" s="404"/>
      <c r="AR2358" s="404"/>
      <c r="AS2358" s="404"/>
      <c r="AT2358" s="404"/>
      <c r="AU2358" s="404"/>
      <c r="AV2358" s="404"/>
      <c r="AW2358" s="404"/>
      <c r="AX2358" s="404"/>
      <c r="AY2358" s="404"/>
      <c r="AZ2358" s="404"/>
      <c r="BA2358" s="404"/>
      <c r="BB2358" s="404"/>
      <c r="BC2358" s="404"/>
      <c r="BD2358" s="404"/>
      <c r="BE2358" s="404"/>
      <c r="BF2358" s="404"/>
      <c r="BG2358" s="404"/>
      <c r="BH2358" s="404"/>
      <c r="BI2358" s="404"/>
      <c r="BJ2358" s="404"/>
      <c r="BK2358" s="404"/>
      <c r="BL2358" s="404"/>
    </row>
    <row r="2359" spans="1:64" ht="25">
      <c r="A2359" s="454"/>
      <c r="B2359" s="454"/>
      <c r="C2359" s="417" t="str">
        <f>[161]Input!$C$48</f>
        <v>Overheads &amp; Contractors Profit @ 13.615%</v>
      </c>
      <c r="D2359" s="408">
        <f>ROUND(D2358*[161]Input!$D$48,2)</f>
        <v>71.58</v>
      </c>
      <c r="E2359" s="408">
        <f>ROUND(E2358*[161]Input!$D$48,2)</f>
        <v>78.47</v>
      </c>
      <c r="F2359" s="408">
        <f>ROUND(F2358*[161]Input!$D$48,2)</f>
        <v>85.36</v>
      </c>
      <c r="G2359" s="408">
        <f>ROUND(G2358*[161]Input!$D$48,2)</f>
        <v>92.25</v>
      </c>
      <c r="H2359" s="408">
        <f>ROUND(H2358*[161]Input!$D$48,2)</f>
        <v>99.14</v>
      </c>
      <c r="I2359" s="408">
        <f>ROUND(I2358*[161]Input!$D$48,2)</f>
        <v>106.03</v>
      </c>
      <c r="J2359" s="529"/>
      <c r="K2359" s="530"/>
      <c r="L2359" s="531"/>
      <c r="M2359" s="404"/>
      <c r="N2359" s="404"/>
      <c r="O2359" s="404"/>
      <c r="P2359" s="404"/>
      <c r="Q2359" s="404"/>
      <c r="R2359" s="404"/>
      <c r="S2359" s="404"/>
      <c r="T2359" s="404"/>
      <c r="U2359" s="404"/>
      <c r="V2359" s="404"/>
      <c r="W2359" s="404"/>
      <c r="X2359" s="404"/>
      <c r="Y2359" s="404"/>
      <c r="Z2359" s="404"/>
      <c r="AA2359" s="404"/>
      <c r="AB2359" s="404"/>
      <c r="AC2359" s="404"/>
      <c r="AD2359" s="404"/>
      <c r="AE2359" s="404"/>
      <c r="AF2359" s="404"/>
      <c r="AG2359" s="404"/>
      <c r="AH2359" s="404"/>
      <c r="AI2359" s="404"/>
      <c r="AJ2359" s="404"/>
      <c r="AK2359" s="404"/>
      <c r="AL2359" s="404"/>
      <c r="AM2359" s="404"/>
      <c r="AN2359" s="404"/>
      <c r="AO2359" s="404"/>
      <c r="AP2359" s="404"/>
      <c r="AQ2359" s="404"/>
      <c r="AR2359" s="404"/>
      <c r="AS2359" s="404"/>
      <c r="AT2359" s="404"/>
      <c r="AU2359" s="404"/>
      <c r="AV2359" s="404"/>
      <c r="AW2359" s="404"/>
      <c r="AX2359" s="404"/>
      <c r="AY2359" s="404"/>
      <c r="AZ2359" s="404"/>
      <c r="BA2359" s="404"/>
      <c r="BB2359" s="404"/>
      <c r="BC2359" s="404"/>
      <c r="BD2359" s="404"/>
      <c r="BE2359" s="404"/>
      <c r="BF2359" s="404"/>
      <c r="BG2359" s="404"/>
      <c r="BH2359" s="404"/>
      <c r="BI2359" s="404"/>
      <c r="BJ2359" s="404"/>
      <c r="BK2359" s="404"/>
      <c r="BL2359" s="404"/>
    </row>
    <row r="2360" spans="1:64" ht="13">
      <c r="A2360" s="454"/>
      <c r="B2360" s="454"/>
      <c r="C2360" s="417"/>
      <c r="D2360" s="408">
        <f t="shared" ref="D2360:I2360" si="555">SUM(D2358:D2359)</f>
        <v>597.29999999999995</v>
      </c>
      <c r="E2360" s="408">
        <f t="shared" si="555"/>
        <v>654.79799999999989</v>
      </c>
      <c r="F2360" s="408">
        <f t="shared" si="555"/>
        <v>712.30600000000004</v>
      </c>
      <c r="G2360" s="408">
        <f t="shared" si="555"/>
        <v>769.80400000000009</v>
      </c>
      <c r="H2360" s="408">
        <f t="shared" si="555"/>
        <v>827.31200000000001</v>
      </c>
      <c r="I2360" s="408">
        <f t="shared" si="555"/>
        <v>884.81999999999994</v>
      </c>
      <c r="J2360" s="529"/>
      <c r="K2360" s="530"/>
      <c r="L2360" s="531"/>
      <c r="M2360" s="404"/>
      <c r="N2360" s="404"/>
      <c r="O2360" s="404"/>
      <c r="P2360" s="404"/>
      <c r="Q2360" s="404"/>
      <c r="R2360" s="404"/>
      <c r="S2360" s="404"/>
      <c r="T2360" s="404"/>
      <c r="U2360" s="404"/>
      <c r="V2360" s="404"/>
      <c r="W2360" s="404"/>
      <c r="X2360" s="404"/>
      <c r="Y2360" s="404"/>
      <c r="Z2360" s="404"/>
      <c r="AA2360" s="404"/>
      <c r="AB2360" s="404"/>
      <c r="AC2360" s="404"/>
      <c r="AD2360" s="404"/>
      <c r="AE2360" s="404"/>
      <c r="AF2360" s="404"/>
      <c r="AG2360" s="404"/>
      <c r="AH2360" s="404"/>
      <c r="AI2360" s="404"/>
      <c r="AJ2360" s="404"/>
      <c r="AK2360" s="404"/>
      <c r="AL2360" s="404"/>
      <c r="AM2360" s="404"/>
      <c r="AN2360" s="404"/>
      <c r="AO2360" s="404"/>
      <c r="AP2360" s="404"/>
      <c r="AQ2360" s="404"/>
      <c r="AR2360" s="404"/>
      <c r="AS2360" s="404"/>
      <c r="AT2360" s="404"/>
      <c r="AU2360" s="404"/>
      <c r="AV2360" s="404"/>
      <c r="AW2360" s="404"/>
      <c r="AX2360" s="404"/>
      <c r="AY2360" s="404"/>
      <c r="AZ2360" s="404"/>
      <c r="BA2360" s="404"/>
      <c r="BB2360" s="404"/>
      <c r="BC2360" s="404"/>
      <c r="BD2360" s="404"/>
      <c r="BE2360" s="404"/>
      <c r="BF2360" s="404"/>
      <c r="BG2360" s="404"/>
      <c r="BH2360" s="404"/>
      <c r="BI2360" s="404"/>
      <c r="BJ2360" s="404"/>
      <c r="BK2360" s="404"/>
      <c r="BL2360" s="404"/>
    </row>
    <row r="2361" spans="1:64" ht="13">
      <c r="A2361" s="454"/>
      <c r="B2361" s="454"/>
      <c r="C2361" s="522" t="s">
        <v>726</v>
      </c>
      <c r="D2361" s="416">
        <f t="shared" ref="D2361:I2361" si="556">ROUND(D2360,0)</f>
        <v>597</v>
      </c>
      <c r="E2361" s="416">
        <f t="shared" si="556"/>
        <v>655</v>
      </c>
      <c r="F2361" s="416">
        <f t="shared" si="556"/>
        <v>712</v>
      </c>
      <c r="G2361" s="416">
        <f t="shared" si="556"/>
        <v>770</v>
      </c>
      <c r="H2361" s="416">
        <f t="shared" si="556"/>
        <v>827</v>
      </c>
      <c r="I2361" s="414">
        <f t="shared" si="556"/>
        <v>885</v>
      </c>
      <c r="J2361" s="529"/>
      <c r="K2361" s="530"/>
      <c r="L2361" s="531"/>
      <c r="M2361" s="404"/>
      <c r="N2361" s="404"/>
      <c r="O2361" s="404"/>
      <c r="P2361" s="404"/>
      <c r="Q2361" s="404"/>
      <c r="R2361" s="404"/>
      <c r="S2361" s="404"/>
      <c r="T2361" s="404"/>
      <c r="U2361" s="404"/>
      <c r="V2361" s="404"/>
      <c r="W2361" s="404"/>
      <c r="X2361" s="404"/>
      <c r="Y2361" s="404"/>
      <c r="Z2361" s="404"/>
      <c r="AA2361" s="404"/>
      <c r="AB2361" s="404"/>
      <c r="AC2361" s="404"/>
      <c r="AD2361" s="404"/>
      <c r="AE2361" s="404"/>
      <c r="AF2361" s="404"/>
      <c r="AG2361" s="404"/>
      <c r="AH2361" s="404"/>
      <c r="AI2361" s="404"/>
      <c r="AJ2361" s="404"/>
      <c r="AK2361" s="404"/>
      <c r="AL2361" s="404"/>
      <c r="AM2361" s="404"/>
      <c r="AN2361" s="404"/>
      <c r="AO2361" s="404"/>
      <c r="AP2361" s="404"/>
      <c r="AQ2361" s="404"/>
      <c r="AR2361" s="404"/>
      <c r="AS2361" s="404"/>
      <c r="AT2361" s="404"/>
      <c r="AU2361" s="404"/>
      <c r="AV2361" s="404"/>
      <c r="AW2361" s="404"/>
      <c r="AX2361" s="404"/>
      <c r="AY2361" s="404"/>
      <c r="AZ2361" s="404"/>
      <c r="BA2361" s="404"/>
      <c r="BB2361" s="404"/>
      <c r="BC2361" s="404"/>
      <c r="BD2361" s="404"/>
      <c r="BE2361" s="404"/>
      <c r="BF2361" s="404"/>
      <c r="BG2361" s="404"/>
      <c r="BH2361" s="404"/>
      <c r="BI2361" s="404"/>
      <c r="BJ2361" s="404"/>
      <c r="BK2361" s="404"/>
      <c r="BL2361" s="404"/>
    </row>
    <row r="2362" spans="1:64" ht="13">
      <c r="A2362" s="454"/>
      <c r="B2362" s="454"/>
      <c r="C2362" s="417"/>
      <c r="D2362" s="408"/>
      <c r="E2362" s="454"/>
      <c r="F2362" s="408"/>
      <c r="G2362" s="430"/>
      <c r="H2362" s="456"/>
      <c r="I2362" s="408"/>
      <c r="J2362" s="529"/>
      <c r="K2362" s="530"/>
      <c r="L2362" s="531"/>
    </row>
    <row r="2363" spans="1:64" ht="13">
      <c r="A2363" s="454"/>
      <c r="B2363" s="454"/>
      <c r="C2363" s="427" t="s">
        <v>953</v>
      </c>
      <c r="D2363" s="414" t="s">
        <v>1118</v>
      </c>
      <c r="E2363" s="414" t="s">
        <v>1119</v>
      </c>
      <c r="F2363" s="414" t="s">
        <v>1120</v>
      </c>
      <c r="G2363" s="430"/>
      <c r="H2363" s="456"/>
      <c r="I2363" s="408"/>
      <c r="J2363" s="400"/>
      <c r="K2363" s="401"/>
      <c r="L2363" s="401"/>
    </row>
    <row r="2364" spans="1:64">
      <c r="A2364" s="454"/>
      <c r="B2364" s="454"/>
      <c r="C2364" s="417" t="s">
        <v>1064</v>
      </c>
      <c r="D2364" s="408">
        <f>$I$2348</f>
        <v>511.35</v>
      </c>
      <c r="E2364" s="408">
        <f>$I$2348</f>
        <v>511.35</v>
      </c>
      <c r="F2364" s="408">
        <f>$I$2348</f>
        <v>511.35</v>
      </c>
      <c r="G2364" s="430"/>
      <c r="H2364" s="456"/>
      <c r="I2364" s="408"/>
      <c r="J2364" s="400"/>
      <c r="K2364" s="401"/>
      <c r="L2364" s="401"/>
    </row>
    <row r="2365" spans="1:64">
      <c r="A2365" s="454"/>
      <c r="B2365" s="454"/>
      <c r="C2365" s="417" t="s">
        <v>1134</v>
      </c>
      <c r="D2365" s="408">
        <f>'[161]Civil-SOR'!$F$236</f>
        <v>1.17</v>
      </c>
      <c r="E2365" s="408">
        <f>'[161]Civil-SOR'!$F$236</f>
        <v>1.17</v>
      </c>
      <c r="F2365" s="408">
        <f>'[161]Civil-SOR'!$F$236</f>
        <v>1.17</v>
      </c>
      <c r="G2365" s="430"/>
      <c r="H2365" s="456"/>
      <c r="I2365" s="408"/>
      <c r="J2365" s="400"/>
      <c r="K2365" s="401"/>
      <c r="L2365" s="401"/>
    </row>
    <row r="2366" spans="1:64">
      <c r="A2366" s="454"/>
      <c r="B2366" s="454"/>
      <c r="C2366" s="417" t="s">
        <v>1060</v>
      </c>
      <c r="D2366" s="408">
        <f>'[161]Civil-SOR'!$G$239</f>
        <v>34.22</v>
      </c>
      <c r="E2366" s="408">
        <f>'[161]Civil-SOR'!$G$240</f>
        <v>38.35</v>
      </c>
      <c r="F2366" s="408">
        <f>'[161]Civil-SOR'!$G$241</f>
        <v>42.48</v>
      </c>
      <c r="G2366" s="430"/>
      <c r="H2366" s="456"/>
      <c r="I2366" s="408"/>
      <c r="J2366" s="400"/>
      <c r="K2366" s="401"/>
      <c r="L2366" s="401"/>
    </row>
    <row r="2367" spans="1:64">
      <c r="A2367" s="454"/>
      <c r="B2367" s="454"/>
      <c r="C2367" s="417" t="str">
        <f>[161]Input!$C$47</f>
        <v>Add for MA @ 40%</v>
      </c>
      <c r="D2367" s="408">
        <f>ROUND(D2366*[161]Input!$D$47,2)</f>
        <v>13.69</v>
      </c>
      <c r="E2367" s="408">
        <f>ROUND(E2366*[161]Input!$D$47,2)</f>
        <v>15.34</v>
      </c>
      <c r="F2367" s="408">
        <f>ROUND(F2366*[161]Input!$D$47,2)</f>
        <v>16.989999999999998</v>
      </c>
      <c r="G2367" s="430"/>
      <c r="H2367" s="456"/>
      <c r="I2367" s="408"/>
      <c r="J2367" s="400"/>
      <c r="K2367" s="401"/>
      <c r="L2367" s="401"/>
    </row>
    <row r="2368" spans="1:64">
      <c r="A2368" s="454"/>
      <c r="B2368" s="454"/>
      <c r="C2368" s="417" t="s">
        <v>994</v>
      </c>
      <c r="D2368" s="408">
        <f>ROUND($F$2345/10*60%,2)</f>
        <v>192.11</v>
      </c>
      <c r="E2368" s="408">
        <f>ROUND($F$2345/10*70%,2)</f>
        <v>224.13</v>
      </c>
      <c r="F2368" s="408">
        <f>ROUND($F$2345/10*80%,2)</f>
        <v>256.14999999999998</v>
      </c>
      <c r="G2368" s="430"/>
      <c r="H2368" s="456"/>
      <c r="I2368" s="408"/>
      <c r="J2368" s="400"/>
      <c r="K2368" s="401"/>
      <c r="L2368" s="401"/>
    </row>
    <row r="2369" spans="1:12">
      <c r="A2369" s="454"/>
      <c r="B2369" s="454"/>
      <c r="C2369" s="417" t="str">
        <f>[161]Input!$C$47</f>
        <v>Add for MA @ 40%</v>
      </c>
      <c r="D2369" s="408">
        <f>D2368*[161]Input!$D$47</f>
        <v>76.844000000000008</v>
      </c>
      <c r="E2369" s="408">
        <f>E2368*[161]Input!$D$47</f>
        <v>89.652000000000001</v>
      </c>
      <c r="F2369" s="408">
        <f>F2368*[161]Input!$D$47</f>
        <v>102.46</v>
      </c>
      <c r="G2369" s="430"/>
      <c r="H2369" s="456"/>
      <c r="I2369" s="408"/>
      <c r="J2369" s="400"/>
      <c r="K2369" s="401"/>
      <c r="L2369" s="401"/>
    </row>
    <row r="2370" spans="1:12" ht="13">
      <c r="A2370" s="454"/>
      <c r="B2370" s="454"/>
      <c r="C2370" s="427" t="s">
        <v>845</v>
      </c>
      <c r="D2370" s="408">
        <f>SUM(D2364:D2369)</f>
        <v>829.38400000000013</v>
      </c>
      <c r="E2370" s="408">
        <f>SUM(E2364:E2369)</f>
        <v>879.99200000000008</v>
      </c>
      <c r="F2370" s="408">
        <f>SUM(F2364:F2369)</f>
        <v>930.6</v>
      </c>
      <c r="G2370" s="430"/>
      <c r="H2370" s="456"/>
      <c r="I2370" s="408"/>
      <c r="J2370" s="400"/>
      <c r="K2370" s="401"/>
      <c r="L2370" s="401"/>
    </row>
    <row r="2371" spans="1:12" ht="25">
      <c r="A2371" s="454"/>
      <c r="B2371" s="454"/>
      <c r="C2371" s="417" t="str">
        <f>[161]Input!$C$48</f>
        <v>Overheads &amp; Contractors Profit @ 13.615%</v>
      </c>
      <c r="D2371" s="408">
        <f>ROUND(D2370*[161]Input!$D$48,2)</f>
        <v>112.92</v>
      </c>
      <c r="E2371" s="408">
        <f>ROUND(E2370*[161]Input!$D$48,2)</f>
        <v>119.81</v>
      </c>
      <c r="F2371" s="408">
        <f>ROUND(F2370*[161]Input!$D$48,2)</f>
        <v>126.7</v>
      </c>
      <c r="G2371" s="430"/>
      <c r="H2371" s="456"/>
      <c r="I2371" s="408"/>
      <c r="J2371" s="400"/>
      <c r="K2371" s="401"/>
      <c r="L2371" s="401"/>
    </row>
    <row r="2372" spans="1:12">
      <c r="A2372" s="454"/>
      <c r="B2372" s="454"/>
      <c r="C2372" s="417"/>
      <c r="D2372" s="408">
        <f>SUM(D2370:D2371)</f>
        <v>942.30400000000009</v>
      </c>
      <c r="E2372" s="408">
        <f>SUM(E2370:E2371)</f>
        <v>999.80200000000013</v>
      </c>
      <c r="F2372" s="408">
        <f>SUM(F2370:F2371)</f>
        <v>1057.3</v>
      </c>
      <c r="G2372" s="430"/>
      <c r="H2372" s="456"/>
      <c r="I2372" s="408"/>
      <c r="J2372" s="400"/>
      <c r="K2372" s="401"/>
      <c r="L2372" s="401"/>
    </row>
    <row r="2373" spans="1:12" ht="13">
      <c r="A2373" s="454"/>
      <c r="B2373" s="454"/>
      <c r="C2373" s="514" t="s">
        <v>726</v>
      </c>
      <c r="D2373" s="416">
        <f>ROUND(D2372,0)</f>
        <v>942</v>
      </c>
      <c r="E2373" s="416">
        <f>ROUND(E2372,0)</f>
        <v>1000</v>
      </c>
      <c r="F2373" s="414">
        <f>ROUND(F2372,0)</f>
        <v>1057</v>
      </c>
      <c r="G2373" s="430"/>
      <c r="H2373" s="456"/>
      <c r="I2373" s="408"/>
      <c r="J2373" s="400"/>
      <c r="K2373" s="401"/>
      <c r="L2373" s="401"/>
    </row>
    <row r="2374" spans="1:12" ht="13">
      <c r="A2374" s="454"/>
      <c r="B2374" s="454"/>
      <c r="C2374" s="514"/>
      <c r="D2374" s="416"/>
      <c r="E2374" s="416"/>
      <c r="F2374" s="414"/>
      <c r="G2374" s="430"/>
      <c r="H2374" s="456"/>
      <c r="I2374" s="408"/>
      <c r="J2374" s="400"/>
      <c r="K2374" s="401"/>
      <c r="L2374" s="401"/>
    </row>
    <row r="2375" spans="1:12" s="404" customFormat="1" ht="66.400000000000006" customHeight="1">
      <c r="A2375" s="454">
        <f>A2331+1</f>
        <v>7</v>
      </c>
      <c r="B2375" s="454"/>
      <c r="C2375" s="1276" t="s">
        <v>1138</v>
      </c>
      <c r="D2375" s="1276"/>
      <c r="E2375" s="1276"/>
      <c r="F2375" s="1276"/>
      <c r="G2375" s="1276"/>
      <c r="H2375" s="1276"/>
      <c r="I2375" s="407"/>
      <c r="J2375" s="400"/>
      <c r="K2375" s="401"/>
      <c r="L2375" s="401"/>
    </row>
    <row r="2376" spans="1:12" s="404" customFormat="1" ht="13">
      <c r="A2376" s="454"/>
      <c r="B2376" s="454"/>
      <c r="C2376" s="455" t="s">
        <v>1126</v>
      </c>
      <c r="D2376" s="408"/>
      <c r="E2376" s="454"/>
      <c r="F2376" s="408"/>
      <c r="G2376" s="430"/>
      <c r="H2376" s="454"/>
      <c r="I2376" s="408"/>
      <c r="J2376" s="400"/>
      <c r="K2376" s="401"/>
      <c r="L2376" s="401"/>
    </row>
    <row r="2377" spans="1:12" s="404" customFormat="1">
      <c r="A2377" s="454"/>
      <c r="B2377" s="454"/>
      <c r="C2377" s="469" t="s">
        <v>1127</v>
      </c>
      <c r="D2377" s="408"/>
      <c r="E2377" s="454"/>
      <c r="F2377" s="408"/>
      <c r="G2377" s="430"/>
      <c r="H2377" s="454"/>
      <c r="I2377" s="408"/>
      <c r="J2377" s="400"/>
      <c r="K2377" s="401"/>
      <c r="L2377" s="401"/>
    </row>
    <row r="2378" spans="1:12" s="404" customFormat="1" ht="13">
      <c r="A2378" s="454"/>
      <c r="B2378" s="454"/>
      <c r="C2378" s="427" t="s">
        <v>873</v>
      </c>
      <c r="D2378" s="408"/>
      <c r="E2378" s="454"/>
      <c r="F2378" s="408"/>
      <c r="G2378" s="430"/>
      <c r="H2378" s="454"/>
      <c r="I2378" s="408"/>
      <c r="J2378" s="400"/>
      <c r="K2378" s="401"/>
      <c r="L2378" s="401"/>
    </row>
    <row r="2379" spans="1:12" s="404" customFormat="1">
      <c r="A2379" s="454"/>
      <c r="B2379" s="454"/>
      <c r="C2379" s="417" t="s">
        <v>504</v>
      </c>
      <c r="D2379" s="408">
        <v>43.2</v>
      </c>
      <c r="E2379" s="408" t="s">
        <v>833</v>
      </c>
      <c r="F2379" s="408">
        <f>[161]LEAD!$N$6</f>
        <v>5200</v>
      </c>
      <c r="G2379" s="430">
        <v>1000</v>
      </c>
      <c r="H2379" s="456" t="str">
        <f t="shared" ref="H2379:H2380" si="557">IF(E2379="","",IF(E2379="No.","Each",IF(E2379="Nos.","Each",E2379)))</f>
        <v>Kgs</v>
      </c>
      <c r="I2379" s="408">
        <f t="shared" ref="I2379:I2380" si="558">IF(G2379="",D2379*F2379,(D2379*F2379/G2379))</f>
        <v>224.64000000000004</v>
      </c>
      <c r="J2379" s="400"/>
      <c r="K2379" s="401"/>
      <c r="L2379" s="401"/>
    </row>
    <row r="2380" spans="1:12" s="404" customFormat="1">
      <c r="A2380" s="454"/>
      <c r="B2380" s="454"/>
      <c r="C2380" s="417" t="s">
        <v>875</v>
      </c>
      <c r="D2380" s="408">
        <v>0.15</v>
      </c>
      <c r="E2380" s="408" t="s">
        <v>1062</v>
      </c>
      <c r="F2380" s="408">
        <f>[161]LEAD!$N$13</f>
        <v>2453.91</v>
      </c>
      <c r="G2380" s="430">
        <v>1</v>
      </c>
      <c r="H2380" s="456" t="str">
        <f t="shared" si="557"/>
        <v>cu.m.</v>
      </c>
      <c r="I2380" s="408">
        <f t="shared" si="558"/>
        <v>368.08649999999994</v>
      </c>
      <c r="J2380" s="400"/>
      <c r="K2380" s="401"/>
      <c r="L2380" s="401"/>
    </row>
    <row r="2381" spans="1:12" s="404" customFormat="1" ht="13">
      <c r="A2381" s="454"/>
      <c r="B2381" s="454"/>
      <c r="C2381" s="427" t="s">
        <v>911</v>
      </c>
      <c r="D2381" s="408"/>
      <c r="E2381" s="454"/>
      <c r="F2381" s="408"/>
      <c r="G2381" s="430"/>
      <c r="H2381" s="456"/>
      <c r="I2381" s="408"/>
      <c r="J2381" s="400"/>
      <c r="K2381" s="401"/>
      <c r="L2381" s="401"/>
    </row>
    <row r="2382" spans="1:12" s="404" customFormat="1">
      <c r="A2382" s="454"/>
      <c r="B2382" s="454"/>
      <c r="C2382" s="417" t="s">
        <v>1132</v>
      </c>
      <c r="D2382" s="408">
        <v>0.6</v>
      </c>
      <c r="E2382" s="408" t="s">
        <v>375</v>
      </c>
      <c r="F2382" s="408">
        <f>'[161]Civil-SOR'!$G$293</f>
        <v>580</v>
      </c>
      <c r="G2382" s="430">
        <v>1</v>
      </c>
      <c r="H2382" s="456" t="str">
        <f t="shared" ref="H2382:H2383" si="559">IF(E2382="","",IF(E2382="No.","Each",IF(E2382="Nos.","Each",E2382)))</f>
        <v>Each</v>
      </c>
      <c r="I2382" s="408">
        <f t="shared" ref="I2382:I2385" si="560">IF(G2382="",D2382*F2382,(D2382*F2382/G2382))</f>
        <v>348</v>
      </c>
      <c r="J2382" s="400"/>
      <c r="K2382" s="401"/>
      <c r="L2382" s="401"/>
    </row>
    <row r="2383" spans="1:12" s="404" customFormat="1">
      <c r="A2383" s="454"/>
      <c r="B2383" s="454"/>
      <c r="C2383" s="417" t="s">
        <v>903</v>
      </c>
      <c r="D2383" s="408">
        <v>0.96</v>
      </c>
      <c r="E2383" s="454" t="s">
        <v>375</v>
      </c>
      <c r="F2383" s="408">
        <f>'[161]Civil-SOR'!$G$307</f>
        <v>520</v>
      </c>
      <c r="G2383" s="430">
        <v>1</v>
      </c>
      <c r="H2383" s="456" t="str">
        <f t="shared" si="559"/>
        <v>Each</v>
      </c>
      <c r="I2383" s="408">
        <f t="shared" si="560"/>
        <v>499.2</v>
      </c>
      <c r="J2383" s="400"/>
      <c r="K2383" s="401"/>
      <c r="L2383" s="401"/>
    </row>
    <row r="2384" spans="1:12" s="404" customFormat="1">
      <c r="A2384" s="454"/>
      <c r="B2384" s="454"/>
      <c r="C2384" s="417" t="str">
        <f>[161]Input!$C$47</f>
        <v>Add for MA @ 40%</v>
      </c>
      <c r="D2384" s="621">
        <f>[161]Input!$D$47</f>
        <v>0.4</v>
      </c>
      <c r="E2384" s="454"/>
      <c r="F2384" s="408">
        <f>SUM(I2382:I2383)</f>
        <v>847.2</v>
      </c>
      <c r="G2384" s="410"/>
      <c r="H2384" s="426"/>
      <c r="I2384" s="408">
        <f t="shared" si="560"/>
        <v>338.88000000000005</v>
      </c>
      <c r="J2384" s="400"/>
      <c r="K2384" s="401"/>
      <c r="L2384" s="401"/>
    </row>
    <row r="2385" spans="1:12" s="404" customFormat="1">
      <c r="A2385" s="454"/>
      <c r="B2385" s="454"/>
      <c r="C2385" s="417" t="s">
        <v>1058</v>
      </c>
      <c r="D2385" s="408">
        <v>0.01</v>
      </c>
      <c r="E2385" s="408"/>
      <c r="F2385" s="408">
        <f>SUM(I2379:I2384)</f>
        <v>1778.8065000000001</v>
      </c>
      <c r="G2385" s="430"/>
      <c r="H2385" s="456"/>
      <c r="I2385" s="408">
        <f t="shared" si="560"/>
        <v>17.788065000000003</v>
      </c>
      <c r="J2385" s="400"/>
      <c r="K2385" s="401"/>
      <c r="L2385" s="401"/>
    </row>
    <row r="2386" spans="1:12" s="413" customFormat="1" ht="13">
      <c r="A2386" s="454"/>
      <c r="B2386" s="454"/>
      <c r="C2386" s="481" t="s">
        <v>1047</v>
      </c>
      <c r="D2386" s="621"/>
      <c r="E2386" s="454"/>
      <c r="F2386" s="408"/>
      <c r="G2386" s="410"/>
      <c r="H2386" s="426"/>
      <c r="I2386" s="414">
        <f>SUM(I2379:I2385)</f>
        <v>1796.5945650000001</v>
      </c>
      <c r="J2386" s="411"/>
      <c r="K2386" s="412"/>
      <c r="L2386" s="412"/>
    </row>
    <row r="2387" spans="1:12" s="413" customFormat="1" ht="13">
      <c r="A2387" s="454"/>
      <c r="B2387" s="454"/>
      <c r="C2387" s="481" t="s">
        <v>845</v>
      </c>
      <c r="D2387" s="408"/>
      <c r="E2387" s="454"/>
      <c r="F2387" s="408"/>
      <c r="G2387" s="430"/>
      <c r="H2387" s="454"/>
      <c r="I2387" s="414">
        <f>ROUND(I2386/10,2)</f>
        <v>179.66</v>
      </c>
      <c r="J2387" s="411"/>
      <c r="K2387" s="412"/>
      <c r="L2387" s="412"/>
    </row>
    <row r="2388" spans="1:12" s="404" customFormat="1" ht="13">
      <c r="A2388" s="454"/>
      <c r="B2388" s="454"/>
      <c r="C2388" s="427"/>
      <c r="D2388" s="408"/>
      <c r="E2388" s="454"/>
      <c r="F2388" s="408"/>
      <c r="G2388" s="430"/>
      <c r="H2388" s="454"/>
      <c r="I2388" s="414"/>
      <c r="J2388" s="400"/>
      <c r="K2388" s="401"/>
      <c r="L2388" s="401"/>
    </row>
    <row r="2389" spans="1:12" s="404" customFormat="1" ht="13">
      <c r="A2389" s="454"/>
      <c r="B2389" s="415" t="s">
        <v>720</v>
      </c>
      <c r="C2389" s="526" t="s">
        <v>1139</v>
      </c>
      <c r="D2389" s="408"/>
      <c r="E2389" s="454"/>
      <c r="F2389" s="408"/>
      <c r="G2389" s="430"/>
      <c r="H2389" s="454"/>
      <c r="I2389" s="414"/>
      <c r="J2389" s="400"/>
      <c r="K2389" s="401"/>
      <c r="L2389" s="401"/>
    </row>
    <row r="2390" spans="1:12" s="404" customFormat="1" ht="13">
      <c r="A2390" s="454"/>
      <c r="B2390" s="454"/>
      <c r="C2390" s="427" t="s">
        <v>845</v>
      </c>
      <c r="D2390" s="408">
        <v>1</v>
      </c>
      <c r="E2390" s="454" t="s">
        <v>17</v>
      </c>
      <c r="F2390" s="408">
        <f>$I$2387</f>
        <v>179.66</v>
      </c>
      <c r="G2390" s="430">
        <v>1</v>
      </c>
      <c r="H2390" s="454" t="s">
        <v>17</v>
      </c>
      <c r="I2390" s="408">
        <f t="shared" ref="I2390:I2391" si="561">IF(G2390="",D2390*F2390,(D2390*F2390/G2390))</f>
        <v>179.66</v>
      </c>
      <c r="J2390" s="400"/>
      <c r="K2390" s="401"/>
      <c r="L2390" s="401"/>
    </row>
    <row r="2391" spans="1:12" s="404" customFormat="1" ht="25">
      <c r="A2391" s="454"/>
      <c r="B2391" s="454"/>
      <c r="C2391" s="417" t="str">
        <f>[161]Input!$C$48</f>
        <v>Overheads &amp; Contractors Profit @ 13.615%</v>
      </c>
      <c r="D2391" s="467">
        <f>[161]Input!$D$48</f>
        <v>0.13614999999999999</v>
      </c>
      <c r="E2391" s="454"/>
      <c r="F2391" s="408">
        <f>I2390</f>
        <v>179.66</v>
      </c>
      <c r="G2391" s="430"/>
      <c r="H2391" s="454"/>
      <c r="I2391" s="408">
        <f t="shared" si="561"/>
        <v>24.460708999999998</v>
      </c>
      <c r="J2391" s="400"/>
      <c r="K2391" s="401"/>
      <c r="L2391" s="401"/>
    </row>
    <row r="2392" spans="1:12" s="404" customFormat="1" ht="13">
      <c r="A2392" s="454"/>
      <c r="B2392" s="454"/>
      <c r="C2392" s="427" t="s">
        <v>845</v>
      </c>
      <c r="D2392" s="408"/>
      <c r="E2392" s="454"/>
      <c r="F2392" s="408"/>
      <c r="G2392" s="430"/>
      <c r="H2392" s="454"/>
      <c r="I2392" s="408">
        <f>SUM(I2390:I2391)</f>
        <v>204.12070900000001</v>
      </c>
      <c r="J2392" s="400"/>
      <c r="K2392" s="401"/>
      <c r="L2392" s="401"/>
    </row>
    <row r="2393" spans="1:12" s="404" customFormat="1" ht="13">
      <c r="A2393" s="454"/>
      <c r="B2393" s="454"/>
      <c r="C2393" s="417"/>
      <c r="D2393" s="408"/>
      <c r="E2393" s="454"/>
      <c r="F2393" s="408"/>
      <c r="G2393" s="430"/>
      <c r="H2393" s="407" t="s">
        <v>774</v>
      </c>
      <c r="I2393" s="414">
        <f>ROUND(I2392,0)</f>
        <v>204</v>
      </c>
      <c r="J2393" s="400"/>
      <c r="K2393" s="401"/>
      <c r="L2393" s="401"/>
    </row>
    <row r="2394" spans="1:12" s="404" customFormat="1" ht="13">
      <c r="A2394" s="454"/>
      <c r="B2394" s="454"/>
      <c r="C2394" s="417"/>
      <c r="D2394" s="408"/>
      <c r="E2394" s="454"/>
      <c r="F2394" s="408"/>
      <c r="G2394" s="430"/>
      <c r="H2394" s="407"/>
      <c r="I2394" s="414"/>
      <c r="J2394" s="400"/>
      <c r="K2394" s="401"/>
      <c r="L2394" s="401"/>
    </row>
    <row r="2395" spans="1:12" s="404" customFormat="1" ht="13">
      <c r="A2395" s="454"/>
      <c r="B2395" s="415" t="s">
        <v>727</v>
      </c>
      <c r="C2395" s="526" t="s">
        <v>1137</v>
      </c>
      <c r="D2395" s="416"/>
      <c r="E2395" s="454"/>
      <c r="F2395" s="408"/>
      <c r="G2395" s="430"/>
      <c r="H2395" s="415"/>
      <c r="I2395" s="414"/>
      <c r="J2395" s="623"/>
      <c r="K2395" s="624"/>
      <c r="L2395" s="531"/>
    </row>
    <row r="2396" spans="1:12" s="404" customFormat="1" ht="13">
      <c r="A2396" s="454"/>
      <c r="B2396" s="454"/>
      <c r="C2396" s="427" t="s">
        <v>953</v>
      </c>
      <c r="D2396" s="414" t="s">
        <v>959</v>
      </c>
      <c r="E2396" s="416" t="s">
        <v>943</v>
      </c>
      <c r="F2396" s="415" t="s">
        <v>944</v>
      </c>
      <c r="G2396" s="414" t="s">
        <v>1036</v>
      </c>
      <c r="H2396" s="414" t="s">
        <v>1037</v>
      </c>
      <c r="I2396" s="414" t="s">
        <v>1038</v>
      </c>
      <c r="J2396" s="657" t="s">
        <v>1118</v>
      </c>
      <c r="K2396" s="631" t="s">
        <v>1119</v>
      </c>
      <c r="L2396" s="631" t="s">
        <v>1120</v>
      </c>
    </row>
    <row r="2397" spans="1:12" s="404" customFormat="1">
      <c r="A2397" s="454"/>
      <c r="B2397" s="454"/>
      <c r="C2397" s="417" t="s">
        <v>1064</v>
      </c>
      <c r="D2397" s="408">
        <f t="shared" ref="D2397:L2397" si="562">$I$2387</f>
        <v>179.66</v>
      </c>
      <c r="E2397" s="408">
        <f t="shared" si="562"/>
        <v>179.66</v>
      </c>
      <c r="F2397" s="408">
        <f t="shared" si="562"/>
        <v>179.66</v>
      </c>
      <c r="G2397" s="408">
        <f t="shared" si="562"/>
        <v>179.66</v>
      </c>
      <c r="H2397" s="408">
        <f t="shared" si="562"/>
        <v>179.66</v>
      </c>
      <c r="I2397" s="408">
        <f t="shared" si="562"/>
        <v>179.66</v>
      </c>
      <c r="J2397" s="575">
        <f t="shared" si="562"/>
        <v>179.66</v>
      </c>
      <c r="K2397" s="644">
        <f t="shared" si="562"/>
        <v>179.66</v>
      </c>
      <c r="L2397" s="644">
        <f t="shared" si="562"/>
        <v>179.66</v>
      </c>
    </row>
    <row r="2398" spans="1:12" s="404" customFormat="1">
      <c r="A2398" s="454"/>
      <c r="B2398" s="454"/>
      <c r="C2398" s="417" t="s">
        <v>1134</v>
      </c>
      <c r="D2398" s="409">
        <f>'[161]Civil-SOR'!$F$233</f>
        <v>1.17</v>
      </c>
      <c r="E2398" s="409">
        <f>'[161]Civil-SOR'!$F$234</f>
        <v>1.17</v>
      </c>
      <c r="F2398" s="409">
        <f>'[161]Civil-SOR'!$F$235</f>
        <v>1.17</v>
      </c>
      <c r="G2398" s="409">
        <f>'[161]Civil-SOR'!$F$236</f>
        <v>1.17</v>
      </c>
      <c r="H2398" s="409">
        <f>'[161]Civil-SOR'!$F$236</f>
        <v>1.17</v>
      </c>
      <c r="I2398" s="409">
        <f>'[161]Civil-SOR'!$F$236</f>
        <v>1.17</v>
      </c>
      <c r="J2398" s="662">
        <f>'[161]Civil-SOR'!$F$236</f>
        <v>1.17</v>
      </c>
      <c r="K2398" s="663">
        <f>'[161]Civil-SOR'!$F$236</f>
        <v>1.17</v>
      </c>
      <c r="L2398" s="663">
        <f>'[161]Civil-SOR'!$F$236</f>
        <v>1.17</v>
      </c>
    </row>
    <row r="2399" spans="1:12" s="404" customFormat="1">
      <c r="A2399" s="454"/>
      <c r="B2399" s="454"/>
      <c r="C2399" s="417" t="s">
        <v>1060</v>
      </c>
      <c r="D2399" s="408">
        <f>'[161]Civil-SOR'!$G$233</f>
        <v>9.43</v>
      </c>
      <c r="E2399" s="408">
        <f>'[161]Civil-SOR'!$G$234</f>
        <v>13.56</v>
      </c>
      <c r="F2399" s="408">
        <f>'[161]Civil-SOR'!$G$235</f>
        <v>17.690000000000001</v>
      </c>
      <c r="G2399" s="408">
        <f>'[161]Civil-SOR'!$G$236</f>
        <v>21.82</v>
      </c>
      <c r="H2399" s="408">
        <f>'[161]Civil-SOR'!$G$237</f>
        <v>25.96</v>
      </c>
      <c r="I2399" s="408">
        <f>'[161]Civil-SOR'!$G$238</f>
        <v>30.09</v>
      </c>
      <c r="J2399" s="658">
        <f>'[161]Civil-SOR'!$G$239</f>
        <v>34.22</v>
      </c>
      <c r="K2399" s="659">
        <f>'[161]Civil-SOR'!$G$240</f>
        <v>38.35</v>
      </c>
      <c r="L2399" s="659">
        <f>'[161]Civil-SOR'!$G$241</f>
        <v>42.48</v>
      </c>
    </row>
    <row r="2400" spans="1:12" s="404" customFormat="1">
      <c r="A2400" s="454"/>
      <c r="B2400" s="454"/>
      <c r="C2400" s="417" t="str">
        <f>[161]Input!$C$47</f>
        <v>Add for MA @ 40%</v>
      </c>
      <c r="D2400" s="408">
        <f>D2399*[161]Input!$D$47</f>
        <v>3.7720000000000002</v>
      </c>
      <c r="E2400" s="408">
        <f>E2399*[161]Input!$D$47</f>
        <v>5.4240000000000004</v>
      </c>
      <c r="F2400" s="408">
        <f>F2399*[161]Input!$D$47</f>
        <v>7.0760000000000005</v>
      </c>
      <c r="G2400" s="408">
        <f>G2399*[161]Input!$D$47</f>
        <v>8.7279999999999998</v>
      </c>
      <c r="H2400" s="408">
        <f>H2399*[161]Input!$D$47</f>
        <v>10.384</v>
      </c>
      <c r="I2400" s="408">
        <f>I2399*[161]Input!$D$47</f>
        <v>12.036000000000001</v>
      </c>
      <c r="J2400" s="575">
        <f>J2399*[161]Input!$D$47</f>
        <v>13.688000000000001</v>
      </c>
      <c r="K2400" s="644">
        <f>K2399*[161]Input!$D$47</f>
        <v>15.340000000000002</v>
      </c>
      <c r="L2400" s="644">
        <f>L2399*[161]Input!$D$47</f>
        <v>16.992000000000001</v>
      </c>
    </row>
    <row r="2401" spans="1:12" s="404" customFormat="1">
      <c r="A2401" s="454"/>
      <c r="B2401" s="454"/>
      <c r="C2401" s="417" t="s">
        <v>994</v>
      </c>
      <c r="D2401" s="408">
        <v>0</v>
      </c>
      <c r="E2401" s="408">
        <f>ROUND($F$2384/10*10%,2)</f>
        <v>8.4700000000000006</v>
      </c>
      <c r="F2401" s="408">
        <f>ROUND($F$2384/10*20%,2)</f>
        <v>16.940000000000001</v>
      </c>
      <c r="G2401" s="408">
        <f>ROUND($F$2384/10*30%,2)</f>
        <v>25.42</v>
      </c>
      <c r="H2401" s="408">
        <f>ROUND($F$2384/10*40%,2)</f>
        <v>33.89</v>
      </c>
      <c r="I2401" s="408">
        <f>ROUND($F$2384/10*50%,2)</f>
        <v>42.36</v>
      </c>
      <c r="J2401" s="575">
        <f>ROUND($F$2384/10*60%,2)</f>
        <v>50.83</v>
      </c>
      <c r="K2401" s="644">
        <f>ROUND($F$2384/10*70%,2)</f>
        <v>59.3</v>
      </c>
      <c r="L2401" s="644">
        <f>ROUND($F$2384/10*80%,2)</f>
        <v>67.78</v>
      </c>
    </row>
    <row r="2402" spans="1:12" s="404" customFormat="1">
      <c r="A2402" s="454"/>
      <c r="B2402" s="454"/>
      <c r="C2402" s="417" t="str">
        <f>[161]Input!$C$47</f>
        <v>Add for MA @ 40%</v>
      </c>
      <c r="D2402" s="408">
        <f>D2401*[161]Input!$D$47</f>
        <v>0</v>
      </c>
      <c r="E2402" s="408">
        <f>E2401*[161]Input!$D$47</f>
        <v>3.3880000000000003</v>
      </c>
      <c r="F2402" s="408">
        <f>F2401*[161]Input!$D$47</f>
        <v>6.7760000000000007</v>
      </c>
      <c r="G2402" s="408">
        <f>G2401*[161]Input!$D$47</f>
        <v>10.168000000000001</v>
      </c>
      <c r="H2402" s="408">
        <f>H2401*[161]Input!$D$47</f>
        <v>13.556000000000001</v>
      </c>
      <c r="I2402" s="408">
        <f>I2401*[161]Input!$D$47</f>
        <v>16.943999999999999</v>
      </c>
      <c r="J2402" s="575">
        <f>J2401*[161]Input!$D$47</f>
        <v>20.332000000000001</v>
      </c>
      <c r="K2402" s="644">
        <f>K2401*[161]Input!$D$47</f>
        <v>23.72</v>
      </c>
      <c r="L2402" s="644">
        <f>L2401*[161]Input!$D$47</f>
        <v>27.112000000000002</v>
      </c>
    </row>
    <row r="2403" spans="1:12" s="404" customFormat="1" ht="13">
      <c r="A2403" s="454"/>
      <c r="B2403" s="454"/>
      <c r="C2403" s="469"/>
      <c r="D2403" s="414">
        <f t="shared" ref="D2403:L2403" si="563">SUM(D2397:D2402)</f>
        <v>194.03199999999998</v>
      </c>
      <c r="E2403" s="414">
        <f t="shared" si="563"/>
        <v>211.672</v>
      </c>
      <c r="F2403" s="414">
        <f t="shared" si="563"/>
        <v>229.31199999999998</v>
      </c>
      <c r="G2403" s="414">
        <f t="shared" si="563"/>
        <v>246.96600000000001</v>
      </c>
      <c r="H2403" s="414">
        <f t="shared" si="563"/>
        <v>264.61999999999995</v>
      </c>
      <c r="I2403" s="414">
        <f t="shared" si="563"/>
        <v>282.26</v>
      </c>
      <c r="J2403" s="657">
        <f t="shared" si="563"/>
        <v>299.89999999999998</v>
      </c>
      <c r="K2403" s="631">
        <f t="shared" si="563"/>
        <v>317.53999999999996</v>
      </c>
      <c r="L2403" s="631">
        <f t="shared" si="563"/>
        <v>335.19400000000002</v>
      </c>
    </row>
    <row r="2404" spans="1:12" s="404" customFormat="1" ht="25">
      <c r="A2404" s="454"/>
      <c r="B2404" s="454"/>
      <c r="C2404" s="417" t="str">
        <f>[161]Input!$C$48</f>
        <v>Overheads &amp; Contractors Profit @ 13.615%</v>
      </c>
      <c r="D2404" s="408">
        <f>ROUND(D2403*[161]Input!$D$48,2)</f>
        <v>26.42</v>
      </c>
      <c r="E2404" s="408">
        <f>ROUND(E2403*[161]Input!$D$48,2)</f>
        <v>28.82</v>
      </c>
      <c r="F2404" s="408">
        <f>ROUND(F2403*[161]Input!$D$48,2)</f>
        <v>31.22</v>
      </c>
      <c r="G2404" s="408">
        <f>ROUND(G2403*[161]Input!$D$48,2)</f>
        <v>33.619999999999997</v>
      </c>
      <c r="H2404" s="408">
        <f>ROUND(H2403*[161]Input!$D$48,2)</f>
        <v>36.03</v>
      </c>
      <c r="I2404" s="408">
        <f>ROUND(I2403*[161]Input!$D$48,2)</f>
        <v>38.43</v>
      </c>
      <c r="J2404" s="575">
        <f>ROUND(J2403*[161]Input!$D$48,2)</f>
        <v>40.83</v>
      </c>
      <c r="K2404" s="644">
        <f>ROUND(K2403*[161]Input!$D$48,2)</f>
        <v>43.23</v>
      </c>
      <c r="L2404" s="644">
        <f>ROUND(L2403*[161]Input!$D$48,2)</f>
        <v>45.64</v>
      </c>
    </row>
    <row r="2405" spans="1:12" s="413" customFormat="1" ht="13">
      <c r="A2405" s="454"/>
      <c r="B2405" s="454"/>
      <c r="C2405" s="481" t="s">
        <v>845</v>
      </c>
      <c r="D2405" s="414">
        <f t="shared" ref="D2405:L2405" si="564">SUM(D2403:D2404)</f>
        <v>220.452</v>
      </c>
      <c r="E2405" s="414">
        <f t="shared" si="564"/>
        <v>240.49199999999999</v>
      </c>
      <c r="F2405" s="414">
        <f t="shared" si="564"/>
        <v>260.53199999999998</v>
      </c>
      <c r="G2405" s="414">
        <f t="shared" si="564"/>
        <v>280.58600000000001</v>
      </c>
      <c r="H2405" s="414">
        <f t="shared" si="564"/>
        <v>300.64999999999998</v>
      </c>
      <c r="I2405" s="414">
        <f t="shared" si="564"/>
        <v>320.69</v>
      </c>
      <c r="J2405" s="638">
        <f t="shared" si="564"/>
        <v>340.72999999999996</v>
      </c>
      <c r="K2405" s="636">
        <f t="shared" si="564"/>
        <v>360.77</v>
      </c>
      <c r="L2405" s="636">
        <f t="shared" si="564"/>
        <v>380.834</v>
      </c>
    </row>
    <row r="2406" spans="1:12" s="413" customFormat="1" ht="13">
      <c r="A2406" s="454"/>
      <c r="B2406" s="454"/>
      <c r="C2406" s="522" t="s">
        <v>726</v>
      </c>
      <c r="D2406" s="416">
        <f t="shared" ref="D2406:L2406" si="565">ROUND(D2405,0)</f>
        <v>220</v>
      </c>
      <c r="E2406" s="416">
        <f t="shared" si="565"/>
        <v>240</v>
      </c>
      <c r="F2406" s="416">
        <f t="shared" si="565"/>
        <v>261</v>
      </c>
      <c r="G2406" s="416">
        <f t="shared" si="565"/>
        <v>281</v>
      </c>
      <c r="H2406" s="416">
        <f t="shared" si="565"/>
        <v>301</v>
      </c>
      <c r="I2406" s="416">
        <f t="shared" si="565"/>
        <v>321</v>
      </c>
      <c r="J2406" s="533">
        <f t="shared" si="565"/>
        <v>341</v>
      </c>
      <c r="K2406" s="534">
        <f t="shared" si="565"/>
        <v>361</v>
      </c>
      <c r="L2406" s="534">
        <f t="shared" si="565"/>
        <v>381</v>
      </c>
    </row>
    <row r="2407" spans="1:12" s="404" customFormat="1" ht="13">
      <c r="A2407" s="454"/>
      <c r="B2407" s="454"/>
      <c r="C2407" s="417"/>
      <c r="D2407" s="416"/>
      <c r="E2407" s="454"/>
      <c r="F2407" s="408"/>
      <c r="G2407" s="430"/>
      <c r="H2407" s="415"/>
      <c r="I2407" s="414"/>
      <c r="J2407" s="400"/>
      <c r="K2407" s="401"/>
      <c r="L2407" s="401"/>
    </row>
    <row r="2408" spans="1:12" s="404" customFormat="1" ht="80.650000000000006" customHeight="1">
      <c r="A2408" s="454">
        <v>7</v>
      </c>
      <c r="B2408" s="454"/>
      <c r="C2408" s="1276" t="s">
        <v>1140</v>
      </c>
      <c r="D2408" s="1276"/>
      <c r="E2408" s="1276"/>
      <c r="F2408" s="1276"/>
      <c r="G2408" s="1276"/>
      <c r="H2408" s="1276"/>
      <c r="I2408" s="407"/>
      <c r="J2408" s="400"/>
      <c r="K2408" s="401"/>
      <c r="L2408" s="401"/>
    </row>
    <row r="2409" spans="1:12" s="404" customFormat="1" ht="13">
      <c r="A2409" s="454"/>
      <c r="B2409" s="454"/>
      <c r="C2409" s="455" t="s">
        <v>1141</v>
      </c>
      <c r="D2409" s="408"/>
      <c r="E2409" s="454"/>
      <c r="F2409" s="408"/>
      <c r="G2409" s="430"/>
      <c r="H2409" s="454"/>
      <c r="I2409" s="408"/>
      <c r="J2409" s="400"/>
      <c r="K2409" s="401"/>
      <c r="L2409" s="401"/>
    </row>
    <row r="2410" spans="1:12" s="404" customFormat="1">
      <c r="A2410" s="454"/>
      <c r="B2410" s="454"/>
      <c r="C2410" s="469" t="s">
        <v>1127</v>
      </c>
      <c r="D2410" s="408"/>
      <c r="E2410" s="454"/>
      <c r="F2410" s="408"/>
      <c r="G2410" s="430"/>
      <c r="H2410" s="454"/>
      <c r="I2410" s="408"/>
      <c r="J2410" s="400"/>
      <c r="K2410" s="401"/>
      <c r="L2410" s="401"/>
    </row>
    <row r="2411" spans="1:12" s="404" customFormat="1" ht="13">
      <c r="A2411" s="454"/>
      <c r="B2411" s="454"/>
      <c r="C2411" s="427" t="s">
        <v>873</v>
      </c>
      <c r="D2411" s="408"/>
      <c r="E2411" s="454"/>
      <c r="F2411" s="408"/>
      <c r="G2411" s="430"/>
      <c r="H2411" s="454"/>
      <c r="I2411" s="408"/>
      <c r="J2411" s="400"/>
      <c r="K2411" s="401"/>
      <c r="L2411" s="401"/>
    </row>
    <row r="2412" spans="1:12" s="404" customFormat="1" ht="13">
      <c r="A2412" s="454"/>
      <c r="B2412" s="454"/>
      <c r="C2412" s="427" t="s">
        <v>1142</v>
      </c>
      <c r="D2412" s="408"/>
      <c r="E2412" s="454"/>
      <c r="F2412" s="408"/>
      <c r="G2412" s="430"/>
      <c r="H2412" s="454"/>
      <c r="I2412" s="408"/>
      <c r="J2412" s="400"/>
      <c r="K2412" s="401"/>
      <c r="L2412" s="401"/>
    </row>
    <row r="2413" spans="1:12" s="404" customFormat="1">
      <c r="A2413" s="454"/>
      <c r="B2413" s="454"/>
      <c r="C2413" s="417" t="s">
        <v>1129</v>
      </c>
      <c r="D2413" s="408">
        <v>43.2</v>
      </c>
      <c r="E2413" s="454" t="s">
        <v>833</v>
      </c>
      <c r="F2413" s="408">
        <f>[161]LEAD!$N$6</f>
        <v>5200</v>
      </c>
      <c r="G2413" s="430">
        <v>1000</v>
      </c>
      <c r="H2413" s="456" t="str">
        <f t="shared" ref="H2413:H2414" si="566">IF(E2413="","",IF(E2413="No.","Each",IF(E2413="Nos.","Each",E2413)))</f>
        <v>Kgs</v>
      </c>
      <c r="I2413" s="408">
        <f t="shared" ref="I2413:I2414" si="567">IF(G2413="",D2413*F2413,(D2413*F2413/G2413))</f>
        <v>224.64000000000004</v>
      </c>
      <c r="J2413" s="400"/>
      <c r="K2413" s="401"/>
      <c r="L2413" s="401"/>
    </row>
    <row r="2414" spans="1:12" s="404" customFormat="1">
      <c r="A2414" s="454"/>
      <c r="B2414" s="454"/>
      <c r="C2414" s="417" t="s">
        <v>1130</v>
      </c>
      <c r="D2414" s="408">
        <v>0.18</v>
      </c>
      <c r="E2414" s="454" t="s">
        <v>57</v>
      </c>
      <c r="F2414" s="408">
        <f>[161]LEAD!$N$13</f>
        <v>2453.91</v>
      </c>
      <c r="G2414" s="430">
        <v>1</v>
      </c>
      <c r="H2414" s="456" t="str">
        <f t="shared" si="566"/>
        <v>Cum</v>
      </c>
      <c r="I2414" s="408">
        <f t="shared" si="567"/>
        <v>441.70379999999994</v>
      </c>
      <c r="J2414" s="400"/>
      <c r="K2414" s="401"/>
      <c r="L2414" s="401"/>
    </row>
    <row r="2415" spans="1:12" s="404" customFormat="1" ht="13">
      <c r="A2415" s="454"/>
      <c r="B2415" s="454"/>
      <c r="C2415" s="427" t="s">
        <v>1143</v>
      </c>
      <c r="D2415" s="408"/>
      <c r="E2415" s="454"/>
      <c r="F2415" s="408"/>
      <c r="G2415" s="430"/>
      <c r="H2415" s="456"/>
      <c r="I2415" s="408"/>
      <c r="J2415" s="400"/>
      <c r="K2415" s="401"/>
      <c r="L2415" s="401"/>
    </row>
    <row r="2416" spans="1:12" s="404" customFormat="1">
      <c r="A2416" s="454"/>
      <c r="B2416" s="454"/>
      <c r="C2416" s="417" t="s">
        <v>1129</v>
      </c>
      <c r="D2416" s="408">
        <v>14.4</v>
      </c>
      <c r="E2416" s="454" t="s">
        <v>833</v>
      </c>
      <c r="F2416" s="408">
        <f>[161]LEAD!$N$6</f>
        <v>5200</v>
      </c>
      <c r="G2416" s="430">
        <v>1000</v>
      </c>
      <c r="H2416" s="456" t="str">
        <f t="shared" ref="H2416:H2417" si="568">IF(E2416="","",IF(E2416="No.","Each",IF(E2416="Nos.","Each",E2416)))</f>
        <v>Kgs</v>
      </c>
      <c r="I2416" s="408">
        <f t="shared" ref="I2416:I2417" si="569">IF(G2416="",D2416*F2416,(D2416*F2416/G2416))</f>
        <v>74.88</v>
      </c>
      <c r="J2416" s="400"/>
      <c r="K2416" s="401"/>
      <c r="L2416" s="401"/>
    </row>
    <row r="2417" spans="1:18" s="404" customFormat="1">
      <c r="A2417" s="454"/>
      <c r="B2417" s="454"/>
      <c r="C2417" s="417" t="s">
        <v>1130</v>
      </c>
      <c r="D2417" s="408">
        <v>0.04</v>
      </c>
      <c r="E2417" s="454" t="s">
        <v>57</v>
      </c>
      <c r="F2417" s="408">
        <f>[161]LEAD!$N$13</f>
        <v>2453.91</v>
      </c>
      <c r="G2417" s="430">
        <v>1</v>
      </c>
      <c r="H2417" s="456" t="str">
        <f t="shared" si="568"/>
        <v>Cum</v>
      </c>
      <c r="I2417" s="408">
        <f t="shared" si="569"/>
        <v>98.156399999999991</v>
      </c>
      <c r="J2417" s="400"/>
      <c r="K2417" s="401"/>
      <c r="L2417" s="401"/>
    </row>
    <row r="2418" spans="1:18" s="404" customFormat="1" ht="13">
      <c r="A2418" s="454"/>
      <c r="B2418" s="454"/>
      <c r="C2418" s="427" t="s">
        <v>911</v>
      </c>
      <c r="D2418" s="408"/>
      <c r="E2418" s="454"/>
      <c r="F2418" s="408"/>
      <c r="G2418" s="430"/>
      <c r="H2418" s="456"/>
      <c r="I2418" s="408"/>
      <c r="J2418" s="400"/>
      <c r="K2418" s="401"/>
      <c r="L2418" s="401"/>
    </row>
    <row r="2419" spans="1:18" s="404" customFormat="1">
      <c r="A2419" s="454"/>
      <c r="B2419" s="454"/>
      <c r="C2419" s="417" t="s">
        <v>1132</v>
      </c>
      <c r="D2419" s="408">
        <v>0.63</v>
      </c>
      <c r="E2419" s="408" t="s">
        <v>375</v>
      </c>
      <c r="F2419" s="408">
        <f>'[161]Civil-SOR'!$G$293</f>
        <v>580</v>
      </c>
      <c r="G2419" s="430">
        <v>1</v>
      </c>
      <c r="H2419" s="456" t="str">
        <f t="shared" ref="H2419:H2421" si="570">IF(E2419="","",IF(E2419="No.","Each",IF(E2419="Nos.","Each",E2419)))</f>
        <v>Each</v>
      </c>
      <c r="I2419" s="408">
        <f t="shared" ref="I2419:I2423" si="571">IF(G2419="",D2419*F2419,(D2419*F2419/G2419))</f>
        <v>365.4</v>
      </c>
      <c r="J2419" s="400"/>
      <c r="K2419" s="401"/>
      <c r="L2419" s="401"/>
    </row>
    <row r="2420" spans="1:18" s="404" customFormat="1">
      <c r="A2420" s="454"/>
      <c r="B2420" s="454"/>
      <c r="C2420" s="417" t="s">
        <v>1133</v>
      </c>
      <c r="D2420" s="408">
        <v>1.47</v>
      </c>
      <c r="E2420" s="408" t="s">
        <v>375</v>
      </c>
      <c r="F2420" s="408">
        <f>'[161]Civil-SOR'!$G$302</f>
        <v>550</v>
      </c>
      <c r="G2420" s="430">
        <v>1</v>
      </c>
      <c r="H2420" s="456" t="str">
        <f t="shared" si="570"/>
        <v>Each</v>
      </c>
      <c r="I2420" s="408">
        <f t="shared" si="571"/>
        <v>808.5</v>
      </c>
      <c r="J2420" s="400"/>
      <c r="K2420" s="401"/>
      <c r="L2420" s="401"/>
    </row>
    <row r="2421" spans="1:18" s="404" customFormat="1">
      <c r="A2421" s="454"/>
      <c r="B2421" s="454"/>
      <c r="C2421" s="417" t="s">
        <v>903</v>
      </c>
      <c r="D2421" s="408">
        <v>3.9</v>
      </c>
      <c r="E2421" s="454" t="s">
        <v>375</v>
      </c>
      <c r="F2421" s="408">
        <f>'[161]Civil-SOR'!$G$307</f>
        <v>520</v>
      </c>
      <c r="G2421" s="430">
        <v>1</v>
      </c>
      <c r="H2421" s="456" t="str">
        <f t="shared" si="570"/>
        <v>Each</v>
      </c>
      <c r="I2421" s="408">
        <f t="shared" si="571"/>
        <v>2028</v>
      </c>
      <c r="J2421" s="400"/>
      <c r="K2421" s="401"/>
      <c r="L2421" s="401"/>
    </row>
    <row r="2422" spans="1:18" s="404" customFormat="1">
      <c r="A2422" s="454"/>
      <c r="B2422" s="454"/>
      <c r="C2422" s="417" t="str">
        <f>[161]Input!$C$47</f>
        <v>Add for MA @ 40%</v>
      </c>
      <c r="D2422" s="621">
        <f>[161]Input!$D$47</f>
        <v>0.4</v>
      </c>
      <c r="E2422" s="454"/>
      <c r="F2422" s="408">
        <f>SUM(I2419:I2421)</f>
        <v>3201.9</v>
      </c>
      <c r="G2422" s="410"/>
      <c r="H2422" s="426"/>
      <c r="I2422" s="408">
        <f t="shared" si="571"/>
        <v>1280.7600000000002</v>
      </c>
      <c r="J2422" s="400"/>
      <c r="K2422" s="401"/>
      <c r="L2422" s="401"/>
    </row>
    <row r="2423" spans="1:18" s="404" customFormat="1">
      <c r="A2423" s="454"/>
      <c r="B2423" s="454"/>
      <c r="C2423" s="417" t="s">
        <v>1058</v>
      </c>
      <c r="D2423" s="408">
        <v>0.01</v>
      </c>
      <c r="E2423" s="408"/>
      <c r="F2423" s="408">
        <f>SUM(I2413:I2422)</f>
        <v>5322.0402000000004</v>
      </c>
      <c r="G2423" s="430"/>
      <c r="H2423" s="456"/>
      <c r="I2423" s="408">
        <f t="shared" si="571"/>
        <v>53.220402000000007</v>
      </c>
      <c r="J2423" s="400"/>
      <c r="K2423" s="401"/>
      <c r="L2423" s="401"/>
    </row>
    <row r="2424" spans="1:18" s="404" customFormat="1" ht="13">
      <c r="A2424" s="454"/>
      <c r="B2424" s="454"/>
      <c r="C2424" s="427" t="s">
        <v>1047</v>
      </c>
      <c r="D2424" s="621"/>
      <c r="E2424" s="454"/>
      <c r="F2424" s="408"/>
      <c r="G2424" s="410"/>
      <c r="H2424" s="426"/>
      <c r="I2424" s="414">
        <f>SUM(I2413:I2423)</f>
        <v>5375.2606020000003</v>
      </c>
      <c r="J2424" s="400"/>
      <c r="K2424" s="401"/>
      <c r="L2424" s="401"/>
    </row>
    <row r="2425" spans="1:18" s="404" customFormat="1" ht="13">
      <c r="A2425" s="454"/>
      <c r="B2425" s="454"/>
      <c r="C2425" s="427" t="s">
        <v>845</v>
      </c>
      <c r="D2425" s="408"/>
      <c r="E2425" s="454"/>
      <c r="F2425" s="408"/>
      <c r="G2425" s="430"/>
      <c r="H2425" s="454"/>
      <c r="I2425" s="414">
        <f>ROUND(I2424/10,2)</f>
        <v>537.53</v>
      </c>
      <c r="J2425" s="400"/>
      <c r="K2425" s="401"/>
      <c r="L2425" s="401"/>
    </row>
    <row r="2426" spans="1:18" s="404" customFormat="1" ht="13">
      <c r="A2426" s="454"/>
      <c r="B2426" s="454"/>
      <c r="C2426" s="427"/>
      <c r="D2426" s="408"/>
      <c r="E2426" s="454"/>
      <c r="F2426" s="408"/>
      <c r="G2426" s="430"/>
      <c r="H2426" s="454"/>
      <c r="I2426" s="414"/>
      <c r="J2426" s="400"/>
      <c r="K2426" s="401"/>
      <c r="L2426" s="401"/>
    </row>
    <row r="2427" spans="1:18" s="404" customFormat="1" ht="13">
      <c r="A2427" s="454"/>
      <c r="B2427" s="454"/>
      <c r="C2427" s="526" t="s">
        <v>1137</v>
      </c>
      <c r="D2427" s="408"/>
      <c r="E2427" s="454"/>
      <c r="F2427" s="408"/>
      <c r="G2427" s="430"/>
      <c r="H2427" s="456"/>
      <c r="I2427" s="408"/>
      <c r="J2427" s="623"/>
      <c r="K2427" s="664"/>
      <c r="L2427" s="659"/>
    </row>
    <row r="2428" spans="1:18" s="404" customFormat="1" ht="13">
      <c r="A2428" s="454"/>
      <c r="B2428" s="454"/>
      <c r="C2428" s="427" t="s">
        <v>953</v>
      </c>
      <c r="D2428" s="414" t="s">
        <v>959</v>
      </c>
      <c r="E2428" s="416" t="s">
        <v>943</v>
      </c>
      <c r="F2428" s="415" t="s">
        <v>944</v>
      </c>
      <c r="G2428" s="414" t="s">
        <v>1036</v>
      </c>
      <c r="H2428" s="414" t="s">
        <v>1037</v>
      </c>
      <c r="I2428" s="414" t="s">
        <v>1038</v>
      </c>
      <c r="J2428" s="657" t="s">
        <v>1118</v>
      </c>
      <c r="K2428" s="631" t="s">
        <v>1119</v>
      </c>
      <c r="L2428" s="631" t="s">
        <v>1119</v>
      </c>
    </row>
    <row r="2429" spans="1:18" s="420" customFormat="1">
      <c r="A2429" s="454"/>
      <c r="B2429" s="454"/>
      <c r="C2429" s="417" t="s">
        <v>1064</v>
      </c>
      <c r="D2429" s="408">
        <f t="shared" ref="D2429:L2429" si="572">$I$2425</f>
        <v>537.53</v>
      </c>
      <c r="E2429" s="408">
        <f t="shared" si="572"/>
        <v>537.53</v>
      </c>
      <c r="F2429" s="408">
        <f t="shared" si="572"/>
        <v>537.53</v>
      </c>
      <c r="G2429" s="408">
        <f t="shared" si="572"/>
        <v>537.53</v>
      </c>
      <c r="H2429" s="408">
        <f t="shared" si="572"/>
        <v>537.53</v>
      </c>
      <c r="I2429" s="408">
        <f t="shared" si="572"/>
        <v>537.53</v>
      </c>
      <c r="J2429" s="575">
        <f t="shared" si="572"/>
        <v>537.53</v>
      </c>
      <c r="K2429" s="644">
        <f t="shared" si="572"/>
        <v>537.53</v>
      </c>
      <c r="L2429" s="644">
        <f t="shared" si="572"/>
        <v>537.53</v>
      </c>
      <c r="M2429" s="665"/>
      <c r="N2429" s="665"/>
      <c r="O2429" s="665"/>
      <c r="P2429" s="665"/>
      <c r="Q2429" s="665"/>
      <c r="R2429" s="665"/>
    </row>
    <row r="2430" spans="1:18" s="420" customFormat="1">
      <c r="A2430" s="454"/>
      <c r="B2430" s="454"/>
      <c r="C2430" s="417" t="s">
        <v>1134</v>
      </c>
      <c r="D2430" s="408">
        <f>'[161]Civil-SOR'!$F$233</f>
        <v>1.17</v>
      </c>
      <c r="E2430" s="408">
        <f>'[161]Civil-SOR'!$F$234</f>
        <v>1.17</v>
      </c>
      <c r="F2430" s="408">
        <f>'[161]Civil-SOR'!$F$235</f>
        <v>1.17</v>
      </c>
      <c r="G2430" s="408">
        <f>'[161]Civil-SOR'!$F$236</f>
        <v>1.17</v>
      </c>
      <c r="H2430" s="408">
        <f>'[161]Civil-SOR'!$F$236</f>
        <v>1.17</v>
      </c>
      <c r="I2430" s="408">
        <f>'[161]Civil-SOR'!$F$236</f>
        <v>1.17</v>
      </c>
      <c r="J2430" s="575">
        <f>'[161]Civil-SOR'!$F$236</f>
        <v>1.17</v>
      </c>
      <c r="K2430" s="644">
        <f>'[161]Civil-SOR'!$F$236</f>
        <v>1.17</v>
      </c>
      <c r="L2430" s="644">
        <f>'[161]Civil-SOR'!$F$236</f>
        <v>1.17</v>
      </c>
    </row>
    <row r="2431" spans="1:18" s="420" customFormat="1">
      <c r="A2431" s="454"/>
      <c r="B2431" s="454"/>
      <c r="C2431" s="417" t="s">
        <v>1060</v>
      </c>
      <c r="D2431" s="408">
        <f>'[161]Civil-SOR'!$G$233</f>
        <v>9.43</v>
      </c>
      <c r="E2431" s="408">
        <f>'[161]Civil-SOR'!$G$234</f>
        <v>13.56</v>
      </c>
      <c r="F2431" s="408">
        <f>'[161]Civil-SOR'!$G$235</f>
        <v>17.690000000000001</v>
      </c>
      <c r="G2431" s="408">
        <f>'[161]Civil-SOR'!$G$236</f>
        <v>21.82</v>
      </c>
      <c r="H2431" s="408">
        <f>'[161]Civil-SOR'!$G$237</f>
        <v>25.96</v>
      </c>
      <c r="I2431" s="408">
        <f>'[161]Civil-SOR'!$G$238</f>
        <v>30.09</v>
      </c>
      <c r="J2431" s="575">
        <f>'[161]Civil-SOR'!$G$239</f>
        <v>34.22</v>
      </c>
      <c r="K2431" s="644">
        <f>'[161]Civil-SOR'!$G$240</f>
        <v>38.35</v>
      </c>
      <c r="L2431" s="644">
        <f>'[161]Civil-SOR'!$G$241</f>
        <v>42.48</v>
      </c>
    </row>
    <row r="2432" spans="1:18" s="420" customFormat="1">
      <c r="A2432" s="454"/>
      <c r="B2432" s="454"/>
      <c r="C2432" s="417" t="str">
        <f>[161]Input!$C$47</f>
        <v>Add for MA @ 40%</v>
      </c>
      <c r="D2432" s="408">
        <f>ROUND(D2431*[161]Input!$D$47,2)</f>
        <v>3.77</v>
      </c>
      <c r="E2432" s="408">
        <f>ROUND(E2431*[161]Input!$D$47,2)</f>
        <v>5.42</v>
      </c>
      <c r="F2432" s="408">
        <f>ROUND(F2431*[161]Input!$D$47,2)</f>
        <v>7.08</v>
      </c>
      <c r="G2432" s="408">
        <f>ROUND(G2431*[161]Input!$D$47,2)</f>
        <v>8.73</v>
      </c>
      <c r="H2432" s="408">
        <f>ROUND(H2431*[161]Input!$D$47,2)</f>
        <v>10.38</v>
      </c>
      <c r="I2432" s="408">
        <f>ROUND(I2431*[161]Input!$D$47,2)</f>
        <v>12.04</v>
      </c>
      <c r="J2432" s="575">
        <f>ROUND(J2431*[161]Input!$D$47,2)</f>
        <v>13.69</v>
      </c>
      <c r="K2432" s="644">
        <f>ROUND(K2431*[161]Input!$D$47,2)</f>
        <v>15.34</v>
      </c>
      <c r="L2432" s="644">
        <f>ROUND(L2431*[161]Input!$D$47,2)</f>
        <v>16.989999999999998</v>
      </c>
    </row>
    <row r="2433" spans="1:12" s="420" customFormat="1">
      <c r="A2433" s="454"/>
      <c r="B2433" s="454"/>
      <c r="C2433" s="417" t="s">
        <v>994</v>
      </c>
      <c r="D2433" s="408">
        <v>0</v>
      </c>
      <c r="E2433" s="408">
        <f>ROUND($F$2422/10*10%,2)</f>
        <v>32.020000000000003</v>
      </c>
      <c r="F2433" s="408">
        <f>ROUND($F$2422/10*20%,2)</f>
        <v>64.040000000000006</v>
      </c>
      <c r="G2433" s="408">
        <f>ROUND($F$2422/10*30%,2)</f>
        <v>96.06</v>
      </c>
      <c r="H2433" s="408">
        <f>ROUND($F$2422/10*40%,2)</f>
        <v>128.08000000000001</v>
      </c>
      <c r="I2433" s="408">
        <f>ROUND($F$2422/10*50%,2)</f>
        <v>160.1</v>
      </c>
      <c r="J2433" s="575">
        <f>ROUND($F$2422/10*60%,2)</f>
        <v>192.11</v>
      </c>
      <c r="K2433" s="644">
        <f>ROUND($F$2422/10*70%,2)</f>
        <v>224.13</v>
      </c>
      <c r="L2433" s="644">
        <f>ROUND($F$2422/10*80%,2)</f>
        <v>256.14999999999998</v>
      </c>
    </row>
    <row r="2434" spans="1:12" s="420" customFormat="1">
      <c r="A2434" s="454"/>
      <c r="B2434" s="454"/>
      <c r="C2434" s="620" t="str">
        <f>[161]Input!$C$47</f>
        <v>Add for MA @ 40%</v>
      </c>
      <c r="D2434" s="408">
        <f>D2433*[161]Input!$D$47</f>
        <v>0</v>
      </c>
      <c r="E2434" s="408">
        <f>E2433*[161]Input!$D$47</f>
        <v>12.808000000000002</v>
      </c>
      <c r="F2434" s="408">
        <f>F2433*[161]Input!$D$47</f>
        <v>25.616000000000003</v>
      </c>
      <c r="G2434" s="408">
        <f>G2433*[161]Input!$D$47</f>
        <v>38.424000000000007</v>
      </c>
      <c r="H2434" s="408">
        <f>H2433*[161]Input!$D$47</f>
        <v>51.232000000000006</v>
      </c>
      <c r="I2434" s="408">
        <f>I2433*[161]Input!$D$47</f>
        <v>64.040000000000006</v>
      </c>
      <c r="J2434" s="575">
        <f>J2433*[161]Input!$D$47</f>
        <v>76.844000000000008</v>
      </c>
      <c r="K2434" s="644">
        <f>K2433*[161]Input!$D$47</f>
        <v>89.652000000000001</v>
      </c>
      <c r="L2434" s="644">
        <f>L2433*[161]Input!$D$47</f>
        <v>102.46</v>
      </c>
    </row>
    <row r="2435" spans="1:12" s="420" customFormat="1">
      <c r="A2435" s="454"/>
      <c r="B2435" s="454"/>
      <c r="C2435" s="466"/>
      <c r="D2435" s="408">
        <f t="shared" ref="D2435:L2435" si="573">SUM(D2429:D2434)</f>
        <v>551.89999999999986</v>
      </c>
      <c r="E2435" s="408">
        <f t="shared" si="573"/>
        <v>602.50799999999981</v>
      </c>
      <c r="F2435" s="408">
        <f t="shared" si="573"/>
        <v>653.12599999999998</v>
      </c>
      <c r="G2435" s="408">
        <f t="shared" si="573"/>
        <v>703.73399999999992</v>
      </c>
      <c r="H2435" s="408">
        <f t="shared" si="573"/>
        <v>754.35199999999998</v>
      </c>
      <c r="I2435" s="408">
        <f t="shared" si="573"/>
        <v>804.96999999999991</v>
      </c>
      <c r="J2435" s="575">
        <f t="shared" si="573"/>
        <v>855.56400000000008</v>
      </c>
      <c r="K2435" s="644">
        <f t="shared" si="573"/>
        <v>906.17200000000003</v>
      </c>
      <c r="L2435" s="644">
        <f t="shared" si="573"/>
        <v>956.78</v>
      </c>
    </row>
    <row r="2436" spans="1:12" s="420" customFormat="1" ht="25">
      <c r="A2436" s="454"/>
      <c r="B2436" s="454"/>
      <c r="C2436" s="417" t="str">
        <f>[161]Input!$C$48</f>
        <v>Overheads &amp; Contractors Profit @ 13.615%</v>
      </c>
      <c r="D2436" s="408">
        <f>ROUND(D2435*[161]Input!$D$48,2)</f>
        <v>75.14</v>
      </c>
      <c r="E2436" s="408">
        <f>ROUND(E2435*[161]Input!$D$48,2)</f>
        <v>82.03</v>
      </c>
      <c r="F2436" s="408">
        <f>ROUND(F2435*[161]Input!$D$48,2)</f>
        <v>88.92</v>
      </c>
      <c r="G2436" s="408">
        <f>ROUND(G2435*[161]Input!$D$48,2)</f>
        <v>95.81</v>
      </c>
      <c r="H2436" s="408">
        <f>ROUND(H2435*[161]Input!$D$48,2)</f>
        <v>102.71</v>
      </c>
      <c r="I2436" s="408">
        <f>ROUND(I2435*[161]Input!$D$48,2)</f>
        <v>109.6</v>
      </c>
      <c r="J2436" s="575">
        <f>ROUND(J2435*[161]Input!$D$48,2)</f>
        <v>116.49</v>
      </c>
      <c r="K2436" s="644">
        <f>ROUND(K2435*[161]Input!$D$48,2)</f>
        <v>123.38</v>
      </c>
      <c r="L2436" s="644">
        <f>ROUND(L2435*[161]Input!$D$48,2)</f>
        <v>130.27000000000001</v>
      </c>
    </row>
    <row r="2437" spans="1:12" s="413" customFormat="1" ht="13">
      <c r="A2437" s="454"/>
      <c r="B2437" s="454"/>
      <c r="C2437" s="481" t="s">
        <v>845</v>
      </c>
      <c r="D2437" s="414">
        <f t="shared" ref="D2437:L2437" si="574">SUM(D2435:D2436)</f>
        <v>627.03999999999985</v>
      </c>
      <c r="E2437" s="414">
        <f t="shared" si="574"/>
        <v>684.53799999999978</v>
      </c>
      <c r="F2437" s="414">
        <f t="shared" si="574"/>
        <v>742.04599999999994</v>
      </c>
      <c r="G2437" s="414">
        <f t="shared" si="574"/>
        <v>799.54399999999987</v>
      </c>
      <c r="H2437" s="414">
        <f t="shared" si="574"/>
        <v>857.06200000000001</v>
      </c>
      <c r="I2437" s="414">
        <f t="shared" si="574"/>
        <v>914.56999999999994</v>
      </c>
      <c r="J2437" s="638">
        <f t="shared" si="574"/>
        <v>972.05400000000009</v>
      </c>
      <c r="K2437" s="636">
        <f t="shared" si="574"/>
        <v>1029.5520000000001</v>
      </c>
      <c r="L2437" s="636">
        <f t="shared" si="574"/>
        <v>1087.05</v>
      </c>
    </row>
    <row r="2438" spans="1:12" s="413" customFormat="1" ht="13">
      <c r="A2438" s="454"/>
      <c r="B2438" s="454"/>
      <c r="C2438" s="522" t="s">
        <v>726</v>
      </c>
      <c r="D2438" s="416">
        <f t="shared" ref="D2438:L2438" si="575">ROUND(D2437,0)</f>
        <v>627</v>
      </c>
      <c r="E2438" s="416">
        <f t="shared" si="575"/>
        <v>685</v>
      </c>
      <c r="F2438" s="416">
        <f t="shared" si="575"/>
        <v>742</v>
      </c>
      <c r="G2438" s="416">
        <f t="shared" si="575"/>
        <v>800</v>
      </c>
      <c r="H2438" s="416">
        <f t="shared" si="575"/>
        <v>857</v>
      </c>
      <c r="I2438" s="416">
        <f t="shared" si="575"/>
        <v>915</v>
      </c>
      <c r="J2438" s="533">
        <f t="shared" si="575"/>
        <v>972</v>
      </c>
      <c r="K2438" s="534">
        <f t="shared" si="575"/>
        <v>1030</v>
      </c>
      <c r="L2438" s="534">
        <f t="shared" si="575"/>
        <v>1087</v>
      </c>
    </row>
    <row r="2439" spans="1:12" s="404" customFormat="1">
      <c r="A2439" s="454"/>
      <c r="B2439" s="454"/>
      <c r="C2439" s="417"/>
      <c r="D2439" s="408"/>
      <c r="E2439" s="454"/>
      <c r="F2439" s="408"/>
      <c r="G2439" s="430"/>
      <c r="H2439" s="456"/>
      <c r="I2439" s="408"/>
      <c r="J2439" s="400"/>
      <c r="K2439" s="401"/>
      <c r="L2439" s="401"/>
    </row>
    <row r="2440" spans="1:12" s="404" customFormat="1" ht="68.650000000000006" customHeight="1">
      <c r="A2440" s="454">
        <f>A2408+1</f>
        <v>8</v>
      </c>
      <c r="B2440" s="454"/>
      <c r="C2440" s="1276" t="s">
        <v>1144</v>
      </c>
      <c r="D2440" s="1276"/>
      <c r="E2440" s="1276"/>
      <c r="F2440" s="1276"/>
      <c r="G2440" s="1276"/>
      <c r="H2440" s="1276"/>
      <c r="I2440" s="407"/>
      <c r="J2440" s="400"/>
      <c r="K2440" s="401"/>
      <c r="L2440" s="401"/>
    </row>
    <row r="2441" spans="1:12" s="404" customFormat="1" ht="13">
      <c r="A2441" s="454"/>
      <c r="B2441" s="454"/>
      <c r="C2441" s="455" t="s">
        <v>1145</v>
      </c>
      <c r="D2441" s="408"/>
      <c r="E2441" s="454"/>
      <c r="F2441" s="408"/>
      <c r="G2441" s="430"/>
      <c r="H2441" s="454"/>
      <c r="I2441" s="408"/>
      <c r="J2441" s="400"/>
      <c r="K2441" s="401"/>
      <c r="L2441" s="401"/>
    </row>
    <row r="2442" spans="1:12" s="404" customFormat="1">
      <c r="A2442" s="454"/>
      <c r="B2442" s="454"/>
      <c r="C2442" s="469" t="s">
        <v>1127</v>
      </c>
      <c r="D2442" s="408"/>
      <c r="E2442" s="454"/>
      <c r="F2442" s="408"/>
      <c r="G2442" s="430"/>
      <c r="H2442" s="454"/>
      <c r="I2442" s="408"/>
      <c r="J2442" s="400"/>
      <c r="K2442" s="401"/>
      <c r="L2442" s="401"/>
    </row>
    <row r="2443" spans="1:12" s="404" customFormat="1" ht="13">
      <c r="A2443" s="454"/>
      <c r="B2443" s="454"/>
      <c r="C2443" s="427" t="s">
        <v>873</v>
      </c>
      <c r="D2443" s="408"/>
      <c r="E2443" s="454"/>
      <c r="F2443" s="408"/>
      <c r="G2443" s="430"/>
      <c r="H2443" s="454"/>
      <c r="I2443" s="408"/>
      <c r="J2443" s="400"/>
      <c r="K2443" s="401"/>
      <c r="L2443" s="401"/>
    </row>
    <row r="2444" spans="1:12" s="404" customFormat="1">
      <c r="A2444" s="454"/>
      <c r="B2444" s="454"/>
      <c r="C2444" s="417" t="s">
        <v>1129</v>
      </c>
      <c r="D2444" s="408">
        <v>60.48</v>
      </c>
      <c r="E2444" s="454" t="s">
        <v>833</v>
      </c>
      <c r="F2444" s="408">
        <f>[161]LEAD!$N$6</f>
        <v>5200</v>
      </c>
      <c r="G2444" s="430">
        <v>1000</v>
      </c>
      <c r="H2444" s="456" t="str">
        <f t="shared" ref="H2444:H2445" si="576">IF(E2444="","",IF(E2444="No.","Each",IF(E2444="Nos.","Each",E2444)))</f>
        <v>Kgs</v>
      </c>
      <c r="I2444" s="408">
        <f t="shared" ref="I2444:I2445" si="577">IF(G2444="",D2444*F2444,(D2444*F2444/G2444))</f>
        <v>314.49599999999998</v>
      </c>
      <c r="J2444" s="400"/>
      <c r="K2444" s="401"/>
      <c r="L2444" s="401"/>
    </row>
    <row r="2445" spans="1:12" s="404" customFormat="1">
      <c r="A2445" s="454"/>
      <c r="B2445" s="454"/>
      <c r="C2445" s="417" t="s">
        <v>1130</v>
      </c>
      <c r="D2445" s="408">
        <v>0.21</v>
      </c>
      <c r="E2445" s="454" t="s">
        <v>57</v>
      </c>
      <c r="F2445" s="408">
        <f>[161]LEAD!$N$13</f>
        <v>2453.91</v>
      </c>
      <c r="G2445" s="430">
        <v>1</v>
      </c>
      <c r="H2445" s="456" t="str">
        <f t="shared" si="576"/>
        <v>Cum</v>
      </c>
      <c r="I2445" s="408">
        <f t="shared" si="577"/>
        <v>515.3211</v>
      </c>
      <c r="J2445" s="400"/>
      <c r="K2445" s="401"/>
      <c r="L2445" s="401"/>
    </row>
    <row r="2446" spans="1:12" s="404" customFormat="1" ht="13">
      <c r="A2446" s="454"/>
      <c r="B2446" s="454"/>
      <c r="C2446" s="427" t="s">
        <v>911</v>
      </c>
      <c r="D2446" s="408"/>
      <c r="E2446" s="454"/>
      <c r="F2446" s="408"/>
      <c r="G2446" s="430"/>
      <c r="H2446" s="456"/>
      <c r="I2446" s="408"/>
      <c r="J2446" s="400"/>
      <c r="K2446" s="401"/>
      <c r="L2446" s="401"/>
    </row>
    <row r="2447" spans="1:12" s="404" customFormat="1">
      <c r="A2447" s="454"/>
      <c r="B2447" s="454"/>
      <c r="C2447" s="417" t="s">
        <v>1133</v>
      </c>
      <c r="D2447" s="408">
        <v>0.94</v>
      </c>
      <c r="E2447" s="408" t="s">
        <v>375</v>
      </c>
      <c r="F2447" s="408">
        <f>'[161]Civil-SOR'!$G$302</f>
        <v>550</v>
      </c>
      <c r="G2447" s="430">
        <v>1</v>
      </c>
      <c r="H2447" s="456" t="str">
        <f t="shared" ref="H2447:H2448" si="578">IF(E2447="","",IF(E2447="No.","Each",IF(E2447="Nos.","Each",E2447)))</f>
        <v>Each</v>
      </c>
      <c r="I2447" s="408">
        <f t="shared" ref="I2447:I2450" si="579">IF(G2447="",D2447*F2447,(D2447*F2447/G2447))</f>
        <v>517</v>
      </c>
      <c r="J2447" s="400"/>
      <c r="K2447" s="401"/>
      <c r="L2447" s="401"/>
    </row>
    <row r="2448" spans="1:12" s="404" customFormat="1">
      <c r="A2448" s="454"/>
      <c r="B2448" s="454"/>
      <c r="C2448" s="417" t="s">
        <v>903</v>
      </c>
      <c r="D2448" s="408">
        <v>1.6</v>
      </c>
      <c r="E2448" s="454" t="s">
        <v>375</v>
      </c>
      <c r="F2448" s="408">
        <f>'[161]Civil-SOR'!$G$307</f>
        <v>520</v>
      </c>
      <c r="G2448" s="430">
        <v>1</v>
      </c>
      <c r="H2448" s="456" t="str">
        <f t="shared" si="578"/>
        <v>Each</v>
      </c>
      <c r="I2448" s="408">
        <f t="shared" si="579"/>
        <v>832</v>
      </c>
      <c r="J2448" s="400"/>
      <c r="K2448" s="401"/>
      <c r="L2448" s="401"/>
    </row>
    <row r="2449" spans="1:12" s="404" customFormat="1">
      <c r="A2449" s="454"/>
      <c r="B2449" s="454"/>
      <c r="C2449" s="417" t="str">
        <f>[161]Input!$C$47</f>
        <v>Add for MA @ 40%</v>
      </c>
      <c r="D2449" s="621">
        <f>[161]Input!$D$47</f>
        <v>0.4</v>
      </c>
      <c r="E2449" s="454"/>
      <c r="F2449" s="408">
        <f>SUM(I2447:I2448)</f>
        <v>1349</v>
      </c>
      <c r="G2449" s="410"/>
      <c r="H2449" s="426"/>
      <c r="I2449" s="408">
        <f t="shared" si="579"/>
        <v>539.6</v>
      </c>
      <c r="J2449" s="400"/>
      <c r="K2449" s="401"/>
      <c r="L2449" s="401"/>
    </row>
    <row r="2450" spans="1:12" s="404" customFormat="1">
      <c r="A2450" s="454"/>
      <c r="B2450" s="454"/>
      <c r="C2450" s="417" t="s">
        <v>1058</v>
      </c>
      <c r="D2450" s="408">
        <v>0.01</v>
      </c>
      <c r="E2450" s="408"/>
      <c r="F2450" s="408">
        <f>SUM(I2444:I2449)</f>
        <v>2718.4171000000001</v>
      </c>
      <c r="G2450" s="430"/>
      <c r="H2450" s="456"/>
      <c r="I2450" s="408">
        <f t="shared" si="579"/>
        <v>27.184171000000003</v>
      </c>
      <c r="J2450" s="400"/>
      <c r="K2450" s="401"/>
      <c r="L2450" s="401"/>
    </row>
    <row r="2451" spans="1:12" s="413" customFormat="1" ht="13">
      <c r="A2451" s="454"/>
      <c r="B2451" s="454"/>
      <c r="C2451" s="481" t="s">
        <v>1047</v>
      </c>
      <c r="D2451" s="621"/>
      <c r="E2451" s="454"/>
      <c r="F2451" s="408"/>
      <c r="G2451" s="410"/>
      <c r="H2451" s="426"/>
      <c r="I2451" s="414">
        <f>SUM(I2444:I2450)</f>
        <v>2745.601271</v>
      </c>
      <c r="J2451" s="411"/>
      <c r="K2451" s="412"/>
      <c r="L2451" s="412"/>
    </row>
    <row r="2452" spans="1:12" s="413" customFormat="1" ht="13">
      <c r="A2452" s="454"/>
      <c r="B2452" s="454"/>
      <c r="C2452" s="481" t="s">
        <v>845</v>
      </c>
      <c r="D2452" s="408"/>
      <c r="E2452" s="454"/>
      <c r="F2452" s="408"/>
      <c r="G2452" s="430"/>
      <c r="H2452" s="454"/>
      <c r="I2452" s="414">
        <f>ROUND(I2451/10,2)</f>
        <v>274.56</v>
      </c>
      <c r="J2452" s="411"/>
      <c r="K2452" s="412"/>
      <c r="L2452" s="412"/>
    </row>
    <row r="2453" spans="1:12" s="404" customFormat="1" ht="13">
      <c r="A2453" s="454"/>
      <c r="B2453" s="454"/>
      <c r="C2453" s="427"/>
      <c r="D2453" s="416"/>
      <c r="E2453" s="454"/>
      <c r="F2453" s="408"/>
      <c r="G2453" s="430"/>
      <c r="H2453" s="407"/>
      <c r="I2453" s="414"/>
      <c r="J2453" s="400"/>
      <c r="K2453" s="401"/>
      <c r="L2453" s="401"/>
    </row>
    <row r="2454" spans="1:12" s="404" customFormat="1" ht="13">
      <c r="A2454" s="454"/>
      <c r="B2454" s="415" t="s">
        <v>720</v>
      </c>
      <c r="C2454" s="427" t="s">
        <v>1139</v>
      </c>
      <c r="D2454" s="408"/>
      <c r="E2454" s="454"/>
      <c r="F2454" s="408"/>
      <c r="G2454" s="430"/>
      <c r="H2454" s="454"/>
      <c r="I2454" s="414"/>
      <c r="J2454" s="400"/>
      <c r="K2454" s="401"/>
      <c r="L2454" s="401"/>
    </row>
    <row r="2455" spans="1:12" s="404" customFormat="1" ht="13">
      <c r="A2455" s="454"/>
      <c r="B2455" s="415"/>
      <c r="C2455" s="427" t="s">
        <v>845</v>
      </c>
      <c r="D2455" s="408">
        <v>1</v>
      </c>
      <c r="E2455" s="454" t="s">
        <v>17</v>
      </c>
      <c r="F2455" s="408">
        <f>$I$2452</f>
        <v>274.56</v>
      </c>
      <c r="G2455" s="430">
        <v>1</v>
      </c>
      <c r="H2455" s="454" t="s">
        <v>17</v>
      </c>
      <c r="I2455" s="408">
        <f t="shared" ref="I2455:I2456" si="580">IF(G2455="",D2455*F2455,(D2455*F2455/G2455))</f>
        <v>274.56</v>
      </c>
      <c r="J2455" s="400"/>
      <c r="K2455" s="401"/>
      <c r="L2455" s="401"/>
    </row>
    <row r="2456" spans="1:12" s="404" customFormat="1" ht="25">
      <c r="A2456" s="454"/>
      <c r="B2456" s="415"/>
      <c r="C2456" s="417" t="str">
        <f>[161]Input!$C$48</f>
        <v>Overheads &amp; Contractors Profit @ 13.615%</v>
      </c>
      <c r="D2456" s="467">
        <f>[161]Input!$D$48</f>
        <v>0.13614999999999999</v>
      </c>
      <c r="E2456" s="454"/>
      <c r="F2456" s="408">
        <f>I2455</f>
        <v>274.56</v>
      </c>
      <c r="G2456" s="430"/>
      <c r="H2456" s="454"/>
      <c r="I2456" s="408">
        <f t="shared" si="580"/>
        <v>37.381343999999999</v>
      </c>
      <c r="J2456" s="400"/>
      <c r="K2456" s="401"/>
      <c r="L2456" s="401"/>
    </row>
    <row r="2457" spans="1:12" s="404" customFormat="1" ht="13">
      <c r="A2457" s="454"/>
      <c r="B2457" s="415"/>
      <c r="C2457" s="427" t="s">
        <v>845</v>
      </c>
      <c r="D2457" s="408"/>
      <c r="E2457" s="454"/>
      <c r="F2457" s="408"/>
      <c r="G2457" s="430"/>
      <c r="H2457" s="454"/>
      <c r="I2457" s="414">
        <f>SUM(I2455:I2456)</f>
        <v>311.94134400000002</v>
      </c>
      <c r="J2457" s="400"/>
      <c r="K2457" s="401"/>
      <c r="L2457" s="401"/>
    </row>
    <row r="2458" spans="1:12" s="404" customFormat="1" ht="13">
      <c r="A2458" s="454"/>
      <c r="B2458" s="415"/>
      <c r="C2458" s="522" t="s">
        <v>726</v>
      </c>
      <c r="D2458" s="416"/>
      <c r="E2458" s="454"/>
      <c r="F2458" s="408"/>
      <c r="G2458" s="430"/>
      <c r="H2458" s="407" t="s">
        <v>774</v>
      </c>
      <c r="I2458" s="414">
        <f>ROUND(I2457,0)</f>
        <v>312</v>
      </c>
      <c r="J2458" s="400"/>
      <c r="K2458" s="401"/>
      <c r="L2458" s="401"/>
    </row>
    <row r="2459" spans="1:12" s="404" customFormat="1" ht="13">
      <c r="A2459" s="454"/>
      <c r="B2459" s="415"/>
      <c r="C2459" s="417"/>
      <c r="D2459" s="416"/>
      <c r="E2459" s="454"/>
      <c r="F2459" s="408"/>
      <c r="G2459" s="430"/>
      <c r="H2459" s="415"/>
      <c r="I2459" s="414"/>
      <c r="J2459" s="400"/>
      <c r="K2459" s="401"/>
      <c r="L2459" s="401"/>
    </row>
    <row r="2460" spans="1:12" s="404" customFormat="1" ht="13">
      <c r="A2460" s="454"/>
      <c r="B2460" s="415" t="s">
        <v>727</v>
      </c>
      <c r="C2460" s="526" t="s">
        <v>1137</v>
      </c>
      <c r="D2460" s="416"/>
      <c r="E2460" s="454"/>
      <c r="F2460" s="408"/>
      <c r="G2460" s="430"/>
      <c r="H2460" s="415"/>
      <c r="I2460" s="414"/>
      <c r="J2460" s="623"/>
      <c r="K2460" s="624"/>
      <c r="L2460" s="531"/>
    </row>
    <row r="2461" spans="1:12" s="404" customFormat="1" ht="13">
      <c r="A2461" s="454"/>
      <c r="B2461" s="454"/>
      <c r="C2461" s="427" t="s">
        <v>953</v>
      </c>
      <c r="D2461" s="414" t="s">
        <v>959</v>
      </c>
      <c r="E2461" s="416" t="s">
        <v>943</v>
      </c>
      <c r="F2461" s="415" t="s">
        <v>944</v>
      </c>
      <c r="G2461" s="414" t="s">
        <v>1036</v>
      </c>
      <c r="H2461" s="414" t="s">
        <v>1037</v>
      </c>
      <c r="I2461" s="414" t="s">
        <v>1038</v>
      </c>
      <c r="J2461" s="657" t="s">
        <v>1118</v>
      </c>
      <c r="K2461" s="631" t="s">
        <v>1119</v>
      </c>
      <c r="L2461" s="631" t="s">
        <v>1120</v>
      </c>
    </row>
    <row r="2462" spans="1:12" s="420" customFormat="1">
      <c r="A2462" s="454"/>
      <c r="B2462" s="454"/>
      <c r="C2462" s="417" t="s">
        <v>1064</v>
      </c>
      <c r="D2462" s="408">
        <f t="shared" ref="D2462:L2462" si="581">$I$2452</f>
        <v>274.56</v>
      </c>
      <c r="E2462" s="408">
        <f t="shared" si="581"/>
        <v>274.56</v>
      </c>
      <c r="F2462" s="408">
        <f t="shared" si="581"/>
        <v>274.56</v>
      </c>
      <c r="G2462" s="408">
        <f t="shared" si="581"/>
        <v>274.56</v>
      </c>
      <c r="H2462" s="408">
        <f t="shared" si="581"/>
        <v>274.56</v>
      </c>
      <c r="I2462" s="408">
        <f t="shared" si="581"/>
        <v>274.56</v>
      </c>
      <c r="J2462" s="575">
        <f t="shared" si="581"/>
        <v>274.56</v>
      </c>
      <c r="K2462" s="644">
        <f t="shared" si="581"/>
        <v>274.56</v>
      </c>
      <c r="L2462" s="644">
        <f t="shared" si="581"/>
        <v>274.56</v>
      </c>
    </row>
    <row r="2463" spans="1:12" s="420" customFormat="1">
      <c r="A2463" s="454"/>
      <c r="B2463" s="454"/>
      <c r="C2463" s="417" t="s">
        <v>1134</v>
      </c>
      <c r="D2463" s="408">
        <f>'[161]Civil-SOR'!$F$233</f>
        <v>1.17</v>
      </c>
      <c r="E2463" s="408">
        <f>'[161]Civil-SOR'!$F$234</f>
        <v>1.17</v>
      </c>
      <c r="F2463" s="408">
        <f>'[161]Civil-SOR'!$F$235</f>
        <v>1.17</v>
      </c>
      <c r="G2463" s="408">
        <f>'[161]Civil-SOR'!$F$236</f>
        <v>1.17</v>
      </c>
      <c r="H2463" s="408">
        <f>'[161]Civil-SOR'!$F$236</f>
        <v>1.17</v>
      </c>
      <c r="I2463" s="408">
        <f>'[161]Civil-SOR'!$F$236</f>
        <v>1.17</v>
      </c>
      <c r="J2463" s="575">
        <f>'[161]Civil-SOR'!$F$236</f>
        <v>1.17</v>
      </c>
      <c r="K2463" s="644">
        <f>'[161]Civil-SOR'!$F$236</f>
        <v>1.17</v>
      </c>
      <c r="L2463" s="644">
        <f>'[161]Civil-SOR'!$F$236</f>
        <v>1.17</v>
      </c>
    </row>
    <row r="2464" spans="1:12" s="420" customFormat="1">
      <c r="A2464" s="454"/>
      <c r="B2464" s="454"/>
      <c r="C2464" s="417" t="s">
        <v>1060</v>
      </c>
      <c r="D2464" s="408">
        <f>'[161]Civil-SOR'!$G$233</f>
        <v>9.43</v>
      </c>
      <c r="E2464" s="408">
        <f>'[161]Civil-SOR'!$G$234</f>
        <v>13.56</v>
      </c>
      <c r="F2464" s="408">
        <f>'[161]Civil-SOR'!$G$235</f>
        <v>17.690000000000001</v>
      </c>
      <c r="G2464" s="408">
        <f>'[161]Civil-SOR'!$G$236</f>
        <v>21.82</v>
      </c>
      <c r="H2464" s="408">
        <f>'[161]Civil-SOR'!$G$237</f>
        <v>25.96</v>
      </c>
      <c r="I2464" s="408">
        <f>'[161]Civil-SOR'!$G$238</f>
        <v>30.09</v>
      </c>
      <c r="J2464" s="575">
        <f>'[161]Civil-SOR'!$G$239</f>
        <v>34.22</v>
      </c>
      <c r="K2464" s="644">
        <f>'[161]Civil-SOR'!$G$240</f>
        <v>38.35</v>
      </c>
      <c r="L2464" s="644">
        <f>'[161]Civil-SOR'!$G$241</f>
        <v>42.48</v>
      </c>
    </row>
    <row r="2465" spans="1:64" s="420" customFormat="1">
      <c r="A2465" s="454"/>
      <c r="B2465" s="454"/>
      <c r="C2465" s="417" t="str">
        <f>[161]Input!$C$47</f>
        <v>Add for MA @ 40%</v>
      </c>
      <c r="D2465" s="408">
        <f>ROUND(D2464*[161]Input!$D$47,2)</f>
        <v>3.77</v>
      </c>
      <c r="E2465" s="408">
        <f>ROUND(E2464*[161]Input!$D$47,2)</f>
        <v>5.42</v>
      </c>
      <c r="F2465" s="408">
        <f>ROUND(F2464*[161]Input!$D$47,2)</f>
        <v>7.08</v>
      </c>
      <c r="G2465" s="408">
        <f>ROUND(G2464*[161]Input!$D$47,2)</f>
        <v>8.73</v>
      </c>
      <c r="H2465" s="408">
        <f>ROUND(H2464*[161]Input!$D$47,2)</f>
        <v>10.38</v>
      </c>
      <c r="I2465" s="408">
        <f>ROUND(I2464*[161]Input!$D$47,2)</f>
        <v>12.04</v>
      </c>
      <c r="J2465" s="575">
        <f>ROUND(J2464*[161]Input!$D$47,2)</f>
        <v>13.69</v>
      </c>
      <c r="K2465" s="644">
        <f>ROUND(K2464*[161]Input!$D$47,2)</f>
        <v>15.34</v>
      </c>
      <c r="L2465" s="644">
        <f>ROUND(L2464*[161]Input!$D$47,2)</f>
        <v>16.989999999999998</v>
      </c>
    </row>
    <row r="2466" spans="1:64" s="420" customFormat="1">
      <c r="A2466" s="454"/>
      <c r="B2466" s="454"/>
      <c r="C2466" s="417" t="s">
        <v>994</v>
      </c>
      <c r="D2466" s="408">
        <v>0</v>
      </c>
      <c r="E2466" s="408">
        <f>ROUND($F$2449/10*10%,2)</f>
        <v>13.49</v>
      </c>
      <c r="F2466" s="408">
        <f>ROUND($F$2449/10*20%,2)</f>
        <v>26.98</v>
      </c>
      <c r="G2466" s="408">
        <f>ROUND($F$2449/10*30%,2)</f>
        <v>40.47</v>
      </c>
      <c r="H2466" s="408">
        <f>ROUND($F$2449/10*40%,2)</f>
        <v>53.96</v>
      </c>
      <c r="I2466" s="408">
        <f>ROUND($F$2449/10*50%,2)</f>
        <v>67.45</v>
      </c>
      <c r="J2466" s="575">
        <f>ROUND($F$2449/10*60%,2)</f>
        <v>80.94</v>
      </c>
      <c r="K2466" s="644">
        <f>ROUND($F$2449/10*70%,2)</f>
        <v>94.43</v>
      </c>
      <c r="L2466" s="644">
        <f>ROUND($F$2449/10*80%,2)</f>
        <v>107.92</v>
      </c>
    </row>
    <row r="2467" spans="1:64" s="420" customFormat="1">
      <c r="A2467" s="454"/>
      <c r="B2467" s="454"/>
      <c r="C2467" s="417" t="str">
        <f>[161]Input!$C$47</f>
        <v>Add for MA @ 40%</v>
      </c>
      <c r="D2467" s="408">
        <f>D2466*[161]Input!$D$47</f>
        <v>0</v>
      </c>
      <c r="E2467" s="408">
        <f>E2466*[161]Input!$D$47</f>
        <v>5.3960000000000008</v>
      </c>
      <c r="F2467" s="408">
        <f>F2466*[161]Input!$D$47</f>
        <v>10.792000000000002</v>
      </c>
      <c r="G2467" s="408">
        <f>G2466*[161]Input!$D$47</f>
        <v>16.187999999999999</v>
      </c>
      <c r="H2467" s="408">
        <f>H2466*[161]Input!$D$47</f>
        <v>21.584000000000003</v>
      </c>
      <c r="I2467" s="408">
        <f>I2466*[161]Input!$D$47</f>
        <v>26.980000000000004</v>
      </c>
      <c r="J2467" s="575">
        <f>J2466*[161]Input!$D$47</f>
        <v>32.375999999999998</v>
      </c>
      <c r="K2467" s="644">
        <f>K2466*[161]Input!$D$47</f>
        <v>37.772000000000006</v>
      </c>
      <c r="L2467" s="644">
        <f>L2466*[161]Input!$D$47</f>
        <v>43.168000000000006</v>
      </c>
    </row>
    <row r="2468" spans="1:64" s="420" customFormat="1">
      <c r="A2468" s="454"/>
      <c r="B2468" s="454"/>
      <c r="C2468" s="466"/>
      <c r="D2468" s="408">
        <f t="shared" ref="D2468:L2468" si="582">SUM(D2462:D2467)</f>
        <v>288.93</v>
      </c>
      <c r="E2468" s="408">
        <f t="shared" si="582"/>
        <v>313.59600000000006</v>
      </c>
      <c r="F2468" s="408">
        <f t="shared" si="582"/>
        <v>338.27200000000005</v>
      </c>
      <c r="G2468" s="408">
        <f t="shared" si="582"/>
        <v>362.93799999999999</v>
      </c>
      <c r="H2468" s="408">
        <f t="shared" si="582"/>
        <v>387.61399999999998</v>
      </c>
      <c r="I2468" s="408">
        <f t="shared" si="582"/>
        <v>412.29</v>
      </c>
      <c r="J2468" s="575">
        <f t="shared" si="582"/>
        <v>436.95600000000002</v>
      </c>
      <c r="K2468" s="644">
        <f t="shared" si="582"/>
        <v>461.62200000000001</v>
      </c>
      <c r="L2468" s="644">
        <f t="shared" si="582"/>
        <v>486.28800000000007</v>
      </c>
    </row>
    <row r="2469" spans="1:64" s="420" customFormat="1" ht="25">
      <c r="A2469" s="454"/>
      <c r="B2469" s="454"/>
      <c r="C2469" s="417" t="str">
        <f>[161]Input!$C$48</f>
        <v>Overheads &amp; Contractors Profit @ 13.615%</v>
      </c>
      <c r="D2469" s="408">
        <f>ROUND(D2468*[161]Input!$D$48,2)</f>
        <v>39.340000000000003</v>
      </c>
      <c r="E2469" s="408">
        <f>ROUND(E2468*[161]Input!$D$48,2)</f>
        <v>42.7</v>
      </c>
      <c r="F2469" s="408">
        <f>ROUND(F2468*[161]Input!$D$48,2)</f>
        <v>46.06</v>
      </c>
      <c r="G2469" s="408">
        <f>ROUND(G2468*[161]Input!$D$48,2)</f>
        <v>49.41</v>
      </c>
      <c r="H2469" s="408">
        <f>ROUND(H2468*[161]Input!$D$48,2)</f>
        <v>52.77</v>
      </c>
      <c r="I2469" s="408">
        <f>ROUND(I2468*[161]Input!$D$48,2)</f>
        <v>56.13</v>
      </c>
      <c r="J2469" s="575">
        <f>ROUND(J2468*[161]Input!$D$48,2)</f>
        <v>59.49</v>
      </c>
      <c r="K2469" s="644">
        <f>ROUND(K2468*[161]Input!$D$48,2)</f>
        <v>62.85</v>
      </c>
      <c r="L2469" s="644">
        <f>ROUND(L2468*[161]Input!$D$48,2)</f>
        <v>66.209999999999994</v>
      </c>
    </row>
    <row r="2470" spans="1:64" s="404" customFormat="1" ht="13">
      <c r="A2470" s="454"/>
      <c r="B2470" s="454"/>
      <c r="C2470" s="427" t="s">
        <v>845</v>
      </c>
      <c r="D2470" s="414">
        <f t="shared" ref="D2470:L2470" si="583">SUM(D2468:D2469)</f>
        <v>328.27</v>
      </c>
      <c r="E2470" s="414">
        <f t="shared" si="583"/>
        <v>356.29600000000005</v>
      </c>
      <c r="F2470" s="414">
        <f t="shared" si="583"/>
        <v>384.33200000000005</v>
      </c>
      <c r="G2470" s="414">
        <f t="shared" si="583"/>
        <v>412.34799999999996</v>
      </c>
      <c r="H2470" s="414">
        <f t="shared" si="583"/>
        <v>440.38399999999996</v>
      </c>
      <c r="I2470" s="414">
        <f t="shared" si="583"/>
        <v>468.42</v>
      </c>
      <c r="J2470" s="657">
        <f t="shared" si="583"/>
        <v>496.44600000000003</v>
      </c>
      <c r="K2470" s="631">
        <f t="shared" si="583"/>
        <v>524.47199999999998</v>
      </c>
      <c r="L2470" s="631">
        <f t="shared" si="583"/>
        <v>552.49800000000005</v>
      </c>
    </row>
    <row r="2471" spans="1:64" s="404" customFormat="1" ht="13">
      <c r="A2471" s="454"/>
      <c r="B2471" s="454"/>
      <c r="C2471" s="522" t="s">
        <v>726</v>
      </c>
      <c r="D2471" s="416">
        <f t="shared" ref="D2471:L2471" si="584">ROUND(D2470,0)</f>
        <v>328</v>
      </c>
      <c r="E2471" s="416">
        <f t="shared" si="584"/>
        <v>356</v>
      </c>
      <c r="F2471" s="416">
        <f t="shared" si="584"/>
        <v>384</v>
      </c>
      <c r="G2471" s="416">
        <f t="shared" si="584"/>
        <v>412</v>
      </c>
      <c r="H2471" s="416">
        <f t="shared" si="584"/>
        <v>440</v>
      </c>
      <c r="I2471" s="416">
        <f t="shared" si="584"/>
        <v>468</v>
      </c>
      <c r="J2471" s="529">
        <f t="shared" si="584"/>
        <v>496</v>
      </c>
      <c r="K2471" s="530">
        <f t="shared" si="584"/>
        <v>524</v>
      </c>
      <c r="L2471" s="530">
        <f t="shared" si="584"/>
        <v>552</v>
      </c>
    </row>
    <row r="2472" spans="1:64" s="404" customFormat="1" ht="13">
      <c r="A2472" s="454"/>
      <c r="B2472" s="454"/>
      <c r="C2472" s="417"/>
      <c r="D2472" s="416"/>
      <c r="E2472" s="454"/>
      <c r="F2472" s="408"/>
      <c r="G2472" s="430"/>
      <c r="H2472" s="415"/>
      <c r="I2472" s="414"/>
      <c r="J2472" s="400"/>
      <c r="K2472" s="401"/>
      <c r="L2472" s="401"/>
    </row>
    <row r="2473" spans="1:64" ht="118" customHeight="1">
      <c r="A2473" s="454">
        <f>1+A2375</f>
        <v>8</v>
      </c>
      <c r="B2473" s="454"/>
      <c r="C2473" s="1276" t="s">
        <v>1146</v>
      </c>
      <c r="D2473" s="1276"/>
      <c r="E2473" s="1276"/>
      <c r="F2473" s="1276"/>
      <c r="G2473" s="1276"/>
      <c r="H2473" s="1276"/>
      <c r="I2473" s="407"/>
      <c r="J2473" s="400"/>
      <c r="K2473" s="401"/>
      <c r="L2473" s="401"/>
      <c r="M2473" s="404"/>
      <c r="N2473" s="404"/>
      <c r="O2473" s="404"/>
      <c r="P2473" s="404"/>
      <c r="Q2473" s="404"/>
      <c r="R2473" s="404"/>
      <c r="S2473" s="404"/>
      <c r="T2473" s="404"/>
      <c r="U2473" s="404"/>
      <c r="V2473" s="404"/>
      <c r="W2473" s="404"/>
      <c r="X2473" s="404"/>
      <c r="Y2473" s="404"/>
      <c r="Z2473" s="404"/>
      <c r="AA2473" s="404"/>
      <c r="AB2473" s="404"/>
      <c r="AC2473" s="404"/>
      <c r="AD2473" s="404"/>
      <c r="AE2473" s="404"/>
      <c r="AF2473" s="404"/>
      <c r="AG2473" s="404"/>
      <c r="AH2473" s="404"/>
      <c r="AI2473" s="404"/>
      <c r="AJ2473" s="404"/>
      <c r="AK2473" s="404"/>
      <c r="AL2473" s="404"/>
      <c r="AM2473" s="404"/>
      <c r="AN2473" s="404"/>
      <c r="AO2473" s="404"/>
      <c r="AP2473" s="404"/>
      <c r="AQ2473" s="404"/>
      <c r="AR2473" s="404"/>
      <c r="AS2473" s="404"/>
      <c r="AT2473" s="404"/>
      <c r="AU2473" s="404"/>
      <c r="AV2473" s="404"/>
      <c r="AW2473" s="404"/>
      <c r="AX2473" s="404"/>
      <c r="AY2473" s="404"/>
      <c r="AZ2473" s="404"/>
      <c r="BA2473" s="404"/>
      <c r="BB2473" s="404"/>
      <c r="BC2473" s="404"/>
      <c r="BD2473" s="404"/>
      <c r="BE2473" s="404"/>
      <c r="BF2473" s="404"/>
      <c r="BG2473" s="404"/>
      <c r="BH2473" s="404"/>
      <c r="BI2473" s="404"/>
      <c r="BJ2473" s="404"/>
      <c r="BK2473" s="404"/>
      <c r="BL2473" s="404"/>
    </row>
    <row r="2474" spans="1:64" ht="13">
      <c r="A2474" s="454"/>
      <c r="B2474" s="454"/>
      <c r="C2474" s="455" t="s">
        <v>1147</v>
      </c>
      <c r="D2474" s="408"/>
      <c r="E2474" s="454"/>
      <c r="F2474" s="408"/>
      <c r="G2474" s="430"/>
      <c r="H2474" s="454"/>
      <c r="I2474" s="408"/>
      <c r="J2474" s="400"/>
      <c r="K2474" s="401"/>
      <c r="L2474" s="401"/>
      <c r="M2474" s="404"/>
      <c r="N2474" s="404"/>
      <c r="O2474" s="404"/>
      <c r="P2474" s="404"/>
      <c r="Q2474" s="404"/>
      <c r="R2474" s="404"/>
      <c r="S2474" s="404"/>
      <c r="T2474" s="404"/>
      <c r="U2474" s="404"/>
      <c r="V2474" s="404"/>
      <c r="W2474" s="404"/>
      <c r="X2474" s="404"/>
      <c r="Y2474" s="404"/>
      <c r="Z2474" s="404"/>
      <c r="AA2474" s="404"/>
      <c r="AB2474" s="404"/>
      <c r="AC2474" s="404"/>
      <c r="AD2474" s="404"/>
      <c r="AE2474" s="404"/>
      <c r="AF2474" s="404"/>
      <c r="AG2474" s="404"/>
      <c r="AH2474" s="404"/>
      <c r="AI2474" s="404"/>
      <c r="AJ2474" s="404"/>
      <c r="AK2474" s="404"/>
      <c r="AL2474" s="404"/>
      <c r="AM2474" s="404"/>
      <c r="AN2474" s="404"/>
      <c r="AO2474" s="404"/>
      <c r="AP2474" s="404"/>
      <c r="AQ2474" s="404"/>
      <c r="AR2474" s="404"/>
      <c r="AS2474" s="404"/>
      <c r="AT2474" s="404"/>
      <c r="AU2474" s="404"/>
      <c r="AV2474" s="404"/>
      <c r="AW2474" s="404"/>
      <c r="AX2474" s="404"/>
      <c r="AY2474" s="404"/>
      <c r="AZ2474" s="404"/>
      <c r="BA2474" s="404"/>
      <c r="BB2474" s="404"/>
      <c r="BC2474" s="404"/>
      <c r="BD2474" s="404"/>
      <c r="BE2474" s="404"/>
      <c r="BF2474" s="404"/>
      <c r="BG2474" s="404"/>
      <c r="BH2474" s="404"/>
      <c r="BI2474" s="404"/>
      <c r="BJ2474" s="404"/>
      <c r="BK2474" s="404"/>
      <c r="BL2474" s="404"/>
    </row>
    <row r="2475" spans="1:64">
      <c r="A2475" s="454"/>
      <c r="B2475" s="454"/>
      <c r="C2475" s="469" t="s">
        <v>1127</v>
      </c>
      <c r="D2475" s="408"/>
      <c r="E2475" s="454"/>
      <c r="F2475" s="408"/>
      <c r="G2475" s="430"/>
      <c r="H2475" s="454"/>
      <c r="I2475" s="408"/>
      <c r="J2475" s="400"/>
      <c r="K2475" s="401"/>
      <c r="L2475" s="401"/>
      <c r="M2475" s="404"/>
      <c r="N2475" s="404"/>
      <c r="O2475" s="404"/>
      <c r="P2475" s="404"/>
      <c r="Q2475" s="404"/>
      <c r="R2475" s="404"/>
      <c r="S2475" s="404"/>
      <c r="T2475" s="404"/>
      <c r="U2475" s="404"/>
      <c r="V2475" s="404"/>
      <c r="W2475" s="404"/>
      <c r="X2475" s="404"/>
      <c r="Y2475" s="404"/>
      <c r="Z2475" s="404"/>
      <c r="AA2475" s="404"/>
      <c r="AB2475" s="404"/>
      <c r="AC2475" s="404"/>
      <c r="AD2475" s="404"/>
      <c r="AE2475" s="404"/>
      <c r="AF2475" s="404"/>
      <c r="AG2475" s="404"/>
      <c r="AH2475" s="404"/>
      <c r="AI2475" s="404"/>
      <c r="AJ2475" s="404"/>
      <c r="AK2475" s="404"/>
      <c r="AL2475" s="404"/>
      <c r="AM2475" s="404"/>
      <c r="AN2475" s="404"/>
      <c r="AO2475" s="404"/>
      <c r="AP2475" s="404"/>
      <c r="AQ2475" s="404"/>
      <c r="AR2475" s="404"/>
      <c r="AS2475" s="404"/>
      <c r="AT2475" s="404"/>
      <c r="AU2475" s="404"/>
      <c r="AV2475" s="404"/>
      <c r="AW2475" s="404"/>
      <c r="AX2475" s="404"/>
      <c r="AY2475" s="404"/>
      <c r="AZ2475" s="404"/>
      <c r="BA2475" s="404"/>
      <c r="BB2475" s="404"/>
      <c r="BC2475" s="404"/>
      <c r="BD2475" s="404"/>
      <c r="BE2475" s="404"/>
      <c r="BF2475" s="404"/>
      <c r="BG2475" s="404"/>
      <c r="BH2475" s="404"/>
      <c r="BI2475" s="404"/>
      <c r="BJ2475" s="404"/>
      <c r="BK2475" s="404"/>
      <c r="BL2475" s="404"/>
    </row>
    <row r="2476" spans="1:64" ht="13">
      <c r="A2476" s="454"/>
      <c r="B2476" s="454"/>
      <c r="C2476" s="427" t="s">
        <v>873</v>
      </c>
      <c r="D2476" s="408"/>
      <c r="E2476" s="454"/>
      <c r="F2476" s="408"/>
      <c r="G2476" s="430"/>
      <c r="H2476" s="454"/>
      <c r="I2476" s="408"/>
      <c r="J2476" s="400"/>
      <c r="K2476" s="401"/>
      <c r="L2476" s="401"/>
      <c r="M2476" s="404"/>
      <c r="N2476" s="404"/>
      <c r="O2476" s="404"/>
      <c r="P2476" s="404"/>
      <c r="Q2476" s="404"/>
      <c r="R2476" s="404"/>
      <c r="S2476" s="404"/>
      <c r="T2476" s="404"/>
      <c r="U2476" s="404"/>
      <c r="V2476" s="404"/>
      <c r="W2476" s="404"/>
      <c r="X2476" s="404"/>
      <c r="Y2476" s="404"/>
      <c r="Z2476" s="404"/>
      <c r="AA2476" s="404"/>
      <c r="AB2476" s="404"/>
      <c r="AC2476" s="404"/>
      <c r="AD2476" s="404"/>
      <c r="AE2476" s="404"/>
      <c r="AF2476" s="404"/>
      <c r="AG2476" s="404"/>
      <c r="AH2476" s="404"/>
      <c r="AI2476" s="404"/>
      <c r="AJ2476" s="404"/>
      <c r="AK2476" s="404"/>
      <c r="AL2476" s="404"/>
      <c r="AM2476" s="404"/>
      <c r="AN2476" s="404"/>
      <c r="AO2476" s="404"/>
      <c r="AP2476" s="404"/>
      <c r="AQ2476" s="404"/>
      <c r="AR2476" s="404"/>
      <c r="AS2476" s="404"/>
      <c r="AT2476" s="404"/>
      <c r="AU2476" s="404"/>
      <c r="AV2476" s="404"/>
      <c r="AW2476" s="404"/>
      <c r="AX2476" s="404"/>
      <c r="AY2476" s="404"/>
      <c r="AZ2476" s="404"/>
      <c r="BA2476" s="404"/>
      <c r="BB2476" s="404"/>
      <c r="BC2476" s="404"/>
      <c r="BD2476" s="404"/>
      <c r="BE2476" s="404"/>
      <c r="BF2476" s="404"/>
      <c r="BG2476" s="404"/>
      <c r="BH2476" s="404"/>
      <c r="BI2476" s="404"/>
      <c r="BJ2476" s="404"/>
      <c r="BK2476" s="404"/>
      <c r="BL2476" s="404"/>
    </row>
    <row r="2477" spans="1:64">
      <c r="A2477" s="454"/>
      <c r="B2477" s="454"/>
      <c r="C2477" s="417" t="s">
        <v>1129</v>
      </c>
      <c r="D2477" s="408">
        <v>100.8</v>
      </c>
      <c r="E2477" s="454" t="s">
        <v>833</v>
      </c>
      <c r="F2477" s="408">
        <f>[161]LEAD!$N$6</f>
        <v>5200</v>
      </c>
      <c r="G2477" s="430">
        <v>1000</v>
      </c>
      <c r="H2477" s="456" t="str">
        <f t="shared" ref="H2477:H2479" si="585">IF(E2477="","",IF(E2477="No.","Each",IF(E2477="Nos.","Each",E2477)))</f>
        <v>Kgs</v>
      </c>
      <c r="I2477" s="408">
        <f t="shared" ref="I2477:I2479" si="586">IF(G2477="",D2477*F2477,(D2477*F2477/G2477))</f>
        <v>524.16</v>
      </c>
      <c r="J2477" s="400"/>
      <c r="K2477" s="401"/>
      <c r="L2477" s="401"/>
      <c r="M2477" s="404"/>
      <c r="N2477" s="404"/>
      <c r="O2477" s="404"/>
      <c r="P2477" s="404"/>
      <c r="Q2477" s="404"/>
      <c r="R2477" s="404"/>
      <c r="S2477" s="404"/>
      <c r="T2477" s="404"/>
      <c r="U2477" s="404"/>
      <c r="V2477" s="404"/>
      <c r="W2477" s="404"/>
      <c r="X2477" s="404"/>
      <c r="Y2477" s="404"/>
      <c r="Z2477" s="404"/>
      <c r="AA2477" s="404"/>
      <c r="AB2477" s="404"/>
      <c r="AC2477" s="404"/>
      <c r="AD2477" s="404"/>
      <c r="AE2477" s="404"/>
      <c r="AF2477" s="404"/>
      <c r="AG2477" s="404"/>
      <c r="AH2477" s="404"/>
      <c r="AI2477" s="404"/>
      <c r="AJ2477" s="404"/>
      <c r="AK2477" s="404"/>
      <c r="AL2477" s="404"/>
      <c r="AM2477" s="404"/>
      <c r="AN2477" s="404"/>
      <c r="AO2477" s="404"/>
      <c r="AP2477" s="404"/>
      <c r="AQ2477" s="404"/>
      <c r="AR2477" s="404"/>
      <c r="AS2477" s="404"/>
      <c r="AT2477" s="404"/>
      <c r="AU2477" s="404"/>
      <c r="AV2477" s="404"/>
      <c r="AW2477" s="404"/>
      <c r="AX2477" s="404"/>
      <c r="AY2477" s="404"/>
      <c r="AZ2477" s="404"/>
      <c r="BA2477" s="404"/>
      <c r="BB2477" s="404"/>
      <c r="BC2477" s="404"/>
      <c r="BD2477" s="404"/>
      <c r="BE2477" s="404"/>
      <c r="BF2477" s="404"/>
      <c r="BG2477" s="404"/>
      <c r="BH2477" s="404"/>
      <c r="BI2477" s="404"/>
      <c r="BJ2477" s="404"/>
      <c r="BK2477" s="404"/>
      <c r="BL2477" s="404"/>
    </row>
    <row r="2478" spans="1:64">
      <c r="A2478" s="454"/>
      <c r="B2478" s="454"/>
      <c r="C2478" s="417" t="s">
        <v>1130</v>
      </c>
      <c r="D2478" s="408">
        <v>0.21</v>
      </c>
      <c r="E2478" s="454" t="s">
        <v>57</v>
      </c>
      <c r="F2478" s="408">
        <f>[161]LEAD!$N$13</f>
        <v>2453.91</v>
      </c>
      <c r="G2478" s="430">
        <v>1</v>
      </c>
      <c r="H2478" s="456" t="str">
        <f t="shared" si="585"/>
        <v>Cum</v>
      </c>
      <c r="I2478" s="408">
        <f t="shared" si="586"/>
        <v>515.3211</v>
      </c>
      <c r="J2478" s="400"/>
      <c r="K2478" s="401"/>
      <c r="L2478" s="401"/>
      <c r="M2478" s="404"/>
      <c r="N2478" s="404"/>
      <c r="O2478" s="404"/>
      <c r="P2478" s="404"/>
      <c r="Q2478" s="404"/>
      <c r="R2478" s="404"/>
      <c r="S2478" s="404"/>
      <c r="T2478" s="404"/>
      <c r="U2478" s="404"/>
      <c r="V2478" s="404"/>
      <c r="W2478" s="404"/>
      <c r="X2478" s="404"/>
      <c r="Y2478" s="404"/>
      <c r="Z2478" s="404"/>
      <c r="AA2478" s="404"/>
      <c r="AB2478" s="404"/>
      <c r="AC2478" s="404"/>
      <c r="AD2478" s="404"/>
      <c r="AE2478" s="404"/>
      <c r="AF2478" s="404"/>
      <c r="AG2478" s="404"/>
      <c r="AH2478" s="404"/>
      <c r="AI2478" s="404"/>
      <c r="AJ2478" s="404"/>
      <c r="AK2478" s="404"/>
      <c r="AL2478" s="404"/>
      <c r="AM2478" s="404"/>
      <c r="AN2478" s="404"/>
      <c r="AO2478" s="404"/>
      <c r="AP2478" s="404"/>
      <c r="AQ2478" s="404"/>
      <c r="AR2478" s="404"/>
      <c r="AS2478" s="404"/>
      <c r="AT2478" s="404"/>
      <c r="AU2478" s="404"/>
      <c r="AV2478" s="404"/>
      <c r="AW2478" s="404"/>
      <c r="AX2478" s="404"/>
      <c r="AY2478" s="404"/>
      <c r="AZ2478" s="404"/>
      <c r="BA2478" s="404"/>
      <c r="BB2478" s="404"/>
      <c r="BC2478" s="404"/>
      <c r="BD2478" s="404"/>
      <c r="BE2478" s="404"/>
      <c r="BF2478" s="404"/>
      <c r="BG2478" s="404"/>
      <c r="BH2478" s="404"/>
      <c r="BI2478" s="404"/>
      <c r="BJ2478" s="404"/>
      <c r="BK2478" s="404"/>
      <c r="BL2478" s="404"/>
    </row>
    <row r="2479" spans="1:64">
      <c r="A2479" s="454"/>
      <c r="B2479" s="454"/>
      <c r="C2479" s="417" t="s">
        <v>1148</v>
      </c>
      <c r="D2479" s="408">
        <v>0.4</v>
      </c>
      <c r="E2479" s="454" t="s">
        <v>1149</v>
      </c>
      <c r="F2479" s="408">
        <f>'[161]Civil-SOR'!$G$180</f>
        <v>215</v>
      </c>
      <c r="G2479" s="408">
        <f>'[161]Civil-SOR'!$H$314</f>
        <v>1</v>
      </c>
      <c r="H2479" s="456" t="str">
        <f t="shared" si="585"/>
        <v>Ltrs</v>
      </c>
      <c r="I2479" s="408">
        <f t="shared" si="586"/>
        <v>86</v>
      </c>
      <c r="J2479" s="400"/>
      <c r="K2479" s="401"/>
      <c r="L2479" s="401"/>
      <c r="M2479" s="404"/>
      <c r="N2479" s="404"/>
      <c r="O2479" s="404"/>
      <c r="P2479" s="404"/>
      <c r="Q2479" s="404"/>
      <c r="R2479" s="404"/>
      <c r="S2479" s="404"/>
      <c r="T2479" s="404"/>
      <c r="U2479" s="404"/>
      <c r="V2479" s="404"/>
      <c r="W2479" s="404"/>
      <c r="X2479" s="404"/>
      <c r="Y2479" s="404"/>
      <c r="Z2479" s="404"/>
      <c r="AA2479" s="404"/>
      <c r="AB2479" s="404"/>
      <c r="AC2479" s="404"/>
      <c r="AD2479" s="404"/>
      <c r="AE2479" s="404"/>
      <c r="AF2479" s="404"/>
      <c r="AG2479" s="404"/>
      <c r="AH2479" s="404"/>
      <c r="AI2479" s="404"/>
      <c r="AJ2479" s="404"/>
      <c r="AK2479" s="404"/>
      <c r="AL2479" s="404"/>
      <c r="AM2479" s="404"/>
      <c r="AN2479" s="404"/>
      <c r="AO2479" s="404"/>
      <c r="AP2479" s="404"/>
      <c r="AQ2479" s="404"/>
      <c r="AR2479" s="404"/>
      <c r="AS2479" s="404"/>
      <c r="AT2479" s="404"/>
      <c r="AU2479" s="404"/>
      <c r="AV2479" s="404"/>
      <c r="AW2479" s="404"/>
      <c r="AX2479" s="404"/>
      <c r="AY2479" s="404"/>
      <c r="AZ2479" s="404"/>
      <c r="BA2479" s="404"/>
      <c r="BB2479" s="404"/>
      <c r="BC2479" s="404"/>
      <c r="BD2479" s="404"/>
      <c r="BE2479" s="404"/>
      <c r="BF2479" s="404"/>
      <c r="BG2479" s="404"/>
      <c r="BH2479" s="404"/>
      <c r="BI2479" s="404"/>
      <c r="BJ2479" s="404"/>
      <c r="BK2479" s="404"/>
      <c r="BL2479" s="404"/>
    </row>
    <row r="2480" spans="1:64" ht="13">
      <c r="A2480" s="454"/>
      <c r="B2480" s="454"/>
      <c r="C2480" s="427" t="s">
        <v>911</v>
      </c>
      <c r="D2480" s="408"/>
      <c r="E2480" s="454"/>
      <c r="F2480" s="408"/>
      <c r="G2480" s="430"/>
      <c r="H2480" s="456"/>
      <c r="I2480" s="408"/>
      <c r="J2480" s="400"/>
      <c r="K2480" s="401"/>
      <c r="L2480" s="401"/>
      <c r="M2480" s="404"/>
      <c r="N2480" s="404"/>
      <c r="O2480" s="404"/>
      <c r="P2480" s="404"/>
      <c r="Q2480" s="404"/>
      <c r="R2480" s="404"/>
      <c r="S2480" s="404"/>
      <c r="T2480" s="404"/>
      <c r="U2480" s="404"/>
      <c r="V2480" s="404"/>
      <c r="W2480" s="404"/>
      <c r="X2480" s="404"/>
      <c r="Y2480" s="404"/>
      <c r="Z2480" s="404"/>
      <c r="AA2480" s="404"/>
      <c r="AB2480" s="404"/>
      <c r="AC2480" s="404"/>
      <c r="AD2480" s="404"/>
      <c r="AE2480" s="404"/>
      <c r="AF2480" s="404"/>
      <c r="AG2480" s="404"/>
      <c r="AH2480" s="404"/>
      <c r="AI2480" s="404"/>
      <c r="AJ2480" s="404"/>
      <c r="AK2480" s="404"/>
      <c r="AL2480" s="404"/>
      <c r="AM2480" s="404"/>
      <c r="AN2480" s="404"/>
      <c r="AO2480" s="404"/>
      <c r="AP2480" s="404"/>
      <c r="AQ2480" s="404"/>
      <c r="AR2480" s="404"/>
      <c r="AS2480" s="404"/>
      <c r="AT2480" s="404"/>
      <c r="AU2480" s="404"/>
      <c r="AV2480" s="404"/>
      <c r="AW2480" s="404"/>
      <c r="AX2480" s="404"/>
      <c r="AY2480" s="404"/>
      <c r="AZ2480" s="404"/>
      <c r="BA2480" s="404"/>
      <c r="BB2480" s="404"/>
      <c r="BC2480" s="404"/>
      <c r="BD2480" s="404"/>
      <c r="BE2480" s="404"/>
      <c r="BF2480" s="404"/>
      <c r="BG2480" s="404"/>
      <c r="BH2480" s="404"/>
      <c r="BI2480" s="404"/>
      <c r="BJ2480" s="404"/>
      <c r="BK2480" s="404"/>
      <c r="BL2480" s="404"/>
    </row>
    <row r="2481" spans="1:64">
      <c r="A2481" s="454"/>
      <c r="B2481" s="454"/>
      <c r="C2481" s="417" t="s">
        <v>1132</v>
      </c>
      <c r="D2481" s="408">
        <v>0.66</v>
      </c>
      <c r="E2481" s="408" t="s">
        <v>375</v>
      </c>
      <c r="F2481" s="408">
        <f>'[161]Civil-SOR'!$G$293</f>
        <v>580</v>
      </c>
      <c r="G2481" s="430">
        <v>1</v>
      </c>
      <c r="H2481" s="456" t="str">
        <f t="shared" ref="H2481:H2483" si="587">IF(E2481="","",IF(E2481="No.","Each",IF(E2481="Nos.","Each",E2481)))</f>
        <v>Each</v>
      </c>
      <c r="I2481" s="408">
        <f t="shared" ref="I2481:I2485" si="588">IF(G2481="",D2481*F2481,(D2481*F2481/G2481))</f>
        <v>382.8</v>
      </c>
      <c r="J2481" s="400"/>
      <c r="K2481" s="401"/>
      <c r="L2481" s="401"/>
      <c r="M2481" s="404"/>
      <c r="N2481" s="404"/>
      <c r="O2481" s="404"/>
      <c r="P2481" s="404"/>
      <c r="Q2481" s="404"/>
      <c r="R2481" s="404"/>
      <c r="S2481" s="404"/>
      <c r="T2481" s="404"/>
      <c r="U2481" s="404"/>
      <c r="V2481" s="404"/>
      <c r="W2481" s="404"/>
      <c r="X2481" s="404"/>
      <c r="Y2481" s="404"/>
      <c r="Z2481" s="404"/>
      <c r="AA2481" s="404"/>
      <c r="AB2481" s="404"/>
      <c r="AC2481" s="404"/>
      <c r="AD2481" s="404"/>
      <c r="AE2481" s="404"/>
      <c r="AF2481" s="404"/>
      <c r="AG2481" s="404"/>
      <c r="AH2481" s="404"/>
      <c r="AI2481" s="404"/>
      <c r="AJ2481" s="404"/>
      <c r="AK2481" s="404"/>
      <c r="AL2481" s="404"/>
      <c r="AM2481" s="404"/>
      <c r="AN2481" s="404"/>
      <c r="AO2481" s="404"/>
      <c r="AP2481" s="404"/>
      <c r="AQ2481" s="404"/>
      <c r="AR2481" s="404"/>
      <c r="AS2481" s="404"/>
      <c r="AT2481" s="404"/>
      <c r="AU2481" s="404"/>
      <c r="AV2481" s="404"/>
      <c r="AW2481" s="404"/>
      <c r="AX2481" s="404"/>
      <c r="AY2481" s="404"/>
      <c r="AZ2481" s="404"/>
      <c r="BA2481" s="404"/>
      <c r="BB2481" s="404"/>
      <c r="BC2481" s="404"/>
      <c r="BD2481" s="404"/>
      <c r="BE2481" s="404"/>
      <c r="BF2481" s="404"/>
      <c r="BG2481" s="404"/>
      <c r="BH2481" s="404"/>
      <c r="BI2481" s="404"/>
      <c r="BJ2481" s="404"/>
      <c r="BK2481" s="404"/>
      <c r="BL2481" s="404"/>
    </row>
    <row r="2482" spans="1:64">
      <c r="A2482" s="454"/>
      <c r="B2482" s="454"/>
      <c r="C2482" s="417" t="s">
        <v>1133</v>
      </c>
      <c r="D2482" s="408">
        <v>1.54</v>
      </c>
      <c r="E2482" s="408" t="s">
        <v>375</v>
      </c>
      <c r="F2482" s="408">
        <f>'[161]Civil-SOR'!$G$302</f>
        <v>550</v>
      </c>
      <c r="G2482" s="430">
        <v>1</v>
      </c>
      <c r="H2482" s="456" t="str">
        <f t="shared" si="587"/>
        <v>Each</v>
      </c>
      <c r="I2482" s="408">
        <f t="shared" si="588"/>
        <v>847</v>
      </c>
      <c r="J2482" s="400"/>
      <c r="K2482" s="401"/>
      <c r="L2482" s="401"/>
      <c r="M2482" s="404"/>
      <c r="N2482" s="404"/>
      <c r="O2482" s="404"/>
      <c r="P2482" s="404"/>
      <c r="Q2482" s="404"/>
      <c r="R2482" s="404"/>
      <c r="S2482" s="404"/>
      <c r="T2482" s="404"/>
      <c r="U2482" s="404"/>
      <c r="V2482" s="404"/>
      <c r="W2482" s="404"/>
      <c r="X2482" s="404"/>
      <c r="Y2482" s="404"/>
      <c r="Z2482" s="404"/>
      <c r="AA2482" s="404"/>
      <c r="AB2482" s="404"/>
      <c r="AC2482" s="404"/>
      <c r="AD2482" s="404"/>
      <c r="AE2482" s="404"/>
      <c r="AF2482" s="404"/>
      <c r="AG2482" s="404"/>
      <c r="AH2482" s="404"/>
      <c r="AI2482" s="404"/>
      <c r="AJ2482" s="404"/>
      <c r="AK2482" s="404"/>
      <c r="AL2482" s="404"/>
      <c r="AM2482" s="404"/>
      <c r="AN2482" s="404"/>
      <c r="AO2482" s="404"/>
      <c r="AP2482" s="404"/>
      <c r="AQ2482" s="404"/>
      <c r="AR2482" s="404"/>
      <c r="AS2482" s="404"/>
      <c r="AT2482" s="404"/>
      <c r="AU2482" s="404"/>
      <c r="AV2482" s="404"/>
      <c r="AW2482" s="404"/>
      <c r="AX2482" s="404"/>
      <c r="AY2482" s="404"/>
      <c r="AZ2482" s="404"/>
      <c r="BA2482" s="404"/>
      <c r="BB2482" s="404"/>
      <c r="BC2482" s="404"/>
      <c r="BD2482" s="404"/>
      <c r="BE2482" s="404"/>
      <c r="BF2482" s="404"/>
      <c r="BG2482" s="404"/>
      <c r="BH2482" s="404"/>
      <c r="BI2482" s="404"/>
      <c r="BJ2482" s="404"/>
      <c r="BK2482" s="404"/>
      <c r="BL2482" s="404"/>
    </row>
    <row r="2483" spans="1:64">
      <c r="A2483" s="454"/>
      <c r="B2483" s="454"/>
      <c r="C2483" s="417" t="s">
        <v>903</v>
      </c>
      <c r="D2483" s="408">
        <v>3.7</v>
      </c>
      <c r="E2483" s="454" t="s">
        <v>375</v>
      </c>
      <c r="F2483" s="408">
        <f>'[161]Civil-SOR'!$G$307</f>
        <v>520</v>
      </c>
      <c r="G2483" s="430">
        <v>1</v>
      </c>
      <c r="H2483" s="456" t="str">
        <f t="shared" si="587"/>
        <v>Each</v>
      </c>
      <c r="I2483" s="408">
        <f t="shared" si="588"/>
        <v>1924</v>
      </c>
      <c r="J2483" s="400"/>
      <c r="K2483" s="401"/>
      <c r="L2483" s="401"/>
      <c r="M2483" s="404"/>
      <c r="N2483" s="404"/>
      <c r="O2483" s="404"/>
      <c r="P2483" s="404"/>
      <c r="Q2483" s="404"/>
      <c r="R2483" s="404"/>
      <c r="S2483" s="404"/>
      <c r="T2483" s="404"/>
      <c r="U2483" s="404"/>
      <c r="V2483" s="404"/>
      <c r="W2483" s="404"/>
      <c r="X2483" s="404"/>
      <c r="Y2483" s="404"/>
      <c r="Z2483" s="404"/>
      <c r="AA2483" s="404"/>
      <c r="AB2483" s="404"/>
      <c r="AC2483" s="404"/>
      <c r="AD2483" s="404"/>
      <c r="AE2483" s="404"/>
      <c r="AF2483" s="404"/>
      <c r="AG2483" s="404"/>
      <c r="AH2483" s="404"/>
      <c r="AI2483" s="404"/>
      <c r="AJ2483" s="404"/>
      <c r="AK2483" s="404"/>
      <c r="AL2483" s="404"/>
      <c r="AM2483" s="404"/>
      <c r="AN2483" s="404"/>
      <c r="AO2483" s="404"/>
      <c r="AP2483" s="404"/>
      <c r="AQ2483" s="404"/>
      <c r="AR2483" s="404"/>
      <c r="AS2483" s="404"/>
      <c r="AT2483" s="404"/>
      <c r="AU2483" s="404"/>
      <c r="AV2483" s="404"/>
      <c r="AW2483" s="404"/>
      <c r="AX2483" s="404"/>
      <c r="AY2483" s="404"/>
      <c r="AZ2483" s="404"/>
      <c r="BA2483" s="404"/>
      <c r="BB2483" s="404"/>
      <c r="BC2483" s="404"/>
      <c r="BD2483" s="404"/>
      <c r="BE2483" s="404"/>
      <c r="BF2483" s="404"/>
      <c r="BG2483" s="404"/>
      <c r="BH2483" s="404"/>
      <c r="BI2483" s="404"/>
      <c r="BJ2483" s="404"/>
      <c r="BK2483" s="404"/>
      <c r="BL2483" s="404"/>
    </row>
    <row r="2484" spans="1:64">
      <c r="A2484" s="454"/>
      <c r="B2484" s="454"/>
      <c r="C2484" s="417" t="str">
        <f>[161]Input!$C$47</f>
        <v>Add for MA @ 40%</v>
      </c>
      <c r="D2484" s="621">
        <f>[161]Input!$D$47</f>
        <v>0.4</v>
      </c>
      <c r="E2484" s="454"/>
      <c r="F2484" s="408">
        <f>SUM(I2481:I2483)</f>
        <v>3153.8</v>
      </c>
      <c r="G2484" s="410"/>
      <c r="H2484" s="426"/>
      <c r="I2484" s="408">
        <f t="shared" si="588"/>
        <v>1261.5200000000002</v>
      </c>
      <c r="J2484" s="400"/>
      <c r="K2484" s="401"/>
      <c r="L2484" s="401"/>
      <c r="M2484" s="404"/>
      <c r="N2484" s="404"/>
      <c r="O2484" s="404"/>
      <c r="P2484" s="404"/>
      <c r="Q2484" s="404"/>
      <c r="R2484" s="404"/>
      <c r="S2484" s="404"/>
      <c r="T2484" s="404"/>
      <c r="U2484" s="404"/>
      <c r="V2484" s="404"/>
      <c r="W2484" s="404"/>
      <c r="X2484" s="404"/>
      <c r="Y2484" s="404"/>
      <c r="Z2484" s="404"/>
      <c r="AA2484" s="404"/>
      <c r="AB2484" s="404"/>
      <c r="AC2484" s="404"/>
      <c r="AD2484" s="404"/>
      <c r="AE2484" s="404"/>
      <c r="AF2484" s="404"/>
      <c r="AG2484" s="404"/>
      <c r="AH2484" s="404"/>
      <c r="AI2484" s="404"/>
      <c r="AJ2484" s="404"/>
      <c r="AK2484" s="404"/>
      <c r="AL2484" s="404"/>
      <c r="AM2484" s="404"/>
      <c r="AN2484" s="404"/>
      <c r="AO2484" s="404"/>
      <c r="AP2484" s="404"/>
      <c r="AQ2484" s="404"/>
      <c r="AR2484" s="404"/>
      <c r="AS2484" s="404"/>
      <c r="AT2484" s="404"/>
      <c r="AU2484" s="404"/>
      <c r="AV2484" s="404"/>
      <c r="AW2484" s="404"/>
      <c r="AX2484" s="404"/>
      <c r="AY2484" s="404"/>
      <c r="AZ2484" s="404"/>
      <c r="BA2484" s="404"/>
      <c r="BB2484" s="404"/>
      <c r="BC2484" s="404"/>
      <c r="BD2484" s="404"/>
      <c r="BE2484" s="404"/>
      <c r="BF2484" s="404"/>
      <c r="BG2484" s="404"/>
      <c r="BH2484" s="404"/>
      <c r="BI2484" s="404"/>
      <c r="BJ2484" s="404"/>
      <c r="BK2484" s="404"/>
      <c r="BL2484" s="404"/>
    </row>
    <row r="2485" spans="1:64">
      <c r="A2485" s="454"/>
      <c r="B2485" s="454"/>
      <c r="C2485" s="417" t="s">
        <v>1058</v>
      </c>
      <c r="D2485" s="408">
        <v>0.01</v>
      </c>
      <c r="E2485" s="408"/>
      <c r="F2485" s="408">
        <f>SUM(I2477:I2484)</f>
        <v>5540.8011000000006</v>
      </c>
      <c r="G2485" s="430"/>
      <c r="H2485" s="456"/>
      <c r="I2485" s="408">
        <f t="shared" si="588"/>
        <v>55.408011000000009</v>
      </c>
      <c r="J2485" s="400"/>
      <c r="K2485" s="401"/>
      <c r="L2485" s="401"/>
      <c r="M2485" s="404"/>
      <c r="N2485" s="404"/>
      <c r="O2485" s="404"/>
      <c r="P2485" s="404"/>
      <c r="Q2485" s="404"/>
      <c r="R2485" s="404"/>
      <c r="S2485" s="404"/>
      <c r="T2485" s="404"/>
      <c r="U2485" s="404"/>
      <c r="V2485" s="404"/>
      <c r="W2485" s="404"/>
      <c r="X2485" s="404"/>
      <c r="Y2485" s="404"/>
      <c r="Z2485" s="404"/>
      <c r="AA2485" s="404"/>
      <c r="AB2485" s="404"/>
      <c r="AC2485" s="404"/>
      <c r="AD2485" s="404"/>
      <c r="AE2485" s="404"/>
      <c r="AF2485" s="404"/>
      <c r="AG2485" s="404"/>
      <c r="AH2485" s="404"/>
      <c r="AI2485" s="404"/>
      <c r="AJ2485" s="404"/>
      <c r="AK2485" s="404"/>
      <c r="AL2485" s="404"/>
      <c r="AM2485" s="404"/>
      <c r="AN2485" s="404"/>
      <c r="AO2485" s="404"/>
      <c r="AP2485" s="404"/>
      <c r="AQ2485" s="404"/>
      <c r="AR2485" s="404"/>
      <c r="AS2485" s="404"/>
      <c r="AT2485" s="404"/>
      <c r="AU2485" s="404"/>
      <c r="AV2485" s="404"/>
      <c r="AW2485" s="404"/>
      <c r="AX2485" s="404"/>
      <c r="AY2485" s="404"/>
      <c r="AZ2485" s="404"/>
      <c r="BA2485" s="404"/>
      <c r="BB2485" s="404"/>
      <c r="BC2485" s="404"/>
      <c r="BD2485" s="404"/>
      <c r="BE2485" s="404"/>
      <c r="BF2485" s="404"/>
      <c r="BG2485" s="404"/>
      <c r="BH2485" s="404"/>
      <c r="BI2485" s="404"/>
      <c r="BJ2485" s="404"/>
      <c r="BK2485" s="404"/>
      <c r="BL2485" s="404"/>
    </row>
    <row r="2486" spans="1:64" ht="13">
      <c r="A2486" s="454"/>
      <c r="B2486" s="454"/>
      <c r="C2486" s="481" t="s">
        <v>1047</v>
      </c>
      <c r="D2486" s="621"/>
      <c r="E2486" s="454"/>
      <c r="F2486" s="408"/>
      <c r="G2486" s="410"/>
      <c r="H2486" s="426"/>
      <c r="I2486" s="414">
        <f>SUM(I2477:I2485)</f>
        <v>5596.209111000001</v>
      </c>
      <c r="J2486" s="411"/>
      <c r="K2486" s="412">
        <f>12/20*100.8</f>
        <v>60.48</v>
      </c>
      <c r="L2486" s="412"/>
      <c r="M2486" s="413"/>
      <c r="N2486" s="413"/>
      <c r="O2486" s="413"/>
      <c r="P2486" s="413"/>
      <c r="Q2486" s="413"/>
      <c r="R2486" s="413"/>
      <c r="S2486" s="413"/>
      <c r="T2486" s="413"/>
      <c r="U2486" s="413"/>
      <c r="V2486" s="413"/>
      <c r="W2486" s="413"/>
      <c r="X2486" s="413"/>
      <c r="Y2486" s="413"/>
      <c r="Z2486" s="413"/>
      <c r="AA2486" s="413"/>
      <c r="AB2486" s="413"/>
      <c r="AC2486" s="413"/>
      <c r="AD2486" s="413"/>
      <c r="AE2486" s="413"/>
      <c r="AF2486" s="413"/>
      <c r="AG2486" s="413"/>
      <c r="AH2486" s="413"/>
      <c r="AI2486" s="413"/>
      <c r="AJ2486" s="413"/>
      <c r="AK2486" s="413"/>
      <c r="AL2486" s="413"/>
      <c r="AM2486" s="413"/>
      <c r="AN2486" s="413"/>
      <c r="AO2486" s="413"/>
      <c r="AP2486" s="413"/>
      <c r="AQ2486" s="413"/>
      <c r="AR2486" s="413"/>
      <c r="AS2486" s="413"/>
      <c r="AT2486" s="413"/>
      <c r="AU2486" s="413"/>
      <c r="AV2486" s="413"/>
      <c r="AW2486" s="413"/>
      <c r="AX2486" s="413"/>
      <c r="AY2486" s="413"/>
      <c r="AZ2486" s="413"/>
      <c r="BA2486" s="413"/>
      <c r="BB2486" s="413"/>
      <c r="BC2486" s="413"/>
      <c r="BD2486" s="413"/>
      <c r="BE2486" s="413"/>
      <c r="BF2486" s="413"/>
      <c r="BG2486" s="413"/>
      <c r="BH2486" s="413"/>
      <c r="BI2486" s="413"/>
      <c r="BJ2486" s="413"/>
      <c r="BK2486" s="413"/>
      <c r="BL2486" s="413"/>
    </row>
    <row r="2487" spans="1:64">
      <c r="A2487" s="454"/>
      <c r="B2487" s="454"/>
      <c r="C2487" s="417"/>
      <c r="D2487" s="408"/>
      <c r="E2487" s="454"/>
      <c r="F2487" s="408"/>
      <c r="G2487" s="430"/>
      <c r="H2487" s="456"/>
      <c r="I2487" s="408"/>
      <c r="J2487" s="400"/>
      <c r="K2487" s="401"/>
      <c r="L2487" s="401"/>
      <c r="M2487" s="404"/>
      <c r="N2487" s="404"/>
      <c r="O2487" s="404"/>
      <c r="P2487" s="404"/>
      <c r="Q2487" s="404"/>
      <c r="R2487" s="404"/>
      <c r="S2487" s="404"/>
      <c r="T2487" s="404"/>
      <c r="U2487" s="404"/>
      <c r="V2487" s="404"/>
      <c r="W2487" s="404"/>
      <c r="X2487" s="404"/>
      <c r="Y2487" s="404"/>
      <c r="Z2487" s="404"/>
      <c r="AA2487" s="404"/>
      <c r="AB2487" s="404"/>
      <c r="AC2487" s="404"/>
      <c r="AD2487" s="404"/>
      <c r="AE2487" s="404"/>
      <c r="AF2487" s="404"/>
      <c r="AG2487" s="404"/>
      <c r="AH2487" s="404"/>
      <c r="AI2487" s="404"/>
      <c r="AJ2487" s="404"/>
      <c r="AK2487" s="404"/>
      <c r="AL2487" s="404"/>
      <c r="AM2487" s="404"/>
      <c r="AN2487" s="404"/>
      <c r="AO2487" s="404"/>
      <c r="AP2487" s="404"/>
      <c r="AQ2487" s="404"/>
      <c r="AR2487" s="404"/>
      <c r="AS2487" s="404"/>
      <c r="AT2487" s="404"/>
      <c r="AU2487" s="404"/>
      <c r="AV2487" s="404"/>
      <c r="AW2487" s="404"/>
      <c r="AX2487" s="404"/>
      <c r="AY2487" s="404"/>
      <c r="AZ2487" s="404"/>
      <c r="BA2487" s="404"/>
      <c r="BB2487" s="404"/>
      <c r="BC2487" s="404"/>
      <c r="BD2487" s="404"/>
      <c r="BE2487" s="404"/>
      <c r="BF2487" s="404"/>
      <c r="BG2487" s="404"/>
      <c r="BH2487" s="404"/>
      <c r="BI2487" s="404"/>
      <c r="BJ2487" s="404"/>
      <c r="BK2487" s="404"/>
      <c r="BL2487" s="404"/>
    </row>
    <row r="2488" spans="1:64" ht="13">
      <c r="A2488" s="454"/>
      <c r="B2488" s="454"/>
      <c r="C2488" s="427" t="s">
        <v>953</v>
      </c>
      <c r="D2488" s="414" t="s">
        <v>959</v>
      </c>
      <c r="E2488" s="416" t="s">
        <v>943</v>
      </c>
      <c r="F2488" s="415" t="s">
        <v>944</v>
      </c>
      <c r="G2488" s="414" t="s">
        <v>1036</v>
      </c>
      <c r="H2488" s="414" t="s">
        <v>1037</v>
      </c>
      <c r="I2488" s="414" t="s">
        <v>1038</v>
      </c>
      <c r="J2488" s="400"/>
      <c r="K2488" s="401"/>
      <c r="L2488" s="401"/>
      <c r="M2488" s="404"/>
      <c r="N2488" s="404"/>
      <c r="O2488" s="404"/>
      <c r="P2488" s="404"/>
      <c r="Q2488" s="404"/>
      <c r="R2488" s="404"/>
      <c r="S2488" s="404"/>
      <c r="T2488" s="404"/>
      <c r="U2488" s="404"/>
      <c r="V2488" s="404"/>
      <c r="W2488" s="404"/>
      <c r="X2488" s="404"/>
      <c r="Y2488" s="404"/>
      <c r="Z2488" s="404"/>
      <c r="AA2488" s="404"/>
      <c r="AB2488" s="404"/>
      <c r="AC2488" s="404"/>
      <c r="AD2488" s="404"/>
      <c r="AE2488" s="404"/>
      <c r="AF2488" s="404"/>
      <c r="AG2488" s="404"/>
      <c r="AH2488" s="404"/>
      <c r="AI2488" s="404"/>
      <c r="AJ2488" s="404"/>
      <c r="AK2488" s="404"/>
      <c r="AL2488" s="404"/>
      <c r="AM2488" s="404"/>
      <c r="AN2488" s="404"/>
      <c r="AO2488" s="404"/>
      <c r="AP2488" s="404"/>
      <c r="AQ2488" s="404"/>
      <c r="AR2488" s="404"/>
      <c r="AS2488" s="404"/>
      <c r="AT2488" s="404"/>
      <c r="AU2488" s="404"/>
      <c r="AV2488" s="404"/>
      <c r="AW2488" s="404"/>
      <c r="AX2488" s="404"/>
      <c r="AY2488" s="404"/>
      <c r="AZ2488" s="404"/>
      <c r="BA2488" s="404"/>
      <c r="BB2488" s="404"/>
      <c r="BC2488" s="404"/>
      <c r="BD2488" s="404"/>
      <c r="BE2488" s="404"/>
      <c r="BF2488" s="404"/>
      <c r="BG2488" s="404"/>
      <c r="BH2488" s="404"/>
      <c r="BI2488" s="404"/>
      <c r="BJ2488" s="404"/>
      <c r="BK2488" s="404"/>
      <c r="BL2488" s="404"/>
    </row>
    <row r="2489" spans="1:64">
      <c r="A2489" s="454"/>
      <c r="B2489" s="454"/>
      <c r="C2489" s="417" t="s">
        <v>1064</v>
      </c>
      <c r="D2489" s="408">
        <f t="shared" ref="D2489:I2489" si="589">$I$2486</f>
        <v>5596.209111000001</v>
      </c>
      <c r="E2489" s="408">
        <f t="shared" si="589"/>
        <v>5596.209111000001</v>
      </c>
      <c r="F2489" s="408">
        <f t="shared" si="589"/>
        <v>5596.209111000001</v>
      </c>
      <c r="G2489" s="408">
        <f t="shared" si="589"/>
        <v>5596.209111000001</v>
      </c>
      <c r="H2489" s="408">
        <f t="shared" si="589"/>
        <v>5596.209111000001</v>
      </c>
      <c r="I2489" s="408">
        <f t="shared" si="589"/>
        <v>5596.209111000001</v>
      </c>
      <c r="J2489" s="400"/>
      <c r="K2489" s="401"/>
      <c r="L2489" s="401"/>
      <c r="M2489" s="420"/>
      <c r="N2489" s="420"/>
      <c r="O2489" s="420"/>
      <c r="P2489" s="420"/>
      <c r="Q2489" s="420"/>
      <c r="R2489" s="420"/>
      <c r="S2489" s="420"/>
      <c r="T2489" s="420"/>
      <c r="U2489" s="420"/>
      <c r="V2489" s="420"/>
      <c r="W2489" s="420"/>
      <c r="X2489" s="420"/>
      <c r="Y2489" s="420"/>
      <c r="Z2489" s="420"/>
      <c r="AA2489" s="420"/>
      <c r="AB2489" s="420"/>
      <c r="AC2489" s="420"/>
      <c r="AD2489" s="420"/>
      <c r="AE2489" s="420"/>
      <c r="AF2489" s="420"/>
      <c r="AG2489" s="420"/>
      <c r="AH2489" s="420"/>
      <c r="AI2489" s="420"/>
      <c r="AJ2489" s="420"/>
      <c r="AK2489" s="420"/>
      <c r="AL2489" s="420"/>
      <c r="AM2489" s="420"/>
      <c r="AN2489" s="420"/>
      <c r="AO2489" s="420"/>
      <c r="AP2489" s="420"/>
      <c r="AQ2489" s="420"/>
      <c r="AR2489" s="420"/>
      <c r="AS2489" s="420"/>
      <c r="AT2489" s="420"/>
      <c r="AU2489" s="420"/>
      <c r="AV2489" s="420"/>
      <c r="AW2489" s="420"/>
      <c r="AX2489" s="420"/>
      <c r="AY2489" s="420"/>
      <c r="AZ2489" s="420"/>
      <c r="BA2489" s="420"/>
      <c r="BB2489" s="420"/>
      <c r="BC2489" s="420"/>
      <c r="BD2489" s="420"/>
      <c r="BE2489" s="420"/>
      <c r="BF2489" s="420"/>
      <c r="BG2489" s="420"/>
      <c r="BH2489" s="420"/>
      <c r="BI2489" s="420"/>
      <c r="BJ2489" s="420"/>
      <c r="BK2489" s="420"/>
      <c r="BL2489" s="420"/>
    </row>
    <row r="2490" spans="1:64">
      <c r="A2490" s="454"/>
      <c r="B2490" s="454"/>
      <c r="C2490" s="417" t="s">
        <v>994</v>
      </c>
      <c r="D2490" s="408">
        <v>0</v>
      </c>
      <c r="E2490" s="408">
        <f>ROUND($F$2484*10%,2)</f>
        <v>315.38</v>
      </c>
      <c r="F2490" s="408">
        <f>ROUND($F$2484*20%,2)</f>
        <v>630.76</v>
      </c>
      <c r="G2490" s="408">
        <f>ROUND($F$2484*30%,2)</f>
        <v>946.14</v>
      </c>
      <c r="H2490" s="408">
        <f>ROUND($F$2484*40%,2)</f>
        <v>1261.52</v>
      </c>
      <c r="I2490" s="408">
        <f>ROUND($F$2484*50%,2)</f>
        <v>1576.9</v>
      </c>
      <c r="J2490" s="400"/>
      <c r="K2490" s="401"/>
      <c r="L2490" s="401"/>
      <c r="M2490" s="420"/>
      <c r="N2490" s="420"/>
      <c r="O2490" s="420"/>
      <c r="P2490" s="420"/>
      <c r="Q2490" s="420"/>
      <c r="R2490" s="420"/>
      <c r="S2490" s="420"/>
      <c r="T2490" s="420"/>
      <c r="U2490" s="420"/>
      <c r="V2490" s="420"/>
      <c r="W2490" s="420"/>
      <c r="X2490" s="420"/>
      <c r="Y2490" s="420"/>
      <c r="Z2490" s="420"/>
      <c r="AA2490" s="420"/>
      <c r="AB2490" s="420"/>
      <c r="AC2490" s="420"/>
      <c r="AD2490" s="420"/>
      <c r="AE2490" s="420"/>
      <c r="AF2490" s="420"/>
      <c r="AG2490" s="420"/>
      <c r="AH2490" s="420"/>
      <c r="AI2490" s="420"/>
      <c r="AJ2490" s="420"/>
      <c r="AK2490" s="420"/>
      <c r="AL2490" s="420"/>
      <c r="AM2490" s="420"/>
      <c r="AN2490" s="420"/>
      <c r="AO2490" s="420"/>
      <c r="AP2490" s="420"/>
      <c r="AQ2490" s="420"/>
      <c r="AR2490" s="420"/>
      <c r="AS2490" s="420"/>
      <c r="AT2490" s="420"/>
      <c r="AU2490" s="420"/>
      <c r="AV2490" s="420"/>
      <c r="AW2490" s="420"/>
      <c r="AX2490" s="420"/>
      <c r="AY2490" s="420"/>
      <c r="AZ2490" s="420"/>
      <c r="BA2490" s="420"/>
      <c r="BB2490" s="420"/>
      <c r="BC2490" s="420"/>
      <c r="BD2490" s="420"/>
      <c r="BE2490" s="420"/>
      <c r="BF2490" s="420"/>
      <c r="BG2490" s="420"/>
      <c r="BH2490" s="420"/>
      <c r="BI2490" s="420"/>
      <c r="BJ2490" s="420"/>
      <c r="BK2490" s="420"/>
      <c r="BL2490" s="420"/>
    </row>
    <row r="2491" spans="1:64">
      <c r="A2491" s="454"/>
      <c r="B2491" s="454"/>
      <c r="C2491" s="417" t="str">
        <f>[161]Input!$C$47</f>
        <v>Add for MA @ 40%</v>
      </c>
      <c r="D2491" s="408">
        <f>D2490*[161]Input!$D$47</f>
        <v>0</v>
      </c>
      <c r="E2491" s="408">
        <f>E2490*[161]Input!$D$47</f>
        <v>126.152</v>
      </c>
      <c r="F2491" s="408">
        <f>F2490*[161]Input!$D$47</f>
        <v>252.304</v>
      </c>
      <c r="G2491" s="408">
        <f>G2490*[161]Input!$D$47</f>
        <v>378.45600000000002</v>
      </c>
      <c r="H2491" s="408">
        <f>H2490*[161]Input!$D$47</f>
        <v>504.608</v>
      </c>
      <c r="I2491" s="408">
        <f>I2490*[161]Input!$D$47</f>
        <v>630.7600000000001</v>
      </c>
      <c r="J2491" s="400"/>
      <c r="K2491" s="401"/>
      <c r="L2491" s="401"/>
      <c r="M2491" s="420"/>
      <c r="N2491" s="420"/>
      <c r="O2491" s="420"/>
      <c r="P2491" s="420"/>
      <c r="Q2491" s="420"/>
      <c r="R2491" s="420"/>
      <c r="S2491" s="420"/>
      <c r="T2491" s="420"/>
      <c r="U2491" s="420"/>
      <c r="V2491" s="420"/>
      <c r="W2491" s="420"/>
      <c r="X2491" s="420"/>
      <c r="Y2491" s="420"/>
      <c r="Z2491" s="420"/>
      <c r="AA2491" s="420"/>
      <c r="AB2491" s="420"/>
      <c r="AC2491" s="420"/>
      <c r="AD2491" s="420"/>
      <c r="AE2491" s="420"/>
      <c r="AF2491" s="420"/>
      <c r="AG2491" s="420"/>
      <c r="AH2491" s="420"/>
      <c r="AI2491" s="420"/>
      <c r="AJ2491" s="420"/>
      <c r="AK2491" s="420"/>
      <c r="AL2491" s="420"/>
      <c r="AM2491" s="420"/>
      <c r="AN2491" s="420"/>
      <c r="AO2491" s="420"/>
      <c r="AP2491" s="420"/>
      <c r="AQ2491" s="420"/>
      <c r="AR2491" s="420"/>
      <c r="AS2491" s="420"/>
      <c r="AT2491" s="420"/>
      <c r="AU2491" s="420"/>
      <c r="AV2491" s="420"/>
      <c r="AW2491" s="420"/>
      <c r="AX2491" s="420"/>
      <c r="AY2491" s="420"/>
      <c r="AZ2491" s="420"/>
      <c r="BA2491" s="420"/>
      <c r="BB2491" s="420"/>
      <c r="BC2491" s="420"/>
      <c r="BD2491" s="420"/>
      <c r="BE2491" s="420"/>
      <c r="BF2491" s="420"/>
      <c r="BG2491" s="420"/>
      <c r="BH2491" s="420"/>
      <c r="BI2491" s="420"/>
      <c r="BJ2491" s="420"/>
      <c r="BK2491" s="420"/>
      <c r="BL2491" s="420"/>
    </row>
    <row r="2492" spans="1:64">
      <c r="A2492" s="454"/>
      <c r="B2492" s="454"/>
      <c r="C2492" s="466"/>
      <c r="D2492" s="408">
        <f t="shared" ref="D2492:I2492" si="590">SUM(D2489:D2491)</f>
        <v>5596.209111000001</v>
      </c>
      <c r="E2492" s="408">
        <f t="shared" si="590"/>
        <v>6037.7411110000012</v>
      </c>
      <c r="F2492" s="408">
        <f t="shared" si="590"/>
        <v>6479.2731110000013</v>
      </c>
      <c r="G2492" s="408">
        <f t="shared" si="590"/>
        <v>6920.8051110000015</v>
      </c>
      <c r="H2492" s="408">
        <f t="shared" si="590"/>
        <v>7362.3371110000007</v>
      </c>
      <c r="I2492" s="408">
        <f t="shared" si="590"/>
        <v>7803.8691110000018</v>
      </c>
      <c r="J2492" s="400"/>
      <c r="K2492" s="401"/>
      <c r="L2492" s="401"/>
      <c r="M2492" s="420"/>
      <c r="N2492" s="420"/>
      <c r="O2492" s="420"/>
      <c r="P2492" s="420"/>
      <c r="Q2492" s="420"/>
      <c r="R2492" s="420"/>
      <c r="S2492" s="420"/>
      <c r="T2492" s="420"/>
      <c r="U2492" s="420"/>
      <c r="V2492" s="420"/>
      <c r="W2492" s="420"/>
      <c r="X2492" s="420"/>
      <c r="Y2492" s="420"/>
      <c r="Z2492" s="420"/>
      <c r="AA2492" s="420"/>
      <c r="AB2492" s="420"/>
      <c r="AC2492" s="420"/>
      <c r="AD2492" s="420"/>
      <c r="AE2492" s="420"/>
      <c r="AF2492" s="420"/>
      <c r="AG2492" s="420"/>
      <c r="AH2492" s="420"/>
      <c r="AI2492" s="420"/>
      <c r="AJ2492" s="420"/>
      <c r="AK2492" s="420"/>
      <c r="AL2492" s="420"/>
      <c r="AM2492" s="420"/>
      <c r="AN2492" s="420"/>
      <c r="AO2492" s="420"/>
      <c r="AP2492" s="420"/>
      <c r="AQ2492" s="420"/>
      <c r="AR2492" s="420"/>
      <c r="AS2492" s="420"/>
      <c r="AT2492" s="420"/>
      <c r="AU2492" s="420"/>
      <c r="AV2492" s="420"/>
      <c r="AW2492" s="420"/>
      <c r="AX2492" s="420"/>
      <c r="AY2492" s="420"/>
      <c r="AZ2492" s="420"/>
      <c r="BA2492" s="420"/>
      <c r="BB2492" s="420"/>
      <c r="BC2492" s="420"/>
      <c r="BD2492" s="420"/>
      <c r="BE2492" s="420"/>
      <c r="BF2492" s="420"/>
      <c r="BG2492" s="420"/>
      <c r="BH2492" s="420"/>
      <c r="BI2492" s="420"/>
      <c r="BJ2492" s="420"/>
      <c r="BK2492" s="420"/>
      <c r="BL2492" s="420"/>
    </row>
    <row r="2493" spans="1:64" ht="25">
      <c r="A2493" s="454"/>
      <c r="B2493" s="454"/>
      <c r="C2493" s="417" t="str">
        <f>[161]Input!$C$48</f>
        <v>Overheads &amp; Contractors Profit @ 13.615%</v>
      </c>
      <c r="D2493" s="408">
        <f>ROUND(D2492*[161]Input!$D$48,2)</f>
        <v>761.92</v>
      </c>
      <c r="E2493" s="408">
        <f>ROUND(E2492*[161]Input!$D$48,2)</f>
        <v>822.04</v>
      </c>
      <c r="F2493" s="408">
        <f>ROUND(F2492*[161]Input!$D$48,2)</f>
        <v>882.15</v>
      </c>
      <c r="G2493" s="408">
        <f>ROUND(G2492*[161]Input!$D$48,2)</f>
        <v>942.27</v>
      </c>
      <c r="H2493" s="408">
        <f>ROUND(H2492*[161]Input!$D$48,2)</f>
        <v>1002.38</v>
      </c>
      <c r="I2493" s="408">
        <f>ROUND(I2492*[161]Input!$D$48,2)</f>
        <v>1062.5</v>
      </c>
      <c r="J2493" s="400"/>
      <c r="K2493" s="401"/>
      <c r="L2493" s="401"/>
      <c r="M2493" s="420"/>
      <c r="N2493" s="420"/>
      <c r="O2493" s="420"/>
      <c r="P2493" s="420"/>
      <c r="Q2493" s="420"/>
      <c r="R2493" s="420"/>
      <c r="S2493" s="420"/>
      <c r="T2493" s="420"/>
      <c r="U2493" s="420"/>
      <c r="V2493" s="420"/>
      <c r="W2493" s="420"/>
      <c r="X2493" s="420"/>
      <c r="Y2493" s="420"/>
      <c r="Z2493" s="420"/>
      <c r="AA2493" s="420"/>
      <c r="AB2493" s="420"/>
      <c r="AC2493" s="420"/>
      <c r="AD2493" s="420"/>
      <c r="AE2493" s="420"/>
      <c r="AF2493" s="420"/>
      <c r="AG2493" s="420"/>
      <c r="AH2493" s="420"/>
      <c r="AI2493" s="420"/>
      <c r="AJ2493" s="420"/>
      <c r="AK2493" s="420"/>
      <c r="AL2493" s="420"/>
      <c r="AM2493" s="420"/>
      <c r="AN2493" s="420"/>
      <c r="AO2493" s="420"/>
      <c r="AP2493" s="420"/>
      <c r="AQ2493" s="420"/>
      <c r="AR2493" s="420"/>
      <c r="AS2493" s="420"/>
      <c r="AT2493" s="420"/>
      <c r="AU2493" s="420"/>
      <c r="AV2493" s="420"/>
      <c r="AW2493" s="420"/>
      <c r="AX2493" s="420"/>
      <c r="AY2493" s="420"/>
      <c r="AZ2493" s="420"/>
      <c r="BA2493" s="420"/>
      <c r="BB2493" s="420"/>
      <c r="BC2493" s="420"/>
      <c r="BD2493" s="420"/>
      <c r="BE2493" s="420"/>
      <c r="BF2493" s="420"/>
      <c r="BG2493" s="420"/>
      <c r="BH2493" s="420"/>
      <c r="BI2493" s="420"/>
      <c r="BJ2493" s="420"/>
      <c r="BK2493" s="420"/>
      <c r="BL2493" s="420"/>
    </row>
    <row r="2494" spans="1:64">
      <c r="A2494" s="454"/>
      <c r="B2494" s="454"/>
      <c r="C2494" s="466"/>
      <c r="D2494" s="408">
        <f t="shared" ref="D2494:I2494" si="591">SUM(D2492:D2493)</f>
        <v>6358.1291110000011</v>
      </c>
      <c r="E2494" s="408">
        <f t="shared" si="591"/>
        <v>6859.7811110000011</v>
      </c>
      <c r="F2494" s="408">
        <f t="shared" si="591"/>
        <v>7361.423111000001</v>
      </c>
      <c r="G2494" s="408">
        <f t="shared" si="591"/>
        <v>7863.0751110000019</v>
      </c>
      <c r="H2494" s="408">
        <f t="shared" si="591"/>
        <v>8364.7171109999999</v>
      </c>
      <c r="I2494" s="408">
        <f t="shared" si="591"/>
        <v>8866.3691110000018</v>
      </c>
      <c r="J2494" s="400"/>
      <c r="K2494" s="401"/>
      <c r="L2494" s="401"/>
      <c r="M2494" s="420"/>
      <c r="N2494" s="420"/>
      <c r="O2494" s="420"/>
      <c r="P2494" s="420"/>
      <c r="Q2494" s="420"/>
      <c r="R2494" s="420"/>
      <c r="S2494" s="420"/>
      <c r="T2494" s="420"/>
      <c r="U2494" s="420"/>
      <c r="V2494" s="420"/>
      <c r="W2494" s="420"/>
      <c r="X2494" s="420"/>
      <c r="Y2494" s="420"/>
      <c r="Z2494" s="420"/>
      <c r="AA2494" s="420"/>
      <c r="AB2494" s="420"/>
      <c r="AC2494" s="420"/>
      <c r="AD2494" s="420"/>
      <c r="AE2494" s="420"/>
      <c r="AF2494" s="420"/>
      <c r="AG2494" s="420"/>
      <c r="AH2494" s="420"/>
      <c r="AI2494" s="420"/>
      <c r="AJ2494" s="420"/>
      <c r="AK2494" s="420"/>
      <c r="AL2494" s="420"/>
      <c r="AM2494" s="420"/>
      <c r="AN2494" s="420"/>
      <c r="AO2494" s="420"/>
      <c r="AP2494" s="420"/>
      <c r="AQ2494" s="420"/>
      <c r="AR2494" s="420"/>
      <c r="AS2494" s="420"/>
      <c r="AT2494" s="420"/>
      <c r="AU2494" s="420"/>
      <c r="AV2494" s="420"/>
      <c r="AW2494" s="420"/>
      <c r="AX2494" s="420"/>
      <c r="AY2494" s="420"/>
      <c r="AZ2494" s="420"/>
      <c r="BA2494" s="420"/>
      <c r="BB2494" s="420"/>
      <c r="BC2494" s="420"/>
      <c r="BD2494" s="420"/>
      <c r="BE2494" s="420"/>
      <c r="BF2494" s="420"/>
      <c r="BG2494" s="420"/>
      <c r="BH2494" s="420"/>
      <c r="BI2494" s="420"/>
      <c r="BJ2494" s="420"/>
      <c r="BK2494" s="420"/>
      <c r="BL2494" s="420"/>
    </row>
    <row r="2495" spans="1:64" ht="13">
      <c r="A2495" s="454"/>
      <c r="B2495" s="454"/>
      <c r="C2495" s="427" t="s">
        <v>845</v>
      </c>
      <c r="D2495" s="414">
        <f t="shared" ref="D2495:I2495" si="592">D2494/10</f>
        <v>635.81291110000006</v>
      </c>
      <c r="E2495" s="414">
        <f t="shared" si="592"/>
        <v>685.97811110000009</v>
      </c>
      <c r="F2495" s="414">
        <f t="shared" si="592"/>
        <v>736.14231110000014</v>
      </c>
      <c r="G2495" s="414">
        <f t="shared" si="592"/>
        <v>786.30751110000017</v>
      </c>
      <c r="H2495" s="414">
        <f t="shared" si="592"/>
        <v>836.47171109999999</v>
      </c>
      <c r="I2495" s="414">
        <f t="shared" si="592"/>
        <v>886.63691110000013</v>
      </c>
      <c r="J2495" s="400"/>
      <c r="K2495" s="401"/>
      <c r="L2495" s="401"/>
      <c r="M2495" s="420"/>
      <c r="N2495" s="420"/>
      <c r="O2495" s="420"/>
      <c r="P2495" s="420"/>
      <c r="Q2495" s="420"/>
      <c r="R2495" s="420"/>
      <c r="S2495" s="420"/>
      <c r="T2495" s="420"/>
      <c r="U2495" s="420"/>
      <c r="V2495" s="420"/>
      <c r="W2495" s="420"/>
      <c r="X2495" s="420"/>
      <c r="Y2495" s="420"/>
      <c r="Z2495" s="420"/>
      <c r="AA2495" s="420"/>
      <c r="AB2495" s="420"/>
      <c r="AC2495" s="420"/>
      <c r="AD2495" s="420"/>
      <c r="AE2495" s="420"/>
      <c r="AF2495" s="420"/>
      <c r="AG2495" s="420"/>
      <c r="AH2495" s="420"/>
      <c r="AI2495" s="420"/>
      <c r="AJ2495" s="420"/>
      <c r="AK2495" s="420"/>
      <c r="AL2495" s="420"/>
      <c r="AM2495" s="420"/>
      <c r="AN2495" s="420"/>
      <c r="AO2495" s="420"/>
      <c r="AP2495" s="420"/>
      <c r="AQ2495" s="420"/>
      <c r="AR2495" s="420"/>
      <c r="AS2495" s="420"/>
      <c r="AT2495" s="420"/>
      <c r="AU2495" s="420"/>
      <c r="AV2495" s="420"/>
      <c r="AW2495" s="420"/>
      <c r="AX2495" s="420"/>
      <c r="AY2495" s="420"/>
      <c r="AZ2495" s="420"/>
      <c r="BA2495" s="420"/>
      <c r="BB2495" s="420"/>
      <c r="BC2495" s="420"/>
      <c r="BD2495" s="420"/>
      <c r="BE2495" s="420"/>
      <c r="BF2495" s="420"/>
      <c r="BG2495" s="420"/>
      <c r="BH2495" s="420"/>
      <c r="BI2495" s="420"/>
      <c r="BJ2495" s="420"/>
      <c r="BK2495" s="420"/>
      <c r="BL2495" s="420"/>
    </row>
    <row r="2496" spans="1:64" ht="13">
      <c r="A2496" s="454"/>
      <c r="B2496" s="454"/>
      <c r="C2496" s="522" t="s">
        <v>726</v>
      </c>
      <c r="D2496" s="416">
        <f t="shared" ref="D2496:I2496" si="593">ROUND(D2495,0)</f>
        <v>636</v>
      </c>
      <c r="E2496" s="416">
        <f t="shared" si="593"/>
        <v>686</v>
      </c>
      <c r="F2496" s="416">
        <f t="shared" si="593"/>
        <v>736</v>
      </c>
      <c r="G2496" s="416">
        <f t="shared" si="593"/>
        <v>786</v>
      </c>
      <c r="H2496" s="416">
        <f t="shared" si="593"/>
        <v>836</v>
      </c>
      <c r="I2496" s="416">
        <f t="shared" si="593"/>
        <v>887</v>
      </c>
      <c r="J2496" s="400"/>
      <c r="K2496" s="401"/>
      <c r="L2496" s="401"/>
      <c r="M2496" s="404"/>
      <c r="N2496" s="404"/>
      <c r="O2496" s="404"/>
      <c r="P2496" s="404"/>
      <c r="Q2496" s="404"/>
      <c r="R2496" s="404"/>
      <c r="S2496" s="404"/>
      <c r="T2496" s="404"/>
      <c r="U2496" s="404"/>
      <c r="V2496" s="404"/>
      <c r="W2496" s="404"/>
      <c r="X2496" s="404"/>
      <c r="Y2496" s="404"/>
      <c r="Z2496" s="404"/>
      <c r="AA2496" s="404"/>
      <c r="AB2496" s="404"/>
      <c r="AC2496" s="404"/>
      <c r="AD2496" s="404"/>
      <c r="AE2496" s="404"/>
      <c r="AF2496" s="404"/>
      <c r="AG2496" s="404"/>
      <c r="AH2496" s="404"/>
      <c r="AI2496" s="404"/>
      <c r="AJ2496" s="404"/>
      <c r="AK2496" s="404"/>
      <c r="AL2496" s="404"/>
      <c r="AM2496" s="404"/>
      <c r="AN2496" s="404"/>
      <c r="AO2496" s="404"/>
      <c r="AP2496" s="404"/>
      <c r="AQ2496" s="404"/>
      <c r="AR2496" s="404"/>
      <c r="AS2496" s="404"/>
      <c r="AT2496" s="404"/>
      <c r="AU2496" s="404"/>
      <c r="AV2496" s="404"/>
      <c r="AW2496" s="404"/>
      <c r="AX2496" s="404"/>
      <c r="AY2496" s="404"/>
      <c r="AZ2496" s="404"/>
      <c r="BA2496" s="404"/>
      <c r="BB2496" s="404"/>
      <c r="BC2496" s="404"/>
      <c r="BD2496" s="404"/>
      <c r="BE2496" s="404"/>
      <c r="BF2496" s="404"/>
      <c r="BG2496" s="404"/>
      <c r="BH2496" s="404"/>
      <c r="BI2496" s="404"/>
      <c r="BJ2496" s="404"/>
      <c r="BK2496" s="404"/>
      <c r="BL2496" s="404"/>
    </row>
    <row r="2497" spans="1:64" ht="13">
      <c r="A2497" s="454"/>
      <c r="B2497" s="454"/>
      <c r="C2497" s="427"/>
      <c r="D2497" s="416"/>
      <c r="E2497" s="416"/>
      <c r="F2497" s="416"/>
      <c r="G2497" s="416"/>
      <c r="H2497" s="416"/>
      <c r="I2497" s="414"/>
      <c r="J2497" s="400"/>
      <c r="K2497" s="401"/>
      <c r="L2497" s="401"/>
      <c r="M2497" s="404"/>
      <c r="N2497" s="404"/>
      <c r="O2497" s="404"/>
      <c r="P2497" s="404"/>
      <c r="Q2497" s="404"/>
      <c r="R2497" s="404"/>
      <c r="S2497" s="404"/>
      <c r="T2497" s="404"/>
      <c r="U2497" s="404"/>
      <c r="V2497" s="404"/>
      <c r="W2497" s="404"/>
      <c r="X2497" s="404"/>
      <c r="Y2497" s="404"/>
      <c r="Z2497" s="404"/>
      <c r="AA2497" s="404"/>
      <c r="AB2497" s="404"/>
      <c r="AC2497" s="404"/>
      <c r="AD2497" s="404"/>
      <c r="AE2497" s="404"/>
      <c r="AF2497" s="404"/>
      <c r="AG2497" s="404"/>
      <c r="AH2497" s="404"/>
      <c r="AI2497" s="404"/>
      <c r="AJ2497" s="404"/>
      <c r="AK2497" s="404"/>
      <c r="AL2497" s="404"/>
      <c r="AM2497" s="404"/>
      <c r="AN2497" s="404"/>
      <c r="AO2497" s="404"/>
      <c r="AP2497" s="404"/>
      <c r="AQ2497" s="404"/>
      <c r="AR2497" s="404"/>
      <c r="AS2497" s="404"/>
      <c r="AT2497" s="404"/>
      <c r="AU2497" s="404"/>
      <c r="AV2497" s="404"/>
      <c r="AW2497" s="404"/>
      <c r="AX2497" s="404"/>
      <c r="AY2497" s="404"/>
      <c r="AZ2497" s="404"/>
      <c r="BA2497" s="404"/>
      <c r="BB2497" s="404"/>
      <c r="BC2497" s="404"/>
      <c r="BD2497" s="404"/>
      <c r="BE2497" s="404"/>
      <c r="BF2497" s="404"/>
      <c r="BG2497" s="404"/>
      <c r="BH2497" s="404"/>
      <c r="BI2497" s="404"/>
      <c r="BJ2497" s="404"/>
      <c r="BK2497" s="404"/>
      <c r="BL2497" s="404"/>
    </row>
    <row r="2498" spans="1:64" ht="13">
      <c r="A2498" s="454"/>
      <c r="B2498" s="454"/>
      <c r="C2498" s="427" t="s">
        <v>953</v>
      </c>
      <c r="D2498" s="414" t="s">
        <v>1118</v>
      </c>
      <c r="E2498" s="414" t="s">
        <v>1119</v>
      </c>
      <c r="F2498" s="414" t="s">
        <v>1120</v>
      </c>
      <c r="G2498" s="416"/>
      <c r="H2498" s="416"/>
      <c r="I2498" s="414"/>
      <c r="J2498" s="400"/>
      <c r="K2498" s="401"/>
      <c r="L2498" s="401"/>
      <c r="M2498" s="404"/>
      <c r="N2498" s="404"/>
      <c r="O2498" s="404"/>
      <c r="P2498" s="404"/>
      <c r="Q2498" s="404"/>
      <c r="R2498" s="404"/>
      <c r="S2498" s="404"/>
      <c r="T2498" s="404"/>
      <c r="U2498" s="404"/>
      <c r="V2498" s="404"/>
      <c r="W2498" s="404"/>
      <c r="X2498" s="404"/>
      <c r="Y2498" s="404"/>
      <c r="Z2498" s="404"/>
      <c r="AA2498" s="404"/>
      <c r="AB2498" s="404"/>
      <c r="AC2498" s="404"/>
      <c r="AD2498" s="404"/>
      <c r="AE2498" s="404"/>
      <c r="AF2498" s="404"/>
      <c r="AG2498" s="404"/>
      <c r="AH2498" s="404"/>
      <c r="AI2498" s="404"/>
      <c r="AJ2498" s="404"/>
      <c r="AK2498" s="404"/>
      <c r="AL2498" s="404"/>
      <c r="AM2498" s="404"/>
      <c r="AN2498" s="404"/>
      <c r="AO2498" s="404"/>
      <c r="AP2498" s="404"/>
      <c r="AQ2498" s="404"/>
      <c r="AR2498" s="404"/>
      <c r="AS2498" s="404"/>
      <c r="AT2498" s="404"/>
      <c r="AU2498" s="404"/>
      <c r="AV2498" s="404"/>
      <c r="AW2498" s="404"/>
      <c r="AX2498" s="404"/>
      <c r="AY2498" s="404"/>
      <c r="AZ2498" s="404"/>
      <c r="BA2498" s="404"/>
      <c r="BB2498" s="404"/>
      <c r="BC2498" s="404"/>
      <c r="BD2498" s="404"/>
      <c r="BE2498" s="404"/>
      <c r="BF2498" s="404"/>
      <c r="BG2498" s="404"/>
      <c r="BH2498" s="404"/>
      <c r="BI2498" s="404"/>
      <c r="BJ2498" s="404"/>
      <c r="BK2498" s="404"/>
      <c r="BL2498" s="404"/>
    </row>
    <row r="2499" spans="1:64" ht="13">
      <c r="A2499" s="454"/>
      <c r="B2499" s="454"/>
      <c r="C2499" s="417" t="s">
        <v>1064</v>
      </c>
      <c r="D2499" s="408">
        <f>$I$2486</f>
        <v>5596.209111000001</v>
      </c>
      <c r="E2499" s="408">
        <f>$I$2486</f>
        <v>5596.209111000001</v>
      </c>
      <c r="F2499" s="408">
        <f>$I$2486</f>
        <v>5596.209111000001</v>
      </c>
      <c r="G2499" s="416"/>
      <c r="H2499" s="416"/>
      <c r="I2499" s="414"/>
      <c r="J2499" s="400"/>
      <c r="K2499" s="401"/>
      <c r="L2499" s="401"/>
      <c r="M2499" s="404"/>
      <c r="N2499" s="404"/>
      <c r="O2499" s="404"/>
      <c r="P2499" s="404"/>
      <c r="Q2499" s="404"/>
      <c r="R2499" s="404"/>
      <c r="S2499" s="404"/>
      <c r="T2499" s="404"/>
      <c r="U2499" s="404"/>
      <c r="V2499" s="404"/>
      <c r="W2499" s="404"/>
      <c r="X2499" s="404"/>
      <c r="Y2499" s="404"/>
      <c r="Z2499" s="404"/>
      <c r="AA2499" s="404"/>
      <c r="AB2499" s="404"/>
      <c r="AC2499" s="404"/>
      <c r="AD2499" s="404"/>
      <c r="AE2499" s="404"/>
      <c r="AF2499" s="404"/>
      <c r="AG2499" s="404"/>
      <c r="AH2499" s="404"/>
      <c r="AI2499" s="404"/>
      <c r="AJ2499" s="404"/>
      <c r="AK2499" s="404"/>
      <c r="AL2499" s="404"/>
      <c r="AM2499" s="404"/>
      <c r="AN2499" s="404"/>
      <c r="AO2499" s="404"/>
      <c r="AP2499" s="404"/>
      <c r="AQ2499" s="404"/>
      <c r="AR2499" s="404"/>
      <c r="AS2499" s="404"/>
      <c r="AT2499" s="404"/>
      <c r="AU2499" s="404"/>
      <c r="AV2499" s="404"/>
      <c r="AW2499" s="404"/>
      <c r="AX2499" s="404"/>
      <c r="AY2499" s="404"/>
      <c r="AZ2499" s="404"/>
      <c r="BA2499" s="404"/>
      <c r="BB2499" s="404"/>
      <c r="BC2499" s="404"/>
      <c r="BD2499" s="404"/>
      <c r="BE2499" s="404"/>
      <c r="BF2499" s="404"/>
      <c r="BG2499" s="404"/>
      <c r="BH2499" s="404"/>
      <c r="BI2499" s="404"/>
      <c r="BJ2499" s="404"/>
      <c r="BK2499" s="404"/>
      <c r="BL2499" s="404"/>
    </row>
    <row r="2500" spans="1:64" ht="13">
      <c r="A2500" s="454"/>
      <c r="B2500" s="454"/>
      <c r="C2500" s="417" t="s">
        <v>994</v>
      </c>
      <c r="D2500" s="408">
        <f>ROUND($F$2484*60%,2)</f>
        <v>1892.28</v>
      </c>
      <c r="E2500" s="408">
        <f>ROUND($F$2484*70%,2)</f>
        <v>2207.66</v>
      </c>
      <c r="F2500" s="408">
        <f>ROUND($F$2484*80%,2)</f>
        <v>2523.04</v>
      </c>
      <c r="G2500" s="416"/>
      <c r="H2500" s="416"/>
      <c r="I2500" s="414"/>
      <c r="J2500" s="400"/>
      <c r="K2500" s="401"/>
      <c r="L2500" s="401"/>
      <c r="M2500" s="404"/>
      <c r="N2500" s="404"/>
      <c r="O2500" s="404"/>
      <c r="P2500" s="404"/>
      <c r="Q2500" s="404"/>
      <c r="R2500" s="404"/>
      <c r="S2500" s="404"/>
      <c r="T2500" s="404"/>
      <c r="U2500" s="404"/>
      <c r="V2500" s="404"/>
      <c r="W2500" s="404"/>
      <c r="X2500" s="404"/>
      <c r="Y2500" s="404"/>
      <c r="Z2500" s="404"/>
      <c r="AA2500" s="404"/>
      <c r="AB2500" s="404"/>
      <c r="AC2500" s="404"/>
      <c r="AD2500" s="404"/>
      <c r="AE2500" s="404"/>
      <c r="AF2500" s="404"/>
      <c r="AG2500" s="404"/>
      <c r="AH2500" s="404"/>
      <c r="AI2500" s="404"/>
      <c r="AJ2500" s="404"/>
      <c r="AK2500" s="404"/>
      <c r="AL2500" s="404"/>
      <c r="AM2500" s="404"/>
      <c r="AN2500" s="404"/>
      <c r="AO2500" s="404"/>
      <c r="AP2500" s="404"/>
      <c r="AQ2500" s="404"/>
      <c r="AR2500" s="404"/>
      <c r="AS2500" s="404"/>
      <c r="AT2500" s="404"/>
      <c r="AU2500" s="404"/>
      <c r="AV2500" s="404"/>
      <c r="AW2500" s="404"/>
      <c r="AX2500" s="404"/>
      <c r="AY2500" s="404"/>
      <c r="AZ2500" s="404"/>
      <c r="BA2500" s="404"/>
      <c r="BB2500" s="404"/>
      <c r="BC2500" s="404"/>
      <c r="BD2500" s="404"/>
      <c r="BE2500" s="404"/>
      <c r="BF2500" s="404"/>
      <c r="BG2500" s="404"/>
      <c r="BH2500" s="404"/>
      <c r="BI2500" s="404"/>
      <c r="BJ2500" s="404"/>
      <c r="BK2500" s="404"/>
      <c r="BL2500" s="404"/>
    </row>
    <row r="2501" spans="1:64" ht="13">
      <c r="A2501" s="454"/>
      <c r="B2501" s="454"/>
      <c r="C2501" s="417" t="str">
        <f>[161]Input!$C$47</f>
        <v>Add for MA @ 40%</v>
      </c>
      <c r="D2501" s="408">
        <f>D2500*[161]Input!$D$47</f>
        <v>756.91200000000003</v>
      </c>
      <c r="E2501" s="408">
        <f>E2500*[161]Input!$D$47</f>
        <v>883.06399999999996</v>
      </c>
      <c r="F2501" s="408">
        <f>F2500*[161]Input!$D$47</f>
        <v>1009.216</v>
      </c>
      <c r="G2501" s="416"/>
      <c r="H2501" s="416"/>
      <c r="I2501" s="414"/>
      <c r="J2501" s="400"/>
      <c r="K2501" s="401"/>
      <c r="L2501" s="401"/>
      <c r="M2501" s="404"/>
      <c r="N2501" s="404"/>
      <c r="O2501" s="404"/>
      <c r="P2501" s="404"/>
      <c r="Q2501" s="404"/>
      <c r="R2501" s="404"/>
      <c r="S2501" s="404"/>
      <c r="T2501" s="404"/>
      <c r="U2501" s="404"/>
      <c r="V2501" s="404"/>
      <c r="W2501" s="404"/>
      <c r="X2501" s="404"/>
      <c r="Y2501" s="404"/>
      <c r="Z2501" s="404"/>
      <c r="AA2501" s="404"/>
      <c r="AB2501" s="404"/>
      <c r="AC2501" s="404"/>
      <c r="AD2501" s="404"/>
      <c r="AE2501" s="404"/>
      <c r="AF2501" s="404"/>
      <c r="AG2501" s="404"/>
      <c r="AH2501" s="404"/>
      <c r="AI2501" s="404"/>
      <c r="AJ2501" s="404"/>
      <c r="AK2501" s="404"/>
      <c r="AL2501" s="404"/>
      <c r="AM2501" s="404"/>
      <c r="AN2501" s="404"/>
      <c r="AO2501" s="404"/>
      <c r="AP2501" s="404"/>
      <c r="AQ2501" s="404"/>
      <c r="AR2501" s="404"/>
      <c r="AS2501" s="404"/>
      <c r="AT2501" s="404"/>
      <c r="AU2501" s="404"/>
      <c r="AV2501" s="404"/>
      <c r="AW2501" s="404"/>
      <c r="AX2501" s="404"/>
      <c r="AY2501" s="404"/>
      <c r="AZ2501" s="404"/>
      <c r="BA2501" s="404"/>
      <c r="BB2501" s="404"/>
      <c r="BC2501" s="404"/>
      <c r="BD2501" s="404"/>
      <c r="BE2501" s="404"/>
      <c r="BF2501" s="404"/>
      <c r="BG2501" s="404"/>
      <c r="BH2501" s="404"/>
      <c r="BI2501" s="404"/>
      <c r="BJ2501" s="404"/>
      <c r="BK2501" s="404"/>
      <c r="BL2501" s="404"/>
    </row>
    <row r="2502" spans="1:64" ht="13">
      <c r="A2502" s="454"/>
      <c r="B2502" s="454"/>
      <c r="C2502" s="435"/>
      <c r="D2502" s="408">
        <f>SUM(D2499:D2501)</f>
        <v>8245.401111000001</v>
      </c>
      <c r="E2502" s="408">
        <f>SUM(E2499:E2501)</f>
        <v>8686.9331110000003</v>
      </c>
      <c r="F2502" s="408">
        <f>SUM(F2499:F2501)</f>
        <v>9128.4651110000013</v>
      </c>
      <c r="G2502" s="416"/>
      <c r="H2502" s="416"/>
      <c r="I2502" s="414"/>
      <c r="J2502" s="400"/>
      <c r="K2502" s="401"/>
      <c r="L2502" s="401"/>
      <c r="M2502" s="404"/>
      <c r="N2502" s="404"/>
      <c r="O2502" s="404"/>
      <c r="P2502" s="404"/>
      <c r="Q2502" s="404"/>
      <c r="R2502" s="404"/>
      <c r="S2502" s="404"/>
      <c r="T2502" s="404"/>
      <c r="U2502" s="404"/>
      <c r="V2502" s="404"/>
      <c r="W2502" s="404"/>
      <c r="X2502" s="404"/>
      <c r="Y2502" s="404"/>
      <c r="Z2502" s="404"/>
      <c r="AA2502" s="404"/>
      <c r="AB2502" s="404"/>
      <c r="AC2502" s="404"/>
      <c r="AD2502" s="404"/>
      <c r="AE2502" s="404"/>
      <c r="AF2502" s="404"/>
      <c r="AG2502" s="404"/>
      <c r="AH2502" s="404"/>
      <c r="AI2502" s="404"/>
      <c r="AJ2502" s="404"/>
      <c r="AK2502" s="404"/>
      <c r="AL2502" s="404"/>
      <c r="AM2502" s="404"/>
      <c r="AN2502" s="404"/>
      <c r="AO2502" s="404"/>
      <c r="AP2502" s="404"/>
      <c r="AQ2502" s="404"/>
      <c r="AR2502" s="404"/>
      <c r="AS2502" s="404"/>
      <c r="AT2502" s="404"/>
      <c r="AU2502" s="404"/>
      <c r="AV2502" s="404"/>
      <c r="AW2502" s="404"/>
      <c r="AX2502" s="404"/>
      <c r="AY2502" s="404"/>
      <c r="AZ2502" s="404"/>
      <c r="BA2502" s="404"/>
      <c r="BB2502" s="404"/>
      <c r="BC2502" s="404"/>
      <c r="BD2502" s="404"/>
      <c r="BE2502" s="404"/>
      <c r="BF2502" s="404"/>
      <c r="BG2502" s="404"/>
      <c r="BH2502" s="404"/>
      <c r="BI2502" s="404"/>
      <c r="BJ2502" s="404"/>
      <c r="BK2502" s="404"/>
      <c r="BL2502" s="404"/>
    </row>
    <row r="2503" spans="1:64" ht="25">
      <c r="A2503" s="454"/>
      <c r="B2503" s="454"/>
      <c r="C2503" s="417" t="str">
        <f>[161]Input!$C$48</f>
        <v>Overheads &amp; Contractors Profit @ 13.615%</v>
      </c>
      <c r="D2503" s="408">
        <f>ROUND(D2502*[161]Input!$D$48,2)</f>
        <v>1122.6099999999999</v>
      </c>
      <c r="E2503" s="408">
        <f>ROUND(E2502*[161]Input!$D$48,2)</f>
        <v>1182.73</v>
      </c>
      <c r="F2503" s="408">
        <f>ROUND(F2502*[161]Input!$D$48,2)</f>
        <v>1242.8399999999999</v>
      </c>
      <c r="G2503" s="416"/>
      <c r="H2503" s="416"/>
      <c r="I2503" s="414"/>
      <c r="J2503" s="400"/>
      <c r="K2503" s="401"/>
      <c r="L2503" s="401"/>
      <c r="M2503" s="404"/>
      <c r="N2503" s="404"/>
      <c r="O2503" s="404"/>
      <c r="P2503" s="404"/>
      <c r="Q2503" s="404"/>
      <c r="R2503" s="404"/>
      <c r="S2503" s="404"/>
      <c r="T2503" s="404"/>
      <c r="U2503" s="404"/>
      <c r="V2503" s="404"/>
      <c r="W2503" s="404"/>
      <c r="X2503" s="404"/>
      <c r="Y2503" s="404"/>
      <c r="Z2503" s="404"/>
      <c r="AA2503" s="404"/>
      <c r="AB2503" s="404"/>
      <c r="AC2503" s="404"/>
      <c r="AD2503" s="404"/>
      <c r="AE2503" s="404"/>
      <c r="AF2503" s="404"/>
      <c r="AG2503" s="404"/>
      <c r="AH2503" s="404"/>
      <c r="AI2503" s="404"/>
      <c r="AJ2503" s="404"/>
      <c r="AK2503" s="404"/>
      <c r="AL2503" s="404"/>
      <c r="AM2503" s="404"/>
      <c r="AN2503" s="404"/>
      <c r="AO2503" s="404"/>
      <c r="AP2503" s="404"/>
      <c r="AQ2503" s="404"/>
      <c r="AR2503" s="404"/>
      <c r="AS2503" s="404"/>
      <c r="AT2503" s="404"/>
      <c r="AU2503" s="404"/>
      <c r="AV2503" s="404"/>
      <c r="AW2503" s="404"/>
      <c r="AX2503" s="404"/>
      <c r="AY2503" s="404"/>
      <c r="AZ2503" s="404"/>
      <c r="BA2503" s="404"/>
      <c r="BB2503" s="404"/>
      <c r="BC2503" s="404"/>
      <c r="BD2503" s="404"/>
      <c r="BE2503" s="404"/>
      <c r="BF2503" s="404"/>
      <c r="BG2503" s="404"/>
      <c r="BH2503" s="404"/>
      <c r="BI2503" s="404"/>
      <c r="BJ2503" s="404"/>
      <c r="BK2503" s="404"/>
      <c r="BL2503" s="404"/>
    </row>
    <row r="2504" spans="1:64" ht="13">
      <c r="A2504" s="454"/>
      <c r="B2504" s="454"/>
      <c r="C2504" s="435"/>
      <c r="D2504" s="408">
        <f>SUM(D2502:D2503)</f>
        <v>9368.0111110000016</v>
      </c>
      <c r="E2504" s="408">
        <f>SUM(E2502:E2503)</f>
        <v>9869.6631109999998</v>
      </c>
      <c r="F2504" s="408">
        <f>SUM(F2502:F2503)</f>
        <v>10371.305111000001</v>
      </c>
      <c r="G2504" s="416"/>
      <c r="H2504" s="416"/>
      <c r="I2504" s="414"/>
      <c r="J2504" s="400"/>
      <c r="K2504" s="401"/>
      <c r="L2504" s="401"/>
      <c r="M2504" s="404"/>
      <c r="N2504" s="404"/>
      <c r="O2504" s="404"/>
      <c r="P2504" s="404"/>
      <c r="Q2504" s="404"/>
      <c r="R2504" s="404"/>
      <c r="S2504" s="404"/>
      <c r="T2504" s="404"/>
      <c r="U2504" s="404"/>
      <c r="V2504" s="404"/>
      <c r="W2504" s="404"/>
      <c r="X2504" s="404"/>
      <c r="Y2504" s="404"/>
      <c r="Z2504" s="404"/>
      <c r="AA2504" s="404"/>
      <c r="AB2504" s="404"/>
      <c r="AC2504" s="404"/>
      <c r="AD2504" s="404"/>
      <c r="AE2504" s="404"/>
      <c r="AF2504" s="404"/>
      <c r="AG2504" s="404"/>
      <c r="AH2504" s="404"/>
      <c r="AI2504" s="404"/>
      <c r="AJ2504" s="404"/>
      <c r="AK2504" s="404"/>
      <c r="AL2504" s="404"/>
      <c r="AM2504" s="404"/>
      <c r="AN2504" s="404"/>
      <c r="AO2504" s="404"/>
      <c r="AP2504" s="404"/>
      <c r="AQ2504" s="404"/>
      <c r="AR2504" s="404"/>
      <c r="AS2504" s="404"/>
      <c r="AT2504" s="404"/>
      <c r="AU2504" s="404"/>
      <c r="AV2504" s="404"/>
      <c r="AW2504" s="404"/>
      <c r="AX2504" s="404"/>
      <c r="AY2504" s="404"/>
      <c r="AZ2504" s="404"/>
      <c r="BA2504" s="404"/>
      <c r="BB2504" s="404"/>
      <c r="BC2504" s="404"/>
      <c r="BD2504" s="404"/>
      <c r="BE2504" s="404"/>
      <c r="BF2504" s="404"/>
      <c r="BG2504" s="404"/>
      <c r="BH2504" s="404"/>
      <c r="BI2504" s="404"/>
      <c r="BJ2504" s="404"/>
      <c r="BK2504" s="404"/>
      <c r="BL2504" s="404"/>
    </row>
    <row r="2505" spans="1:64" ht="13">
      <c r="A2505" s="454"/>
      <c r="B2505" s="454"/>
      <c r="C2505" s="427" t="s">
        <v>845</v>
      </c>
      <c r="D2505" s="414">
        <f>D2504/10</f>
        <v>936.80111110000018</v>
      </c>
      <c r="E2505" s="414">
        <f>E2504/10</f>
        <v>986.96631109999998</v>
      </c>
      <c r="F2505" s="414">
        <f>F2504/10</f>
        <v>1037.1305111000001</v>
      </c>
      <c r="G2505" s="416"/>
      <c r="H2505" s="416"/>
      <c r="I2505" s="414"/>
      <c r="J2505" s="400"/>
      <c r="K2505" s="401"/>
      <c r="L2505" s="401"/>
      <c r="M2505" s="404"/>
      <c r="N2505" s="404"/>
      <c r="O2505" s="404"/>
      <c r="P2505" s="404"/>
      <c r="Q2505" s="404"/>
      <c r="R2505" s="404"/>
      <c r="S2505" s="404"/>
      <c r="T2505" s="404"/>
      <c r="U2505" s="404"/>
      <c r="V2505" s="404"/>
      <c r="W2505" s="404"/>
      <c r="X2505" s="404"/>
      <c r="Y2505" s="404"/>
      <c r="Z2505" s="404"/>
      <c r="AA2505" s="404"/>
      <c r="AB2505" s="404"/>
      <c r="AC2505" s="404"/>
      <c r="AD2505" s="404"/>
      <c r="AE2505" s="404"/>
      <c r="AF2505" s="404"/>
      <c r="AG2505" s="404"/>
      <c r="AH2505" s="404"/>
      <c r="AI2505" s="404"/>
      <c r="AJ2505" s="404"/>
      <c r="AK2505" s="404"/>
      <c r="AL2505" s="404"/>
      <c r="AM2505" s="404"/>
      <c r="AN2505" s="404"/>
      <c r="AO2505" s="404"/>
      <c r="AP2505" s="404"/>
      <c r="AQ2505" s="404"/>
      <c r="AR2505" s="404"/>
      <c r="AS2505" s="404"/>
      <c r="AT2505" s="404"/>
      <c r="AU2505" s="404"/>
      <c r="AV2505" s="404"/>
      <c r="AW2505" s="404"/>
      <c r="AX2505" s="404"/>
      <c r="AY2505" s="404"/>
      <c r="AZ2505" s="404"/>
      <c r="BA2505" s="404"/>
      <c r="BB2505" s="404"/>
      <c r="BC2505" s="404"/>
      <c r="BD2505" s="404"/>
      <c r="BE2505" s="404"/>
      <c r="BF2505" s="404"/>
      <c r="BG2505" s="404"/>
      <c r="BH2505" s="404"/>
      <c r="BI2505" s="404"/>
      <c r="BJ2505" s="404"/>
      <c r="BK2505" s="404"/>
      <c r="BL2505" s="404"/>
    </row>
    <row r="2506" spans="1:64" ht="13">
      <c r="A2506" s="454"/>
      <c r="B2506" s="454"/>
      <c r="C2506" s="514" t="s">
        <v>726</v>
      </c>
      <c r="D2506" s="416">
        <f>ROUND(D2505,0)</f>
        <v>937</v>
      </c>
      <c r="E2506" s="416">
        <f>ROUND(E2505,0)</f>
        <v>987</v>
      </c>
      <c r="F2506" s="416">
        <f>ROUND(F2505,0)</f>
        <v>1037</v>
      </c>
      <c r="G2506" s="416"/>
      <c r="H2506" s="416"/>
      <c r="I2506" s="414"/>
      <c r="J2506" s="400"/>
      <c r="K2506" s="401"/>
      <c r="L2506" s="401"/>
      <c r="M2506" s="404"/>
      <c r="N2506" s="404"/>
      <c r="O2506" s="404"/>
      <c r="P2506" s="404"/>
      <c r="Q2506" s="404"/>
      <c r="R2506" s="404"/>
      <c r="S2506" s="404"/>
      <c r="T2506" s="404"/>
      <c r="U2506" s="404"/>
      <c r="V2506" s="404"/>
      <c r="W2506" s="404"/>
      <c r="X2506" s="404"/>
      <c r="Y2506" s="404"/>
      <c r="Z2506" s="404"/>
      <c r="AA2506" s="404"/>
      <c r="AB2506" s="404"/>
      <c r="AC2506" s="404"/>
      <c r="AD2506" s="404"/>
      <c r="AE2506" s="404"/>
      <c r="AF2506" s="404"/>
      <c r="AG2506" s="404"/>
      <c r="AH2506" s="404"/>
      <c r="AI2506" s="404"/>
      <c r="AJ2506" s="404"/>
      <c r="AK2506" s="404"/>
      <c r="AL2506" s="404"/>
      <c r="AM2506" s="404"/>
      <c r="AN2506" s="404"/>
      <c r="AO2506" s="404"/>
      <c r="AP2506" s="404"/>
      <c r="AQ2506" s="404"/>
      <c r="AR2506" s="404"/>
      <c r="AS2506" s="404"/>
      <c r="AT2506" s="404"/>
      <c r="AU2506" s="404"/>
      <c r="AV2506" s="404"/>
      <c r="AW2506" s="404"/>
      <c r="AX2506" s="404"/>
      <c r="AY2506" s="404"/>
      <c r="AZ2506" s="404"/>
      <c r="BA2506" s="404"/>
      <c r="BB2506" s="404"/>
      <c r="BC2506" s="404"/>
      <c r="BD2506" s="404"/>
      <c r="BE2506" s="404"/>
      <c r="BF2506" s="404"/>
      <c r="BG2506" s="404"/>
      <c r="BH2506" s="404"/>
      <c r="BI2506" s="404"/>
      <c r="BJ2506" s="404"/>
      <c r="BK2506" s="404"/>
      <c r="BL2506" s="404"/>
    </row>
    <row r="2507" spans="1:64" ht="13">
      <c r="A2507" s="454"/>
      <c r="B2507" s="454"/>
      <c r="C2507" s="427"/>
      <c r="D2507" s="416"/>
      <c r="E2507" s="416"/>
      <c r="F2507" s="416"/>
      <c r="G2507" s="416"/>
      <c r="H2507" s="416"/>
      <c r="I2507" s="414"/>
      <c r="J2507" s="400"/>
      <c r="K2507" s="401"/>
      <c r="L2507" s="401"/>
      <c r="M2507" s="404"/>
      <c r="N2507" s="404"/>
      <c r="O2507" s="404"/>
      <c r="P2507" s="404"/>
      <c r="Q2507" s="404"/>
      <c r="R2507" s="404"/>
      <c r="S2507" s="404"/>
      <c r="T2507" s="404"/>
      <c r="U2507" s="404"/>
      <c r="V2507" s="404"/>
      <c r="W2507" s="404"/>
      <c r="X2507" s="404"/>
      <c r="Y2507" s="404"/>
      <c r="Z2507" s="404"/>
      <c r="AA2507" s="404"/>
      <c r="AB2507" s="404"/>
      <c r="AC2507" s="404"/>
      <c r="AD2507" s="404"/>
      <c r="AE2507" s="404"/>
      <c r="AF2507" s="404"/>
      <c r="AG2507" s="404"/>
      <c r="AH2507" s="404"/>
      <c r="AI2507" s="404"/>
      <c r="AJ2507" s="404"/>
      <c r="AK2507" s="404"/>
      <c r="AL2507" s="404"/>
      <c r="AM2507" s="404"/>
      <c r="AN2507" s="404"/>
      <c r="AO2507" s="404"/>
      <c r="AP2507" s="404"/>
      <c r="AQ2507" s="404"/>
      <c r="AR2507" s="404"/>
      <c r="AS2507" s="404"/>
      <c r="AT2507" s="404"/>
      <c r="AU2507" s="404"/>
      <c r="AV2507" s="404"/>
      <c r="AW2507" s="404"/>
      <c r="AX2507" s="404"/>
      <c r="AY2507" s="404"/>
      <c r="AZ2507" s="404"/>
      <c r="BA2507" s="404"/>
      <c r="BB2507" s="404"/>
      <c r="BC2507" s="404"/>
      <c r="BD2507" s="404"/>
      <c r="BE2507" s="404"/>
      <c r="BF2507" s="404"/>
      <c r="BG2507" s="404"/>
      <c r="BH2507" s="404"/>
      <c r="BI2507" s="404"/>
      <c r="BJ2507" s="404"/>
      <c r="BK2507" s="404"/>
      <c r="BL2507" s="404"/>
    </row>
    <row r="2508" spans="1:64" ht="130" customHeight="1">
      <c r="A2508" s="454">
        <f>A2473+1</f>
        <v>9</v>
      </c>
      <c r="B2508" s="454"/>
      <c r="C2508" s="1276" t="s">
        <v>1150</v>
      </c>
      <c r="D2508" s="1276"/>
      <c r="E2508" s="1276"/>
      <c r="F2508" s="1276"/>
      <c r="G2508" s="1276"/>
      <c r="H2508" s="1276"/>
      <c r="I2508" s="407"/>
      <c r="J2508" s="400"/>
      <c r="K2508" s="401"/>
      <c r="L2508" s="401"/>
      <c r="M2508" s="404"/>
      <c r="N2508" s="404"/>
      <c r="O2508" s="404"/>
      <c r="P2508" s="404"/>
      <c r="Q2508" s="404"/>
      <c r="R2508" s="404"/>
      <c r="S2508" s="404"/>
      <c r="T2508" s="404"/>
      <c r="U2508" s="404"/>
      <c r="V2508" s="404"/>
      <c r="W2508" s="404"/>
      <c r="X2508" s="404"/>
      <c r="Y2508" s="404"/>
      <c r="Z2508" s="404"/>
      <c r="AA2508" s="404"/>
      <c r="AB2508" s="404"/>
      <c r="AC2508" s="404"/>
      <c r="AD2508" s="404"/>
      <c r="AE2508" s="404"/>
      <c r="AF2508" s="404"/>
      <c r="AG2508" s="404"/>
      <c r="AH2508" s="404"/>
      <c r="AI2508" s="404"/>
      <c r="AJ2508" s="404"/>
      <c r="AK2508" s="404"/>
      <c r="AL2508" s="404"/>
      <c r="AM2508" s="404"/>
      <c r="AN2508" s="404"/>
      <c r="AO2508" s="404"/>
      <c r="AP2508" s="404"/>
      <c r="AQ2508" s="404"/>
      <c r="AR2508" s="404"/>
      <c r="AS2508" s="404"/>
      <c r="AT2508" s="404"/>
      <c r="AU2508" s="404"/>
      <c r="AV2508" s="404"/>
      <c r="AW2508" s="404"/>
      <c r="AX2508" s="404"/>
      <c r="AY2508" s="404"/>
      <c r="AZ2508" s="404"/>
      <c r="BA2508" s="404"/>
      <c r="BB2508" s="404"/>
      <c r="BC2508" s="404"/>
      <c r="BD2508" s="404"/>
      <c r="BE2508" s="404"/>
      <c r="BF2508" s="404"/>
      <c r="BG2508" s="404"/>
      <c r="BH2508" s="404"/>
      <c r="BI2508" s="404"/>
      <c r="BJ2508" s="404"/>
      <c r="BK2508" s="404"/>
      <c r="BL2508" s="404"/>
    </row>
    <row r="2509" spans="1:64" ht="13">
      <c r="A2509" s="454"/>
      <c r="B2509" s="454"/>
      <c r="C2509" s="455" t="s">
        <v>1151</v>
      </c>
      <c r="D2509" s="408"/>
      <c r="E2509" s="454"/>
      <c r="F2509" s="408"/>
      <c r="G2509" s="430"/>
      <c r="H2509" s="454"/>
      <c r="I2509" s="408"/>
      <c r="J2509" s="400"/>
      <c r="K2509" s="401"/>
      <c r="L2509" s="401"/>
      <c r="M2509" s="404"/>
      <c r="N2509" s="404"/>
      <c r="O2509" s="404"/>
      <c r="P2509" s="404"/>
      <c r="Q2509" s="404"/>
      <c r="R2509" s="404"/>
      <c r="S2509" s="404"/>
      <c r="T2509" s="404"/>
      <c r="U2509" s="404"/>
      <c r="V2509" s="404"/>
      <c r="W2509" s="404"/>
      <c r="X2509" s="404"/>
      <c r="Y2509" s="404"/>
      <c r="Z2509" s="404"/>
      <c r="AA2509" s="404"/>
      <c r="AB2509" s="404"/>
      <c r="AC2509" s="404"/>
      <c r="AD2509" s="404"/>
      <c r="AE2509" s="404"/>
      <c r="AF2509" s="404"/>
      <c r="AG2509" s="404"/>
      <c r="AH2509" s="404"/>
      <c r="AI2509" s="404"/>
      <c r="AJ2509" s="404"/>
      <c r="AK2509" s="404"/>
      <c r="AL2509" s="404"/>
      <c r="AM2509" s="404"/>
      <c r="AN2509" s="404"/>
      <c r="AO2509" s="404"/>
      <c r="AP2509" s="404"/>
      <c r="AQ2509" s="404"/>
      <c r="AR2509" s="404"/>
      <c r="AS2509" s="404"/>
      <c r="AT2509" s="404"/>
      <c r="AU2509" s="404"/>
      <c r="AV2509" s="404"/>
      <c r="AW2509" s="404"/>
      <c r="AX2509" s="404"/>
      <c r="AY2509" s="404"/>
      <c r="AZ2509" s="404"/>
      <c r="BA2509" s="404"/>
      <c r="BB2509" s="404"/>
      <c r="BC2509" s="404"/>
      <c r="BD2509" s="404"/>
      <c r="BE2509" s="404"/>
      <c r="BF2509" s="404"/>
      <c r="BG2509" s="404"/>
      <c r="BH2509" s="404"/>
      <c r="BI2509" s="404"/>
      <c r="BJ2509" s="404"/>
      <c r="BK2509" s="404"/>
      <c r="BL2509" s="404"/>
    </row>
    <row r="2510" spans="1:64" ht="13">
      <c r="A2510" s="454"/>
      <c r="B2510" s="454"/>
      <c r="C2510" s="427" t="s">
        <v>873</v>
      </c>
      <c r="D2510" s="408"/>
      <c r="E2510" s="454"/>
      <c r="F2510" s="408"/>
      <c r="G2510" s="430"/>
      <c r="H2510" s="454"/>
      <c r="I2510" s="408"/>
      <c r="J2510" s="400"/>
      <c r="K2510" s="401"/>
      <c r="L2510" s="401"/>
      <c r="M2510" s="404"/>
      <c r="N2510" s="404"/>
      <c r="O2510" s="404"/>
      <c r="P2510" s="404"/>
      <c r="Q2510" s="404"/>
      <c r="R2510" s="404"/>
      <c r="S2510" s="404"/>
      <c r="T2510" s="404"/>
      <c r="U2510" s="404"/>
      <c r="V2510" s="404"/>
      <c r="W2510" s="404"/>
      <c r="X2510" s="404"/>
      <c r="Y2510" s="404"/>
      <c r="Z2510" s="404"/>
      <c r="AA2510" s="404"/>
      <c r="AB2510" s="404"/>
      <c r="AC2510" s="404"/>
      <c r="AD2510" s="404"/>
      <c r="AE2510" s="404"/>
      <c r="AF2510" s="404"/>
      <c r="AG2510" s="404"/>
      <c r="AH2510" s="404"/>
      <c r="AI2510" s="404"/>
      <c r="AJ2510" s="404"/>
      <c r="AK2510" s="404"/>
      <c r="AL2510" s="404"/>
      <c r="AM2510" s="404"/>
      <c r="AN2510" s="404"/>
      <c r="AO2510" s="404"/>
      <c r="AP2510" s="404"/>
      <c r="AQ2510" s="404"/>
      <c r="AR2510" s="404"/>
      <c r="AS2510" s="404"/>
      <c r="AT2510" s="404"/>
      <c r="AU2510" s="404"/>
      <c r="AV2510" s="404"/>
      <c r="AW2510" s="404"/>
      <c r="AX2510" s="404"/>
      <c r="AY2510" s="404"/>
      <c r="AZ2510" s="404"/>
      <c r="BA2510" s="404"/>
      <c r="BB2510" s="404"/>
      <c r="BC2510" s="404"/>
      <c r="BD2510" s="404"/>
      <c r="BE2510" s="404"/>
      <c r="BF2510" s="404"/>
      <c r="BG2510" s="404"/>
      <c r="BH2510" s="404"/>
      <c r="BI2510" s="404"/>
      <c r="BJ2510" s="404"/>
      <c r="BK2510" s="404"/>
      <c r="BL2510" s="404"/>
    </row>
    <row r="2511" spans="1:64">
      <c r="A2511" s="454"/>
      <c r="B2511" s="454"/>
      <c r="C2511" s="417" t="s">
        <v>1129</v>
      </c>
      <c r="D2511" s="408">
        <v>72</v>
      </c>
      <c r="E2511" s="454" t="s">
        <v>833</v>
      </c>
      <c r="F2511" s="408">
        <f>[161]LEAD!$N$6</f>
        <v>5200</v>
      </c>
      <c r="G2511" s="430">
        <v>1000</v>
      </c>
      <c r="H2511" s="456" t="str">
        <f t="shared" ref="H2511:H2513" si="594">IF(E2511="","",IF(E2511="No.","Each",IF(E2511="Nos.","Each",E2511)))</f>
        <v>Kgs</v>
      </c>
      <c r="I2511" s="408">
        <f t="shared" ref="I2511:I2513" si="595">IF(G2511="",D2511*F2511,(D2511*F2511/G2511))</f>
        <v>374.4</v>
      </c>
      <c r="J2511" s="400"/>
      <c r="K2511" s="401"/>
      <c r="L2511" s="401"/>
      <c r="M2511" s="404"/>
      <c r="N2511" s="404"/>
      <c r="O2511" s="404"/>
      <c r="P2511" s="404"/>
      <c r="Q2511" s="404"/>
      <c r="R2511" s="404"/>
      <c r="S2511" s="404"/>
      <c r="T2511" s="404"/>
      <c r="U2511" s="404"/>
      <c r="V2511" s="404"/>
      <c r="W2511" s="404"/>
      <c r="X2511" s="404"/>
      <c r="Y2511" s="404"/>
      <c r="Z2511" s="404"/>
      <c r="AA2511" s="404"/>
      <c r="AB2511" s="404"/>
      <c r="AC2511" s="404"/>
      <c r="AD2511" s="404"/>
      <c r="AE2511" s="404"/>
      <c r="AF2511" s="404"/>
      <c r="AG2511" s="404"/>
      <c r="AH2511" s="404"/>
      <c r="AI2511" s="404"/>
      <c r="AJ2511" s="404"/>
      <c r="AK2511" s="404"/>
      <c r="AL2511" s="404"/>
      <c r="AM2511" s="404"/>
      <c r="AN2511" s="404"/>
      <c r="AO2511" s="404"/>
      <c r="AP2511" s="404"/>
      <c r="AQ2511" s="404"/>
      <c r="AR2511" s="404"/>
      <c r="AS2511" s="404"/>
      <c r="AT2511" s="404"/>
      <c r="AU2511" s="404"/>
      <c r="AV2511" s="404"/>
      <c r="AW2511" s="404"/>
      <c r="AX2511" s="404"/>
      <c r="AY2511" s="404"/>
      <c r="AZ2511" s="404"/>
      <c r="BA2511" s="404"/>
      <c r="BB2511" s="404"/>
      <c r="BC2511" s="404"/>
      <c r="BD2511" s="404"/>
      <c r="BE2511" s="404"/>
      <c r="BF2511" s="404"/>
      <c r="BG2511" s="404"/>
      <c r="BH2511" s="404"/>
      <c r="BI2511" s="404"/>
      <c r="BJ2511" s="404"/>
      <c r="BK2511" s="404"/>
      <c r="BL2511" s="404"/>
    </row>
    <row r="2512" spans="1:64">
      <c r="A2512" s="454"/>
      <c r="B2512" s="454"/>
      <c r="C2512" s="417" t="s">
        <v>1130</v>
      </c>
      <c r="D2512" s="408">
        <v>0.15</v>
      </c>
      <c r="E2512" s="454" t="s">
        <v>57</v>
      </c>
      <c r="F2512" s="408">
        <f>[161]LEAD!$N$13</f>
        <v>2453.91</v>
      </c>
      <c r="G2512" s="430">
        <v>1</v>
      </c>
      <c r="H2512" s="456" t="str">
        <f t="shared" si="594"/>
        <v>Cum</v>
      </c>
      <c r="I2512" s="408">
        <f t="shared" si="595"/>
        <v>368.08649999999994</v>
      </c>
      <c r="J2512" s="400"/>
      <c r="K2512" s="401"/>
      <c r="L2512" s="401"/>
      <c r="M2512" s="404"/>
      <c r="N2512" s="404"/>
      <c r="O2512" s="404"/>
      <c r="P2512" s="404"/>
      <c r="Q2512" s="404"/>
      <c r="R2512" s="404"/>
      <c r="S2512" s="404"/>
      <c r="T2512" s="404"/>
      <c r="U2512" s="404"/>
      <c r="V2512" s="404"/>
      <c r="W2512" s="404"/>
      <c r="X2512" s="404"/>
      <c r="Y2512" s="404"/>
      <c r="Z2512" s="404"/>
      <c r="AA2512" s="404"/>
      <c r="AB2512" s="404"/>
      <c r="AC2512" s="404"/>
      <c r="AD2512" s="404"/>
      <c r="AE2512" s="404"/>
      <c r="AF2512" s="404"/>
      <c r="AG2512" s="404"/>
      <c r="AH2512" s="404"/>
      <c r="AI2512" s="404"/>
      <c r="AJ2512" s="404"/>
      <c r="AK2512" s="404"/>
      <c r="AL2512" s="404"/>
      <c r="AM2512" s="404"/>
      <c r="AN2512" s="404"/>
      <c r="AO2512" s="404"/>
      <c r="AP2512" s="404"/>
      <c r="AQ2512" s="404"/>
      <c r="AR2512" s="404"/>
      <c r="AS2512" s="404"/>
      <c r="AT2512" s="404"/>
      <c r="AU2512" s="404"/>
      <c r="AV2512" s="404"/>
      <c r="AW2512" s="404"/>
      <c r="AX2512" s="404"/>
      <c r="AY2512" s="404"/>
      <c r="AZ2512" s="404"/>
      <c r="BA2512" s="404"/>
      <c r="BB2512" s="404"/>
      <c r="BC2512" s="404"/>
      <c r="BD2512" s="404"/>
      <c r="BE2512" s="404"/>
      <c r="BF2512" s="404"/>
      <c r="BG2512" s="404"/>
      <c r="BH2512" s="404"/>
      <c r="BI2512" s="404"/>
      <c r="BJ2512" s="404"/>
      <c r="BK2512" s="404"/>
      <c r="BL2512" s="404"/>
    </row>
    <row r="2513" spans="1:64">
      <c r="A2513" s="454"/>
      <c r="B2513" s="454"/>
      <c r="C2513" s="417" t="s">
        <v>1148</v>
      </c>
      <c r="D2513" s="408">
        <v>0.28999999999999998</v>
      </c>
      <c r="E2513" s="454" t="s">
        <v>1149</v>
      </c>
      <c r="F2513" s="408">
        <f>'[161]Civil-SOR'!$G$180</f>
        <v>215</v>
      </c>
      <c r="G2513" s="408">
        <f>'[161]Civil-SOR'!$H$314</f>
        <v>1</v>
      </c>
      <c r="H2513" s="456" t="str">
        <f t="shared" si="594"/>
        <v>Ltrs</v>
      </c>
      <c r="I2513" s="408">
        <f t="shared" si="595"/>
        <v>62.349999999999994</v>
      </c>
      <c r="J2513" s="400"/>
      <c r="K2513" s="401"/>
      <c r="L2513" s="401"/>
      <c r="M2513" s="404"/>
      <c r="N2513" s="404"/>
      <c r="O2513" s="404"/>
      <c r="P2513" s="404"/>
      <c r="Q2513" s="404"/>
      <c r="R2513" s="404"/>
      <c r="S2513" s="404"/>
      <c r="T2513" s="404"/>
      <c r="U2513" s="404"/>
      <c r="V2513" s="404"/>
      <c r="W2513" s="404"/>
      <c r="X2513" s="404"/>
      <c r="Y2513" s="404"/>
      <c r="Z2513" s="404"/>
      <c r="AA2513" s="404"/>
      <c r="AB2513" s="404"/>
      <c r="AC2513" s="404"/>
      <c r="AD2513" s="404"/>
      <c r="AE2513" s="404"/>
      <c r="AF2513" s="404"/>
      <c r="AG2513" s="404"/>
      <c r="AH2513" s="404"/>
      <c r="AI2513" s="404"/>
      <c r="AJ2513" s="404"/>
      <c r="AK2513" s="404"/>
      <c r="AL2513" s="404"/>
      <c r="AM2513" s="404"/>
      <c r="AN2513" s="404"/>
      <c r="AO2513" s="404"/>
      <c r="AP2513" s="404"/>
      <c r="AQ2513" s="404"/>
      <c r="AR2513" s="404"/>
      <c r="AS2513" s="404"/>
      <c r="AT2513" s="404"/>
      <c r="AU2513" s="404"/>
      <c r="AV2513" s="404"/>
      <c r="AW2513" s="404"/>
      <c r="AX2513" s="404"/>
      <c r="AY2513" s="404"/>
      <c r="AZ2513" s="404"/>
      <c r="BA2513" s="404"/>
      <c r="BB2513" s="404"/>
      <c r="BC2513" s="404"/>
      <c r="BD2513" s="404"/>
      <c r="BE2513" s="404"/>
      <c r="BF2513" s="404"/>
      <c r="BG2513" s="404"/>
      <c r="BH2513" s="404"/>
      <c r="BI2513" s="404"/>
      <c r="BJ2513" s="404"/>
      <c r="BK2513" s="404"/>
      <c r="BL2513" s="404"/>
    </row>
    <row r="2514" spans="1:64" ht="13">
      <c r="A2514" s="454"/>
      <c r="B2514" s="454"/>
      <c r="C2514" s="427" t="s">
        <v>911</v>
      </c>
      <c r="D2514" s="408"/>
      <c r="E2514" s="454"/>
      <c r="F2514" s="408"/>
      <c r="G2514" s="430"/>
      <c r="H2514" s="456"/>
      <c r="I2514" s="408"/>
      <c r="J2514" s="400"/>
      <c r="K2514" s="401"/>
      <c r="L2514" s="401"/>
      <c r="M2514" s="404"/>
      <c r="N2514" s="404"/>
      <c r="O2514" s="404"/>
      <c r="P2514" s="404"/>
      <c r="Q2514" s="404"/>
      <c r="R2514" s="404"/>
      <c r="S2514" s="404"/>
      <c r="T2514" s="404"/>
      <c r="U2514" s="404"/>
      <c r="V2514" s="404"/>
      <c r="W2514" s="404"/>
      <c r="X2514" s="404"/>
      <c r="Y2514" s="404"/>
      <c r="Z2514" s="404"/>
      <c r="AA2514" s="404"/>
      <c r="AB2514" s="404"/>
      <c r="AC2514" s="404"/>
      <c r="AD2514" s="404"/>
      <c r="AE2514" s="404"/>
      <c r="AF2514" s="404"/>
      <c r="AG2514" s="404"/>
      <c r="AH2514" s="404"/>
      <c r="AI2514" s="404"/>
      <c r="AJ2514" s="404"/>
      <c r="AK2514" s="404"/>
      <c r="AL2514" s="404"/>
      <c r="AM2514" s="404"/>
      <c r="AN2514" s="404"/>
      <c r="AO2514" s="404"/>
      <c r="AP2514" s="404"/>
      <c r="AQ2514" s="404"/>
      <c r="AR2514" s="404"/>
      <c r="AS2514" s="404"/>
      <c r="AT2514" s="404"/>
      <c r="AU2514" s="404"/>
      <c r="AV2514" s="404"/>
      <c r="AW2514" s="404"/>
      <c r="AX2514" s="404"/>
      <c r="AY2514" s="404"/>
      <c r="AZ2514" s="404"/>
      <c r="BA2514" s="404"/>
      <c r="BB2514" s="404"/>
      <c r="BC2514" s="404"/>
      <c r="BD2514" s="404"/>
      <c r="BE2514" s="404"/>
      <c r="BF2514" s="404"/>
      <c r="BG2514" s="404"/>
      <c r="BH2514" s="404"/>
      <c r="BI2514" s="404"/>
      <c r="BJ2514" s="404"/>
      <c r="BK2514" s="404"/>
      <c r="BL2514" s="404"/>
    </row>
    <row r="2515" spans="1:64">
      <c r="A2515" s="454"/>
      <c r="B2515" s="454"/>
      <c r="C2515" s="417" t="s">
        <v>1132</v>
      </c>
      <c r="D2515" s="408">
        <v>0.6</v>
      </c>
      <c r="E2515" s="408" t="s">
        <v>375</v>
      </c>
      <c r="F2515" s="408">
        <f>'[161]Civil-SOR'!$G$293</f>
        <v>580</v>
      </c>
      <c r="G2515" s="430">
        <v>1</v>
      </c>
      <c r="H2515" s="456" t="str">
        <f t="shared" ref="H2515:H2516" si="596">IF(E2515="","",IF(E2515="No.","Each",IF(E2515="Nos.","Each",E2515)))</f>
        <v>Each</v>
      </c>
      <c r="I2515" s="408">
        <f t="shared" ref="I2515:I2518" si="597">IF(G2515="",D2515*F2515,(D2515*F2515/G2515))</f>
        <v>348</v>
      </c>
      <c r="J2515" s="400"/>
      <c r="K2515" s="401"/>
      <c r="L2515" s="401"/>
      <c r="M2515" s="404"/>
      <c r="N2515" s="404"/>
      <c r="O2515" s="404"/>
      <c r="P2515" s="404"/>
      <c r="Q2515" s="404"/>
      <c r="R2515" s="404"/>
      <c r="S2515" s="404"/>
      <c r="T2515" s="404"/>
      <c r="U2515" s="404"/>
      <c r="V2515" s="404"/>
      <c r="W2515" s="404"/>
      <c r="X2515" s="404"/>
      <c r="Y2515" s="404"/>
      <c r="Z2515" s="404"/>
      <c r="AA2515" s="404"/>
      <c r="AB2515" s="404"/>
      <c r="AC2515" s="404"/>
      <c r="AD2515" s="404"/>
      <c r="AE2515" s="404"/>
      <c r="AF2515" s="404"/>
      <c r="AG2515" s="404"/>
      <c r="AH2515" s="404"/>
      <c r="AI2515" s="404"/>
      <c r="AJ2515" s="404"/>
      <c r="AK2515" s="404"/>
      <c r="AL2515" s="404"/>
      <c r="AM2515" s="404"/>
      <c r="AN2515" s="404"/>
      <c r="AO2515" s="404"/>
      <c r="AP2515" s="404"/>
      <c r="AQ2515" s="404"/>
      <c r="AR2515" s="404"/>
      <c r="AS2515" s="404"/>
      <c r="AT2515" s="404"/>
      <c r="AU2515" s="404"/>
      <c r="AV2515" s="404"/>
      <c r="AW2515" s="404"/>
      <c r="AX2515" s="404"/>
      <c r="AY2515" s="404"/>
      <c r="AZ2515" s="404"/>
      <c r="BA2515" s="404"/>
      <c r="BB2515" s="404"/>
      <c r="BC2515" s="404"/>
      <c r="BD2515" s="404"/>
      <c r="BE2515" s="404"/>
      <c r="BF2515" s="404"/>
      <c r="BG2515" s="404"/>
      <c r="BH2515" s="404"/>
      <c r="BI2515" s="404"/>
      <c r="BJ2515" s="404"/>
      <c r="BK2515" s="404"/>
      <c r="BL2515" s="404"/>
    </row>
    <row r="2516" spans="1:64">
      <c r="A2516" s="454"/>
      <c r="B2516" s="454"/>
      <c r="C2516" s="417" t="s">
        <v>903</v>
      </c>
      <c r="D2516" s="408">
        <v>0.96</v>
      </c>
      <c r="E2516" s="454" t="s">
        <v>375</v>
      </c>
      <c r="F2516" s="408">
        <f>'[161]Civil-SOR'!$G$307</f>
        <v>520</v>
      </c>
      <c r="G2516" s="430">
        <v>1</v>
      </c>
      <c r="H2516" s="456" t="str">
        <f t="shared" si="596"/>
        <v>Each</v>
      </c>
      <c r="I2516" s="408">
        <f t="shared" si="597"/>
        <v>499.2</v>
      </c>
      <c r="J2516" s="400"/>
      <c r="K2516" s="401"/>
      <c r="L2516" s="401"/>
      <c r="M2516" s="404"/>
      <c r="N2516" s="404"/>
      <c r="O2516" s="404"/>
      <c r="P2516" s="404"/>
      <c r="Q2516" s="404"/>
      <c r="R2516" s="404"/>
      <c r="S2516" s="404"/>
      <c r="T2516" s="404"/>
      <c r="U2516" s="404"/>
      <c r="V2516" s="404"/>
      <c r="W2516" s="404"/>
      <c r="X2516" s="404"/>
      <c r="Y2516" s="404"/>
      <c r="Z2516" s="404"/>
      <c r="AA2516" s="404"/>
      <c r="AB2516" s="404"/>
      <c r="AC2516" s="404"/>
      <c r="AD2516" s="404"/>
      <c r="AE2516" s="404"/>
      <c r="AF2516" s="404"/>
      <c r="AG2516" s="404"/>
      <c r="AH2516" s="404"/>
      <c r="AI2516" s="404"/>
      <c r="AJ2516" s="404"/>
      <c r="AK2516" s="404"/>
      <c r="AL2516" s="404"/>
      <c r="AM2516" s="404"/>
      <c r="AN2516" s="404"/>
      <c r="AO2516" s="404"/>
      <c r="AP2516" s="404"/>
      <c r="AQ2516" s="404"/>
      <c r="AR2516" s="404"/>
      <c r="AS2516" s="404"/>
      <c r="AT2516" s="404"/>
      <c r="AU2516" s="404"/>
      <c r="AV2516" s="404"/>
      <c r="AW2516" s="404"/>
      <c r="AX2516" s="404"/>
      <c r="AY2516" s="404"/>
      <c r="AZ2516" s="404"/>
      <c r="BA2516" s="404"/>
      <c r="BB2516" s="404"/>
      <c r="BC2516" s="404"/>
      <c r="BD2516" s="404"/>
      <c r="BE2516" s="404"/>
      <c r="BF2516" s="404"/>
      <c r="BG2516" s="404"/>
      <c r="BH2516" s="404"/>
      <c r="BI2516" s="404"/>
      <c r="BJ2516" s="404"/>
      <c r="BK2516" s="404"/>
      <c r="BL2516" s="404"/>
    </row>
    <row r="2517" spans="1:64">
      <c r="A2517" s="454"/>
      <c r="B2517" s="454"/>
      <c r="C2517" s="417" t="str">
        <f>[161]Input!$C$47</f>
        <v>Add for MA @ 40%</v>
      </c>
      <c r="D2517" s="621">
        <f>[161]Input!$D$47</f>
        <v>0.4</v>
      </c>
      <c r="E2517" s="454"/>
      <c r="F2517" s="408">
        <f>SUM(I2515:I2516)</f>
        <v>847.2</v>
      </c>
      <c r="G2517" s="410"/>
      <c r="H2517" s="426"/>
      <c r="I2517" s="408">
        <f t="shared" si="597"/>
        <v>338.88000000000005</v>
      </c>
      <c r="J2517" s="400"/>
      <c r="K2517" s="401"/>
      <c r="L2517" s="401"/>
      <c r="M2517" s="404"/>
      <c r="N2517" s="404"/>
      <c r="O2517" s="404"/>
      <c r="P2517" s="404"/>
      <c r="Q2517" s="404"/>
      <c r="R2517" s="404"/>
      <c r="S2517" s="404"/>
      <c r="T2517" s="404"/>
      <c r="U2517" s="404"/>
      <c r="V2517" s="404"/>
      <c r="W2517" s="404"/>
      <c r="X2517" s="404"/>
      <c r="Y2517" s="404"/>
      <c r="Z2517" s="404"/>
      <c r="AA2517" s="404"/>
      <c r="AB2517" s="404"/>
      <c r="AC2517" s="404"/>
      <c r="AD2517" s="404"/>
      <c r="AE2517" s="404"/>
      <c r="AF2517" s="404"/>
      <c r="AG2517" s="404"/>
      <c r="AH2517" s="404"/>
      <c r="AI2517" s="404"/>
      <c r="AJ2517" s="404"/>
      <c r="AK2517" s="404"/>
      <c r="AL2517" s="404"/>
      <c r="AM2517" s="404"/>
      <c r="AN2517" s="404"/>
      <c r="AO2517" s="404"/>
      <c r="AP2517" s="404"/>
      <c r="AQ2517" s="404"/>
      <c r="AR2517" s="404"/>
      <c r="AS2517" s="404"/>
      <c r="AT2517" s="404"/>
      <c r="AU2517" s="404"/>
      <c r="AV2517" s="404"/>
      <c r="AW2517" s="404"/>
      <c r="AX2517" s="404"/>
      <c r="AY2517" s="404"/>
      <c r="AZ2517" s="404"/>
      <c r="BA2517" s="404"/>
      <c r="BB2517" s="404"/>
      <c r="BC2517" s="404"/>
      <c r="BD2517" s="404"/>
      <c r="BE2517" s="404"/>
      <c r="BF2517" s="404"/>
      <c r="BG2517" s="404"/>
      <c r="BH2517" s="404"/>
      <c r="BI2517" s="404"/>
      <c r="BJ2517" s="404"/>
      <c r="BK2517" s="404"/>
      <c r="BL2517" s="404"/>
    </row>
    <row r="2518" spans="1:64">
      <c r="A2518" s="454"/>
      <c r="B2518" s="454"/>
      <c r="C2518" s="417" t="s">
        <v>1058</v>
      </c>
      <c r="D2518" s="408">
        <v>0.01</v>
      </c>
      <c r="E2518" s="408"/>
      <c r="F2518" s="408">
        <f>SUM(I2511:I2517)</f>
        <v>1990.9165</v>
      </c>
      <c r="G2518" s="430"/>
      <c r="H2518" s="456"/>
      <c r="I2518" s="408">
        <f t="shared" si="597"/>
        <v>19.909165000000002</v>
      </c>
      <c r="J2518" s="400"/>
      <c r="K2518" s="401"/>
      <c r="L2518" s="401"/>
      <c r="M2518" s="404"/>
      <c r="N2518" s="404"/>
      <c r="O2518" s="404"/>
      <c r="P2518" s="404"/>
      <c r="Q2518" s="404"/>
      <c r="R2518" s="404"/>
      <c r="S2518" s="404"/>
      <c r="T2518" s="404"/>
      <c r="U2518" s="404"/>
      <c r="V2518" s="404"/>
      <c r="W2518" s="404"/>
      <c r="X2518" s="404"/>
      <c r="Y2518" s="404"/>
      <c r="Z2518" s="404"/>
      <c r="AA2518" s="404"/>
      <c r="AB2518" s="404"/>
      <c r="AC2518" s="404"/>
      <c r="AD2518" s="404"/>
      <c r="AE2518" s="404"/>
      <c r="AF2518" s="404"/>
      <c r="AG2518" s="404"/>
      <c r="AH2518" s="404"/>
      <c r="AI2518" s="404"/>
      <c r="AJ2518" s="404"/>
      <c r="AK2518" s="404"/>
      <c r="AL2518" s="404"/>
      <c r="AM2518" s="404"/>
      <c r="AN2518" s="404"/>
      <c r="AO2518" s="404"/>
      <c r="AP2518" s="404"/>
      <c r="AQ2518" s="404"/>
      <c r="AR2518" s="404"/>
      <c r="AS2518" s="404"/>
      <c r="AT2518" s="404"/>
      <c r="AU2518" s="404"/>
      <c r="AV2518" s="404"/>
      <c r="AW2518" s="404"/>
      <c r="AX2518" s="404"/>
      <c r="AY2518" s="404"/>
      <c r="AZ2518" s="404"/>
      <c r="BA2518" s="404"/>
      <c r="BB2518" s="404"/>
      <c r="BC2518" s="404"/>
      <c r="BD2518" s="404"/>
      <c r="BE2518" s="404"/>
      <c r="BF2518" s="404"/>
      <c r="BG2518" s="404"/>
      <c r="BH2518" s="404"/>
      <c r="BI2518" s="404"/>
      <c r="BJ2518" s="404"/>
      <c r="BK2518" s="404"/>
      <c r="BL2518" s="404"/>
    </row>
    <row r="2519" spans="1:64" ht="13">
      <c r="A2519" s="454"/>
      <c r="B2519" s="454"/>
      <c r="C2519" s="481" t="s">
        <v>1047</v>
      </c>
      <c r="D2519" s="621"/>
      <c r="E2519" s="454"/>
      <c r="F2519" s="408"/>
      <c r="G2519" s="410"/>
      <c r="H2519" s="426"/>
      <c r="I2519" s="414">
        <f>SUM(I2511:I2518)</f>
        <v>2010.8256650000001</v>
      </c>
      <c r="J2519" s="411"/>
      <c r="K2519" s="412"/>
      <c r="L2519" s="412"/>
      <c r="M2519" s="413"/>
      <c r="N2519" s="413"/>
      <c r="O2519" s="413"/>
      <c r="P2519" s="413"/>
      <c r="Q2519" s="413"/>
      <c r="R2519" s="413"/>
      <c r="S2519" s="413"/>
      <c r="T2519" s="413"/>
      <c r="U2519" s="413"/>
      <c r="V2519" s="413"/>
      <c r="W2519" s="413"/>
      <c r="X2519" s="413"/>
      <c r="Y2519" s="413"/>
      <c r="Z2519" s="413"/>
      <c r="AA2519" s="413"/>
      <c r="AB2519" s="413"/>
      <c r="AC2519" s="413"/>
      <c r="AD2519" s="413"/>
      <c r="AE2519" s="413"/>
      <c r="AF2519" s="413"/>
      <c r="AG2519" s="413"/>
      <c r="AH2519" s="413"/>
      <c r="AI2519" s="413"/>
      <c r="AJ2519" s="413"/>
      <c r="AK2519" s="413"/>
      <c r="AL2519" s="413"/>
      <c r="AM2519" s="413"/>
      <c r="AN2519" s="413"/>
      <c r="AO2519" s="413"/>
      <c r="AP2519" s="413"/>
      <c r="AQ2519" s="413"/>
      <c r="AR2519" s="413"/>
      <c r="AS2519" s="413"/>
      <c r="AT2519" s="413"/>
      <c r="AU2519" s="413"/>
      <c r="AV2519" s="413"/>
      <c r="AW2519" s="413"/>
      <c r="AX2519" s="413"/>
      <c r="AY2519" s="413"/>
      <c r="AZ2519" s="413"/>
      <c r="BA2519" s="413"/>
      <c r="BB2519" s="413"/>
      <c r="BC2519" s="413"/>
      <c r="BD2519" s="413"/>
      <c r="BE2519" s="413"/>
      <c r="BF2519" s="413"/>
      <c r="BG2519" s="413"/>
      <c r="BH2519" s="413"/>
      <c r="BI2519" s="413"/>
      <c r="BJ2519" s="413"/>
      <c r="BK2519" s="413"/>
      <c r="BL2519" s="413"/>
    </row>
    <row r="2520" spans="1:64">
      <c r="A2520" s="454"/>
      <c r="B2520" s="454"/>
      <c r="C2520" s="417"/>
      <c r="D2520" s="408"/>
      <c r="E2520" s="454"/>
      <c r="F2520" s="408"/>
      <c r="G2520" s="430"/>
      <c r="H2520" s="456"/>
      <c r="I2520" s="408"/>
      <c r="J2520" s="400"/>
      <c r="K2520" s="401"/>
      <c r="L2520" s="401"/>
      <c r="M2520" s="404"/>
      <c r="N2520" s="404"/>
      <c r="O2520" s="404"/>
      <c r="P2520" s="404"/>
      <c r="Q2520" s="404"/>
      <c r="R2520" s="404"/>
      <c r="S2520" s="404"/>
      <c r="T2520" s="404"/>
      <c r="U2520" s="404"/>
      <c r="V2520" s="404"/>
      <c r="W2520" s="404"/>
      <c r="X2520" s="404"/>
      <c r="Y2520" s="404"/>
      <c r="Z2520" s="404"/>
      <c r="AA2520" s="404"/>
      <c r="AB2520" s="404"/>
      <c r="AC2520" s="404"/>
      <c r="AD2520" s="404"/>
      <c r="AE2520" s="404"/>
      <c r="AF2520" s="404"/>
      <c r="AG2520" s="404"/>
      <c r="AH2520" s="404"/>
      <c r="AI2520" s="404"/>
      <c r="AJ2520" s="404"/>
      <c r="AK2520" s="404"/>
      <c r="AL2520" s="404"/>
      <c r="AM2520" s="404"/>
      <c r="AN2520" s="404"/>
      <c r="AO2520" s="404"/>
      <c r="AP2520" s="404"/>
      <c r="AQ2520" s="404"/>
      <c r="AR2520" s="404"/>
      <c r="AS2520" s="404"/>
      <c r="AT2520" s="404"/>
      <c r="AU2520" s="404"/>
      <c r="AV2520" s="404"/>
      <c r="AW2520" s="404"/>
      <c r="AX2520" s="404"/>
      <c r="AY2520" s="404"/>
      <c r="AZ2520" s="404"/>
      <c r="BA2520" s="404"/>
      <c r="BB2520" s="404"/>
      <c r="BC2520" s="404"/>
      <c r="BD2520" s="404"/>
      <c r="BE2520" s="404"/>
      <c r="BF2520" s="404"/>
      <c r="BG2520" s="404"/>
      <c r="BH2520" s="404"/>
      <c r="BI2520" s="404"/>
      <c r="BJ2520" s="404"/>
      <c r="BK2520" s="404"/>
      <c r="BL2520" s="404"/>
    </row>
    <row r="2521" spans="1:64" ht="13">
      <c r="A2521" s="454"/>
      <c r="B2521" s="454"/>
      <c r="C2521" s="427" t="s">
        <v>953</v>
      </c>
      <c r="D2521" s="414" t="s">
        <v>959</v>
      </c>
      <c r="E2521" s="416" t="s">
        <v>943</v>
      </c>
      <c r="F2521" s="415" t="s">
        <v>944</v>
      </c>
      <c r="G2521" s="414" t="s">
        <v>1036</v>
      </c>
      <c r="H2521" s="414" t="s">
        <v>1037</v>
      </c>
      <c r="I2521" s="414" t="s">
        <v>1038</v>
      </c>
      <c r="J2521" s="400"/>
      <c r="K2521" s="401"/>
      <c r="L2521" s="401"/>
      <c r="M2521" s="404"/>
      <c r="N2521" s="404"/>
      <c r="O2521" s="404"/>
      <c r="P2521" s="404"/>
      <c r="Q2521" s="404"/>
      <c r="R2521" s="404"/>
      <c r="S2521" s="404"/>
      <c r="T2521" s="404"/>
      <c r="U2521" s="404"/>
      <c r="V2521" s="404"/>
      <c r="W2521" s="404"/>
      <c r="X2521" s="404"/>
      <c r="Y2521" s="404"/>
      <c r="Z2521" s="404"/>
      <c r="AA2521" s="404"/>
      <c r="AB2521" s="404"/>
      <c r="AC2521" s="404"/>
      <c r="AD2521" s="404"/>
      <c r="AE2521" s="404"/>
      <c r="AF2521" s="404"/>
      <c r="AG2521" s="404"/>
      <c r="AH2521" s="404"/>
      <c r="AI2521" s="404"/>
      <c r="AJ2521" s="404"/>
      <c r="AK2521" s="404"/>
      <c r="AL2521" s="404"/>
      <c r="AM2521" s="404"/>
      <c r="AN2521" s="404"/>
      <c r="AO2521" s="404"/>
      <c r="AP2521" s="404"/>
      <c r="AQ2521" s="404"/>
      <c r="AR2521" s="404"/>
      <c r="AS2521" s="404"/>
      <c r="AT2521" s="404"/>
      <c r="AU2521" s="404"/>
      <c r="AV2521" s="404"/>
      <c r="AW2521" s="404"/>
      <c r="AX2521" s="404"/>
      <c r="AY2521" s="404"/>
      <c r="AZ2521" s="404"/>
      <c r="BA2521" s="404"/>
      <c r="BB2521" s="404"/>
      <c r="BC2521" s="404"/>
      <c r="BD2521" s="404"/>
      <c r="BE2521" s="404"/>
      <c r="BF2521" s="404"/>
      <c r="BG2521" s="404"/>
      <c r="BH2521" s="404"/>
      <c r="BI2521" s="404"/>
      <c r="BJ2521" s="404"/>
      <c r="BK2521" s="404"/>
      <c r="BL2521" s="404"/>
    </row>
    <row r="2522" spans="1:64">
      <c r="A2522" s="454"/>
      <c r="B2522" s="454"/>
      <c r="C2522" s="417" t="s">
        <v>1064</v>
      </c>
      <c r="D2522" s="408">
        <f t="shared" ref="D2522:I2522" si="598">$I$2519</f>
        <v>2010.8256650000001</v>
      </c>
      <c r="E2522" s="408">
        <f t="shared" si="598"/>
        <v>2010.8256650000001</v>
      </c>
      <c r="F2522" s="408">
        <f t="shared" si="598"/>
        <v>2010.8256650000001</v>
      </c>
      <c r="G2522" s="408">
        <f t="shared" si="598"/>
        <v>2010.8256650000001</v>
      </c>
      <c r="H2522" s="408">
        <f t="shared" si="598"/>
        <v>2010.8256650000001</v>
      </c>
      <c r="I2522" s="408">
        <f t="shared" si="598"/>
        <v>2010.8256650000001</v>
      </c>
      <c r="J2522" s="400"/>
      <c r="K2522" s="401"/>
      <c r="L2522" s="401"/>
      <c r="M2522" s="404"/>
      <c r="N2522" s="404"/>
      <c r="O2522" s="404"/>
      <c r="P2522" s="404"/>
      <c r="Q2522" s="404"/>
      <c r="R2522" s="404"/>
      <c r="S2522" s="404"/>
      <c r="T2522" s="404"/>
      <c r="U2522" s="404"/>
      <c r="V2522" s="404"/>
      <c r="W2522" s="404"/>
      <c r="X2522" s="404"/>
      <c r="Y2522" s="404"/>
      <c r="Z2522" s="404"/>
      <c r="AA2522" s="404"/>
      <c r="AB2522" s="404"/>
      <c r="AC2522" s="404"/>
      <c r="AD2522" s="404"/>
      <c r="AE2522" s="404"/>
      <c r="AF2522" s="404"/>
      <c r="AG2522" s="404"/>
      <c r="AH2522" s="404"/>
      <c r="AI2522" s="404"/>
      <c r="AJ2522" s="404"/>
      <c r="AK2522" s="404"/>
      <c r="AL2522" s="404"/>
      <c r="AM2522" s="404"/>
      <c r="AN2522" s="404"/>
      <c r="AO2522" s="404"/>
      <c r="AP2522" s="404"/>
      <c r="AQ2522" s="404"/>
      <c r="AR2522" s="404"/>
      <c r="AS2522" s="404"/>
      <c r="AT2522" s="404"/>
      <c r="AU2522" s="404"/>
      <c r="AV2522" s="404"/>
      <c r="AW2522" s="404"/>
      <c r="AX2522" s="404"/>
      <c r="AY2522" s="404"/>
      <c r="AZ2522" s="404"/>
      <c r="BA2522" s="404"/>
      <c r="BB2522" s="404"/>
      <c r="BC2522" s="404"/>
      <c r="BD2522" s="404"/>
      <c r="BE2522" s="404"/>
      <c r="BF2522" s="404"/>
      <c r="BG2522" s="404"/>
      <c r="BH2522" s="404"/>
      <c r="BI2522" s="404"/>
      <c r="BJ2522" s="404"/>
      <c r="BK2522" s="404"/>
      <c r="BL2522" s="404"/>
    </row>
    <row r="2523" spans="1:64">
      <c r="A2523" s="454"/>
      <c r="B2523" s="454"/>
      <c r="C2523" s="417" t="s">
        <v>994</v>
      </c>
      <c r="D2523" s="408">
        <v>0</v>
      </c>
      <c r="E2523" s="408">
        <f>ROUND($F$2517*10%,2)</f>
        <v>84.72</v>
      </c>
      <c r="F2523" s="408">
        <f>ROUND($F$2517*20%,2)</f>
        <v>169.44</v>
      </c>
      <c r="G2523" s="408">
        <f>ROUND($F$2517*30%,2)</f>
        <v>254.16</v>
      </c>
      <c r="H2523" s="408">
        <f>ROUND($F$2517*40%,2)</f>
        <v>338.88</v>
      </c>
      <c r="I2523" s="408">
        <f>ROUND($F$2517*50%,2)</f>
        <v>423.6</v>
      </c>
      <c r="J2523" s="400"/>
      <c r="K2523" s="401"/>
      <c r="L2523" s="401"/>
      <c r="M2523" s="404"/>
      <c r="N2523" s="404"/>
      <c r="O2523" s="404"/>
      <c r="P2523" s="404"/>
      <c r="Q2523" s="404"/>
      <c r="R2523" s="404"/>
      <c r="S2523" s="404"/>
      <c r="T2523" s="404"/>
      <c r="U2523" s="404"/>
      <c r="V2523" s="404"/>
      <c r="W2523" s="404"/>
      <c r="X2523" s="404"/>
      <c r="Y2523" s="404"/>
      <c r="Z2523" s="404"/>
      <c r="AA2523" s="404"/>
      <c r="AB2523" s="404"/>
      <c r="AC2523" s="404"/>
      <c r="AD2523" s="404"/>
      <c r="AE2523" s="404"/>
      <c r="AF2523" s="404"/>
      <c r="AG2523" s="404"/>
      <c r="AH2523" s="404"/>
      <c r="AI2523" s="404"/>
      <c r="AJ2523" s="404"/>
      <c r="AK2523" s="404"/>
      <c r="AL2523" s="404"/>
      <c r="AM2523" s="404"/>
      <c r="AN2523" s="404"/>
      <c r="AO2523" s="404"/>
      <c r="AP2523" s="404"/>
      <c r="AQ2523" s="404"/>
      <c r="AR2523" s="404"/>
      <c r="AS2523" s="404"/>
      <c r="AT2523" s="404"/>
      <c r="AU2523" s="404"/>
      <c r="AV2523" s="404"/>
      <c r="AW2523" s="404"/>
      <c r="AX2523" s="404"/>
      <c r="AY2523" s="404"/>
      <c r="AZ2523" s="404"/>
      <c r="BA2523" s="404"/>
      <c r="BB2523" s="404"/>
      <c r="BC2523" s="404"/>
      <c r="BD2523" s="404"/>
      <c r="BE2523" s="404"/>
      <c r="BF2523" s="404"/>
      <c r="BG2523" s="404"/>
      <c r="BH2523" s="404"/>
      <c r="BI2523" s="404"/>
      <c r="BJ2523" s="404"/>
      <c r="BK2523" s="404"/>
      <c r="BL2523" s="404"/>
    </row>
    <row r="2524" spans="1:64">
      <c r="A2524" s="454"/>
      <c r="B2524" s="454"/>
      <c r="C2524" s="417" t="str">
        <f>[161]Input!$C$47</f>
        <v>Add for MA @ 40%</v>
      </c>
      <c r="D2524" s="408">
        <f>D2523*[161]Input!$D$47</f>
        <v>0</v>
      </c>
      <c r="E2524" s="408">
        <f>E2523*[161]Input!$D$47</f>
        <v>33.887999999999998</v>
      </c>
      <c r="F2524" s="408">
        <f>F2523*[161]Input!$D$47</f>
        <v>67.775999999999996</v>
      </c>
      <c r="G2524" s="408">
        <f>G2523*[161]Input!$D$47</f>
        <v>101.664</v>
      </c>
      <c r="H2524" s="408">
        <f>H2523*[161]Input!$D$47</f>
        <v>135.55199999999999</v>
      </c>
      <c r="I2524" s="408">
        <f>I2523*[161]Input!$D$47</f>
        <v>169.44000000000003</v>
      </c>
      <c r="J2524" s="400"/>
      <c r="K2524" s="401"/>
      <c r="L2524" s="401"/>
      <c r="M2524" s="404"/>
      <c r="N2524" s="404"/>
      <c r="O2524" s="404"/>
      <c r="P2524" s="404"/>
      <c r="Q2524" s="404"/>
      <c r="R2524" s="404"/>
      <c r="S2524" s="404"/>
      <c r="T2524" s="404"/>
      <c r="U2524" s="404"/>
      <c r="V2524" s="404"/>
      <c r="W2524" s="404"/>
      <c r="X2524" s="404"/>
      <c r="Y2524" s="404"/>
      <c r="Z2524" s="404"/>
      <c r="AA2524" s="404"/>
      <c r="AB2524" s="404"/>
      <c r="AC2524" s="404"/>
      <c r="AD2524" s="404"/>
      <c r="AE2524" s="404"/>
      <c r="AF2524" s="404"/>
      <c r="AG2524" s="404"/>
      <c r="AH2524" s="404"/>
      <c r="AI2524" s="404"/>
      <c r="AJ2524" s="404"/>
      <c r="AK2524" s="404"/>
      <c r="AL2524" s="404"/>
      <c r="AM2524" s="404"/>
      <c r="AN2524" s="404"/>
      <c r="AO2524" s="404"/>
      <c r="AP2524" s="404"/>
      <c r="AQ2524" s="404"/>
      <c r="AR2524" s="404"/>
      <c r="AS2524" s="404"/>
      <c r="AT2524" s="404"/>
      <c r="AU2524" s="404"/>
      <c r="AV2524" s="404"/>
      <c r="AW2524" s="404"/>
      <c r="AX2524" s="404"/>
      <c r="AY2524" s="404"/>
      <c r="AZ2524" s="404"/>
      <c r="BA2524" s="404"/>
      <c r="BB2524" s="404"/>
      <c r="BC2524" s="404"/>
      <c r="BD2524" s="404"/>
      <c r="BE2524" s="404"/>
      <c r="BF2524" s="404"/>
      <c r="BG2524" s="404"/>
      <c r="BH2524" s="404"/>
      <c r="BI2524" s="404"/>
      <c r="BJ2524" s="404"/>
      <c r="BK2524" s="404"/>
      <c r="BL2524" s="404"/>
    </row>
    <row r="2525" spans="1:64">
      <c r="A2525" s="454"/>
      <c r="B2525" s="454"/>
      <c r="C2525" s="469"/>
      <c r="D2525" s="408">
        <f t="shared" ref="D2525:I2525" si="599">SUM(D2522:D2524)</f>
        <v>2010.8256650000001</v>
      </c>
      <c r="E2525" s="408">
        <f t="shared" si="599"/>
        <v>2129.433665</v>
      </c>
      <c r="F2525" s="408">
        <f t="shared" si="599"/>
        <v>2248.0416649999997</v>
      </c>
      <c r="G2525" s="408">
        <f t="shared" si="599"/>
        <v>2366.6496650000004</v>
      </c>
      <c r="H2525" s="408">
        <f t="shared" si="599"/>
        <v>2485.2576650000001</v>
      </c>
      <c r="I2525" s="408">
        <f t="shared" si="599"/>
        <v>2603.8656650000003</v>
      </c>
      <c r="J2525" s="400"/>
      <c r="K2525" s="401"/>
      <c r="L2525" s="401"/>
      <c r="M2525" s="404"/>
      <c r="N2525" s="404"/>
      <c r="O2525" s="404"/>
      <c r="P2525" s="404"/>
      <c r="Q2525" s="404"/>
      <c r="R2525" s="404"/>
      <c r="S2525" s="404"/>
      <c r="T2525" s="404"/>
      <c r="U2525" s="404"/>
      <c r="V2525" s="404"/>
      <c r="W2525" s="404"/>
      <c r="X2525" s="404"/>
      <c r="Y2525" s="404"/>
      <c r="Z2525" s="404"/>
      <c r="AA2525" s="404"/>
      <c r="AB2525" s="404"/>
      <c r="AC2525" s="404"/>
      <c r="AD2525" s="404"/>
      <c r="AE2525" s="404"/>
      <c r="AF2525" s="404"/>
      <c r="AG2525" s="404"/>
      <c r="AH2525" s="404"/>
      <c r="AI2525" s="404"/>
      <c r="AJ2525" s="404"/>
      <c r="AK2525" s="404"/>
      <c r="AL2525" s="404"/>
      <c r="AM2525" s="404"/>
      <c r="AN2525" s="404"/>
      <c r="AO2525" s="404"/>
      <c r="AP2525" s="404"/>
      <c r="AQ2525" s="404"/>
      <c r="AR2525" s="404"/>
      <c r="AS2525" s="404"/>
      <c r="AT2525" s="404"/>
      <c r="AU2525" s="404"/>
      <c r="AV2525" s="404"/>
      <c r="AW2525" s="404"/>
      <c r="AX2525" s="404"/>
      <c r="AY2525" s="404"/>
      <c r="AZ2525" s="404"/>
      <c r="BA2525" s="404"/>
      <c r="BB2525" s="404"/>
      <c r="BC2525" s="404"/>
      <c r="BD2525" s="404"/>
      <c r="BE2525" s="404"/>
      <c r="BF2525" s="404"/>
      <c r="BG2525" s="404"/>
      <c r="BH2525" s="404"/>
      <c r="BI2525" s="404"/>
      <c r="BJ2525" s="404"/>
      <c r="BK2525" s="404"/>
      <c r="BL2525" s="404"/>
    </row>
    <row r="2526" spans="1:64" ht="25">
      <c r="A2526" s="454"/>
      <c r="B2526" s="454"/>
      <c r="C2526" s="417" t="str">
        <f>[161]Input!$C$48</f>
        <v>Overheads &amp; Contractors Profit @ 13.615%</v>
      </c>
      <c r="D2526" s="408">
        <f>ROUND(D2525*[161]Input!$D$48,2)</f>
        <v>273.77</v>
      </c>
      <c r="E2526" s="408">
        <f>ROUND(E2525*[161]Input!$D$48,2)</f>
        <v>289.92</v>
      </c>
      <c r="F2526" s="408">
        <f>ROUND(F2525*[161]Input!$D$48,2)</f>
        <v>306.07</v>
      </c>
      <c r="G2526" s="408">
        <f>ROUND(G2525*[161]Input!$D$48,2)</f>
        <v>322.22000000000003</v>
      </c>
      <c r="H2526" s="408">
        <f>ROUND(H2525*[161]Input!$D$48,2)</f>
        <v>338.37</v>
      </c>
      <c r="I2526" s="408">
        <f>ROUND(I2525*[161]Input!$D$48,2)</f>
        <v>354.52</v>
      </c>
      <c r="J2526" s="400"/>
      <c r="K2526" s="401"/>
      <c r="L2526" s="401"/>
      <c r="M2526" s="404"/>
      <c r="N2526" s="404"/>
      <c r="O2526" s="404"/>
      <c r="P2526" s="404"/>
      <c r="Q2526" s="404"/>
      <c r="R2526" s="404"/>
      <c r="S2526" s="404"/>
      <c r="T2526" s="404"/>
      <c r="U2526" s="404"/>
      <c r="V2526" s="404"/>
      <c r="W2526" s="404"/>
      <c r="X2526" s="404"/>
      <c r="Y2526" s="404"/>
      <c r="Z2526" s="404"/>
      <c r="AA2526" s="404"/>
      <c r="AB2526" s="404"/>
      <c r="AC2526" s="404"/>
      <c r="AD2526" s="404"/>
      <c r="AE2526" s="404"/>
      <c r="AF2526" s="404"/>
      <c r="AG2526" s="404"/>
      <c r="AH2526" s="404"/>
      <c r="AI2526" s="404"/>
      <c r="AJ2526" s="404"/>
      <c r="AK2526" s="404"/>
      <c r="AL2526" s="404"/>
      <c r="AM2526" s="404"/>
      <c r="AN2526" s="404"/>
      <c r="AO2526" s="404"/>
      <c r="AP2526" s="404"/>
      <c r="AQ2526" s="404"/>
      <c r="AR2526" s="404"/>
      <c r="AS2526" s="404"/>
      <c r="AT2526" s="404"/>
      <c r="AU2526" s="404"/>
      <c r="AV2526" s="404"/>
      <c r="AW2526" s="404"/>
      <c r="AX2526" s="404"/>
      <c r="AY2526" s="404"/>
      <c r="AZ2526" s="404"/>
      <c r="BA2526" s="404"/>
      <c r="BB2526" s="404"/>
      <c r="BC2526" s="404"/>
      <c r="BD2526" s="404"/>
      <c r="BE2526" s="404"/>
      <c r="BF2526" s="404"/>
      <c r="BG2526" s="404"/>
      <c r="BH2526" s="404"/>
      <c r="BI2526" s="404"/>
      <c r="BJ2526" s="404"/>
      <c r="BK2526" s="404"/>
      <c r="BL2526" s="404"/>
    </row>
    <row r="2527" spans="1:64" ht="13">
      <c r="A2527" s="454"/>
      <c r="B2527" s="454"/>
      <c r="C2527" s="427" t="s">
        <v>1047</v>
      </c>
      <c r="D2527" s="408">
        <f t="shared" ref="D2527:I2527" si="600">SUM(D2525:D2526)</f>
        <v>2284.5956649999998</v>
      </c>
      <c r="E2527" s="408">
        <f t="shared" si="600"/>
        <v>2419.3536650000001</v>
      </c>
      <c r="F2527" s="408">
        <f t="shared" si="600"/>
        <v>2554.1116649999999</v>
      </c>
      <c r="G2527" s="408">
        <f t="shared" si="600"/>
        <v>2688.8696650000002</v>
      </c>
      <c r="H2527" s="408">
        <f t="shared" si="600"/>
        <v>2823.627665</v>
      </c>
      <c r="I2527" s="408">
        <f t="shared" si="600"/>
        <v>2958.3856650000002</v>
      </c>
      <c r="J2527" s="400"/>
      <c r="K2527" s="401"/>
      <c r="L2527" s="401"/>
      <c r="M2527" s="404"/>
      <c r="N2527" s="404"/>
      <c r="O2527" s="404"/>
      <c r="P2527" s="404"/>
      <c r="Q2527" s="404"/>
      <c r="R2527" s="404"/>
      <c r="S2527" s="404"/>
      <c r="T2527" s="404"/>
      <c r="U2527" s="404"/>
      <c r="V2527" s="404"/>
      <c r="W2527" s="404"/>
      <c r="X2527" s="404"/>
      <c r="Y2527" s="404"/>
      <c r="Z2527" s="404"/>
      <c r="AA2527" s="404"/>
      <c r="AB2527" s="404"/>
      <c r="AC2527" s="404"/>
      <c r="AD2527" s="404"/>
      <c r="AE2527" s="404"/>
      <c r="AF2527" s="404"/>
      <c r="AG2527" s="404"/>
      <c r="AH2527" s="404"/>
      <c r="AI2527" s="404"/>
      <c r="AJ2527" s="404"/>
      <c r="AK2527" s="404"/>
      <c r="AL2527" s="404"/>
      <c r="AM2527" s="404"/>
      <c r="AN2527" s="404"/>
      <c r="AO2527" s="404"/>
      <c r="AP2527" s="404"/>
      <c r="AQ2527" s="404"/>
      <c r="AR2527" s="404"/>
      <c r="AS2527" s="404"/>
      <c r="AT2527" s="404"/>
      <c r="AU2527" s="404"/>
      <c r="AV2527" s="404"/>
      <c r="AW2527" s="404"/>
      <c r="AX2527" s="404"/>
      <c r="AY2527" s="404"/>
      <c r="AZ2527" s="404"/>
      <c r="BA2527" s="404"/>
      <c r="BB2527" s="404"/>
      <c r="BC2527" s="404"/>
      <c r="BD2527" s="404"/>
      <c r="BE2527" s="404"/>
      <c r="BF2527" s="404"/>
      <c r="BG2527" s="404"/>
      <c r="BH2527" s="404"/>
      <c r="BI2527" s="404"/>
      <c r="BJ2527" s="404"/>
      <c r="BK2527" s="404"/>
      <c r="BL2527" s="404"/>
    </row>
    <row r="2528" spans="1:64" ht="13">
      <c r="A2528" s="454"/>
      <c r="B2528" s="454"/>
      <c r="C2528" s="427" t="s">
        <v>845</v>
      </c>
      <c r="D2528" s="414">
        <f t="shared" ref="D2528:I2528" si="601">D2527/10</f>
        <v>228.45956649999999</v>
      </c>
      <c r="E2528" s="414">
        <f t="shared" si="601"/>
        <v>241.93536650000001</v>
      </c>
      <c r="F2528" s="414">
        <f t="shared" si="601"/>
        <v>255.41116649999998</v>
      </c>
      <c r="G2528" s="414">
        <f t="shared" si="601"/>
        <v>268.88696650000003</v>
      </c>
      <c r="H2528" s="414">
        <f t="shared" si="601"/>
        <v>282.36276650000002</v>
      </c>
      <c r="I2528" s="414">
        <f t="shared" si="601"/>
        <v>295.83856650000001</v>
      </c>
      <c r="J2528" s="400"/>
      <c r="K2528" s="401"/>
      <c r="L2528" s="401"/>
      <c r="M2528" s="404"/>
      <c r="N2528" s="404"/>
      <c r="O2528" s="404"/>
      <c r="P2528" s="404"/>
      <c r="Q2528" s="404"/>
      <c r="R2528" s="404"/>
      <c r="S2528" s="404"/>
      <c r="T2528" s="404"/>
      <c r="U2528" s="404"/>
      <c r="V2528" s="404"/>
      <c r="W2528" s="404"/>
      <c r="X2528" s="404"/>
      <c r="Y2528" s="404"/>
      <c r="Z2528" s="404"/>
      <c r="AA2528" s="404"/>
      <c r="AB2528" s="404"/>
      <c r="AC2528" s="404"/>
      <c r="AD2528" s="404"/>
      <c r="AE2528" s="404"/>
      <c r="AF2528" s="404"/>
      <c r="AG2528" s="404"/>
      <c r="AH2528" s="404"/>
      <c r="AI2528" s="404"/>
      <c r="AJ2528" s="404"/>
      <c r="AK2528" s="404"/>
      <c r="AL2528" s="404"/>
      <c r="AM2528" s="404"/>
      <c r="AN2528" s="404"/>
      <c r="AO2528" s="404"/>
      <c r="AP2528" s="404"/>
      <c r="AQ2528" s="404"/>
      <c r="AR2528" s="404"/>
      <c r="AS2528" s="404"/>
      <c r="AT2528" s="404"/>
      <c r="AU2528" s="404"/>
      <c r="AV2528" s="404"/>
      <c r="AW2528" s="404"/>
      <c r="AX2528" s="404"/>
      <c r="AY2528" s="404"/>
      <c r="AZ2528" s="404"/>
      <c r="BA2528" s="404"/>
      <c r="BB2528" s="404"/>
      <c r="BC2528" s="404"/>
      <c r="BD2528" s="404"/>
      <c r="BE2528" s="404"/>
      <c r="BF2528" s="404"/>
      <c r="BG2528" s="404"/>
      <c r="BH2528" s="404"/>
      <c r="BI2528" s="404"/>
      <c r="BJ2528" s="404"/>
      <c r="BK2528" s="404"/>
      <c r="BL2528" s="404"/>
    </row>
    <row r="2529" spans="1:64" ht="13">
      <c r="A2529" s="454"/>
      <c r="B2529" s="454"/>
      <c r="C2529" s="522" t="s">
        <v>726</v>
      </c>
      <c r="D2529" s="416">
        <f t="shared" ref="D2529:I2529" si="602">ROUND(D2528,0)</f>
        <v>228</v>
      </c>
      <c r="E2529" s="416">
        <f t="shared" si="602"/>
        <v>242</v>
      </c>
      <c r="F2529" s="416">
        <f t="shared" si="602"/>
        <v>255</v>
      </c>
      <c r="G2529" s="416">
        <f t="shared" si="602"/>
        <v>269</v>
      </c>
      <c r="H2529" s="416">
        <f t="shared" si="602"/>
        <v>282</v>
      </c>
      <c r="I2529" s="416">
        <f t="shared" si="602"/>
        <v>296</v>
      </c>
      <c r="J2529" s="400"/>
      <c r="K2529" s="401"/>
      <c r="L2529" s="401"/>
      <c r="M2529" s="413"/>
      <c r="N2529" s="413"/>
      <c r="O2529" s="413"/>
      <c r="P2529" s="413"/>
      <c r="Q2529" s="413"/>
      <c r="R2529" s="413"/>
      <c r="S2529" s="413"/>
      <c r="T2529" s="413"/>
      <c r="U2529" s="413"/>
      <c r="V2529" s="413"/>
      <c r="W2529" s="413"/>
      <c r="X2529" s="413"/>
      <c r="Y2529" s="413"/>
      <c r="Z2529" s="413"/>
      <c r="AA2529" s="413"/>
      <c r="AB2529" s="413"/>
      <c r="AC2529" s="413"/>
      <c r="AD2529" s="413"/>
      <c r="AE2529" s="413"/>
      <c r="AF2529" s="413"/>
      <c r="AG2529" s="413"/>
      <c r="AH2529" s="413"/>
      <c r="AI2529" s="413"/>
      <c r="AJ2529" s="413"/>
      <c r="AK2529" s="413"/>
      <c r="AL2529" s="413"/>
      <c r="AM2529" s="413"/>
      <c r="AN2529" s="413"/>
      <c r="AO2529" s="413"/>
      <c r="AP2529" s="413"/>
      <c r="AQ2529" s="413"/>
      <c r="AR2529" s="413"/>
      <c r="AS2529" s="413"/>
      <c r="AT2529" s="413"/>
      <c r="AU2529" s="413"/>
      <c r="AV2529" s="413"/>
      <c r="AW2529" s="413"/>
      <c r="AX2529" s="413"/>
      <c r="AY2529" s="413"/>
      <c r="AZ2529" s="413"/>
      <c r="BA2529" s="413"/>
      <c r="BB2529" s="413"/>
      <c r="BC2529" s="413"/>
      <c r="BD2529" s="413"/>
      <c r="BE2529" s="413"/>
      <c r="BF2529" s="413"/>
      <c r="BG2529" s="413"/>
      <c r="BH2529" s="413"/>
      <c r="BI2529" s="413"/>
      <c r="BJ2529" s="413"/>
      <c r="BK2529" s="413"/>
      <c r="BL2529" s="413"/>
    </row>
    <row r="2530" spans="1:64" ht="13">
      <c r="A2530" s="454"/>
      <c r="B2530" s="454"/>
      <c r="C2530" s="427"/>
      <c r="D2530" s="408"/>
      <c r="E2530" s="416"/>
      <c r="F2530" s="416"/>
      <c r="G2530" s="416"/>
      <c r="H2530" s="416"/>
      <c r="I2530" s="414"/>
      <c r="J2530" s="400"/>
      <c r="K2530" s="401"/>
      <c r="L2530" s="401"/>
    </row>
    <row r="2531" spans="1:64" ht="13">
      <c r="A2531" s="454"/>
      <c r="B2531" s="454"/>
      <c r="C2531" s="427" t="s">
        <v>953</v>
      </c>
      <c r="D2531" s="414" t="s">
        <v>1118</v>
      </c>
      <c r="E2531" s="414" t="s">
        <v>1119</v>
      </c>
      <c r="F2531" s="414" t="s">
        <v>1120</v>
      </c>
      <c r="G2531" s="416"/>
      <c r="H2531" s="416"/>
      <c r="I2531" s="414"/>
      <c r="J2531" s="400"/>
      <c r="K2531" s="401"/>
      <c r="L2531" s="401"/>
    </row>
    <row r="2532" spans="1:64" ht="13">
      <c r="A2532" s="454"/>
      <c r="B2532" s="454"/>
      <c r="C2532" s="417" t="s">
        <v>1064</v>
      </c>
      <c r="D2532" s="408">
        <f>$I$2519</f>
        <v>2010.8256650000001</v>
      </c>
      <c r="E2532" s="408">
        <f>$I$2519</f>
        <v>2010.8256650000001</v>
      </c>
      <c r="F2532" s="408">
        <f>$I$2519</f>
        <v>2010.8256650000001</v>
      </c>
      <c r="G2532" s="416"/>
      <c r="H2532" s="416"/>
      <c r="I2532" s="414"/>
      <c r="J2532" s="400"/>
      <c r="K2532" s="401"/>
      <c r="L2532" s="401"/>
    </row>
    <row r="2533" spans="1:64" ht="13">
      <c r="A2533" s="454"/>
      <c r="B2533" s="454"/>
      <c r="C2533" s="417" t="s">
        <v>994</v>
      </c>
      <c r="D2533" s="408">
        <f>ROUND($F$2517*60%,2)</f>
        <v>508.32</v>
      </c>
      <c r="E2533" s="408">
        <f>ROUND($F$2517*70%,2)</f>
        <v>593.04</v>
      </c>
      <c r="F2533" s="408">
        <f>ROUND($F$2517*80%,2)</f>
        <v>677.76</v>
      </c>
      <c r="G2533" s="416"/>
      <c r="H2533" s="416"/>
      <c r="I2533" s="414"/>
      <c r="J2533" s="400"/>
      <c r="K2533" s="401"/>
      <c r="L2533" s="401"/>
    </row>
    <row r="2534" spans="1:64" ht="13">
      <c r="A2534" s="454"/>
      <c r="B2534" s="454"/>
      <c r="C2534" s="417" t="str">
        <f>[161]Input!$C$47</f>
        <v>Add for MA @ 40%</v>
      </c>
      <c r="D2534" s="408">
        <f>D2533*[161]Input!$D$47</f>
        <v>203.328</v>
      </c>
      <c r="E2534" s="408">
        <f>E2533*[161]Input!$D$47</f>
        <v>237.21600000000001</v>
      </c>
      <c r="F2534" s="408">
        <f>F2533*[161]Input!$D$47</f>
        <v>271.10399999999998</v>
      </c>
      <c r="G2534" s="416"/>
      <c r="H2534" s="416"/>
      <c r="I2534" s="414"/>
      <c r="J2534" s="400"/>
      <c r="K2534" s="401"/>
      <c r="L2534" s="401"/>
    </row>
    <row r="2535" spans="1:64" ht="13">
      <c r="A2535" s="454"/>
      <c r="B2535" s="454"/>
      <c r="C2535" s="435"/>
      <c r="D2535" s="408">
        <f>SUM(D2532:D2534)</f>
        <v>2722.473665</v>
      </c>
      <c r="E2535" s="408">
        <f>SUM(E2532:E2534)</f>
        <v>2841.0816650000002</v>
      </c>
      <c r="F2535" s="408">
        <f>SUM(F2532:F2534)</f>
        <v>2959.6896649999999</v>
      </c>
      <c r="G2535" s="416"/>
      <c r="H2535" s="416"/>
      <c r="I2535" s="414"/>
      <c r="J2535" s="400"/>
      <c r="K2535" s="401"/>
      <c r="L2535" s="401"/>
    </row>
    <row r="2536" spans="1:64" ht="25">
      <c r="A2536" s="454"/>
      <c r="B2536" s="454"/>
      <c r="C2536" s="417" t="str">
        <f>[161]Input!$C$48</f>
        <v>Overheads &amp; Contractors Profit @ 13.615%</v>
      </c>
      <c r="D2536" s="408">
        <f>ROUND(D2535*[161]Input!$D$48,2)</f>
        <v>370.66</v>
      </c>
      <c r="E2536" s="408">
        <f>ROUND(E2535*[161]Input!$D$48,2)</f>
        <v>386.81</v>
      </c>
      <c r="F2536" s="408">
        <f>ROUND(F2535*[161]Input!$D$48,2)</f>
        <v>402.96</v>
      </c>
      <c r="G2536" s="416"/>
      <c r="H2536" s="416"/>
      <c r="I2536" s="414"/>
      <c r="J2536" s="400"/>
      <c r="K2536" s="401"/>
      <c r="L2536" s="401"/>
    </row>
    <row r="2537" spans="1:64" ht="13">
      <c r="A2537" s="454"/>
      <c r="B2537" s="454"/>
      <c r="C2537" s="427" t="s">
        <v>1047</v>
      </c>
      <c r="D2537" s="408">
        <f>SUM(D2535:D2536)</f>
        <v>3093.1336649999998</v>
      </c>
      <c r="E2537" s="408">
        <f>SUM(E2535:E2536)</f>
        <v>3227.8916650000001</v>
      </c>
      <c r="F2537" s="408">
        <f>SUM(F2535:F2536)</f>
        <v>3362.6496649999999</v>
      </c>
      <c r="G2537" s="416"/>
      <c r="H2537" s="416"/>
      <c r="I2537" s="414"/>
      <c r="J2537" s="400"/>
      <c r="K2537" s="401"/>
      <c r="L2537" s="401"/>
    </row>
    <row r="2538" spans="1:64" ht="13">
      <c r="A2538" s="454"/>
      <c r="B2538" s="454"/>
      <c r="C2538" s="427" t="s">
        <v>845</v>
      </c>
      <c r="D2538" s="414">
        <f>D2537/10</f>
        <v>309.31336649999997</v>
      </c>
      <c r="E2538" s="414">
        <f>E2537/10</f>
        <v>322.78916650000002</v>
      </c>
      <c r="F2538" s="414">
        <f>F2537/10</f>
        <v>336.26496650000001</v>
      </c>
      <c r="G2538" s="416"/>
      <c r="H2538" s="416"/>
      <c r="I2538" s="414"/>
      <c r="J2538" s="400"/>
      <c r="K2538" s="401"/>
      <c r="L2538" s="401"/>
    </row>
    <row r="2539" spans="1:64" ht="13">
      <c r="A2539" s="454"/>
      <c r="B2539" s="454"/>
      <c r="C2539" s="514" t="s">
        <v>726</v>
      </c>
      <c r="D2539" s="416">
        <f>ROUND(D2538,0)</f>
        <v>309</v>
      </c>
      <c r="E2539" s="416">
        <f>ROUND(E2538,0)</f>
        <v>323</v>
      </c>
      <c r="F2539" s="416">
        <f>ROUND(F2538,0)</f>
        <v>336</v>
      </c>
      <c r="G2539" s="416"/>
      <c r="H2539" s="416"/>
      <c r="I2539" s="414"/>
      <c r="J2539" s="400"/>
      <c r="K2539" s="401"/>
      <c r="L2539" s="401"/>
    </row>
    <row r="2540" spans="1:64" ht="13">
      <c r="A2540" s="454"/>
      <c r="B2540" s="454"/>
      <c r="C2540" s="427"/>
      <c r="D2540" s="408"/>
      <c r="E2540" s="416"/>
      <c r="F2540" s="416"/>
      <c r="G2540" s="416"/>
      <c r="H2540" s="416"/>
      <c r="I2540" s="414"/>
      <c r="J2540" s="400"/>
      <c r="K2540" s="401"/>
      <c r="L2540" s="401"/>
    </row>
    <row r="2541" spans="1:64" ht="84.4" customHeight="1">
      <c r="A2541" s="454">
        <f>A2508+1</f>
        <v>10</v>
      </c>
      <c r="B2541" s="454"/>
      <c r="C2541" s="1276" t="s">
        <v>1152</v>
      </c>
      <c r="D2541" s="1276"/>
      <c r="E2541" s="1276"/>
      <c r="F2541" s="1276"/>
      <c r="G2541" s="1276"/>
      <c r="H2541" s="1276"/>
      <c r="I2541" s="407"/>
      <c r="J2541" s="400"/>
      <c r="K2541" s="401"/>
      <c r="L2541" s="401"/>
      <c r="M2541" s="404"/>
      <c r="N2541" s="404"/>
      <c r="O2541" s="404"/>
      <c r="P2541" s="404"/>
      <c r="Q2541" s="404"/>
      <c r="R2541" s="404"/>
      <c r="S2541" s="404"/>
      <c r="T2541" s="404"/>
      <c r="U2541" s="404"/>
      <c r="V2541" s="404"/>
      <c r="W2541" s="404"/>
      <c r="X2541" s="404"/>
      <c r="Y2541" s="404"/>
      <c r="Z2541" s="404"/>
      <c r="AA2541" s="404"/>
      <c r="AB2541" s="404"/>
      <c r="AC2541" s="404"/>
      <c r="AD2541" s="404"/>
      <c r="AE2541" s="404"/>
      <c r="AF2541" s="404"/>
      <c r="AG2541" s="404"/>
      <c r="AH2541" s="404"/>
      <c r="AI2541" s="404"/>
      <c r="AJ2541" s="404"/>
      <c r="AK2541" s="404"/>
      <c r="AL2541" s="404"/>
      <c r="AM2541" s="404"/>
      <c r="AN2541" s="404"/>
      <c r="AO2541" s="404"/>
      <c r="AP2541" s="404"/>
      <c r="AQ2541" s="404"/>
      <c r="AR2541" s="404"/>
      <c r="AS2541" s="404"/>
      <c r="AT2541" s="404"/>
      <c r="AU2541" s="404"/>
      <c r="AV2541" s="404"/>
      <c r="AW2541" s="404"/>
      <c r="AX2541" s="404"/>
      <c r="AY2541" s="404"/>
      <c r="AZ2541" s="404"/>
      <c r="BA2541" s="404"/>
      <c r="BB2541" s="404"/>
      <c r="BC2541" s="404"/>
      <c r="BD2541" s="404"/>
      <c r="BE2541" s="404"/>
      <c r="BF2541" s="404"/>
      <c r="BG2541" s="404"/>
      <c r="BH2541" s="404"/>
      <c r="BI2541" s="404"/>
      <c r="BJ2541" s="404"/>
      <c r="BK2541" s="404"/>
      <c r="BL2541" s="404"/>
    </row>
    <row r="2542" spans="1:64" ht="13">
      <c r="A2542" s="454"/>
      <c r="B2542" s="454"/>
      <c r="C2542" s="455" t="s">
        <v>1153</v>
      </c>
      <c r="D2542" s="426"/>
      <c r="E2542" s="426"/>
      <c r="F2542" s="426"/>
      <c r="G2542" s="426"/>
      <c r="H2542" s="426"/>
      <c r="I2542" s="409"/>
      <c r="J2542" s="400"/>
      <c r="K2542" s="401"/>
      <c r="L2542" s="401"/>
      <c r="M2542" s="404"/>
      <c r="N2542" s="404"/>
      <c r="O2542" s="404"/>
      <c r="P2542" s="404"/>
      <c r="Q2542" s="404"/>
      <c r="R2542" s="404"/>
      <c r="S2542" s="404"/>
      <c r="T2542" s="404"/>
      <c r="U2542" s="404"/>
      <c r="V2542" s="404"/>
      <c r="W2542" s="404"/>
      <c r="X2542" s="404"/>
      <c r="Y2542" s="404"/>
      <c r="Z2542" s="404"/>
      <c r="AA2542" s="404"/>
      <c r="AB2542" s="404"/>
      <c r="AC2542" s="404"/>
      <c r="AD2542" s="404"/>
      <c r="AE2542" s="404"/>
      <c r="AF2542" s="404"/>
      <c r="AG2542" s="404"/>
      <c r="AH2542" s="404"/>
      <c r="AI2542" s="404"/>
      <c r="AJ2542" s="404"/>
      <c r="AK2542" s="404"/>
      <c r="AL2542" s="404"/>
      <c r="AM2542" s="404"/>
      <c r="AN2542" s="404"/>
      <c r="AO2542" s="404"/>
      <c r="AP2542" s="404"/>
      <c r="AQ2542" s="404"/>
      <c r="AR2542" s="404"/>
      <c r="AS2542" s="404"/>
      <c r="AT2542" s="404"/>
      <c r="AU2542" s="404"/>
      <c r="AV2542" s="404"/>
      <c r="AW2542" s="404"/>
      <c r="AX2542" s="404"/>
      <c r="AY2542" s="404"/>
      <c r="AZ2542" s="404"/>
      <c r="BA2542" s="404"/>
      <c r="BB2542" s="404"/>
      <c r="BC2542" s="404"/>
      <c r="BD2542" s="404"/>
      <c r="BE2542" s="404"/>
      <c r="BF2542" s="404"/>
      <c r="BG2542" s="404"/>
      <c r="BH2542" s="404"/>
      <c r="BI2542" s="404"/>
      <c r="BJ2542" s="404"/>
      <c r="BK2542" s="404"/>
      <c r="BL2542" s="404"/>
    </row>
    <row r="2543" spans="1:64">
      <c r="A2543" s="454"/>
      <c r="B2543" s="454"/>
      <c r="C2543" s="469" t="s">
        <v>1127</v>
      </c>
      <c r="D2543" s="426"/>
      <c r="E2543" s="426"/>
      <c r="F2543" s="426"/>
      <c r="G2543" s="426"/>
      <c r="H2543" s="426"/>
      <c r="I2543" s="409"/>
      <c r="J2543" s="400"/>
      <c r="K2543" s="401"/>
      <c r="L2543" s="401"/>
      <c r="M2543" s="404"/>
      <c r="N2543" s="404"/>
      <c r="O2543" s="404"/>
      <c r="P2543" s="404"/>
      <c r="Q2543" s="404"/>
      <c r="R2543" s="404"/>
      <c r="S2543" s="404"/>
      <c r="T2543" s="404"/>
      <c r="U2543" s="404"/>
      <c r="V2543" s="404"/>
      <c r="W2543" s="404"/>
      <c r="X2543" s="404"/>
      <c r="Y2543" s="404"/>
      <c r="Z2543" s="404"/>
      <c r="AA2543" s="404"/>
      <c r="AB2543" s="404"/>
      <c r="AC2543" s="404"/>
      <c r="AD2543" s="404"/>
      <c r="AE2543" s="404"/>
      <c r="AF2543" s="404"/>
      <c r="AG2543" s="404"/>
      <c r="AH2543" s="404"/>
      <c r="AI2543" s="404"/>
      <c r="AJ2543" s="404"/>
      <c r="AK2543" s="404"/>
      <c r="AL2543" s="404"/>
      <c r="AM2543" s="404"/>
      <c r="AN2543" s="404"/>
      <c r="AO2543" s="404"/>
      <c r="AP2543" s="404"/>
      <c r="AQ2543" s="404"/>
      <c r="AR2543" s="404"/>
      <c r="AS2543" s="404"/>
      <c r="AT2543" s="404"/>
      <c r="AU2543" s="404"/>
      <c r="AV2543" s="404"/>
      <c r="AW2543" s="404"/>
      <c r="AX2543" s="404"/>
      <c r="AY2543" s="404"/>
      <c r="AZ2543" s="404"/>
      <c r="BA2543" s="404"/>
      <c r="BB2543" s="404"/>
      <c r="BC2543" s="404"/>
      <c r="BD2543" s="404"/>
      <c r="BE2543" s="404"/>
      <c r="BF2543" s="404"/>
      <c r="BG2543" s="404"/>
      <c r="BH2543" s="404"/>
      <c r="BI2543" s="404"/>
      <c r="BJ2543" s="404"/>
      <c r="BK2543" s="404"/>
      <c r="BL2543" s="404"/>
    </row>
    <row r="2544" spans="1:64" ht="13">
      <c r="A2544" s="454"/>
      <c r="B2544" s="454"/>
      <c r="C2544" s="433" t="s">
        <v>1154</v>
      </c>
      <c r="D2544" s="426"/>
      <c r="E2544" s="426"/>
      <c r="F2544" s="426"/>
      <c r="G2544" s="426"/>
      <c r="H2544" s="426"/>
      <c r="I2544" s="409"/>
      <c r="J2544" s="400"/>
      <c r="K2544" s="401"/>
      <c r="L2544" s="401"/>
      <c r="M2544" s="404"/>
      <c r="N2544" s="404"/>
      <c r="O2544" s="404"/>
      <c r="P2544" s="404"/>
      <c r="Q2544" s="404"/>
      <c r="R2544" s="404"/>
      <c r="S2544" s="404"/>
      <c r="T2544" s="404"/>
      <c r="U2544" s="404"/>
      <c r="V2544" s="404"/>
      <c r="W2544" s="404"/>
      <c r="X2544" s="404"/>
      <c r="Y2544" s="404"/>
      <c r="Z2544" s="404"/>
      <c r="AA2544" s="404"/>
      <c r="AB2544" s="404"/>
      <c r="AC2544" s="404"/>
      <c r="AD2544" s="404"/>
      <c r="AE2544" s="404"/>
      <c r="AF2544" s="404"/>
      <c r="AG2544" s="404"/>
      <c r="AH2544" s="404"/>
      <c r="AI2544" s="404"/>
      <c r="AJ2544" s="404"/>
      <c r="AK2544" s="404"/>
      <c r="AL2544" s="404"/>
      <c r="AM2544" s="404"/>
      <c r="AN2544" s="404"/>
      <c r="AO2544" s="404"/>
      <c r="AP2544" s="404"/>
      <c r="AQ2544" s="404"/>
      <c r="AR2544" s="404"/>
      <c r="AS2544" s="404"/>
      <c r="AT2544" s="404"/>
      <c r="AU2544" s="404"/>
      <c r="AV2544" s="404"/>
      <c r="AW2544" s="404"/>
      <c r="AX2544" s="404"/>
      <c r="AY2544" s="404"/>
      <c r="AZ2544" s="404"/>
      <c r="BA2544" s="404"/>
      <c r="BB2544" s="404"/>
      <c r="BC2544" s="404"/>
      <c r="BD2544" s="404"/>
      <c r="BE2544" s="404"/>
      <c r="BF2544" s="404"/>
      <c r="BG2544" s="404"/>
      <c r="BH2544" s="404"/>
      <c r="BI2544" s="404"/>
      <c r="BJ2544" s="404"/>
      <c r="BK2544" s="404"/>
      <c r="BL2544" s="404"/>
    </row>
    <row r="2545" spans="1:64">
      <c r="A2545" s="458"/>
      <c r="B2545" s="458"/>
      <c r="C2545" s="417" t="s">
        <v>1155</v>
      </c>
      <c r="D2545" s="459">
        <v>13.3</v>
      </c>
      <c r="E2545" s="458" t="s">
        <v>17</v>
      </c>
      <c r="F2545" s="459">
        <f>'[161]Civil-SOR'!$G$45</f>
        <v>22</v>
      </c>
      <c r="G2545" s="460">
        <v>1</v>
      </c>
      <c r="H2545" s="599" t="str">
        <f t="shared" ref="H2545:H2547" si="603">IF(E2545="","",IF(E2545="No.","Each",IF(E2545="Nos.","Each",E2545)))</f>
        <v>sqm</v>
      </c>
      <c r="I2545" s="459">
        <f t="shared" ref="I2545:I2549" si="604">IF(G2545="",D2545*F2545,(D2545*F2545/G2545))</f>
        <v>292.60000000000002</v>
      </c>
      <c r="J2545" s="462"/>
      <c r="K2545" s="463"/>
      <c r="L2545" s="463"/>
      <c r="M2545" s="464"/>
      <c r="N2545" s="464"/>
      <c r="O2545" s="464"/>
      <c r="P2545" s="464"/>
      <c r="Q2545" s="464"/>
      <c r="R2545" s="464"/>
      <c r="S2545" s="464"/>
      <c r="T2545" s="464"/>
      <c r="U2545" s="464"/>
      <c r="V2545" s="464"/>
      <c r="W2545" s="464"/>
      <c r="X2545" s="464"/>
      <c r="Y2545" s="464"/>
      <c r="Z2545" s="464"/>
      <c r="AA2545" s="464"/>
      <c r="AB2545" s="464"/>
      <c r="AC2545" s="464"/>
      <c r="AD2545" s="464"/>
      <c r="AE2545" s="464"/>
      <c r="AF2545" s="464"/>
      <c r="AG2545" s="464"/>
      <c r="AH2545" s="464"/>
      <c r="AI2545" s="464"/>
      <c r="AJ2545" s="464"/>
      <c r="AK2545" s="464"/>
      <c r="AL2545" s="464"/>
      <c r="AM2545" s="464"/>
      <c r="AN2545" s="464"/>
      <c r="AO2545" s="464"/>
      <c r="AP2545" s="464"/>
      <c r="AQ2545" s="464"/>
      <c r="AR2545" s="464"/>
      <c r="AS2545" s="464"/>
      <c r="AT2545" s="464"/>
      <c r="AU2545" s="464"/>
      <c r="AV2545" s="464"/>
      <c r="AW2545" s="464"/>
      <c r="AX2545" s="464"/>
      <c r="AY2545" s="464"/>
      <c r="AZ2545" s="464"/>
      <c r="BA2545" s="464"/>
      <c r="BB2545" s="464"/>
      <c r="BC2545" s="464"/>
      <c r="BD2545" s="464"/>
      <c r="BE2545" s="464"/>
      <c r="BF2545" s="464"/>
      <c r="BG2545" s="464"/>
      <c r="BH2545" s="464"/>
      <c r="BI2545" s="464"/>
      <c r="BJ2545" s="464"/>
      <c r="BK2545" s="464"/>
      <c r="BL2545" s="464"/>
    </row>
    <row r="2546" spans="1:64">
      <c r="A2546" s="458"/>
      <c r="B2546" s="458"/>
      <c r="C2546" s="417" t="s">
        <v>1156</v>
      </c>
      <c r="D2546" s="459">
        <v>120</v>
      </c>
      <c r="E2546" s="458" t="s">
        <v>833</v>
      </c>
      <c r="F2546" s="459">
        <f>[161]LEAD!$N$6</f>
        <v>5200</v>
      </c>
      <c r="G2546" s="460">
        <v>1000</v>
      </c>
      <c r="H2546" s="599" t="str">
        <f t="shared" si="603"/>
        <v>Kgs</v>
      </c>
      <c r="I2546" s="459">
        <f t="shared" si="604"/>
        <v>624</v>
      </c>
      <c r="J2546" s="462"/>
      <c r="K2546" s="463"/>
      <c r="L2546" s="463"/>
      <c r="M2546" s="464"/>
      <c r="N2546" s="464"/>
      <c r="O2546" s="464"/>
      <c r="P2546" s="464"/>
      <c r="Q2546" s="464"/>
      <c r="R2546" s="464"/>
      <c r="S2546" s="464"/>
      <c r="T2546" s="464"/>
      <c r="U2546" s="464"/>
      <c r="V2546" s="464"/>
      <c r="W2546" s="464"/>
      <c r="X2546" s="464"/>
      <c r="Y2546" s="464"/>
      <c r="Z2546" s="464"/>
      <c r="AA2546" s="464"/>
      <c r="AB2546" s="464"/>
      <c r="AC2546" s="464"/>
      <c r="AD2546" s="464"/>
      <c r="AE2546" s="464"/>
      <c r="AF2546" s="464"/>
      <c r="AG2546" s="464"/>
      <c r="AH2546" s="464"/>
      <c r="AI2546" s="464"/>
      <c r="AJ2546" s="464"/>
      <c r="AK2546" s="464"/>
      <c r="AL2546" s="464"/>
      <c r="AM2546" s="464"/>
      <c r="AN2546" s="464"/>
      <c r="AO2546" s="464"/>
      <c r="AP2546" s="464"/>
      <c r="AQ2546" s="464"/>
      <c r="AR2546" s="464"/>
      <c r="AS2546" s="464"/>
      <c r="AT2546" s="464"/>
      <c r="AU2546" s="464"/>
      <c r="AV2546" s="464"/>
      <c r="AW2546" s="464"/>
      <c r="AX2546" s="464"/>
      <c r="AY2546" s="464"/>
      <c r="AZ2546" s="464"/>
      <c r="BA2546" s="464"/>
      <c r="BB2546" s="464"/>
      <c r="BC2546" s="464"/>
      <c r="BD2546" s="464"/>
      <c r="BE2546" s="464"/>
      <c r="BF2546" s="464"/>
      <c r="BG2546" s="464"/>
      <c r="BH2546" s="464"/>
      <c r="BI2546" s="464"/>
      <c r="BJ2546" s="464"/>
      <c r="BK2546" s="464"/>
      <c r="BL2546" s="464"/>
    </row>
    <row r="2547" spans="1:64">
      <c r="A2547" s="458"/>
      <c r="B2547" s="458"/>
      <c r="C2547" s="417" t="s">
        <v>1157</v>
      </c>
      <c r="D2547" s="459">
        <v>50</v>
      </c>
      <c r="E2547" s="458" t="s">
        <v>833</v>
      </c>
      <c r="F2547" s="459">
        <f>[161]LEAD!$N$6</f>
        <v>5200</v>
      </c>
      <c r="G2547" s="460">
        <v>1000</v>
      </c>
      <c r="H2547" s="599" t="str">
        <f t="shared" si="603"/>
        <v>Kgs</v>
      </c>
      <c r="I2547" s="459">
        <f t="shared" si="604"/>
        <v>260</v>
      </c>
      <c r="J2547" s="462"/>
      <c r="K2547" s="463"/>
      <c r="L2547" s="463"/>
      <c r="M2547" s="464"/>
      <c r="N2547" s="464"/>
      <c r="O2547" s="464"/>
      <c r="P2547" s="464"/>
      <c r="Q2547" s="464"/>
      <c r="R2547" s="464"/>
      <c r="S2547" s="464"/>
      <c r="T2547" s="464"/>
      <c r="U2547" s="464"/>
      <c r="V2547" s="464"/>
      <c r="W2547" s="464"/>
      <c r="X2547" s="464"/>
      <c r="Y2547" s="464"/>
      <c r="Z2547" s="464"/>
      <c r="AA2547" s="464"/>
      <c r="AB2547" s="464"/>
      <c r="AC2547" s="464"/>
      <c r="AD2547" s="464"/>
      <c r="AE2547" s="464"/>
      <c r="AF2547" s="464"/>
      <c r="AG2547" s="464"/>
      <c r="AH2547" s="464"/>
      <c r="AI2547" s="464"/>
      <c r="AJ2547" s="464"/>
      <c r="AK2547" s="464"/>
      <c r="AL2547" s="464"/>
      <c r="AM2547" s="464"/>
      <c r="AN2547" s="464"/>
      <c r="AO2547" s="464"/>
      <c r="AP2547" s="464"/>
      <c r="AQ2547" s="464"/>
      <c r="AR2547" s="464"/>
      <c r="AS2547" s="464"/>
      <c r="AT2547" s="464"/>
      <c r="AU2547" s="464"/>
      <c r="AV2547" s="464"/>
      <c r="AW2547" s="464"/>
      <c r="AX2547" s="464"/>
      <c r="AY2547" s="464"/>
      <c r="AZ2547" s="464"/>
      <c r="BA2547" s="464"/>
      <c r="BB2547" s="464"/>
      <c r="BC2547" s="464"/>
      <c r="BD2547" s="464"/>
      <c r="BE2547" s="464"/>
      <c r="BF2547" s="464"/>
      <c r="BG2547" s="464"/>
      <c r="BH2547" s="464"/>
      <c r="BI2547" s="464"/>
      <c r="BJ2547" s="464"/>
      <c r="BK2547" s="464"/>
      <c r="BL2547" s="464"/>
    </row>
    <row r="2548" spans="1:64">
      <c r="A2548" s="458"/>
      <c r="B2548" s="458"/>
      <c r="C2548" s="417" t="s">
        <v>1130</v>
      </c>
      <c r="D2548" s="459">
        <v>0.25</v>
      </c>
      <c r="E2548" s="458" t="s">
        <v>1062</v>
      </c>
      <c r="F2548" s="459">
        <f>[161]LEAD!$N$13</f>
        <v>2453.91</v>
      </c>
      <c r="G2548" s="460">
        <v>1</v>
      </c>
      <c r="H2548" s="458" t="s">
        <v>1062</v>
      </c>
      <c r="I2548" s="459">
        <f t="shared" si="604"/>
        <v>613.47749999999996</v>
      </c>
      <c r="J2548" s="462"/>
      <c r="K2548" s="463"/>
      <c r="L2548" s="463"/>
      <c r="M2548" s="464"/>
      <c r="N2548" s="464"/>
      <c r="O2548" s="464"/>
      <c r="P2548" s="464"/>
      <c r="Q2548" s="464"/>
      <c r="R2548" s="464"/>
      <c r="S2548" s="464"/>
      <c r="T2548" s="464"/>
      <c r="U2548" s="464"/>
      <c r="V2548" s="464"/>
      <c r="W2548" s="464"/>
      <c r="X2548" s="464"/>
      <c r="Y2548" s="464"/>
      <c r="Z2548" s="464"/>
      <c r="AA2548" s="464"/>
      <c r="AB2548" s="464"/>
      <c r="AC2548" s="464"/>
      <c r="AD2548" s="464"/>
      <c r="AE2548" s="464"/>
      <c r="AF2548" s="464"/>
      <c r="AG2548" s="464"/>
      <c r="AH2548" s="464"/>
      <c r="AI2548" s="464"/>
      <c r="AJ2548" s="464"/>
      <c r="AK2548" s="464"/>
      <c r="AL2548" s="464"/>
      <c r="AM2548" s="464"/>
      <c r="AN2548" s="464"/>
      <c r="AO2548" s="464"/>
      <c r="AP2548" s="464"/>
      <c r="AQ2548" s="464"/>
      <c r="AR2548" s="464"/>
      <c r="AS2548" s="464"/>
      <c r="AT2548" s="464"/>
      <c r="AU2548" s="464"/>
      <c r="AV2548" s="464"/>
      <c r="AW2548" s="464"/>
      <c r="AX2548" s="464"/>
      <c r="AY2548" s="464"/>
      <c r="AZ2548" s="464"/>
      <c r="BA2548" s="464"/>
      <c r="BB2548" s="464"/>
      <c r="BC2548" s="464"/>
      <c r="BD2548" s="464"/>
      <c r="BE2548" s="464"/>
      <c r="BF2548" s="464"/>
      <c r="BG2548" s="464"/>
      <c r="BH2548" s="464"/>
      <c r="BI2548" s="464"/>
      <c r="BJ2548" s="464"/>
      <c r="BK2548" s="464"/>
      <c r="BL2548" s="464"/>
    </row>
    <row r="2549" spans="1:64" ht="26">
      <c r="A2549" s="458"/>
      <c r="B2549" s="458"/>
      <c r="C2549" s="427" t="s">
        <v>1158</v>
      </c>
      <c r="D2549" s="459">
        <v>21.8</v>
      </c>
      <c r="E2549" s="458" t="s">
        <v>17</v>
      </c>
      <c r="F2549" s="459">
        <f>I2348</f>
        <v>511.35</v>
      </c>
      <c r="G2549" s="460">
        <v>1</v>
      </c>
      <c r="H2549" s="458" t="s">
        <v>17</v>
      </c>
      <c r="I2549" s="459">
        <f t="shared" si="604"/>
        <v>11147.43</v>
      </c>
      <c r="J2549" s="462"/>
      <c r="K2549" s="463"/>
      <c r="L2549" s="463"/>
      <c r="M2549" s="464"/>
      <c r="N2549" s="464"/>
      <c r="O2549" s="464"/>
      <c r="P2549" s="464"/>
      <c r="Q2549" s="464"/>
      <c r="R2549" s="464"/>
      <c r="S2549" s="464"/>
      <c r="T2549" s="464"/>
      <c r="U2549" s="464"/>
      <c r="V2549" s="464"/>
      <c r="W2549" s="464"/>
      <c r="X2549" s="464"/>
      <c r="Y2549" s="464"/>
      <c r="Z2549" s="464"/>
      <c r="AA2549" s="464"/>
      <c r="AB2549" s="464"/>
      <c r="AC2549" s="464"/>
      <c r="AD2549" s="464"/>
      <c r="AE2549" s="464"/>
      <c r="AF2549" s="464"/>
      <c r="AG2549" s="464"/>
      <c r="AH2549" s="464"/>
      <c r="AI2549" s="464"/>
      <c r="AJ2549" s="464"/>
      <c r="AK2549" s="464"/>
      <c r="AL2549" s="464"/>
      <c r="AM2549" s="464"/>
      <c r="AN2549" s="464"/>
      <c r="AO2549" s="464"/>
      <c r="AP2549" s="464"/>
      <c r="AQ2549" s="464"/>
      <c r="AR2549" s="464"/>
      <c r="AS2549" s="464"/>
      <c r="AT2549" s="464"/>
      <c r="AU2549" s="464"/>
      <c r="AV2549" s="464"/>
      <c r="AW2549" s="464"/>
      <c r="AX2549" s="464"/>
      <c r="AY2549" s="464"/>
      <c r="AZ2549" s="464"/>
      <c r="BA2549" s="464"/>
      <c r="BB2549" s="464"/>
      <c r="BC2549" s="464"/>
      <c r="BD2549" s="464"/>
      <c r="BE2549" s="464"/>
      <c r="BF2549" s="464"/>
      <c r="BG2549" s="464"/>
      <c r="BH2549" s="464"/>
      <c r="BI2549" s="464"/>
      <c r="BJ2549" s="464"/>
      <c r="BK2549" s="464"/>
      <c r="BL2549" s="464"/>
    </row>
    <row r="2550" spans="1:64" ht="25">
      <c r="A2550" s="458"/>
      <c r="B2550" s="458"/>
      <c r="C2550" s="417" t="s">
        <v>1159</v>
      </c>
      <c r="D2550" s="406"/>
      <c r="E2550" s="406"/>
      <c r="F2550" s="406"/>
      <c r="G2550" s="406"/>
      <c r="H2550" s="406"/>
      <c r="I2550" s="432"/>
      <c r="J2550" s="462"/>
      <c r="K2550" s="463"/>
      <c r="L2550" s="463"/>
      <c r="M2550" s="464"/>
      <c r="N2550" s="464"/>
      <c r="O2550" s="464"/>
      <c r="P2550" s="464"/>
      <c r="Q2550" s="464"/>
      <c r="R2550" s="464"/>
      <c r="S2550" s="464"/>
      <c r="T2550" s="464"/>
      <c r="U2550" s="464"/>
      <c r="V2550" s="464"/>
      <c r="W2550" s="464"/>
      <c r="X2550" s="464"/>
      <c r="Y2550" s="464"/>
      <c r="Z2550" s="464"/>
      <c r="AA2550" s="464"/>
      <c r="AB2550" s="464"/>
      <c r="AC2550" s="464"/>
      <c r="AD2550" s="464"/>
      <c r="AE2550" s="464"/>
      <c r="AF2550" s="464"/>
      <c r="AG2550" s="464"/>
      <c r="AH2550" s="464"/>
      <c r="AI2550" s="464"/>
      <c r="AJ2550" s="464"/>
      <c r="AK2550" s="464"/>
      <c r="AL2550" s="464"/>
      <c r="AM2550" s="464"/>
      <c r="AN2550" s="464"/>
      <c r="AO2550" s="464"/>
      <c r="AP2550" s="464"/>
      <c r="AQ2550" s="464"/>
      <c r="AR2550" s="464"/>
      <c r="AS2550" s="464"/>
      <c r="AT2550" s="464"/>
      <c r="AU2550" s="464"/>
      <c r="AV2550" s="464"/>
      <c r="AW2550" s="464"/>
      <c r="AX2550" s="464"/>
      <c r="AY2550" s="464"/>
      <c r="AZ2550" s="464"/>
      <c r="BA2550" s="464"/>
      <c r="BB2550" s="464"/>
      <c r="BC2550" s="464"/>
      <c r="BD2550" s="464"/>
      <c r="BE2550" s="464"/>
      <c r="BF2550" s="464"/>
      <c r="BG2550" s="464"/>
      <c r="BH2550" s="464"/>
      <c r="BI2550" s="464"/>
      <c r="BJ2550" s="464"/>
      <c r="BK2550" s="464"/>
      <c r="BL2550" s="464"/>
    </row>
    <row r="2551" spans="1:64" ht="13">
      <c r="A2551" s="458"/>
      <c r="B2551" s="458"/>
      <c r="C2551" s="427" t="s">
        <v>1160</v>
      </c>
      <c r="D2551" s="406"/>
      <c r="E2551" s="406"/>
      <c r="F2551" s="406"/>
      <c r="G2551" s="406"/>
      <c r="H2551" s="406"/>
      <c r="I2551" s="432"/>
      <c r="J2551" s="462"/>
      <c r="K2551" s="463"/>
      <c r="L2551" s="463"/>
      <c r="M2551" s="464"/>
      <c r="N2551" s="464"/>
      <c r="O2551" s="464"/>
      <c r="P2551" s="464"/>
      <c r="Q2551" s="464"/>
      <c r="R2551" s="464"/>
      <c r="S2551" s="464"/>
      <c r="T2551" s="464"/>
      <c r="U2551" s="464"/>
      <c r="V2551" s="464"/>
      <c r="W2551" s="464"/>
      <c r="X2551" s="464"/>
      <c r="Y2551" s="464"/>
      <c r="Z2551" s="464"/>
      <c r="AA2551" s="464"/>
      <c r="AB2551" s="464"/>
      <c r="AC2551" s="464"/>
      <c r="AD2551" s="464"/>
      <c r="AE2551" s="464"/>
      <c r="AF2551" s="464"/>
      <c r="AG2551" s="464"/>
      <c r="AH2551" s="464"/>
      <c r="AI2551" s="464"/>
      <c r="AJ2551" s="464"/>
      <c r="AK2551" s="464"/>
      <c r="AL2551" s="464"/>
      <c r="AM2551" s="464"/>
      <c r="AN2551" s="464"/>
      <c r="AO2551" s="464"/>
      <c r="AP2551" s="464"/>
      <c r="AQ2551" s="464"/>
      <c r="AR2551" s="464"/>
      <c r="AS2551" s="464"/>
      <c r="AT2551" s="464"/>
      <c r="AU2551" s="464"/>
      <c r="AV2551" s="464"/>
      <c r="AW2551" s="464"/>
      <c r="AX2551" s="464"/>
      <c r="AY2551" s="464"/>
      <c r="AZ2551" s="464"/>
      <c r="BA2551" s="464"/>
      <c r="BB2551" s="464"/>
      <c r="BC2551" s="464"/>
      <c r="BD2551" s="464"/>
      <c r="BE2551" s="464"/>
      <c r="BF2551" s="464"/>
      <c r="BG2551" s="464"/>
      <c r="BH2551" s="464"/>
      <c r="BI2551" s="464"/>
      <c r="BJ2551" s="464"/>
      <c r="BK2551" s="464"/>
      <c r="BL2551" s="464"/>
    </row>
    <row r="2552" spans="1:64">
      <c r="A2552" s="458"/>
      <c r="B2552" s="458"/>
      <c r="C2552" s="417" t="s">
        <v>1132</v>
      </c>
      <c r="D2552" s="459">
        <v>8</v>
      </c>
      <c r="E2552" s="459" t="s">
        <v>375</v>
      </c>
      <c r="F2552" s="459">
        <f>'[161]Civil-SOR'!$G$293</f>
        <v>580</v>
      </c>
      <c r="G2552" s="460">
        <v>1</v>
      </c>
      <c r="H2552" s="599" t="str">
        <f t="shared" ref="H2552:H2554" si="605">IF(E2552="","",IF(E2552="No.","Each",IF(E2552="Nos.","Each",E2552)))</f>
        <v>Each</v>
      </c>
      <c r="I2552" s="459">
        <f t="shared" ref="I2552:I2555" si="606">IF(G2552="",D2552*F2552,(D2552*F2552/G2552))</f>
        <v>4640</v>
      </c>
      <c r="J2552" s="462"/>
      <c r="K2552" s="463"/>
      <c r="L2552" s="463"/>
      <c r="M2552" s="464"/>
      <c r="N2552" s="464"/>
      <c r="O2552" s="464"/>
      <c r="P2552" s="464"/>
      <c r="Q2552" s="464"/>
      <c r="R2552" s="464"/>
      <c r="S2552" s="464"/>
      <c r="T2552" s="464"/>
      <c r="U2552" s="464"/>
      <c r="V2552" s="464"/>
      <c r="W2552" s="464"/>
      <c r="X2552" s="464"/>
      <c r="Y2552" s="464"/>
      <c r="Z2552" s="464"/>
      <c r="AA2552" s="464"/>
      <c r="AB2552" s="464"/>
      <c r="AC2552" s="464"/>
      <c r="AD2552" s="464"/>
      <c r="AE2552" s="464"/>
      <c r="AF2552" s="464"/>
      <c r="AG2552" s="464"/>
      <c r="AH2552" s="464"/>
      <c r="AI2552" s="464"/>
      <c r="AJ2552" s="464"/>
      <c r="AK2552" s="464"/>
      <c r="AL2552" s="464"/>
      <c r="AM2552" s="464"/>
      <c r="AN2552" s="464"/>
      <c r="AO2552" s="464"/>
      <c r="AP2552" s="464"/>
      <c r="AQ2552" s="464"/>
      <c r="AR2552" s="464"/>
      <c r="AS2552" s="464"/>
      <c r="AT2552" s="464"/>
      <c r="AU2552" s="464"/>
      <c r="AV2552" s="464"/>
      <c r="AW2552" s="464"/>
      <c r="AX2552" s="464"/>
      <c r="AY2552" s="464"/>
      <c r="AZ2552" s="464"/>
      <c r="BA2552" s="464"/>
      <c r="BB2552" s="464"/>
      <c r="BC2552" s="464"/>
      <c r="BD2552" s="464"/>
      <c r="BE2552" s="464"/>
      <c r="BF2552" s="464"/>
      <c r="BG2552" s="464"/>
      <c r="BH2552" s="464"/>
      <c r="BI2552" s="464"/>
      <c r="BJ2552" s="464"/>
      <c r="BK2552" s="464"/>
      <c r="BL2552" s="464"/>
    </row>
    <row r="2553" spans="1:64">
      <c r="A2553" s="458"/>
      <c r="B2553" s="458"/>
      <c r="C2553" s="417" t="s">
        <v>1161</v>
      </c>
      <c r="D2553" s="459">
        <v>1</v>
      </c>
      <c r="E2553" s="459" t="s">
        <v>375</v>
      </c>
      <c r="F2553" s="459">
        <f>'[161]Civil-SOR'!$G$294</f>
        <v>615</v>
      </c>
      <c r="G2553" s="460">
        <v>1</v>
      </c>
      <c r="H2553" s="599" t="str">
        <f t="shared" si="605"/>
        <v>Each</v>
      </c>
      <c r="I2553" s="459">
        <f t="shared" si="606"/>
        <v>615</v>
      </c>
      <c r="J2553" s="462"/>
      <c r="K2553" s="463"/>
      <c r="L2553" s="463"/>
      <c r="M2553" s="464"/>
      <c r="N2553" s="464"/>
      <c r="O2553" s="464"/>
      <c r="P2553" s="464"/>
      <c r="Q2553" s="464"/>
      <c r="R2553" s="464"/>
      <c r="S2553" s="464"/>
      <c r="T2553" s="464"/>
      <c r="U2553" s="464"/>
      <c r="V2553" s="464"/>
      <c r="W2553" s="464"/>
      <c r="X2553" s="464"/>
      <c r="Y2553" s="464"/>
      <c r="Z2553" s="464"/>
      <c r="AA2553" s="464"/>
      <c r="AB2553" s="464"/>
      <c r="AC2553" s="464"/>
      <c r="AD2553" s="464"/>
      <c r="AE2553" s="464"/>
      <c r="AF2553" s="464"/>
      <c r="AG2553" s="464"/>
      <c r="AH2553" s="464"/>
      <c r="AI2553" s="464"/>
      <c r="AJ2553" s="464"/>
      <c r="AK2553" s="464"/>
      <c r="AL2553" s="464"/>
      <c r="AM2553" s="464"/>
      <c r="AN2553" s="464"/>
      <c r="AO2553" s="464"/>
      <c r="AP2553" s="464"/>
      <c r="AQ2553" s="464"/>
      <c r="AR2553" s="464"/>
      <c r="AS2553" s="464"/>
      <c r="AT2553" s="464"/>
      <c r="AU2553" s="464"/>
      <c r="AV2553" s="464"/>
      <c r="AW2553" s="464"/>
      <c r="AX2553" s="464"/>
      <c r="AY2553" s="464"/>
      <c r="AZ2553" s="464"/>
      <c r="BA2553" s="464"/>
      <c r="BB2553" s="464"/>
      <c r="BC2553" s="464"/>
      <c r="BD2553" s="464"/>
      <c r="BE2553" s="464"/>
      <c r="BF2553" s="464"/>
      <c r="BG2553" s="464"/>
      <c r="BH2553" s="464"/>
      <c r="BI2553" s="464"/>
      <c r="BJ2553" s="464"/>
      <c r="BK2553" s="464"/>
      <c r="BL2553" s="464"/>
    </row>
    <row r="2554" spans="1:64">
      <c r="A2554" s="458"/>
      <c r="B2554" s="458"/>
      <c r="C2554" s="417" t="s">
        <v>903</v>
      </c>
      <c r="D2554" s="459">
        <v>10</v>
      </c>
      <c r="E2554" s="458" t="s">
        <v>375</v>
      </c>
      <c r="F2554" s="459">
        <f>'[161]Civil-SOR'!$G$307</f>
        <v>520</v>
      </c>
      <c r="G2554" s="460">
        <v>1</v>
      </c>
      <c r="H2554" s="599" t="str">
        <f t="shared" si="605"/>
        <v>Each</v>
      </c>
      <c r="I2554" s="459">
        <f t="shared" si="606"/>
        <v>5200</v>
      </c>
      <c r="J2554" s="462"/>
      <c r="K2554" s="463"/>
      <c r="L2554" s="463"/>
      <c r="M2554" s="464"/>
      <c r="N2554" s="464"/>
      <c r="O2554" s="464"/>
      <c r="P2554" s="464"/>
      <c r="Q2554" s="464"/>
      <c r="R2554" s="464"/>
      <c r="S2554" s="464"/>
      <c r="T2554" s="464"/>
      <c r="U2554" s="464"/>
      <c r="V2554" s="464"/>
      <c r="W2554" s="464"/>
      <c r="X2554" s="464"/>
      <c r="Y2554" s="464"/>
      <c r="Z2554" s="464"/>
      <c r="AA2554" s="464"/>
      <c r="AB2554" s="464"/>
      <c r="AC2554" s="464"/>
      <c r="AD2554" s="464"/>
      <c r="AE2554" s="464"/>
      <c r="AF2554" s="464"/>
      <c r="AG2554" s="464"/>
      <c r="AH2554" s="464"/>
      <c r="AI2554" s="464"/>
      <c r="AJ2554" s="464"/>
      <c r="AK2554" s="464"/>
      <c r="AL2554" s="464"/>
      <c r="AM2554" s="464"/>
      <c r="AN2554" s="464"/>
      <c r="AO2554" s="464"/>
      <c r="AP2554" s="464"/>
      <c r="AQ2554" s="464"/>
      <c r="AR2554" s="464"/>
      <c r="AS2554" s="464"/>
      <c r="AT2554" s="464"/>
      <c r="AU2554" s="464"/>
      <c r="AV2554" s="464"/>
      <c r="AW2554" s="464"/>
      <c r="AX2554" s="464"/>
      <c r="AY2554" s="464"/>
      <c r="AZ2554" s="464"/>
      <c r="BA2554" s="464"/>
      <c r="BB2554" s="464"/>
      <c r="BC2554" s="464"/>
      <c r="BD2554" s="464"/>
      <c r="BE2554" s="464"/>
      <c r="BF2554" s="464"/>
      <c r="BG2554" s="464"/>
      <c r="BH2554" s="464"/>
      <c r="BI2554" s="464"/>
      <c r="BJ2554" s="464"/>
      <c r="BK2554" s="464"/>
      <c r="BL2554" s="464"/>
    </row>
    <row r="2555" spans="1:64">
      <c r="A2555" s="458"/>
      <c r="B2555" s="458"/>
      <c r="C2555" s="417" t="str">
        <f>[161]Input!$C$47</f>
        <v>Add for MA @ 40%</v>
      </c>
      <c r="D2555" s="622">
        <f>[161]Input!$D$47</f>
        <v>0.4</v>
      </c>
      <c r="E2555" s="458"/>
      <c r="F2555" s="459">
        <f>SUM(I2552:I2554)</f>
        <v>10455</v>
      </c>
      <c r="G2555" s="431"/>
      <c r="H2555" s="406"/>
      <c r="I2555" s="459">
        <f t="shared" si="606"/>
        <v>4182</v>
      </c>
      <c r="J2555" s="462"/>
      <c r="K2555" s="463"/>
      <c r="L2555" s="463"/>
      <c r="M2555" s="464"/>
      <c r="N2555" s="464"/>
      <c r="O2555" s="464"/>
      <c r="P2555" s="464"/>
      <c r="Q2555" s="464"/>
      <c r="R2555" s="464"/>
      <c r="S2555" s="464"/>
      <c r="T2555" s="464"/>
      <c r="U2555" s="464"/>
      <c r="V2555" s="464"/>
      <c r="W2555" s="464"/>
      <c r="X2555" s="464"/>
      <c r="Y2555" s="464"/>
      <c r="Z2555" s="464"/>
      <c r="AA2555" s="464"/>
      <c r="AB2555" s="464"/>
      <c r="AC2555" s="464"/>
      <c r="AD2555" s="464"/>
      <c r="AE2555" s="464"/>
      <c r="AF2555" s="464"/>
      <c r="AG2555" s="464"/>
      <c r="AH2555" s="464"/>
      <c r="AI2555" s="464"/>
      <c r="AJ2555" s="464"/>
      <c r="AK2555" s="464"/>
      <c r="AL2555" s="464"/>
      <c r="AM2555" s="464"/>
      <c r="AN2555" s="464"/>
      <c r="AO2555" s="464"/>
      <c r="AP2555" s="464"/>
      <c r="AQ2555" s="464"/>
      <c r="AR2555" s="464"/>
      <c r="AS2555" s="464"/>
      <c r="AT2555" s="464"/>
      <c r="AU2555" s="464"/>
      <c r="AV2555" s="464"/>
      <c r="AW2555" s="464"/>
      <c r="AX2555" s="464"/>
      <c r="AY2555" s="464"/>
      <c r="AZ2555" s="464"/>
      <c r="BA2555" s="464"/>
      <c r="BB2555" s="464"/>
      <c r="BC2555" s="464"/>
      <c r="BD2555" s="464"/>
      <c r="BE2555" s="464"/>
      <c r="BF2555" s="464"/>
      <c r="BG2555" s="464"/>
      <c r="BH2555" s="464"/>
      <c r="BI2555" s="464"/>
      <c r="BJ2555" s="464"/>
      <c r="BK2555" s="464"/>
      <c r="BL2555" s="464"/>
    </row>
    <row r="2556" spans="1:64" ht="13">
      <c r="A2556" s="458"/>
      <c r="B2556" s="458"/>
      <c r="C2556" s="427" t="s">
        <v>1162</v>
      </c>
      <c r="D2556" s="622"/>
      <c r="E2556" s="458"/>
      <c r="F2556" s="459"/>
      <c r="G2556" s="431"/>
      <c r="H2556" s="406"/>
      <c r="I2556" s="459"/>
      <c r="J2556" s="462"/>
      <c r="K2556" s="463"/>
      <c r="L2556" s="463"/>
      <c r="M2556" s="464"/>
      <c r="N2556" s="464"/>
      <c r="O2556" s="464"/>
      <c r="P2556" s="464"/>
      <c r="Q2556" s="464"/>
      <c r="R2556" s="464"/>
      <c r="S2556" s="464"/>
      <c r="T2556" s="464"/>
      <c r="U2556" s="464"/>
      <c r="V2556" s="464"/>
      <c r="W2556" s="464"/>
      <c r="X2556" s="464"/>
      <c r="Y2556" s="464"/>
      <c r="Z2556" s="464"/>
      <c r="AA2556" s="464"/>
      <c r="AB2556" s="464"/>
      <c r="AC2556" s="464"/>
      <c r="AD2556" s="464"/>
      <c r="AE2556" s="464"/>
      <c r="AF2556" s="464"/>
      <c r="AG2556" s="464"/>
      <c r="AH2556" s="464"/>
      <c r="AI2556" s="464"/>
      <c r="AJ2556" s="464"/>
      <c r="AK2556" s="464"/>
      <c r="AL2556" s="464"/>
      <c r="AM2556" s="464"/>
      <c r="AN2556" s="464"/>
      <c r="AO2556" s="464"/>
      <c r="AP2556" s="464"/>
      <c r="AQ2556" s="464"/>
      <c r="AR2556" s="464"/>
      <c r="AS2556" s="464"/>
      <c r="AT2556" s="464"/>
      <c r="AU2556" s="464"/>
      <c r="AV2556" s="464"/>
      <c r="AW2556" s="464"/>
      <c r="AX2556" s="464"/>
      <c r="AY2556" s="464"/>
      <c r="AZ2556" s="464"/>
      <c r="BA2556" s="464"/>
      <c r="BB2556" s="464"/>
      <c r="BC2556" s="464"/>
      <c r="BD2556" s="464"/>
      <c r="BE2556" s="464"/>
      <c r="BF2556" s="464"/>
      <c r="BG2556" s="464"/>
      <c r="BH2556" s="464"/>
      <c r="BI2556" s="464"/>
      <c r="BJ2556" s="464"/>
      <c r="BK2556" s="464"/>
      <c r="BL2556" s="464"/>
    </row>
    <row r="2557" spans="1:64" ht="25">
      <c r="A2557" s="458"/>
      <c r="B2557" s="458"/>
      <c r="C2557" s="417" t="s">
        <v>879</v>
      </c>
      <c r="D2557" s="459">
        <v>2</v>
      </c>
      <c r="E2557" s="459" t="s">
        <v>796</v>
      </c>
      <c r="F2557" s="459">
        <f>'[161]Civil-SOR'!$G$330</f>
        <v>192.9</v>
      </c>
      <c r="G2557" s="460">
        <v>1</v>
      </c>
      <c r="H2557" s="460" t="str">
        <f t="shared" ref="H2557:H2558" si="607">IF(E2557="","",IF(E2557="No.","Each",IF(E2557="Nos.","Each",E2557)))</f>
        <v>hours</v>
      </c>
      <c r="I2557" s="459">
        <f t="shared" ref="I2557:I2558" si="608">IF(G2557="",D2557*F2557,(D2557*F2557/G2557))</f>
        <v>385.8</v>
      </c>
      <c r="J2557" s="462"/>
      <c r="K2557" s="463"/>
      <c r="L2557" s="463"/>
      <c r="M2557" s="464"/>
      <c r="N2557" s="464"/>
      <c r="O2557" s="464"/>
      <c r="P2557" s="464"/>
      <c r="Q2557" s="464"/>
      <c r="R2557" s="464"/>
      <c r="S2557" s="464"/>
      <c r="T2557" s="464"/>
      <c r="U2557" s="464"/>
      <c r="V2557" s="464"/>
      <c r="W2557" s="464"/>
      <c r="X2557" s="464"/>
      <c r="Y2557" s="464"/>
      <c r="Z2557" s="464"/>
      <c r="AA2557" s="464"/>
      <c r="AB2557" s="464"/>
      <c r="AC2557" s="464"/>
      <c r="AD2557" s="464"/>
      <c r="AE2557" s="464"/>
      <c r="AF2557" s="464"/>
      <c r="AG2557" s="464"/>
      <c r="AH2557" s="464"/>
      <c r="AI2557" s="464"/>
      <c r="AJ2557" s="464"/>
      <c r="AK2557" s="464"/>
      <c r="AL2557" s="464"/>
      <c r="AM2557" s="464"/>
      <c r="AN2557" s="464"/>
      <c r="AO2557" s="464"/>
      <c r="AP2557" s="464"/>
      <c r="AQ2557" s="464"/>
      <c r="AR2557" s="464"/>
      <c r="AS2557" s="464"/>
      <c r="AT2557" s="464"/>
      <c r="AU2557" s="464"/>
      <c r="AV2557" s="464"/>
      <c r="AW2557" s="464"/>
      <c r="AX2557" s="464"/>
      <c r="AY2557" s="464"/>
      <c r="AZ2557" s="464"/>
      <c r="BA2557" s="464"/>
      <c r="BB2557" s="464"/>
      <c r="BC2557" s="464"/>
      <c r="BD2557" s="464"/>
      <c r="BE2557" s="464"/>
      <c r="BF2557" s="464"/>
      <c r="BG2557" s="464"/>
      <c r="BH2557" s="464"/>
      <c r="BI2557" s="464"/>
      <c r="BJ2557" s="464"/>
      <c r="BK2557" s="464"/>
      <c r="BL2557" s="464"/>
    </row>
    <row r="2558" spans="1:64">
      <c r="A2558" s="458"/>
      <c r="B2558" s="458"/>
      <c r="C2558" s="417" t="s">
        <v>828</v>
      </c>
      <c r="D2558" s="459">
        <v>2</v>
      </c>
      <c r="E2558" s="459" t="s">
        <v>796</v>
      </c>
      <c r="F2558" s="459">
        <f>'[161]Civil-SOR'!$J$330</f>
        <v>302.89999999999998</v>
      </c>
      <c r="G2558" s="460">
        <v>1</v>
      </c>
      <c r="H2558" s="460" t="str">
        <f t="shared" si="607"/>
        <v>hours</v>
      </c>
      <c r="I2558" s="459">
        <f t="shared" si="608"/>
        <v>605.79999999999995</v>
      </c>
      <c r="J2558" s="462"/>
      <c r="K2558" s="463"/>
      <c r="L2558" s="463"/>
      <c r="M2558" s="464"/>
      <c r="N2558" s="464"/>
      <c r="O2558" s="464"/>
      <c r="P2558" s="464"/>
      <c r="Q2558" s="464"/>
      <c r="R2558" s="464"/>
      <c r="S2558" s="464"/>
      <c r="T2558" s="464"/>
      <c r="U2558" s="464"/>
      <c r="V2558" s="464"/>
      <c r="W2558" s="464"/>
      <c r="X2558" s="464"/>
      <c r="Y2558" s="464"/>
      <c r="Z2558" s="464"/>
      <c r="AA2558" s="464"/>
      <c r="AB2558" s="464"/>
      <c r="AC2558" s="464"/>
      <c r="AD2558" s="464"/>
      <c r="AE2558" s="464"/>
      <c r="AF2558" s="464"/>
      <c r="AG2558" s="464"/>
      <c r="AH2558" s="464"/>
      <c r="AI2558" s="464"/>
      <c r="AJ2558" s="464"/>
      <c r="AK2558" s="464"/>
      <c r="AL2558" s="464"/>
      <c r="AM2558" s="464"/>
      <c r="AN2558" s="464"/>
      <c r="AO2558" s="464"/>
      <c r="AP2558" s="464"/>
      <c r="AQ2558" s="464"/>
      <c r="AR2558" s="464"/>
      <c r="AS2558" s="464"/>
      <c r="AT2558" s="464"/>
      <c r="AU2558" s="464"/>
      <c r="AV2558" s="464"/>
      <c r="AW2558" s="464"/>
      <c r="AX2558" s="464"/>
      <c r="AY2558" s="464"/>
      <c r="AZ2558" s="464"/>
      <c r="BA2558" s="464"/>
      <c r="BB2558" s="464"/>
      <c r="BC2558" s="464"/>
      <c r="BD2558" s="464"/>
      <c r="BE2558" s="464"/>
      <c r="BF2558" s="464"/>
      <c r="BG2558" s="464"/>
      <c r="BH2558" s="464"/>
      <c r="BI2558" s="464"/>
      <c r="BJ2558" s="464"/>
      <c r="BK2558" s="464"/>
      <c r="BL2558" s="464"/>
    </row>
    <row r="2559" spans="1:64">
      <c r="A2559" s="458"/>
      <c r="B2559" s="458"/>
      <c r="C2559" s="417" t="s">
        <v>799</v>
      </c>
      <c r="D2559" s="459">
        <f>[161]Input!$D$47</f>
        <v>0.4</v>
      </c>
      <c r="E2559" s="459"/>
      <c r="F2559" s="459">
        <f>'[161]Civil-SOR'!$J$330</f>
        <v>302.89999999999998</v>
      </c>
      <c r="G2559" s="460"/>
      <c r="H2559" s="459"/>
      <c r="I2559" s="459">
        <f>IF(G2559="",D2559*F2559,(D2559*F2559/G2559))*2</f>
        <v>242.32</v>
      </c>
      <c r="J2559" s="462"/>
      <c r="K2559" s="463"/>
      <c r="L2559" s="463"/>
      <c r="M2559" s="464"/>
      <c r="N2559" s="464"/>
      <c r="O2559" s="464"/>
      <c r="P2559" s="464"/>
      <c r="Q2559" s="464"/>
      <c r="R2559" s="464"/>
      <c r="S2559" s="464"/>
      <c r="T2559" s="464"/>
      <c r="U2559" s="464"/>
      <c r="V2559" s="464"/>
      <c r="W2559" s="464"/>
      <c r="X2559" s="464"/>
      <c r="Y2559" s="464"/>
      <c r="Z2559" s="464"/>
      <c r="AA2559" s="464"/>
      <c r="AB2559" s="464"/>
      <c r="AC2559" s="464"/>
      <c r="AD2559" s="464"/>
      <c r="AE2559" s="464"/>
      <c r="AF2559" s="464"/>
      <c r="AG2559" s="464"/>
      <c r="AH2559" s="464"/>
      <c r="AI2559" s="464"/>
      <c r="AJ2559" s="464"/>
      <c r="AK2559" s="464"/>
      <c r="AL2559" s="464"/>
      <c r="AM2559" s="464"/>
      <c r="AN2559" s="464"/>
      <c r="AO2559" s="464"/>
      <c r="AP2559" s="464"/>
      <c r="AQ2559" s="464"/>
      <c r="AR2559" s="464"/>
      <c r="AS2559" s="464"/>
      <c r="AT2559" s="464"/>
      <c r="AU2559" s="464"/>
      <c r="AV2559" s="464"/>
      <c r="AW2559" s="464"/>
      <c r="AX2559" s="464"/>
      <c r="AY2559" s="464"/>
      <c r="AZ2559" s="464"/>
      <c r="BA2559" s="464"/>
      <c r="BB2559" s="464"/>
      <c r="BC2559" s="464"/>
      <c r="BD2559" s="464"/>
      <c r="BE2559" s="464"/>
      <c r="BF2559" s="464"/>
      <c r="BG2559" s="464"/>
      <c r="BH2559" s="464"/>
      <c r="BI2559" s="464"/>
      <c r="BJ2559" s="464"/>
      <c r="BK2559" s="464"/>
      <c r="BL2559" s="464"/>
    </row>
    <row r="2560" spans="1:64">
      <c r="A2560" s="458"/>
      <c r="B2560" s="458"/>
      <c r="C2560" s="417" t="s">
        <v>1058</v>
      </c>
      <c r="D2560" s="459">
        <v>0.01</v>
      </c>
      <c r="E2560" s="459"/>
      <c r="F2560" s="459">
        <f>SUM(I2545:I2559)</f>
        <v>28808.427499999998</v>
      </c>
      <c r="G2560" s="460"/>
      <c r="H2560" s="599"/>
      <c r="I2560" s="459">
        <f>IF(G2560="",D2560*F2560,(D2560*F2560/G2560))</f>
        <v>288.08427499999999</v>
      </c>
      <c r="J2560" s="462"/>
      <c r="K2560" s="463"/>
      <c r="L2560" s="463"/>
      <c r="M2560" s="464"/>
      <c r="N2560" s="464"/>
      <c r="O2560" s="464"/>
      <c r="P2560" s="464"/>
      <c r="Q2560" s="464"/>
      <c r="R2560" s="464"/>
      <c r="S2560" s="464"/>
      <c r="T2560" s="464"/>
      <c r="U2560" s="464"/>
      <c r="V2560" s="464"/>
      <c r="W2560" s="464"/>
      <c r="X2560" s="464"/>
      <c r="Y2560" s="464"/>
      <c r="Z2560" s="464"/>
      <c r="AA2560" s="464"/>
      <c r="AB2560" s="464"/>
      <c r="AC2560" s="464"/>
      <c r="AD2560" s="464"/>
      <c r="AE2560" s="464"/>
      <c r="AF2560" s="464"/>
      <c r="AG2560" s="464"/>
      <c r="AH2560" s="464"/>
      <c r="AI2560" s="464"/>
      <c r="AJ2560" s="464"/>
      <c r="AK2560" s="464"/>
      <c r="AL2560" s="464"/>
      <c r="AM2560" s="464"/>
      <c r="AN2560" s="464"/>
      <c r="AO2560" s="464"/>
      <c r="AP2560" s="464"/>
      <c r="AQ2560" s="464"/>
      <c r="AR2560" s="464"/>
      <c r="AS2560" s="464"/>
      <c r="AT2560" s="464"/>
      <c r="AU2560" s="464"/>
      <c r="AV2560" s="464"/>
      <c r="AW2560" s="464"/>
      <c r="AX2560" s="464"/>
      <c r="AY2560" s="464"/>
      <c r="AZ2560" s="464"/>
      <c r="BA2560" s="464"/>
      <c r="BB2560" s="464"/>
      <c r="BC2560" s="464"/>
      <c r="BD2560" s="464"/>
      <c r="BE2560" s="464"/>
      <c r="BF2560" s="464"/>
      <c r="BG2560" s="464"/>
      <c r="BH2560" s="464"/>
      <c r="BI2560" s="464"/>
      <c r="BJ2560" s="464"/>
      <c r="BK2560" s="464"/>
      <c r="BL2560" s="464"/>
    </row>
    <row r="2561" spans="1:64" ht="13">
      <c r="A2561" s="454"/>
      <c r="B2561" s="454"/>
      <c r="C2561" s="481" t="s">
        <v>1047</v>
      </c>
      <c r="D2561" s="621"/>
      <c r="E2561" s="454"/>
      <c r="F2561" s="408"/>
      <c r="G2561" s="410"/>
      <c r="H2561" s="426"/>
      <c r="I2561" s="414">
        <f>SUM(I2545:I2560)</f>
        <v>29096.511774999999</v>
      </c>
      <c r="J2561" s="411"/>
      <c r="K2561" s="412"/>
      <c r="L2561" s="412"/>
      <c r="M2561" s="413"/>
      <c r="N2561" s="413"/>
      <c r="O2561" s="413"/>
      <c r="P2561" s="413"/>
      <c r="Q2561" s="413"/>
      <c r="R2561" s="413"/>
      <c r="S2561" s="413"/>
      <c r="T2561" s="413"/>
      <c r="U2561" s="413"/>
      <c r="V2561" s="413"/>
      <c r="W2561" s="413"/>
      <c r="X2561" s="413"/>
      <c r="Y2561" s="413"/>
      <c r="Z2561" s="413"/>
      <c r="AA2561" s="413"/>
      <c r="AB2561" s="413"/>
      <c r="AC2561" s="413"/>
      <c r="AD2561" s="413"/>
      <c r="AE2561" s="413"/>
      <c r="AF2561" s="413"/>
      <c r="AG2561" s="413"/>
      <c r="AH2561" s="413"/>
      <c r="AI2561" s="413"/>
      <c r="AJ2561" s="413"/>
      <c r="AK2561" s="413"/>
      <c r="AL2561" s="413"/>
      <c r="AM2561" s="413"/>
      <c r="AN2561" s="413"/>
      <c r="AO2561" s="413"/>
      <c r="AP2561" s="413"/>
      <c r="AQ2561" s="413"/>
      <c r="AR2561" s="413"/>
      <c r="AS2561" s="413"/>
      <c r="AT2561" s="413"/>
      <c r="AU2561" s="413"/>
      <c r="AV2561" s="413"/>
      <c r="AW2561" s="413"/>
      <c r="AX2561" s="413"/>
      <c r="AY2561" s="413"/>
      <c r="AZ2561" s="413"/>
      <c r="BA2561" s="413"/>
      <c r="BB2561" s="413"/>
      <c r="BC2561" s="413"/>
      <c r="BD2561" s="413"/>
      <c r="BE2561" s="413"/>
      <c r="BF2561" s="413"/>
      <c r="BG2561" s="413"/>
      <c r="BH2561" s="413"/>
      <c r="BI2561" s="413"/>
      <c r="BJ2561" s="413"/>
      <c r="BK2561" s="413"/>
      <c r="BL2561" s="413"/>
    </row>
    <row r="2562" spans="1:64" ht="13">
      <c r="A2562" s="454"/>
      <c r="B2562" s="454"/>
      <c r="C2562" s="481" t="s">
        <v>845</v>
      </c>
      <c r="D2562" s="426"/>
      <c r="E2562" s="426"/>
      <c r="F2562" s="426"/>
      <c r="G2562" s="426"/>
      <c r="H2562" s="426"/>
      <c r="I2562" s="434">
        <f>ROUND(I2561/10,2)</f>
        <v>2909.65</v>
      </c>
      <c r="J2562" s="411"/>
      <c r="K2562" s="412"/>
      <c r="L2562" s="412"/>
      <c r="M2562" s="413"/>
      <c r="N2562" s="413"/>
      <c r="O2562" s="413"/>
      <c r="P2562" s="413"/>
      <c r="Q2562" s="413"/>
      <c r="R2562" s="413"/>
      <c r="S2562" s="413"/>
      <c r="T2562" s="413"/>
      <c r="U2562" s="413"/>
      <c r="V2562" s="413"/>
      <c r="W2562" s="413"/>
      <c r="X2562" s="413"/>
      <c r="Y2562" s="413"/>
      <c r="Z2562" s="413"/>
      <c r="AA2562" s="413"/>
      <c r="AB2562" s="413"/>
      <c r="AC2562" s="413"/>
      <c r="AD2562" s="413"/>
      <c r="AE2562" s="413"/>
      <c r="AF2562" s="413"/>
      <c r="AG2562" s="413"/>
      <c r="AH2562" s="413"/>
      <c r="AI2562" s="413"/>
      <c r="AJ2562" s="413"/>
      <c r="AK2562" s="413"/>
      <c r="AL2562" s="413"/>
      <c r="AM2562" s="413"/>
      <c r="AN2562" s="413"/>
      <c r="AO2562" s="413"/>
      <c r="AP2562" s="413"/>
      <c r="AQ2562" s="413"/>
      <c r="AR2562" s="413"/>
      <c r="AS2562" s="413"/>
      <c r="AT2562" s="413"/>
      <c r="AU2562" s="413"/>
      <c r="AV2562" s="413"/>
      <c r="AW2562" s="413"/>
      <c r="AX2562" s="413"/>
      <c r="AY2562" s="413"/>
      <c r="AZ2562" s="413"/>
      <c r="BA2562" s="413"/>
      <c r="BB2562" s="413"/>
      <c r="BC2562" s="413"/>
      <c r="BD2562" s="413"/>
      <c r="BE2562" s="413"/>
      <c r="BF2562" s="413"/>
      <c r="BG2562" s="413"/>
      <c r="BH2562" s="413"/>
      <c r="BI2562" s="413"/>
      <c r="BJ2562" s="413"/>
      <c r="BK2562" s="413"/>
      <c r="BL2562" s="413"/>
    </row>
    <row r="2563" spans="1:64">
      <c r="A2563" s="454"/>
      <c r="B2563" s="454"/>
      <c r="C2563" s="469"/>
      <c r="D2563" s="426"/>
      <c r="E2563" s="426"/>
      <c r="F2563" s="426"/>
      <c r="G2563" s="426"/>
      <c r="H2563" s="426"/>
      <c r="I2563" s="409"/>
      <c r="J2563" s="411"/>
      <c r="K2563" s="412"/>
      <c r="L2563" s="412"/>
    </row>
    <row r="2564" spans="1:64" ht="13">
      <c r="A2564" s="454"/>
      <c r="B2564" s="454"/>
      <c r="C2564" s="481" t="s">
        <v>953</v>
      </c>
      <c r="D2564" s="414" t="s">
        <v>959</v>
      </c>
      <c r="E2564" s="416" t="s">
        <v>943</v>
      </c>
      <c r="F2564" s="415" t="s">
        <v>944</v>
      </c>
      <c r="G2564" s="414" t="s">
        <v>1036</v>
      </c>
      <c r="H2564" s="414" t="s">
        <v>1037</v>
      </c>
      <c r="I2564" s="414" t="s">
        <v>1038</v>
      </c>
      <c r="J2564" s="411"/>
      <c r="K2564" s="412"/>
      <c r="L2564" s="412"/>
      <c r="M2564" s="554"/>
      <c r="N2564" s="554"/>
      <c r="O2564" s="554"/>
      <c r="P2564" s="554"/>
      <c r="Q2564" s="554"/>
      <c r="R2564" s="554"/>
      <c r="S2564" s="554"/>
      <c r="T2564" s="554"/>
      <c r="U2564" s="554"/>
      <c r="V2564" s="554"/>
      <c r="W2564" s="554"/>
      <c r="X2564" s="554"/>
      <c r="Y2564" s="554"/>
      <c r="Z2564" s="554"/>
      <c r="AA2564" s="554"/>
      <c r="AB2564" s="554"/>
      <c r="AC2564" s="554"/>
      <c r="AD2564" s="554"/>
      <c r="AE2564" s="554"/>
      <c r="AF2564" s="554"/>
      <c r="AG2564" s="554"/>
      <c r="AH2564" s="554"/>
      <c r="AI2564" s="554"/>
      <c r="AJ2564" s="554"/>
      <c r="AK2564" s="554"/>
      <c r="AL2564" s="554"/>
      <c r="AM2564" s="554"/>
      <c r="AN2564" s="554"/>
      <c r="AO2564" s="554"/>
      <c r="AP2564" s="554"/>
      <c r="AQ2564" s="554"/>
      <c r="AR2564" s="554"/>
      <c r="AS2564" s="554"/>
      <c r="AT2564" s="554"/>
      <c r="AU2564" s="554"/>
      <c r="AV2564" s="554"/>
      <c r="AW2564" s="554"/>
      <c r="AX2564" s="554"/>
      <c r="AY2564" s="554"/>
      <c r="AZ2564" s="554"/>
      <c r="BA2564" s="554"/>
      <c r="BB2564" s="554"/>
      <c r="BC2564" s="554"/>
      <c r="BD2564" s="554"/>
      <c r="BE2564" s="554"/>
      <c r="BF2564" s="554"/>
      <c r="BG2564" s="554"/>
      <c r="BH2564" s="554"/>
      <c r="BI2564" s="554"/>
      <c r="BJ2564" s="554"/>
      <c r="BK2564" s="554"/>
      <c r="BL2564" s="554"/>
    </row>
    <row r="2565" spans="1:64">
      <c r="A2565" s="454"/>
      <c r="B2565" s="454"/>
      <c r="C2565" s="417" t="s">
        <v>1064</v>
      </c>
      <c r="D2565" s="408">
        <f t="shared" ref="D2565:I2565" si="609">$I$2562</f>
        <v>2909.65</v>
      </c>
      <c r="E2565" s="408">
        <f t="shared" si="609"/>
        <v>2909.65</v>
      </c>
      <c r="F2565" s="408">
        <f t="shared" si="609"/>
        <v>2909.65</v>
      </c>
      <c r="G2565" s="408">
        <f t="shared" si="609"/>
        <v>2909.65</v>
      </c>
      <c r="H2565" s="408">
        <f t="shared" si="609"/>
        <v>2909.65</v>
      </c>
      <c r="I2565" s="408">
        <f t="shared" si="609"/>
        <v>2909.65</v>
      </c>
      <c r="J2565" s="411"/>
      <c r="K2565" s="412"/>
      <c r="L2565" s="412"/>
    </row>
    <row r="2566" spans="1:64">
      <c r="A2566" s="454"/>
      <c r="B2566" s="454"/>
      <c r="C2566" s="417" t="s">
        <v>1163</v>
      </c>
      <c r="D2566" s="408">
        <f>'[161]Civil-SOR'!$F$233</f>
        <v>1.17</v>
      </c>
      <c r="E2566" s="408">
        <f>('[161]Civil-SOR'!$F$233+'[161]Civil-SOR'!$F$234)</f>
        <v>2.34</v>
      </c>
      <c r="F2566" s="408">
        <f>('[161]Civil-SOR'!$F$233+'[161]Civil-SOR'!$F$234+'[161]Civil-SOR'!$F$235)</f>
        <v>3.51</v>
      </c>
      <c r="G2566" s="408">
        <f>('[161]Civil-SOR'!$F$233+'[161]Civil-SOR'!$F$234+'[161]Civil-SOR'!$F$235+'[161]Civil-SOR'!$F$236)</f>
        <v>4.68</v>
      </c>
      <c r="H2566" s="408">
        <f>('[161]Civil-SOR'!$F$233+'[161]Civil-SOR'!$F$234+'[161]Civil-SOR'!$F$235+'[161]Civil-SOR'!$F$236)</f>
        <v>4.68</v>
      </c>
      <c r="I2566" s="408">
        <f>('[161]Civil-SOR'!$F$233+'[161]Civil-SOR'!$F$234+'[161]Civil-SOR'!$F$235+'[161]Civil-SOR'!$F$236)</f>
        <v>4.68</v>
      </c>
      <c r="J2566" s="411"/>
      <c r="K2566" s="412"/>
      <c r="L2566" s="412"/>
    </row>
    <row r="2567" spans="1:64">
      <c r="A2567" s="454"/>
      <c r="B2567" s="454"/>
      <c r="C2567" s="417" t="s">
        <v>1164</v>
      </c>
      <c r="D2567" s="408">
        <f>'[161]Civil-SOR'!$G$233</f>
        <v>9.43</v>
      </c>
      <c r="E2567" s="408">
        <f>'[161]Civil-SOR'!$G$234</f>
        <v>13.56</v>
      </c>
      <c r="F2567" s="408">
        <f>'[161]Civil-SOR'!$G$235</f>
        <v>17.690000000000001</v>
      </c>
      <c r="G2567" s="408">
        <f>'[161]Civil-SOR'!$G$236</f>
        <v>21.82</v>
      </c>
      <c r="H2567" s="408">
        <f>'[161]Civil-SOR'!$G$237</f>
        <v>25.96</v>
      </c>
      <c r="I2567" s="408">
        <f>'[161]Civil-SOR'!$G$238</f>
        <v>30.09</v>
      </c>
      <c r="J2567" s="411"/>
      <c r="K2567" s="412"/>
      <c r="L2567" s="412"/>
    </row>
    <row r="2568" spans="1:64">
      <c r="A2568" s="454"/>
      <c r="B2568" s="454"/>
      <c r="C2568" s="417" t="str">
        <f>[161]Input!$C$47</f>
        <v>Add for MA @ 40%</v>
      </c>
      <c r="D2568" s="408">
        <f>ROUND(D2567*[161]Input!$D$47,2)</f>
        <v>3.77</v>
      </c>
      <c r="E2568" s="408">
        <f>ROUND(E2567*[161]Input!$D$47,2)</f>
        <v>5.42</v>
      </c>
      <c r="F2568" s="408">
        <f>ROUND(F2567*[161]Input!$D$47,2)</f>
        <v>7.08</v>
      </c>
      <c r="G2568" s="408">
        <f>ROUND(G2567*[161]Input!$D$47,2)</f>
        <v>8.73</v>
      </c>
      <c r="H2568" s="408">
        <f>ROUND(H2567*[161]Input!$D$47,2)</f>
        <v>10.38</v>
      </c>
      <c r="I2568" s="408">
        <f>ROUND(I2567*[161]Input!$D$47,2)</f>
        <v>12.04</v>
      </c>
      <c r="J2568" s="411"/>
      <c r="K2568" s="412"/>
      <c r="L2568" s="412"/>
    </row>
    <row r="2569" spans="1:64">
      <c r="A2569" s="454"/>
      <c r="B2569" s="454"/>
      <c r="C2569" s="417" t="s">
        <v>994</v>
      </c>
      <c r="D2569" s="408">
        <v>0</v>
      </c>
      <c r="E2569" s="408">
        <f>ROUND($F$2555/10*10%,2)</f>
        <v>104.55</v>
      </c>
      <c r="F2569" s="408">
        <f>ROUND($F$2555/10*20%,2)</f>
        <v>209.1</v>
      </c>
      <c r="G2569" s="408">
        <f>ROUND($F$2555/10*30%,2)</f>
        <v>313.64999999999998</v>
      </c>
      <c r="H2569" s="408">
        <f>ROUND($F$2555/10*40%,2)</f>
        <v>418.2</v>
      </c>
      <c r="I2569" s="408">
        <f>ROUND($F$2555/10*50%,2)</f>
        <v>522.75</v>
      </c>
      <c r="J2569" s="411"/>
      <c r="K2569" s="412"/>
      <c r="L2569" s="412"/>
    </row>
    <row r="2570" spans="1:64">
      <c r="A2570" s="454"/>
      <c r="B2570" s="454"/>
      <c r="C2570" s="417" t="str">
        <f>[161]Input!$C$47</f>
        <v>Add for MA @ 40%</v>
      </c>
      <c r="D2570" s="408">
        <f>D2569*[161]Input!$D$47</f>
        <v>0</v>
      </c>
      <c r="E2570" s="408">
        <f>E2569*[161]Input!$D$47</f>
        <v>41.82</v>
      </c>
      <c r="F2570" s="408">
        <f>F2569*[161]Input!$D$47</f>
        <v>83.64</v>
      </c>
      <c r="G2570" s="408">
        <f>G2569*[161]Input!$D$47</f>
        <v>125.46</v>
      </c>
      <c r="H2570" s="408">
        <f>H2569*[161]Input!$D$47</f>
        <v>167.28</v>
      </c>
      <c r="I2570" s="408">
        <f>I2569*[161]Input!$D$47</f>
        <v>209.10000000000002</v>
      </c>
      <c r="J2570" s="411"/>
      <c r="K2570" s="412"/>
      <c r="L2570" s="412"/>
    </row>
    <row r="2571" spans="1:64">
      <c r="A2571" s="454"/>
      <c r="B2571" s="454"/>
      <c r="C2571" s="469"/>
      <c r="D2571" s="408">
        <f t="shared" ref="D2571:I2571" si="610">SUM(D2565:D2570)</f>
        <v>2924.02</v>
      </c>
      <c r="E2571" s="408">
        <f t="shared" si="610"/>
        <v>3077.3400000000006</v>
      </c>
      <c r="F2571" s="408">
        <f t="shared" si="610"/>
        <v>3230.67</v>
      </c>
      <c r="G2571" s="408">
        <f t="shared" si="610"/>
        <v>3383.9900000000002</v>
      </c>
      <c r="H2571" s="408">
        <f t="shared" si="610"/>
        <v>3536.15</v>
      </c>
      <c r="I2571" s="408">
        <f t="shared" si="610"/>
        <v>3688.31</v>
      </c>
      <c r="J2571" s="411"/>
      <c r="K2571" s="412"/>
      <c r="L2571" s="412"/>
    </row>
    <row r="2572" spans="1:64" ht="25">
      <c r="A2572" s="454"/>
      <c r="B2572" s="454"/>
      <c r="C2572" s="417" t="str">
        <f>[161]Input!$C$48</f>
        <v>Overheads &amp; Contractors Profit @ 13.615%</v>
      </c>
      <c r="D2572" s="408">
        <f>ROUND(D2571*[161]Input!$D$48,2)</f>
        <v>398.11</v>
      </c>
      <c r="E2572" s="408">
        <f>ROUND(E2571*[161]Input!$D$48,2)</f>
        <v>418.98</v>
      </c>
      <c r="F2572" s="408">
        <f>ROUND(F2571*[161]Input!$D$48,2)</f>
        <v>439.86</v>
      </c>
      <c r="G2572" s="408">
        <f>ROUND(G2571*[161]Input!$D$48,2)</f>
        <v>460.73</v>
      </c>
      <c r="H2572" s="408">
        <f>ROUND(H2571*[161]Input!$D$48,2)</f>
        <v>481.45</v>
      </c>
      <c r="I2572" s="408">
        <f>ROUND(I2571*[161]Input!$D$48,2)</f>
        <v>502.16</v>
      </c>
      <c r="J2572" s="411"/>
      <c r="K2572" s="412"/>
      <c r="L2572" s="412"/>
    </row>
    <row r="2573" spans="1:64" ht="13">
      <c r="A2573" s="454"/>
      <c r="B2573" s="454"/>
      <c r="C2573" s="427" t="s">
        <v>845</v>
      </c>
      <c r="D2573" s="414">
        <f t="shared" ref="D2573:I2573" si="611">SUM(D2571:D2572)</f>
        <v>3322.13</v>
      </c>
      <c r="E2573" s="414">
        <f t="shared" si="611"/>
        <v>3496.3200000000006</v>
      </c>
      <c r="F2573" s="414">
        <f t="shared" si="611"/>
        <v>3670.53</v>
      </c>
      <c r="G2573" s="414">
        <f t="shared" si="611"/>
        <v>3844.7200000000003</v>
      </c>
      <c r="H2573" s="414">
        <f t="shared" si="611"/>
        <v>4017.6</v>
      </c>
      <c r="I2573" s="414">
        <f t="shared" si="611"/>
        <v>4190.47</v>
      </c>
      <c r="J2573" s="411"/>
      <c r="K2573" s="412"/>
      <c r="L2573" s="412"/>
    </row>
    <row r="2574" spans="1:64" ht="13">
      <c r="A2574" s="454"/>
      <c r="B2574" s="454"/>
      <c r="C2574" s="522" t="s">
        <v>726</v>
      </c>
      <c r="D2574" s="416">
        <f t="shared" ref="D2574:I2574" si="612">ROUND(D2573,0)</f>
        <v>3322</v>
      </c>
      <c r="E2574" s="416">
        <f t="shared" si="612"/>
        <v>3496</v>
      </c>
      <c r="F2574" s="416">
        <f t="shared" si="612"/>
        <v>3671</v>
      </c>
      <c r="G2574" s="416">
        <f t="shared" si="612"/>
        <v>3845</v>
      </c>
      <c r="H2574" s="416">
        <f t="shared" si="612"/>
        <v>4018</v>
      </c>
      <c r="I2574" s="416">
        <f t="shared" si="612"/>
        <v>4190</v>
      </c>
      <c r="J2574" s="411"/>
      <c r="K2574" s="412"/>
      <c r="L2574" s="412"/>
      <c r="M2574" s="554"/>
      <c r="N2574" s="554"/>
      <c r="O2574" s="554"/>
      <c r="P2574" s="554"/>
      <c r="Q2574" s="554"/>
      <c r="R2574" s="554"/>
      <c r="S2574" s="554"/>
      <c r="T2574" s="554"/>
      <c r="U2574" s="554"/>
      <c r="V2574" s="554"/>
      <c r="W2574" s="554"/>
      <c r="X2574" s="554"/>
      <c r="Y2574" s="554"/>
      <c r="Z2574" s="554"/>
      <c r="AA2574" s="554"/>
      <c r="AB2574" s="554"/>
      <c r="AC2574" s="554"/>
      <c r="AD2574" s="554"/>
      <c r="AE2574" s="554"/>
      <c r="AF2574" s="554"/>
      <c r="AG2574" s="554"/>
      <c r="AH2574" s="554"/>
      <c r="AI2574" s="554"/>
      <c r="AJ2574" s="554"/>
      <c r="AK2574" s="554"/>
      <c r="AL2574" s="554"/>
      <c r="AM2574" s="554"/>
      <c r="AN2574" s="554"/>
      <c r="AO2574" s="554"/>
      <c r="AP2574" s="554"/>
      <c r="AQ2574" s="554"/>
      <c r="AR2574" s="554"/>
      <c r="AS2574" s="554"/>
      <c r="AT2574" s="554"/>
      <c r="AU2574" s="554"/>
      <c r="AV2574" s="554"/>
      <c r="AW2574" s="554"/>
      <c r="AX2574" s="554"/>
      <c r="AY2574" s="554"/>
      <c r="AZ2574" s="554"/>
      <c r="BA2574" s="554"/>
      <c r="BB2574" s="554"/>
      <c r="BC2574" s="554"/>
      <c r="BD2574" s="554"/>
      <c r="BE2574" s="554"/>
      <c r="BF2574" s="554"/>
      <c r="BG2574" s="554"/>
      <c r="BH2574" s="554"/>
      <c r="BI2574" s="554"/>
      <c r="BJ2574" s="554"/>
      <c r="BK2574" s="554"/>
      <c r="BL2574" s="554"/>
    </row>
    <row r="2575" spans="1:64">
      <c r="A2575" s="454"/>
      <c r="B2575" s="454"/>
      <c r="C2575" s="469"/>
      <c r="D2575" s="426"/>
      <c r="E2575" s="426"/>
      <c r="F2575" s="426"/>
      <c r="G2575" s="426"/>
      <c r="H2575" s="426"/>
      <c r="I2575" s="409"/>
      <c r="J2575" s="411"/>
      <c r="K2575" s="412"/>
      <c r="L2575" s="412"/>
    </row>
    <row r="2576" spans="1:64" ht="13">
      <c r="A2576" s="454"/>
      <c r="B2576" s="454"/>
      <c r="C2576" s="427" t="s">
        <v>953</v>
      </c>
      <c r="D2576" s="414" t="s">
        <v>1118</v>
      </c>
      <c r="E2576" s="414" t="s">
        <v>1119</v>
      </c>
      <c r="F2576" s="414" t="s">
        <v>1120</v>
      </c>
      <c r="G2576" s="426"/>
      <c r="H2576" s="426"/>
      <c r="I2576" s="409"/>
      <c r="J2576" s="400"/>
      <c r="K2576" s="401"/>
      <c r="L2576" s="401"/>
    </row>
    <row r="2577" spans="1:64">
      <c r="A2577" s="454"/>
      <c r="B2577" s="454"/>
      <c r="C2577" s="417" t="s">
        <v>1064</v>
      </c>
      <c r="D2577" s="408">
        <f>$I$2562</f>
        <v>2909.65</v>
      </c>
      <c r="E2577" s="408">
        <f>$I$2562</f>
        <v>2909.65</v>
      </c>
      <c r="F2577" s="408">
        <f>$I$2562</f>
        <v>2909.65</v>
      </c>
      <c r="G2577" s="426"/>
      <c r="H2577" s="426"/>
      <c r="I2577" s="409"/>
      <c r="J2577" s="400"/>
      <c r="K2577" s="401"/>
      <c r="L2577" s="401"/>
    </row>
    <row r="2578" spans="1:64">
      <c r="A2578" s="454"/>
      <c r="B2578" s="454"/>
      <c r="C2578" s="417" t="s">
        <v>1163</v>
      </c>
      <c r="D2578" s="408">
        <f>('[161]Civil-SOR'!$F$233+'[161]Civil-SOR'!$F$234+'[161]Civil-SOR'!$F$235+'[161]Civil-SOR'!$F$236)</f>
        <v>4.68</v>
      </c>
      <c r="E2578" s="408">
        <f>('[161]Civil-SOR'!$F$233+'[161]Civil-SOR'!$F$234+'[161]Civil-SOR'!$F$235+'[161]Civil-SOR'!$F$236)</f>
        <v>4.68</v>
      </c>
      <c r="F2578" s="408">
        <f>('[161]Civil-SOR'!$F$233+'[161]Civil-SOR'!$F$234+'[161]Civil-SOR'!$F$235+'[161]Civil-SOR'!$F$236)</f>
        <v>4.68</v>
      </c>
      <c r="G2578" s="426"/>
      <c r="H2578" s="426"/>
      <c r="I2578" s="409"/>
      <c r="J2578" s="400"/>
      <c r="K2578" s="401"/>
      <c r="L2578" s="401"/>
    </row>
    <row r="2579" spans="1:64">
      <c r="A2579" s="454"/>
      <c r="B2579" s="454"/>
      <c r="C2579" s="417" t="s">
        <v>1164</v>
      </c>
      <c r="D2579" s="408">
        <f>'[161]Civil-SOR'!$G$239</f>
        <v>34.22</v>
      </c>
      <c r="E2579" s="408">
        <f>'[161]Civil-SOR'!$G$240</f>
        <v>38.35</v>
      </c>
      <c r="F2579" s="408">
        <f>'[161]Civil-SOR'!$G$241</f>
        <v>42.48</v>
      </c>
      <c r="G2579" s="426"/>
      <c r="H2579" s="426"/>
      <c r="I2579" s="409"/>
      <c r="J2579" s="400"/>
      <c r="K2579" s="401"/>
      <c r="L2579" s="401"/>
    </row>
    <row r="2580" spans="1:64">
      <c r="A2580" s="454"/>
      <c r="B2580" s="454"/>
      <c r="C2580" s="417" t="str">
        <f>[161]Input!$C$47</f>
        <v>Add for MA @ 40%</v>
      </c>
      <c r="D2580" s="408">
        <f>ROUND(D2579*[161]Input!$D$47,2)</f>
        <v>13.69</v>
      </c>
      <c r="E2580" s="408">
        <f>ROUND(E2579*[161]Input!$D$47,2)</f>
        <v>15.34</v>
      </c>
      <c r="F2580" s="408">
        <f>ROUND(F2579*[161]Input!$D$47,2)</f>
        <v>16.989999999999998</v>
      </c>
      <c r="G2580" s="426"/>
      <c r="H2580" s="426"/>
      <c r="I2580" s="409"/>
      <c r="J2580" s="400"/>
      <c r="K2580" s="401"/>
      <c r="L2580" s="401"/>
    </row>
    <row r="2581" spans="1:64">
      <c r="A2581" s="454"/>
      <c r="B2581" s="454"/>
      <c r="C2581" s="417" t="s">
        <v>994</v>
      </c>
      <c r="D2581" s="408">
        <f>ROUND($F$2555/10*60%,2)</f>
        <v>627.29999999999995</v>
      </c>
      <c r="E2581" s="408">
        <f>ROUND($F$2555/10*70%,2)</f>
        <v>731.85</v>
      </c>
      <c r="F2581" s="408">
        <f>ROUND($F$2555/10*80%,2)</f>
        <v>836.4</v>
      </c>
      <c r="G2581" s="426"/>
      <c r="H2581" s="426"/>
      <c r="I2581" s="409"/>
      <c r="J2581" s="400"/>
      <c r="K2581" s="401"/>
      <c r="L2581" s="401"/>
    </row>
    <row r="2582" spans="1:64">
      <c r="A2582" s="454"/>
      <c r="B2582" s="454"/>
      <c r="C2582" s="417" t="str">
        <f>[161]Input!$C$47</f>
        <v>Add for MA @ 40%</v>
      </c>
      <c r="D2582" s="408">
        <f>D2581*[161]Input!$D$47</f>
        <v>250.92</v>
      </c>
      <c r="E2582" s="408">
        <f>E2581*[161]Input!$D$47</f>
        <v>292.74</v>
      </c>
      <c r="F2582" s="408">
        <f>F2581*[161]Input!$D$47</f>
        <v>334.56</v>
      </c>
      <c r="G2582" s="426"/>
      <c r="H2582" s="426"/>
      <c r="I2582" s="409"/>
      <c r="J2582" s="400"/>
      <c r="K2582" s="401"/>
      <c r="L2582" s="401"/>
    </row>
    <row r="2583" spans="1:64">
      <c r="A2583" s="454"/>
      <c r="B2583" s="454"/>
      <c r="C2583" s="435"/>
      <c r="D2583" s="408">
        <f>SUM(D2577:D2582)</f>
        <v>3840.46</v>
      </c>
      <c r="E2583" s="408">
        <f>SUM(E2577:E2582)</f>
        <v>3992.6099999999997</v>
      </c>
      <c r="F2583" s="408">
        <f>SUM(F2577:F2582)</f>
        <v>4144.76</v>
      </c>
      <c r="G2583" s="426"/>
      <c r="H2583" s="426"/>
      <c r="I2583" s="409"/>
      <c r="J2583" s="400"/>
      <c r="K2583" s="401"/>
      <c r="L2583" s="401"/>
    </row>
    <row r="2584" spans="1:64" ht="25">
      <c r="A2584" s="454"/>
      <c r="B2584" s="454"/>
      <c r="C2584" s="417" t="str">
        <f>[161]Input!$C$48</f>
        <v>Overheads &amp; Contractors Profit @ 13.615%</v>
      </c>
      <c r="D2584" s="408">
        <f>ROUND(D2583*[161]Input!$D$48,2)</f>
        <v>522.88</v>
      </c>
      <c r="E2584" s="408">
        <f>ROUND(E2583*[161]Input!$D$48,2)</f>
        <v>543.59</v>
      </c>
      <c r="F2584" s="408">
        <f>ROUND(F2583*[161]Input!$D$48,2)</f>
        <v>564.30999999999995</v>
      </c>
      <c r="G2584" s="426"/>
      <c r="H2584" s="426"/>
      <c r="I2584" s="409"/>
      <c r="J2584" s="400"/>
      <c r="K2584" s="401"/>
      <c r="L2584" s="401"/>
    </row>
    <row r="2585" spans="1:64" ht="13">
      <c r="A2585" s="454"/>
      <c r="B2585" s="454"/>
      <c r="C2585" s="427" t="s">
        <v>845</v>
      </c>
      <c r="D2585" s="414">
        <f>SUM(D2583:D2584)</f>
        <v>4363.34</v>
      </c>
      <c r="E2585" s="414">
        <f>SUM(E2583:E2584)</f>
        <v>4536.2</v>
      </c>
      <c r="F2585" s="414">
        <f>SUM(F2583:F2584)</f>
        <v>4709.07</v>
      </c>
      <c r="G2585" s="426"/>
      <c r="H2585" s="426"/>
      <c r="I2585" s="409"/>
      <c r="J2585" s="400"/>
      <c r="K2585" s="401"/>
      <c r="L2585" s="401"/>
    </row>
    <row r="2586" spans="1:64" ht="13">
      <c r="A2586" s="454"/>
      <c r="B2586" s="454"/>
      <c r="C2586" s="435"/>
      <c r="D2586" s="416">
        <f>ROUND(D2585,0)</f>
        <v>4363</v>
      </c>
      <c r="E2586" s="416">
        <f>ROUND(E2585,0)</f>
        <v>4536</v>
      </c>
      <c r="F2586" s="416">
        <f>ROUND(F2585,0)</f>
        <v>4709</v>
      </c>
      <c r="G2586" s="426"/>
      <c r="H2586" s="426"/>
      <c r="I2586" s="409"/>
      <c r="J2586" s="400"/>
      <c r="K2586" s="401"/>
      <c r="L2586" s="401"/>
    </row>
    <row r="2587" spans="1:64">
      <c r="A2587" s="454"/>
      <c r="B2587" s="454"/>
      <c r="C2587" s="469"/>
      <c r="D2587" s="426"/>
      <c r="E2587" s="426"/>
      <c r="F2587" s="426"/>
      <c r="G2587" s="426"/>
      <c r="H2587" s="426"/>
      <c r="I2587" s="409"/>
      <c r="J2587" s="400"/>
      <c r="K2587" s="401"/>
      <c r="L2587" s="401"/>
    </row>
    <row r="2588" spans="1:64" ht="102.25" customHeight="1">
      <c r="A2588" s="454">
        <f>A2541+1</f>
        <v>11</v>
      </c>
      <c r="B2588" s="454"/>
      <c r="C2588" s="1276" t="s">
        <v>1165</v>
      </c>
      <c r="D2588" s="1276"/>
      <c r="E2588" s="1276"/>
      <c r="F2588" s="1276"/>
      <c r="G2588" s="1276"/>
      <c r="H2588" s="1276"/>
      <c r="I2588" s="407"/>
      <c r="J2588" s="400"/>
      <c r="K2588" s="401"/>
      <c r="L2588" s="401"/>
      <c r="M2588" s="404"/>
      <c r="N2588" s="404"/>
      <c r="O2588" s="404"/>
      <c r="P2588" s="404"/>
      <c r="Q2588" s="404"/>
      <c r="R2588" s="404"/>
      <c r="S2588" s="404"/>
      <c r="T2588" s="404"/>
      <c r="U2588" s="404"/>
      <c r="V2588" s="404"/>
      <c r="W2588" s="404"/>
      <c r="X2588" s="404"/>
      <c r="Y2588" s="404"/>
      <c r="Z2588" s="404"/>
      <c r="AA2588" s="404"/>
      <c r="AB2588" s="404"/>
      <c r="AC2588" s="404"/>
      <c r="AD2588" s="404"/>
      <c r="AE2588" s="404"/>
      <c r="AF2588" s="404"/>
      <c r="AG2588" s="404"/>
      <c r="AH2588" s="404"/>
      <c r="AI2588" s="404"/>
      <c r="AJ2588" s="404"/>
      <c r="AK2588" s="404"/>
      <c r="AL2588" s="404"/>
      <c r="AM2588" s="404"/>
      <c r="AN2588" s="404"/>
      <c r="AO2588" s="404"/>
      <c r="AP2588" s="404"/>
      <c r="AQ2588" s="404"/>
      <c r="AR2588" s="404"/>
      <c r="AS2588" s="404"/>
      <c r="AT2588" s="404"/>
      <c r="AU2588" s="404"/>
      <c r="AV2588" s="404"/>
      <c r="AW2588" s="404"/>
      <c r="AX2588" s="404"/>
      <c r="AY2588" s="404"/>
      <c r="AZ2588" s="404"/>
      <c r="BA2588" s="404"/>
      <c r="BB2588" s="404"/>
      <c r="BC2588" s="404"/>
      <c r="BD2588" s="404"/>
      <c r="BE2588" s="404"/>
      <c r="BF2588" s="404"/>
      <c r="BG2588" s="404"/>
      <c r="BH2588" s="404"/>
      <c r="BI2588" s="404"/>
      <c r="BJ2588" s="404"/>
      <c r="BK2588" s="404"/>
      <c r="BL2588" s="404"/>
    </row>
    <row r="2589" spans="1:64" ht="13">
      <c r="A2589" s="454"/>
      <c r="B2589" s="454"/>
      <c r="C2589" s="455" t="s">
        <v>1166</v>
      </c>
      <c r="D2589" s="426"/>
      <c r="E2589" s="426"/>
      <c r="F2589" s="426"/>
      <c r="G2589" s="426"/>
      <c r="H2589" s="426"/>
      <c r="I2589" s="409"/>
      <c r="J2589" s="400"/>
      <c r="K2589" s="401"/>
      <c r="L2589" s="401"/>
      <c r="M2589" s="404"/>
      <c r="N2589" s="404"/>
      <c r="O2589" s="404"/>
      <c r="P2589" s="404"/>
      <c r="Q2589" s="404"/>
      <c r="R2589" s="404"/>
      <c r="S2589" s="404"/>
      <c r="T2589" s="404"/>
      <c r="U2589" s="404"/>
      <c r="V2589" s="404"/>
      <c r="W2589" s="404"/>
      <c r="X2589" s="404"/>
      <c r="Y2589" s="404"/>
      <c r="Z2589" s="404"/>
      <c r="AA2589" s="404"/>
      <c r="AB2589" s="404"/>
      <c r="AC2589" s="404"/>
      <c r="AD2589" s="404"/>
      <c r="AE2589" s="404"/>
      <c r="AF2589" s="404"/>
      <c r="AG2589" s="404"/>
      <c r="AH2589" s="404"/>
      <c r="AI2589" s="404"/>
      <c r="AJ2589" s="404"/>
      <c r="AK2589" s="404"/>
      <c r="AL2589" s="404"/>
      <c r="AM2589" s="404"/>
      <c r="AN2589" s="404"/>
      <c r="AO2589" s="404"/>
      <c r="AP2589" s="404"/>
      <c r="AQ2589" s="404"/>
      <c r="AR2589" s="404"/>
      <c r="AS2589" s="404"/>
      <c r="AT2589" s="404"/>
      <c r="AU2589" s="404"/>
      <c r="AV2589" s="404"/>
      <c r="AW2589" s="404"/>
      <c r="AX2589" s="404"/>
      <c r="AY2589" s="404"/>
      <c r="AZ2589" s="404"/>
      <c r="BA2589" s="404"/>
      <c r="BB2589" s="404"/>
      <c r="BC2589" s="404"/>
      <c r="BD2589" s="404"/>
      <c r="BE2589" s="404"/>
      <c r="BF2589" s="404"/>
      <c r="BG2589" s="404"/>
      <c r="BH2589" s="404"/>
      <c r="BI2589" s="404"/>
      <c r="BJ2589" s="404"/>
      <c r="BK2589" s="404"/>
      <c r="BL2589" s="404"/>
    </row>
    <row r="2590" spans="1:64">
      <c r="A2590" s="454"/>
      <c r="B2590" s="454"/>
      <c r="C2590" s="483" t="s">
        <v>1167</v>
      </c>
      <c r="D2590" s="426"/>
      <c r="E2590" s="426"/>
      <c r="F2590" s="426"/>
      <c r="G2590" s="426"/>
      <c r="H2590" s="426"/>
      <c r="I2590" s="409"/>
      <c r="J2590" s="400"/>
      <c r="K2590" s="401"/>
      <c r="L2590" s="401"/>
      <c r="M2590" s="404"/>
      <c r="N2590" s="404"/>
      <c r="O2590" s="404"/>
      <c r="P2590" s="404"/>
      <c r="Q2590" s="404"/>
      <c r="R2590" s="404"/>
      <c r="S2590" s="404"/>
      <c r="T2590" s="404"/>
      <c r="U2590" s="404"/>
      <c r="V2590" s="404"/>
      <c r="W2590" s="404"/>
      <c r="X2590" s="404"/>
      <c r="Y2590" s="404"/>
      <c r="Z2590" s="404"/>
      <c r="AA2590" s="404"/>
      <c r="AB2590" s="404"/>
      <c r="AC2590" s="404"/>
      <c r="AD2590" s="404"/>
      <c r="AE2590" s="404"/>
      <c r="AF2590" s="404"/>
      <c r="AG2590" s="404"/>
      <c r="AH2590" s="404"/>
      <c r="AI2590" s="404"/>
      <c r="AJ2590" s="404"/>
      <c r="AK2590" s="404"/>
      <c r="AL2590" s="404"/>
      <c r="AM2590" s="404"/>
      <c r="AN2590" s="404"/>
      <c r="AO2590" s="404"/>
      <c r="AP2590" s="404"/>
      <c r="AQ2590" s="404"/>
      <c r="AR2590" s="404"/>
      <c r="AS2590" s="404"/>
      <c r="AT2590" s="404"/>
      <c r="AU2590" s="404"/>
      <c r="AV2590" s="404"/>
      <c r="AW2590" s="404"/>
      <c r="AX2590" s="404"/>
      <c r="AY2590" s="404"/>
      <c r="AZ2590" s="404"/>
      <c r="BA2590" s="404"/>
      <c r="BB2590" s="404"/>
      <c r="BC2590" s="404"/>
      <c r="BD2590" s="404"/>
      <c r="BE2590" s="404"/>
      <c r="BF2590" s="404"/>
      <c r="BG2590" s="404"/>
      <c r="BH2590" s="404"/>
      <c r="BI2590" s="404"/>
      <c r="BJ2590" s="404"/>
      <c r="BK2590" s="404"/>
      <c r="BL2590" s="404"/>
    </row>
    <row r="2591" spans="1:64" ht="13">
      <c r="A2591" s="454"/>
      <c r="B2591" s="454"/>
      <c r="C2591" s="433" t="s">
        <v>1168</v>
      </c>
      <c r="D2591" s="409"/>
      <c r="E2591" s="426"/>
      <c r="F2591" s="409"/>
      <c r="G2591" s="410"/>
      <c r="H2591" s="426"/>
      <c r="I2591" s="408"/>
      <c r="J2591" s="400"/>
      <c r="K2591" s="401"/>
      <c r="L2591" s="401"/>
      <c r="M2591" s="404"/>
      <c r="N2591" s="404"/>
      <c r="O2591" s="404"/>
      <c r="P2591" s="404"/>
      <c r="Q2591" s="404"/>
      <c r="R2591" s="404"/>
      <c r="S2591" s="404"/>
      <c r="T2591" s="404"/>
      <c r="U2591" s="404"/>
      <c r="V2591" s="404"/>
      <c r="W2591" s="404"/>
      <c r="X2591" s="404"/>
      <c r="Y2591" s="404"/>
      <c r="Z2591" s="404"/>
      <c r="AA2591" s="404"/>
      <c r="AB2591" s="404"/>
      <c r="AC2591" s="404"/>
      <c r="AD2591" s="404"/>
      <c r="AE2591" s="404"/>
      <c r="AF2591" s="404"/>
      <c r="AG2591" s="404"/>
      <c r="AH2591" s="404"/>
      <c r="AI2591" s="404"/>
      <c r="AJ2591" s="404"/>
      <c r="AK2591" s="404"/>
      <c r="AL2591" s="404"/>
      <c r="AM2591" s="404"/>
      <c r="AN2591" s="404"/>
      <c r="AO2591" s="404"/>
      <c r="AP2591" s="404"/>
      <c r="AQ2591" s="404"/>
      <c r="AR2591" s="404"/>
      <c r="AS2591" s="404"/>
      <c r="AT2591" s="404"/>
      <c r="AU2591" s="404"/>
      <c r="AV2591" s="404"/>
      <c r="AW2591" s="404"/>
      <c r="AX2591" s="404"/>
      <c r="AY2591" s="404"/>
      <c r="AZ2591" s="404"/>
      <c r="BA2591" s="404"/>
      <c r="BB2591" s="404"/>
      <c r="BC2591" s="404"/>
      <c r="BD2591" s="404"/>
      <c r="BE2591" s="404"/>
      <c r="BF2591" s="404"/>
      <c r="BG2591" s="404"/>
      <c r="BH2591" s="404"/>
      <c r="BI2591" s="404"/>
      <c r="BJ2591" s="404"/>
      <c r="BK2591" s="404"/>
      <c r="BL2591" s="404"/>
    </row>
    <row r="2592" spans="1:64" ht="25">
      <c r="A2592" s="458"/>
      <c r="B2592" s="458"/>
      <c r="C2592" s="417" t="s">
        <v>1169</v>
      </c>
      <c r="D2592" s="432">
        <v>11</v>
      </c>
      <c r="E2592" s="406" t="s">
        <v>62</v>
      </c>
      <c r="F2592" s="432">
        <f>[161]LEAD!$N$26</f>
        <v>2705.69</v>
      </c>
      <c r="G2592" s="431">
        <v>10</v>
      </c>
      <c r="H2592" s="406" t="s">
        <v>62</v>
      </c>
      <c r="I2592" s="459">
        <f t="shared" ref="I2592:I2596" si="613">IF(G2592="",D2592*F2592,(D2592*F2592/G2592))</f>
        <v>2976.259</v>
      </c>
      <c r="J2592" s="462"/>
      <c r="K2592" s="463"/>
      <c r="L2592" s="463"/>
      <c r="M2592" s="464"/>
      <c r="N2592" s="464"/>
      <c r="O2592" s="464"/>
      <c r="P2592" s="464"/>
      <c r="Q2592" s="464"/>
      <c r="R2592" s="464"/>
      <c r="S2592" s="464"/>
      <c r="T2592" s="464"/>
      <c r="U2592" s="464"/>
      <c r="V2592" s="464"/>
      <c r="W2592" s="464"/>
      <c r="X2592" s="464"/>
      <c r="Y2592" s="464"/>
      <c r="Z2592" s="464"/>
      <c r="AA2592" s="464"/>
      <c r="AB2592" s="464"/>
      <c r="AC2592" s="464"/>
      <c r="AD2592" s="464"/>
      <c r="AE2592" s="464"/>
      <c r="AF2592" s="464"/>
      <c r="AG2592" s="464"/>
      <c r="AH2592" s="464"/>
      <c r="AI2592" s="464"/>
      <c r="AJ2592" s="464"/>
      <c r="AK2592" s="464"/>
      <c r="AL2592" s="464"/>
      <c r="AM2592" s="464"/>
      <c r="AN2592" s="464"/>
      <c r="AO2592" s="464"/>
      <c r="AP2592" s="464"/>
      <c r="AQ2592" s="464"/>
      <c r="AR2592" s="464"/>
      <c r="AS2592" s="464"/>
      <c r="AT2592" s="464"/>
      <c r="AU2592" s="464"/>
      <c r="AV2592" s="464"/>
      <c r="AW2592" s="464"/>
      <c r="AX2592" s="464"/>
      <c r="AY2592" s="464"/>
      <c r="AZ2592" s="464"/>
      <c r="BA2592" s="464"/>
      <c r="BB2592" s="464"/>
      <c r="BC2592" s="464"/>
      <c r="BD2592" s="464"/>
      <c r="BE2592" s="464"/>
      <c r="BF2592" s="464"/>
      <c r="BG2592" s="464"/>
      <c r="BH2592" s="464"/>
      <c r="BI2592" s="464"/>
      <c r="BJ2592" s="464"/>
      <c r="BK2592" s="464"/>
      <c r="BL2592" s="464"/>
    </row>
    <row r="2593" spans="1:64" ht="25">
      <c r="A2593" s="458"/>
      <c r="B2593" s="458"/>
      <c r="C2593" s="417" t="s">
        <v>1170</v>
      </c>
      <c r="D2593" s="432">
        <v>21.6</v>
      </c>
      <c r="E2593" s="406" t="s">
        <v>833</v>
      </c>
      <c r="F2593" s="432">
        <f>[161]LEAD!$N$6</f>
        <v>5200</v>
      </c>
      <c r="G2593" s="431">
        <v>1000</v>
      </c>
      <c r="H2593" s="406" t="s">
        <v>833</v>
      </c>
      <c r="I2593" s="459">
        <f t="shared" si="613"/>
        <v>112.32000000000002</v>
      </c>
      <c r="J2593" s="462"/>
      <c r="K2593" s="463"/>
      <c r="L2593" s="463"/>
      <c r="M2593" s="464"/>
      <c r="N2593" s="464"/>
      <c r="O2593" s="464"/>
      <c r="P2593" s="464"/>
      <c r="Q2593" s="464"/>
      <c r="R2593" s="464"/>
      <c r="S2593" s="464"/>
      <c r="T2593" s="464"/>
      <c r="U2593" s="464"/>
      <c r="V2593" s="464"/>
      <c r="W2593" s="464"/>
      <c r="X2593" s="464"/>
      <c r="Y2593" s="464"/>
      <c r="Z2593" s="464"/>
      <c r="AA2593" s="464"/>
      <c r="AB2593" s="464"/>
      <c r="AC2593" s="464"/>
      <c r="AD2593" s="464"/>
      <c r="AE2593" s="464"/>
      <c r="AF2593" s="464"/>
      <c r="AG2593" s="464"/>
      <c r="AH2593" s="464"/>
      <c r="AI2593" s="464"/>
      <c r="AJ2593" s="464"/>
      <c r="AK2593" s="464"/>
      <c r="AL2593" s="464"/>
      <c r="AM2593" s="464"/>
      <c r="AN2593" s="464"/>
      <c r="AO2593" s="464"/>
      <c r="AP2593" s="464"/>
      <c r="AQ2593" s="464"/>
      <c r="AR2593" s="464"/>
      <c r="AS2593" s="464"/>
      <c r="AT2593" s="464"/>
      <c r="AU2593" s="464"/>
      <c r="AV2593" s="464"/>
      <c r="AW2593" s="464"/>
      <c r="AX2593" s="464"/>
      <c r="AY2593" s="464"/>
      <c r="AZ2593" s="464"/>
      <c r="BA2593" s="464"/>
      <c r="BB2593" s="464"/>
      <c r="BC2593" s="464"/>
      <c r="BD2593" s="464"/>
      <c r="BE2593" s="464"/>
      <c r="BF2593" s="464"/>
      <c r="BG2593" s="464"/>
      <c r="BH2593" s="464"/>
      <c r="BI2593" s="464"/>
      <c r="BJ2593" s="464"/>
      <c r="BK2593" s="464"/>
      <c r="BL2593" s="464"/>
    </row>
    <row r="2594" spans="1:64">
      <c r="A2594" s="458"/>
      <c r="B2594" s="458"/>
      <c r="C2594" s="417" t="s">
        <v>1171</v>
      </c>
      <c r="D2594" s="432">
        <v>33</v>
      </c>
      <c r="E2594" s="406" t="s">
        <v>833</v>
      </c>
      <c r="F2594" s="432">
        <f>[161]LEAD!$N$6</f>
        <v>5200</v>
      </c>
      <c r="G2594" s="431">
        <v>1000</v>
      </c>
      <c r="H2594" s="406" t="s">
        <v>833</v>
      </c>
      <c r="I2594" s="459">
        <f t="shared" si="613"/>
        <v>171.6</v>
      </c>
      <c r="J2594" s="462"/>
      <c r="K2594" s="463"/>
      <c r="L2594" s="463"/>
      <c r="M2594" s="464"/>
      <c r="N2594" s="464"/>
      <c r="O2594" s="464"/>
      <c r="P2594" s="464"/>
      <c r="Q2594" s="464"/>
      <c r="R2594" s="464"/>
      <c r="S2594" s="464"/>
      <c r="T2594" s="464"/>
      <c r="U2594" s="464"/>
      <c r="V2594" s="464"/>
      <c r="W2594" s="464"/>
      <c r="X2594" s="464"/>
      <c r="Y2594" s="464"/>
      <c r="Z2594" s="464"/>
      <c r="AA2594" s="464"/>
      <c r="AB2594" s="464"/>
      <c r="AC2594" s="464"/>
      <c r="AD2594" s="464"/>
      <c r="AE2594" s="464"/>
      <c r="AF2594" s="464"/>
      <c r="AG2594" s="464"/>
      <c r="AH2594" s="464"/>
      <c r="AI2594" s="464"/>
      <c r="AJ2594" s="464"/>
      <c r="AK2594" s="464"/>
      <c r="AL2594" s="464"/>
      <c r="AM2594" s="464"/>
      <c r="AN2594" s="464"/>
      <c r="AO2594" s="464"/>
      <c r="AP2594" s="464"/>
      <c r="AQ2594" s="464"/>
      <c r="AR2594" s="464"/>
      <c r="AS2594" s="464"/>
      <c r="AT2594" s="464"/>
      <c r="AU2594" s="464"/>
      <c r="AV2594" s="464"/>
      <c r="AW2594" s="464"/>
      <c r="AX2594" s="464"/>
      <c r="AY2594" s="464"/>
      <c r="AZ2594" s="464"/>
      <c r="BA2594" s="464"/>
      <c r="BB2594" s="464"/>
      <c r="BC2594" s="464"/>
      <c r="BD2594" s="464"/>
      <c r="BE2594" s="464"/>
      <c r="BF2594" s="464"/>
      <c r="BG2594" s="464"/>
      <c r="BH2594" s="464"/>
      <c r="BI2594" s="464"/>
      <c r="BJ2594" s="464"/>
      <c r="BK2594" s="464"/>
      <c r="BL2594" s="464"/>
    </row>
    <row r="2595" spans="1:64">
      <c r="A2595" s="458"/>
      <c r="B2595" s="458"/>
      <c r="C2595" s="417" t="s">
        <v>1172</v>
      </c>
      <c r="D2595" s="432">
        <v>20</v>
      </c>
      <c r="E2595" s="406" t="s">
        <v>833</v>
      </c>
      <c r="F2595" s="432">
        <f>[161]LEAD!$N$6</f>
        <v>5200</v>
      </c>
      <c r="G2595" s="431">
        <v>1000</v>
      </c>
      <c r="H2595" s="406" t="s">
        <v>833</v>
      </c>
      <c r="I2595" s="459">
        <f t="shared" si="613"/>
        <v>104</v>
      </c>
      <c r="J2595" s="462"/>
      <c r="K2595" s="463"/>
      <c r="L2595" s="463"/>
      <c r="M2595" s="464"/>
      <c r="N2595" s="464"/>
      <c r="O2595" s="464"/>
      <c r="P2595" s="464"/>
      <c r="Q2595" s="464"/>
      <c r="R2595" s="464"/>
      <c r="S2595" s="464"/>
      <c r="T2595" s="464"/>
      <c r="U2595" s="464"/>
      <c r="V2595" s="464"/>
      <c r="W2595" s="464"/>
      <c r="X2595" s="464"/>
      <c r="Y2595" s="464"/>
      <c r="Z2595" s="464"/>
      <c r="AA2595" s="464"/>
      <c r="AB2595" s="464"/>
      <c r="AC2595" s="464"/>
      <c r="AD2595" s="464"/>
      <c r="AE2595" s="464"/>
      <c r="AF2595" s="464"/>
      <c r="AG2595" s="464"/>
      <c r="AH2595" s="464"/>
      <c r="AI2595" s="464"/>
      <c r="AJ2595" s="464"/>
      <c r="AK2595" s="464"/>
      <c r="AL2595" s="464"/>
      <c r="AM2595" s="464"/>
      <c r="AN2595" s="464"/>
      <c r="AO2595" s="464"/>
      <c r="AP2595" s="464"/>
      <c r="AQ2595" s="464"/>
      <c r="AR2595" s="464"/>
      <c r="AS2595" s="464"/>
      <c r="AT2595" s="464"/>
      <c r="AU2595" s="464"/>
      <c r="AV2595" s="464"/>
      <c r="AW2595" s="464"/>
      <c r="AX2595" s="464"/>
      <c r="AY2595" s="464"/>
      <c r="AZ2595" s="464"/>
      <c r="BA2595" s="464"/>
      <c r="BB2595" s="464"/>
      <c r="BC2595" s="464"/>
      <c r="BD2595" s="464"/>
      <c r="BE2595" s="464"/>
      <c r="BF2595" s="464"/>
      <c r="BG2595" s="464"/>
      <c r="BH2595" s="464"/>
      <c r="BI2595" s="464"/>
      <c r="BJ2595" s="464"/>
      <c r="BK2595" s="464"/>
      <c r="BL2595" s="464"/>
    </row>
    <row r="2596" spans="1:64">
      <c r="A2596" s="458"/>
      <c r="B2596" s="458"/>
      <c r="C2596" s="417" t="s">
        <v>1173</v>
      </c>
      <c r="D2596" s="432">
        <v>0.12</v>
      </c>
      <c r="E2596" s="406" t="s">
        <v>57</v>
      </c>
      <c r="F2596" s="432">
        <f>[161]LEAD!$N$13</f>
        <v>2453.91</v>
      </c>
      <c r="G2596" s="431">
        <v>1</v>
      </c>
      <c r="H2596" s="406" t="s">
        <v>57</v>
      </c>
      <c r="I2596" s="459">
        <f t="shared" si="613"/>
        <v>294.46919999999994</v>
      </c>
      <c r="J2596" s="462"/>
      <c r="K2596" s="463"/>
      <c r="L2596" s="463"/>
      <c r="M2596" s="464"/>
      <c r="N2596" s="464"/>
      <c r="O2596" s="464"/>
      <c r="P2596" s="464"/>
      <c r="Q2596" s="464"/>
      <c r="R2596" s="464"/>
      <c r="S2596" s="464"/>
      <c r="T2596" s="464"/>
      <c r="U2596" s="464"/>
      <c r="V2596" s="464"/>
      <c r="W2596" s="464"/>
      <c r="X2596" s="464"/>
      <c r="Y2596" s="464"/>
      <c r="Z2596" s="464"/>
      <c r="AA2596" s="464"/>
      <c r="AB2596" s="464"/>
      <c r="AC2596" s="464"/>
      <c r="AD2596" s="464"/>
      <c r="AE2596" s="464"/>
      <c r="AF2596" s="464"/>
      <c r="AG2596" s="464"/>
      <c r="AH2596" s="464"/>
      <c r="AI2596" s="464"/>
      <c r="AJ2596" s="464"/>
      <c r="AK2596" s="464"/>
      <c r="AL2596" s="464"/>
      <c r="AM2596" s="464"/>
      <c r="AN2596" s="464"/>
      <c r="AO2596" s="464"/>
      <c r="AP2596" s="464"/>
      <c r="AQ2596" s="464"/>
      <c r="AR2596" s="464"/>
      <c r="AS2596" s="464"/>
      <c r="AT2596" s="464"/>
      <c r="AU2596" s="464"/>
      <c r="AV2596" s="464"/>
      <c r="AW2596" s="464"/>
      <c r="AX2596" s="464"/>
      <c r="AY2596" s="464"/>
      <c r="AZ2596" s="464"/>
      <c r="BA2596" s="464"/>
      <c r="BB2596" s="464"/>
      <c r="BC2596" s="464"/>
      <c r="BD2596" s="464"/>
      <c r="BE2596" s="464"/>
      <c r="BF2596" s="464"/>
      <c r="BG2596" s="464"/>
      <c r="BH2596" s="464"/>
      <c r="BI2596" s="464"/>
      <c r="BJ2596" s="464"/>
      <c r="BK2596" s="464"/>
      <c r="BL2596" s="464"/>
    </row>
    <row r="2597" spans="1:64" ht="13">
      <c r="A2597" s="458"/>
      <c r="B2597" s="458"/>
      <c r="C2597" s="427" t="s">
        <v>1073</v>
      </c>
      <c r="D2597" s="432"/>
      <c r="E2597" s="406"/>
      <c r="F2597" s="432"/>
      <c r="G2597" s="431"/>
      <c r="H2597" s="406"/>
      <c r="I2597" s="459"/>
      <c r="J2597" s="462"/>
      <c r="K2597" s="463"/>
      <c r="L2597" s="463"/>
      <c r="M2597" s="464"/>
      <c r="N2597" s="464"/>
      <c r="O2597" s="464"/>
      <c r="P2597" s="464"/>
      <c r="Q2597" s="464"/>
      <c r="R2597" s="464"/>
      <c r="S2597" s="464"/>
      <c r="T2597" s="464"/>
      <c r="U2597" s="464"/>
      <c r="V2597" s="464"/>
      <c r="W2597" s="464"/>
      <c r="X2597" s="464"/>
      <c r="Y2597" s="464"/>
      <c r="Z2597" s="464"/>
      <c r="AA2597" s="464"/>
      <c r="AB2597" s="464"/>
      <c r="AC2597" s="464"/>
      <c r="AD2597" s="464"/>
      <c r="AE2597" s="464"/>
      <c r="AF2597" s="464"/>
      <c r="AG2597" s="464"/>
      <c r="AH2597" s="464"/>
      <c r="AI2597" s="464"/>
      <c r="AJ2597" s="464"/>
      <c r="AK2597" s="464"/>
      <c r="AL2597" s="464"/>
      <c r="AM2597" s="464"/>
      <c r="AN2597" s="464"/>
      <c r="AO2597" s="464"/>
      <c r="AP2597" s="464"/>
      <c r="AQ2597" s="464"/>
      <c r="AR2597" s="464"/>
      <c r="AS2597" s="464"/>
      <c r="AT2597" s="464"/>
      <c r="AU2597" s="464"/>
      <c r="AV2597" s="464"/>
      <c r="AW2597" s="464"/>
      <c r="AX2597" s="464"/>
      <c r="AY2597" s="464"/>
      <c r="AZ2597" s="464"/>
      <c r="BA2597" s="464"/>
      <c r="BB2597" s="464"/>
      <c r="BC2597" s="464"/>
      <c r="BD2597" s="464"/>
      <c r="BE2597" s="464"/>
      <c r="BF2597" s="464"/>
      <c r="BG2597" s="464"/>
      <c r="BH2597" s="464"/>
      <c r="BI2597" s="464"/>
      <c r="BJ2597" s="464"/>
      <c r="BK2597" s="464"/>
      <c r="BL2597" s="464"/>
    </row>
    <row r="2598" spans="1:64">
      <c r="A2598" s="458"/>
      <c r="B2598" s="458"/>
      <c r="C2598" s="417" t="s">
        <v>1044</v>
      </c>
      <c r="D2598" s="432">
        <v>3.1</v>
      </c>
      <c r="E2598" s="406" t="s">
        <v>14</v>
      </c>
      <c r="F2598" s="432">
        <f>'[161]Civil-SOR'!$G$293</f>
        <v>580</v>
      </c>
      <c r="G2598" s="431">
        <v>1</v>
      </c>
      <c r="H2598" s="406" t="s">
        <v>572</v>
      </c>
      <c r="I2598" s="459">
        <f t="shared" ref="I2598:I2602" si="614">IF(G2598="",D2598*F2598,(D2598*F2598/G2598))</f>
        <v>1798</v>
      </c>
      <c r="J2598" s="462"/>
      <c r="K2598" s="463"/>
      <c r="L2598" s="463"/>
      <c r="M2598" s="464"/>
      <c r="N2598" s="464"/>
      <c r="O2598" s="464"/>
      <c r="P2598" s="464"/>
      <c r="Q2598" s="464"/>
      <c r="R2598" s="464"/>
      <c r="S2598" s="464"/>
      <c r="T2598" s="464"/>
      <c r="U2598" s="464"/>
      <c r="V2598" s="464"/>
      <c r="W2598" s="464"/>
      <c r="X2598" s="464"/>
      <c r="Y2598" s="464"/>
      <c r="Z2598" s="464"/>
      <c r="AA2598" s="464"/>
      <c r="AB2598" s="464"/>
      <c r="AC2598" s="464"/>
      <c r="AD2598" s="464"/>
      <c r="AE2598" s="464"/>
      <c r="AF2598" s="464"/>
      <c r="AG2598" s="464"/>
      <c r="AH2598" s="464"/>
      <c r="AI2598" s="464"/>
      <c r="AJ2598" s="464"/>
      <c r="AK2598" s="464"/>
      <c r="AL2598" s="464"/>
      <c r="AM2598" s="464"/>
      <c r="AN2598" s="464"/>
      <c r="AO2598" s="464"/>
      <c r="AP2598" s="464"/>
      <c r="AQ2598" s="464"/>
      <c r="AR2598" s="464"/>
      <c r="AS2598" s="464"/>
      <c r="AT2598" s="464"/>
      <c r="AU2598" s="464"/>
      <c r="AV2598" s="464"/>
      <c r="AW2598" s="464"/>
      <c r="AX2598" s="464"/>
      <c r="AY2598" s="464"/>
      <c r="AZ2598" s="464"/>
      <c r="BA2598" s="464"/>
      <c r="BB2598" s="464"/>
      <c r="BC2598" s="464"/>
      <c r="BD2598" s="464"/>
      <c r="BE2598" s="464"/>
      <c r="BF2598" s="464"/>
      <c r="BG2598" s="464"/>
      <c r="BH2598" s="464"/>
      <c r="BI2598" s="464"/>
      <c r="BJ2598" s="464"/>
      <c r="BK2598" s="464"/>
      <c r="BL2598" s="464"/>
    </row>
    <row r="2599" spans="1:64">
      <c r="A2599" s="458"/>
      <c r="B2599" s="458"/>
      <c r="C2599" s="417" t="s">
        <v>1074</v>
      </c>
      <c r="D2599" s="432">
        <v>1.1000000000000001</v>
      </c>
      <c r="E2599" s="406" t="s">
        <v>14</v>
      </c>
      <c r="F2599" s="432">
        <f>'[161]Civil-SOR'!$G$302</f>
        <v>550</v>
      </c>
      <c r="G2599" s="431">
        <v>1</v>
      </c>
      <c r="H2599" s="406" t="s">
        <v>572</v>
      </c>
      <c r="I2599" s="459">
        <f t="shared" si="614"/>
        <v>605</v>
      </c>
      <c r="J2599" s="462"/>
      <c r="K2599" s="463"/>
      <c r="L2599" s="463"/>
      <c r="M2599" s="464"/>
      <c r="N2599" s="464"/>
      <c r="O2599" s="464"/>
      <c r="P2599" s="464"/>
      <c r="Q2599" s="464"/>
      <c r="R2599" s="464"/>
      <c r="S2599" s="464"/>
      <c r="T2599" s="464"/>
      <c r="U2599" s="464"/>
      <c r="V2599" s="464"/>
      <c r="W2599" s="464"/>
      <c r="X2599" s="464"/>
      <c r="Y2599" s="464"/>
      <c r="Z2599" s="464"/>
      <c r="AA2599" s="464"/>
      <c r="AB2599" s="464"/>
      <c r="AC2599" s="464"/>
      <c r="AD2599" s="464"/>
      <c r="AE2599" s="464"/>
      <c r="AF2599" s="464"/>
      <c r="AG2599" s="464"/>
      <c r="AH2599" s="464"/>
      <c r="AI2599" s="464"/>
      <c r="AJ2599" s="464"/>
      <c r="AK2599" s="464"/>
      <c r="AL2599" s="464"/>
      <c r="AM2599" s="464"/>
      <c r="AN2599" s="464"/>
      <c r="AO2599" s="464"/>
      <c r="AP2599" s="464"/>
      <c r="AQ2599" s="464"/>
      <c r="AR2599" s="464"/>
      <c r="AS2599" s="464"/>
      <c r="AT2599" s="464"/>
      <c r="AU2599" s="464"/>
      <c r="AV2599" s="464"/>
      <c r="AW2599" s="464"/>
      <c r="AX2599" s="464"/>
      <c r="AY2599" s="464"/>
      <c r="AZ2599" s="464"/>
      <c r="BA2599" s="464"/>
      <c r="BB2599" s="464"/>
      <c r="BC2599" s="464"/>
      <c r="BD2599" s="464"/>
      <c r="BE2599" s="464"/>
      <c r="BF2599" s="464"/>
      <c r="BG2599" s="464"/>
      <c r="BH2599" s="464"/>
      <c r="BI2599" s="464"/>
      <c r="BJ2599" s="464"/>
      <c r="BK2599" s="464"/>
      <c r="BL2599" s="464"/>
    </row>
    <row r="2600" spans="1:64">
      <c r="A2600" s="458"/>
      <c r="B2600" s="458"/>
      <c r="C2600" s="417" t="s">
        <v>1174</v>
      </c>
      <c r="D2600" s="432">
        <v>0.86</v>
      </c>
      <c r="E2600" s="406" t="s">
        <v>14</v>
      </c>
      <c r="F2600" s="432">
        <f>'[161]Civil-SOR'!$G$307</f>
        <v>520</v>
      </c>
      <c r="G2600" s="431">
        <v>1</v>
      </c>
      <c r="H2600" s="406" t="s">
        <v>572</v>
      </c>
      <c r="I2600" s="459">
        <f t="shared" si="614"/>
        <v>447.2</v>
      </c>
      <c r="J2600" s="462"/>
      <c r="K2600" s="463"/>
      <c r="L2600" s="463"/>
      <c r="M2600" s="464"/>
      <c r="N2600" s="464"/>
      <c r="O2600" s="464"/>
      <c r="P2600" s="464"/>
      <c r="Q2600" s="464"/>
      <c r="R2600" s="464"/>
      <c r="S2600" s="464"/>
      <c r="T2600" s="464"/>
      <c r="U2600" s="464"/>
      <c r="V2600" s="464"/>
      <c r="W2600" s="464"/>
      <c r="X2600" s="464"/>
      <c r="Y2600" s="464"/>
      <c r="Z2600" s="464"/>
      <c r="AA2600" s="464"/>
      <c r="AB2600" s="464"/>
      <c r="AC2600" s="464"/>
      <c r="AD2600" s="464"/>
      <c r="AE2600" s="464"/>
      <c r="AF2600" s="464"/>
      <c r="AG2600" s="464"/>
      <c r="AH2600" s="464"/>
      <c r="AI2600" s="464"/>
      <c r="AJ2600" s="464"/>
      <c r="AK2600" s="464"/>
      <c r="AL2600" s="464"/>
      <c r="AM2600" s="464"/>
      <c r="AN2600" s="464"/>
      <c r="AO2600" s="464"/>
      <c r="AP2600" s="464"/>
      <c r="AQ2600" s="464"/>
      <c r="AR2600" s="464"/>
      <c r="AS2600" s="464"/>
      <c r="AT2600" s="464"/>
      <c r="AU2600" s="464"/>
      <c r="AV2600" s="464"/>
      <c r="AW2600" s="464"/>
      <c r="AX2600" s="464"/>
      <c r="AY2600" s="464"/>
      <c r="AZ2600" s="464"/>
      <c r="BA2600" s="464"/>
      <c r="BB2600" s="464"/>
      <c r="BC2600" s="464"/>
      <c r="BD2600" s="464"/>
      <c r="BE2600" s="464"/>
      <c r="BF2600" s="464"/>
      <c r="BG2600" s="464"/>
      <c r="BH2600" s="464"/>
      <c r="BI2600" s="464"/>
      <c r="BJ2600" s="464"/>
      <c r="BK2600" s="464"/>
      <c r="BL2600" s="464"/>
    </row>
    <row r="2601" spans="1:64">
      <c r="A2601" s="458"/>
      <c r="B2601" s="458"/>
      <c r="C2601" s="417" t="str">
        <f>[161]Input!$C$47</f>
        <v>Add for MA @ 40%</v>
      </c>
      <c r="D2601" s="622">
        <f>[161]Input!$D$47</f>
        <v>0.4</v>
      </c>
      <c r="E2601" s="406"/>
      <c r="F2601" s="432">
        <f>SUM(I2598:I2600)</f>
        <v>2850.2</v>
      </c>
      <c r="G2601" s="431"/>
      <c r="H2601" s="406"/>
      <c r="I2601" s="459">
        <f t="shared" si="614"/>
        <v>1140.08</v>
      </c>
      <c r="J2601" s="462"/>
      <c r="K2601" s="463"/>
      <c r="L2601" s="463"/>
      <c r="M2601" s="464"/>
      <c r="N2601" s="464"/>
      <c r="O2601" s="464"/>
      <c r="P2601" s="464"/>
      <c r="Q2601" s="464"/>
      <c r="R2601" s="464"/>
      <c r="S2601" s="464"/>
      <c r="T2601" s="464"/>
      <c r="U2601" s="464"/>
      <c r="V2601" s="464"/>
      <c r="W2601" s="464"/>
      <c r="X2601" s="464"/>
      <c r="Y2601" s="464"/>
      <c r="Z2601" s="464"/>
      <c r="AA2601" s="464"/>
      <c r="AB2601" s="464"/>
      <c r="AC2601" s="464"/>
      <c r="AD2601" s="464"/>
      <c r="AE2601" s="464"/>
      <c r="AF2601" s="464"/>
      <c r="AG2601" s="464"/>
      <c r="AH2601" s="464"/>
      <c r="AI2601" s="464"/>
      <c r="AJ2601" s="464"/>
      <c r="AK2601" s="464"/>
      <c r="AL2601" s="464"/>
      <c r="AM2601" s="464"/>
      <c r="AN2601" s="464"/>
      <c r="AO2601" s="464"/>
      <c r="AP2601" s="464"/>
      <c r="AQ2601" s="464"/>
      <c r="AR2601" s="464"/>
      <c r="AS2601" s="464"/>
      <c r="AT2601" s="464"/>
      <c r="AU2601" s="464"/>
      <c r="AV2601" s="464"/>
      <c r="AW2601" s="464"/>
      <c r="AX2601" s="464"/>
      <c r="AY2601" s="464"/>
      <c r="AZ2601" s="464"/>
      <c r="BA2601" s="464"/>
      <c r="BB2601" s="464"/>
      <c r="BC2601" s="464"/>
      <c r="BD2601" s="464"/>
      <c r="BE2601" s="464"/>
      <c r="BF2601" s="464"/>
      <c r="BG2601" s="464"/>
      <c r="BH2601" s="464"/>
      <c r="BI2601" s="464"/>
      <c r="BJ2601" s="464"/>
      <c r="BK2601" s="464"/>
      <c r="BL2601" s="464"/>
    </row>
    <row r="2602" spans="1:64">
      <c r="A2602" s="458"/>
      <c r="B2602" s="458"/>
      <c r="C2602" s="417" t="s">
        <v>1046</v>
      </c>
      <c r="D2602" s="432">
        <v>0.01</v>
      </c>
      <c r="E2602" s="406"/>
      <c r="F2602" s="432">
        <f>SUM(I2592:I2601)</f>
        <v>7648.9281999999994</v>
      </c>
      <c r="G2602" s="431"/>
      <c r="H2602" s="406"/>
      <c r="I2602" s="459">
        <f t="shared" si="614"/>
        <v>76.489281999999989</v>
      </c>
      <c r="J2602" s="462"/>
      <c r="K2602" s="463"/>
      <c r="L2602" s="463"/>
      <c r="M2602" s="464"/>
      <c r="N2602" s="464"/>
      <c r="O2602" s="464"/>
      <c r="P2602" s="464"/>
      <c r="Q2602" s="464"/>
      <c r="R2602" s="464"/>
      <c r="S2602" s="464"/>
      <c r="T2602" s="464"/>
      <c r="U2602" s="464"/>
      <c r="V2602" s="464"/>
      <c r="W2602" s="464"/>
      <c r="X2602" s="464"/>
      <c r="Y2602" s="464"/>
      <c r="Z2602" s="464"/>
      <c r="AA2602" s="464"/>
      <c r="AB2602" s="464"/>
      <c r="AC2602" s="464"/>
      <c r="AD2602" s="464"/>
      <c r="AE2602" s="464"/>
      <c r="AF2602" s="464"/>
      <c r="AG2602" s="464"/>
      <c r="AH2602" s="464"/>
      <c r="AI2602" s="464"/>
      <c r="AJ2602" s="464"/>
      <c r="AK2602" s="464"/>
      <c r="AL2602" s="464"/>
      <c r="AM2602" s="464"/>
      <c r="AN2602" s="464"/>
      <c r="AO2602" s="464"/>
      <c r="AP2602" s="464"/>
      <c r="AQ2602" s="464"/>
      <c r="AR2602" s="464"/>
      <c r="AS2602" s="464"/>
      <c r="AT2602" s="464"/>
      <c r="AU2602" s="464"/>
      <c r="AV2602" s="464"/>
      <c r="AW2602" s="464"/>
      <c r="AX2602" s="464"/>
      <c r="AY2602" s="464"/>
      <c r="AZ2602" s="464"/>
      <c r="BA2602" s="464"/>
      <c r="BB2602" s="464"/>
      <c r="BC2602" s="464"/>
      <c r="BD2602" s="464"/>
      <c r="BE2602" s="464"/>
      <c r="BF2602" s="464"/>
      <c r="BG2602" s="464"/>
      <c r="BH2602" s="464"/>
      <c r="BI2602" s="464"/>
      <c r="BJ2602" s="464"/>
      <c r="BK2602" s="464"/>
      <c r="BL2602" s="464"/>
    </row>
    <row r="2603" spans="1:64" ht="13">
      <c r="A2603" s="454"/>
      <c r="B2603" s="454"/>
      <c r="C2603" s="666" t="s">
        <v>1175</v>
      </c>
      <c r="D2603" s="409"/>
      <c r="E2603" s="426"/>
      <c r="F2603" s="409"/>
      <c r="G2603" s="410"/>
      <c r="H2603" s="426"/>
      <c r="I2603" s="414">
        <f>SUM(I2592:I2602)</f>
        <v>7725.4174819999989</v>
      </c>
      <c r="J2603" s="411"/>
      <c r="K2603" s="412"/>
      <c r="L2603" s="412"/>
      <c r="M2603" s="413"/>
      <c r="N2603" s="413"/>
      <c r="O2603" s="413"/>
      <c r="P2603" s="413"/>
      <c r="Q2603" s="413"/>
      <c r="R2603" s="413"/>
      <c r="S2603" s="413"/>
      <c r="T2603" s="413"/>
      <c r="U2603" s="413"/>
      <c r="V2603" s="413"/>
      <c r="W2603" s="413"/>
      <c r="X2603" s="413"/>
      <c r="Y2603" s="413"/>
      <c r="Z2603" s="413"/>
      <c r="AA2603" s="413"/>
      <c r="AB2603" s="413"/>
      <c r="AC2603" s="413"/>
      <c r="AD2603" s="413"/>
      <c r="AE2603" s="413"/>
      <c r="AF2603" s="413"/>
      <c r="AG2603" s="413"/>
      <c r="AH2603" s="413"/>
      <c r="AI2603" s="413"/>
      <c r="AJ2603" s="413"/>
      <c r="AK2603" s="413"/>
      <c r="AL2603" s="413"/>
      <c r="AM2603" s="413"/>
      <c r="AN2603" s="413"/>
      <c r="AO2603" s="413"/>
      <c r="AP2603" s="413"/>
      <c r="AQ2603" s="413"/>
      <c r="AR2603" s="413"/>
      <c r="AS2603" s="413"/>
      <c r="AT2603" s="413"/>
      <c r="AU2603" s="413"/>
      <c r="AV2603" s="413"/>
      <c r="AW2603" s="413"/>
      <c r="AX2603" s="413"/>
      <c r="AY2603" s="413"/>
      <c r="AZ2603" s="413"/>
      <c r="BA2603" s="413"/>
      <c r="BB2603" s="413"/>
      <c r="BC2603" s="413"/>
      <c r="BD2603" s="413"/>
      <c r="BE2603" s="413"/>
      <c r="BF2603" s="413"/>
      <c r="BG2603" s="413"/>
      <c r="BH2603" s="413"/>
      <c r="BI2603" s="413"/>
      <c r="BJ2603" s="413"/>
      <c r="BK2603" s="413"/>
      <c r="BL2603" s="413"/>
    </row>
    <row r="2604" spans="1:64" ht="13">
      <c r="A2604" s="454"/>
      <c r="B2604" s="454"/>
      <c r="C2604" s="433"/>
      <c r="D2604" s="409"/>
      <c r="E2604" s="426"/>
      <c r="F2604" s="409"/>
      <c r="G2604" s="410"/>
      <c r="H2604" s="426"/>
      <c r="I2604" s="408"/>
      <c r="J2604" s="400"/>
      <c r="K2604" s="401"/>
      <c r="L2604" s="401"/>
      <c r="M2604" s="404"/>
      <c r="N2604" s="404"/>
      <c r="O2604" s="404"/>
      <c r="P2604" s="404"/>
      <c r="Q2604" s="404"/>
      <c r="R2604" s="404"/>
      <c r="S2604" s="404"/>
      <c r="T2604" s="404"/>
      <c r="U2604" s="404"/>
      <c r="V2604" s="404"/>
      <c r="W2604" s="404"/>
      <c r="X2604" s="404"/>
      <c r="Y2604" s="404"/>
      <c r="Z2604" s="404"/>
      <c r="AA2604" s="404"/>
      <c r="AB2604" s="404"/>
      <c r="AC2604" s="404"/>
      <c r="AD2604" s="404"/>
      <c r="AE2604" s="404"/>
      <c r="AF2604" s="404"/>
      <c r="AG2604" s="404"/>
      <c r="AH2604" s="404"/>
      <c r="AI2604" s="404"/>
      <c r="AJ2604" s="404"/>
      <c r="AK2604" s="404"/>
      <c r="AL2604" s="404"/>
      <c r="AM2604" s="404"/>
      <c r="AN2604" s="404"/>
      <c r="AO2604" s="404"/>
      <c r="AP2604" s="404"/>
      <c r="AQ2604" s="404"/>
      <c r="AR2604" s="404"/>
      <c r="AS2604" s="404"/>
      <c r="AT2604" s="404"/>
      <c r="AU2604" s="404"/>
      <c r="AV2604" s="404"/>
      <c r="AW2604" s="404"/>
      <c r="AX2604" s="404"/>
      <c r="AY2604" s="404"/>
      <c r="AZ2604" s="404"/>
      <c r="BA2604" s="404"/>
      <c r="BB2604" s="404"/>
      <c r="BC2604" s="404"/>
      <c r="BD2604" s="404"/>
      <c r="BE2604" s="404"/>
      <c r="BF2604" s="404"/>
      <c r="BG2604" s="404"/>
      <c r="BH2604" s="404"/>
      <c r="BI2604" s="404"/>
      <c r="BJ2604" s="404"/>
      <c r="BK2604" s="404"/>
      <c r="BL2604" s="404"/>
    </row>
    <row r="2605" spans="1:64" ht="13">
      <c r="A2605" s="454"/>
      <c r="B2605" s="454"/>
      <c r="C2605" s="427" t="s">
        <v>1176</v>
      </c>
      <c r="D2605" s="414" t="s">
        <v>959</v>
      </c>
      <c r="E2605" s="416" t="s">
        <v>943</v>
      </c>
      <c r="F2605" s="415" t="s">
        <v>944</v>
      </c>
      <c r="G2605" s="414" t="s">
        <v>1036</v>
      </c>
      <c r="H2605" s="414" t="s">
        <v>1037</v>
      </c>
      <c r="I2605" s="414" t="s">
        <v>1038</v>
      </c>
      <c r="J2605" s="657" t="s">
        <v>1118</v>
      </c>
      <c r="K2605" s="631" t="s">
        <v>1119</v>
      </c>
      <c r="L2605" s="631" t="s">
        <v>1120</v>
      </c>
      <c r="M2605" s="404"/>
      <c r="N2605" s="404"/>
      <c r="O2605" s="404"/>
      <c r="P2605" s="404"/>
      <c r="Q2605" s="404"/>
      <c r="R2605" s="404"/>
      <c r="S2605" s="404"/>
      <c r="T2605" s="404"/>
      <c r="U2605" s="404"/>
      <c r="V2605" s="404"/>
      <c r="W2605" s="404"/>
      <c r="X2605" s="404"/>
      <c r="Y2605" s="404"/>
      <c r="Z2605" s="404"/>
      <c r="AA2605" s="404"/>
      <c r="AB2605" s="404"/>
      <c r="AC2605" s="404"/>
      <c r="AD2605" s="404"/>
      <c r="AE2605" s="404"/>
      <c r="AF2605" s="404"/>
      <c r="AG2605" s="404"/>
      <c r="AH2605" s="404"/>
      <c r="AI2605" s="404"/>
      <c r="AJ2605" s="404"/>
      <c r="AK2605" s="404"/>
      <c r="AL2605" s="404"/>
      <c r="AM2605" s="404"/>
      <c r="AN2605" s="404"/>
      <c r="AO2605" s="404"/>
      <c r="AP2605" s="404"/>
      <c r="AQ2605" s="404"/>
      <c r="AR2605" s="404"/>
      <c r="AS2605" s="404"/>
      <c r="AT2605" s="404"/>
      <c r="AU2605" s="404"/>
      <c r="AV2605" s="404"/>
      <c r="AW2605" s="404"/>
      <c r="AX2605" s="404"/>
      <c r="AY2605" s="404"/>
      <c r="AZ2605" s="404"/>
      <c r="BA2605" s="404"/>
      <c r="BB2605" s="404"/>
      <c r="BC2605" s="404"/>
      <c r="BD2605" s="404"/>
      <c r="BE2605" s="404"/>
      <c r="BF2605" s="404"/>
      <c r="BG2605" s="404"/>
      <c r="BH2605" s="404"/>
      <c r="BI2605" s="404"/>
      <c r="BJ2605" s="404"/>
      <c r="BK2605" s="404"/>
      <c r="BL2605" s="404"/>
    </row>
    <row r="2606" spans="1:64">
      <c r="A2606" s="454"/>
      <c r="B2606" s="454"/>
      <c r="C2606" s="417" t="s">
        <v>1064</v>
      </c>
      <c r="D2606" s="408">
        <f t="shared" ref="D2606:L2606" si="615">$I$2603</f>
        <v>7725.4174819999989</v>
      </c>
      <c r="E2606" s="408">
        <f t="shared" si="615"/>
        <v>7725.4174819999989</v>
      </c>
      <c r="F2606" s="408">
        <f t="shared" si="615"/>
        <v>7725.4174819999989</v>
      </c>
      <c r="G2606" s="408">
        <f t="shared" si="615"/>
        <v>7725.4174819999989</v>
      </c>
      <c r="H2606" s="408">
        <f t="shared" si="615"/>
        <v>7725.4174819999989</v>
      </c>
      <c r="I2606" s="408">
        <f t="shared" si="615"/>
        <v>7725.4174819999989</v>
      </c>
      <c r="J2606" s="575">
        <f t="shared" si="615"/>
        <v>7725.4174819999989</v>
      </c>
      <c r="K2606" s="644">
        <f t="shared" si="615"/>
        <v>7725.4174819999989</v>
      </c>
      <c r="L2606" s="644">
        <f t="shared" si="615"/>
        <v>7725.4174819999989</v>
      </c>
      <c r="M2606" s="404"/>
      <c r="N2606" s="404"/>
      <c r="O2606" s="404"/>
      <c r="P2606" s="404"/>
      <c r="Q2606" s="404"/>
      <c r="R2606" s="404"/>
      <c r="S2606" s="404"/>
      <c r="T2606" s="404"/>
      <c r="U2606" s="404"/>
      <c r="V2606" s="404"/>
      <c r="W2606" s="404"/>
      <c r="X2606" s="404"/>
      <c r="Y2606" s="404"/>
      <c r="Z2606" s="404"/>
      <c r="AA2606" s="404"/>
      <c r="AB2606" s="404"/>
      <c r="AC2606" s="404"/>
      <c r="AD2606" s="404"/>
      <c r="AE2606" s="404"/>
      <c r="AF2606" s="404"/>
      <c r="AG2606" s="404"/>
      <c r="AH2606" s="404"/>
      <c r="AI2606" s="404"/>
      <c r="AJ2606" s="404"/>
      <c r="AK2606" s="404"/>
      <c r="AL2606" s="404"/>
      <c r="AM2606" s="404"/>
      <c r="AN2606" s="404"/>
      <c r="AO2606" s="404"/>
      <c r="AP2606" s="404"/>
      <c r="AQ2606" s="404"/>
      <c r="AR2606" s="404"/>
      <c r="AS2606" s="404"/>
      <c r="AT2606" s="404"/>
      <c r="AU2606" s="404"/>
      <c r="AV2606" s="404"/>
      <c r="AW2606" s="404"/>
      <c r="AX2606" s="404"/>
      <c r="AY2606" s="404"/>
      <c r="AZ2606" s="404"/>
      <c r="BA2606" s="404"/>
      <c r="BB2606" s="404"/>
      <c r="BC2606" s="404"/>
      <c r="BD2606" s="404"/>
      <c r="BE2606" s="404"/>
      <c r="BF2606" s="404"/>
      <c r="BG2606" s="404"/>
      <c r="BH2606" s="404"/>
      <c r="BI2606" s="404"/>
      <c r="BJ2606" s="404"/>
      <c r="BK2606" s="404"/>
      <c r="BL2606" s="404"/>
    </row>
    <row r="2607" spans="1:64">
      <c r="A2607" s="454"/>
      <c r="B2607" s="454"/>
      <c r="C2607" s="417" t="s">
        <v>994</v>
      </c>
      <c r="D2607" s="408">
        <v>0</v>
      </c>
      <c r="E2607" s="408">
        <f>ROUND($F$2601*10%,2)</f>
        <v>285.02</v>
      </c>
      <c r="F2607" s="408">
        <f>ROUND($F$2601*20%,2)</f>
        <v>570.04</v>
      </c>
      <c r="G2607" s="408">
        <f>ROUND($F$2601*30%,2)</f>
        <v>855.06</v>
      </c>
      <c r="H2607" s="408">
        <f>ROUND($F$2601*40%,2)</f>
        <v>1140.08</v>
      </c>
      <c r="I2607" s="408">
        <f>ROUND($F$2601*50%,2)</f>
        <v>1425.1</v>
      </c>
      <c r="J2607" s="575">
        <f>ROUND($F$2601*60%,2)</f>
        <v>1710.12</v>
      </c>
      <c r="K2607" s="644">
        <f>ROUND($F$2601*70%,2)</f>
        <v>1995.14</v>
      </c>
      <c r="L2607" s="644">
        <f>ROUND($F$2601*80%,2)</f>
        <v>2280.16</v>
      </c>
      <c r="M2607" s="404"/>
      <c r="N2607" s="404"/>
      <c r="O2607" s="404"/>
      <c r="P2607" s="404"/>
      <c r="Q2607" s="404"/>
      <c r="R2607" s="404"/>
      <c r="S2607" s="404"/>
      <c r="T2607" s="404"/>
      <c r="U2607" s="404"/>
      <c r="V2607" s="404"/>
      <c r="W2607" s="404"/>
      <c r="X2607" s="404"/>
      <c r="Y2607" s="404"/>
      <c r="Z2607" s="404"/>
      <c r="AA2607" s="404"/>
      <c r="AB2607" s="404"/>
      <c r="AC2607" s="404"/>
      <c r="AD2607" s="404"/>
      <c r="AE2607" s="404"/>
      <c r="AF2607" s="404"/>
      <c r="AG2607" s="404"/>
      <c r="AH2607" s="404"/>
      <c r="AI2607" s="404"/>
      <c r="AJ2607" s="404"/>
      <c r="AK2607" s="404"/>
      <c r="AL2607" s="404"/>
      <c r="AM2607" s="404"/>
      <c r="AN2607" s="404"/>
      <c r="AO2607" s="404"/>
      <c r="AP2607" s="404"/>
      <c r="AQ2607" s="404"/>
      <c r="AR2607" s="404"/>
      <c r="AS2607" s="404"/>
      <c r="AT2607" s="404"/>
      <c r="AU2607" s="404"/>
      <c r="AV2607" s="404"/>
      <c r="AW2607" s="404"/>
      <c r="AX2607" s="404"/>
      <c r="AY2607" s="404"/>
      <c r="AZ2607" s="404"/>
      <c r="BA2607" s="404"/>
      <c r="BB2607" s="404"/>
      <c r="BC2607" s="404"/>
      <c r="BD2607" s="404"/>
      <c r="BE2607" s="404"/>
      <c r="BF2607" s="404"/>
      <c r="BG2607" s="404"/>
      <c r="BH2607" s="404"/>
      <c r="BI2607" s="404"/>
      <c r="BJ2607" s="404"/>
      <c r="BK2607" s="404"/>
      <c r="BL2607" s="404"/>
    </row>
    <row r="2608" spans="1:64">
      <c r="A2608" s="454"/>
      <c r="B2608" s="454"/>
      <c r="C2608" s="417" t="str">
        <f>[161]Input!$C$47</f>
        <v>Add for MA @ 40%</v>
      </c>
      <c r="D2608" s="408">
        <f>D2607*[161]Input!$D$47</f>
        <v>0</v>
      </c>
      <c r="E2608" s="408">
        <f>E2607*[161]Input!$D$47</f>
        <v>114.008</v>
      </c>
      <c r="F2608" s="408">
        <f>F2607*[161]Input!$D$47</f>
        <v>228.01599999999999</v>
      </c>
      <c r="G2608" s="408">
        <f>G2607*[161]Input!$D$47</f>
        <v>342.024</v>
      </c>
      <c r="H2608" s="408">
        <f>H2607*[161]Input!$D$47</f>
        <v>456.03199999999998</v>
      </c>
      <c r="I2608" s="408">
        <f>I2607*[161]Input!$D$47</f>
        <v>570.04</v>
      </c>
      <c r="J2608" s="575">
        <f>J2607*[161]Input!$D$47</f>
        <v>684.048</v>
      </c>
      <c r="K2608" s="644">
        <f>K2607*[161]Input!$D$47</f>
        <v>798.05600000000004</v>
      </c>
      <c r="L2608" s="644">
        <f>L2607*[161]Input!$D$47</f>
        <v>912.06399999999996</v>
      </c>
      <c r="M2608" s="404"/>
      <c r="N2608" s="404"/>
      <c r="O2608" s="404"/>
      <c r="P2608" s="404"/>
      <c r="Q2608" s="404"/>
      <c r="R2608" s="404"/>
      <c r="S2608" s="404"/>
      <c r="T2608" s="404"/>
      <c r="U2608" s="404"/>
      <c r="V2608" s="404"/>
      <c r="W2608" s="404"/>
      <c r="X2608" s="404"/>
      <c r="Y2608" s="404"/>
      <c r="Z2608" s="404"/>
      <c r="AA2608" s="404"/>
      <c r="AB2608" s="404"/>
      <c r="AC2608" s="404"/>
      <c r="AD2608" s="404"/>
      <c r="AE2608" s="404"/>
      <c r="AF2608" s="404"/>
      <c r="AG2608" s="404"/>
      <c r="AH2608" s="404"/>
      <c r="AI2608" s="404"/>
      <c r="AJ2608" s="404"/>
      <c r="AK2608" s="404"/>
      <c r="AL2608" s="404"/>
      <c r="AM2608" s="404"/>
      <c r="AN2608" s="404"/>
      <c r="AO2608" s="404"/>
      <c r="AP2608" s="404"/>
      <c r="AQ2608" s="404"/>
      <c r="AR2608" s="404"/>
      <c r="AS2608" s="404"/>
      <c r="AT2608" s="404"/>
      <c r="AU2608" s="404"/>
      <c r="AV2608" s="404"/>
      <c r="AW2608" s="404"/>
      <c r="AX2608" s="404"/>
      <c r="AY2608" s="404"/>
      <c r="AZ2608" s="404"/>
      <c r="BA2608" s="404"/>
      <c r="BB2608" s="404"/>
      <c r="BC2608" s="404"/>
      <c r="BD2608" s="404"/>
      <c r="BE2608" s="404"/>
      <c r="BF2608" s="404"/>
      <c r="BG2608" s="404"/>
      <c r="BH2608" s="404"/>
      <c r="BI2608" s="404"/>
      <c r="BJ2608" s="404"/>
      <c r="BK2608" s="404"/>
      <c r="BL2608" s="404"/>
    </row>
    <row r="2609" spans="1:64">
      <c r="A2609" s="454"/>
      <c r="B2609" s="454"/>
      <c r="C2609" s="469"/>
      <c r="D2609" s="408">
        <f t="shared" ref="D2609:L2609" si="616">SUM(D2606:D2608)</f>
        <v>7725.4174819999989</v>
      </c>
      <c r="E2609" s="408">
        <f t="shared" si="616"/>
        <v>8124.4454819999992</v>
      </c>
      <c r="F2609" s="408">
        <f t="shared" si="616"/>
        <v>8523.4734819999976</v>
      </c>
      <c r="G2609" s="408">
        <f t="shared" si="616"/>
        <v>8922.5014819999978</v>
      </c>
      <c r="H2609" s="408">
        <f t="shared" si="616"/>
        <v>9321.5294819999981</v>
      </c>
      <c r="I2609" s="408">
        <f t="shared" si="616"/>
        <v>9720.5574820000002</v>
      </c>
      <c r="J2609" s="575">
        <f t="shared" si="616"/>
        <v>10119.585482</v>
      </c>
      <c r="K2609" s="644">
        <f t="shared" si="616"/>
        <v>10518.613481999999</v>
      </c>
      <c r="L2609" s="644">
        <f t="shared" si="616"/>
        <v>10917.641481999999</v>
      </c>
      <c r="M2609" s="404"/>
      <c r="N2609" s="404"/>
      <c r="O2609" s="404"/>
      <c r="P2609" s="404"/>
      <c r="Q2609" s="404"/>
      <c r="R2609" s="404"/>
      <c r="S2609" s="404"/>
      <c r="T2609" s="404"/>
      <c r="U2609" s="404"/>
      <c r="V2609" s="404"/>
      <c r="W2609" s="404"/>
      <c r="X2609" s="404"/>
      <c r="Y2609" s="404"/>
      <c r="Z2609" s="404"/>
      <c r="AA2609" s="404"/>
      <c r="AB2609" s="404"/>
      <c r="AC2609" s="404"/>
      <c r="AD2609" s="404"/>
      <c r="AE2609" s="404"/>
      <c r="AF2609" s="404"/>
      <c r="AG2609" s="404"/>
      <c r="AH2609" s="404"/>
      <c r="AI2609" s="404"/>
      <c r="AJ2609" s="404"/>
      <c r="AK2609" s="404"/>
      <c r="AL2609" s="404"/>
      <c r="AM2609" s="404"/>
      <c r="AN2609" s="404"/>
      <c r="AO2609" s="404"/>
      <c r="AP2609" s="404"/>
      <c r="AQ2609" s="404"/>
      <c r="AR2609" s="404"/>
      <c r="AS2609" s="404"/>
      <c r="AT2609" s="404"/>
      <c r="AU2609" s="404"/>
      <c r="AV2609" s="404"/>
      <c r="AW2609" s="404"/>
      <c r="AX2609" s="404"/>
      <c r="AY2609" s="404"/>
      <c r="AZ2609" s="404"/>
      <c r="BA2609" s="404"/>
      <c r="BB2609" s="404"/>
      <c r="BC2609" s="404"/>
      <c r="BD2609" s="404"/>
      <c r="BE2609" s="404"/>
      <c r="BF2609" s="404"/>
      <c r="BG2609" s="404"/>
      <c r="BH2609" s="404"/>
      <c r="BI2609" s="404"/>
      <c r="BJ2609" s="404"/>
      <c r="BK2609" s="404"/>
      <c r="BL2609" s="404"/>
    </row>
    <row r="2610" spans="1:64" ht="25">
      <c r="A2610" s="454"/>
      <c r="B2610" s="454"/>
      <c r="C2610" s="417" t="str">
        <f>[161]Input!$C$48</f>
        <v>Overheads &amp; Contractors Profit @ 13.615%</v>
      </c>
      <c r="D2610" s="408">
        <f>ROUND(D2609*[161]Input!$D$48,2)</f>
        <v>1051.82</v>
      </c>
      <c r="E2610" s="408">
        <f>ROUND(E2609*[161]Input!$D$48,2)</f>
        <v>1106.1400000000001</v>
      </c>
      <c r="F2610" s="408">
        <f>ROUND(F2609*[161]Input!$D$48,2)</f>
        <v>1160.47</v>
      </c>
      <c r="G2610" s="408">
        <f>ROUND(G2609*[161]Input!$D$48,2)</f>
        <v>1214.8</v>
      </c>
      <c r="H2610" s="408">
        <f>ROUND(H2609*[161]Input!$D$48,2)</f>
        <v>1269.1300000000001</v>
      </c>
      <c r="I2610" s="408">
        <f>ROUND(I2609*[161]Input!$D$48,2)</f>
        <v>1323.45</v>
      </c>
      <c r="J2610" s="575">
        <f>ROUND(J2609*[161]Input!$D$48,2)</f>
        <v>1377.78</v>
      </c>
      <c r="K2610" s="644">
        <f>ROUND(K2609*[161]Input!$D$48,2)</f>
        <v>1432.11</v>
      </c>
      <c r="L2610" s="644">
        <f>ROUND(L2609*[161]Input!$D$48,2)</f>
        <v>1486.44</v>
      </c>
      <c r="M2610" s="404"/>
      <c r="N2610" s="404"/>
      <c r="O2610" s="404"/>
      <c r="P2610" s="404"/>
      <c r="Q2610" s="404"/>
      <c r="R2610" s="404"/>
      <c r="S2610" s="404"/>
      <c r="T2610" s="404"/>
      <c r="U2610" s="404"/>
      <c r="V2610" s="404"/>
      <c r="W2610" s="404"/>
      <c r="X2610" s="404"/>
      <c r="Y2610" s="404"/>
      <c r="Z2610" s="404"/>
      <c r="AA2610" s="404"/>
      <c r="AB2610" s="404"/>
      <c r="AC2610" s="404"/>
      <c r="AD2610" s="404"/>
      <c r="AE2610" s="404"/>
      <c r="AF2610" s="404"/>
      <c r="AG2610" s="404"/>
      <c r="AH2610" s="404"/>
      <c r="AI2610" s="404"/>
      <c r="AJ2610" s="404"/>
      <c r="AK2610" s="404"/>
      <c r="AL2610" s="404"/>
      <c r="AM2610" s="404"/>
      <c r="AN2610" s="404"/>
      <c r="AO2610" s="404"/>
      <c r="AP2610" s="404"/>
      <c r="AQ2610" s="404"/>
      <c r="AR2610" s="404"/>
      <c r="AS2610" s="404"/>
      <c r="AT2610" s="404"/>
      <c r="AU2610" s="404"/>
      <c r="AV2610" s="404"/>
      <c r="AW2610" s="404"/>
      <c r="AX2610" s="404"/>
      <c r="AY2610" s="404"/>
      <c r="AZ2610" s="404"/>
      <c r="BA2610" s="404"/>
      <c r="BB2610" s="404"/>
      <c r="BC2610" s="404"/>
      <c r="BD2610" s="404"/>
      <c r="BE2610" s="404"/>
      <c r="BF2610" s="404"/>
      <c r="BG2610" s="404"/>
      <c r="BH2610" s="404"/>
      <c r="BI2610" s="404"/>
      <c r="BJ2610" s="404"/>
      <c r="BK2610" s="404"/>
      <c r="BL2610" s="404"/>
    </row>
    <row r="2611" spans="1:64" ht="13">
      <c r="A2611" s="454"/>
      <c r="B2611" s="454"/>
      <c r="C2611" s="427" t="s">
        <v>1047</v>
      </c>
      <c r="D2611" s="414">
        <f t="shared" ref="D2611:L2611" si="617">SUM(D2609:D2610)</f>
        <v>8777.2374819999986</v>
      </c>
      <c r="E2611" s="414">
        <f t="shared" si="617"/>
        <v>9230.5854819999986</v>
      </c>
      <c r="F2611" s="414">
        <f t="shared" si="617"/>
        <v>9683.9434819999969</v>
      </c>
      <c r="G2611" s="414">
        <f t="shared" si="617"/>
        <v>10137.301481999997</v>
      </c>
      <c r="H2611" s="414">
        <f t="shared" si="617"/>
        <v>10590.659481999999</v>
      </c>
      <c r="I2611" s="414">
        <f t="shared" si="617"/>
        <v>11044.007482000001</v>
      </c>
      <c r="J2611" s="657">
        <f t="shared" si="617"/>
        <v>11497.365482000001</v>
      </c>
      <c r="K2611" s="631">
        <f t="shared" si="617"/>
        <v>11950.723481999999</v>
      </c>
      <c r="L2611" s="631">
        <f t="shared" si="617"/>
        <v>12404.081482</v>
      </c>
      <c r="M2611" s="404"/>
      <c r="N2611" s="404"/>
      <c r="O2611" s="404"/>
      <c r="P2611" s="404"/>
      <c r="Q2611" s="404"/>
      <c r="R2611" s="404"/>
      <c r="S2611" s="404"/>
      <c r="T2611" s="404"/>
      <c r="U2611" s="404"/>
      <c r="V2611" s="404"/>
      <c r="W2611" s="404"/>
      <c r="X2611" s="404"/>
      <c r="Y2611" s="404"/>
      <c r="Z2611" s="404"/>
      <c r="AA2611" s="404"/>
      <c r="AB2611" s="404"/>
      <c r="AC2611" s="404"/>
      <c r="AD2611" s="404"/>
      <c r="AE2611" s="404"/>
      <c r="AF2611" s="404"/>
      <c r="AG2611" s="404"/>
      <c r="AH2611" s="404"/>
      <c r="AI2611" s="404"/>
      <c r="AJ2611" s="404"/>
      <c r="AK2611" s="404"/>
      <c r="AL2611" s="404"/>
      <c r="AM2611" s="404"/>
      <c r="AN2611" s="404"/>
      <c r="AO2611" s="404"/>
      <c r="AP2611" s="404"/>
      <c r="AQ2611" s="404"/>
      <c r="AR2611" s="404"/>
      <c r="AS2611" s="404"/>
      <c r="AT2611" s="404"/>
      <c r="AU2611" s="404"/>
      <c r="AV2611" s="404"/>
      <c r="AW2611" s="404"/>
      <c r="AX2611" s="404"/>
      <c r="AY2611" s="404"/>
      <c r="AZ2611" s="404"/>
      <c r="BA2611" s="404"/>
      <c r="BB2611" s="404"/>
      <c r="BC2611" s="404"/>
      <c r="BD2611" s="404"/>
      <c r="BE2611" s="404"/>
      <c r="BF2611" s="404"/>
      <c r="BG2611" s="404"/>
      <c r="BH2611" s="404"/>
      <c r="BI2611" s="404"/>
      <c r="BJ2611" s="404"/>
      <c r="BK2611" s="404"/>
      <c r="BL2611" s="404"/>
    </row>
    <row r="2612" spans="1:64" ht="13">
      <c r="A2612" s="454"/>
      <c r="B2612" s="454"/>
      <c r="C2612" s="427" t="s">
        <v>845</v>
      </c>
      <c r="D2612" s="414">
        <f t="shared" ref="D2612:L2612" si="618">D2611/10</f>
        <v>877.72374819999982</v>
      </c>
      <c r="E2612" s="414">
        <f t="shared" si="618"/>
        <v>923.0585481999999</v>
      </c>
      <c r="F2612" s="414">
        <f t="shared" si="618"/>
        <v>968.39434819999974</v>
      </c>
      <c r="G2612" s="414">
        <f t="shared" si="618"/>
        <v>1013.7301481999997</v>
      </c>
      <c r="H2612" s="414">
        <f t="shared" si="618"/>
        <v>1059.0659481999999</v>
      </c>
      <c r="I2612" s="414">
        <f t="shared" si="618"/>
        <v>1104.4007482000002</v>
      </c>
      <c r="J2612" s="657">
        <f t="shared" si="618"/>
        <v>1149.7365482</v>
      </c>
      <c r="K2612" s="631">
        <f t="shared" si="618"/>
        <v>1195.0723481999999</v>
      </c>
      <c r="L2612" s="631">
        <f t="shared" si="618"/>
        <v>1240.4081481999999</v>
      </c>
      <c r="M2612" s="404"/>
      <c r="N2612" s="404"/>
      <c r="O2612" s="404"/>
      <c r="P2612" s="404"/>
      <c r="Q2612" s="404"/>
      <c r="R2612" s="404"/>
      <c r="S2612" s="404"/>
      <c r="T2612" s="404"/>
      <c r="U2612" s="404"/>
      <c r="V2612" s="404"/>
      <c r="W2612" s="404"/>
      <c r="X2612" s="404"/>
      <c r="Y2612" s="404"/>
      <c r="Z2612" s="404"/>
      <c r="AA2612" s="404"/>
      <c r="AB2612" s="404"/>
      <c r="AC2612" s="404"/>
      <c r="AD2612" s="404"/>
      <c r="AE2612" s="404"/>
      <c r="AF2612" s="404"/>
      <c r="AG2612" s="404"/>
      <c r="AH2612" s="404"/>
      <c r="AI2612" s="404"/>
      <c r="AJ2612" s="404"/>
      <c r="AK2612" s="404"/>
      <c r="AL2612" s="404"/>
      <c r="AM2612" s="404"/>
      <c r="AN2612" s="404"/>
      <c r="AO2612" s="404"/>
      <c r="AP2612" s="404"/>
      <c r="AQ2612" s="404"/>
      <c r="AR2612" s="404"/>
      <c r="AS2612" s="404"/>
      <c r="AT2612" s="404"/>
      <c r="AU2612" s="404"/>
      <c r="AV2612" s="404"/>
      <c r="AW2612" s="404"/>
      <c r="AX2612" s="404"/>
      <c r="AY2612" s="404"/>
      <c r="AZ2612" s="404"/>
      <c r="BA2612" s="404"/>
      <c r="BB2612" s="404"/>
      <c r="BC2612" s="404"/>
      <c r="BD2612" s="404"/>
      <c r="BE2612" s="404"/>
      <c r="BF2612" s="404"/>
      <c r="BG2612" s="404"/>
      <c r="BH2612" s="404"/>
      <c r="BI2612" s="404"/>
      <c r="BJ2612" s="404"/>
      <c r="BK2612" s="404"/>
      <c r="BL2612" s="404"/>
    </row>
    <row r="2613" spans="1:64" ht="13">
      <c r="A2613" s="454"/>
      <c r="B2613" s="454"/>
      <c r="C2613" s="522" t="s">
        <v>726</v>
      </c>
      <c r="D2613" s="416">
        <f t="shared" ref="D2613:L2613" si="619">ROUND(D2612,0)</f>
        <v>878</v>
      </c>
      <c r="E2613" s="416">
        <f t="shared" si="619"/>
        <v>923</v>
      </c>
      <c r="F2613" s="416">
        <f t="shared" si="619"/>
        <v>968</v>
      </c>
      <c r="G2613" s="416">
        <f t="shared" si="619"/>
        <v>1014</v>
      </c>
      <c r="H2613" s="416">
        <f t="shared" si="619"/>
        <v>1059</v>
      </c>
      <c r="I2613" s="416">
        <f t="shared" si="619"/>
        <v>1104</v>
      </c>
      <c r="J2613" s="529">
        <f t="shared" si="619"/>
        <v>1150</v>
      </c>
      <c r="K2613" s="530">
        <f t="shared" si="619"/>
        <v>1195</v>
      </c>
      <c r="L2613" s="530">
        <f t="shared" si="619"/>
        <v>1240</v>
      </c>
      <c r="M2613" s="404"/>
      <c r="N2613" s="404"/>
      <c r="O2613" s="404"/>
      <c r="P2613" s="404"/>
      <c r="Q2613" s="404"/>
      <c r="R2613" s="404"/>
      <c r="S2613" s="404"/>
      <c r="T2613" s="404"/>
      <c r="U2613" s="404"/>
      <c r="V2613" s="404"/>
      <c r="W2613" s="404"/>
      <c r="X2613" s="404"/>
      <c r="Y2613" s="404"/>
      <c r="Z2613" s="404"/>
      <c r="AA2613" s="404"/>
      <c r="AB2613" s="404"/>
      <c r="AC2613" s="404"/>
      <c r="AD2613" s="404"/>
      <c r="AE2613" s="404"/>
      <c r="AF2613" s="404"/>
      <c r="AG2613" s="404"/>
      <c r="AH2613" s="404"/>
      <c r="AI2613" s="404"/>
      <c r="AJ2613" s="404"/>
      <c r="AK2613" s="404"/>
      <c r="AL2613" s="404"/>
      <c r="AM2613" s="404"/>
      <c r="AN2613" s="404"/>
      <c r="AO2613" s="404"/>
      <c r="AP2613" s="404"/>
      <c r="AQ2613" s="404"/>
      <c r="AR2613" s="404"/>
      <c r="AS2613" s="404"/>
      <c r="AT2613" s="404"/>
      <c r="AU2613" s="404"/>
      <c r="AV2613" s="404"/>
      <c r="AW2613" s="404"/>
      <c r="AX2613" s="404"/>
      <c r="AY2613" s="404"/>
      <c r="AZ2613" s="404"/>
      <c r="BA2613" s="404"/>
      <c r="BB2613" s="404"/>
      <c r="BC2613" s="404"/>
      <c r="BD2613" s="404"/>
      <c r="BE2613" s="404"/>
      <c r="BF2613" s="404"/>
      <c r="BG2613" s="404"/>
      <c r="BH2613" s="404"/>
      <c r="BI2613" s="404"/>
      <c r="BJ2613" s="404"/>
      <c r="BK2613" s="404"/>
      <c r="BL2613" s="404"/>
    </row>
    <row r="2614" spans="1:64" ht="13">
      <c r="A2614" s="454"/>
      <c r="B2614" s="454"/>
      <c r="C2614" s="427"/>
      <c r="D2614" s="408"/>
      <c r="E2614" s="416"/>
      <c r="F2614" s="416"/>
      <c r="G2614" s="416"/>
      <c r="H2614" s="416"/>
      <c r="I2614" s="414"/>
      <c r="J2614" s="400"/>
      <c r="K2614" s="401"/>
      <c r="L2614" s="401"/>
    </row>
    <row r="2615" spans="1:64" ht="94.75" customHeight="1">
      <c r="A2615" s="454">
        <f>A2588+1</f>
        <v>12</v>
      </c>
      <c r="B2615" s="454"/>
      <c r="C2615" s="1276" t="s">
        <v>1177</v>
      </c>
      <c r="D2615" s="1276"/>
      <c r="E2615" s="1276"/>
      <c r="F2615" s="1276"/>
      <c r="G2615" s="1276"/>
      <c r="H2615" s="1276"/>
      <c r="I2615" s="407"/>
      <c r="J2615" s="400"/>
      <c r="K2615" s="401"/>
      <c r="L2615" s="401"/>
    </row>
    <row r="2616" spans="1:64" ht="13">
      <c r="A2616" s="454"/>
      <c r="B2616" s="454"/>
      <c r="C2616" s="455" t="s">
        <v>1166</v>
      </c>
      <c r="D2616" s="426"/>
      <c r="E2616" s="426"/>
      <c r="F2616" s="426"/>
      <c r="G2616" s="426"/>
      <c r="H2616" s="426"/>
      <c r="I2616" s="409"/>
      <c r="J2616" s="400"/>
      <c r="K2616" s="401"/>
      <c r="L2616" s="401"/>
    </row>
    <row r="2617" spans="1:64">
      <c r="A2617" s="454"/>
      <c r="B2617" s="454"/>
      <c r="C2617" s="483" t="s">
        <v>1167</v>
      </c>
      <c r="D2617" s="426"/>
      <c r="E2617" s="426"/>
      <c r="F2617" s="426"/>
      <c r="G2617" s="426"/>
      <c r="H2617" s="426"/>
      <c r="I2617" s="409"/>
      <c r="J2617" s="400"/>
      <c r="K2617" s="401"/>
      <c r="L2617" s="401"/>
    </row>
    <row r="2618" spans="1:64" ht="13">
      <c r="A2618" s="454"/>
      <c r="B2618" s="454"/>
      <c r="C2618" s="433" t="s">
        <v>1168</v>
      </c>
      <c r="D2618" s="409"/>
      <c r="E2618" s="426"/>
      <c r="F2618" s="409"/>
      <c r="G2618" s="410"/>
      <c r="H2618" s="426"/>
      <c r="I2618" s="408"/>
      <c r="J2618" s="400"/>
      <c r="K2618" s="401"/>
      <c r="L2618" s="401"/>
    </row>
    <row r="2619" spans="1:64" ht="25">
      <c r="A2619" s="454"/>
      <c r="B2619" s="454"/>
      <c r="C2619" s="667" t="s">
        <v>1178</v>
      </c>
      <c r="D2619" s="409">
        <v>11</v>
      </c>
      <c r="E2619" s="426" t="s">
        <v>62</v>
      </c>
      <c r="F2619" s="409">
        <f>[161]LEAD!$N$27</f>
        <v>1545.69</v>
      </c>
      <c r="G2619" s="410">
        <v>10</v>
      </c>
      <c r="H2619" s="426" t="s">
        <v>62</v>
      </c>
      <c r="I2619" s="408">
        <f t="shared" ref="I2619:I2623" si="620">IF(G2619="",D2619*F2619,(D2619*F2619/G2619))</f>
        <v>1700.259</v>
      </c>
      <c r="J2619" s="418"/>
      <c r="K2619" s="419"/>
      <c r="L2619" s="419"/>
      <c r="M2619" s="475"/>
      <c r="N2619" s="475"/>
      <c r="O2619" s="475"/>
      <c r="P2619" s="475"/>
      <c r="Q2619" s="475"/>
      <c r="R2619" s="475"/>
      <c r="S2619" s="475"/>
      <c r="T2619" s="475"/>
      <c r="U2619" s="475"/>
      <c r="V2619" s="475"/>
      <c r="W2619" s="475"/>
      <c r="X2619" s="475"/>
      <c r="Y2619" s="475"/>
      <c r="Z2619" s="475"/>
      <c r="AA2619" s="475"/>
      <c r="AB2619" s="475"/>
      <c r="AC2619" s="475"/>
      <c r="AD2619" s="475"/>
      <c r="AE2619" s="475"/>
      <c r="AF2619" s="475"/>
      <c r="AG2619" s="475"/>
      <c r="AH2619" s="475"/>
      <c r="AI2619" s="475"/>
      <c r="AJ2619" s="475"/>
      <c r="AK2619" s="475"/>
      <c r="AL2619" s="475"/>
      <c r="AM2619" s="475"/>
      <c r="AN2619" s="475"/>
      <c r="AO2619" s="475"/>
      <c r="AP2619" s="475"/>
      <c r="AQ2619" s="475"/>
      <c r="AR2619" s="475"/>
      <c r="AS2619" s="475"/>
      <c r="AT2619" s="475"/>
      <c r="AU2619" s="475"/>
      <c r="AV2619" s="475"/>
      <c r="AW2619" s="475"/>
      <c r="AX2619" s="475"/>
      <c r="AY2619" s="475"/>
      <c r="AZ2619" s="475"/>
      <c r="BA2619" s="475"/>
      <c r="BB2619" s="475"/>
      <c r="BC2619" s="475"/>
      <c r="BD2619" s="475"/>
      <c r="BE2619" s="475"/>
      <c r="BF2619" s="475"/>
      <c r="BG2619" s="475"/>
      <c r="BH2619" s="475"/>
      <c r="BI2619" s="475"/>
      <c r="BJ2619" s="475"/>
      <c r="BK2619" s="475"/>
      <c r="BL2619" s="475"/>
    </row>
    <row r="2620" spans="1:64" ht="25">
      <c r="A2620" s="454"/>
      <c r="B2620" s="454"/>
      <c r="C2620" s="667" t="s">
        <v>1170</v>
      </c>
      <c r="D2620" s="409">
        <v>21.6</v>
      </c>
      <c r="E2620" s="426" t="s">
        <v>833</v>
      </c>
      <c r="F2620" s="409">
        <f>[161]LEAD!$N$6</f>
        <v>5200</v>
      </c>
      <c r="G2620" s="410">
        <v>1000</v>
      </c>
      <c r="H2620" s="426" t="s">
        <v>833</v>
      </c>
      <c r="I2620" s="408">
        <f t="shared" si="620"/>
        <v>112.32000000000002</v>
      </c>
      <c r="J2620" s="418"/>
      <c r="K2620" s="419"/>
      <c r="L2620" s="419"/>
      <c r="M2620" s="475"/>
      <c r="N2620" s="475"/>
      <c r="O2620" s="475"/>
      <c r="P2620" s="475"/>
      <c r="Q2620" s="475"/>
      <c r="R2620" s="475"/>
      <c r="S2620" s="475"/>
      <c r="T2620" s="475"/>
      <c r="U2620" s="475"/>
      <c r="V2620" s="475"/>
      <c r="W2620" s="475"/>
      <c r="X2620" s="475"/>
      <c r="Y2620" s="475"/>
      <c r="Z2620" s="475"/>
      <c r="AA2620" s="475"/>
      <c r="AB2620" s="475"/>
      <c r="AC2620" s="475"/>
      <c r="AD2620" s="475"/>
      <c r="AE2620" s="475"/>
      <c r="AF2620" s="475"/>
      <c r="AG2620" s="475"/>
      <c r="AH2620" s="475"/>
      <c r="AI2620" s="475"/>
      <c r="AJ2620" s="475"/>
      <c r="AK2620" s="475"/>
      <c r="AL2620" s="475"/>
      <c r="AM2620" s="475"/>
      <c r="AN2620" s="475"/>
      <c r="AO2620" s="475"/>
      <c r="AP2620" s="475"/>
      <c r="AQ2620" s="475"/>
      <c r="AR2620" s="475"/>
      <c r="AS2620" s="475"/>
      <c r="AT2620" s="475"/>
      <c r="AU2620" s="475"/>
      <c r="AV2620" s="475"/>
      <c r="AW2620" s="475"/>
      <c r="AX2620" s="475"/>
      <c r="AY2620" s="475"/>
      <c r="AZ2620" s="475"/>
      <c r="BA2620" s="475"/>
      <c r="BB2620" s="475"/>
      <c r="BC2620" s="475"/>
      <c r="BD2620" s="475"/>
      <c r="BE2620" s="475"/>
      <c r="BF2620" s="475"/>
      <c r="BG2620" s="475"/>
      <c r="BH2620" s="475"/>
      <c r="BI2620" s="475"/>
      <c r="BJ2620" s="475"/>
      <c r="BK2620" s="475"/>
      <c r="BL2620" s="475"/>
    </row>
    <row r="2621" spans="1:64">
      <c r="A2621" s="454"/>
      <c r="B2621" s="454"/>
      <c r="C2621" s="667" t="s">
        <v>1171</v>
      </c>
      <c r="D2621" s="409">
        <v>33</v>
      </c>
      <c r="E2621" s="426" t="s">
        <v>833</v>
      </c>
      <c r="F2621" s="409">
        <f>[161]LEAD!$N$6</f>
        <v>5200</v>
      </c>
      <c r="G2621" s="410">
        <v>1000</v>
      </c>
      <c r="H2621" s="426" t="s">
        <v>833</v>
      </c>
      <c r="I2621" s="408">
        <f t="shared" si="620"/>
        <v>171.6</v>
      </c>
      <c r="J2621" s="418"/>
      <c r="K2621" s="419"/>
      <c r="L2621" s="419"/>
      <c r="M2621" s="475"/>
      <c r="N2621" s="475"/>
      <c r="O2621" s="475"/>
      <c r="P2621" s="475"/>
      <c r="Q2621" s="475"/>
      <c r="R2621" s="475"/>
      <c r="S2621" s="475"/>
      <c r="T2621" s="475"/>
      <c r="U2621" s="475"/>
      <c r="V2621" s="475"/>
      <c r="W2621" s="475"/>
      <c r="X2621" s="475"/>
      <c r="Y2621" s="475"/>
      <c r="Z2621" s="475"/>
      <c r="AA2621" s="475"/>
      <c r="AB2621" s="475"/>
      <c r="AC2621" s="475"/>
      <c r="AD2621" s="475"/>
      <c r="AE2621" s="475"/>
      <c r="AF2621" s="475"/>
      <c r="AG2621" s="475"/>
      <c r="AH2621" s="475"/>
      <c r="AI2621" s="475"/>
      <c r="AJ2621" s="475"/>
      <c r="AK2621" s="475"/>
      <c r="AL2621" s="475"/>
      <c r="AM2621" s="475"/>
      <c r="AN2621" s="475"/>
      <c r="AO2621" s="475"/>
      <c r="AP2621" s="475"/>
      <c r="AQ2621" s="475"/>
      <c r="AR2621" s="475"/>
      <c r="AS2621" s="475"/>
      <c r="AT2621" s="475"/>
      <c r="AU2621" s="475"/>
      <c r="AV2621" s="475"/>
      <c r="AW2621" s="475"/>
      <c r="AX2621" s="475"/>
      <c r="AY2621" s="475"/>
      <c r="AZ2621" s="475"/>
      <c r="BA2621" s="475"/>
      <c r="BB2621" s="475"/>
      <c r="BC2621" s="475"/>
      <c r="BD2621" s="475"/>
      <c r="BE2621" s="475"/>
      <c r="BF2621" s="475"/>
      <c r="BG2621" s="475"/>
      <c r="BH2621" s="475"/>
      <c r="BI2621" s="475"/>
      <c r="BJ2621" s="475"/>
      <c r="BK2621" s="475"/>
      <c r="BL2621" s="475"/>
    </row>
    <row r="2622" spans="1:64">
      <c r="A2622" s="454"/>
      <c r="B2622" s="454"/>
      <c r="C2622" s="667" t="s">
        <v>1172</v>
      </c>
      <c r="D2622" s="409">
        <v>20</v>
      </c>
      <c r="E2622" s="426" t="s">
        <v>833</v>
      </c>
      <c r="F2622" s="409">
        <f>[161]LEAD!$N$6</f>
        <v>5200</v>
      </c>
      <c r="G2622" s="410">
        <v>1000</v>
      </c>
      <c r="H2622" s="426" t="s">
        <v>833</v>
      </c>
      <c r="I2622" s="408">
        <f t="shared" si="620"/>
        <v>104</v>
      </c>
      <c r="J2622" s="418"/>
      <c r="K2622" s="419"/>
      <c r="L2622" s="419"/>
      <c r="M2622" s="475"/>
      <c r="N2622" s="475"/>
      <c r="O2622" s="475"/>
      <c r="P2622" s="475"/>
      <c r="Q2622" s="475"/>
      <c r="R2622" s="475"/>
      <c r="S2622" s="475"/>
      <c r="T2622" s="475"/>
      <c r="U2622" s="475"/>
      <c r="V2622" s="475"/>
      <c r="W2622" s="475"/>
      <c r="X2622" s="475"/>
      <c r="Y2622" s="475"/>
      <c r="Z2622" s="475"/>
      <c r="AA2622" s="475"/>
      <c r="AB2622" s="475"/>
      <c r="AC2622" s="475"/>
      <c r="AD2622" s="475"/>
      <c r="AE2622" s="475"/>
      <c r="AF2622" s="475"/>
      <c r="AG2622" s="475"/>
      <c r="AH2622" s="475"/>
      <c r="AI2622" s="475"/>
      <c r="AJ2622" s="475"/>
      <c r="AK2622" s="475"/>
      <c r="AL2622" s="475"/>
      <c r="AM2622" s="475"/>
      <c r="AN2622" s="475"/>
      <c r="AO2622" s="475"/>
      <c r="AP2622" s="475"/>
      <c r="AQ2622" s="475"/>
      <c r="AR2622" s="475"/>
      <c r="AS2622" s="475"/>
      <c r="AT2622" s="475"/>
      <c r="AU2622" s="475"/>
      <c r="AV2622" s="475"/>
      <c r="AW2622" s="475"/>
      <c r="AX2622" s="475"/>
      <c r="AY2622" s="475"/>
      <c r="AZ2622" s="475"/>
      <c r="BA2622" s="475"/>
      <c r="BB2622" s="475"/>
      <c r="BC2622" s="475"/>
      <c r="BD2622" s="475"/>
      <c r="BE2622" s="475"/>
      <c r="BF2622" s="475"/>
      <c r="BG2622" s="475"/>
      <c r="BH2622" s="475"/>
      <c r="BI2622" s="475"/>
      <c r="BJ2622" s="475"/>
      <c r="BK2622" s="475"/>
      <c r="BL2622" s="475"/>
    </row>
    <row r="2623" spans="1:64">
      <c r="A2623" s="454"/>
      <c r="B2623" s="454"/>
      <c r="C2623" s="667" t="s">
        <v>1173</v>
      </c>
      <c r="D2623" s="409">
        <v>0.12</v>
      </c>
      <c r="E2623" s="426" t="s">
        <v>57</v>
      </c>
      <c r="F2623" s="409">
        <f>[161]LEAD!$N$13</f>
        <v>2453.91</v>
      </c>
      <c r="G2623" s="410">
        <v>1</v>
      </c>
      <c r="H2623" s="426" t="s">
        <v>57</v>
      </c>
      <c r="I2623" s="408">
        <f t="shared" si="620"/>
        <v>294.46919999999994</v>
      </c>
      <c r="J2623" s="418"/>
      <c r="K2623" s="419"/>
      <c r="L2623" s="419"/>
      <c r="M2623" s="475"/>
      <c r="N2623" s="475"/>
      <c r="O2623" s="475"/>
      <c r="P2623" s="475"/>
      <c r="Q2623" s="475"/>
      <c r="R2623" s="475"/>
      <c r="S2623" s="475"/>
      <c r="T2623" s="475"/>
      <c r="U2623" s="475"/>
      <c r="V2623" s="475"/>
      <c r="W2623" s="475"/>
      <c r="X2623" s="475"/>
      <c r="Y2623" s="475"/>
      <c r="Z2623" s="475"/>
      <c r="AA2623" s="475"/>
      <c r="AB2623" s="475"/>
      <c r="AC2623" s="475"/>
      <c r="AD2623" s="475"/>
      <c r="AE2623" s="475"/>
      <c r="AF2623" s="475"/>
      <c r="AG2623" s="475"/>
      <c r="AH2623" s="475"/>
      <c r="AI2623" s="475"/>
      <c r="AJ2623" s="475"/>
      <c r="AK2623" s="475"/>
      <c r="AL2623" s="475"/>
      <c r="AM2623" s="475"/>
      <c r="AN2623" s="475"/>
      <c r="AO2623" s="475"/>
      <c r="AP2623" s="475"/>
      <c r="AQ2623" s="475"/>
      <c r="AR2623" s="475"/>
      <c r="AS2623" s="475"/>
      <c r="AT2623" s="475"/>
      <c r="AU2623" s="475"/>
      <c r="AV2623" s="475"/>
      <c r="AW2623" s="475"/>
      <c r="AX2623" s="475"/>
      <c r="AY2623" s="475"/>
      <c r="AZ2623" s="475"/>
      <c r="BA2623" s="475"/>
      <c r="BB2623" s="475"/>
      <c r="BC2623" s="475"/>
      <c r="BD2623" s="475"/>
      <c r="BE2623" s="475"/>
      <c r="BF2623" s="475"/>
      <c r="BG2623" s="475"/>
      <c r="BH2623" s="475"/>
      <c r="BI2623" s="475"/>
      <c r="BJ2623" s="475"/>
      <c r="BK2623" s="475"/>
      <c r="BL2623" s="475"/>
    </row>
    <row r="2624" spans="1:64" ht="13">
      <c r="A2624" s="454"/>
      <c r="B2624" s="454"/>
      <c r="C2624" s="477" t="s">
        <v>1073</v>
      </c>
      <c r="D2624" s="409"/>
      <c r="E2624" s="426"/>
      <c r="F2624" s="409"/>
      <c r="G2624" s="410"/>
      <c r="H2624" s="426"/>
      <c r="I2624" s="408"/>
      <c r="J2624" s="418"/>
      <c r="K2624" s="419"/>
      <c r="L2624" s="419"/>
      <c r="M2624" s="475"/>
      <c r="N2624" s="475"/>
      <c r="O2624" s="475"/>
      <c r="P2624" s="475"/>
      <c r="Q2624" s="475"/>
      <c r="R2624" s="475"/>
      <c r="S2624" s="475"/>
      <c r="T2624" s="475"/>
      <c r="U2624" s="475"/>
      <c r="V2624" s="475"/>
      <c r="W2624" s="475"/>
      <c r="X2624" s="475"/>
      <c r="Y2624" s="475"/>
      <c r="Z2624" s="475"/>
      <c r="AA2624" s="475"/>
      <c r="AB2624" s="475"/>
      <c r="AC2624" s="475"/>
      <c r="AD2624" s="475"/>
      <c r="AE2624" s="475"/>
      <c r="AF2624" s="475"/>
      <c r="AG2624" s="475"/>
      <c r="AH2624" s="475"/>
      <c r="AI2624" s="475"/>
      <c r="AJ2624" s="475"/>
      <c r="AK2624" s="475"/>
      <c r="AL2624" s="475"/>
      <c r="AM2624" s="475"/>
      <c r="AN2624" s="475"/>
      <c r="AO2624" s="475"/>
      <c r="AP2624" s="475"/>
      <c r="AQ2624" s="475"/>
      <c r="AR2624" s="475"/>
      <c r="AS2624" s="475"/>
      <c r="AT2624" s="475"/>
      <c r="AU2624" s="475"/>
      <c r="AV2624" s="475"/>
      <c r="AW2624" s="475"/>
      <c r="AX2624" s="475"/>
      <c r="AY2624" s="475"/>
      <c r="AZ2624" s="475"/>
      <c r="BA2624" s="475"/>
      <c r="BB2624" s="475"/>
      <c r="BC2624" s="475"/>
      <c r="BD2624" s="475"/>
      <c r="BE2624" s="475"/>
      <c r="BF2624" s="475"/>
      <c r="BG2624" s="475"/>
      <c r="BH2624" s="475"/>
      <c r="BI2624" s="475"/>
      <c r="BJ2624" s="475"/>
      <c r="BK2624" s="475"/>
      <c r="BL2624" s="475"/>
    </row>
    <row r="2625" spans="1:64">
      <c r="A2625" s="454"/>
      <c r="B2625" s="454"/>
      <c r="C2625" s="667" t="s">
        <v>1044</v>
      </c>
      <c r="D2625" s="409">
        <v>3.1</v>
      </c>
      <c r="E2625" s="426" t="s">
        <v>14</v>
      </c>
      <c r="F2625" s="409">
        <f>'[161]Civil-SOR'!$G$293</f>
        <v>580</v>
      </c>
      <c r="G2625" s="410">
        <v>1</v>
      </c>
      <c r="H2625" s="426" t="s">
        <v>572</v>
      </c>
      <c r="I2625" s="408">
        <f t="shared" ref="I2625:I2629" si="621">IF(G2625="",D2625*F2625,(D2625*F2625/G2625))</f>
        <v>1798</v>
      </c>
      <c r="J2625" s="418"/>
      <c r="K2625" s="419"/>
      <c r="L2625" s="419"/>
      <c r="M2625" s="475"/>
      <c r="N2625" s="475"/>
      <c r="O2625" s="475"/>
      <c r="P2625" s="475"/>
      <c r="Q2625" s="475"/>
      <c r="R2625" s="475"/>
      <c r="S2625" s="475"/>
      <c r="T2625" s="475"/>
      <c r="U2625" s="475"/>
      <c r="V2625" s="475"/>
      <c r="W2625" s="475"/>
      <c r="X2625" s="475"/>
      <c r="Y2625" s="475"/>
      <c r="Z2625" s="475"/>
      <c r="AA2625" s="475"/>
      <c r="AB2625" s="475"/>
      <c r="AC2625" s="475"/>
      <c r="AD2625" s="475"/>
      <c r="AE2625" s="475"/>
      <c r="AF2625" s="475"/>
      <c r="AG2625" s="475"/>
      <c r="AH2625" s="475"/>
      <c r="AI2625" s="475"/>
      <c r="AJ2625" s="475"/>
      <c r="AK2625" s="475"/>
      <c r="AL2625" s="475"/>
      <c r="AM2625" s="475"/>
      <c r="AN2625" s="475"/>
      <c r="AO2625" s="475"/>
      <c r="AP2625" s="475"/>
      <c r="AQ2625" s="475"/>
      <c r="AR2625" s="475"/>
      <c r="AS2625" s="475"/>
      <c r="AT2625" s="475"/>
      <c r="AU2625" s="475"/>
      <c r="AV2625" s="475"/>
      <c r="AW2625" s="475"/>
      <c r="AX2625" s="475"/>
      <c r="AY2625" s="475"/>
      <c r="AZ2625" s="475"/>
      <c r="BA2625" s="475"/>
      <c r="BB2625" s="475"/>
      <c r="BC2625" s="475"/>
      <c r="BD2625" s="475"/>
      <c r="BE2625" s="475"/>
      <c r="BF2625" s="475"/>
      <c r="BG2625" s="475"/>
      <c r="BH2625" s="475"/>
      <c r="BI2625" s="475"/>
      <c r="BJ2625" s="475"/>
      <c r="BK2625" s="475"/>
      <c r="BL2625" s="475"/>
    </row>
    <row r="2626" spans="1:64">
      <c r="A2626" s="454"/>
      <c r="B2626" s="454"/>
      <c r="C2626" s="667" t="s">
        <v>1074</v>
      </c>
      <c r="D2626" s="409">
        <v>1.1000000000000001</v>
      </c>
      <c r="E2626" s="426" t="s">
        <v>14</v>
      </c>
      <c r="F2626" s="409">
        <f>'[161]Civil-SOR'!$G$302</f>
        <v>550</v>
      </c>
      <c r="G2626" s="410">
        <v>1</v>
      </c>
      <c r="H2626" s="426" t="s">
        <v>572</v>
      </c>
      <c r="I2626" s="408">
        <f t="shared" si="621"/>
        <v>605</v>
      </c>
      <c r="J2626" s="418"/>
      <c r="K2626" s="419"/>
      <c r="L2626" s="419"/>
      <c r="M2626" s="475"/>
      <c r="N2626" s="475"/>
      <c r="O2626" s="475"/>
      <c r="P2626" s="475"/>
      <c r="Q2626" s="475"/>
      <c r="R2626" s="475"/>
      <c r="S2626" s="475"/>
      <c r="T2626" s="475"/>
      <c r="U2626" s="475"/>
      <c r="V2626" s="475"/>
      <c r="W2626" s="475"/>
      <c r="X2626" s="475"/>
      <c r="Y2626" s="475"/>
      <c r="Z2626" s="475"/>
      <c r="AA2626" s="475"/>
      <c r="AB2626" s="475"/>
      <c r="AC2626" s="475"/>
      <c r="AD2626" s="475"/>
      <c r="AE2626" s="475"/>
      <c r="AF2626" s="475"/>
      <c r="AG2626" s="475"/>
      <c r="AH2626" s="475"/>
      <c r="AI2626" s="475"/>
      <c r="AJ2626" s="475"/>
      <c r="AK2626" s="475"/>
      <c r="AL2626" s="475"/>
      <c r="AM2626" s="475"/>
      <c r="AN2626" s="475"/>
      <c r="AO2626" s="475"/>
      <c r="AP2626" s="475"/>
      <c r="AQ2626" s="475"/>
      <c r="AR2626" s="475"/>
      <c r="AS2626" s="475"/>
      <c r="AT2626" s="475"/>
      <c r="AU2626" s="475"/>
      <c r="AV2626" s="475"/>
      <c r="AW2626" s="475"/>
      <c r="AX2626" s="475"/>
      <c r="AY2626" s="475"/>
      <c r="AZ2626" s="475"/>
      <c r="BA2626" s="475"/>
      <c r="BB2626" s="475"/>
      <c r="BC2626" s="475"/>
      <c r="BD2626" s="475"/>
      <c r="BE2626" s="475"/>
      <c r="BF2626" s="475"/>
      <c r="BG2626" s="475"/>
      <c r="BH2626" s="475"/>
      <c r="BI2626" s="475"/>
      <c r="BJ2626" s="475"/>
      <c r="BK2626" s="475"/>
      <c r="BL2626" s="475"/>
    </row>
    <row r="2627" spans="1:64">
      <c r="A2627" s="454"/>
      <c r="B2627" s="454"/>
      <c r="C2627" s="667" t="s">
        <v>1174</v>
      </c>
      <c r="D2627" s="409">
        <v>0.86</v>
      </c>
      <c r="E2627" s="426" t="s">
        <v>14</v>
      </c>
      <c r="F2627" s="409">
        <f>'[161]Civil-SOR'!$G$307</f>
        <v>520</v>
      </c>
      <c r="G2627" s="410">
        <v>1</v>
      </c>
      <c r="H2627" s="426" t="s">
        <v>572</v>
      </c>
      <c r="I2627" s="408">
        <f t="shared" si="621"/>
        <v>447.2</v>
      </c>
      <c r="J2627" s="418"/>
      <c r="K2627" s="419"/>
      <c r="L2627" s="419"/>
      <c r="M2627" s="475"/>
      <c r="N2627" s="475"/>
      <c r="O2627" s="475"/>
      <c r="P2627" s="475"/>
      <c r="Q2627" s="475"/>
      <c r="R2627" s="475"/>
      <c r="S2627" s="475"/>
      <c r="T2627" s="475"/>
      <c r="U2627" s="475"/>
      <c r="V2627" s="475"/>
      <c r="W2627" s="475"/>
      <c r="X2627" s="475"/>
      <c r="Y2627" s="475"/>
      <c r="Z2627" s="475"/>
      <c r="AA2627" s="475"/>
      <c r="AB2627" s="475"/>
      <c r="AC2627" s="475"/>
      <c r="AD2627" s="475"/>
      <c r="AE2627" s="475"/>
      <c r="AF2627" s="475"/>
      <c r="AG2627" s="475"/>
      <c r="AH2627" s="475"/>
      <c r="AI2627" s="475"/>
      <c r="AJ2627" s="475"/>
      <c r="AK2627" s="475"/>
      <c r="AL2627" s="475"/>
      <c r="AM2627" s="475"/>
      <c r="AN2627" s="475"/>
      <c r="AO2627" s="475"/>
      <c r="AP2627" s="475"/>
      <c r="AQ2627" s="475"/>
      <c r="AR2627" s="475"/>
      <c r="AS2627" s="475"/>
      <c r="AT2627" s="475"/>
      <c r="AU2627" s="475"/>
      <c r="AV2627" s="475"/>
      <c r="AW2627" s="475"/>
      <c r="AX2627" s="475"/>
      <c r="AY2627" s="475"/>
      <c r="AZ2627" s="475"/>
      <c r="BA2627" s="475"/>
      <c r="BB2627" s="475"/>
      <c r="BC2627" s="475"/>
      <c r="BD2627" s="475"/>
      <c r="BE2627" s="475"/>
      <c r="BF2627" s="475"/>
      <c r="BG2627" s="475"/>
      <c r="BH2627" s="475"/>
      <c r="BI2627" s="475"/>
      <c r="BJ2627" s="475"/>
      <c r="BK2627" s="475"/>
      <c r="BL2627" s="475"/>
    </row>
    <row r="2628" spans="1:64">
      <c r="A2628" s="454"/>
      <c r="B2628" s="454"/>
      <c r="C2628" s="417" t="str">
        <f>[161]Input!$C$47</f>
        <v>Add for MA @ 40%</v>
      </c>
      <c r="D2628" s="621">
        <f>[161]Input!$D$47</f>
        <v>0.4</v>
      </c>
      <c r="E2628" s="426"/>
      <c r="F2628" s="409">
        <f>SUM(I2625:I2627)</f>
        <v>2850.2</v>
      </c>
      <c r="G2628" s="410"/>
      <c r="H2628" s="426"/>
      <c r="I2628" s="408">
        <f t="shared" si="621"/>
        <v>1140.08</v>
      </c>
      <c r="J2628" s="418"/>
      <c r="K2628" s="419"/>
      <c r="L2628" s="419"/>
      <c r="M2628" s="475"/>
      <c r="N2628" s="475"/>
      <c r="O2628" s="475"/>
      <c r="P2628" s="475"/>
      <c r="Q2628" s="475"/>
      <c r="R2628" s="475"/>
      <c r="S2628" s="475"/>
      <c r="T2628" s="475"/>
      <c r="U2628" s="475"/>
      <c r="V2628" s="475"/>
      <c r="W2628" s="475"/>
      <c r="X2628" s="475"/>
      <c r="Y2628" s="475"/>
      <c r="Z2628" s="475"/>
      <c r="AA2628" s="475"/>
      <c r="AB2628" s="475"/>
      <c r="AC2628" s="475"/>
      <c r="AD2628" s="475"/>
      <c r="AE2628" s="475"/>
      <c r="AF2628" s="475"/>
      <c r="AG2628" s="475"/>
      <c r="AH2628" s="475"/>
      <c r="AI2628" s="475"/>
      <c r="AJ2628" s="475"/>
      <c r="AK2628" s="475"/>
      <c r="AL2628" s="475"/>
      <c r="AM2628" s="475"/>
      <c r="AN2628" s="475"/>
      <c r="AO2628" s="475"/>
      <c r="AP2628" s="475"/>
      <c r="AQ2628" s="475"/>
      <c r="AR2628" s="475"/>
      <c r="AS2628" s="475"/>
      <c r="AT2628" s="475"/>
      <c r="AU2628" s="475"/>
      <c r="AV2628" s="475"/>
      <c r="AW2628" s="475"/>
      <c r="AX2628" s="475"/>
      <c r="AY2628" s="475"/>
      <c r="AZ2628" s="475"/>
      <c r="BA2628" s="475"/>
      <c r="BB2628" s="475"/>
      <c r="BC2628" s="475"/>
      <c r="BD2628" s="475"/>
      <c r="BE2628" s="475"/>
      <c r="BF2628" s="475"/>
      <c r="BG2628" s="475"/>
      <c r="BH2628" s="475"/>
      <c r="BI2628" s="475"/>
      <c r="BJ2628" s="475"/>
      <c r="BK2628" s="475"/>
      <c r="BL2628" s="475"/>
    </row>
    <row r="2629" spans="1:64">
      <c r="A2629" s="454"/>
      <c r="B2629" s="454"/>
      <c r="C2629" s="667" t="s">
        <v>1046</v>
      </c>
      <c r="D2629" s="409">
        <v>0.01</v>
      </c>
      <c r="E2629" s="426"/>
      <c r="F2629" s="409">
        <f>SUM(I2619:I2628)</f>
        <v>6372.9281999999994</v>
      </c>
      <c r="G2629" s="410"/>
      <c r="H2629" s="426"/>
      <c r="I2629" s="408">
        <f t="shared" si="621"/>
        <v>63.729281999999998</v>
      </c>
      <c r="J2629" s="418"/>
      <c r="K2629" s="419"/>
      <c r="L2629" s="419"/>
      <c r="M2629" s="475"/>
      <c r="N2629" s="475"/>
      <c r="O2629" s="475"/>
      <c r="P2629" s="475"/>
      <c r="Q2629" s="475"/>
      <c r="R2629" s="475"/>
      <c r="S2629" s="475"/>
      <c r="T2629" s="475"/>
      <c r="U2629" s="475"/>
      <c r="V2629" s="475"/>
      <c r="W2629" s="475"/>
      <c r="X2629" s="475"/>
      <c r="Y2629" s="475"/>
      <c r="Z2629" s="475"/>
      <c r="AA2629" s="475"/>
      <c r="AB2629" s="475"/>
      <c r="AC2629" s="475"/>
      <c r="AD2629" s="475"/>
      <c r="AE2629" s="475"/>
      <c r="AF2629" s="475"/>
      <c r="AG2629" s="475"/>
      <c r="AH2629" s="475"/>
      <c r="AI2629" s="475"/>
      <c r="AJ2629" s="475"/>
      <c r="AK2629" s="475"/>
      <c r="AL2629" s="475"/>
      <c r="AM2629" s="475"/>
      <c r="AN2629" s="475"/>
      <c r="AO2629" s="475"/>
      <c r="AP2629" s="475"/>
      <c r="AQ2629" s="475"/>
      <c r="AR2629" s="475"/>
      <c r="AS2629" s="475"/>
      <c r="AT2629" s="475"/>
      <c r="AU2629" s="475"/>
      <c r="AV2629" s="475"/>
      <c r="AW2629" s="475"/>
      <c r="AX2629" s="475"/>
      <c r="AY2629" s="475"/>
      <c r="AZ2629" s="475"/>
      <c r="BA2629" s="475"/>
      <c r="BB2629" s="475"/>
      <c r="BC2629" s="475"/>
      <c r="BD2629" s="475"/>
      <c r="BE2629" s="475"/>
      <c r="BF2629" s="475"/>
      <c r="BG2629" s="475"/>
      <c r="BH2629" s="475"/>
      <c r="BI2629" s="475"/>
      <c r="BJ2629" s="475"/>
      <c r="BK2629" s="475"/>
      <c r="BL2629" s="475"/>
    </row>
    <row r="2630" spans="1:64" ht="13">
      <c r="A2630" s="454"/>
      <c r="B2630" s="454"/>
      <c r="C2630" s="666" t="s">
        <v>1175</v>
      </c>
      <c r="D2630" s="409"/>
      <c r="E2630" s="426"/>
      <c r="F2630" s="409"/>
      <c r="G2630" s="410"/>
      <c r="H2630" s="426"/>
      <c r="I2630" s="414">
        <f>SUM(I2619:I2629)</f>
        <v>6436.6574819999996</v>
      </c>
      <c r="J2630" s="411"/>
      <c r="K2630" s="412"/>
      <c r="L2630" s="412"/>
      <c r="M2630" s="554"/>
      <c r="N2630" s="554"/>
      <c r="O2630" s="554"/>
      <c r="P2630" s="554"/>
      <c r="Q2630" s="554"/>
      <c r="R2630" s="554"/>
      <c r="S2630" s="554"/>
      <c r="T2630" s="554"/>
      <c r="U2630" s="554"/>
      <c r="V2630" s="554"/>
      <c r="W2630" s="554"/>
      <c r="X2630" s="554"/>
      <c r="Y2630" s="554"/>
      <c r="Z2630" s="554"/>
      <c r="AA2630" s="554"/>
      <c r="AB2630" s="554"/>
      <c r="AC2630" s="554"/>
      <c r="AD2630" s="554"/>
      <c r="AE2630" s="554"/>
      <c r="AF2630" s="554"/>
      <c r="AG2630" s="554"/>
      <c r="AH2630" s="554"/>
      <c r="AI2630" s="554"/>
      <c r="AJ2630" s="554"/>
      <c r="AK2630" s="554"/>
      <c r="AL2630" s="554"/>
      <c r="AM2630" s="554"/>
      <c r="AN2630" s="554"/>
      <c r="AO2630" s="554"/>
      <c r="AP2630" s="554"/>
      <c r="AQ2630" s="554"/>
      <c r="AR2630" s="554"/>
      <c r="AS2630" s="554"/>
      <c r="AT2630" s="554"/>
      <c r="AU2630" s="554"/>
      <c r="AV2630" s="554"/>
      <c r="AW2630" s="554"/>
      <c r="AX2630" s="554"/>
      <c r="AY2630" s="554"/>
      <c r="AZ2630" s="554"/>
      <c r="BA2630" s="554"/>
      <c r="BB2630" s="554"/>
      <c r="BC2630" s="554"/>
      <c r="BD2630" s="554"/>
      <c r="BE2630" s="554"/>
      <c r="BF2630" s="554"/>
      <c r="BG2630" s="554"/>
      <c r="BH2630" s="554"/>
      <c r="BI2630" s="554"/>
      <c r="BJ2630" s="554"/>
      <c r="BK2630" s="554"/>
      <c r="BL2630" s="554"/>
    </row>
    <row r="2631" spans="1:64" ht="13">
      <c r="A2631" s="454"/>
      <c r="B2631" s="454"/>
      <c r="C2631" s="433"/>
      <c r="D2631" s="409"/>
      <c r="E2631" s="426"/>
      <c r="F2631" s="409"/>
      <c r="G2631" s="410"/>
      <c r="H2631" s="426"/>
      <c r="I2631" s="408"/>
      <c r="J2631" s="400"/>
      <c r="K2631" s="401"/>
      <c r="L2631" s="401"/>
    </row>
    <row r="2632" spans="1:64" ht="13">
      <c r="A2632" s="454"/>
      <c r="B2632" s="454"/>
      <c r="C2632" s="427" t="s">
        <v>1176</v>
      </c>
      <c r="D2632" s="414" t="s">
        <v>959</v>
      </c>
      <c r="E2632" s="416" t="s">
        <v>943</v>
      </c>
      <c r="F2632" s="415" t="s">
        <v>944</v>
      </c>
      <c r="G2632" s="414" t="s">
        <v>1036</v>
      </c>
      <c r="H2632" s="414" t="s">
        <v>1037</v>
      </c>
      <c r="I2632" s="414" t="s">
        <v>1038</v>
      </c>
      <c r="J2632" s="657" t="s">
        <v>1118</v>
      </c>
      <c r="K2632" s="631" t="s">
        <v>1119</v>
      </c>
      <c r="L2632" s="631" t="s">
        <v>1120</v>
      </c>
    </row>
    <row r="2633" spans="1:64">
      <c r="A2633" s="454"/>
      <c r="B2633" s="454"/>
      <c r="C2633" s="417" t="s">
        <v>1064</v>
      </c>
      <c r="D2633" s="408">
        <f t="shared" ref="D2633:L2633" si="622">$I$2630</f>
        <v>6436.6574819999996</v>
      </c>
      <c r="E2633" s="408">
        <f t="shared" si="622"/>
        <v>6436.6574819999996</v>
      </c>
      <c r="F2633" s="408">
        <f t="shared" si="622"/>
        <v>6436.6574819999996</v>
      </c>
      <c r="G2633" s="408">
        <f t="shared" si="622"/>
        <v>6436.6574819999996</v>
      </c>
      <c r="H2633" s="408">
        <f t="shared" si="622"/>
        <v>6436.6574819999996</v>
      </c>
      <c r="I2633" s="408">
        <f t="shared" si="622"/>
        <v>6436.6574819999996</v>
      </c>
      <c r="J2633" s="575">
        <f t="shared" si="622"/>
        <v>6436.6574819999996</v>
      </c>
      <c r="K2633" s="644">
        <f t="shared" si="622"/>
        <v>6436.6574819999996</v>
      </c>
      <c r="L2633" s="644">
        <f t="shared" si="622"/>
        <v>6436.6574819999996</v>
      </c>
    </row>
    <row r="2634" spans="1:64">
      <c r="A2634" s="454"/>
      <c r="B2634" s="454"/>
      <c r="C2634" s="417" t="s">
        <v>994</v>
      </c>
      <c r="D2634" s="408">
        <v>0</v>
      </c>
      <c r="E2634" s="408">
        <f>ROUND($F$2628*10%,2)</f>
        <v>285.02</v>
      </c>
      <c r="F2634" s="408">
        <f>ROUND($F$2628*20%,2)</f>
        <v>570.04</v>
      </c>
      <c r="G2634" s="408">
        <f>ROUND($F$2628*30%,2)</f>
        <v>855.06</v>
      </c>
      <c r="H2634" s="408">
        <f>ROUND($F$2628*40%,2)</f>
        <v>1140.08</v>
      </c>
      <c r="I2634" s="408">
        <f>ROUND($F$2628*50%,2)</f>
        <v>1425.1</v>
      </c>
      <c r="J2634" s="575">
        <f>ROUND($F$2628*60%,2)</f>
        <v>1710.12</v>
      </c>
      <c r="K2634" s="644">
        <f>ROUND($F$2628*70%,2)</f>
        <v>1995.14</v>
      </c>
      <c r="L2634" s="644">
        <f>ROUND($F$2628*80%,2)</f>
        <v>2280.16</v>
      </c>
    </row>
    <row r="2635" spans="1:64">
      <c r="A2635" s="454"/>
      <c r="B2635" s="454"/>
      <c r="C2635" s="417" t="str">
        <f>[161]Input!$C$47</f>
        <v>Add for MA @ 40%</v>
      </c>
      <c r="D2635" s="408">
        <f>D2634*[161]Input!$D$47</f>
        <v>0</v>
      </c>
      <c r="E2635" s="408">
        <f>E2634*[161]Input!$D$47</f>
        <v>114.008</v>
      </c>
      <c r="F2635" s="408">
        <f>F2634*[161]Input!$D$47</f>
        <v>228.01599999999999</v>
      </c>
      <c r="G2635" s="408">
        <f>G2634*[161]Input!$D$47</f>
        <v>342.024</v>
      </c>
      <c r="H2635" s="408">
        <f>H2634*[161]Input!$D$47</f>
        <v>456.03199999999998</v>
      </c>
      <c r="I2635" s="408">
        <f>I2634*[161]Input!$D$47</f>
        <v>570.04</v>
      </c>
      <c r="J2635" s="575">
        <f>J2634*[161]Input!$D$47</f>
        <v>684.048</v>
      </c>
      <c r="K2635" s="644">
        <f>K2634*[161]Input!$D$47</f>
        <v>798.05600000000004</v>
      </c>
      <c r="L2635" s="644">
        <f>L2634*[161]Input!$D$47</f>
        <v>912.06399999999996</v>
      </c>
    </row>
    <row r="2636" spans="1:64">
      <c r="A2636" s="454"/>
      <c r="B2636" s="454"/>
      <c r="C2636" s="469"/>
      <c r="D2636" s="408">
        <f t="shared" ref="D2636:L2636" si="623">SUM(D2633:D2635)</f>
        <v>6436.6574819999996</v>
      </c>
      <c r="E2636" s="408">
        <f t="shared" si="623"/>
        <v>6835.685481999999</v>
      </c>
      <c r="F2636" s="408">
        <f t="shared" si="623"/>
        <v>7234.7134819999992</v>
      </c>
      <c r="G2636" s="408">
        <f t="shared" si="623"/>
        <v>7633.7414820000004</v>
      </c>
      <c r="H2636" s="408">
        <f t="shared" si="623"/>
        <v>8032.7694819999997</v>
      </c>
      <c r="I2636" s="408">
        <f t="shared" si="623"/>
        <v>8431.7974819999981</v>
      </c>
      <c r="J2636" s="575">
        <f t="shared" si="623"/>
        <v>8830.8254820000002</v>
      </c>
      <c r="K2636" s="644">
        <f t="shared" si="623"/>
        <v>9229.8534820000004</v>
      </c>
      <c r="L2636" s="644">
        <f t="shared" si="623"/>
        <v>9628.8814819999989</v>
      </c>
    </row>
    <row r="2637" spans="1:64" ht="25">
      <c r="A2637" s="454"/>
      <c r="B2637" s="454"/>
      <c r="C2637" s="417" t="str">
        <f>[161]Input!$C$48</f>
        <v>Overheads &amp; Contractors Profit @ 13.615%</v>
      </c>
      <c r="D2637" s="408">
        <f>ROUND(D2636*[161]Input!$D$48,2)</f>
        <v>876.35</v>
      </c>
      <c r="E2637" s="408">
        <f>ROUND(E2636*[161]Input!$D$48,2)</f>
        <v>930.68</v>
      </c>
      <c r="F2637" s="408">
        <f>ROUND(F2636*[161]Input!$D$48,2)</f>
        <v>985.01</v>
      </c>
      <c r="G2637" s="408">
        <f>ROUND(G2636*[161]Input!$D$48,2)</f>
        <v>1039.33</v>
      </c>
      <c r="H2637" s="408">
        <f>ROUND(H2636*[161]Input!$D$48,2)</f>
        <v>1093.6600000000001</v>
      </c>
      <c r="I2637" s="408">
        <f>ROUND(I2636*[161]Input!$D$48,2)</f>
        <v>1147.99</v>
      </c>
      <c r="J2637" s="575">
        <f>ROUND(J2636*[161]Input!$D$48,2)</f>
        <v>1202.32</v>
      </c>
      <c r="K2637" s="644">
        <f>ROUND(K2636*[161]Input!$D$48,2)</f>
        <v>1256.6400000000001</v>
      </c>
      <c r="L2637" s="644">
        <f>ROUND(L2636*[161]Input!$D$48,2)</f>
        <v>1310.97</v>
      </c>
    </row>
    <row r="2638" spans="1:64" ht="13">
      <c r="A2638" s="454"/>
      <c r="B2638" s="454"/>
      <c r="C2638" s="481" t="s">
        <v>1047</v>
      </c>
      <c r="D2638" s="408">
        <f t="shared" ref="D2638:L2638" si="624">SUM(D2636:D2637)</f>
        <v>7313.007482</v>
      </c>
      <c r="E2638" s="408">
        <f t="shared" si="624"/>
        <v>7766.3654819999992</v>
      </c>
      <c r="F2638" s="408">
        <f t="shared" si="624"/>
        <v>8219.7234819999994</v>
      </c>
      <c r="G2638" s="408">
        <f t="shared" si="624"/>
        <v>8673.0714819999994</v>
      </c>
      <c r="H2638" s="408">
        <f t="shared" si="624"/>
        <v>9126.4294819999996</v>
      </c>
      <c r="I2638" s="408">
        <f t="shared" si="624"/>
        <v>9579.7874819999979</v>
      </c>
      <c r="J2638" s="645">
        <f t="shared" si="624"/>
        <v>10033.145482</v>
      </c>
      <c r="K2638" s="646">
        <f t="shared" si="624"/>
        <v>10486.493482</v>
      </c>
      <c r="L2638" s="646">
        <f t="shared" si="624"/>
        <v>10939.851481999998</v>
      </c>
      <c r="M2638" s="554"/>
      <c r="N2638" s="554"/>
      <c r="O2638" s="554"/>
      <c r="P2638" s="554"/>
      <c r="Q2638" s="554"/>
      <c r="R2638" s="554"/>
      <c r="S2638" s="554"/>
      <c r="T2638" s="554"/>
      <c r="U2638" s="554"/>
      <c r="V2638" s="554"/>
      <c r="W2638" s="554"/>
      <c r="X2638" s="554"/>
      <c r="Y2638" s="554"/>
      <c r="Z2638" s="554"/>
      <c r="AA2638" s="554"/>
      <c r="AB2638" s="554"/>
      <c r="AC2638" s="554"/>
      <c r="AD2638" s="554"/>
      <c r="AE2638" s="554"/>
      <c r="AF2638" s="554"/>
      <c r="AG2638" s="554"/>
      <c r="AH2638" s="554"/>
      <c r="AI2638" s="554"/>
      <c r="AJ2638" s="554"/>
      <c r="AK2638" s="554"/>
      <c r="AL2638" s="554"/>
      <c r="AM2638" s="554"/>
      <c r="AN2638" s="554"/>
      <c r="AO2638" s="554"/>
      <c r="AP2638" s="554"/>
      <c r="AQ2638" s="554"/>
      <c r="AR2638" s="554"/>
      <c r="AS2638" s="554"/>
      <c r="AT2638" s="554"/>
      <c r="AU2638" s="554"/>
      <c r="AV2638" s="554"/>
      <c r="AW2638" s="554"/>
      <c r="AX2638" s="554"/>
      <c r="AY2638" s="554"/>
      <c r="AZ2638" s="554"/>
      <c r="BA2638" s="554"/>
      <c r="BB2638" s="554"/>
      <c r="BC2638" s="554"/>
      <c r="BD2638" s="554"/>
      <c r="BE2638" s="554"/>
      <c r="BF2638" s="554"/>
      <c r="BG2638" s="554"/>
      <c r="BH2638" s="554"/>
      <c r="BI2638" s="554"/>
      <c r="BJ2638" s="554"/>
      <c r="BK2638" s="554"/>
      <c r="BL2638" s="554"/>
    </row>
    <row r="2639" spans="1:64" ht="13">
      <c r="A2639" s="454"/>
      <c r="B2639" s="454"/>
      <c r="C2639" s="481" t="s">
        <v>845</v>
      </c>
      <c r="D2639" s="414">
        <f t="shared" ref="D2639:L2639" si="625">D2638/10</f>
        <v>731.30074820000004</v>
      </c>
      <c r="E2639" s="414">
        <f t="shared" si="625"/>
        <v>776.63654819999988</v>
      </c>
      <c r="F2639" s="414">
        <f t="shared" si="625"/>
        <v>821.97234819999994</v>
      </c>
      <c r="G2639" s="414">
        <f t="shared" si="625"/>
        <v>867.30714819999992</v>
      </c>
      <c r="H2639" s="414">
        <f t="shared" si="625"/>
        <v>912.64294819999998</v>
      </c>
      <c r="I2639" s="414">
        <f t="shared" si="625"/>
        <v>957.97874819999981</v>
      </c>
      <c r="J2639" s="638">
        <f t="shared" si="625"/>
        <v>1003.3145482</v>
      </c>
      <c r="K2639" s="636">
        <f t="shared" si="625"/>
        <v>1048.6493482000001</v>
      </c>
      <c r="L2639" s="636">
        <f t="shared" si="625"/>
        <v>1093.9851481999999</v>
      </c>
      <c r="M2639" s="554"/>
      <c r="N2639" s="554"/>
      <c r="O2639" s="554"/>
      <c r="P2639" s="554"/>
      <c r="Q2639" s="554"/>
      <c r="R2639" s="554"/>
      <c r="S2639" s="554"/>
      <c r="T2639" s="554"/>
      <c r="U2639" s="554"/>
      <c r="V2639" s="554"/>
      <c r="W2639" s="554"/>
      <c r="X2639" s="554"/>
      <c r="Y2639" s="554"/>
      <c r="Z2639" s="554"/>
      <c r="AA2639" s="554"/>
      <c r="AB2639" s="554"/>
      <c r="AC2639" s="554"/>
      <c r="AD2639" s="554"/>
      <c r="AE2639" s="554"/>
      <c r="AF2639" s="554"/>
      <c r="AG2639" s="554"/>
      <c r="AH2639" s="554"/>
      <c r="AI2639" s="554"/>
      <c r="AJ2639" s="554"/>
      <c r="AK2639" s="554"/>
      <c r="AL2639" s="554"/>
      <c r="AM2639" s="554"/>
      <c r="AN2639" s="554"/>
      <c r="AO2639" s="554"/>
      <c r="AP2639" s="554"/>
      <c r="AQ2639" s="554"/>
      <c r="AR2639" s="554"/>
      <c r="AS2639" s="554"/>
      <c r="AT2639" s="554"/>
      <c r="AU2639" s="554"/>
      <c r="AV2639" s="554"/>
      <c r="AW2639" s="554"/>
      <c r="AX2639" s="554"/>
      <c r="AY2639" s="554"/>
      <c r="AZ2639" s="554"/>
      <c r="BA2639" s="554"/>
      <c r="BB2639" s="554"/>
      <c r="BC2639" s="554"/>
      <c r="BD2639" s="554"/>
      <c r="BE2639" s="554"/>
      <c r="BF2639" s="554"/>
      <c r="BG2639" s="554"/>
      <c r="BH2639" s="554"/>
      <c r="BI2639" s="554"/>
      <c r="BJ2639" s="554"/>
      <c r="BK2639" s="554"/>
      <c r="BL2639" s="554"/>
    </row>
    <row r="2640" spans="1:64" ht="13">
      <c r="A2640" s="454"/>
      <c r="B2640" s="454"/>
      <c r="C2640" s="522" t="s">
        <v>726</v>
      </c>
      <c r="D2640" s="416">
        <f t="shared" ref="D2640:L2640" si="626">ROUND(D2639,0)</f>
        <v>731</v>
      </c>
      <c r="E2640" s="416">
        <f t="shared" si="626"/>
        <v>777</v>
      </c>
      <c r="F2640" s="416">
        <f t="shared" si="626"/>
        <v>822</v>
      </c>
      <c r="G2640" s="416">
        <f t="shared" si="626"/>
        <v>867</v>
      </c>
      <c r="H2640" s="416">
        <f t="shared" si="626"/>
        <v>913</v>
      </c>
      <c r="I2640" s="416">
        <f t="shared" si="626"/>
        <v>958</v>
      </c>
      <c r="J2640" s="533">
        <f t="shared" si="626"/>
        <v>1003</v>
      </c>
      <c r="K2640" s="534">
        <f t="shared" si="626"/>
        <v>1049</v>
      </c>
      <c r="L2640" s="534">
        <f t="shared" si="626"/>
        <v>1094</v>
      </c>
      <c r="M2640" s="554"/>
      <c r="N2640" s="554"/>
      <c r="O2640" s="554"/>
      <c r="P2640" s="554"/>
      <c r="Q2640" s="554"/>
      <c r="R2640" s="554"/>
      <c r="S2640" s="554"/>
      <c r="T2640" s="554"/>
      <c r="U2640" s="554"/>
      <c r="V2640" s="554"/>
      <c r="W2640" s="554"/>
      <c r="X2640" s="554"/>
      <c r="Y2640" s="554"/>
      <c r="Z2640" s="554"/>
      <c r="AA2640" s="554"/>
      <c r="AB2640" s="554"/>
      <c r="AC2640" s="554"/>
      <c r="AD2640" s="554"/>
      <c r="AE2640" s="554"/>
      <c r="AF2640" s="554"/>
      <c r="AG2640" s="554"/>
      <c r="AH2640" s="554"/>
      <c r="AI2640" s="554"/>
      <c r="AJ2640" s="554"/>
      <c r="AK2640" s="554"/>
      <c r="AL2640" s="554"/>
      <c r="AM2640" s="554"/>
      <c r="AN2640" s="554"/>
      <c r="AO2640" s="554"/>
      <c r="AP2640" s="554"/>
      <c r="AQ2640" s="554"/>
      <c r="AR2640" s="554"/>
      <c r="AS2640" s="554"/>
      <c r="AT2640" s="554"/>
      <c r="AU2640" s="554"/>
      <c r="AV2640" s="554"/>
      <c r="AW2640" s="554"/>
      <c r="AX2640" s="554"/>
      <c r="AY2640" s="554"/>
      <c r="AZ2640" s="554"/>
      <c r="BA2640" s="554"/>
      <c r="BB2640" s="554"/>
      <c r="BC2640" s="554"/>
      <c r="BD2640" s="554"/>
      <c r="BE2640" s="554"/>
      <c r="BF2640" s="554"/>
      <c r="BG2640" s="554"/>
      <c r="BH2640" s="554"/>
      <c r="BI2640" s="554"/>
      <c r="BJ2640" s="554"/>
      <c r="BK2640" s="554"/>
      <c r="BL2640" s="554"/>
    </row>
    <row r="2641" spans="1:64" ht="13">
      <c r="A2641" s="454"/>
      <c r="B2641" s="454"/>
      <c r="C2641" s="427"/>
      <c r="D2641" s="408"/>
      <c r="E2641" s="416"/>
      <c r="F2641" s="416"/>
      <c r="G2641" s="416"/>
      <c r="H2641" s="416"/>
      <c r="I2641" s="414"/>
      <c r="J2641" s="400"/>
      <c r="K2641" s="401"/>
      <c r="L2641" s="401"/>
    </row>
    <row r="2642" spans="1:64" ht="97.75" customHeight="1">
      <c r="A2642" s="454">
        <f>1+A2508</f>
        <v>10</v>
      </c>
      <c r="B2642" s="454"/>
      <c r="C2642" s="1276" t="s">
        <v>1179</v>
      </c>
      <c r="D2642" s="1276"/>
      <c r="E2642" s="1276"/>
      <c r="F2642" s="1276"/>
      <c r="G2642" s="1276"/>
      <c r="H2642" s="1276"/>
      <c r="I2642" s="407"/>
      <c r="J2642" s="400"/>
      <c r="K2642" s="401"/>
      <c r="L2642" s="401"/>
    </row>
    <row r="2643" spans="1:64" ht="13">
      <c r="A2643" s="454"/>
      <c r="B2643" s="454"/>
      <c r="C2643" s="455" t="s">
        <v>1180</v>
      </c>
      <c r="D2643" s="426"/>
      <c r="E2643" s="426"/>
      <c r="F2643" s="426"/>
      <c r="G2643" s="426"/>
      <c r="H2643" s="426"/>
      <c r="I2643" s="409"/>
      <c r="J2643" s="400"/>
      <c r="K2643" s="401"/>
      <c r="L2643" s="401"/>
    </row>
    <row r="2644" spans="1:64">
      <c r="A2644" s="454"/>
      <c r="B2644" s="454"/>
      <c r="C2644" s="483" t="s">
        <v>1167</v>
      </c>
      <c r="D2644" s="426"/>
      <c r="E2644" s="426"/>
      <c r="F2644" s="426"/>
      <c r="G2644" s="426"/>
      <c r="H2644" s="426"/>
      <c r="I2644" s="409"/>
      <c r="J2644" s="400"/>
      <c r="K2644" s="401"/>
      <c r="L2644" s="401"/>
    </row>
    <row r="2645" spans="1:64">
      <c r="A2645" s="454"/>
      <c r="B2645" s="454"/>
      <c r="C2645" s="483" t="s">
        <v>1168</v>
      </c>
      <c r="D2645" s="409"/>
      <c r="E2645" s="426"/>
      <c r="F2645" s="409"/>
      <c r="G2645" s="410"/>
      <c r="H2645" s="426"/>
      <c r="I2645" s="408"/>
      <c r="J2645" s="400"/>
      <c r="K2645" s="401"/>
      <c r="L2645" s="401"/>
    </row>
    <row r="2646" spans="1:64" ht="25">
      <c r="A2646" s="458"/>
      <c r="B2646" s="458"/>
      <c r="C2646" s="417" t="s">
        <v>1181</v>
      </c>
      <c r="D2646" s="432">
        <v>10.5</v>
      </c>
      <c r="E2646" s="406" t="s">
        <v>62</v>
      </c>
      <c r="F2646" s="432">
        <f>'[161]Civil-SOR'!$G$16</f>
        <v>315</v>
      </c>
      <c r="G2646" s="431">
        <v>1</v>
      </c>
      <c r="H2646" s="406" t="s">
        <v>62</v>
      </c>
      <c r="I2646" s="459">
        <f t="shared" ref="I2646:I2650" si="627">IF(G2646="",D2646*F2646,(D2646*F2646/G2646))</f>
        <v>3307.5</v>
      </c>
      <c r="J2646" s="462"/>
      <c r="K2646" s="463"/>
      <c r="L2646" s="463"/>
      <c r="M2646" s="559"/>
      <c r="N2646" s="559"/>
      <c r="O2646" s="559"/>
      <c r="P2646" s="559"/>
      <c r="Q2646" s="559"/>
      <c r="R2646" s="559"/>
      <c r="S2646" s="559"/>
      <c r="T2646" s="559"/>
      <c r="U2646" s="559"/>
      <c r="V2646" s="559"/>
      <c r="W2646" s="559"/>
      <c r="X2646" s="559"/>
      <c r="Y2646" s="559"/>
      <c r="Z2646" s="559"/>
      <c r="AA2646" s="559"/>
      <c r="AB2646" s="559"/>
      <c r="AC2646" s="559"/>
      <c r="AD2646" s="559"/>
      <c r="AE2646" s="559"/>
      <c r="AF2646" s="559"/>
      <c r="AG2646" s="559"/>
      <c r="AH2646" s="559"/>
      <c r="AI2646" s="559"/>
      <c r="AJ2646" s="559"/>
      <c r="AK2646" s="559"/>
      <c r="AL2646" s="559"/>
      <c r="AM2646" s="559"/>
      <c r="AN2646" s="559"/>
      <c r="AO2646" s="559"/>
      <c r="AP2646" s="559"/>
      <c r="AQ2646" s="559"/>
      <c r="AR2646" s="559"/>
      <c r="AS2646" s="559"/>
      <c r="AT2646" s="559"/>
      <c r="AU2646" s="559"/>
      <c r="AV2646" s="559"/>
      <c r="AW2646" s="559"/>
      <c r="AX2646" s="559"/>
      <c r="AY2646" s="559"/>
      <c r="AZ2646" s="559"/>
      <c r="BA2646" s="559"/>
      <c r="BB2646" s="559"/>
      <c r="BC2646" s="559"/>
      <c r="BD2646" s="559"/>
      <c r="BE2646" s="559"/>
      <c r="BF2646" s="559"/>
      <c r="BG2646" s="559"/>
      <c r="BH2646" s="559"/>
      <c r="BI2646" s="559"/>
      <c r="BJ2646" s="559"/>
      <c r="BK2646" s="559"/>
      <c r="BL2646" s="559"/>
    </row>
    <row r="2647" spans="1:64" ht="25">
      <c r="A2647" s="458"/>
      <c r="B2647" s="458"/>
      <c r="C2647" s="417" t="s">
        <v>1182</v>
      </c>
      <c r="D2647" s="432">
        <v>21.6</v>
      </c>
      <c r="E2647" s="406" t="s">
        <v>833</v>
      </c>
      <c r="F2647" s="432">
        <f>[161]LEAD!$N$6</f>
        <v>5200</v>
      </c>
      <c r="G2647" s="431">
        <v>1000</v>
      </c>
      <c r="H2647" s="406" t="s">
        <v>833</v>
      </c>
      <c r="I2647" s="459">
        <f t="shared" si="627"/>
        <v>112.32000000000002</v>
      </c>
      <c r="J2647" s="462"/>
      <c r="K2647" s="463"/>
      <c r="L2647" s="463"/>
      <c r="M2647" s="559"/>
      <c r="N2647" s="559"/>
      <c r="O2647" s="559"/>
      <c r="P2647" s="559"/>
      <c r="Q2647" s="559"/>
      <c r="R2647" s="559"/>
      <c r="S2647" s="559"/>
      <c r="T2647" s="559"/>
      <c r="U2647" s="559"/>
      <c r="V2647" s="559"/>
      <c r="W2647" s="559"/>
      <c r="X2647" s="559"/>
      <c r="Y2647" s="559"/>
      <c r="Z2647" s="559"/>
      <c r="AA2647" s="559"/>
      <c r="AB2647" s="559"/>
      <c r="AC2647" s="559"/>
      <c r="AD2647" s="559"/>
      <c r="AE2647" s="559"/>
      <c r="AF2647" s="559"/>
      <c r="AG2647" s="559"/>
      <c r="AH2647" s="559"/>
      <c r="AI2647" s="559"/>
      <c r="AJ2647" s="559"/>
      <c r="AK2647" s="559"/>
      <c r="AL2647" s="559"/>
      <c r="AM2647" s="559"/>
      <c r="AN2647" s="559"/>
      <c r="AO2647" s="559"/>
      <c r="AP2647" s="559"/>
      <c r="AQ2647" s="559"/>
      <c r="AR2647" s="559"/>
      <c r="AS2647" s="559"/>
      <c r="AT2647" s="559"/>
      <c r="AU2647" s="559"/>
      <c r="AV2647" s="559"/>
      <c r="AW2647" s="559"/>
      <c r="AX2647" s="559"/>
      <c r="AY2647" s="559"/>
      <c r="AZ2647" s="559"/>
      <c r="BA2647" s="559"/>
      <c r="BB2647" s="559"/>
      <c r="BC2647" s="559"/>
      <c r="BD2647" s="559"/>
      <c r="BE2647" s="559"/>
      <c r="BF2647" s="559"/>
      <c r="BG2647" s="559"/>
      <c r="BH2647" s="559"/>
      <c r="BI2647" s="559"/>
      <c r="BJ2647" s="559"/>
      <c r="BK2647" s="559"/>
      <c r="BL2647" s="559"/>
    </row>
    <row r="2648" spans="1:64">
      <c r="A2648" s="458"/>
      <c r="B2648" s="458"/>
      <c r="C2648" s="417" t="s">
        <v>1171</v>
      </c>
      <c r="D2648" s="432">
        <v>33</v>
      </c>
      <c r="E2648" s="406" t="s">
        <v>833</v>
      </c>
      <c r="F2648" s="432">
        <f>[161]LEAD!$N$6</f>
        <v>5200</v>
      </c>
      <c r="G2648" s="431">
        <v>1000</v>
      </c>
      <c r="H2648" s="406" t="s">
        <v>833</v>
      </c>
      <c r="I2648" s="459">
        <f t="shared" si="627"/>
        <v>171.6</v>
      </c>
      <c r="J2648" s="462"/>
      <c r="K2648" s="463"/>
      <c r="L2648" s="463"/>
      <c r="M2648" s="559"/>
      <c r="N2648" s="559"/>
      <c r="O2648" s="559"/>
      <c r="P2648" s="559"/>
      <c r="Q2648" s="559"/>
      <c r="R2648" s="559"/>
      <c r="S2648" s="559"/>
      <c r="T2648" s="559"/>
      <c r="U2648" s="559"/>
      <c r="V2648" s="559"/>
      <c r="W2648" s="559"/>
      <c r="X2648" s="559"/>
      <c r="Y2648" s="559"/>
      <c r="Z2648" s="559"/>
      <c r="AA2648" s="559"/>
      <c r="AB2648" s="559"/>
      <c r="AC2648" s="559"/>
      <c r="AD2648" s="559"/>
      <c r="AE2648" s="559"/>
      <c r="AF2648" s="559"/>
      <c r="AG2648" s="559"/>
      <c r="AH2648" s="559"/>
      <c r="AI2648" s="559"/>
      <c r="AJ2648" s="559"/>
      <c r="AK2648" s="559"/>
      <c r="AL2648" s="559"/>
      <c r="AM2648" s="559"/>
      <c r="AN2648" s="559"/>
      <c r="AO2648" s="559"/>
      <c r="AP2648" s="559"/>
      <c r="AQ2648" s="559"/>
      <c r="AR2648" s="559"/>
      <c r="AS2648" s="559"/>
      <c r="AT2648" s="559"/>
      <c r="AU2648" s="559"/>
      <c r="AV2648" s="559"/>
      <c r="AW2648" s="559"/>
      <c r="AX2648" s="559"/>
      <c r="AY2648" s="559"/>
      <c r="AZ2648" s="559"/>
      <c r="BA2648" s="559"/>
      <c r="BB2648" s="559"/>
      <c r="BC2648" s="559"/>
      <c r="BD2648" s="559"/>
      <c r="BE2648" s="559"/>
      <c r="BF2648" s="559"/>
      <c r="BG2648" s="559"/>
      <c r="BH2648" s="559"/>
      <c r="BI2648" s="559"/>
      <c r="BJ2648" s="559"/>
      <c r="BK2648" s="559"/>
      <c r="BL2648" s="559"/>
    </row>
    <row r="2649" spans="1:64">
      <c r="A2649" s="458"/>
      <c r="B2649" s="458"/>
      <c r="C2649" s="417" t="s">
        <v>1183</v>
      </c>
      <c r="D2649" s="432">
        <v>2</v>
      </c>
      <c r="E2649" s="406" t="s">
        <v>833</v>
      </c>
      <c r="F2649" s="432">
        <f>'[161]Civil-SOR'!$G$185</f>
        <v>34</v>
      </c>
      <c r="G2649" s="431">
        <v>1</v>
      </c>
      <c r="H2649" s="406" t="s">
        <v>312</v>
      </c>
      <c r="I2649" s="459">
        <f t="shared" si="627"/>
        <v>68</v>
      </c>
      <c r="J2649" s="462"/>
      <c r="K2649" s="463"/>
      <c r="L2649" s="463"/>
      <c r="M2649" s="559"/>
      <c r="N2649" s="559"/>
      <c r="O2649" s="559"/>
      <c r="P2649" s="559"/>
      <c r="Q2649" s="559"/>
      <c r="R2649" s="559"/>
      <c r="S2649" s="559"/>
      <c r="T2649" s="559"/>
      <c r="U2649" s="559"/>
      <c r="V2649" s="559"/>
      <c r="W2649" s="559"/>
      <c r="X2649" s="559"/>
      <c r="Y2649" s="559"/>
      <c r="Z2649" s="559"/>
      <c r="AA2649" s="559"/>
      <c r="AB2649" s="559"/>
      <c r="AC2649" s="559"/>
      <c r="AD2649" s="559"/>
      <c r="AE2649" s="559"/>
      <c r="AF2649" s="559"/>
      <c r="AG2649" s="559"/>
      <c r="AH2649" s="559"/>
      <c r="AI2649" s="559"/>
      <c r="AJ2649" s="559"/>
      <c r="AK2649" s="559"/>
      <c r="AL2649" s="559"/>
      <c r="AM2649" s="559"/>
      <c r="AN2649" s="559"/>
      <c r="AO2649" s="559"/>
      <c r="AP2649" s="559"/>
      <c r="AQ2649" s="559"/>
      <c r="AR2649" s="559"/>
      <c r="AS2649" s="559"/>
      <c r="AT2649" s="559"/>
      <c r="AU2649" s="559"/>
      <c r="AV2649" s="559"/>
      <c r="AW2649" s="559"/>
      <c r="AX2649" s="559"/>
      <c r="AY2649" s="559"/>
      <c r="AZ2649" s="559"/>
      <c r="BA2649" s="559"/>
      <c r="BB2649" s="559"/>
      <c r="BC2649" s="559"/>
      <c r="BD2649" s="559"/>
      <c r="BE2649" s="559"/>
      <c r="BF2649" s="559"/>
      <c r="BG2649" s="559"/>
      <c r="BH2649" s="559"/>
      <c r="BI2649" s="559"/>
      <c r="BJ2649" s="559"/>
      <c r="BK2649" s="559"/>
      <c r="BL2649" s="559"/>
    </row>
    <row r="2650" spans="1:64">
      <c r="A2650" s="458"/>
      <c r="B2650" s="458"/>
      <c r="C2650" s="417" t="s">
        <v>1173</v>
      </c>
      <c r="D2650" s="432">
        <v>0.12</v>
      </c>
      <c r="E2650" s="406" t="s">
        <v>57</v>
      </c>
      <c r="F2650" s="432">
        <f>[161]LEAD!$N$13</f>
        <v>2453.91</v>
      </c>
      <c r="G2650" s="431">
        <v>1</v>
      </c>
      <c r="H2650" s="406" t="s">
        <v>57</v>
      </c>
      <c r="I2650" s="459">
        <f t="shared" si="627"/>
        <v>294.46919999999994</v>
      </c>
      <c r="J2650" s="462"/>
      <c r="K2650" s="463"/>
      <c r="L2650" s="463"/>
      <c r="M2650" s="559"/>
      <c r="N2650" s="559"/>
      <c r="O2650" s="559"/>
      <c r="P2650" s="559"/>
      <c r="Q2650" s="559"/>
      <c r="R2650" s="559"/>
      <c r="S2650" s="559"/>
      <c r="T2650" s="559"/>
      <c r="U2650" s="559"/>
      <c r="V2650" s="559"/>
      <c r="W2650" s="559"/>
      <c r="X2650" s="559"/>
      <c r="Y2650" s="559"/>
      <c r="Z2650" s="559"/>
      <c r="AA2650" s="559"/>
      <c r="AB2650" s="559"/>
      <c r="AC2650" s="559"/>
      <c r="AD2650" s="559"/>
      <c r="AE2650" s="559"/>
      <c r="AF2650" s="559"/>
      <c r="AG2650" s="559"/>
      <c r="AH2650" s="559"/>
      <c r="AI2650" s="559"/>
      <c r="AJ2650" s="559"/>
      <c r="AK2650" s="559"/>
      <c r="AL2650" s="559"/>
      <c r="AM2650" s="559"/>
      <c r="AN2650" s="559"/>
      <c r="AO2650" s="559"/>
      <c r="AP2650" s="559"/>
      <c r="AQ2650" s="559"/>
      <c r="AR2650" s="559"/>
      <c r="AS2650" s="559"/>
      <c r="AT2650" s="559"/>
      <c r="AU2650" s="559"/>
      <c r="AV2650" s="559"/>
      <c r="AW2650" s="559"/>
      <c r="AX2650" s="559"/>
      <c r="AY2650" s="559"/>
      <c r="AZ2650" s="559"/>
      <c r="BA2650" s="559"/>
      <c r="BB2650" s="559"/>
      <c r="BC2650" s="559"/>
      <c r="BD2650" s="559"/>
      <c r="BE2650" s="559"/>
      <c r="BF2650" s="559"/>
      <c r="BG2650" s="559"/>
      <c r="BH2650" s="559"/>
      <c r="BI2650" s="559"/>
      <c r="BJ2650" s="559"/>
      <c r="BK2650" s="559"/>
      <c r="BL2650" s="559"/>
    </row>
    <row r="2651" spans="1:64" ht="13">
      <c r="A2651" s="458"/>
      <c r="B2651" s="458"/>
      <c r="C2651" s="427" t="s">
        <v>1073</v>
      </c>
      <c r="D2651" s="432"/>
      <c r="E2651" s="406"/>
      <c r="F2651" s="432"/>
      <c r="G2651" s="431"/>
      <c r="H2651" s="406"/>
      <c r="I2651" s="459"/>
      <c r="J2651" s="462"/>
      <c r="K2651" s="463"/>
      <c r="L2651" s="463"/>
      <c r="M2651" s="559"/>
      <c r="N2651" s="559"/>
      <c r="O2651" s="559"/>
      <c r="P2651" s="559"/>
      <c r="Q2651" s="559"/>
      <c r="R2651" s="559"/>
      <c r="S2651" s="559"/>
      <c r="T2651" s="559"/>
      <c r="U2651" s="559"/>
      <c r="V2651" s="559"/>
      <c r="W2651" s="559"/>
      <c r="X2651" s="559"/>
      <c r="Y2651" s="559"/>
      <c r="Z2651" s="559"/>
      <c r="AA2651" s="559"/>
      <c r="AB2651" s="559"/>
      <c r="AC2651" s="559"/>
      <c r="AD2651" s="559"/>
      <c r="AE2651" s="559"/>
      <c r="AF2651" s="559"/>
      <c r="AG2651" s="559"/>
      <c r="AH2651" s="559"/>
      <c r="AI2651" s="559"/>
      <c r="AJ2651" s="559"/>
      <c r="AK2651" s="559"/>
      <c r="AL2651" s="559"/>
      <c r="AM2651" s="559"/>
      <c r="AN2651" s="559"/>
      <c r="AO2651" s="559"/>
      <c r="AP2651" s="559"/>
      <c r="AQ2651" s="559"/>
      <c r="AR2651" s="559"/>
      <c r="AS2651" s="559"/>
      <c r="AT2651" s="559"/>
      <c r="AU2651" s="559"/>
      <c r="AV2651" s="559"/>
      <c r="AW2651" s="559"/>
      <c r="AX2651" s="559"/>
      <c r="AY2651" s="559"/>
      <c r="AZ2651" s="559"/>
      <c r="BA2651" s="559"/>
      <c r="BB2651" s="559"/>
      <c r="BC2651" s="559"/>
      <c r="BD2651" s="559"/>
      <c r="BE2651" s="559"/>
      <c r="BF2651" s="559"/>
      <c r="BG2651" s="559"/>
      <c r="BH2651" s="559"/>
      <c r="BI2651" s="559"/>
      <c r="BJ2651" s="559"/>
      <c r="BK2651" s="559"/>
      <c r="BL2651" s="559"/>
    </row>
    <row r="2652" spans="1:64">
      <c r="A2652" s="458"/>
      <c r="B2652" s="458"/>
      <c r="C2652" s="417" t="s">
        <v>1044</v>
      </c>
      <c r="D2652" s="432">
        <v>0.96</v>
      </c>
      <c r="E2652" s="406" t="s">
        <v>14</v>
      </c>
      <c r="F2652" s="432">
        <f>'[161]Civil-SOR'!$G$293</f>
        <v>580</v>
      </c>
      <c r="G2652" s="431">
        <v>1</v>
      </c>
      <c r="H2652" s="406" t="s">
        <v>572</v>
      </c>
      <c r="I2652" s="459">
        <f t="shared" ref="I2652:I2656" si="628">IF(G2652="",D2652*F2652,(D2652*F2652/G2652))</f>
        <v>556.79999999999995</v>
      </c>
      <c r="J2652" s="462"/>
      <c r="K2652" s="463"/>
      <c r="L2652" s="463"/>
      <c r="M2652" s="559"/>
      <c r="N2652" s="559"/>
      <c r="O2652" s="559"/>
      <c r="P2652" s="559"/>
      <c r="Q2652" s="559"/>
      <c r="R2652" s="559"/>
      <c r="S2652" s="559"/>
      <c r="T2652" s="559"/>
      <c r="U2652" s="559"/>
      <c r="V2652" s="559"/>
      <c r="W2652" s="559"/>
      <c r="X2652" s="559"/>
      <c r="Y2652" s="559"/>
      <c r="Z2652" s="559"/>
      <c r="AA2652" s="559"/>
      <c r="AB2652" s="559"/>
      <c r="AC2652" s="559"/>
      <c r="AD2652" s="559"/>
      <c r="AE2652" s="559"/>
      <c r="AF2652" s="559"/>
      <c r="AG2652" s="559"/>
      <c r="AH2652" s="559"/>
      <c r="AI2652" s="559"/>
      <c r="AJ2652" s="559"/>
      <c r="AK2652" s="559"/>
      <c r="AL2652" s="559"/>
      <c r="AM2652" s="559"/>
      <c r="AN2652" s="559"/>
      <c r="AO2652" s="559"/>
      <c r="AP2652" s="559"/>
      <c r="AQ2652" s="559"/>
      <c r="AR2652" s="559"/>
      <c r="AS2652" s="559"/>
      <c r="AT2652" s="559"/>
      <c r="AU2652" s="559"/>
      <c r="AV2652" s="559"/>
      <c r="AW2652" s="559"/>
      <c r="AX2652" s="559"/>
      <c r="AY2652" s="559"/>
      <c r="AZ2652" s="559"/>
      <c r="BA2652" s="559"/>
      <c r="BB2652" s="559"/>
      <c r="BC2652" s="559"/>
      <c r="BD2652" s="559"/>
      <c r="BE2652" s="559"/>
      <c r="BF2652" s="559"/>
      <c r="BG2652" s="559"/>
      <c r="BH2652" s="559"/>
      <c r="BI2652" s="559"/>
      <c r="BJ2652" s="559"/>
      <c r="BK2652" s="559"/>
      <c r="BL2652" s="559"/>
    </row>
    <row r="2653" spans="1:64">
      <c r="A2653" s="458"/>
      <c r="B2653" s="458"/>
      <c r="C2653" s="417" t="s">
        <v>1074</v>
      </c>
      <c r="D2653" s="432">
        <v>2.2400000000000002</v>
      </c>
      <c r="E2653" s="406" t="s">
        <v>14</v>
      </c>
      <c r="F2653" s="432">
        <f>'[161]Civil-SOR'!$G$302</f>
        <v>550</v>
      </c>
      <c r="G2653" s="431">
        <v>1</v>
      </c>
      <c r="H2653" s="406" t="s">
        <v>572</v>
      </c>
      <c r="I2653" s="459">
        <f t="shared" si="628"/>
        <v>1232.0000000000002</v>
      </c>
      <c r="J2653" s="462"/>
      <c r="K2653" s="463"/>
      <c r="L2653" s="463"/>
      <c r="M2653" s="559"/>
      <c r="N2653" s="559"/>
      <c r="O2653" s="559"/>
      <c r="P2653" s="559"/>
      <c r="Q2653" s="559"/>
      <c r="R2653" s="559"/>
      <c r="S2653" s="559"/>
      <c r="T2653" s="559"/>
      <c r="U2653" s="559"/>
      <c r="V2653" s="559"/>
      <c r="W2653" s="559"/>
      <c r="X2653" s="559"/>
      <c r="Y2653" s="559"/>
      <c r="Z2653" s="559"/>
      <c r="AA2653" s="559"/>
      <c r="AB2653" s="559"/>
      <c r="AC2653" s="559"/>
      <c r="AD2653" s="559"/>
      <c r="AE2653" s="559"/>
      <c r="AF2653" s="559"/>
      <c r="AG2653" s="559"/>
      <c r="AH2653" s="559"/>
      <c r="AI2653" s="559"/>
      <c r="AJ2653" s="559"/>
      <c r="AK2653" s="559"/>
      <c r="AL2653" s="559"/>
      <c r="AM2653" s="559"/>
      <c r="AN2653" s="559"/>
      <c r="AO2653" s="559"/>
      <c r="AP2653" s="559"/>
      <c r="AQ2653" s="559"/>
      <c r="AR2653" s="559"/>
      <c r="AS2653" s="559"/>
      <c r="AT2653" s="559"/>
      <c r="AU2653" s="559"/>
      <c r="AV2653" s="559"/>
      <c r="AW2653" s="559"/>
      <c r="AX2653" s="559"/>
      <c r="AY2653" s="559"/>
      <c r="AZ2653" s="559"/>
      <c r="BA2653" s="559"/>
      <c r="BB2653" s="559"/>
      <c r="BC2653" s="559"/>
      <c r="BD2653" s="559"/>
      <c r="BE2653" s="559"/>
      <c r="BF2653" s="559"/>
      <c r="BG2653" s="559"/>
      <c r="BH2653" s="559"/>
      <c r="BI2653" s="559"/>
      <c r="BJ2653" s="559"/>
      <c r="BK2653" s="559"/>
      <c r="BL2653" s="559"/>
    </row>
    <row r="2654" spans="1:64">
      <c r="A2654" s="458"/>
      <c r="B2654" s="458"/>
      <c r="C2654" s="417" t="s">
        <v>1174</v>
      </c>
      <c r="D2654" s="432">
        <v>3.3</v>
      </c>
      <c r="E2654" s="406" t="s">
        <v>14</v>
      </c>
      <c r="F2654" s="432">
        <f>'[161]Civil-SOR'!$G$307</f>
        <v>520</v>
      </c>
      <c r="G2654" s="431">
        <v>1</v>
      </c>
      <c r="H2654" s="406" t="s">
        <v>572</v>
      </c>
      <c r="I2654" s="459">
        <f t="shared" si="628"/>
        <v>1716</v>
      </c>
      <c r="J2654" s="462"/>
      <c r="K2654" s="463"/>
      <c r="L2654" s="463"/>
      <c r="M2654" s="559"/>
      <c r="N2654" s="559"/>
      <c r="O2654" s="559"/>
      <c r="P2654" s="559"/>
      <c r="Q2654" s="559"/>
      <c r="R2654" s="559"/>
      <c r="S2654" s="559"/>
      <c r="T2654" s="559"/>
      <c r="U2654" s="559"/>
      <c r="V2654" s="559"/>
      <c r="W2654" s="559"/>
      <c r="X2654" s="559"/>
      <c r="Y2654" s="559"/>
      <c r="Z2654" s="559"/>
      <c r="AA2654" s="559"/>
      <c r="AB2654" s="559"/>
      <c r="AC2654" s="559"/>
      <c r="AD2654" s="559"/>
      <c r="AE2654" s="559"/>
      <c r="AF2654" s="559"/>
      <c r="AG2654" s="559"/>
      <c r="AH2654" s="559"/>
      <c r="AI2654" s="559"/>
      <c r="AJ2654" s="559"/>
      <c r="AK2654" s="559"/>
      <c r="AL2654" s="559"/>
      <c r="AM2654" s="559"/>
      <c r="AN2654" s="559"/>
      <c r="AO2654" s="559"/>
      <c r="AP2654" s="559"/>
      <c r="AQ2654" s="559"/>
      <c r="AR2654" s="559"/>
      <c r="AS2654" s="559"/>
      <c r="AT2654" s="559"/>
      <c r="AU2654" s="559"/>
      <c r="AV2654" s="559"/>
      <c r="AW2654" s="559"/>
      <c r="AX2654" s="559"/>
      <c r="AY2654" s="559"/>
      <c r="AZ2654" s="559"/>
      <c r="BA2654" s="559"/>
      <c r="BB2654" s="559"/>
      <c r="BC2654" s="559"/>
      <c r="BD2654" s="559"/>
      <c r="BE2654" s="559"/>
      <c r="BF2654" s="559"/>
      <c r="BG2654" s="559"/>
      <c r="BH2654" s="559"/>
      <c r="BI2654" s="559"/>
      <c r="BJ2654" s="559"/>
      <c r="BK2654" s="559"/>
      <c r="BL2654" s="559"/>
    </row>
    <row r="2655" spans="1:64">
      <c r="A2655" s="458"/>
      <c r="B2655" s="458"/>
      <c r="C2655" s="417" t="str">
        <f>[161]Input!$C$47</f>
        <v>Add for MA @ 40%</v>
      </c>
      <c r="D2655" s="622">
        <f>[161]Input!$D$47</f>
        <v>0.4</v>
      </c>
      <c r="E2655" s="406"/>
      <c r="F2655" s="432">
        <f>SUM(I2651:I2654)</f>
        <v>3504.8</v>
      </c>
      <c r="G2655" s="431"/>
      <c r="H2655" s="406"/>
      <c r="I2655" s="459">
        <f t="shared" si="628"/>
        <v>1401.92</v>
      </c>
      <c r="J2655" s="462"/>
      <c r="K2655" s="463"/>
      <c r="L2655" s="463"/>
      <c r="M2655" s="559"/>
      <c r="N2655" s="559"/>
      <c r="O2655" s="559"/>
      <c r="P2655" s="559"/>
      <c r="Q2655" s="559"/>
      <c r="R2655" s="559"/>
      <c r="S2655" s="559"/>
      <c r="T2655" s="559"/>
      <c r="U2655" s="559"/>
      <c r="V2655" s="559"/>
      <c r="W2655" s="559"/>
      <c r="X2655" s="559"/>
      <c r="Y2655" s="559"/>
      <c r="Z2655" s="559"/>
      <c r="AA2655" s="559"/>
      <c r="AB2655" s="559"/>
      <c r="AC2655" s="559"/>
      <c r="AD2655" s="559"/>
      <c r="AE2655" s="559"/>
      <c r="AF2655" s="559"/>
      <c r="AG2655" s="559"/>
      <c r="AH2655" s="559"/>
      <c r="AI2655" s="559"/>
      <c r="AJ2655" s="559"/>
      <c r="AK2655" s="559"/>
      <c r="AL2655" s="559"/>
      <c r="AM2655" s="559"/>
      <c r="AN2655" s="559"/>
      <c r="AO2655" s="559"/>
      <c r="AP2655" s="559"/>
      <c r="AQ2655" s="559"/>
      <c r="AR2655" s="559"/>
      <c r="AS2655" s="559"/>
      <c r="AT2655" s="559"/>
      <c r="AU2655" s="559"/>
      <c r="AV2655" s="559"/>
      <c r="AW2655" s="559"/>
      <c r="AX2655" s="559"/>
      <c r="AY2655" s="559"/>
      <c r="AZ2655" s="559"/>
      <c r="BA2655" s="559"/>
      <c r="BB2655" s="559"/>
      <c r="BC2655" s="559"/>
      <c r="BD2655" s="559"/>
      <c r="BE2655" s="559"/>
      <c r="BF2655" s="559"/>
      <c r="BG2655" s="559"/>
      <c r="BH2655" s="559"/>
      <c r="BI2655" s="559"/>
      <c r="BJ2655" s="559"/>
      <c r="BK2655" s="559"/>
      <c r="BL2655" s="559"/>
    </row>
    <row r="2656" spans="1:64">
      <c r="A2656" s="458"/>
      <c r="B2656" s="458"/>
      <c r="C2656" s="417" t="s">
        <v>1046</v>
      </c>
      <c r="D2656" s="432">
        <v>0.01</v>
      </c>
      <c r="E2656" s="406"/>
      <c r="F2656" s="432">
        <f>SUM(I2646:I2655)</f>
        <v>8860.609199999999</v>
      </c>
      <c r="G2656" s="431"/>
      <c r="H2656" s="406"/>
      <c r="I2656" s="459">
        <f t="shared" si="628"/>
        <v>88.60609199999999</v>
      </c>
      <c r="J2656" s="462"/>
      <c r="K2656" s="463"/>
      <c r="L2656" s="463"/>
      <c r="M2656" s="559"/>
      <c r="N2656" s="559"/>
      <c r="O2656" s="559"/>
      <c r="P2656" s="559"/>
      <c r="Q2656" s="559"/>
      <c r="R2656" s="559"/>
      <c r="S2656" s="559"/>
      <c r="T2656" s="559"/>
      <c r="U2656" s="559"/>
      <c r="V2656" s="559"/>
      <c r="W2656" s="559"/>
      <c r="X2656" s="559"/>
      <c r="Y2656" s="559"/>
      <c r="Z2656" s="559"/>
      <c r="AA2656" s="559"/>
      <c r="AB2656" s="559"/>
      <c r="AC2656" s="559"/>
      <c r="AD2656" s="559"/>
      <c r="AE2656" s="559"/>
      <c r="AF2656" s="559"/>
      <c r="AG2656" s="559"/>
      <c r="AH2656" s="559"/>
      <c r="AI2656" s="559"/>
      <c r="AJ2656" s="559"/>
      <c r="AK2656" s="559"/>
      <c r="AL2656" s="559"/>
      <c r="AM2656" s="559"/>
      <c r="AN2656" s="559"/>
      <c r="AO2656" s="559"/>
      <c r="AP2656" s="559"/>
      <c r="AQ2656" s="559"/>
      <c r="AR2656" s="559"/>
      <c r="AS2656" s="559"/>
      <c r="AT2656" s="559"/>
      <c r="AU2656" s="559"/>
      <c r="AV2656" s="559"/>
      <c r="AW2656" s="559"/>
      <c r="AX2656" s="559"/>
      <c r="AY2656" s="559"/>
      <c r="AZ2656" s="559"/>
      <c r="BA2656" s="559"/>
      <c r="BB2656" s="559"/>
      <c r="BC2656" s="559"/>
      <c r="BD2656" s="559"/>
      <c r="BE2656" s="559"/>
      <c r="BF2656" s="559"/>
      <c r="BG2656" s="559"/>
      <c r="BH2656" s="559"/>
      <c r="BI2656" s="559"/>
      <c r="BJ2656" s="559"/>
      <c r="BK2656" s="559"/>
      <c r="BL2656" s="559"/>
    </row>
    <row r="2657" spans="1:64" ht="13">
      <c r="A2657" s="454"/>
      <c r="B2657" s="454"/>
      <c r="C2657" s="666" t="s">
        <v>1184</v>
      </c>
      <c r="D2657" s="409"/>
      <c r="E2657" s="426"/>
      <c r="F2657" s="409"/>
      <c r="G2657" s="410"/>
      <c r="H2657" s="426"/>
      <c r="I2657" s="414">
        <f>SUM(I2646:I2656)</f>
        <v>8949.215291999999</v>
      </c>
      <c r="J2657" s="411"/>
      <c r="K2657" s="412"/>
      <c r="L2657" s="412"/>
      <c r="M2657" s="554"/>
      <c r="N2657" s="554"/>
      <c r="O2657" s="554"/>
      <c r="P2657" s="554"/>
      <c r="Q2657" s="554"/>
      <c r="R2657" s="554"/>
      <c r="S2657" s="554"/>
      <c r="T2657" s="554"/>
      <c r="U2657" s="554"/>
      <c r="V2657" s="554"/>
      <c r="W2657" s="554"/>
      <c r="X2657" s="554"/>
      <c r="Y2657" s="554"/>
      <c r="Z2657" s="554"/>
      <c r="AA2657" s="554"/>
      <c r="AB2657" s="554"/>
      <c r="AC2657" s="554"/>
      <c r="AD2657" s="554"/>
      <c r="AE2657" s="554"/>
      <c r="AF2657" s="554"/>
      <c r="AG2657" s="554"/>
      <c r="AH2657" s="554"/>
      <c r="AI2657" s="554"/>
      <c r="AJ2657" s="554"/>
      <c r="AK2657" s="554"/>
      <c r="AL2657" s="554"/>
      <c r="AM2657" s="554"/>
      <c r="AN2657" s="554"/>
      <c r="AO2657" s="554"/>
      <c r="AP2657" s="554"/>
      <c r="AQ2657" s="554"/>
      <c r="AR2657" s="554"/>
      <c r="AS2657" s="554"/>
      <c r="AT2657" s="554"/>
      <c r="AU2657" s="554"/>
      <c r="AV2657" s="554"/>
      <c r="AW2657" s="554"/>
      <c r="AX2657" s="554"/>
      <c r="AY2657" s="554"/>
      <c r="AZ2657" s="554"/>
      <c r="BA2657" s="554"/>
      <c r="BB2657" s="554"/>
      <c r="BC2657" s="554"/>
      <c r="BD2657" s="554"/>
      <c r="BE2657" s="554"/>
      <c r="BF2657" s="554"/>
      <c r="BG2657" s="554"/>
      <c r="BH2657" s="554"/>
      <c r="BI2657" s="554"/>
      <c r="BJ2657" s="554"/>
      <c r="BK2657" s="554"/>
      <c r="BL2657" s="554"/>
    </row>
    <row r="2658" spans="1:64">
      <c r="A2658" s="454"/>
      <c r="B2658" s="454"/>
      <c r="C2658" s="469"/>
      <c r="D2658" s="409"/>
      <c r="E2658" s="426"/>
      <c r="F2658" s="409"/>
      <c r="G2658" s="410"/>
      <c r="H2658" s="426"/>
      <c r="I2658" s="408"/>
      <c r="J2658" s="400"/>
      <c r="K2658" s="401"/>
      <c r="L2658" s="401"/>
    </row>
    <row r="2659" spans="1:64" ht="13">
      <c r="A2659" s="454"/>
      <c r="B2659" s="454"/>
      <c r="C2659" s="427" t="s">
        <v>953</v>
      </c>
      <c r="D2659" s="414" t="s">
        <v>959</v>
      </c>
      <c r="E2659" s="416" t="s">
        <v>943</v>
      </c>
      <c r="F2659" s="415" t="s">
        <v>944</v>
      </c>
      <c r="G2659" s="414" t="s">
        <v>1036</v>
      </c>
      <c r="H2659" s="414" t="s">
        <v>1037</v>
      </c>
      <c r="I2659" s="414" t="s">
        <v>1038</v>
      </c>
      <c r="J2659" s="400"/>
      <c r="K2659" s="401"/>
      <c r="L2659" s="401"/>
    </row>
    <row r="2660" spans="1:64">
      <c r="A2660" s="454"/>
      <c r="B2660" s="454"/>
      <c r="C2660" s="417" t="s">
        <v>1064</v>
      </c>
      <c r="D2660" s="408">
        <f t="shared" ref="D2660:I2660" si="629">$I$2657</f>
        <v>8949.215291999999</v>
      </c>
      <c r="E2660" s="408">
        <f t="shared" si="629"/>
        <v>8949.215291999999</v>
      </c>
      <c r="F2660" s="408">
        <f t="shared" si="629"/>
        <v>8949.215291999999</v>
      </c>
      <c r="G2660" s="408">
        <f t="shared" si="629"/>
        <v>8949.215291999999</v>
      </c>
      <c r="H2660" s="408">
        <f t="shared" si="629"/>
        <v>8949.215291999999</v>
      </c>
      <c r="I2660" s="408">
        <f t="shared" si="629"/>
        <v>8949.215291999999</v>
      </c>
      <c r="J2660" s="400"/>
      <c r="K2660" s="401"/>
      <c r="L2660" s="401"/>
    </row>
    <row r="2661" spans="1:64">
      <c r="A2661" s="454"/>
      <c r="B2661" s="454"/>
      <c r="C2661" s="417" t="s">
        <v>994</v>
      </c>
      <c r="D2661" s="408">
        <v>0</v>
      </c>
      <c r="E2661" s="408">
        <f>ROUND($F$2655*10%,2)</f>
        <v>350.48</v>
      </c>
      <c r="F2661" s="408">
        <f>ROUND($F$2655*20%,2)</f>
        <v>700.96</v>
      </c>
      <c r="G2661" s="408">
        <f>ROUND($F$2655*30%,2)</f>
        <v>1051.44</v>
      </c>
      <c r="H2661" s="408">
        <f>ROUND($F$2655*40%,2)</f>
        <v>1401.92</v>
      </c>
      <c r="I2661" s="408">
        <f>ROUND($F$2655*50%,2)</f>
        <v>1752.4</v>
      </c>
      <c r="J2661" s="400"/>
      <c r="K2661" s="401"/>
      <c r="L2661" s="401"/>
    </row>
    <row r="2662" spans="1:64">
      <c r="A2662" s="454"/>
      <c r="B2662" s="454"/>
      <c r="C2662" s="417" t="str">
        <f>[161]Input!$C$47</f>
        <v>Add for MA @ 40%</v>
      </c>
      <c r="D2662" s="408">
        <f>D2661*[161]Input!$D$47</f>
        <v>0</v>
      </c>
      <c r="E2662" s="408">
        <f>E2661*[161]Input!$D$47</f>
        <v>140.19200000000001</v>
      </c>
      <c r="F2662" s="408">
        <f>F2661*[161]Input!$D$47</f>
        <v>280.38400000000001</v>
      </c>
      <c r="G2662" s="408">
        <f>G2661*[161]Input!$D$47</f>
        <v>420.57600000000002</v>
      </c>
      <c r="H2662" s="408">
        <f>H2661*[161]Input!$D$47</f>
        <v>560.76800000000003</v>
      </c>
      <c r="I2662" s="408">
        <f>I2661*[161]Input!$D$47</f>
        <v>700.96</v>
      </c>
      <c r="J2662" s="400"/>
      <c r="K2662" s="401"/>
      <c r="L2662" s="401"/>
    </row>
    <row r="2663" spans="1:64">
      <c r="A2663" s="454"/>
      <c r="B2663" s="454"/>
      <c r="C2663" s="469"/>
      <c r="D2663" s="408">
        <f t="shared" ref="D2663:I2663" si="630">SUM(D2660:D2662)</f>
        <v>8949.215291999999</v>
      </c>
      <c r="E2663" s="408">
        <f t="shared" si="630"/>
        <v>9439.8872919999994</v>
      </c>
      <c r="F2663" s="408">
        <f t="shared" si="630"/>
        <v>9930.5592919999999</v>
      </c>
      <c r="G2663" s="408">
        <f t="shared" si="630"/>
        <v>10421.231292</v>
      </c>
      <c r="H2663" s="408">
        <f t="shared" si="630"/>
        <v>10911.903291999999</v>
      </c>
      <c r="I2663" s="408">
        <f t="shared" si="630"/>
        <v>11402.575291999998</v>
      </c>
      <c r="J2663" s="400"/>
      <c r="K2663" s="401"/>
      <c r="L2663" s="401"/>
    </row>
    <row r="2664" spans="1:64" ht="25">
      <c r="A2664" s="454"/>
      <c r="B2664" s="454"/>
      <c r="C2664" s="417" t="str">
        <f>[161]Input!$C$48</f>
        <v>Overheads &amp; Contractors Profit @ 13.615%</v>
      </c>
      <c r="D2664" s="408">
        <f>ROUND(D2663*[161]Input!$D$48,2)</f>
        <v>1218.44</v>
      </c>
      <c r="E2664" s="408">
        <f>ROUND(E2663*[161]Input!$D$48,2)</f>
        <v>1285.24</v>
      </c>
      <c r="F2664" s="408">
        <f>ROUND(F2663*[161]Input!$D$48,2)</f>
        <v>1352.05</v>
      </c>
      <c r="G2664" s="408">
        <f>ROUND(G2663*[161]Input!$D$48,2)</f>
        <v>1418.85</v>
      </c>
      <c r="H2664" s="408">
        <f>ROUND(H2663*[161]Input!$D$48,2)</f>
        <v>1485.66</v>
      </c>
      <c r="I2664" s="408">
        <f>ROUND(I2663*[161]Input!$D$48,2)</f>
        <v>1552.46</v>
      </c>
      <c r="J2664" s="400"/>
      <c r="K2664" s="401"/>
      <c r="L2664" s="401"/>
    </row>
    <row r="2665" spans="1:64" ht="13">
      <c r="A2665" s="454"/>
      <c r="B2665" s="454"/>
      <c r="C2665" s="427" t="s">
        <v>1047</v>
      </c>
      <c r="D2665" s="408">
        <f t="shared" ref="D2665:I2665" si="631">SUM(D2663:D2664)</f>
        <v>10167.655291999999</v>
      </c>
      <c r="E2665" s="408">
        <f t="shared" si="631"/>
        <v>10725.127291999999</v>
      </c>
      <c r="F2665" s="408">
        <f t="shared" si="631"/>
        <v>11282.609291999999</v>
      </c>
      <c r="G2665" s="408">
        <f t="shared" si="631"/>
        <v>11840.081292000001</v>
      </c>
      <c r="H2665" s="408">
        <f t="shared" si="631"/>
        <v>12397.563291999999</v>
      </c>
      <c r="I2665" s="408">
        <f t="shared" si="631"/>
        <v>12955.035291999997</v>
      </c>
      <c r="J2665" s="400"/>
      <c r="K2665" s="401"/>
      <c r="L2665" s="401"/>
    </row>
    <row r="2666" spans="1:64" ht="13">
      <c r="A2666" s="454"/>
      <c r="B2666" s="454"/>
      <c r="C2666" s="427" t="s">
        <v>845</v>
      </c>
      <c r="D2666" s="414">
        <f t="shared" ref="D2666:I2666" si="632">D2665/10</f>
        <v>1016.7655291999999</v>
      </c>
      <c r="E2666" s="414">
        <f t="shared" si="632"/>
        <v>1072.5127292</v>
      </c>
      <c r="F2666" s="414">
        <f t="shared" si="632"/>
        <v>1128.2609292</v>
      </c>
      <c r="G2666" s="414">
        <f t="shared" si="632"/>
        <v>1184.0081292</v>
      </c>
      <c r="H2666" s="414">
        <f t="shared" si="632"/>
        <v>1239.7563292</v>
      </c>
      <c r="I2666" s="414">
        <f t="shared" si="632"/>
        <v>1295.5035291999998</v>
      </c>
      <c r="J2666" s="400"/>
      <c r="K2666" s="401"/>
      <c r="L2666" s="401"/>
    </row>
    <row r="2667" spans="1:64" ht="13">
      <c r="A2667" s="454"/>
      <c r="B2667" s="454"/>
      <c r="C2667" s="522" t="s">
        <v>726</v>
      </c>
      <c r="D2667" s="416">
        <f t="shared" ref="D2667:I2667" si="633">ROUND(D2666,0)</f>
        <v>1017</v>
      </c>
      <c r="E2667" s="416">
        <f t="shared" si="633"/>
        <v>1073</v>
      </c>
      <c r="F2667" s="416">
        <f t="shared" si="633"/>
        <v>1128</v>
      </c>
      <c r="G2667" s="416">
        <f t="shared" si="633"/>
        <v>1184</v>
      </c>
      <c r="H2667" s="416">
        <f t="shared" si="633"/>
        <v>1240</v>
      </c>
      <c r="I2667" s="416">
        <f t="shared" si="633"/>
        <v>1296</v>
      </c>
      <c r="J2667" s="400"/>
      <c r="K2667" s="401"/>
      <c r="L2667" s="401"/>
      <c r="M2667" s="554"/>
      <c r="N2667" s="554"/>
      <c r="O2667" s="554"/>
      <c r="P2667" s="554"/>
      <c r="Q2667" s="554"/>
      <c r="R2667" s="554"/>
      <c r="S2667" s="554"/>
      <c r="T2667" s="554"/>
      <c r="U2667" s="554"/>
      <c r="V2667" s="554"/>
      <c r="W2667" s="554"/>
      <c r="X2667" s="554"/>
      <c r="Y2667" s="554"/>
      <c r="Z2667" s="554"/>
      <c r="AA2667" s="554"/>
      <c r="AB2667" s="554"/>
      <c r="AC2667" s="554"/>
      <c r="AD2667" s="554"/>
      <c r="AE2667" s="554"/>
      <c r="AF2667" s="554"/>
      <c r="AG2667" s="554"/>
      <c r="AH2667" s="554"/>
      <c r="AI2667" s="554"/>
      <c r="AJ2667" s="554"/>
      <c r="AK2667" s="554"/>
      <c r="AL2667" s="554"/>
      <c r="AM2667" s="554"/>
      <c r="AN2667" s="554"/>
      <c r="AO2667" s="554"/>
      <c r="AP2667" s="554"/>
      <c r="AQ2667" s="554"/>
      <c r="AR2667" s="554"/>
      <c r="AS2667" s="554"/>
      <c r="AT2667" s="554"/>
      <c r="AU2667" s="554"/>
      <c r="AV2667" s="554"/>
      <c r="AW2667" s="554"/>
      <c r="AX2667" s="554"/>
      <c r="AY2667" s="554"/>
      <c r="AZ2667" s="554"/>
      <c r="BA2667" s="554"/>
      <c r="BB2667" s="554"/>
      <c r="BC2667" s="554"/>
      <c r="BD2667" s="554"/>
      <c r="BE2667" s="554"/>
      <c r="BF2667" s="554"/>
      <c r="BG2667" s="554"/>
      <c r="BH2667" s="554"/>
      <c r="BI2667" s="554"/>
      <c r="BJ2667" s="554"/>
      <c r="BK2667" s="554"/>
      <c r="BL2667" s="554"/>
    </row>
    <row r="2668" spans="1:64" ht="13">
      <c r="A2668" s="454"/>
      <c r="B2668" s="454"/>
      <c r="C2668" s="427"/>
      <c r="D2668" s="416"/>
      <c r="E2668" s="416"/>
      <c r="F2668" s="416"/>
      <c r="G2668" s="416"/>
      <c r="H2668" s="416"/>
      <c r="I2668" s="414"/>
      <c r="J2668" s="400"/>
      <c r="K2668" s="401"/>
      <c r="L2668" s="401"/>
    </row>
    <row r="2669" spans="1:64" ht="13">
      <c r="A2669" s="454"/>
      <c r="B2669" s="454"/>
      <c r="C2669" s="427" t="s">
        <v>953</v>
      </c>
      <c r="D2669" s="414" t="s">
        <v>1118</v>
      </c>
      <c r="E2669" s="414" t="s">
        <v>1119</v>
      </c>
      <c r="F2669" s="414" t="s">
        <v>1120</v>
      </c>
      <c r="G2669" s="416"/>
      <c r="H2669" s="416"/>
      <c r="I2669" s="414"/>
      <c r="J2669" s="400"/>
      <c r="K2669" s="401"/>
      <c r="L2669" s="401"/>
    </row>
    <row r="2670" spans="1:64" ht="13">
      <c r="A2670" s="454"/>
      <c r="B2670" s="454"/>
      <c r="C2670" s="417" t="s">
        <v>1064</v>
      </c>
      <c r="D2670" s="408">
        <f>$I$2657</f>
        <v>8949.215291999999</v>
      </c>
      <c r="E2670" s="408">
        <f>$I$2657</f>
        <v>8949.215291999999</v>
      </c>
      <c r="F2670" s="408">
        <f>$I$2657</f>
        <v>8949.215291999999</v>
      </c>
      <c r="G2670" s="416"/>
      <c r="H2670" s="416"/>
      <c r="I2670" s="414"/>
      <c r="J2670" s="400"/>
      <c r="K2670" s="401"/>
      <c r="L2670" s="401"/>
    </row>
    <row r="2671" spans="1:64" ht="13">
      <c r="A2671" s="454"/>
      <c r="B2671" s="454"/>
      <c r="C2671" s="417" t="s">
        <v>994</v>
      </c>
      <c r="D2671" s="408">
        <f>ROUND($F$2655*60%,2)</f>
        <v>2102.88</v>
      </c>
      <c r="E2671" s="408">
        <f>ROUND($F$2655*70%,2)</f>
        <v>2453.36</v>
      </c>
      <c r="F2671" s="408">
        <f>ROUND($F$2655*80%,2)</f>
        <v>2803.84</v>
      </c>
      <c r="G2671" s="416"/>
      <c r="H2671" s="416"/>
      <c r="I2671" s="414"/>
      <c r="J2671" s="400"/>
      <c r="K2671" s="401"/>
      <c r="L2671" s="401"/>
    </row>
    <row r="2672" spans="1:64" ht="13">
      <c r="A2672" s="454"/>
      <c r="B2672" s="454"/>
      <c r="C2672" s="417" t="str">
        <f>[161]Input!$C$47</f>
        <v>Add for MA @ 40%</v>
      </c>
      <c r="D2672" s="408">
        <f>D2671*[161]Input!$D$47</f>
        <v>841.15200000000004</v>
      </c>
      <c r="E2672" s="408">
        <f>E2671*[161]Input!$D$47</f>
        <v>981.34400000000005</v>
      </c>
      <c r="F2672" s="408">
        <f>F2671*[161]Input!$D$47</f>
        <v>1121.5360000000001</v>
      </c>
      <c r="G2672" s="416"/>
      <c r="H2672" s="416"/>
      <c r="I2672" s="414"/>
      <c r="J2672" s="400"/>
      <c r="K2672" s="401"/>
      <c r="L2672" s="401"/>
    </row>
    <row r="2673" spans="1:64" ht="13">
      <c r="A2673" s="454"/>
      <c r="B2673" s="454"/>
      <c r="C2673" s="435"/>
      <c r="D2673" s="408">
        <f>SUM(D2670:D2672)</f>
        <v>11893.247291999998</v>
      </c>
      <c r="E2673" s="408">
        <f>SUM(E2670:E2672)</f>
        <v>12383.919291999999</v>
      </c>
      <c r="F2673" s="408">
        <f>SUM(F2670:F2672)</f>
        <v>12874.591291999999</v>
      </c>
      <c r="G2673" s="416"/>
      <c r="H2673" s="416"/>
      <c r="I2673" s="414"/>
      <c r="J2673" s="400"/>
      <c r="K2673" s="401"/>
      <c r="L2673" s="401"/>
    </row>
    <row r="2674" spans="1:64" ht="25">
      <c r="A2674" s="454"/>
      <c r="B2674" s="454"/>
      <c r="C2674" s="417" t="str">
        <f>[161]Input!$C$48</f>
        <v>Overheads &amp; Contractors Profit @ 13.615%</v>
      </c>
      <c r="D2674" s="408">
        <f>ROUND(D2673*[161]Input!$D$48,2)</f>
        <v>1619.27</v>
      </c>
      <c r="E2674" s="408">
        <f>ROUND(E2673*[161]Input!$D$48,2)</f>
        <v>1686.07</v>
      </c>
      <c r="F2674" s="408">
        <f>ROUND(F2673*[161]Input!$D$48,2)</f>
        <v>1752.88</v>
      </c>
      <c r="G2674" s="416"/>
      <c r="H2674" s="416"/>
      <c r="I2674" s="414"/>
      <c r="J2674" s="400"/>
      <c r="K2674" s="401"/>
      <c r="L2674" s="401"/>
    </row>
    <row r="2675" spans="1:64" ht="13">
      <c r="A2675" s="454"/>
      <c r="B2675" s="454"/>
      <c r="C2675" s="427" t="s">
        <v>1047</v>
      </c>
      <c r="D2675" s="408">
        <f>SUM(D2673:D2674)</f>
        <v>13512.517291999999</v>
      </c>
      <c r="E2675" s="408">
        <f>SUM(E2673:E2674)</f>
        <v>14069.989291999998</v>
      </c>
      <c r="F2675" s="408">
        <f>SUM(F2673:F2674)</f>
        <v>14627.471291999998</v>
      </c>
      <c r="G2675" s="416"/>
      <c r="H2675" s="416"/>
      <c r="I2675" s="414"/>
      <c r="J2675" s="400"/>
      <c r="K2675" s="401"/>
      <c r="L2675" s="401"/>
    </row>
    <row r="2676" spans="1:64" ht="13">
      <c r="A2676" s="454"/>
      <c r="B2676" s="454"/>
      <c r="C2676" s="427" t="s">
        <v>845</v>
      </c>
      <c r="D2676" s="414">
        <f>D2675/10</f>
        <v>1351.2517291999998</v>
      </c>
      <c r="E2676" s="414">
        <f>E2675/10</f>
        <v>1406.9989291999998</v>
      </c>
      <c r="F2676" s="414">
        <f>F2675/10</f>
        <v>1462.7471291999998</v>
      </c>
      <c r="G2676" s="416"/>
      <c r="H2676" s="416"/>
      <c r="I2676" s="414"/>
      <c r="J2676" s="400"/>
      <c r="K2676" s="401"/>
      <c r="L2676" s="401"/>
    </row>
    <row r="2677" spans="1:64" ht="13">
      <c r="A2677" s="454"/>
      <c r="B2677" s="454"/>
      <c r="C2677" s="514" t="s">
        <v>726</v>
      </c>
      <c r="D2677" s="416">
        <f>ROUND(D2676,0)</f>
        <v>1351</v>
      </c>
      <c r="E2677" s="416">
        <f>ROUND(E2676,0)</f>
        <v>1407</v>
      </c>
      <c r="F2677" s="416">
        <f>ROUND(F2676,0)</f>
        <v>1463</v>
      </c>
      <c r="G2677" s="416"/>
      <c r="H2677" s="416"/>
      <c r="I2677" s="414"/>
      <c r="J2677" s="400"/>
      <c r="K2677" s="401"/>
      <c r="L2677" s="401"/>
    </row>
    <row r="2678" spans="1:64" ht="13">
      <c r="A2678" s="454"/>
      <c r="B2678" s="454"/>
      <c r="C2678" s="427"/>
      <c r="D2678" s="416"/>
      <c r="E2678" s="416"/>
      <c r="F2678" s="416"/>
      <c r="G2678" s="416"/>
      <c r="H2678" s="416"/>
      <c r="I2678" s="414"/>
      <c r="J2678" s="400"/>
      <c r="K2678" s="401"/>
      <c r="L2678" s="401"/>
    </row>
    <row r="2679" spans="1:64" ht="112" customHeight="1">
      <c r="A2679" s="454">
        <f>A2642+1</f>
        <v>11</v>
      </c>
      <c r="B2679" s="454"/>
      <c r="C2679" s="1291" t="s">
        <v>1185</v>
      </c>
      <c r="D2679" s="1291"/>
      <c r="E2679" s="1291"/>
      <c r="F2679" s="1291"/>
      <c r="G2679" s="1291"/>
      <c r="H2679" s="1291"/>
      <c r="I2679" s="407"/>
      <c r="J2679" s="400"/>
      <c r="K2679" s="401"/>
      <c r="L2679" s="401"/>
    </row>
    <row r="2680" spans="1:64" ht="13">
      <c r="A2680" s="454"/>
      <c r="B2680" s="454"/>
      <c r="C2680" s="455" t="s">
        <v>1180</v>
      </c>
      <c r="D2680" s="426"/>
      <c r="E2680" s="426"/>
      <c r="F2680" s="426"/>
      <c r="G2680" s="426"/>
      <c r="H2680" s="426"/>
      <c r="I2680" s="409"/>
      <c r="J2680" s="400"/>
      <c r="K2680" s="401"/>
      <c r="L2680" s="401"/>
    </row>
    <row r="2681" spans="1:64">
      <c r="A2681" s="454"/>
      <c r="B2681" s="454"/>
      <c r="C2681" s="483" t="s">
        <v>1167</v>
      </c>
      <c r="D2681" s="426"/>
      <c r="E2681" s="426"/>
      <c r="F2681" s="426"/>
      <c r="G2681" s="426"/>
      <c r="H2681" s="426"/>
      <c r="I2681" s="409"/>
      <c r="J2681" s="400"/>
      <c r="K2681" s="401"/>
      <c r="L2681" s="401"/>
    </row>
    <row r="2682" spans="1:64" ht="13">
      <c r="A2682" s="454"/>
      <c r="B2682" s="454"/>
      <c r="C2682" s="433" t="s">
        <v>1168</v>
      </c>
      <c r="D2682" s="409"/>
      <c r="E2682" s="426"/>
      <c r="F2682" s="409"/>
      <c r="G2682" s="410"/>
      <c r="H2682" s="426"/>
      <c r="I2682" s="408"/>
      <c r="J2682" s="400"/>
      <c r="K2682" s="401"/>
      <c r="L2682" s="401"/>
    </row>
    <row r="2683" spans="1:64" ht="25">
      <c r="A2683" s="458"/>
      <c r="B2683" s="458"/>
      <c r="C2683" s="417" t="s">
        <v>1181</v>
      </c>
      <c r="D2683" s="432">
        <v>10.5</v>
      </c>
      <c r="E2683" s="406" t="s">
        <v>62</v>
      </c>
      <c r="F2683" s="432">
        <f>'[161]Civil-SOR'!G16</f>
        <v>315</v>
      </c>
      <c r="G2683" s="431">
        <v>1</v>
      </c>
      <c r="H2683" s="406" t="s">
        <v>62</v>
      </c>
      <c r="I2683" s="459">
        <f t="shared" ref="I2683:I2687" si="634">IF(G2683="",D2683*F2683,(D2683*F2683/G2683))</f>
        <v>3307.5</v>
      </c>
      <c r="J2683" s="462"/>
      <c r="K2683" s="463"/>
      <c r="L2683" s="463"/>
      <c r="M2683" s="559"/>
      <c r="N2683" s="559"/>
      <c r="O2683" s="559"/>
      <c r="P2683" s="559"/>
      <c r="Q2683" s="559"/>
      <c r="R2683" s="559"/>
      <c r="S2683" s="559"/>
      <c r="T2683" s="559"/>
      <c r="U2683" s="559"/>
      <c r="V2683" s="559"/>
      <c r="W2683" s="559"/>
      <c r="X2683" s="559"/>
      <c r="Y2683" s="559"/>
      <c r="Z2683" s="559"/>
      <c r="AA2683" s="559"/>
      <c r="AB2683" s="559"/>
      <c r="AC2683" s="559"/>
      <c r="AD2683" s="559"/>
      <c r="AE2683" s="559"/>
      <c r="AF2683" s="559"/>
      <c r="AG2683" s="559"/>
      <c r="AH2683" s="559"/>
      <c r="AI2683" s="559"/>
      <c r="AJ2683" s="559"/>
      <c r="AK2683" s="559"/>
      <c r="AL2683" s="559"/>
      <c r="AM2683" s="559"/>
      <c r="AN2683" s="559"/>
      <c r="AO2683" s="559"/>
      <c r="AP2683" s="559"/>
      <c r="AQ2683" s="559"/>
      <c r="AR2683" s="559"/>
      <c r="AS2683" s="559"/>
      <c r="AT2683" s="559"/>
      <c r="AU2683" s="559"/>
      <c r="AV2683" s="559"/>
      <c r="AW2683" s="559"/>
      <c r="AX2683" s="559"/>
      <c r="AY2683" s="559"/>
      <c r="AZ2683" s="559"/>
      <c r="BA2683" s="559"/>
      <c r="BB2683" s="559"/>
      <c r="BC2683" s="559"/>
      <c r="BD2683" s="559"/>
      <c r="BE2683" s="559"/>
      <c r="BF2683" s="559"/>
      <c r="BG2683" s="559"/>
      <c r="BH2683" s="559"/>
      <c r="BI2683" s="559"/>
      <c r="BJ2683" s="559"/>
      <c r="BK2683" s="559"/>
      <c r="BL2683" s="559"/>
    </row>
    <row r="2684" spans="1:64" ht="25">
      <c r="A2684" s="458"/>
      <c r="B2684" s="458"/>
      <c r="C2684" s="417" t="s">
        <v>1186</v>
      </c>
      <c r="D2684" s="432">
        <v>21.6</v>
      </c>
      <c r="E2684" s="406" t="s">
        <v>833</v>
      </c>
      <c r="F2684" s="432">
        <f>[161]LEAD!$N$6</f>
        <v>5200</v>
      </c>
      <c r="G2684" s="431">
        <v>1000</v>
      </c>
      <c r="H2684" s="406" t="s">
        <v>833</v>
      </c>
      <c r="I2684" s="459">
        <f t="shared" si="634"/>
        <v>112.32000000000002</v>
      </c>
      <c r="J2684" s="462"/>
      <c r="K2684" s="463"/>
      <c r="L2684" s="463"/>
      <c r="M2684" s="559"/>
      <c r="N2684" s="559"/>
      <c r="O2684" s="559"/>
      <c r="P2684" s="559"/>
      <c r="Q2684" s="559"/>
      <c r="R2684" s="559"/>
      <c r="S2684" s="559"/>
      <c r="T2684" s="559"/>
      <c r="U2684" s="559"/>
      <c r="V2684" s="559"/>
      <c r="W2684" s="559"/>
      <c r="X2684" s="559"/>
      <c r="Y2684" s="559"/>
      <c r="Z2684" s="559"/>
      <c r="AA2684" s="559"/>
      <c r="AB2684" s="559"/>
      <c r="AC2684" s="559"/>
      <c r="AD2684" s="559"/>
      <c r="AE2684" s="559"/>
      <c r="AF2684" s="559"/>
      <c r="AG2684" s="559"/>
      <c r="AH2684" s="559"/>
      <c r="AI2684" s="559"/>
      <c r="AJ2684" s="559"/>
      <c r="AK2684" s="559"/>
      <c r="AL2684" s="559"/>
      <c r="AM2684" s="559"/>
      <c r="AN2684" s="559"/>
      <c r="AO2684" s="559"/>
      <c r="AP2684" s="559"/>
      <c r="AQ2684" s="559"/>
      <c r="AR2684" s="559"/>
      <c r="AS2684" s="559"/>
      <c r="AT2684" s="559"/>
      <c r="AU2684" s="559"/>
      <c r="AV2684" s="559"/>
      <c r="AW2684" s="559"/>
      <c r="AX2684" s="559"/>
      <c r="AY2684" s="559"/>
      <c r="AZ2684" s="559"/>
      <c r="BA2684" s="559"/>
      <c r="BB2684" s="559"/>
      <c r="BC2684" s="559"/>
      <c r="BD2684" s="559"/>
      <c r="BE2684" s="559"/>
      <c r="BF2684" s="559"/>
      <c r="BG2684" s="559"/>
      <c r="BH2684" s="559"/>
      <c r="BI2684" s="559"/>
      <c r="BJ2684" s="559"/>
      <c r="BK2684" s="559"/>
      <c r="BL2684" s="559"/>
    </row>
    <row r="2685" spans="1:64">
      <c r="A2685" s="458"/>
      <c r="B2685" s="458"/>
      <c r="C2685" s="417" t="s">
        <v>1171</v>
      </c>
      <c r="D2685" s="432">
        <v>33</v>
      </c>
      <c r="E2685" s="406" t="s">
        <v>833</v>
      </c>
      <c r="F2685" s="432">
        <f>[161]LEAD!$N$6</f>
        <v>5200</v>
      </c>
      <c r="G2685" s="431">
        <v>1000</v>
      </c>
      <c r="H2685" s="406" t="s">
        <v>833</v>
      </c>
      <c r="I2685" s="459">
        <f t="shared" si="634"/>
        <v>171.6</v>
      </c>
      <c r="J2685" s="462"/>
      <c r="K2685" s="463"/>
      <c r="L2685" s="463"/>
      <c r="M2685" s="559"/>
      <c r="N2685" s="559"/>
      <c r="O2685" s="559"/>
      <c r="P2685" s="559"/>
      <c r="Q2685" s="559"/>
      <c r="R2685" s="559"/>
      <c r="S2685" s="559"/>
      <c r="T2685" s="559"/>
      <c r="U2685" s="559"/>
      <c r="V2685" s="559"/>
      <c r="W2685" s="559"/>
      <c r="X2685" s="559"/>
      <c r="Y2685" s="559"/>
      <c r="Z2685" s="559"/>
      <c r="AA2685" s="559"/>
      <c r="AB2685" s="559"/>
      <c r="AC2685" s="559"/>
      <c r="AD2685" s="559"/>
      <c r="AE2685" s="559"/>
      <c r="AF2685" s="559"/>
      <c r="AG2685" s="559"/>
      <c r="AH2685" s="559"/>
      <c r="AI2685" s="559"/>
      <c r="AJ2685" s="559"/>
      <c r="AK2685" s="559"/>
      <c r="AL2685" s="559"/>
      <c r="AM2685" s="559"/>
      <c r="AN2685" s="559"/>
      <c r="AO2685" s="559"/>
      <c r="AP2685" s="559"/>
      <c r="AQ2685" s="559"/>
      <c r="AR2685" s="559"/>
      <c r="AS2685" s="559"/>
      <c r="AT2685" s="559"/>
      <c r="AU2685" s="559"/>
      <c r="AV2685" s="559"/>
      <c r="AW2685" s="559"/>
      <c r="AX2685" s="559"/>
      <c r="AY2685" s="559"/>
      <c r="AZ2685" s="559"/>
      <c r="BA2685" s="559"/>
      <c r="BB2685" s="559"/>
      <c r="BC2685" s="559"/>
      <c r="BD2685" s="559"/>
      <c r="BE2685" s="559"/>
      <c r="BF2685" s="559"/>
      <c r="BG2685" s="559"/>
      <c r="BH2685" s="559"/>
      <c r="BI2685" s="559"/>
      <c r="BJ2685" s="559"/>
      <c r="BK2685" s="559"/>
      <c r="BL2685" s="559"/>
    </row>
    <row r="2686" spans="1:64" ht="87.5">
      <c r="A2686" s="458"/>
      <c r="B2686" s="458"/>
      <c r="C2686" s="417" t="s">
        <v>1187</v>
      </c>
      <c r="D2686" s="432">
        <v>10.5</v>
      </c>
      <c r="E2686" s="406" t="s">
        <v>1188</v>
      </c>
      <c r="F2686" s="668">
        <v>373</v>
      </c>
      <c r="G2686" s="431">
        <v>1</v>
      </c>
      <c r="H2686" s="406" t="s">
        <v>62</v>
      </c>
      <c r="I2686" s="459">
        <f t="shared" si="634"/>
        <v>3916.5</v>
      </c>
      <c r="J2686" s="462"/>
      <c r="K2686" s="463"/>
      <c r="L2686" s="463"/>
      <c r="M2686" s="559"/>
      <c r="N2686" s="559"/>
      <c r="O2686" s="559"/>
      <c r="P2686" s="559"/>
      <c r="Q2686" s="559"/>
      <c r="R2686" s="559"/>
      <c r="S2686" s="559"/>
      <c r="T2686" s="559"/>
      <c r="U2686" s="559"/>
      <c r="V2686" s="559"/>
      <c r="W2686" s="559"/>
      <c r="X2686" s="559"/>
      <c r="Y2686" s="559"/>
      <c r="Z2686" s="559"/>
      <c r="AA2686" s="559"/>
      <c r="AB2686" s="559"/>
      <c r="AC2686" s="559"/>
      <c r="AD2686" s="559"/>
      <c r="AE2686" s="559"/>
      <c r="AF2686" s="559"/>
      <c r="AG2686" s="559"/>
      <c r="AH2686" s="559"/>
      <c r="AI2686" s="559"/>
      <c r="AJ2686" s="559"/>
      <c r="AK2686" s="559"/>
      <c r="AL2686" s="559"/>
      <c r="AM2686" s="559"/>
      <c r="AN2686" s="559"/>
      <c r="AO2686" s="559"/>
      <c r="AP2686" s="559"/>
      <c r="AQ2686" s="559"/>
      <c r="AR2686" s="559"/>
      <c r="AS2686" s="559"/>
      <c r="AT2686" s="559"/>
      <c r="AU2686" s="559"/>
      <c r="AV2686" s="559"/>
      <c r="AW2686" s="559"/>
      <c r="AX2686" s="559"/>
      <c r="AY2686" s="559"/>
      <c r="AZ2686" s="559"/>
      <c r="BA2686" s="559"/>
      <c r="BB2686" s="559"/>
      <c r="BC2686" s="559"/>
      <c r="BD2686" s="559"/>
      <c r="BE2686" s="559"/>
      <c r="BF2686" s="559"/>
      <c r="BG2686" s="559"/>
      <c r="BH2686" s="559"/>
      <c r="BI2686" s="559"/>
      <c r="BJ2686" s="559"/>
      <c r="BK2686" s="559"/>
      <c r="BL2686" s="559"/>
    </row>
    <row r="2687" spans="1:64">
      <c r="A2687" s="458"/>
      <c r="B2687" s="458"/>
      <c r="C2687" s="417" t="s">
        <v>1173</v>
      </c>
      <c r="D2687" s="432">
        <v>0.12</v>
      </c>
      <c r="E2687" s="406" t="s">
        <v>57</v>
      </c>
      <c r="F2687" s="432">
        <f>[161]LEAD!$N$13</f>
        <v>2453.91</v>
      </c>
      <c r="G2687" s="431">
        <v>1</v>
      </c>
      <c r="H2687" s="406" t="s">
        <v>57</v>
      </c>
      <c r="I2687" s="459">
        <f t="shared" si="634"/>
        <v>294.46919999999994</v>
      </c>
      <c r="J2687" s="462"/>
      <c r="K2687" s="463"/>
      <c r="L2687" s="463"/>
      <c r="M2687" s="559"/>
      <c r="N2687" s="559"/>
      <c r="O2687" s="559"/>
      <c r="P2687" s="559"/>
      <c r="Q2687" s="559"/>
      <c r="R2687" s="559"/>
      <c r="S2687" s="559"/>
      <c r="T2687" s="559"/>
      <c r="U2687" s="559"/>
      <c r="V2687" s="559"/>
      <c r="W2687" s="559"/>
      <c r="X2687" s="559"/>
      <c r="Y2687" s="559"/>
      <c r="Z2687" s="559"/>
      <c r="AA2687" s="559"/>
      <c r="AB2687" s="559"/>
      <c r="AC2687" s="559"/>
      <c r="AD2687" s="559"/>
      <c r="AE2687" s="559"/>
      <c r="AF2687" s="559"/>
      <c r="AG2687" s="559"/>
      <c r="AH2687" s="559"/>
      <c r="AI2687" s="559"/>
      <c r="AJ2687" s="559"/>
      <c r="AK2687" s="559"/>
      <c r="AL2687" s="559"/>
      <c r="AM2687" s="559"/>
      <c r="AN2687" s="559"/>
      <c r="AO2687" s="559"/>
      <c r="AP2687" s="559"/>
      <c r="AQ2687" s="559"/>
      <c r="AR2687" s="559"/>
      <c r="AS2687" s="559"/>
      <c r="AT2687" s="559"/>
      <c r="AU2687" s="559"/>
      <c r="AV2687" s="559"/>
      <c r="AW2687" s="559"/>
      <c r="AX2687" s="559"/>
      <c r="AY2687" s="559"/>
      <c r="AZ2687" s="559"/>
      <c r="BA2687" s="559"/>
      <c r="BB2687" s="559"/>
      <c r="BC2687" s="559"/>
      <c r="BD2687" s="559"/>
      <c r="BE2687" s="559"/>
      <c r="BF2687" s="559"/>
      <c r="BG2687" s="559"/>
      <c r="BH2687" s="559"/>
      <c r="BI2687" s="559"/>
      <c r="BJ2687" s="559"/>
      <c r="BK2687" s="559"/>
      <c r="BL2687" s="559"/>
    </row>
    <row r="2688" spans="1:64" ht="13">
      <c r="A2688" s="458"/>
      <c r="B2688" s="458"/>
      <c r="C2688" s="427" t="s">
        <v>1073</v>
      </c>
      <c r="D2688" s="432"/>
      <c r="E2688" s="406"/>
      <c r="F2688" s="432"/>
      <c r="G2688" s="431"/>
      <c r="H2688" s="406"/>
      <c r="I2688" s="459"/>
      <c r="J2688" s="462"/>
      <c r="K2688" s="463"/>
      <c r="L2688" s="463"/>
      <c r="M2688" s="559"/>
      <c r="N2688" s="559"/>
      <c r="O2688" s="559"/>
      <c r="P2688" s="559"/>
      <c r="Q2688" s="559"/>
      <c r="R2688" s="559"/>
      <c r="S2688" s="559"/>
      <c r="T2688" s="559"/>
      <c r="U2688" s="559"/>
      <c r="V2688" s="559"/>
      <c r="W2688" s="559"/>
      <c r="X2688" s="559"/>
      <c r="Y2688" s="559"/>
      <c r="Z2688" s="559"/>
      <c r="AA2688" s="559"/>
      <c r="AB2688" s="559"/>
      <c r="AC2688" s="559"/>
      <c r="AD2688" s="559"/>
      <c r="AE2688" s="559"/>
      <c r="AF2688" s="559"/>
      <c r="AG2688" s="559"/>
      <c r="AH2688" s="559"/>
      <c r="AI2688" s="559"/>
      <c r="AJ2688" s="559"/>
      <c r="AK2688" s="559"/>
      <c r="AL2688" s="559"/>
      <c r="AM2688" s="559"/>
      <c r="AN2688" s="559"/>
      <c r="AO2688" s="559"/>
      <c r="AP2688" s="559"/>
      <c r="AQ2688" s="559"/>
      <c r="AR2688" s="559"/>
      <c r="AS2688" s="559"/>
      <c r="AT2688" s="559"/>
      <c r="AU2688" s="559"/>
      <c r="AV2688" s="559"/>
      <c r="AW2688" s="559"/>
      <c r="AX2688" s="559"/>
      <c r="AY2688" s="559"/>
      <c r="AZ2688" s="559"/>
      <c r="BA2688" s="559"/>
      <c r="BB2688" s="559"/>
      <c r="BC2688" s="559"/>
      <c r="BD2688" s="559"/>
      <c r="BE2688" s="559"/>
      <c r="BF2688" s="559"/>
      <c r="BG2688" s="559"/>
      <c r="BH2688" s="559"/>
      <c r="BI2688" s="559"/>
      <c r="BJ2688" s="559"/>
      <c r="BK2688" s="559"/>
      <c r="BL2688" s="559"/>
    </row>
    <row r="2689" spans="1:64">
      <c r="A2689" s="458"/>
      <c r="B2689" s="458"/>
      <c r="C2689" s="417" t="s">
        <v>1044</v>
      </c>
      <c r="D2689" s="432">
        <v>0.96</v>
      </c>
      <c r="E2689" s="406" t="s">
        <v>14</v>
      </c>
      <c r="F2689" s="432">
        <f>'[161]Civil-SOR'!$G$293</f>
        <v>580</v>
      </c>
      <c r="G2689" s="431">
        <v>1</v>
      </c>
      <c r="H2689" s="406" t="s">
        <v>572</v>
      </c>
      <c r="I2689" s="459">
        <f t="shared" ref="I2689:I2693" si="635">IF(G2689="",D2689*F2689,(D2689*F2689/G2689))</f>
        <v>556.79999999999995</v>
      </c>
      <c r="J2689" s="462"/>
      <c r="K2689" s="463"/>
      <c r="L2689" s="463"/>
      <c r="M2689" s="559"/>
      <c r="N2689" s="559"/>
      <c r="O2689" s="559"/>
      <c r="P2689" s="559"/>
      <c r="Q2689" s="559"/>
      <c r="R2689" s="559"/>
      <c r="S2689" s="559"/>
      <c r="T2689" s="559"/>
      <c r="U2689" s="559"/>
      <c r="V2689" s="559"/>
      <c r="W2689" s="559"/>
      <c r="X2689" s="559"/>
      <c r="Y2689" s="559"/>
      <c r="Z2689" s="559"/>
      <c r="AA2689" s="559"/>
      <c r="AB2689" s="559"/>
      <c r="AC2689" s="559"/>
      <c r="AD2689" s="559"/>
      <c r="AE2689" s="559"/>
      <c r="AF2689" s="559"/>
      <c r="AG2689" s="559"/>
      <c r="AH2689" s="559"/>
      <c r="AI2689" s="559"/>
      <c r="AJ2689" s="559"/>
      <c r="AK2689" s="559"/>
      <c r="AL2689" s="559"/>
      <c r="AM2689" s="559"/>
      <c r="AN2689" s="559"/>
      <c r="AO2689" s="559"/>
      <c r="AP2689" s="559"/>
      <c r="AQ2689" s="559"/>
      <c r="AR2689" s="559"/>
      <c r="AS2689" s="559"/>
      <c r="AT2689" s="559"/>
      <c r="AU2689" s="559"/>
      <c r="AV2689" s="559"/>
      <c r="AW2689" s="559"/>
      <c r="AX2689" s="559"/>
      <c r="AY2689" s="559"/>
      <c r="AZ2689" s="559"/>
      <c r="BA2689" s="559"/>
      <c r="BB2689" s="559"/>
      <c r="BC2689" s="559"/>
      <c r="BD2689" s="559"/>
      <c r="BE2689" s="559"/>
      <c r="BF2689" s="559"/>
      <c r="BG2689" s="559"/>
      <c r="BH2689" s="559"/>
      <c r="BI2689" s="559"/>
      <c r="BJ2689" s="559"/>
      <c r="BK2689" s="559"/>
      <c r="BL2689" s="559"/>
    </row>
    <row r="2690" spans="1:64">
      <c r="A2690" s="458"/>
      <c r="B2690" s="458"/>
      <c r="C2690" s="417" t="s">
        <v>1074</v>
      </c>
      <c r="D2690" s="432">
        <v>2.2400000000000002</v>
      </c>
      <c r="E2690" s="406" t="s">
        <v>14</v>
      </c>
      <c r="F2690" s="432">
        <f>'[161]Civil-SOR'!$G$302</f>
        <v>550</v>
      </c>
      <c r="G2690" s="431">
        <v>1</v>
      </c>
      <c r="H2690" s="406" t="s">
        <v>572</v>
      </c>
      <c r="I2690" s="459">
        <f t="shared" si="635"/>
        <v>1232.0000000000002</v>
      </c>
      <c r="J2690" s="462"/>
      <c r="K2690" s="463"/>
      <c r="L2690" s="463"/>
      <c r="M2690" s="559"/>
      <c r="N2690" s="559"/>
      <c r="O2690" s="559"/>
      <c r="P2690" s="559"/>
      <c r="Q2690" s="559"/>
      <c r="R2690" s="559"/>
      <c r="S2690" s="559"/>
      <c r="T2690" s="559"/>
      <c r="U2690" s="559"/>
      <c r="V2690" s="559"/>
      <c r="W2690" s="559"/>
      <c r="X2690" s="559"/>
      <c r="Y2690" s="559"/>
      <c r="Z2690" s="559"/>
      <c r="AA2690" s="559"/>
      <c r="AB2690" s="559"/>
      <c r="AC2690" s="559"/>
      <c r="AD2690" s="559"/>
      <c r="AE2690" s="559"/>
      <c r="AF2690" s="559"/>
      <c r="AG2690" s="559"/>
      <c r="AH2690" s="559"/>
      <c r="AI2690" s="559"/>
      <c r="AJ2690" s="559"/>
      <c r="AK2690" s="559"/>
      <c r="AL2690" s="559"/>
      <c r="AM2690" s="559"/>
      <c r="AN2690" s="559"/>
      <c r="AO2690" s="559"/>
      <c r="AP2690" s="559"/>
      <c r="AQ2690" s="559"/>
      <c r="AR2690" s="559"/>
      <c r="AS2690" s="559"/>
      <c r="AT2690" s="559"/>
      <c r="AU2690" s="559"/>
      <c r="AV2690" s="559"/>
      <c r="AW2690" s="559"/>
      <c r="AX2690" s="559"/>
      <c r="AY2690" s="559"/>
      <c r="AZ2690" s="559"/>
      <c r="BA2690" s="559"/>
      <c r="BB2690" s="559"/>
      <c r="BC2690" s="559"/>
      <c r="BD2690" s="559"/>
      <c r="BE2690" s="559"/>
      <c r="BF2690" s="559"/>
      <c r="BG2690" s="559"/>
      <c r="BH2690" s="559"/>
      <c r="BI2690" s="559"/>
      <c r="BJ2690" s="559"/>
      <c r="BK2690" s="559"/>
      <c r="BL2690" s="559"/>
    </row>
    <row r="2691" spans="1:64">
      <c r="A2691" s="458"/>
      <c r="B2691" s="458"/>
      <c r="C2691" s="417" t="s">
        <v>1174</v>
      </c>
      <c r="D2691" s="432">
        <v>3.3</v>
      </c>
      <c r="E2691" s="406" t="s">
        <v>14</v>
      </c>
      <c r="F2691" s="432">
        <f>'[161]Civil-SOR'!$G$307</f>
        <v>520</v>
      </c>
      <c r="G2691" s="431">
        <v>1</v>
      </c>
      <c r="H2691" s="406" t="s">
        <v>572</v>
      </c>
      <c r="I2691" s="459">
        <f t="shared" si="635"/>
        <v>1716</v>
      </c>
      <c r="J2691" s="462"/>
      <c r="K2691" s="463"/>
      <c r="L2691" s="463"/>
      <c r="M2691" s="559"/>
      <c r="N2691" s="559"/>
      <c r="O2691" s="559"/>
      <c r="P2691" s="559"/>
      <c r="Q2691" s="559"/>
      <c r="R2691" s="559"/>
      <c r="S2691" s="559"/>
      <c r="T2691" s="559"/>
      <c r="U2691" s="559"/>
      <c r="V2691" s="559"/>
      <c r="W2691" s="559"/>
      <c r="X2691" s="559"/>
      <c r="Y2691" s="559"/>
      <c r="Z2691" s="559"/>
      <c r="AA2691" s="559"/>
      <c r="AB2691" s="559"/>
      <c r="AC2691" s="559"/>
      <c r="AD2691" s="559"/>
      <c r="AE2691" s="559"/>
      <c r="AF2691" s="559"/>
      <c r="AG2691" s="559"/>
      <c r="AH2691" s="559"/>
      <c r="AI2691" s="559"/>
      <c r="AJ2691" s="559"/>
      <c r="AK2691" s="559"/>
      <c r="AL2691" s="559"/>
      <c r="AM2691" s="559"/>
      <c r="AN2691" s="559"/>
      <c r="AO2691" s="559"/>
      <c r="AP2691" s="559"/>
      <c r="AQ2691" s="559"/>
      <c r="AR2691" s="559"/>
      <c r="AS2691" s="559"/>
      <c r="AT2691" s="559"/>
      <c r="AU2691" s="559"/>
      <c r="AV2691" s="559"/>
      <c r="AW2691" s="559"/>
      <c r="AX2691" s="559"/>
      <c r="AY2691" s="559"/>
      <c r="AZ2691" s="559"/>
      <c r="BA2691" s="559"/>
      <c r="BB2691" s="559"/>
      <c r="BC2691" s="559"/>
      <c r="BD2691" s="559"/>
      <c r="BE2691" s="559"/>
      <c r="BF2691" s="559"/>
      <c r="BG2691" s="559"/>
      <c r="BH2691" s="559"/>
      <c r="BI2691" s="559"/>
      <c r="BJ2691" s="559"/>
      <c r="BK2691" s="559"/>
      <c r="BL2691" s="559"/>
    </row>
    <row r="2692" spans="1:64">
      <c r="A2692" s="458"/>
      <c r="B2692" s="458"/>
      <c r="C2692" s="417" t="str">
        <f>[161]Input!$C$47</f>
        <v>Add for MA @ 40%</v>
      </c>
      <c r="D2692" s="622">
        <f>[161]Input!$D$47</f>
        <v>0.4</v>
      </c>
      <c r="E2692" s="406"/>
      <c r="F2692" s="432">
        <f>SUM(I2689:I2691)</f>
        <v>3504.8</v>
      </c>
      <c r="G2692" s="431"/>
      <c r="H2692" s="406"/>
      <c r="I2692" s="459">
        <f t="shared" si="635"/>
        <v>1401.92</v>
      </c>
      <c r="J2692" s="462"/>
      <c r="K2692" s="463"/>
      <c r="L2692" s="463"/>
      <c r="M2692" s="559"/>
      <c r="N2692" s="559"/>
      <c r="O2692" s="559"/>
      <c r="P2692" s="559"/>
      <c r="Q2692" s="559"/>
      <c r="R2692" s="559"/>
      <c r="S2692" s="559"/>
      <c r="T2692" s="559"/>
      <c r="U2692" s="559"/>
      <c r="V2692" s="559"/>
      <c r="W2692" s="559"/>
      <c r="X2692" s="559"/>
      <c r="Y2692" s="559"/>
      <c r="Z2692" s="559"/>
      <c r="AA2692" s="559"/>
      <c r="AB2692" s="559"/>
      <c r="AC2692" s="559"/>
      <c r="AD2692" s="559"/>
      <c r="AE2692" s="559"/>
      <c r="AF2692" s="559"/>
      <c r="AG2692" s="559"/>
      <c r="AH2692" s="559"/>
      <c r="AI2692" s="559"/>
      <c r="AJ2692" s="559"/>
      <c r="AK2692" s="559"/>
      <c r="AL2692" s="559"/>
      <c r="AM2692" s="559"/>
      <c r="AN2692" s="559"/>
      <c r="AO2692" s="559"/>
      <c r="AP2692" s="559"/>
      <c r="AQ2692" s="559"/>
      <c r="AR2692" s="559"/>
      <c r="AS2692" s="559"/>
      <c r="AT2692" s="559"/>
      <c r="AU2692" s="559"/>
      <c r="AV2692" s="559"/>
      <c r="AW2692" s="559"/>
      <c r="AX2692" s="559"/>
      <c r="AY2692" s="559"/>
      <c r="AZ2692" s="559"/>
      <c r="BA2692" s="559"/>
      <c r="BB2692" s="559"/>
      <c r="BC2692" s="559"/>
      <c r="BD2692" s="559"/>
      <c r="BE2692" s="559"/>
      <c r="BF2692" s="559"/>
      <c r="BG2692" s="559"/>
      <c r="BH2692" s="559"/>
      <c r="BI2692" s="559"/>
      <c r="BJ2692" s="559"/>
      <c r="BK2692" s="559"/>
      <c r="BL2692" s="559"/>
    </row>
    <row r="2693" spans="1:64">
      <c r="A2693" s="458"/>
      <c r="B2693" s="458"/>
      <c r="C2693" s="417" t="s">
        <v>1046</v>
      </c>
      <c r="D2693" s="432">
        <v>0.01</v>
      </c>
      <c r="E2693" s="406"/>
      <c r="F2693" s="432">
        <f>SUM(I2683:I2692)</f>
        <v>12709.109199999999</v>
      </c>
      <c r="G2693" s="431"/>
      <c r="H2693" s="406"/>
      <c r="I2693" s="459">
        <f t="shared" si="635"/>
        <v>127.09109199999999</v>
      </c>
      <c r="J2693" s="462"/>
      <c r="K2693" s="463"/>
      <c r="L2693" s="463"/>
      <c r="M2693" s="559"/>
      <c r="N2693" s="559"/>
      <c r="O2693" s="559"/>
      <c r="P2693" s="559"/>
      <c r="Q2693" s="559"/>
      <c r="R2693" s="559"/>
      <c r="S2693" s="559"/>
      <c r="T2693" s="559"/>
      <c r="U2693" s="559"/>
      <c r="V2693" s="559"/>
      <c r="W2693" s="559"/>
      <c r="X2693" s="559"/>
      <c r="Y2693" s="559"/>
      <c r="Z2693" s="559"/>
      <c r="AA2693" s="559"/>
      <c r="AB2693" s="559"/>
      <c r="AC2693" s="559"/>
      <c r="AD2693" s="559"/>
      <c r="AE2693" s="559"/>
      <c r="AF2693" s="559"/>
      <c r="AG2693" s="559"/>
      <c r="AH2693" s="559"/>
      <c r="AI2693" s="559"/>
      <c r="AJ2693" s="559"/>
      <c r="AK2693" s="559"/>
      <c r="AL2693" s="559"/>
      <c r="AM2693" s="559"/>
      <c r="AN2693" s="559"/>
      <c r="AO2693" s="559"/>
      <c r="AP2693" s="559"/>
      <c r="AQ2693" s="559"/>
      <c r="AR2693" s="559"/>
      <c r="AS2693" s="559"/>
      <c r="AT2693" s="559"/>
      <c r="AU2693" s="559"/>
      <c r="AV2693" s="559"/>
      <c r="AW2693" s="559"/>
      <c r="AX2693" s="559"/>
      <c r="AY2693" s="559"/>
      <c r="AZ2693" s="559"/>
      <c r="BA2693" s="559"/>
      <c r="BB2693" s="559"/>
      <c r="BC2693" s="559"/>
      <c r="BD2693" s="559"/>
      <c r="BE2693" s="559"/>
      <c r="BF2693" s="559"/>
      <c r="BG2693" s="559"/>
      <c r="BH2693" s="559"/>
      <c r="BI2693" s="559"/>
      <c r="BJ2693" s="559"/>
      <c r="BK2693" s="559"/>
      <c r="BL2693" s="559"/>
    </row>
    <row r="2694" spans="1:64" ht="13">
      <c r="A2694" s="454"/>
      <c r="B2694" s="454"/>
      <c r="C2694" s="666" t="s">
        <v>1175</v>
      </c>
      <c r="D2694" s="409"/>
      <c r="E2694" s="426"/>
      <c r="F2694" s="409"/>
      <c r="G2694" s="410"/>
      <c r="H2694" s="426"/>
      <c r="I2694" s="414">
        <f>SUM(I2683:I2693)</f>
        <v>12836.200292</v>
      </c>
      <c r="J2694" s="411"/>
      <c r="K2694" s="412"/>
      <c r="L2694" s="412"/>
      <c r="M2694" s="554"/>
      <c r="N2694" s="554"/>
      <c r="O2694" s="554"/>
      <c r="P2694" s="554"/>
      <c r="Q2694" s="554"/>
      <c r="R2694" s="554"/>
      <c r="S2694" s="554"/>
      <c r="T2694" s="554"/>
      <c r="U2694" s="554"/>
      <c r="V2694" s="554"/>
      <c r="W2694" s="554"/>
      <c r="X2694" s="554"/>
      <c r="Y2694" s="554"/>
      <c r="Z2694" s="554"/>
      <c r="AA2694" s="554"/>
      <c r="AB2694" s="554"/>
      <c r="AC2694" s="554"/>
      <c r="AD2694" s="554"/>
      <c r="AE2694" s="554"/>
      <c r="AF2694" s="554"/>
      <c r="AG2694" s="554"/>
      <c r="AH2694" s="554"/>
      <c r="AI2694" s="554"/>
      <c r="AJ2694" s="554"/>
      <c r="AK2694" s="554"/>
      <c r="AL2694" s="554"/>
      <c r="AM2694" s="554"/>
      <c r="AN2694" s="554"/>
      <c r="AO2694" s="554"/>
      <c r="AP2694" s="554"/>
      <c r="AQ2694" s="554"/>
      <c r="AR2694" s="554"/>
      <c r="AS2694" s="554"/>
      <c r="AT2694" s="554"/>
      <c r="AU2694" s="554"/>
      <c r="AV2694" s="554"/>
      <c r="AW2694" s="554"/>
      <c r="AX2694" s="554"/>
      <c r="AY2694" s="554"/>
      <c r="AZ2694" s="554"/>
      <c r="BA2694" s="554"/>
      <c r="BB2694" s="554"/>
      <c r="BC2694" s="554"/>
      <c r="BD2694" s="554"/>
      <c r="BE2694" s="554"/>
      <c r="BF2694" s="554"/>
      <c r="BG2694" s="554"/>
      <c r="BH2694" s="554"/>
      <c r="BI2694" s="554"/>
      <c r="BJ2694" s="554"/>
      <c r="BK2694" s="554"/>
      <c r="BL2694" s="554"/>
    </row>
    <row r="2695" spans="1:64">
      <c r="A2695" s="454"/>
      <c r="B2695" s="454"/>
      <c r="C2695" s="469"/>
      <c r="D2695" s="409"/>
      <c r="E2695" s="426"/>
      <c r="F2695" s="409"/>
      <c r="G2695" s="410"/>
      <c r="H2695" s="426"/>
      <c r="I2695" s="408"/>
      <c r="J2695" s="400"/>
      <c r="K2695" s="401"/>
      <c r="L2695" s="401"/>
    </row>
    <row r="2696" spans="1:64" ht="13">
      <c r="A2696" s="454"/>
      <c r="B2696" s="454"/>
      <c r="C2696" s="427" t="s">
        <v>953</v>
      </c>
      <c r="D2696" s="414" t="s">
        <v>959</v>
      </c>
      <c r="E2696" s="416" t="s">
        <v>943</v>
      </c>
      <c r="F2696" s="415" t="s">
        <v>944</v>
      </c>
      <c r="G2696" s="414" t="s">
        <v>1036</v>
      </c>
      <c r="H2696" s="414" t="s">
        <v>1037</v>
      </c>
      <c r="I2696" s="414" t="s">
        <v>1038</v>
      </c>
      <c r="J2696" s="400"/>
      <c r="K2696" s="401"/>
      <c r="L2696" s="401"/>
    </row>
    <row r="2697" spans="1:64">
      <c r="A2697" s="454"/>
      <c r="B2697" s="454"/>
      <c r="C2697" s="417" t="s">
        <v>1064</v>
      </c>
      <c r="D2697" s="408">
        <f t="shared" ref="D2697:I2697" si="636">$I$2694</f>
        <v>12836.200292</v>
      </c>
      <c r="E2697" s="408">
        <f t="shared" si="636"/>
        <v>12836.200292</v>
      </c>
      <c r="F2697" s="408">
        <f t="shared" si="636"/>
        <v>12836.200292</v>
      </c>
      <c r="G2697" s="408">
        <f t="shared" si="636"/>
        <v>12836.200292</v>
      </c>
      <c r="H2697" s="408">
        <f t="shared" si="636"/>
        <v>12836.200292</v>
      </c>
      <c r="I2697" s="408">
        <f t="shared" si="636"/>
        <v>12836.200292</v>
      </c>
      <c r="J2697" s="400"/>
      <c r="K2697" s="401"/>
      <c r="L2697" s="401"/>
    </row>
    <row r="2698" spans="1:64">
      <c r="A2698" s="454"/>
      <c r="B2698" s="454"/>
      <c r="C2698" s="417" t="s">
        <v>994</v>
      </c>
      <c r="D2698" s="408">
        <v>0</v>
      </c>
      <c r="E2698" s="408">
        <f>ROUND($F$2692*10%,2)</f>
        <v>350.48</v>
      </c>
      <c r="F2698" s="408">
        <f>ROUND($F$2692*20%,2)</f>
        <v>700.96</v>
      </c>
      <c r="G2698" s="408">
        <f>ROUND($F$2692*30%,2)</f>
        <v>1051.44</v>
      </c>
      <c r="H2698" s="408">
        <f>ROUND($F$2692*40%,2)</f>
        <v>1401.92</v>
      </c>
      <c r="I2698" s="408">
        <f>ROUND($F$2692*50%,2)</f>
        <v>1752.4</v>
      </c>
      <c r="J2698" s="400"/>
      <c r="K2698" s="401"/>
      <c r="L2698" s="401"/>
    </row>
    <row r="2699" spans="1:64">
      <c r="A2699" s="454"/>
      <c r="B2699" s="454"/>
      <c r="C2699" s="417" t="str">
        <f>[161]Input!$C$47</f>
        <v>Add for MA @ 40%</v>
      </c>
      <c r="D2699" s="408">
        <f>D2698*[161]Input!$D$47</f>
        <v>0</v>
      </c>
      <c r="E2699" s="408">
        <f>E2698*[161]Input!$D$47</f>
        <v>140.19200000000001</v>
      </c>
      <c r="F2699" s="408">
        <f>F2698*[161]Input!$D$47</f>
        <v>280.38400000000001</v>
      </c>
      <c r="G2699" s="408">
        <f>G2698*[161]Input!$D$47</f>
        <v>420.57600000000002</v>
      </c>
      <c r="H2699" s="408">
        <f>H2698*[161]Input!$D$47</f>
        <v>560.76800000000003</v>
      </c>
      <c r="I2699" s="408">
        <f>I2698*[161]Input!$D$47</f>
        <v>700.96</v>
      </c>
      <c r="J2699" s="400"/>
      <c r="K2699" s="401"/>
      <c r="L2699" s="401"/>
    </row>
    <row r="2700" spans="1:64">
      <c r="A2700" s="454"/>
      <c r="B2700" s="454"/>
      <c r="C2700" s="469"/>
      <c r="D2700" s="408">
        <f t="shared" ref="D2700:I2700" si="637">SUM(D2697:D2699)</f>
        <v>12836.200292</v>
      </c>
      <c r="E2700" s="408">
        <f t="shared" si="637"/>
        <v>13326.872292</v>
      </c>
      <c r="F2700" s="408">
        <f t="shared" si="637"/>
        <v>13817.544292</v>
      </c>
      <c r="G2700" s="408">
        <f t="shared" si="637"/>
        <v>14308.216292000001</v>
      </c>
      <c r="H2700" s="408">
        <f t="shared" si="637"/>
        <v>14798.888292</v>
      </c>
      <c r="I2700" s="408">
        <f t="shared" si="637"/>
        <v>15289.560291999998</v>
      </c>
      <c r="J2700" s="400"/>
      <c r="K2700" s="401"/>
      <c r="L2700" s="401"/>
    </row>
    <row r="2701" spans="1:64" ht="25">
      <c r="A2701" s="454"/>
      <c r="B2701" s="454"/>
      <c r="C2701" s="417" t="str">
        <f>[161]Input!$C$48</f>
        <v>Overheads &amp; Contractors Profit @ 13.615%</v>
      </c>
      <c r="D2701" s="408">
        <f>ROUND(D2700*[161]Input!$D$48,2)</f>
        <v>1747.65</v>
      </c>
      <c r="E2701" s="408">
        <f>ROUND(E2700*[161]Input!$D$48,2)</f>
        <v>1814.45</v>
      </c>
      <c r="F2701" s="408">
        <f>ROUND(F2700*[161]Input!$D$48,2)</f>
        <v>1881.26</v>
      </c>
      <c r="G2701" s="408">
        <f>ROUND(G2700*[161]Input!$D$48,2)</f>
        <v>1948.06</v>
      </c>
      <c r="H2701" s="408">
        <f>ROUND(H2700*[161]Input!$D$48,2)</f>
        <v>2014.87</v>
      </c>
      <c r="I2701" s="408">
        <f>ROUND(I2700*[161]Input!$D$48,2)</f>
        <v>2081.67</v>
      </c>
      <c r="J2701" s="400"/>
      <c r="K2701" s="401"/>
      <c r="L2701" s="401"/>
    </row>
    <row r="2702" spans="1:64" ht="13">
      <c r="A2702" s="454"/>
      <c r="B2702" s="454"/>
      <c r="C2702" s="427" t="s">
        <v>1047</v>
      </c>
      <c r="D2702" s="408">
        <f t="shared" ref="D2702:I2702" si="638">SUM(D2700:D2701)</f>
        <v>14583.850291999999</v>
      </c>
      <c r="E2702" s="408">
        <f t="shared" si="638"/>
        <v>15141.322292000001</v>
      </c>
      <c r="F2702" s="408">
        <f t="shared" si="638"/>
        <v>15698.804292000001</v>
      </c>
      <c r="G2702" s="408">
        <f t="shared" si="638"/>
        <v>16256.276292</v>
      </c>
      <c r="H2702" s="408">
        <f t="shared" si="638"/>
        <v>16813.758291999999</v>
      </c>
      <c r="I2702" s="408">
        <f t="shared" si="638"/>
        <v>17371.230292</v>
      </c>
      <c r="J2702" s="400"/>
      <c r="K2702" s="401"/>
      <c r="L2702" s="401"/>
    </row>
    <row r="2703" spans="1:64" ht="13">
      <c r="A2703" s="454"/>
      <c r="B2703" s="454"/>
      <c r="C2703" s="427" t="s">
        <v>845</v>
      </c>
      <c r="D2703" s="414">
        <f t="shared" ref="D2703:I2703" si="639">D2702/10</f>
        <v>1458.3850292</v>
      </c>
      <c r="E2703" s="414">
        <f t="shared" si="639"/>
        <v>1514.1322292</v>
      </c>
      <c r="F2703" s="414">
        <f t="shared" si="639"/>
        <v>1569.8804292</v>
      </c>
      <c r="G2703" s="414">
        <f t="shared" si="639"/>
        <v>1625.6276292</v>
      </c>
      <c r="H2703" s="414">
        <f t="shared" si="639"/>
        <v>1681.3758291999998</v>
      </c>
      <c r="I2703" s="414">
        <f t="shared" si="639"/>
        <v>1737.1230292</v>
      </c>
      <c r="J2703" s="400"/>
      <c r="K2703" s="401"/>
      <c r="L2703" s="401"/>
    </row>
    <row r="2704" spans="1:64" ht="13">
      <c r="A2704" s="454"/>
      <c r="B2704" s="454"/>
      <c r="C2704" s="522" t="s">
        <v>726</v>
      </c>
      <c r="D2704" s="416">
        <f t="shared" ref="D2704:I2704" si="640">ROUND(D2703,0)</f>
        <v>1458</v>
      </c>
      <c r="E2704" s="416">
        <f t="shared" si="640"/>
        <v>1514</v>
      </c>
      <c r="F2704" s="416">
        <f t="shared" si="640"/>
        <v>1570</v>
      </c>
      <c r="G2704" s="416">
        <f t="shared" si="640"/>
        <v>1626</v>
      </c>
      <c r="H2704" s="416">
        <f t="shared" si="640"/>
        <v>1681</v>
      </c>
      <c r="I2704" s="416">
        <f t="shared" si="640"/>
        <v>1737</v>
      </c>
      <c r="J2704" s="400"/>
      <c r="K2704" s="401"/>
      <c r="L2704" s="401"/>
      <c r="M2704" s="554"/>
      <c r="N2704" s="554"/>
      <c r="O2704" s="554"/>
      <c r="P2704" s="554"/>
      <c r="Q2704" s="554"/>
      <c r="R2704" s="554"/>
      <c r="S2704" s="554"/>
      <c r="T2704" s="554"/>
      <c r="U2704" s="554"/>
      <c r="V2704" s="554"/>
      <c r="W2704" s="554"/>
      <c r="X2704" s="554"/>
      <c r="Y2704" s="554"/>
      <c r="Z2704" s="554"/>
      <c r="AA2704" s="554"/>
      <c r="AB2704" s="554"/>
      <c r="AC2704" s="554"/>
      <c r="AD2704" s="554"/>
      <c r="AE2704" s="554"/>
      <c r="AF2704" s="554"/>
      <c r="AG2704" s="554"/>
      <c r="AH2704" s="554"/>
      <c r="AI2704" s="554"/>
      <c r="AJ2704" s="554"/>
      <c r="AK2704" s="554"/>
      <c r="AL2704" s="554"/>
      <c r="AM2704" s="554"/>
      <c r="AN2704" s="554"/>
      <c r="AO2704" s="554"/>
      <c r="AP2704" s="554"/>
      <c r="AQ2704" s="554"/>
      <c r="AR2704" s="554"/>
      <c r="AS2704" s="554"/>
      <c r="AT2704" s="554"/>
      <c r="AU2704" s="554"/>
      <c r="AV2704" s="554"/>
      <c r="AW2704" s="554"/>
      <c r="AX2704" s="554"/>
      <c r="AY2704" s="554"/>
      <c r="AZ2704" s="554"/>
      <c r="BA2704" s="554"/>
      <c r="BB2704" s="554"/>
      <c r="BC2704" s="554"/>
      <c r="BD2704" s="554"/>
      <c r="BE2704" s="554"/>
      <c r="BF2704" s="554"/>
      <c r="BG2704" s="554"/>
      <c r="BH2704" s="554"/>
      <c r="BI2704" s="554"/>
      <c r="BJ2704" s="554"/>
      <c r="BK2704" s="554"/>
      <c r="BL2704" s="554"/>
    </row>
    <row r="2705" spans="1:64" ht="86.65" customHeight="1">
      <c r="A2705" s="430">
        <f>1+A2679</f>
        <v>12</v>
      </c>
      <c r="B2705" s="454"/>
      <c r="C2705" s="1276" t="s">
        <v>1189</v>
      </c>
      <c r="D2705" s="1276"/>
      <c r="E2705" s="1276"/>
      <c r="F2705" s="1276"/>
      <c r="G2705" s="1276"/>
      <c r="H2705" s="1276"/>
      <c r="I2705" s="1276"/>
      <c r="J2705" s="472"/>
      <c r="K2705" s="497"/>
      <c r="L2705" s="497"/>
      <c r="M2705" s="498"/>
      <c r="N2705" s="498"/>
      <c r="O2705" s="554"/>
      <c r="P2705" s="554"/>
      <c r="Q2705" s="554"/>
      <c r="R2705" s="554"/>
      <c r="S2705" s="554"/>
      <c r="T2705" s="554"/>
      <c r="U2705" s="554"/>
      <c r="V2705" s="554"/>
      <c r="W2705" s="554"/>
      <c r="X2705" s="554"/>
      <c r="Y2705" s="554"/>
      <c r="Z2705" s="554"/>
      <c r="AA2705" s="554"/>
      <c r="AB2705" s="554"/>
      <c r="AC2705" s="554"/>
      <c r="AD2705" s="554"/>
      <c r="AE2705" s="554"/>
      <c r="AF2705" s="554"/>
      <c r="AG2705" s="554"/>
      <c r="AH2705" s="554"/>
      <c r="AI2705" s="554"/>
      <c r="AJ2705" s="554"/>
      <c r="AK2705" s="554"/>
      <c r="AL2705" s="554"/>
      <c r="AM2705" s="554"/>
      <c r="AN2705" s="554"/>
      <c r="AO2705" s="554"/>
      <c r="AP2705" s="554"/>
      <c r="AQ2705" s="554"/>
      <c r="AR2705" s="554"/>
      <c r="AS2705" s="554"/>
      <c r="AT2705" s="554"/>
      <c r="AU2705" s="554"/>
      <c r="AV2705" s="554"/>
      <c r="AW2705" s="554"/>
      <c r="AX2705" s="554"/>
      <c r="AY2705" s="554"/>
      <c r="AZ2705" s="554"/>
      <c r="BA2705" s="554"/>
      <c r="BB2705" s="554"/>
      <c r="BC2705" s="554"/>
      <c r="BD2705" s="554"/>
      <c r="BE2705" s="554"/>
      <c r="BF2705" s="554"/>
      <c r="BG2705" s="554"/>
      <c r="BH2705" s="554"/>
      <c r="BI2705" s="554"/>
      <c r="BJ2705" s="554"/>
      <c r="BK2705" s="554"/>
      <c r="BL2705" s="554"/>
    </row>
    <row r="2706" spans="1:64" ht="13">
      <c r="A2706" s="454"/>
      <c r="B2706" s="454"/>
      <c r="C2706" s="473" t="s">
        <v>1180</v>
      </c>
      <c r="D2706" s="426"/>
      <c r="E2706" s="426"/>
      <c r="F2706" s="426"/>
      <c r="G2706" s="426"/>
      <c r="H2706" s="426"/>
      <c r="I2706" s="409"/>
      <c r="J2706" s="472"/>
      <c r="K2706" s="497"/>
      <c r="L2706" s="497"/>
      <c r="M2706" s="498"/>
      <c r="N2706" s="498"/>
      <c r="O2706" s="554"/>
      <c r="P2706" s="554"/>
      <c r="Q2706" s="554"/>
      <c r="R2706" s="554"/>
      <c r="S2706" s="554"/>
      <c r="T2706" s="554"/>
      <c r="U2706" s="554"/>
      <c r="V2706" s="554"/>
      <c r="W2706" s="554"/>
      <c r="X2706" s="554"/>
      <c r="Y2706" s="554"/>
      <c r="Z2706" s="554"/>
      <c r="AA2706" s="554"/>
      <c r="AB2706" s="554"/>
      <c r="AC2706" s="554"/>
      <c r="AD2706" s="554"/>
      <c r="AE2706" s="554"/>
      <c r="AF2706" s="554"/>
      <c r="AG2706" s="554"/>
      <c r="AH2706" s="554"/>
      <c r="AI2706" s="554"/>
      <c r="AJ2706" s="554"/>
      <c r="AK2706" s="554"/>
      <c r="AL2706" s="554"/>
      <c r="AM2706" s="554"/>
      <c r="AN2706" s="554"/>
      <c r="AO2706" s="554"/>
      <c r="AP2706" s="554"/>
      <c r="AQ2706" s="554"/>
      <c r="AR2706" s="554"/>
      <c r="AS2706" s="554"/>
      <c r="AT2706" s="554"/>
      <c r="AU2706" s="554"/>
      <c r="AV2706" s="554"/>
      <c r="AW2706" s="554"/>
      <c r="AX2706" s="554"/>
      <c r="AY2706" s="554"/>
      <c r="AZ2706" s="554"/>
      <c r="BA2706" s="554"/>
      <c r="BB2706" s="554"/>
      <c r="BC2706" s="554"/>
      <c r="BD2706" s="554"/>
      <c r="BE2706" s="554"/>
      <c r="BF2706" s="554"/>
      <c r="BG2706" s="554"/>
      <c r="BH2706" s="554"/>
      <c r="BI2706" s="554"/>
      <c r="BJ2706" s="554"/>
      <c r="BK2706" s="554"/>
      <c r="BL2706" s="554"/>
    </row>
    <row r="2707" spans="1:64">
      <c r="A2707" s="454"/>
      <c r="B2707" s="454"/>
      <c r="C2707" s="417" t="s">
        <v>1167</v>
      </c>
      <c r="D2707" s="426"/>
      <c r="E2707" s="426"/>
      <c r="F2707" s="426"/>
      <c r="G2707" s="426"/>
      <c r="H2707" s="426"/>
      <c r="I2707" s="409"/>
      <c r="J2707" s="472"/>
      <c r="K2707" s="497"/>
      <c r="L2707" s="497"/>
      <c r="M2707" s="498"/>
      <c r="N2707" s="498"/>
      <c r="O2707" s="554"/>
      <c r="P2707" s="554"/>
      <c r="Q2707" s="554"/>
      <c r="R2707" s="554"/>
      <c r="S2707" s="554"/>
      <c r="T2707" s="554"/>
      <c r="U2707" s="554"/>
      <c r="V2707" s="554"/>
      <c r="W2707" s="554"/>
      <c r="X2707" s="554"/>
      <c r="Y2707" s="554"/>
      <c r="Z2707" s="554"/>
      <c r="AA2707" s="554"/>
      <c r="AB2707" s="554"/>
      <c r="AC2707" s="554"/>
      <c r="AD2707" s="554"/>
      <c r="AE2707" s="554"/>
      <c r="AF2707" s="554"/>
      <c r="AG2707" s="554"/>
      <c r="AH2707" s="554"/>
      <c r="AI2707" s="554"/>
      <c r="AJ2707" s="554"/>
      <c r="AK2707" s="554"/>
      <c r="AL2707" s="554"/>
      <c r="AM2707" s="554"/>
      <c r="AN2707" s="554"/>
      <c r="AO2707" s="554"/>
      <c r="AP2707" s="554"/>
      <c r="AQ2707" s="554"/>
      <c r="AR2707" s="554"/>
      <c r="AS2707" s="554"/>
      <c r="AT2707" s="554"/>
      <c r="AU2707" s="554"/>
      <c r="AV2707" s="554"/>
      <c r="AW2707" s="554"/>
      <c r="AX2707" s="554"/>
      <c r="AY2707" s="554"/>
      <c r="AZ2707" s="554"/>
      <c r="BA2707" s="554"/>
      <c r="BB2707" s="554"/>
      <c r="BC2707" s="554"/>
      <c r="BD2707" s="554"/>
      <c r="BE2707" s="554"/>
      <c r="BF2707" s="554"/>
      <c r="BG2707" s="554"/>
      <c r="BH2707" s="554"/>
      <c r="BI2707" s="554"/>
      <c r="BJ2707" s="554"/>
      <c r="BK2707" s="554"/>
      <c r="BL2707" s="554"/>
    </row>
    <row r="2708" spans="1:64" ht="13">
      <c r="A2708" s="454"/>
      <c r="B2708" s="454"/>
      <c r="C2708" s="427" t="s">
        <v>1168</v>
      </c>
      <c r="D2708" s="409"/>
      <c r="E2708" s="426"/>
      <c r="F2708" s="409"/>
      <c r="G2708" s="410"/>
      <c r="H2708" s="426"/>
      <c r="I2708" s="408"/>
      <c r="J2708" s="472"/>
      <c r="K2708" s="497"/>
      <c r="L2708" s="497"/>
      <c r="M2708" s="498"/>
      <c r="N2708" s="498"/>
      <c r="O2708" s="554"/>
      <c r="P2708" s="554"/>
      <c r="Q2708" s="554"/>
      <c r="R2708" s="554"/>
      <c r="S2708" s="554"/>
      <c r="T2708" s="554"/>
      <c r="U2708" s="554"/>
      <c r="V2708" s="554"/>
      <c r="W2708" s="554"/>
      <c r="X2708" s="554"/>
      <c r="Y2708" s="554"/>
      <c r="Z2708" s="554"/>
      <c r="AA2708" s="554"/>
      <c r="AB2708" s="554"/>
      <c r="AC2708" s="554"/>
      <c r="AD2708" s="554"/>
      <c r="AE2708" s="554"/>
      <c r="AF2708" s="554"/>
      <c r="AG2708" s="554"/>
      <c r="AH2708" s="554"/>
      <c r="AI2708" s="554"/>
      <c r="AJ2708" s="554"/>
      <c r="AK2708" s="554"/>
      <c r="AL2708" s="554"/>
      <c r="AM2708" s="554"/>
      <c r="AN2708" s="554"/>
      <c r="AO2708" s="554"/>
      <c r="AP2708" s="554"/>
      <c r="AQ2708" s="554"/>
      <c r="AR2708" s="554"/>
      <c r="AS2708" s="554"/>
      <c r="AT2708" s="554"/>
      <c r="AU2708" s="554"/>
      <c r="AV2708" s="554"/>
      <c r="AW2708" s="554"/>
      <c r="AX2708" s="554"/>
      <c r="AY2708" s="554"/>
      <c r="AZ2708" s="554"/>
      <c r="BA2708" s="554"/>
      <c r="BB2708" s="554"/>
      <c r="BC2708" s="554"/>
      <c r="BD2708" s="554"/>
      <c r="BE2708" s="554"/>
      <c r="BF2708" s="554"/>
      <c r="BG2708" s="554"/>
      <c r="BH2708" s="554"/>
      <c r="BI2708" s="554"/>
      <c r="BJ2708" s="554"/>
      <c r="BK2708" s="554"/>
      <c r="BL2708" s="554"/>
    </row>
    <row r="2709" spans="1:64" ht="25">
      <c r="A2709" s="458"/>
      <c r="B2709" s="458"/>
      <c r="C2709" s="417" t="s">
        <v>1190</v>
      </c>
      <c r="D2709" s="432">
        <v>10.5</v>
      </c>
      <c r="E2709" s="406" t="s">
        <v>62</v>
      </c>
      <c r="F2709" s="432">
        <f>'[161]Civil-SOR'!G17</f>
        <v>326</v>
      </c>
      <c r="G2709" s="431">
        <v>1</v>
      </c>
      <c r="H2709" s="406" t="s">
        <v>62</v>
      </c>
      <c r="I2709" s="459">
        <f t="shared" ref="I2709:I2713" si="641">IF(G2709="",D2709*F2709,(D2709*F2709/G2709))</f>
        <v>3423</v>
      </c>
      <c r="J2709" s="582"/>
      <c r="K2709" s="562"/>
      <c r="L2709" s="562"/>
      <c r="M2709" s="583"/>
      <c r="N2709" s="583"/>
      <c r="O2709" s="554"/>
      <c r="P2709" s="554"/>
      <c r="Q2709" s="554"/>
      <c r="R2709" s="554"/>
      <c r="S2709" s="554"/>
      <c r="T2709" s="554"/>
      <c r="U2709" s="554"/>
      <c r="V2709" s="554"/>
      <c r="W2709" s="554"/>
      <c r="X2709" s="554"/>
      <c r="Y2709" s="554"/>
      <c r="Z2709" s="554"/>
      <c r="AA2709" s="554"/>
      <c r="AB2709" s="554"/>
      <c r="AC2709" s="554"/>
      <c r="AD2709" s="554"/>
      <c r="AE2709" s="554"/>
      <c r="AF2709" s="554"/>
      <c r="AG2709" s="554"/>
      <c r="AH2709" s="554"/>
      <c r="AI2709" s="554"/>
      <c r="AJ2709" s="554"/>
      <c r="AK2709" s="554"/>
      <c r="AL2709" s="554"/>
      <c r="AM2709" s="554"/>
      <c r="AN2709" s="554"/>
      <c r="AO2709" s="554"/>
      <c r="AP2709" s="554"/>
      <c r="AQ2709" s="554"/>
      <c r="AR2709" s="554"/>
      <c r="AS2709" s="554"/>
      <c r="AT2709" s="554"/>
      <c r="AU2709" s="554"/>
      <c r="AV2709" s="554"/>
      <c r="AW2709" s="554"/>
      <c r="AX2709" s="554"/>
      <c r="AY2709" s="554"/>
      <c r="AZ2709" s="554"/>
      <c r="BA2709" s="554"/>
      <c r="BB2709" s="554"/>
      <c r="BC2709" s="554"/>
      <c r="BD2709" s="554"/>
      <c r="BE2709" s="554"/>
      <c r="BF2709" s="554"/>
      <c r="BG2709" s="554"/>
      <c r="BH2709" s="554"/>
      <c r="BI2709" s="554"/>
      <c r="BJ2709" s="554"/>
      <c r="BK2709" s="554"/>
      <c r="BL2709" s="554"/>
    </row>
    <row r="2710" spans="1:64" ht="25">
      <c r="A2710" s="458"/>
      <c r="B2710" s="458"/>
      <c r="C2710" s="417" t="s">
        <v>1186</v>
      </c>
      <c r="D2710" s="432">
        <v>21.6</v>
      </c>
      <c r="E2710" s="406" t="s">
        <v>833</v>
      </c>
      <c r="F2710" s="432">
        <f>[161]LEAD!$N$6</f>
        <v>5200</v>
      </c>
      <c r="G2710" s="431">
        <v>1000</v>
      </c>
      <c r="H2710" s="406" t="s">
        <v>833</v>
      </c>
      <c r="I2710" s="459">
        <f t="shared" si="641"/>
        <v>112.32000000000002</v>
      </c>
      <c r="J2710" s="582"/>
      <c r="K2710" s="562"/>
      <c r="L2710" s="562"/>
      <c r="M2710" s="583"/>
      <c r="N2710" s="583"/>
      <c r="O2710" s="554"/>
      <c r="P2710" s="554"/>
      <c r="Q2710" s="554"/>
      <c r="R2710" s="554"/>
      <c r="S2710" s="554"/>
      <c r="T2710" s="554"/>
      <c r="U2710" s="554"/>
      <c r="V2710" s="554"/>
      <c r="W2710" s="554"/>
      <c r="X2710" s="554"/>
      <c r="Y2710" s="554"/>
      <c r="Z2710" s="554"/>
      <c r="AA2710" s="554"/>
      <c r="AB2710" s="554"/>
      <c r="AC2710" s="554"/>
      <c r="AD2710" s="554"/>
      <c r="AE2710" s="554"/>
      <c r="AF2710" s="554"/>
      <c r="AG2710" s="554"/>
      <c r="AH2710" s="554"/>
      <c r="AI2710" s="554"/>
      <c r="AJ2710" s="554"/>
      <c r="AK2710" s="554"/>
      <c r="AL2710" s="554"/>
      <c r="AM2710" s="554"/>
      <c r="AN2710" s="554"/>
      <c r="AO2710" s="554"/>
      <c r="AP2710" s="554"/>
      <c r="AQ2710" s="554"/>
      <c r="AR2710" s="554"/>
      <c r="AS2710" s="554"/>
      <c r="AT2710" s="554"/>
      <c r="AU2710" s="554"/>
      <c r="AV2710" s="554"/>
      <c r="AW2710" s="554"/>
      <c r="AX2710" s="554"/>
      <c r="AY2710" s="554"/>
      <c r="AZ2710" s="554"/>
      <c r="BA2710" s="554"/>
      <c r="BB2710" s="554"/>
      <c r="BC2710" s="554"/>
      <c r="BD2710" s="554"/>
      <c r="BE2710" s="554"/>
      <c r="BF2710" s="554"/>
      <c r="BG2710" s="554"/>
      <c r="BH2710" s="554"/>
      <c r="BI2710" s="554"/>
      <c r="BJ2710" s="554"/>
      <c r="BK2710" s="554"/>
      <c r="BL2710" s="554"/>
    </row>
    <row r="2711" spans="1:64">
      <c r="A2711" s="458"/>
      <c r="B2711" s="458"/>
      <c r="C2711" s="417" t="s">
        <v>1171</v>
      </c>
      <c r="D2711" s="432">
        <v>33</v>
      </c>
      <c r="E2711" s="406" t="s">
        <v>833</v>
      </c>
      <c r="F2711" s="432">
        <f>[161]LEAD!$N$6</f>
        <v>5200</v>
      </c>
      <c r="G2711" s="431">
        <v>1000</v>
      </c>
      <c r="H2711" s="406" t="s">
        <v>833</v>
      </c>
      <c r="I2711" s="459">
        <f t="shared" si="641"/>
        <v>171.6</v>
      </c>
      <c r="J2711" s="582"/>
      <c r="K2711" s="562"/>
      <c r="L2711" s="562"/>
      <c r="M2711" s="583"/>
      <c r="N2711" s="583"/>
      <c r="O2711" s="554"/>
      <c r="P2711" s="554"/>
      <c r="Q2711" s="554"/>
      <c r="R2711" s="554"/>
      <c r="S2711" s="554"/>
      <c r="T2711" s="554"/>
      <c r="U2711" s="554"/>
      <c r="V2711" s="554"/>
      <c r="W2711" s="554"/>
      <c r="X2711" s="554"/>
      <c r="Y2711" s="554"/>
      <c r="Z2711" s="554"/>
      <c r="AA2711" s="554"/>
      <c r="AB2711" s="554"/>
      <c r="AC2711" s="554"/>
      <c r="AD2711" s="554"/>
      <c r="AE2711" s="554"/>
      <c r="AF2711" s="554"/>
      <c r="AG2711" s="554"/>
      <c r="AH2711" s="554"/>
      <c r="AI2711" s="554"/>
      <c r="AJ2711" s="554"/>
      <c r="AK2711" s="554"/>
      <c r="AL2711" s="554"/>
      <c r="AM2711" s="554"/>
      <c r="AN2711" s="554"/>
      <c r="AO2711" s="554"/>
      <c r="AP2711" s="554"/>
      <c r="AQ2711" s="554"/>
      <c r="AR2711" s="554"/>
      <c r="AS2711" s="554"/>
      <c r="AT2711" s="554"/>
      <c r="AU2711" s="554"/>
      <c r="AV2711" s="554"/>
      <c r="AW2711" s="554"/>
      <c r="AX2711" s="554"/>
      <c r="AY2711" s="554"/>
      <c r="AZ2711" s="554"/>
      <c r="BA2711" s="554"/>
      <c r="BB2711" s="554"/>
      <c r="BC2711" s="554"/>
      <c r="BD2711" s="554"/>
      <c r="BE2711" s="554"/>
      <c r="BF2711" s="554"/>
      <c r="BG2711" s="554"/>
      <c r="BH2711" s="554"/>
      <c r="BI2711" s="554"/>
      <c r="BJ2711" s="554"/>
      <c r="BK2711" s="554"/>
      <c r="BL2711" s="554"/>
    </row>
    <row r="2712" spans="1:64">
      <c r="A2712" s="458"/>
      <c r="B2712" s="458"/>
      <c r="C2712" s="417" t="s">
        <v>1183</v>
      </c>
      <c r="D2712" s="432">
        <v>2</v>
      </c>
      <c r="E2712" s="406" t="s">
        <v>833</v>
      </c>
      <c r="F2712" s="432">
        <f>'[161]Civil-SOR'!$G$185</f>
        <v>34</v>
      </c>
      <c r="G2712" s="431">
        <v>1</v>
      </c>
      <c r="H2712" s="406" t="s">
        <v>312</v>
      </c>
      <c r="I2712" s="459">
        <f t="shared" si="641"/>
        <v>68</v>
      </c>
      <c r="J2712" s="582"/>
      <c r="K2712" s="562"/>
      <c r="L2712" s="562"/>
      <c r="M2712" s="583"/>
      <c r="N2712" s="583"/>
      <c r="O2712" s="554"/>
      <c r="P2712" s="554"/>
      <c r="Q2712" s="554"/>
      <c r="R2712" s="554"/>
      <c r="S2712" s="554"/>
      <c r="T2712" s="554"/>
      <c r="U2712" s="554"/>
      <c r="V2712" s="554"/>
      <c r="W2712" s="554"/>
      <c r="X2712" s="554"/>
      <c r="Y2712" s="554"/>
      <c r="Z2712" s="554"/>
      <c r="AA2712" s="554"/>
      <c r="AB2712" s="554"/>
      <c r="AC2712" s="554"/>
      <c r="AD2712" s="554"/>
      <c r="AE2712" s="554"/>
      <c r="AF2712" s="554"/>
      <c r="AG2712" s="554"/>
      <c r="AH2712" s="554"/>
      <c r="AI2712" s="554"/>
      <c r="AJ2712" s="554"/>
      <c r="AK2712" s="554"/>
      <c r="AL2712" s="554"/>
      <c r="AM2712" s="554"/>
      <c r="AN2712" s="554"/>
      <c r="AO2712" s="554"/>
      <c r="AP2712" s="554"/>
      <c r="AQ2712" s="554"/>
      <c r="AR2712" s="554"/>
      <c r="AS2712" s="554"/>
      <c r="AT2712" s="554"/>
      <c r="AU2712" s="554"/>
      <c r="AV2712" s="554"/>
      <c r="AW2712" s="554"/>
      <c r="AX2712" s="554"/>
      <c r="AY2712" s="554"/>
      <c r="AZ2712" s="554"/>
      <c r="BA2712" s="554"/>
      <c r="BB2712" s="554"/>
      <c r="BC2712" s="554"/>
      <c r="BD2712" s="554"/>
      <c r="BE2712" s="554"/>
      <c r="BF2712" s="554"/>
      <c r="BG2712" s="554"/>
      <c r="BH2712" s="554"/>
      <c r="BI2712" s="554"/>
      <c r="BJ2712" s="554"/>
      <c r="BK2712" s="554"/>
      <c r="BL2712" s="554"/>
    </row>
    <row r="2713" spans="1:64">
      <c r="A2713" s="458"/>
      <c r="B2713" s="458"/>
      <c r="C2713" s="417" t="s">
        <v>1173</v>
      </c>
      <c r="D2713" s="432">
        <v>0.12</v>
      </c>
      <c r="E2713" s="406" t="s">
        <v>57</v>
      </c>
      <c r="F2713" s="432">
        <f>[161]LEAD!$N$13</f>
        <v>2453.91</v>
      </c>
      <c r="G2713" s="431">
        <v>1</v>
      </c>
      <c r="H2713" s="406" t="s">
        <v>57</v>
      </c>
      <c r="I2713" s="459">
        <f t="shared" si="641"/>
        <v>294.46919999999994</v>
      </c>
      <c r="J2713" s="582"/>
      <c r="K2713" s="562"/>
      <c r="L2713" s="562"/>
      <c r="M2713" s="583"/>
      <c r="N2713" s="583"/>
      <c r="O2713" s="554"/>
      <c r="P2713" s="554"/>
      <c r="Q2713" s="554"/>
      <c r="R2713" s="554"/>
      <c r="S2713" s="554"/>
      <c r="T2713" s="554"/>
      <c r="U2713" s="554"/>
      <c r="V2713" s="554"/>
      <c r="W2713" s="554"/>
      <c r="X2713" s="554"/>
      <c r="Y2713" s="554"/>
      <c r="Z2713" s="554"/>
      <c r="AA2713" s="554"/>
      <c r="AB2713" s="554"/>
      <c r="AC2713" s="554"/>
      <c r="AD2713" s="554"/>
      <c r="AE2713" s="554"/>
      <c r="AF2713" s="554"/>
      <c r="AG2713" s="554"/>
      <c r="AH2713" s="554"/>
      <c r="AI2713" s="554"/>
      <c r="AJ2713" s="554"/>
      <c r="AK2713" s="554"/>
      <c r="AL2713" s="554"/>
      <c r="AM2713" s="554"/>
      <c r="AN2713" s="554"/>
      <c r="AO2713" s="554"/>
      <c r="AP2713" s="554"/>
      <c r="AQ2713" s="554"/>
      <c r="AR2713" s="554"/>
      <c r="AS2713" s="554"/>
      <c r="AT2713" s="554"/>
      <c r="AU2713" s="554"/>
      <c r="AV2713" s="554"/>
      <c r="AW2713" s="554"/>
      <c r="AX2713" s="554"/>
      <c r="AY2713" s="554"/>
      <c r="AZ2713" s="554"/>
      <c r="BA2713" s="554"/>
      <c r="BB2713" s="554"/>
      <c r="BC2713" s="554"/>
      <c r="BD2713" s="554"/>
      <c r="BE2713" s="554"/>
      <c r="BF2713" s="554"/>
      <c r="BG2713" s="554"/>
      <c r="BH2713" s="554"/>
      <c r="BI2713" s="554"/>
      <c r="BJ2713" s="554"/>
      <c r="BK2713" s="554"/>
      <c r="BL2713" s="554"/>
    </row>
    <row r="2714" spans="1:64" ht="13">
      <c r="A2714" s="458"/>
      <c r="B2714" s="458"/>
      <c r="C2714" s="427" t="s">
        <v>1073</v>
      </c>
      <c r="D2714" s="432"/>
      <c r="E2714" s="406"/>
      <c r="F2714" s="432"/>
      <c r="G2714" s="431"/>
      <c r="H2714" s="406"/>
      <c r="I2714" s="459"/>
      <c r="J2714" s="582"/>
      <c r="K2714" s="562"/>
      <c r="L2714" s="562"/>
      <c r="M2714" s="583"/>
      <c r="N2714" s="583"/>
      <c r="O2714" s="554"/>
      <c r="P2714" s="554"/>
      <c r="Q2714" s="554"/>
      <c r="R2714" s="554"/>
      <c r="S2714" s="554"/>
      <c r="T2714" s="554"/>
      <c r="U2714" s="554"/>
      <c r="V2714" s="554"/>
      <c r="W2714" s="554"/>
      <c r="X2714" s="554"/>
      <c r="Y2714" s="554"/>
      <c r="Z2714" s="554"/>
      <c r="AA2714" s="554"/>
      <c r="AB2714" s="554"/>
      <c r="AC2714" s="554"/>
      <c r="AD2714" s="554"/>
      <c r="AE2714" s="554"/>
      <c r="AF2714" s="554"/>
      <c r="AG2714" s="554"/>
      <c r="AH2714" s="554"/>
      <c r="AI2714" s="554"/>
      <c r="AJ2714" s="554"/>
      <c r="AK2714" s="554"/>
      <c r="AL2714" s="554"/>
      <c r="AM2714" s="554"/>
      <c r="AN2714" s="554"/>
      <c r="AO2714" s="554"/>
      <c r="AP2714" s="554"/>
      <c r="AQ2714" s="554"/>
      <c r="AR2714" s="554"/>
      <c r="AS2714" s="554"/>
      <c r="AT2714" s="554"/>
      <c r="AU2714" s="554"/>
      <c r="AV2714" s="554"/>
      <c r="AW2714" s="554"/>
      <c r="AX2714" s="554"/>
      <c r="AY2714" s="554"/>
      <c r="AZ2714" s="554"/>
      <c r="BA2714" s="554"/>
      <c r="BB2714" s="554"/>
      <c r="BC2714" s="554"/>
      <c r="BD2714" s="554"/>
      <c r="BE2714" s="554"/>
      <c r="BF2714" s="554"/>
      <c r="BG2714" s="554"/>
      <c r="BH2714" s="554"/>
      <c r="BI2714" s="554"/>
      <c r="BJ2714" s="554"/>
      <c r="BK2714" s="554"/>
      <c r="BL2714" s="554"/>
    </row>
    <row r="2715" spans="1:64">
      <c r="A2715" s="458"/>
      <c r="B2715" s="458"/>
      <c r="C2715" s="417" t="s">
        <v>1044</v>
      </c>
      <c r="D2715" s="432">
        <v>0.96</v>
      </c>
      <c r="E2715" s="406" t="s">
        <v>14</v>
      </c>
      <c r="F2715" s="432">
        <f>'[161]Civil-SOR'!$G$293</f>
        <v>580</v>
      </c>
      <c r="G2715" s="431">
        <v>1</v>
      </c>
      <c r="H2715" s="406" t="s">
        <v>572</v>
      </c>
      <c r="I2715" s="459">
        <f t="shared" ref="I2715:I2719" si="642">IF(G2715="",D2715*F2715,(D2715*F2715/G2715))</f>
        <v>556.79999999999995</v>
      </c>
      <c r="J2715" s="582"/>
      <c r="K2715" s="562"/>
      <c r="L2715" s="562"/>
      <c r="M2715" s="583"/>
      <c r="N2715" s="583"/>
      <c r="O2715" s="554"/>
      <c r="P2715" s="554"/>
      <c r="Q2715" s="554"/>
      <c r="R2715" s="554"/>
      <c r="S2715" s="554"/>
      <c r="T2715" s="554"/>
      <c r="U2715" s="554"/>
      <c r="V2715" s="554"/>
      <c r="W2715" s="554"/>
      <c r="X2715" s="554"/>
      <c r="Y2715" s="554"/>
      <c r="Z2715" s="554"/>
      <c r="AA2715" s="554"/>
      <c r="AB2715" s="554"/>
      <c r="AC2715" s="554"/>
      <c r="AD2715" s="554"/>
      <c r="AE2715" s="554"/>
      <c r="AF2715" s="554"/>
      <c r="AG2715" s="554"/>
      <c r="AH2715" s="554"/>
      <c r="AI2715" s="554"/>
      <c r="AJ2715" s="554"/>
      <c r="AK2715" s="554"/>
      <c r="AL2715" s="554"/>
      <c r="AM2715" s="554"/>
      <c r="AN2715" s="554"/>
      <c r="AO2715" s="554"/>
      <c r="AP2715" s="554"/>
      <c r="AQ2715" s="554"/>
      <c r="AR2715" s="554"/>
      <c r="AS2715" s="554"/>
      <c r="AT2715" s="554"/>
      <c r="AU2715" s="554"/>
      <c r="AV2715" s="554"/>
      <c r="AW2715" s="554"/>
      <c r="AX2715" s="554"/>
      <c r="AY2715" s="554"/>
      <c r="AZ2715" s="554"/>
      <c r="BA2715" s="554"/>
      <c r="BB2715" s="554"/>
      <c r="BC2715" s="554"/>
      <c r="BD2715" s="554"/>
      <c r="BE2715" s="554"/>
      <c r="BF2715" s="554"/>
      <c r="BG2715" s="554"/>
      <c r="BH2715" s="554"/>
      <c r="BI2715" s="554"/>
      <c r="BJ2715" s="554"/>
      <c r="BK2715" s="554"/>
      <c r="BL2715" s="554"/>
    </row>
    <row r="2716" spans="1:64">
      <c r="A2716" s="458"/>
      <c r="B2716" s="458"/>
      <c r="C2716" s="417" t="s">
        <v>1074</v>
      </c>
      <c r="D2716" s="432">
        <v>2.2400000000000002</v>
      </c>
      <c r="E2716" s="406" t="s">
        <v>14</v>
      </c>
      <c r="F2716" s="432">
        <f>'[161]Civil-SOR'!$G$302</f>
        <v>550</v>
      </c>
      <c r="G2716" s="431">
        <v>1</v>
      </c>
      <c r="H2716" s="406" t="s">
        <v>572</v>
      </c>
      <c r="I2716" s="459">
        <f t="shared" si="642"/>
        <v>1232.0000000000002</v>
      </c>
      <c r="J2716" s="582"/>
      <c r="K2716" s="562"/>
      <c r="L2716" s="562"/>
      <c r="M2716" s="583"/>
      <c r="N2716" s="583"/>
      <c r="O2716" s="554"/>
      <c r="P2716" s="554"/>
      <c r="Q2716" s="554"/>
      <c r="R2716" s="554"/>
      <c r="S2716" s="554"/>
      <c r="T2716" s="554"/>
      <c r="U2716" s="554"/>
      <c r="V2716" s="554"/>
      <c r="W2716" s="554"/>
      <c r="X2716" s="554"/>
      <c r="Y2716" s="554"/>
      <c r="Z2716" s="554"/>
      <c r="AA2716" s="554"/>
      <c r="AB2716" s="554"/>
      <c r="AC2716" s="554"/>
      <c r="AD2716" s="554"/>
      <c r="AE2716" s="554"/>
      <c r="AF2716" s="554"/>
      <c r="AG2716" s="554"/>
      <c r="AH2716" s="554"/>
      <c r="AI2716" s="554"/>
      <c r="AJ2716" s="554"/>
      <c r="AK2716" s="554"/>
      <c r="AL2716" s="554"/>
      <c r="AM2716" s="554"/>
      <c r="AN2716" s="554"/>
      <c r="AO2716" s="554"/>
      <c r="AP2716" s="554"/>
      <c r="AQ2716" s="554"/>
      <c r="AR2716" s="554"/>
      <c r="AS2716" s="554"/>
      <c r="AT2716" s="554"/>
      <c r="AU2716" s="554"/>
      <c r="AV2716" s="554"/>
      <c r="AW2716" s="554"/>
      <c r="AX2716" s="554"/>
      <c r="AY2716" s="554"/>
      <c r="AZ2716" s="554"/>
      <c r="BA2716" s="554"/>
      <c r="BB2716" s="554"/>
      <c r="BC2716" s="554"/>
      <c r="BD2716" s="554"/>
      <c r="BE2716" s="554"/>
      <c r="BF2716" s="554"/>
      <c r="BG2716" s="554"/>
      <c r="BH2716" s="554"/>
      <c r="BI2716" s="554"/>
      <c r="BJ2716" s="554"/>
      <c r="BK2716" s="554"/>
      <c r="BL2716" s="554"/>
    </row>
    <row r="2717" spans="1:64">
      <c r="A2717" s="458"/>
      <c r="B2717" s="458"/>
      <c r="C2717" s="417" t="s">
        <v>1174</v>
      </c>
      <c r="D2717" s="432">
        <v>3.3</v>
      </c>
      <c r="E2717" s="406" t="s">
        <v>14</v>
      </c>
      <c r="F2717" s="432">
        <f>'[161]Civil-SOR'!$G$307</f>
        <v>520</v>
      </c>
      <c r="G2717" s="431">
        <v>1</v>
      </c>
      <c r="H2717" s="406" t="s">
        <v>572</v>
      </c>
      <c r="I2717" s="459">
        <f t="shared" si="642"/>
        <v>1716</v>
      </c>
      <c r="J2717" s="582"/>
      <c r="K2717" s="562"/>
      <c r="L2717" s="562"/>
      <c r="M2717" s="583"/>
      <c r="N2717" s="583"/>
      <c r="O2717" s="554"/>
      <c r="P2717" s="554"/>
      <c r="Q2717" s="554"/>
      <c r="R2717" s="554"/>
      <c r="S2717" s="554"/>
      <c r="T2717" s="554"/>
      <c r="U2717" s="554"/>
      <c r="V2717" s="554"/>
      <c r="W2717" s="554"/>
      <c r="X2717" s="554"/>
      <c r="Y2717" s="554"/>
      <c r="Z2717" s="554"/>
      <c r="AA2717" s="554"/>
      <c r="AB2717" s="554"/>
      <c r="AC2717" s="554"/>
      <c r="AD2717" s="554"/>
      <c r="AE2717" s="554"/>
      <c r="AF2717" s="554"/>
      <c r="AG2717" s="554"/>
      <c r="AH2717" s="554"/>
      <c r="AI2717" s="554"/>
      <c r="AJ2717" s="554"/>
      <c r="AK2717" s="554"/>
      <c r="AL2717" s="554"/>
      <c r="AM2717" s="554"/>
      <c r="AN2717" s="554"/>
      <c r="AO2717" s="554"/>
      <c r="AP2717" s="554"/>
      <c r="AQ2717" s="554"/>
      <c r="AR2717" s="554"/>
      <c r="AS2717" s="554"/>
      <c r="AT2717" s="554"/>
      <c r="AU2717" s="554"/>
      <c r="AV2717" s="554"/>
      <c r="AW2717" s="554"/>
      <c r="AX2717" s="554"/>
      <c r="AY2717" s="554"/>
      <c r="AZ2717" s="554"/>
      <c r="BA2717" s="554"/>
      <c r="BB2717" s="554"/>
      <c r="BC2717" s="554"/>
      <c r="BD2717" s="554"/>
      <c r="BE2717" s="554"/>
      <c r="BF2717" s="554"/>
      <c r="BG2717" s="554"/>
      <c r="BH2717" s="554"/>
      <c r="BI2717" s="554"/>
      <c r="BJ2717" s="554"/>
      <c r="BK2717" s="554"/>
      <c r="BL2717" s="554"/>
    </row>
    <row r="2718" spans="1:64">
      <c r="A2718" s="458"/>
      <c r="B2718" s="458"/>
      <c r="C2718" s="417" t="str">
        <f>[161]Input!$C$47</f>
        <v>Add for MA @ 40%</v>
      </c>
      <c r="D2718" s="622">
        <f>[161]Input!$D$47</f>
        <v>0.4</v>
      </c>
      <c r="E2718" s="406"/>
      <c r="F2718" s="432">
        <f>SUM(I2715:I2717)</f>
        <v>3504.8</v>
      </c>
      <c r="G2718" s="431"/>
      <c r="H2718" s="406"/>
      <c r="I2718" s="459">
        <f t="shared" si="642"/>
        <v>1401.92</v>
      </c>
      <c r="J2718" s="582"/>
      <c r="K2718" s="562"/>
      <c r="L2718" s="562"/>
      <c r="M2718" s="583"/>
      <c r="N2718" s="583"/>
      <c r="O2718" s="554"/>
      <c r="P2718" s="554"/>
      <c r="Q2718" s="554"/>
      <c r="R2718" s="554"/>
      <c r="S2718" s="554"/>
      <c r="T2718" s="554"/>
      <c r="U2718" s="554"/>
      <c r="V2718" s="554"/>
      <c r="W2718" s="554"/>
      <c r="X2718" s="554"/>
      <c r="Y2718" s="554"/>
      <c r="Z2718" s="554"/>
      <c r="AA2718" s="554"/>
      <c r="AB2718" s="554"/>
      <c r="AC2718" s="554"/>
      <c r="AD2718" s="554"/>
      <c r="AE2718" s="554"/>
      <c r="AF2718" s="554"/>
      <c r="AG2718" s="554"/>
      <c r="AH2718" s="554"/>
      <c r="AI2718" s="554"/>
      <c r="AJ2718" s="554"/>
      <c r="AK2718" s="554"/>
      <c r="AL2718" s="554"/>
      <c r="AM2718" s="554"/>
      <c r="AN2718" s="554"/>
      <c r="AO2718" s="554"/>
      <c r="AP2718" s="554"/>
      <c r="AQ2718" s="554"/>
      <c r="AR2718" s="554"/>
      <c r="AS2718" s="554"/>
      <c r="AT2718" s="554"/>
      <c r="AU2718" s="554"/>
      <c r="AV2718" s="554"/>
      <c r="AW2718" s="554"/>
      <c r="AX2718" s="554"/>
      <c r="AY2718" s="554"/>
      <c r="AZ2718" s="554"/>
      <c r="BA2718" s="554"/>
      <c r="BB2718" s="554"/>
      <c r="BC2718" s="554"/>
      <c r="BD2718" s="554"/>
      <c r="BE2718" s="554"/>
      <c r="BF2718" s="554"/>
      <c r="BG2718" s="554"/>
      <c r="BH2718" s="554"/>
      <c r="BI2718" s="554"/>
      <c r="BJ2718" s="554"/>
      <c r="BK2718" s="554"/>
      <c r="BL2718" s="554"/>
    </row>
    <row r="2719" spans="1:64">
      <c r="A2719" s="458"/>
      <c r="B2719" s="458"/>
      <c r="C2719" s="417" t="s">
        <v>1046</v>
      </c>
      <c r="D2719" s="432">
        <v>0.01</v>
      </c>
      <c r="E2719" s="406"/>
      <c r="F2719" s="432">
        <f>SUM(I2709:I2718)</f>
        <v>8976.109199999999</v>
      </c>
      <c r="G2719" s="431"/>
      <c r="H2719" s="406"/>
      <c r="I2719" s="459">
        <f t="shared" si="642"/>
        <v>89.761091999999991</v>
      </c>
      <c r="J2719" s="582"/>
      <c r="K2719" s="562"/>
      <c r="L2719" s="562"/>
      <c r="M2719" s="583"/>
      <c r="N2719" s="583"/>
      <c r="O2719" s="554"/>
      <c r="P2719" s="554"/>
      <c r="Q2719" s="554"/>
      <c r="R2719" s="554"/>
      <c r="S2719" s="554"/>
      <c r="T2719" s="554"/>
      <c r="U2719" s="554"/>
      <c r="V2719" s="554"/>
      <c r="W2719" s="554"/>
      <c r="X2719" s="554"/>
      <c r="Y2719" s="554"/>
      <c r="Z2719" s="554"/>
      <c r="AA2719" s="554"/>
      <c r="AB2719" s="554"/>
      <c r="AC2719" s="554"/>
      <c r="AD2719" s="554"/>
      <c r="AE2719" s="554"/>
      <c r="AF2719" s="554"/>
      <c r="AG2719" s="554"/>
      <c r="AH2719" s="554"/>
      <c r="AI2719" s="554"/>
      <c r="AJ2719" s="554"/>
      <c r="AK2719" s="554"/>
      <c r="AL2719" s="554"/>
      <c r="AM2719" s="554"/>
      <c r="AN2719" s="554"/>
      <c r="AO2719" s="554"/>
      <c r="AP2719" s="554"/>
      <c r="AQ2719" s="554"/>
      <c r="AR2719" s="554"/>
      <c r="AS2719" s="554"/>
      <c r="AT2719" s="554"/>
      <c r="AU2719" s="554"/>
      <c r="AV2719" s="554"/>
      <c r="AW2719" s="554"/>
      <c r="AX2719" s="554"/>
      <c r="AY2719" s="554"/>
      <c r="AZ2719" s="554"/>
      <c r="BA2719" s="554"/>
      <c r="BB2719" s="554"/>
      <c r="BC2719" s="554"/>
      <c r="BD2719" s="554"/>
      <c r="BE2719" s="554"/>
      <c r="BF2719" s="554"/>
      <c r="BG2719" s="554"/>
      <c r="BH2719" s="554"/>
      <c r="BI2719" s="554"/>
      <c r="BJ2719" s="554"/>
      <c r="BK2719" s="554"/>
      <c r="BL2719" s="554"/>
    </row>
    <row r="2720" spans="1:64" ht="13">
      <c r="A2720" s="454"/>
      <c r="B2720" s="454"/>
      <c r="C2720" s="427" t="s">
        <v>1175</v>
      </c>
      <c r="D2720" s="409"/>
      <c r="E2720" s="426"/>
      <c r="F2720" s="409"/>
      <c r="G2720" s="410"/>
      <c r="H2720" s="426"/>
      <c r="I2720" s="414">
        <f>SUM(I2709:I2719)</f>
        <v>9065.8702919999996</v>
      </c>
      <c r="J2720" s="502"/>
      <c r="K2720" s="503"/>
      <c r="L2720" s="503"/>
      <c r="M2720" s="504"/>
      <c r="N2720" s="504"/>
      <c r="O2720" s="554"/>
      <c r="P2720" s="554"/>
      <c r="Q2720" s="554"/>
      <c r="R2720" s="554"/>
      <c r="S2720" s="554"/>
      <c r="T2720" s="554"/>
      <c r="U2720" s="554"/>
      <c r="V2720" s="554"/>
      <c r="W2720" s="554"/>
      <c r="X2720" s="554"/>
      <c r="Y2720" s="554"/>
      <c r="Z2720" s="554"/>
      <c r="AA2720" s="554"/>
      <c r="AB2720" s="554"/>
      <c r="AC2720" s="554"/>
      <c r="AD2720" s="554"/>
      <c r="AE2720" s="554"/>
      <c r="AF2720" s="554"/>
      <c r="AG2720" s="554"/>
      <c r="AH2720" s="554"/>
      <c r="AI2720" s="554"/>
      <c r="AJ2720" s="554"/>
      <c r="AK2720" s="554"/>
      <c r="AL2720" s="554"/>
      <c r="AM2720" s="554"/>
      <c r="AN2720" s="554"/>
      <c r="AO2720" s="554"/>
      <c r="AP2720" s="554"/>
      <c r="AQ2720" s="554"/>
      <c r="AR2720" s="554"/>
      <c r="AS2720" s="554"/>
      <c r="AT2720" s="554"/>
      <c r="AU2720" s="554"/>
      <c r="AV2720" s="554"/>
      <c r="AW2720" s="554"/>
      <c r="AX2720" s="554"/>
      <c r="AY2720" s="554"/>
      <c r="AZ2720" s="554"/>
      <c r="BA2720" s="554"/>
      <c r="BB2720" s="554"/>
      <c r="BC2720" s="554"/>
      <c r="BD2720" s="554"/>
      <c r="BE2720" s="554"/>
      <c r="BF2720" s="554"/>
      <c r="BG2720" s="554"/>
      <c r="BH2720" s="554"/>
      <c r="BI2720" s="554"/>
      <c r="BJ2720" s="554"/>
      <c r="BK2720" s="554"/>
      <c r="BL2720" s="554"/>
    </row>
    <row r="2721" spans="1:64">
      <c r="A2721" s="454"/>
      <c r="B2721" s="454"/>
      <c r="C2721" s="435"/>
      <c r="D2721" s="409"/>
      <c r="E2721" s="426"/>
      <c r="F2721" s="409"/>
      <c r="G2721" s="410"/>
      <c r="H2721" s="426"/>
      <c r="I2721" s="408"/>
      <c r="J2721" s="472"/>
      <c r="K2721" s="497"/>
      <c r="L2721" s="497"/>
      <c r="M2721" s="498"/>
      <c r="N2721" s="498"/>
      <c r="O2721" s="554"/>
      <c r="P2721" s="554"/>
      <c r="Q2721" s="554"/>
      <c r="R2721" s="554"/>
      <c r="S2721" s="554"/>
      <c r="T2721" s="554"/>
      <c r="U2721" s="554"/>
      <c r="V2721" s="554"/>
      <c r="W2721" s="554"/>
      <c r="X2721" s="554"/>
      <c r="Y2721" s="554"/>
      <c r="Z2721" s="554"/>
      <c r="AA2721" s="554"/>
      <c r="AB2721" s="554"/>
      <c r="AC2721" s="554"/>
      <c r="AD2721" s="554"/>
      <c r="AE2721" s="554"/>
      <c r="AF2721" s="554"/>
      <c r="AG2721" s="554"/>
      <c r="AH2721" s="554"/>
      <c r="AI2721" s="554"/>
      <c r="AJ2721" s="554"/>
      <c r="AK2721" s="554"/>
      <c r="AL2721" s="554"/>
      <c r="AM2721" s="554"/>
      <c r="AN2721" s="554"/>
      <c r="AO2721" s="554"/>
      <c r="AP2721" s="554"/>
      <c r="AQ2721" s="554"/>
      <c r="AR2721" s="554"/>
      <c r="AS2721" s="554"/>
      <c r="AT2721" s="554"/>
      <c r="AU2721" s="554"/>
      <c r="AV2721" s="554"/>
      <c r="AW2721" s="554"/>
      <c r="AX2721" s="554"/>
      <c r="AY2721" s="554"/>
      <c r="AZ2721" s="554"/>
      <c r="BA2721" s="554"/>
      <c r="BB2721" s="554"/>
      <c r="BC2721" s="554"/>
      <c r="BD2721" s="554"/>
      <c r="BE2721" s="554"/>
      <c r="BF2721" s="554"/>
      <c r="BG2721" s="554"/>
      <c r="BH2721" s="554"/>
      <c r="BI2721" s="554"/>
      <c r="BJ2721" s="554"/>
      <c r="BK2721" s="554"/>
      <c r="BL2721" s="554"/>
    </row>
    <row r="2722" spans="1:64" ht="13">
      <c r="A2722" s="454"/>
      <c r="B2722" s="454"/>
      <c r="C2722" s="427" t="s">
        <v>953</v>
      </c>
      <c r="D2722" s="414" t="s">
        <v>959</v>
      </c>
      <c r="E2722" s="416" t="s">
        <v>943</v>
      </c>
      <c r="F2722" s="415" t="s">
        <v>944</v>
      </c>
      <c r="G2722" s="414" t="s">
        <v>1036</v>
      </c>
      <c r="H2722" s="414" t="s">
        <v>1037</v>
      </c>
      <c r="I2722" s="414" t="s">
        <v>1038</v>
      </c>
      <c r="J2722" s="669" t="s">
        <v>1118</v>
      </c>
      <c r="K2722" s="551" t="s">
        <v>1119</v>
      </c>
      <c r="L2722" s="551" t="s">
        <v>1120</v>
      </c>
      <c r="M2722" s="498"/>
      <c r="N2722" s="498"/>
      <c r="O2722" s="554"/>
      <c r="P2722" s="554"/>
      <c r="Q2722" s="554"/>
      <c r="R2722" s="554"/>
      <c r="S2722" s="554"/>
      <c r="T2722" s="554"/>
      <c r="U2722" s="554"/>
      <c r="V2722" s="554"/>
      <c r="W2722" s="554"/>
      <c r="X2722" s="554"/>
      <c r="Y2722" s="554"/>
      <c r="Z2722" s="554"/>
      <c r="AA2722" s="554"/>
      <c r="AB2722" s="554"/>
      <c r="AC2722" s="554"/>
      <c r="AD2722" s="554"/>
      <c r="AE2722" s="554"/>
      <c r="AF2722" s="554"/>
      <c r="AG2722" s="554"/>
      <c r="AH2722" s="554"/>
      <c r="AI2722" s="554"/>
      <c r="AJ2722" s="554"/>
      <c r="AK2722" s="554"/>
      <c r="AL2722" s="554"/>
      <c r="AM2722" s="554"/>
      <c r="AN2722" s="554"/>
      <c r="AO2722" s="554"/>
      <c r="AP2722" s="554"/>
      <c r="AQ2722" s="554"/>
      <c r="AR2722" s="554"/>
      <c r="AS2722" s="554"/>
      <c r="AT2722" s="554"/>
      <c r="AU2722" s="554"/>
      <c r="AV2722" s="554"/>
      <c r="AW2722" s="554"/>
      <c r="AX2722" s="554"/>
      <c r="AY2722" s="554"/>
      <c r="AZ2722" s="554"/>
      <c r="BA2722" s="554"/>
      <c r="BB2722" s="554"/>
      <c r="BC2722" s="554"/>
      <c r="BD2722" s="554"/>
      <c r="BE2722" s="554"/>
      <c r="BF2722" s="554"/>
      <c r="BG2722" s="554"/>
      <c r="BH2722" s="554"/>
      <c r="BI2722" s="554"/>
      <c r="BJ2722" s="554"/>
      <c r="BK2722" s="554"/>
      <c r="BL2722" s="554"/>
    </row>
    <row r="2723" spans="1:64">
      <c r="A2723" s="454"/>
      <c r="B2723" s="454"/>
      <c r="C2723" s="417" t="s">
        <v>1064</v>
      </c>
      <c r="D2723" s="408">
        <f t="shared" ref="D2723:L2723" si="643">$I$2720</f>
        <v>9065.8702919999996</v>
      </c>
      <c r="E2723" s="408">
        <f t="shared" si="643"/>
        <v>9065.8702919999996</v>
      </c>
      <c r="F2723" s="408">
        <f t="shared" si="643"/>
        <v>9065.8702919999996</v>
      </c>
      <c r="G2723" s="408">
        <f t="shared" si="643"/>
        <v>9065.8702919999996</v>
      </c>
      <c r="H2723" s="408">
        <f t="shared" si="643"/>
        <v>9065.8702919999996</v>
      </c>
      <c r="I2723" s="408">
        <f t="shared" si="643"/>
        <v>9065.8702919999996</v>
      </c>
      <c r="J2723" s="510">
        <f t="shared" si="643"/>
        <v>9065.8702919999996</v>
      </c>
      <c r="K2723" s="511">
        <f t="shared" si="643"/>
        <v>9065.8702919999996</v>
      </c>
      <c r="L2723" s="511">
        <f t="shared" si="643"/>
        <v>9065.8702919999996</v>
      </c>
      <c r="M2723" s="498"/>
      <c r="N2723" s="498"/>
      <c r="O2723" s="554"/>
      <c r="P2723" s="554"/>
      <c r="Q2723" s="554"/>
      <c r="R2723" s="554"/>
      <c r="S2723" s="554"/>
      <c r="T2723" s="554"/>
      <c r="U2723" s="554"/>
      <c r="V2723" s="554"/>
      <c r="W2723" s="554"/>
      <c r="X2723" s="554"/>
      <c r="Y2723" s="554"/>
      <c r="Z2723" s="554"/>
      <c r="AA2723" s="554"/>
      <c r="AB2723" s="554"/>
      <c r="AC2723" s="554"/>
      <c r="AD2723" s="554"/>
      <c r="AE2723" s="554"/>
      <c r="AF2723" s="554"/>
      <c r="AG2723" s="554"/>
      <c r="AH2723" s="554"/>
      <c r="AI2723" s="554"/>
      <c r="AJ2723" s="554"/>
      <c r="AK2723" s="554"/>
      <c r="AL2723" s="554"/>
      <c r="AM2723" s="554"/>
      <c r="AN2723" s="554"/>
      <c r="AO2723" s="554"/>
      <c r="AP2723" s="554"/>
      <c r="AQ2723" s="554"/>
      <c r="AR2723" s="554"/>
      <c r="AS2723" s="554"/>
      <c r="AT2723" s="554"/>
      <c r="AU2723" s="554"/>
      <c r="AV2723" s="554"/>
      <c r="AW2723" s="554"/>
      <c r="AX2723" s="554"/>
      <c r="AY2723" s="554"/>
      <c r="AZ2723" s="554"/>
      <c r="BA2723" s="554"/>
      <c r="BB2723" s="554"/>
      <c r="BC2723" s="554"/>
      <c r="BD2723" s="554"/>
      <c r="BE2723" s="554"/>
      <c r="BF2723" s="554"/>
      <c r="BG2723" s="554"/>
      <c r="BH2723" s="554"/>
      <c r="BI2723" s="554"/>
      <c r="BJ2723" s="554"/>
      <c r="BK2723" s="554"/>
      <c r="BL2723" s="554"/>
    </row>
    <row r="2724" spans="1:64">
      <c r="A2724" s="454"/>
      <c r="B2724" s="454"/>
      <c r="C2724" s="417" t="s">
        <v>994</v>
      </c>
      <c r="D2724" s="408">
        <v>0</v>
      </c>
      <c r="E2724" s="408">
        <f>ROUND($F$2718*10%,2)</f>
        <v>350.48</v>
      </c>
      <c r="F2724" s="408">
        <f>ROUND($F$2718*20%,2)</f>
        <v>700.96</v>
      </c>
      <c r="G2724" s="408">
        <f>ROUND($F$2718*30%,2)</f>
        <v>1051.44</v>
      </c>
      <c r="H2724" s="408">
        <f>ROUND($F$2718*40%,2)</f>
        <v>1401.92</v>
      </c>
      <c r="I2724" s="408">
        <f>ROUND($F$2718*50%,2)</f>
        <v>1752.4</v>
      </c>
      <c r="J2724" s="510">
        <f>ROUND($F$2718*60%,2)</f>
        <v>2102.88</v>
      </c>
      <c r="K2724" s="511">
        <f>ROUND($F$2718*70%,2)</f>
        <v>2453.36</v>
      </c>
      <c r="L2724" s="511">
        <f>ROUND($F$2718*80%,2)</f>
        <v>2803.84</v>
      </c>
      <c r="M2724" s="498"/>
      <c r="N2724" s="498"/>
      <c r="O2724" s="554"/>
      <c r="P2724" s="554"/>
      <c r="Q2724" s="554"/>
      <c r="R2724" s="554"/>
      <c r="S2724" s="554"/>
      <c r="T2724" s="554"/>
      <c r="U2724" s="554"/>
      <c r="V2724" s="554"/>
      <c r="W2724" s="554"/>
      <c r="X2724" s="554"/>
      <c r="Y2724" s="554"/>
      <c r="Z2724" s="554"/>
      <c r="AA2724" s="554"/>
      <c r="AB2724" s="554"/>
      <c r="AC2724" s="554"/>
      <c r="AD2724" s="554"/>
      <c r="AE2724" s="554"/>
      <c r="AF2724" s="554"/>
      <c r="AG2724" s="554"/>
      <c r="AH2724" s="554"/>
      <c r="AI2724" s="554"/>
      <c r="AJ2724" s="554"/>
      <c r="AK2724" s="554"/>
      <c r="AL2724" s="554"/>
      <c r="AM2724" s="554"/>
      <c r="AN2724" s="554"/>
      <c r="AO2724" s="554"/>
      <c r="AP2724" s="554"/>
      <c r="AQ2724" s="554"/>
      <c r="AR2724" s="554"/>
      <c r="AS2724" s="554"/>
      <c r="AT2724" s="554"/>
      <c r="AU2724" s="554"/>
      <c r="AV2724" s="554"/>
      <c r="AW2724" s="554"/>
      <c r="AX2724" s="554"/>
      <c r="AY2724" s="554"/>
      <c r="AZ2724" s="554"/>
      <c r="BA2724" s="554"/>
      <c r="BB2724" s="554"/>
      <c r="BC2724" s="554"/>
      <c r="BD2724" s="554"/>
      <c r="BE2724" s="554"/>
      <c r="BF2724" s="554"/>
      <c r="BG2724" s="554"/>
      <c r="BH2724" s="554"/>
      <c r="BI2724" s="554"/>
      <c r="BJ2724" s="554"/>
      <c r="BK2724" s="554"/>
      <c r="BL2724" s="554"/>
    </row>
    <row r="2725" spans="1:64">
      <c r="A2725" s="454"/>
      <c r="B2725" s="454"/>
      <c r="C2725" s="417" t="str">
        <f>[161]Input!$C$47</f>
        <v>Add for MA @ 40%</v>
      </c>
      <c r="D2725" s="408">
        <f>D2724*[161]Input!$D$47</f>
        <v>0</v>
      </c>
      <c r="E2725" s="408">
        <f>E2724*[161]Input!$D$47</f>
        <v>140.19200000000001</v>
      </c>
      <c r="F2725" s="408">
        <f>F2724*[161]Input!$D$47</f>
        <v>280.38400000000001</v>
      </c>
      <c r="G2725" s="408">
        <f>G2724*[161]Input!$D$47</f>
        <v>420.57600000000002</v>
      </c>
      <c r="H2725" s="408">
        <f>H2724*[161]Input!$D$47</f>
        <v>560.76800000000003</v>
      </c>
      <c r="I2725" s="408">
        <f>I2724*[161]Input!$D$47</f>
        <v>700.96</v>
      </c>
      <c r="J2725" s="510">
        <f>J2724*[161]Input!$D$47</f>
        <v>841.15200000000004</v>
      </c>
      <c r="K2725" s="511">
        <f>K2724*[161]Input!$D$47</f>
        <v>981.34400000000005</v>
      </c>
      <c r="L2725" s="511">
        <f>L2724*[161]Input!$D$47</f>
        <v>1121.5360000000001</v>
      </c>
      <c r="M2725" s="498"/>
      <c r="N2725" s="498"/>
      <c r="O2725" s="554"/>
      <c r="P2725" s="554"/>
      <c r="Q2725" s="554"/>
      <c r="R2725" s="554"/>
      <c r="S2725" s="554"/>
      <c r="T2725" s="554"/>
      <c r="U2725" s="554"/>
      <c r="V2725" s="554"/>
      <c r="W2725" s="554"/>
      <c r="X2725" s="554"/>
      <c r="Y2725" s="554"/>
      <c r="Z2725" s="554"/>
      <c r="AA2725" s="554"/>
      <c r="AB2725" s="554"/>
      <c r="AC2725" s="554"/>
      <c r="AD2725" s="554"/>
      <c r="AE2725" s="554"/>
      <c r="AF2725" s="554"/>
      <c r="AG2725" s="554"/>
      <c r="AH2725" s="554"/>
      <c r="AI2725" s="554"/>
      <c r="AJ2725" s="554"/>
      <c r="AK2725" s="554"/>
      <c r="AL2725" s="554"/>
      <c r="AM2725" s="554"/>
      <c r="AN2725" s="554"/>
      <c r="AO2725" s="554"/>
      <c r="AP2725" s="554"/>
      <c r="AQ2725" s="554"/>
      <c r="AR2725" s="554"/>
      <c r="AS2725" s="554"/>
      <c r="AT2725" s="554"/>
      <c r="AU2725" s="554"/>
      <c r="AV2725" s="554"/>
      <c r="AW2725" s="554"/>
      <c r="AX2725" s="554"/>
      <c r="AY2725" s="554"/>
      <c r="AZ2725" s="554"/>
      <c r="BA2725" s="554"/>
      <c r="BB2725" s="554"/>
      <c r="BC2725" s="554"/>
      <c r="BD2725" s="554"/>
      <c r="BE2725" s="554"/>
      <c r="BF2725" s="554"/>
      <c r="BG2725" s="554"/>
      <c r="BH2725" s="554"/>
      <c r="BI2725" s="554"/>
      <c r="BJ2725" s="554"/>
      <c r="BK2725" s="554"/>
      <c r="BL2725" s="554"/>
    </row>
    <row r="2726" spans="1:64">
      <c r="A2726" s="454"/>
      <c r="B2726" s="454"/>
      <c r="C2726" s="435"/>
      <c r="D2726" s="408">
        <f t="shared" ref="D2726:L2726" si="644">SUM(D2723:D2725)</f>
        <v>9065.8702919999996</v>
      </c>
      <c r="E2726" s="408">
        <f t="shared" si="644"/>
        <v>9556.5422919999983</v>
      </c>
      <c r="F2726" s="408">
        <f t="shared" si="644"/>
        <v>10047.214291999999</v>
      </c>
      <c r="G2726" s="408">
        <f t="shared" si="644"/>
        <v>10537.886291999999</v>
      </c>
      <c r="H2726" s="408">
        <f t="shared" si="644"/>
        <v>11028.558292</v>
      </c>
      <c r="I2726" s="408">
        <f t="shared" si="644"/>
        <v>11519.230292</v>
      </c>
      <c r="J2726" s="510">
        <f t="shared" si="644"/>
        <v>12009.902292000001</v>
      </c>
      <c r="K2726" s="511">
        <f t="shared" si="644"/>
        <v>12500.574292000001</v>
      </c>
      <c r="L2726" s="511">
        <f t="shared" si="644"/>
        <v>12991.246292</v>
      </c>
      <c r="M2726" s="498"/>
      <c r="N2726" s="498"/>
      <c r="O2726" s="554"/>
      <c r="P2726" s="554"/>
      <c r="Q2726" s="554"/>
      <c r="R2726" s="554"/>
      <c r="S2726" s="554"/>
      <c r="T2726" s="554"/>
      <c r="U2726" s="554"/>
      <c r="V2726" s="554"/>
      <c r="W2726" s="554"/>
      <c r="X2726" s="554"/>
      <c r="Y2726" s="554"/>
      <c r="Z2726" s="554"/>
      <c r="AA2726" s="554"/>
      <c r="AB2726" s="554"/>
      <c r="AC2726" s="554"/>
      <c r="AD2726" s="554"/>
      <c r="AE2726" s="554"/>
      <c r="AF2726" s="554"/>
      <c r="AG2726" s="554"/>
      <c r="AH2726" s="554"/>
      <c r="AI2726" s="554"/>
      <c r="AJ2726" s="554"/>
      <c r="AK2726" s="554"/>
      <c r="AL2726" s="554"/>
      <c r="AM2726" s="554"/>
      <c r="AN2726" s="554"/>
      <c r="AO2726" s="554"/>
      <c r="AP2726" s="554"/>
      <c r="AQ2726" s="554"/>
      <c r="AR2726" s="554"/>
      <c r="AS2726" s="554"/>
      <c r="AT2726" s="554"/>
      <c r="AU2726" s="554"/>
      <c r="AV2726" s="554"/>
      <c r="AW2726" s="554"/>
      <c r="AX2726" s="554"/>
      <c r="AY2726" s="554"/>
      <c r="AZ2726" s="554"/>
      <c r="BA2726" s="554"/>
      <c r="BB2726" s="554"/>
      <c r="BC2726" s="554"/>
      <c r="BD2726" s="554"/>
      <c r="BE2726" s="554"/>
      <c r="BF2726" s="554"/>
      <c r="BG2726" s="554"/>
      <c r="BH2726" s="554"/>
      <c r="BI2726" s="554"/>
      <c r="BJ2726" s="554"/>
      <c r="BK2726" s="554"/>
      <c r="BL2726" s="554"/>
    </row>
    <row r="2727" spans="1:64" ht="25">
      <c r="A2727" s="454"/>
      <c r="B2727" s="454"/>
      <c r="C2727" s="417" t="str">
        <f>[161]Input!$C$48</f>
        <v>Overheads &amp; Contractors Profit @ 13.615%</v>
      </c>
      <c r="D2727" s="408">
        <f>ROUND(D2726*[161]Input!$D$48,2)</f>
        <v>1234.32</v>
      </c>
      <c r="E2727" s="408">
        <f>ROUND(E2726*[161]Input!$D$48,2)</f>
        <v>1301.1199999999999</v>
      </c>
      <c r="F2727" s="408">
        <f>ROUND(F2726*[161]Input!$D$48,2)</f>
        <v>1367.93</v>
      </c>
      <c r="G2727" s="408">
        <f>ROUND(G2726*[161]Input!$D$48,2)</f>
        <v>1434.73</v>
      </c>
      <c r="H2727" s="408">
        <f>ROUND(H2726*[161]Input!$D$48,2)</f>
        <v>1501.54</v>
      </c>
      <c r="I2727" s="408">
        <f>ROUND(I2726*[161]Input!$D$48,2)</f>
        <v>1568.34</v>
      </c>
      <c r="J2727" s="510">
        <f>ROUND(J2726*[161]Input!$D$48,2)</f>
        <v>1635.15</v>
      </c>
      <c r="K2727" s="511">
        <f>ROUND(K2726*[161]Input!$D$48,2)</f>
        <v>1701.95</v>
      </c>
      <c r="L2727" s="511">
        <f>ROUND(L2726*[161]Input!$D$48,2)</f>
        <v>1768.76</v>
      </c>
      <c r="M2727" s="498"/>
      <c r="N2727" s="498"/>
      <c r="O2727" s="554"/>
      <c r="P2727" s="554"/>
      <c r="Q2727" s="554"/>
      <c r="R2727" s="554"/>
      <c r="S2727" s="554"/>
      <c r="T2727" s="554"/>
      <c r="U2727" s="554"/>
      <c r="V2727" s="554"/>
      <c r="W2727" s="554"/>
      <c r="X2727" s="554"/>
      <c r="Y2727" s="554"/>
      <c r="Z2727" s="554"/>
      <c r="AA2727" s="554"/>
      <c r="AB2727" s="554"/>
      <c r="AC2727" s="554"/>
      <c r="AD2727" s="554"/>
      <c r="AE2727" s="554"/>
      <c r="AF2727" s="554"/>
      <c r="AG2727" s="554"/>
      <c r="AH2727" s="554"/>
      <c r="AI2727" s="554"/>
      <c r="AJ2727" s="554"/>
      <c r="AK2727" s="554"/>
      <c r="AL2727" s="554"/>
      <c r="AM2727" s="554"/>
      <c r="AN2727" s="554"/>
      <c r="AO2727" s="554"/>
      <c r="AP2727" s="554"/>
      <c r="AQ2727" s="554"/>
      <c r="AR2727" s="554"/>
      <c r="AS2727" s="554"/>
      <c r="AT2727" s="554"/>
      <c r="AU2727" s="554"/>
      <c r="AV2727" s="554"/>
      <c r="AW2727" s="554"/>
      <c r="AX2727" s="554"/>
      <c r="AY2727" s="554"/>
      <c r="AZ2727" s="554"/>
      <c r="BA2727" s="554"/>
      <c r="BB2727" s="554"/>
      <c r="BC2727" s="554"/>
      <c r="BD2727" s="554"/>
      <c r="BE2727" s="554"/>
      <c r="BF2727" s="554"/>
      <c r="BG2727" s="554"/>
      <c r="BH2727" s="554"/>
      <c r="BI2727" s="554"/>
      <c r="BJ2727" s="554"/>
      <c r="BK2727" s="554"/>
      <c r="BL2727" s="554"/>
    </row>
    <row r="2728" spans="1:64" ht="13">
      <c r="A2728" s="454"/>
      <c r="B2728" s="454"/>
      <c r="C2728" s="427" t="s">
        <v>1047</v>
      </c>
      <c r="D2728" s="408">
        <f t="shared" ref="D2728:L2728" si="645">SUM(D2726:D2727)</f>
        <v>10300.190291999999</v>
      </c>
      <c r="E2728" s="408">
        <f t="shared" si="645"/>
        <v>10857.662291999997</v>
      </c>
      <c r="F2728" s="408">
        <f t="shared" si="645"/>
        <v>11415.144291999999</v>
      </c>
      <c r="G2728" s="408">
        <f t="shared" si="645"/>
        <v>11972.616291999999</v>
      </c>
      <c r="H2728" s="408">
        <f t="shared" si="645"/>
        <v>12530.098291999999</v>
      </c>
      <c r="I2728" s="408">
        <f t="shared" si="645"/>
        <v>13087.570292</v>
      </c>
      <c r="J2728" s="510">
        <f t="shared" si="645"/>
        <v>13645.052292</v>
      </c>
      <c r="K2728" s="511">
        <f t="shared" si="645"/>
        <v>14202.524292000002</v>
      </c>
      <c r="L2728" s="511">
        <f t="shared" si="645"/>
        <v>14760.006292</v>
      </c>
      <c r="M2728" s="498"/>
      <c r="N2728" s="498"/>
      <c r="O2728" s="554"/>
      <c r="P2728" s="554"/>
      <c r="Q2728" s="554"/>
      <c r="R2728" s="554"/>
      <c r="S2728" s="554"/>
      <c r="T2728" s="554"/>
      <c r="U2728" s="554"/>
      <c r="V2728" s="554"/>
      <c r="W2728" s="554"/>
      <c r="X2728" s="554"/>
      <c r="Y2728" s="554"/>
      <c r="Z2728" s="554"/>
      <c r="AA2728" s="554"/>
      <c r="AB2728" s="554"/>
      <c r="AC2728" s="554"/>
      <c r="AD2728" s="554"/>
      <c r="AE2728" s="554"/>
      <c r="AF2728" s="554"/>
      <c r="AG2728" s="554"/>
      <c r="AH2728" s="554"/>
      <c r="AI2728" s="554"/>
      <c r="AJ2728" s="554"/>
      <c r="AK2728" s="554"/>
      <c r="AL2728" s="554"/>
      <c r="AM2728" s="554"/>
      <c r="AN2728" s="554"/>
      <c r="AO2728" s="554"/>
      <c r="AP2728" s="554"/>
      <c r="AQ2728" s="554"/>
      <c r="AR2728" s="554"/>
      <c r="AS2728" s="554"/>
      <c r="AT2728" s="554"/>
      <c r="AU2728" s="554"/>
      <c r="AV2728" s="554"/>
      <c r="AW2728" s="554"/>
      <c r="AX2728" s="554"/>
      <c r="AY2728" s="554"/>
      <c r="AZ2728" s="554"/>
      <c r="BA2728" s="554"/>
      <c r="BB2728" s="554"/>
      <c r="BC2728" s="554"/>
      <c r="BD2728" s="554"/>
      <c r="BE2728" s="554"/>
      <c r="BF2728" s="554"/>
      <c r="BG2728" s="554"/>
      <c r="BH2728" s="554"/>
      <c r="BI2728" s="554"/>
      <c r="BJ2728" s="554"/>
      <c r="BK2728" s="554"/>
      <c r="BL2728" s="554"/>
    </row>
    <row r="2729" spans="1:64" ht="13">
      <c r="A2729" s="454"/>
      <c r="B2729" s="454"/>
      <c r="C2729" s="427" t="s">
        <v>845</v>
      </c>
      <c r="D2729" s="414">
        <f t="shared" ref="D2729:L2729" si="646">D2728/10</f>
        <v>1030.0190292</v>
      </c>
      <c r="E2729" s="414">
        <f t="shared" si="646"/>
        <v>1085.7662291999998</v>
      </c>
      <c r="F2729" s="414">
        <f t="shared" si="646"/>
        <v>1141.5144292</v>
      </c>
      <c r="G2729" s="414">
        <f t="shared" si="646"/>
        <v>1197.2616291999998</v>
      </c>
      <c r="H2729" s="414">
        <f t="shared" si="646"/>
        <v>1253.0098291999998</v>
      </c>
      <c r="I2729" s="414">
        <f t="shared" si="646"/>
        <v>1308.7570292</v>
      </c>
      <c r="J2729" s="669">
        <f t="shared" si="646"/>
        <v>1364.5052292</v>
      </c>
      <c r="K2729" s="551">
        <f t="shared" si="646"/>
        <v>1420.2524292000003</v>
      </c>
      <c r="L2729" s="551">
        <f t="shared" si="646"/>
        <v>1476.0006292</v>
      </c>
      <c r="M2729" s="498"/>
      <c r="N2729" s="498"/>
      <c r="O2729" s="554"/>
      <c r="P2729" s="554"/>
      <c r="Q2729" s="554"/>
      <c r="R2729" s="554"/>
      <c r="S2729" s="554"/>
      <c r="T2729" s="554"/>
      <c r="U2729" s="554"/>
      <c r="V2729" s="554"/>
      <c r="W2729" s="554"/>
      <c r="X2729" s="554"/>
      <c r="Y2729" s="554"/>
      <c r="Z2729" s="554"/>
      <c r="AA2729" s="554"/>
      <c r="AB2729" s="554"/>
      <c r="AC2729" s="554"/>
      <c r="AD2729" s="554"/>
      <c r="AE2729" s="554"/>
      <c r="AF2729" s="554"/>
      <c r="AG2729" s="554"/>
      <c r="AH2729" s="554"/>
      <c r="AI2729" s="554"/>
      <c r="AJ2729" s="554"/>
      <c r="AK2729" s="554"/>
      <c r="AL2729" s="554"/>
      <c r="AM2729" s="554"/>
      <c r="AN2729" s="554"/>
      <c r="AO2729" s="554"/>
      <c r="AP2729" s="554"/>
      <c r="AQ2729" s="554"/>
      <c r="AR2729" s="554"/>
      <c r="AS2729" s="554"/>
      <c r="AT2729" s="554"/>
      <c r="AU2729" s="554"/>
      <c r="AV2729" s="554"/>
      <c r="AW2729" s="554"/>
      <c r="AX2729" s="554"/>
      <c r="AY2729" s="554"/>
      <c r="AZ2729" s="554"/>
      <c r="BA2729" s="554"/>
      <c r="BB2729" s="554"/>
      <c r="BC2729" s="554"/>
      <c r="BD2729" s="554"/>
      <c r="BE2729" s="554"/>
      <c r="BF2729" s="554"/>
      <c r="BG2729" s="554"/>
      <c r="BH2729" s="554"/>
      <c r="BI2729" s="554"/>
      <c r="BJ2729" s="554"/>
      <c r="BK2729" s="554"/>
      <c r="BL2729" s="554"/>
    </row>
    <row r="2730" spans="1:64" ht="13">
      <c r="A2730" s="454"/>
      <c r="B2730" s="454"/>
      <c r="C2730" s="514" t="s">
        <v>726</v>
      </c>
      <c r="D2730" s="416">
        <f t="shared" ref="D2730:L2730" si="647">ROUND(D2729,0)</f>
        <v>1030</v>
      </c>
      <c r="E2730" s="416">
        <f t="shared" si="647"/>
        <v>1086</v>
      </c>
      <c r="F2730" s="416">
        <f t="shared" si="647"/>
        <v>1142</v>
      </c>
      <c r="G2730" s="416">
        <f t="shared" si="647"/>
        <v>1197</v>
      </c>
      <c r="H2730" s="416">
        <f t="shared" si="647"/>
        <v>1253</v>
      </c>
      <c r="I2730" s="416">
        <f t="shared" si="647"/>
        <v>1309</v>
      </c>
      <c r="J2730" s="515">
        <f t="shared" si="647"/>
        <v>1365</v>
      </c>
      <c r="K2730" s="516">
        <f t="shared" si="647"/>
        <v>1420</v>
      </c>
      <c r="L2730" s="516">
        <f t="shared" si="647"/>
        <v>1476</v>
      </c>
      <c r="M2730" s="504"/>
      <c r="N2730" s="504"/>
      <c r="O2730" s="554"/>
      <c r="P2730" s="554"/>
      <c r="Q2730" s="554"/>
      <c r="R2730" s="554"/>
      <c r="S2730" s="554"/>
      <c r="T2730" s="554"/>
      <c r="U2730" s="554"/>
      <c r="V2730" s="554"/>
      <c r="W2730" s="554"/>
      <c r="X2730" s="554"/>
      <c r="Y2730" s="554"/>
      <c r="Z2730" s="554"/>
      <c r="AA2730" s="554"/>
      <c r="AB2730" s="554"/>
      <c r="AC2730" s="554"/>
      <c r="AD2730" s="554"/>
      <c r="AE2730" s="554"/>
      <c r="AF2730" s="554"/>
      <c r="AG2730" s="554"/>
      <c r="AH2730" s="554"/>
      <c r="AI2730" s="554"/>
      <c r="AJ2730" s="554"/>
      <c r="AK2730" s="554"/>
      <c r="AL2730" s="554"/>
      <c r="AM2730" s="554"/>
      <c r="AN2730" s="554"/>
      <c r="AO2730" s="554"/>
      <c r="AP2730" s="554"/>
      <c r="AQ2730" s="554"/>
      <c r="AR2730" s="554"/>
      <c r="AS2730" s="554"/>
      <c r="AT2730" s="554"/>
      <c r="AU2730" s="554"/>
      <c r="AV2730" s="554"/>
      <c r="AW2730" s="554"/>
      <c r="AX2730" s="554"/>
      <c r="AY2730" s="554"/>
      <c r="AZ2730" s="554"/>
      <c r="BA2730" s="554"/>
      <c r="BB2730" s="554"/>
      <c r="BC2730" s="554"/>
      <c r="BD2730" s="554"/>
      <c r="BE2730" s="554"/>
      <c r="BF2730" s="554"/>
      <c r="BG2730" s="554"/>
      <c r="BH2730" s="554"/>
      <c r="BI2730" s="554"/>
      <c r="BJ2730" s="554"/>
      <c r="BK2730" s="554"/>
      <c r="BL2730" s="554"/>
    </row>
    <row r="2731" spans="1:64" ht="13">
      <c r="A2731" s="454"/>
      <c r="B2731" s="454"/>
      <c r="C2731" s="514"/>
      <c r="D2731" s="416"/>
      <c r="E2731" s="416"/>
      <c r="F2731" s="416"/>
      <c r="G2731" s="416"/>
      <c r="H2731" s="416"/>
      <c r="I2731" s="416"/>
      <c r="J2731" s="515"/>
      <c r="K2731" s="516"/>
      <c r="L2731" s="516"/>
      <c r="M2731" s="504"/>
      <c r="N2731" s="504"/>
      <c r="O2731" s="554"/>
      <c r="P2731" s="554"/>
      <c r="Q2731" s="554"/>
      <c r="R2731" s="554"/>
      <c r="S2731" s="554"/>
      <c r="T2731" s="554"/>
      <c r="U2731" s="554"/>
      <c r="V2731" s="554"/>
      <c r="W2731" s="554"/>
      <c r="X2731" s="554"/>
      <c r="Y2731" s="554"/>
      <c r="Z2731" s="554"/>
      <c r="AA2731" s="554"/>
      <c r="AB2731" s="554"/>
      <c r="AC2731" s="554"/>
      <c r="AD2731" s="554"/>
      <c r="AE2731" s="554"/>
      <c r="AF2731" s="554"/>
      <c r="AG2731" s="554"/>
      <c r="AH2731" s="554"/>
      <c r="AI2731" s="554"/>
      <c r="AJ2731" s="554"/>
      <c r="AK2731" s="554"/>
      <c r="AL2731" s="554"/>
      <c r="AM2731" s="554"/>
      <c r="AN2731" s="554"/>
      <c r="AO2731" s="554"/>
      <c r="AP2731" s="554"/>
      <c r="AQ2731" s="554"/>
      <c r="AR2731" s="554"/>
      <c r="AS2731" s="554"/>
      <c r="AT2731" s="554"/>
      <c r="AU2731" s="554"/>
      <c r="AV2731" s="554"/>
      <c r="AW2731" s="554"/>
      <c r="AX2731" s="554"/>
      <c r="AY2731" s="554"/>
      <c r="AZ2731" s="554"/>
      <c r="BA2731" s="554"/>
      <c r="BB2731" s="554"/>
      <c r="BC2731" s="554"/>
      <c r="BD2731" s="554"/>
      <c r="BE2731" s="554"/>
      <c r="BF2731" s="554"/>
      <c r="BG2731" s="554"/>
      <c r="BH2731" s="554"/>
      <c r="BI2731" s="554"/>
      <c r="BJ2731" s="554"/>
      <c r="BK2731" s="554"/>
      <c r="BL2731" s="554"/>
    </row>
    <row r="2732" spans="1:64" ht="145.5" customHeight="1">
      <c r="A2732" s="454">
        <v>8</v>
      </c>
      <c r="B2732" s="454"/>
      <c r="C2732" s="1276" t="s">
        <v>1191</v>
      </c>
      <c r="D2732" s="1276"/>
      <c r="E2732" s="1276"/>
      <c r="F2732" s="1276"/>
      <c r="G2732" s="1276"/>
      <c r="H2732" s="1276"/>
      <c r="I2732" s="407"/>
      <c r="J2732" s="400"/>
      <c r="K2732" s="401"/>
      <c r="L2732" s="401"/>
    </row>
    <row r="2733" spans="1:64" ht="13">
      <c r="A2733" s="454"/>
      <c r="B2733" s="454"/>
      <c r="C2733" s="455" t="s">
        <v>1192</v>
      </c>
      <c r="D2733" s="426"/>
      <c r="E2733" s="426"/>
      <c r="F2733" s="426"/>
      <c r="G2733" s="426"/>
      <c r="H2733" s="426"/>
      <c r="I2733" s="409"/>
      <c r="J2733" s="400"/>
      <c r="K2733" s="401"/>
      <c r="L2733" s="401"/>
    </row>
    <row r="2734" spans="1:64">
      <c r="A2734" s="454"/>
      <c r="B2734" s="454"/>
      <c r="C2734" s="483" t="s">
        <v>1167</v>
      </c>
      <c r="D2734" s="426"/>
      <c r="E2734" s="426"/>
      <c r="F2734" s="426"/>
      <c r="G2734" s="426"/>
      <c r="H2734" s="426"/>
      <c r="I2734" s="409"/>
      <c r="J2734" s="400"/>
      <c r="K2734" s="401"/>
      <c r="L2734" s="401"/>
    </row>
    <row r="2735" spans="1:64" ht="13">
      <c r="A2735" s="454"/>
      <c r="B2735" s="454"/>
      <c r="C2735" s="433" t="s">
        <v>1168</v>
      </c>
      <c r="D2735" s="409"/>
      <c r="E2735" s="426"/>
      <c r="F2735" s="409"/>
      <c r="G2735" s="410"/>
      <c r="H2735" s="426"/>
      <c r="I2735" s="408"/>
      <c r="J2735" s="400"/>
      <c r="K2735" s="401"/>
      <c r="L2735" s="401"/>
    </row>
    <row r="2736" spans="1:64" ht="25">
      <c r="A2736" s="458"/>
      <c r="B2736" s="458"/>
      <c r="C2736" s="417" t="s">
        <v>1193</v>
      </c>
      <c r="D2736" s="432">
        <v>10.5</v>
      </c>
      <c r="E2736" s="406" t="s">
        <v>62</v>
      </c>
      <c r="F2736" s="432">
        <f>'[161]Civil-SOR'!$G$18</f>
        <v>443</v>
      </c>
      <c r="G2736" s="431">
        <v>1</v>
      </c>
      <c r="H2736" s="406" t="s">
        <v>62</v>
      </c>
      <c r="I2736" s="459">
        <f t="shared" ref="I2736:I2740" si="648">IF(G2736="",D2736*F2736,(D2736*F2736/G2736))</f>
        <v>4651.5</v>
      </c>
      <c r="J2736" s="462"/>
      <c r="K2736" s="463"/>
      <c r="L2736" s="463"/>
      <c r="M2736" s="559"/>
      <c r="N2736" s="559"/>
      <c r="O2736" s="559"/>
      <c r="P2736" s="559"/>
      <c r="Q2736" s="559"/>
      <c r="R2736" s="559"/>
      <c r="S2736" s="559"/>
      <c r="T2736" s="559"/>
      <c r="U2736" s="559"/>
      <c r="V2736" s="559"/>
      <c r="W2736" s="559"/>
      <c r="X2736" s="559"/>
      <c r="Y2736" s="559"/>
      <c r="Z2736" s="559"/>
      <c r="AA2736" s="559"/>
      <c r="AB2736" s="559"/>
      <c r="AC2736" s="559"/>
      <c r="AD2736" s="559"/>
      <c r="AE2736" s="559"/>
      <c r="AF2736" s="559"/>
      <c r="AG2736" s="559"/>
      <c r="AH2736" s="559"/>
      <c r="AI2736" s="559"/>
      <c r="AJ2736" s="559"/>
      <c r="AK2736" s="559"/>
      <c r="AL2736" s="559"/>
      <c r="AM2736" s="559"/>
      <c r="AN2736" s="559"/>
      <c r="AO2736" s="559"/>
      <c r="AP2736" s="559"/>
      <c r="AQ2736" s="559"/>
      <c r="AR2736" s="559"/>
      <c r="AS2736" s="559"/>
      <c r="AT2736" s="559"/>
      <c r="AU2736" s="559"/>
      <c r="AV2736" s="559"/>
      <c r="AW2736" s="559"/>
      <c r="AX2736" s="559"/>
      <c r="AY2736" s="559"/>
      <c r="AZ2736" s="559"/>
      <c r="BA2736" s="559"/>
      <c r="BB2736" s="559"/>
      <c r="BC2736" s="559"/>
      <c r="BD2736" s="559"/>
      <c r="BE2736" s="559"/>
      <c r="BF2736" s="559"/>
      <c r="BG2736" s="559"/>
      <c r="BH2736" s="559"/>
      <c r="BI2736" s="559"/>
      <c r="BJ2736" s="559"/>
      <c r="BK2736" s="559"/>
      <c r="BL2736" s="559"/>
    </row>
    <row r="2737" spans="1:64" ht="25">
      <c r="A2737" s="458"/>
      <c r="B2737" s="458"/>
      <c r="C2737" s="417" t="s">
        <v>1186</v>
      </c>
      <c r="D2737" s="432">
        <v>21.6</v>
      </c>
      <c r="E2737" s="406" t="s">
        <v>833</v>
      </c>
      <c r="F2737" s="432">
        <f>[161]LEAD!$N$6</f>
        <v>5200</v>
      </c>
      <c r="G2737" s="431">
        <v>1000</v>
      </c>
      <c r="H2737" s="406" t="s">
        <v>833</v>
      </c>
      <c r="I2737" s="459">
        <f t="shared" si="648"/>
        <v>112.32000000000002</v>
      </c>
      <c r="J2737" s="462"/>
      <c r="K2737" s="463"/>
      <c r="L2737" s="463"/>
      <c r="M2737" s="559"/>
      <c r="N2737" s="559"/>
      <c r="O2737" s="559"/>
      <c r="P2737" s="559"/>
      <c r="Q2737" s="559"/>
      <c r="R2737" s="559"/>
      <c r="S2737" s="559"/>
      <c r="T2737" s="559"/>
      <c r="U2737" s="559"/>
      <c r="V2737" s="559"/>
      <c r="W2737" s="559"/>
      <c r="X2737" s="559"/>
      <c r="Y2737" s="559"/>
      <c r="Z2737" s="559"/>
      <c r="AA2737" s="559"/>
      <c r="AB2737" s="559"/>
      <c r="AC2737" s="559"/>
      <c r="AD2737" s="559"/>
      <c r="AE2737" s="559"/>
      <c r="AF2737" s="559"/>
      <c r="AG2737" s="559"/>
      <c r="AH2737" s="559"/>
      <c r="AI2737" s="559"/>
      <c r="AJ2737" s="559"/>
      <c r="AK2737" s="559"/>
      <c r="AL2737" s="559"/>
      <c r="AM2737" s="559"/>
      <c r="AN2737" s="559"/>
      <c r="AO2737" s="559"/>
      <c r="AP2737" s="559"/>
      <c r="AQ2737" s="559"/>
      <c r="AR2737" s="559"/>
      <c r="AS2737" s="559"/>
      <c r="AT2737" s="559"/>
      <c r="AU2737" s="559"/>
      <c r="AV2737" s="559"/>
      <c r="AW2737" s="559"/>
      <c r="AX2737" s="559"/>
      <c r="AY2737" s="559"/>
      <c r="AZ2737" s="559"/>
      <c r="BA2737" s="559"/>
      <c r="BB2737" s="559"/>
      <c r="BC2737" s="559"/>
      <c r="BD2737" s="559"/>
      <c r="BE2737" s="559"/>
      <c r="BF2737" s="559"/>
      <c r="BG2737" s="559"/>
      <c r="BH2737" s="559"/>
      <c r="BI2737" s="559"/>
      <c r="BJ2737" s="559"/>
      <c r="BK2737" s="559"/>
      <c r="BL2737" s="559"/>
    </row>
    <row r="2738" spans="1:64">
      <c r="A2738" s="458"/>
      <c r="B2738" s="458"/>
      <c r="C2738" s="417" t="s">
        <v>1171</v>
      </c>
      <c r="D2738" s="432">
        <v>33</v>
      </c>
      <c r="E2738" s="406" t="s">
        <v>833</v>
      </c>
      <c r="F2738" s="432">
        <f>[161]LEAD!$N$6</f>
        <v>5200</v>
      </c>
      <c r="G2738" s="431">
        <v>1000</v>
      </c>
      <c r="H2738" s="406" t="s">
        <v>833</v>
      </c>
      <c r="I2738" s="459">
        <f t="shared" si="648"/>
        <v>171.6</v>
      </c>
      <c r="J2738" s="462"/>
      <c r="K2738" s="463"/>
      <c r="L2738" s="463"/>
      <c r="M2738" s="559"/>
      <c r="N2738" s="559"/>
      <c r="O2738" s="559"/>
      <c r="P2738" s="559"/>
      <c r="Q2738" s="559"/>
      <c r="R2738" s="559"/>
      <c r="S2738" s="559"/>
      <c r="T2738" s="559"/>
      <c r="U2738" s="559"/>
      <c r="V2738" s="559"/>
      <c r="W2738" s="559"/>
      <c r="X2738" s="559"/>
      <c r="Y2738" s="559"/>
      <c r="Z2738" s="559"/>
      <c r="AA2738" s="559"/>
      <c r="AB2738" s="559"/>
      <c r="AC2738" s="559"/>
      <c r="AD2738" s="559"/>
      <c r="AE2738" s="559"/>
      <c r="AF2738" s="559"/>
      <c r="AG2738" s="559"/>
      <c r="AH2738" s="559"/>
      <c r="AI2738" s="559"/>
      <c r="AJ2738" s="559"/>
      <c r="AK2738" s="559"/>
      <c r="AL2738" s="559"/>
      <c r="AM2738" s="559"/>
      <c r="AN2738" s="559"/>
      <c r="AO2738" s="559"/>
      <c r="AP2738" s="559"/>
      <c r="AQ2738" s="559"/>
      <c r="AR2738" s="559"/>
      <c r="AS2738" s="559"/>
      <c r="AT2738" s="559"/>
      <c r="AU2738" s="559"/>
      <c r="AV2738" s="559"/>
      <c r="AW2738" s="559"/>
      <c r="AX2738" s="559"/>
      <c r="AY2738" s="559"/>
      <c r="AZ2738" s="559"/>
      <c r="BA2738" s="559"/>
      <c r="BB2738" s="559"/>
      <c r="BC2738" s="559"/>
      <c r="BD2738" s="559"/>
      <c r="BE2738" s="559"/>
      <c r="BF2738" s="559"/>
      <c r="BG2738" s="559"/>
      <c r="BH2738" s="559"/>
      <c r="BI2738" s="559"/>
      <c r="BJ2738" s="559"/>
      <c r="BK2738" s="559"/>
      <c r="BL2738" s="559"/>
    </row>
    <row r="2739" spans="1:64">
      <c r="A2739" s="458"/>
      <c r="B2739" s="458"/>
      <c r="C2739" s="417" t="s">
        <v>1183</v>
      </c>
      <c r="D2739" s="432">
        <v>6</v>
      </c>
      <c r="E2739" s="406" t="s">
        <v>833</v>
      </c>
      <c r="F2739" s="432">
        <f>'[161]Civil-SOR'!$G$185</f>
        <v>34</v>
      </c>
      <c r="G2739" s="431">
        <v>1</v>
      </c>
      <c r="H2739" s="406" t="s">
        <v>312</v>
      </c>
      <c r="I2739" s="459">
        <f t="shared" si="648"/>
        <v>204</v>
      </c>
      <c r="J2739" s="462"/>
      <c r="K2739" s="463"/>
      <c r="L2739" s="463"/>
      <c r="M2739" s="559"/>
      <c r="N2739" s="559"/>
      <c r="O2739" s="559"/>
      <c r="P2739" s="559"/>
      <c r="Q2739" s="559"/>
      <c r="R2739" s="559"/>
      <c r="S2739" s="559"/>
      <c r="T2739" s="559"/>
      <c r="U2739" s="559"/>
      <c r="V2739" s="559"/>
      <c r="W2739" s="559"/>
      <c r="X2739" s="559"/>
      <c r="Y2739" s="559"/>
      <c r="Z2739" s="559"/>
      <c r="AA2739" s="559"/>
      <c r="AB2739" s="559"/>
      <c r="AC2739" s="559"/>
      <c r="AD2739" s="559"/>
      <c r="AE2739" s="559"/>
      <c r="AF2739" s="559"/>
      <c r="AG2739" s="559"/>
      <c r="AH2739" s="559"/>
      <c r="AI2739" s="559"/>
      <c r="AJ2739" s="559"/>
      <c r="AK2739" s="559"/>
      <c r="AL2739" s="559"/>
      <c r="AM2739" s="559"/>
      <c r="AN2739" s="559"/>
      <c r="AO2739" s="559"/>
      <c r="AP2739" s="559"/>
      <c r="AQ2739" s="559"/>
      <c r="AR2739" s="559"/>
      <c r="AS2739" s="559"/>
      <c r="AT2739" s="559"/>
      <c r="AU2739" s="559"/>
      <c r="AV2739" s="559"/>
      <c r="AW2739" s="559"/>
      <c r="AX2739" s="559"/>
      <c r="AY2739" s="559"/>
      <c r="AZ2739" s="559"/>
      <c r="BA2739" s="559"/>
      <c r="BB2739" s="559"/>
      <c r="BC2739" s="559"/>
      <c r="BD2739" s="559"/>
      <c r="BE2739" s="559"/>
      <c r="BF2739" s="559"/>
      <c r="BG2739" s="559"/>
      <c r="BH2739" s="559"/>
      <c r="BI2739" s="559"/>
      <c r="BJ2739" s="559"/>
      <c r="BK2739" s="559"/>
      <c r="BL2739" s="559"/>
    </row>
    <row r="2740" spans="1:64">
      <c r="A2740" s="458"/>
      <c r="B2740" s="458"/>
      <c r="C2740" s="417" t="s">
        <v>1173</v>
      </c>
      <c r="D2740" s="432">
        <v>0.12</v>
      </c>
      <c r="E2740" s="406" t="s">
        <v>57</v>
      </c>
      <c r="F2740" s="432">
        <f>[161]LEAD!$N$13</f>
        <v>2453.91</v>
      </c>
      <c r="G2740" s="431">
        <v>1</v>
      </c>
      <c r="H2740" s="406" t="s">
        <v>57</v>
      </c>
      <c r="I2740" s="459">
        <f t="shared" si="648"/>
        <v>294.46919999999994</v>
      </c>
      <c r="J2740" s="462"/>
      <c r="K2740" s="463"/>
      <c r="L2740" s="463"/>
      <c r="M2740" s="559"/>
      <c r="N2740" s="559"/>
      <c r="O2740" s="559"/>
      <c r="P2740" s="559"/>
      <c r="Q2740" s="559"/>
      <c r="R2740" s="559"/>
      <c r="S2740" s="559"/>
      <c r="T2740" s="559"/>
      <c r="U2740" s="559"/>
      <c r="V2740" s="559"/>
      <c r="W2740" s="559"/>
      <c r="X2740" s="559"/>
      <c r="Y2740" s="559"/>
      <c r="Z2740" s="559"/>
      <c r="AA2740" s="559"/>
      <c r="AB2740" s="559"/>
      <c r="AC2740" s="559"/>
      <c r="AD2740" s="559"/>
      <c r="AE2740" s="559"/>
      <c r="AF2740" s="559"/>
      <c r="AG2740" s="559"/>
      <c r="AH2740" s="559"/>
      <c r="AI2740" s="559"/>
      <c r="AJ2740" s="559"/>
      <c r="AK2740" s="559"/>
      <c r="AL2740" s="559"/>
      <c r="AM2740" s="559"/>
      <c r="AN2740" s="559"/>
      <c r="AO2740" s="559"/>
      <c r="AP2740" s="559"/>
      <c r="AQ2740" s="559"/>
      <c r="AR2740" s="559"/>
      <c r="AS2740" s="559"/>
      <c r="AT2740" s="559"/>
      <c r="AU2740" s="559"/>
      <c r="AV2740" s="559"/>
      <c r="AW2740" s="559"/>
      <c r="AX2740" s="559"/>
      <c r="AY2740" s="559"/>
      <c r="AZ2740" s="559"/>
      <c r="BA2740" s="559"/>
      <c r="BB2740" s="559"/>
      <c r="BC2740" s="559"/>
      <c r="BD2740" s="559"/>
      <c r="BE2740" s="559"/>
      <c r="BF2740" s="559"/>
      <c r="BG2740" s="559"/>
      <c r="BH2740" s="559"/>
      <c r="BI2740" s="559"/>
      <c r="BJ2740" s="559"/>
      <c r="BK2740" s="559"/>
      <c r="BL2740" s="559"/>
    </row>
    <row r="2741" spans="1:64" ht="13">
      <c r="A2741" s="458"/>
      <c r="B2741" s="458"/>
      <c r="C2741" s="427" t="s">
        <v>1073</v>
      </c>
      <c r="D2741" s="432"/>
      <c r="E2741" s="406"/>
      <c r="F2741" s="432"/>
      <c r="G2741" s="431"/>
      <c r="H2741" s="406"/>
      <c r="I2741" s="459"/>
      <c r="J2741" s="462"/>
      <c r="K2741" s="463"/>
      <c r="L2741" s="463"/>
      <c r="M2741" s="559"/>
      <c r="N2741" s="559"/>
      <c r="O2741" s="559"/>
      <c r="P2741" s="559"/>
      <c r="Q2741" s="559"/>
      <c r="R2741" s="559"/>
      <c r="S2741" s="559"/>
      <c r="T2741" s="559"/>
      <c r="U2741" s="559"/>
      <c r="V2741" s="559"/>
      <c r="W2741" s="559"/>
      <c r="X2741" s="559"/>
      <c r="Y2741" s="559"/>
      <c r="Z2741" s="559"/>
      <c r="AA2741" s="559"/>
      <c r="AB2741" s="559"/>
      <c r="AC2741" s="559"/>
      <c r="AD2741" s="559"/>
      <c r="AE2741" s="559"/>
      <c r="AF2741" s="559"/>
      <c r="AG2741" s="559"/>
      <c r="AH2741" s="559"/>
      <c r="AI2741" s="559"/>
      <c r="AJ2741" s="559"/>
      <c r="AK2741" s="559"/>
      <c r="AL2741" s="559"/>
      <c r="AM2741" s="559"/>
      <c r="AN2741" s="559"/>
      <c r="AO2741" s="559"/>
      <c r="AP2741" s="559"/>
      <c r="AQ2741" s="559"/>
      <c r="AR2741" s="559"/>
      <c r="AS2741" s="559"/>
      <c r="AT2741" s="559"/>
      <c r="AU2741" s="559"/>
      <c r="AV2741" s="559"/>
      <c r="AW2741" s="559"/>
      <c r="AX2741" s="559"/>
      <c r="AY2741" s="559"/>
      <c r="AZ2741" s="559"/>
      <c r="BA2741" s="559"/>
      <c r="BB2741" s="559"/>
      <c r="BC2741" s="559"/>
      <c r="BD2741" s="559"/>
      <c r="BE2741" s="559"/>
      <c r="BF2741" s="559"/>
      <c r="BG2741" s="559"/>
      <c r="BH2741" s="559"/>
      <c r="BI2741" s="559"/>
      <c r="BJ2741" s="559"/>
      <c r="BK2741" s="559"/>
      <c r="BL2741" s="559"/>
    </row>
    <row r="2742" spans="1:64">
      <c r="A2742" s="458"/>
      <c r="B2742" s="458"/>
      <c r="C2742" s="417" t="s">
        <v>1044</v>
      </c>
      <c r="D2742" s="432">
        <v>0.96</v>
      </c>
      <c r="E2742" s="406" t="s">
        <v>14</v>
      </c>
      <c r="F2742" s="432">
        <f>'[161]Civil-SOR'!$G$293</f>
        <v>580</v>
      </c>
      <c r="G2742" s="431">
        <v>1</v>
      </c>
      <c r="H2742" s="406" t="s">
        <v>572</v>
      </c>
      <c r="I2742" s="459">
        <f t="shared" ref="I2742:I2746" si="649">IF(G2742="",D2742*F2742,(D2742*F2742/G2742))</f>
        <v>556.79999999999995</v>
      </c>
      <c r="J2742" s="462"/>
      <c r="K2742" s="463"/>
      <c r="L2742" s="463"/>
      <c r="M2742" s="559"/>
      <c r="N2742" s="559"/>
      <c r="O2742" s="559"/>
      <c r="P2742" s="559"/>
      <c r="Q2742" s="559"/>
      <c r="R2742" s="559"/>
      <c r="S2742" s="559"/>
      <c r="T2742" s="559"/>
      <c r="U2742" s="559"/>
      <c r="V2742" s="559"/>
      <c r="W2742" s="559"/>
      <c r="X2742" s="559"/>
      <c r="Y2742" s="559"/>
      <c r="Z2742" s="559"/>
      <c r="AA2742" s="559"/>
      <c r="AB2742" s="559"/>
      <c r="AC2742" s="559"/>
      <c r="AD2742" s="559"/>
      <c r="AE2742" s="559"/>
      <c r="AF2742" s="559"/>
      <c r="AG2742" s="559"/>
      <c r="AH2742" s="559"/>
      <c r="AI2742" s="559"/>
      <c r="AJ2742" s="559"/>
      <c r="AK2742" s="559"/>
      <c r="AL2742" s="559"/>
      <c r="AM2742" s="559"/>
      <c r="AN2742" s="559"/>
      <c r="AO2742" s="559"/>
      <c r="AP2742" s="559"/>
      <c r="AQ2742" s="559"/>
      <c r="AR2742" s="559"/>
      <c r="AS2742" s="559"/>
      <c r="AT2742" s="559"/>
      <c r="AU2742" s="559"/>
      <c r="AV2742" s="559"/>
      <c r="AW2742" s="559"/>
      <c r="AX2742" s="559"/>
      <c r="AY2742" s="559"/>
      <c r="AZ2742" s="559"/>
      <c r="BA2742" s="559"/>
      <c r="BB2742" s="559"/>
      <c r="BC2742" s="559"/>
      <c r="BD2742" s="559"/>
      <c r="BE2742" s="559"/>
      <c r="BF2742" s="559"/>
      <c r="BG2742" s="559"/>
      <c r="BH2742" s="559"/>
      <c r="BI2742" s="559"/>
      <c r="BJ2742" s="559"/>
      <c r="BK2742" s="559"/>
      <c r="BL2742" s="559"/>
    </row>
    <row r="2743" spans="1:64">
      <c r="A2743" s="458"/>
      <c r="B2743" s="458"/>
      <c r="C2743" s="417" t="s">
        <v>1074</v>
      </c>
      <c r="D2743" s="432">
        <v>2.2400000000000002</v>
      </c>
      <c r="E2743" s="406" t="s">
        <v>14</v>
      </c>
      <c r="F2743" s="432">
        <f>'[161]Civil-SOR'!$G$302</f>
        <v>550</v>
      </c>
      <c r="G2743" s="431">
        <v>1</v>
      </c>
      <c r="H2743" s="406" t="s">
        <v>572</v>
      </c>
      <c r="I2743" s="459">
        <f t="shared" si="649"/>
        <v>1232.0000000000002</v>
      </c>
      <c r="J2743" s="462"/>
      <c r="K2743" s="463"/>
      <c r="L2743" s="463"/>
      <c r="M2743" s="559"/>
      <c r="N2743" s="559"/>
      <c r="O2743" s="559"/>
      <c r="P2743" s="559"/>
      <c r="Q2743" s="559"/>
      <c r="R2743" s="559"/>
      <c r="S2743" s="559"/>
      <c r="T2743" s="559"/>
      <c r="U2743" s="559"/>
      <c r="V2743" s="559"/>
      <c r="W2743" s="559"/>
      <c r="X2743" s="559"/>
      <c r="Y2743" s="559"/>
      <c r="Z2743" s="559"/>
      <c r="AA2743" s="559"/>
      <c r="AB2743" s="559"/>
      <c r="AC2743" s="559"/>
      <c r="AD2743" s="559"/>
      <c r="AE2743" s="559"/>
      <c r="AF2743" s="559"/>
      <c r="AG2743" s="559"/>
      <c r="AH2743" s="559"/>
      <c r="AI2743" s="559"/>
      <c r="AJ2743" s="559"/>
      <c r="AK2743" s="559"/>
      <c r="AL2743" s="559"/>
      <c r="AM2743" s="559"/>
      <c r="AN2743" s="559"/>
      <c r="AO2743" s="559"/>
      <c r="AP2743" s="559"/>
      <c r="AQ2743" s="559"/>
      <c r="AR2743" s="559"/>
      <c r="AS2743" s="559"/>
      <c r="AT2743" s="559"/>
      <c r="AU2743" s="559"/>
      <c r="AV2743" s="559"/>
      <c r="AW2743" s="559"/>
      <c r="AX2743" s="559"/>
      <c r="AY2743" s="559"/>
      <c r="AZ2743" s="559"/>
      <c r="BA2743" s="559"/>
      <c r="BB2743" s="559"/>
      <c r="BC2743" s="559"/>
      <c r="BD2743" s="559"/>
      <c r="BE2743" s="559"/>
      <c r="BF2743" s="559"/>
      <c r="BG2743" s="559"/>
      <c r="BH2743" s="559"/>
      <c r="BI2743" s="559"/>
      <c r="BJ2743" s="559"/>
      <c r="BK2743" s="559"/>
      <c r="BL2743" s="559"/>
    </row>
    <row r="2744" spans="1:64">
      <c r="A2744" s="458"/>
      <c r="B2744" s="458"/>
      <c r="C2744" s="417" t="s">
        <v>1174</v>
      </c>
      <c r="D2744" s="432">
        <v>3.3</v>
      </c>
      <c r="E2744" s="406" t="s">
        <v>14</v>
      </c>
      <c r="F2744" s="432">
        <f>'[161]Civil-SOR'!$G$307</f>
        <v>520</v>
      </c>
      <c r="G2744" s="431">
        <v>1</v>
      </c>
      <c r="H2744" s="406" t="s">
        <v>572</v>
      </c>
      <c r="I2744" s="459">
        <f t="shared" si="649"/>
        <v>1716</v>
      </c>
      <c r="J2744" s="462"/>
      <c r="K2744" s="463"/>
      <c r="L2744" s="463"/>
      <c r="M2744" s="559"/>
      <c r="N2744" s="559"/>
      <c r="O2744" s="559"/>
      <c r="P2744" s="559"/>
      <c r="Q2744" s="559"/>
      <c r="R2744" s="559"/>
      <c r="S2744" s="559"/>
      <c r="T2744" s="559"/>
      <c r="U2744" s="559"/>
      <c r="V2744" s="559"/>
      <c r="W2744" s="559"/>
      <c r="X2744" s="559"/>
      <c r="Y2744" s="559"/>
      <c r="Z2744" s="559"/>
      <c r="AA2744" s="559"/>
      <c r="AB2744" s="559"/>
      <c r="AC2744" s="559"/>
      <c r="AD2744" s="559"/>
      <c r="AE2744" s="559"/>
      <c r="AF2744" s="559"/>
      <c r="AG2744" s="559"/>
      <c r="AH2744" s="559"/>
      <c r="AI2744" s="559"/>
      <c r="AJ2744" s="559"/>
      <c r="AK2744" s="559"/>
      <c r="AL2744" s="559"/>
      <c r="AM2744" s="559"/>
      <c r="AN2744" s="559"/>
      <c r="AO2744" s="559"/>
      <c r="AP2744" s="559"/>
      <c r="AQ2744" s="559"/>
      <c r="AR2744" s="559"/>
      <c r="AS2744" s="559"/>
      <c r="AT2744" s="559"/>
      <c r="AU2744" s="559"/>
      <c r="AV2744" s="559"/>
      <c r="AW2744" s="559"/>
      <c r="AX2744" s="559"/>
      <c r="AY2744" s="559"/>
      <c r="AZ2744" s="559"/>
      <c r="BA2744" s="559"/>
      <c r="BB2744" s="559"/>
      <c r="BC2744" s="559"/>
      <c r="BD2744" s="559"/>
      <c r="BE2744" s="559"/>
      <c r="BF2744" s="559"/>
      <c r="BG2744" s="559"/>
      <c r="BH2744" s="559"/>
      <c r="BI2744" s="559"/>
      <c r="BJ2744" s="559"/>
      <c r="BK2744" s="559"/>
      <c r="BL2744" s="559"/>
    </row>
    <row r="2745" spans="1:64">
      <c r="A2745" s="458"/>
      <c r="B2745" s="458"/>
      <c r="C2745" s="417" t="str">
        <f>[161]Input!$C$47</f>
        <v>Add for MA @ 40%</v>
      </c>
      <c r="D2745" s="622">
        <f>[161]Input!$D$47</f>
        <v>0.4</v>
      </c>
      <c r="E2745" s="406"/>
      <c r="F2745" s="432">
        <f>SUM(I2742:I2744)</f>
        <v>3504.8</v>
      </c>
      <c r="G2745" s="431"/>
      <c r="H2745" s="406"/>
      <c r="I2745" s="459">
        <f t="shared" si="649"/>
        <v>1401.92</v>
      </c>
      <c r="J2745" s="462"/>
      <c r="K2745" s="463"/>
      <c r="L2745" s="463"/>
      <c r="M2745" s="559"/>
      <c r="N2745" s="559"/>
      <c r="O2745" s="559"/>
      <c r="P2745" s="559"/>
      <c r="Q2745" s="559"/>
      <c r="R2745" s="559"/>
      <c r="S2745" s="559"/>
      <c r="T2745" s="559"/>
      <c r="U2745" s="559"/>
      <c r="V2745" s="559"/>
      <c r="W2745" s="559"/>
      <c r="X2745" s="559"/>
      <c r="Y2745" s="559"/>
      <c r="Z2745" s="559"/>
      <c r="AA2745" s="559"/>
      <c r="AB2745" s="559"/>
      <c r="AC2745" s="559"/>
      <c r="AD2745" s="559"/>
      <c r="AE2745" s="559"/>
      <c r="AF2745" s="559"/>
      <c r="AG2745" s="559"/>
      <c r="AH2745" s="559"/>
      <c r="AI2745" s="559"/>
      <c r="AJ2745" s="559"/>
      <c r="AK2745" s="559"/>
      <c r="AL2745" s="559"/>
      <c r="AM2745" s="559"/>
      <c r="AN2745" s="559"/>
      <c r="AO2745" s="559"/>
      <c r="AP2745" s="559"/>
      <c r="AQ2745" s="559"/>
      <c r="AR2745" s="559"/>
      <c r="AS2745" s="559"/>
      <c r="AT2745" s="559"/>
      <c r="AU2745" s="559"/>
      <c r="AV2745" s="559"/>
      <c r="AW2745" s="559"/>
      <c r="AX2745" s="559"/>
      <c r="AY2745" s="559"/>
      <c r="AZ2745" s="559"/>
      <c r="BA2745" s="559"/>
      <c r="BB2745" s="559"/>
      <c r="BC2745" s="559"/>
      <c r="BD2745" s="559"/>
      <c r="BE2745" s="559"/>
      <c r="BF2745" s="559"/>
      <c r="BG2745" s="559"/>
      <c r="BH2745" s="559"/>
      <c r="BI2745" s="559"/>
      <c r="BJ2745" s="559"/>
      <c r="BK2745" s="559"/>
      <c r="BL2745" s="559"/>
    </row>
    <row r="2746" spans="1:64">
      <c r="A2746" s="458"/>
      <c r="B2746" s="458"/>
      <c r="C2746" s="417" t="s">
        <v>1046</v>
      </c>
      <c r="D2746" s="432">
        <v>0.01</v>
      </c>
      <c r="E2746" s="406"/>
      <c r="F2746" s="432">
        <f>SUM(I2736:I2745)</f>
        <v>10340.609200000001</v>
      </c>
      <c r="G2746" s="431"/>
      <c r="H2746" s="406"/>
      <c r="I2746" s="459">
        <f t="shared" si="649"/>
        <v>103.40609200000002</v>
      </c>
      <c r="J2746" s="462"/>
      <c r="K2746" s="463"/>
      <c r="L2746" s="463"/>
      <c r="M2746" s="559"/>
      <c r="N2746" s="559"/>
      <c r="O2746" s="559"/>
      <c r="P2746" s="559"/>
      <c r="Q2746" s="559"/>
      <c r="R2746" s="559"/>
      <c r="S2746" s="559"/>
      <c r="T2746" s="559"/>
      <c r="U2746" s="559"/>
      <c r="V2746" s="559"/>
      <c r="W2746" s="559"/>
      <c r="X2746" s="559"/>
      <c r="Y2746" s="559"/>
      <c r="Z2746" s="559"/>
      <c r="AA2746" s="559"/>
      <c r="AB2746" s="559"/>
      <c r="AC2746" s="559"/>
      <c r="AD2746" s="559"/>
      <c r="AE2746" s="559"/>
      <c r="AF2746" s="559"/>
      <c r="AG2746" s="559"/>
      <c r="AH2746" s="559"/>
      <c r="AI2746" s="559"/>
      <c r="AJ2746" s="559"/>
      <c r="AK2746" s="559"/>
      <c r="AL2746" s="559"/>
      <c r="AM2746" s="559"/>
      <c r="AN2746" s="559"/>
      <c r="AO2746" s="559"/>
      <c r="AP2746" s="559"/>
      <c r="AQ2746" s="559"/>
      <c r="AR2746" s="559"/>
      <c r="AS2746" s="559"/>
      <c r="AT2746" s="559"/>
      <c r="AU2746" s="559"/>
      <c r="AV2746" s="559"/>
      <c r="AW2746" s="559"/>
      <c r="AX2746" s="559"/>
      <c r="AY2746" s="559"/>
      <c r="AZ2746" s="559"/>
      <c r="BA2746" s="559"/>
      <c r="BB2746" s="559"/>
      <c r="BC2746" s="559"/>
      <c r="BD2746" s="559"/>
      <c r="BE2746" s="559"/>
      <c r="BF2746" s="559"/>
      <c r="BG2746" s="559"/>
      <c r="BH2746" s="559"/>
      <c r="BI2746" s="559"/>
      <c r="BJ2746" s="559"/>
      <c r="BK2746" s="559"/>
      <c r="BL2746" s="559"/>
    </row>
    <row r="2747" spans="1:64" ht="13">
      <c r="A2747" s="454"/>
      <c r="B2747" s="454"/>
      <c r="C2747" s="666" t="s">
        <v>1184</v>
      </c>
      <c r="D2747" s="409"/>
      <c r="E2747" s="426"/>
      <c r="F2747" s="409"/>
      <c r="G2747" s="410"/>
      <c r="H2747" s="426"/>
      <c r="I2747" s="414">
        <f>SUM(I2736:I2746)</f>
        <v>10444.015292</v>
      </c>
      <c r="J2747" s="411"/>
      <c r="K2747" s="412"/>
      <c r="L2747" s="412"/>
      <c r="M2747" s="554"/>
      <c r="N2747" s="554"/>
      <c r="O2747" s="554"/>
      <c r="P2747" s="554"/>
      <c r="Q2747" s="554"/>
      <c r="R2747" s="554"/>
      <c r="S2747" s="554"/>
      <c r="T2747" s="554"/>
      <c r="U2747" s="554"/>
      <c r="V2747" s="554"/>
      <c r="W2747" s="554"/>
      <c r="X2747" s="554"/>
      <c r="Y2747" s="554"/>
      <c r="Z2747" s="554"/>
      <c r="AA2747" s="554"/>
      <c r="AB2747" s="554"/>
      <c r="AC2747" s="554"/>
      <c r="AD2747" s="554"/>
      <c r="AE2747" s="554"/>
      <c r="AF2747" s="554"/>
      <c r="AG2747" s="554"/>
      <c r="AH2747" s="554"/>
      <c r="AI2747" s="554"/>
      <c r="AJ2747" s="554"/>
      <c r="AK2747" s="554"/>
      <c r="AL2747" s="554"/>
      <c r="AM2747" s="554"/>
      <c r="AN2747" s="554"/>
      <c r="AO2747" s="554"/>
      <c r="AP2747" s="554"/>
      <c r="AQ2747" s="554"/>
      <c r="AR2747" s="554"/>
      <c r="AS2747" s="554"/>
      <c r="AT2747" s="554"/>
      <c r="AU2747" s="554"/>
      <c r="AV2747" s="554"/>
      <c r="AW2747" s="554"/>
      <c r="AX2747" s="554"/>
      <c r="AY2747" s="554"/>
      <c r="AZ2747" s="554"/>
      <c r="BA2747" s="554"/>
      <c r="BB2747" s="554"/>
      <c r="BC2747" s="554"/>
      <c r="BD2747" s="554"/>
      <c r="BE2747" s="554"/>
      <c r="BF2747" s="554"/>
      <c r="BG2747" s="554"/>
      <c r="BH2747" s="554"/>
      <c r="BI2747" s="554"/>
      <c r="BJ2747" s="554"/>
      <c r="BK2747" s="554"/>
      <c r="BL2747" s="554"/>
    </row>
    <row r="2748" spans="1:64">
      <c r="A2748" s="454"/>
      <c r="B2748" s="454"/>
      <c r="C2748" s="469"/>
      <c r="D2748" s="409"/>
      <c r="E2748" s="426"/>
      <c r="F2748" s="409"/>
      <c r="G2748" s="410"/>
      <c r="H2748" s="426"/>
      <c r="I2748" s="408"/>
      <c r="J2748" s="400"/>
      <c r="K2748" s="401"/>
      <c r="L2748" s="401"/>
    </row>
    <row r="2749" spans="1:64" ht="13">
      <c r="A2749" s="454"/>
      <c r="B2749" s="454"/>
      <c r="C2749" s="427" t="s">
        <v>953</v>
      </c>
      <c r="D2749" s="414" t="s">
        <v>959</v>
      </c>
      <c r="E2749" s="416" t="s">
        <v>943</v>
      </c>
      <c r="F2749" s="415" t="s">
        <v>944</v>
      </c>
      <c r="G2749" s="414" t="s">
        <v>1036</v>
      </c>
      <c r="H2749" s="414" t="s">
        <v>1037</v>
      </c>
      <c r="I2749" s="414" t="s">
        <v>1038</v>
      </c>
      <c r="J2749" s="657" t="s">
        <v>1118</v>
      </c>
      <c r="K2749" s="631" t="s">
        <v>1119</v>
      </c>
      <c r="L2749" s="631" t="s">
        <v>1120</v>
      </c>
    </row>
    <row r="2750" spans="1:64">
      <c r="A2750" s="454"/>
      <c r="B2750" s="454"/>
      <c r="C2750" s="417" t="s">
        <v>1064</v>
      </c>
      <c r="D2750" s="408">
        <f t="shared" ref="D2750:L2750" si="650">$I$2747</f>
        <v>10444.015292</v>
      </c>
      <c r="E2750" s="408">
        <f t="shared" si="650"/>
        <v>10444.015292</v>
      </c>
      <c r="F2750" s="408">
        <f t="shared" si="650"/>
        <v>10444.015292</v>
      </c>
      <c r="G2750" s="408">
        <f t="shared" si="650"/>
        <v>10444.015292</v>
      </c>
      <c r="H2750" s="408">
        <f t="shared" si="650"/>
        <v>10444.015292</v>
      </c>
      <c r="I2750" s="408">
        <f t="shared" si="650"/>
        <v>10444.015292</v>
      </c>
      <c r="J2750" s="575">
        <f t="shared" si="650"/>
        <v>10444.015292</v>
      </c>
      <c r="K2750" s="644">
        <f t="shared" si="650"/>
        <v>10444.015292</v>
      </c>
      <c r="L2750" s="644">
        <f t="shared" si="650"/>
        <v>10444.015292</v>
      </c>
    </row>
    <row r="2751" spans="1:64">
      <c r="A2751" s="454"/>
      <c r="B2751" s="454"/>
      <c r="C2751" s="417" t="s">
        <v>994</v>
      </c>
      <c r="D2751" s="408">
        <v>0</v>
      </c>
      <c r="E2751" s="408">
        <f>ROUND($F$2745*10%,2)</f>
        <v>350.48</v>
      </c>
      <c r="F2751" s="408">
        <f>ROUND($F$2745*20%,2)</f>
        <v>700.96</v>
      </c>
      <c r="G2751" s="408">
        <f>ROUND($F$2745*30%,2)</f>
        <v>1051.44</v>
      </c>
      <c r="H2751" s="408">
        <f>ROUND($F$2745*40%,2)</f>
        <v>1401.92</v>
      </c>
      <c r="I2751" s="408">
        <f>ROUND($F$2745*50%,2)</f>
        <v>1752.4</v>
      </c>
      <c r="J2751" s="575">
        <f>ROUND($F$2745*60%,2)</f>
        <v>2102.88</v>
      </c>
      <c r="K2751" s="644">
        <f>ROUND($F$2745*70%,2)</f>
        <v>2453.36</v>
      </c>
      <c r="L2751" s="644">
        <f>ROUND($F$2745*80%,2)</f>
        <v>2803.84</v>
      </c>
    </row>
    <row r="2752" spans="1:64">
      <c r="A2752" s="454"/>
      <c r="B2752" s="454"/>
      <c r="C2752" s="417" t="str">
        <f>[161]Input!C47</f>
        <v>Add for MA @ 40%</v>
      </c>
      <c r="D2752" s="408">
        <f>D2751*[161]Input!$D$47</f>
        <v>0</v>
      </c>
      <c r="E2752" s="408">
        <f>E2751*[161]Input!$D$47</f>
        <v>140.19200000000001</v>
      </c>
      <c r="F2752" s="408">
        <f>F2751*[161]Input!$D$47</f>
        <v>280.38400000000001</v>
      </c>
      <c r="G2752" s="408">
        <f>G2751*[161]Input!$D$47</f>
        <v>420.57600000000002</v>
      </c>
      <c r="H2752" s="408">
        <f>H2751*[161]Input!$D$47</f>
        <v>560.76800000000003</v>
      </c>
      <c r="I2752" s="408">
        <f>I2751*[161]Input!$D$47</f>
        <v>700.96</v>
      </c>
      <c r="J2752" s="575">
        <f>J2751*[161]Input!$D$47</f>
        <v>841.15200000000004</v>
      </c>
      <c r="K2752" s="644">
        <f>K2751*[161]Input!$D$47</f>
        <v>981.34400000000005</v>
      </c>
      <c r="L2752" s="644">
        <f>L2751*[161]Input!$D$47</f>
        <v>1121.5360000000001</v>
      </c>
    </row>
    <row r="2753" spans="1:12">
      <c r="A2753" s="454"/>
      <c r="B2753" s="454"/>
      <c r="C2753" s="469"/>
      <c r="D2753" s="408">
        <f t="shared" ref="D2753:L2753" si="651">SUM(D2750:D2752)</f>
        <v>10444.015292</v>
      </c>
      <c r="E2753" s="408">
        <f t="shared" si="651"/>
        <v>10934.687291999999</v>
      </c>
      <c r="F2753" s="408">
        <f t="shared" si="651"/>
        <v>11425.359291999999</v>
      </c>
      <c r="G2753" s="408">
        <f t="shared" si="651"/>
        <v>11916.031292</v>
      </c>
      <c r="H2753" s="408">
        <f t="shared" si="651"/>
        <v>12406.703292</v>
      </c>
      <c r="I2753" s="408">
        <f t="shared" si="651"/>
        <v>12897.375292000001</v>
      </c>
      <c r="J2753" s="575">
        <f t="shared" si="651"/>
        <v>13388.047292000001</v>
      </c>
      <c r="K2753" s="644">
        <f t="shared" si="651"/>
        <v>13878.719292000002</v>
      </c>
      <c r="L2753" s="644">
        <f t="shared" si="651"/>
        <v>14369.391292</v>
      </c>
    </row>
    <row r="2754" spans="1:12" ht="25">
      <c r="A2754" s="454"/>
      <c r="B2754" s="454"/>
      <c r="C2754" s="417" t="str">
        <f>[161]Input!$C$48</f>
        <v>Overheads &amp; Contractors Profit @ 13.615%</v>
      </c>
      <c r="D2754" s="408">
        <f>ROUND(D2753*[161]Input!$D$48,2)</f>
        <v>1421.95</v>
      </c>
      <c r="E2754" s="408">
        <f>ROUND(E2753*[161]Input!$D$48,2)</f>
        <v>1488.76</v>
      </c>
      <c r="F2754" s="408">
        <f>ROUND(F2753*[161]Input!$D$48,2)</f>
        <v>1555.56</v>
      </c>
      <c r="G2754" s="408">
        <f>ROUND(G2753*[161]Input!$D$48,2)</f>
        <v>1622.37</v>
      </c>
      <c r="H2754" s="408">
        <f>ROUND(H2753*[161]Input!$D$48,2)</f>
        <v>1689.17</v>
      </c>
      <c r="I2754" s="408">
        <f>ROUND(I2753*[161]Input!$D$48,2)</f>
        <v>1755.98</v>
      </c>
      <c r="J2754" s="575">
        <f>ROUND(J2753*[161]Input!$D$48,2)</f>
        <v>1822.78</v>
      </c>
      <c r="K2754" s="644">
        <f>ROUND(K2753*[161]Input!$D$48,2)</f>
        <v>1889.59</v>
      </c>
      <c r="L2754" s="644">
        <f>ROUND(L2753*[161]Input!$D$48,2)</f>
        <v>1956.39</v>
      </c>
    </row>
    <row r="2755" spans="1:12" ht="13">
      <c r="A2755" s="454"/>
      <c r="B2755" s="454"/>
      <c r="C2755" s="427" t="s">
        <v>1047</v>
      </c>
      <c r="D2755" s="408">
        <f t="shared" ref="D2755:L2755" si="652">SUM(D2753:D2754)</f>
        <v>11865.965292000001</v>
      </c>
      <c r="E2755" s="408">
        <f t="shared" si="652"/>
        <v>12423.447291999999</v>
      </c>
      <c r="F2755" s="408">
        <f t="shared" si="652"/>
        <v>12980.919291999999</v>
      </c>
      <c r="G2755" s="408">
        <f t="shared" si="652"/>
        <v>13538.401291999999</v>
      </c>
      <c r="H2755" s="408">
        <f t="shared" si="652"/>
        <v>14095.873292</v>
      </c>
      <c r="I2755" s="408">
        <f t="shared" si="652"/>
        <v>14653.355292</v>
      </c>
      <c r="J2755" s="575">
        <f t="shared" si="652"/>
        <v>15210.827292000002</v>
      </c>
      <c r="K2755" s="644">
        <f t="shared" si="652"/>
        <v>15768.309292000002</v>
      </c>
      <c r="L2755" s="644">
        <f t="shared" si="652"/>
        <v>16325.781292</v>
      </c>
    </row>
    <row r="2756" spans="1:12" s="554" customFormat="1" ht="13">
      <c r="A2756" s="454"/>
      <c r="B2756" s="454"/>
      <c r="C2756" s="481" t="s">
        <v>845</v>
      </c>
      <c r="D2756" s="414">
        <f t="shared" ref="D2756:L2756" si="653">D2755/10</f>
        <v>1186.5965292000001</v>
      </c>
      <c r="E2756" s="414">
        <f t="shared" si="653"/>
        <v>1242.3447291999998</v>
      </c>
      <c r="F2756" s="414">
        <f t="shared" si="653"/>
        <v>1298.0919291999999</v>
      </c>
      <c r="G2756" s="414">
        <f t="shared" si="653"/>
        <v>1353.8401291999999</v>
      </c>
      <c r="H2756" s="414">
        <f t="shared" si="653"/>
        <v>1409.5873292000001</v>
      </c>
      <c r="I2756" s="414">
        <f t="shared" si="653"/>
        <v>1465.3355292000001</v>
      </c>
      <c r="J2756" s="638">
        <f t="shared" si="653"/>
        <v>1521.0827292000001</v>
      </c>
      <c r="K2756" s="636">
        <f t="shared" si="653"/>
        <v>1576.8309292000001</v>
      </c>
      <c r="L2756" s="636">
        <f t="shared" si="653"/>
        <v>1632.5781291999999</v>
      </c>
    </row>
    <row r="2757" spans="1:12" s="554" customFormat="1" ht="13">
      <c r="A2757" s="454"/>
      <c r="B2757" s="454"/>
      <c r="C2757" s="522" t="s">
        <v>726</v>
      </c>
      <c r="D2757" s="416">
        <f t="shared" ref="D2757:L2757" si="654">ROUND(D2756,0)</f>
        <v>1187</v>
      </c>
      <c r="E2757" s="416">
        <f t="shared" si="654"/>
        <v>1242</v>
      </c>
      <c r="F2757" s="416">
        <f t="shared" si="654"/>
        <v>1298</v>
      </c>
      <c r="G2757" s="416">
        <f t="shared" si="654"/>
        <v>1354</v>
      </c>
      <c r="H2757" s="416">
        <f t="shared" si="654"/>
        <v>1410</v>
      </c>
      <c r="I2757" s="416">
        <f t="shared" si="654"/>
        <v>1465</v>
      </c>
      <c r="J2757" s="533">
        <f t="shared" si="654"/>
        <v>1521</v>
      </c>
      <c r="K2757" s="534">
        <f t="shared" si="654"/>
        <v>1577</v>
      </c>
      <c r="L2757" s="534">
        <f t="shared" si="654"/>
        <v>1633</v>
      </c>
    </row>
    <row r="2758" spans="1:12">
      <c r="A2758" s="454"/>
      <c r="B2758" s="454"/>
      <c r="C2758" s="417"/>
      <c r="D2758" s="621"/>
      <c r="E2758" s="426"/>
      <c r="F2758" s="409"/>
      <c r="G2758" s="410"/>
      <c r="H2758" s="426"/>
      <c r="I2758" s="408"/>
      <c r="J2758" s="400"/>
      <c r="K2758" s="401"/>
      <c r="L2758" s="401"/>
    </row>
    <row r="2759" spans="1:12" ht="136.5" customHeight="1">
      <c r="A2759" s="454">
        <f>1+A2642</f>
        <v>11</v>
      </c>
      <c r="B2759" s="454"/>
      <c r="C2759" s="1276" t="s">
        <v>1194</v>
      </c>
      <c r="D2759" s="1276"/>
      <c r="E2759" s="1276"/>
      <c r="F2759" s="1276"/>
      <c r="G2759" s="1276"/>
      <c r="H2759" s="1276"/>
      <c r="I2759" s="407"/>
      <c r="J2759" s="400"/>
      <c r="K2759" s="401"/>
      <c r="L2759" s="401"/>
    </row>
    <row r="2760" spans="1:12" ht="13">
      <c r="A2760" s="454"/>
      <c r="B2760" s="454"/>
      <c r="C2760" s="455" t="s">
        <v>1192</v>
      </c>
      <c r="D2760" s="426"/>
      <c r="E2760" s="426"/>
      <c r="F2760" s="426"/>
      <c r="G2760" s="426"/>
      <c r="H2760" s="426"/>
      <c r="I2760" s="409"/>
      <c r="J2760" s="400"/>
      <c r="K2760" s="401"/>
      <c r="L2760" s="401"/>
    </row>
    <row r="2761" spans="1:12">
      <c r="A2761" s="454"/>
      <c r="B2761" s="454"/>
      <c r="C2761" s="483" t="s">
        <v>1167</v>
      </c>
      <c r="D2761" s="426"/>
      <c r="E2761" s="426"/>
      <c r="F2761" s="426"/>
      <c r="G2761" s="426"/>
      <c r="H2761" s="426"/>
      <c r="I2761" s="409"/>
      <c r="J2761" s="400"/>
      <c r="K2761" s="401"/>
      <c r="L2761" s="401"/>
    </row>
    <row r="2762" spans="1:12" ht="13">
      <c r="A2762" s="454"/>
      <c r="B2762" s="454"/>
      <c r="C2762" s="433" t="s">
        <v>1168</v>
      </c>
      <c r="D2762" s="409"/>
      <c r="E2762" s="426"/>
      <c r="F2762" s="409"/>
      <c r="G2762" s="410"/>
      <c r="H2762" s="426"/>
      <c r="I2762" s="408"/>
      <c r="J2762" s="400"/>
      <c r="K2762" s="401"/>
      <c r="L2762" s="401"/>
    </row>
    <row r="2763" spans="1:12" ht="25">
      <c r="A2763" s="458"/>
      <c r="B2763" s="458"/>
      <c r="C2763" s="417" t="s">
        <v>1193</v>
      </c>
      <c r="D2763" s="432">
        <v>10.5</v>
      </c>
      <c r="E2763" s="406" t="s">
        <v>62</v>
      </c>
      <c r="F2763" s="432">
        <f>+'[161]Civil-SOR'!$G$20</f>
        <v>578</v>
      </c>
      <c r="G2763" s="431">
        <v>1</v>
      </c>
      <c r="H2763" s="406" t="s">
        <v>62</v>
      </c>
      <c r="I2763" s="459">
        <f t="shared" ref="I2763:I2767" si="655">IF(G2763="",D2763*F2763,(D2763*F2763/G2763))</f>
        <v>6069</v>
      </c>
      <c r="J2763" s="462"/>
      <c r="K2763" s="463"/>
      <c r="L2763" s="463"/>
    </row>
    <row r="2764" spans="1:12" ht="25">
      <c r="A2764" s="458"/>
      <c r="B2764" s="458"/>
      <c r="C2764" s="417" t="s">
        <v>1186</v>
      </c>
      <c r="D2764" s="432">
        <v>21.6</v>
      </c>
      <c r="E2764" s="406" t="s">
        <v>833</v>
      </c>
      <c r="F2764" s="432">
        <f>[161]LEAD!$N$6</f>
        <v>5200</v>
      </c>
      <c r="G2764" s="431">
        <v>1000</v>
      </c>
      <c r="H2764" s="406" t="s">
        <v>833</v>
      </c>
      <c r="I2764" s="459">
        <f t="shared" si="655"/>
        <v>112.32000000000002</v>
      </c>
      <c r="J2764" s="462"/>
      <c r="K2764" s="463"/>
      <c r="L2764" s="463"/>
    </row>
    <row r="2765" spans="1:12">
      <c r="A2765" s="458"/>
      <c r="B2765" s="458"/>
      <c r="C2765" s="417" t="s">
        <v>1171</v>
      </c>
      <c r="D2765" s="432">
        <v>33</v>
      </c>
      <c r="E2765" s="406" t="s">
        <v>833</v>
      </c>
      <c r="F2765" s="432">
        <f>[161]LEAD!$N$6</f>
        <v>5200</v>
      </c>
      <c r="G2765" s="431">
        <v>1000</v>
      </c>
      <c r="H2765" s="406" t="s">
        <v>833</v>
      </c>
      <c r="I2765" s="459">
        <f t="shared" si="655"/>
        <v>171.6</v>
      </c>
      <c r="J2765" s="462"/>
      <c r="K2765" s="463"/>
      <c r="L2765" s="463"/>
    </row>
    <row r="2766" spans="1:12">
      <c r="A2766" s="458"/>
      <c r="B2766" s="458"/>
      <c r="C2766" s="417" t="s">
        <v>1183</v>
      </c>
      <c r="D2766" s="432">
        <v>6</v>
      </c>
      <c r="E2766" s="406" t="s">
        <v>833</v>
      </c>
      <c r="F2766" s="432">
        <f>'[161]Civil-SOR'!$G$185</f>
        <v>34</v>
      </c>
      <c r="G2766" s="431">
        <v>1</v>
      </c>
      <c r="H2766" s="406" t="s">
        <v>312</v>
      </c>
      <c r="I2766" s="459">
        <f t="shared" si="655"/>
        <v>204</v>
      </c>
      <c r="J2766" s="462"/>
      <c r="K2766" s="463"/>
      <c r="L2766" s="463"/>
    </row>
    <row r="2767" spans="1:12">
      <c r="A2767" s="458"/>
      <c r="B2767" s="458"/>
      <c r="C2767" s="417" t="s">
        <v>1173</v>
      </c>
      <c r="D2767" s="432">
        <v>0.12</v>
      </c>
      <c r="E2767" s="406" t="s">
        <v>57</v>
      </c>
      <c r="F2767" s="432">
        <f>[161]LEAD!$N$13</f>
        <v>2453.91</v>
      </c>
      <c r="G2767" s="431">
        <v>1</v>
      </c>
      <c r="H2767" s="406" t="s">
        <v>57</v>
      </c>
      <c r="I2767" s="459">
        <f t="shared" si="655"/>
        <v>294.46919999999994</v>
      </c>
      <c r="J2767" s="462"/>
      <c r="K2767" s="463"/>
      <c r="L2767" s="463"/>
    </row>
    <row r="2768" spans="1:12" ht="13">
      <c r="A2768" s="458"/>
      <c r="B2768" s="458"/>
      <c r="C2768" s="427" t="s">
        <v>1073</v>
      </c>
      <c r="D2768" s="432"/>
      <c r="E2768" s="406"/>
      <c r="F2768" s="432"/>
      <c r="G2768" s="431"/>
      <c r="H2768" s="406"/>
      <c r="I2768" s="459"/>
      <c r="J2768" s="462"/>
      <c r="K2768" s="463"/>
      <c r="L2768" s="463"/>
    </row>
    <row r="2769" spans="1:12">
      <c r="A2769" s="458"/>
      <c r="B2769" s="458"/>
      <c r="C2769" s="417" t="s">
        <v>1044</v>
      </c>
      <c r="D2769" s="432">
        <v>0.96</v>
      </c>
      <c r="E2769" s="406" t="s">
        <v>14</v>
      </c>
      <c r="F2769" s="432">
        <f>'[161]Civil-SOR'!$G$293</f>
        <v>580</v>
      </c>
      <c r="G2769" s="431">
        <v>1</v>
      </c>
      <c r="H2769" s="406" t="s">
        <v>572</v>
      </c>
      <c r="I2769" s="459">
        <f t="shared" ref="I2769:I2773" si="656">IF(G2769="",D2769*F2769,(D2769*F2769/G2769))</f>
        <v>556.79999999999995</v>
      </c>
      <c r="J2769" s="462"/>
      <c r="K2769" s="463"/>
      <c r="L2769" s="463"/>
    </row>
    <row r="2770" spans="1:12">
      <c r="A2770" s="458"/>
      <c r="B2770" s="458"/>
      <c r="C2770" s="417" t="s">
        <v>1074</v>
      </c>
      <c r="D2770" s="432">
        <v>2.2400000000000002</v>
      </c>
      <c r="E2770" s="406" t="s">
        <v>14</v>
      </c>
      <c r="F2770" s="432">
        <f>'[161]Civil-SOR'!$G$302</f>
        <v>550</v>
      </c>
      <c r="G2770" s="431">
        <v>1</v>
      </c>
      <c r="H2770" s="406" t="s">
        <v>572</v>
      </c>
      <c r="I2770" s="459">
        <f t="shared" si="656"/>
        <v>1232.0000000000002</v>
      </c>
      <c r="J2770" s="462"/>
      <c r="K2770" s="463"/>
      <c r="L2770" s="463"/>
    </row>
    <row r="2771" spans="1:12">
      <c r="A2771" s="458"/>
      <c r="B2771" s="458"/>
      <c r="C2771" s="417" t="s">
        <v>1174</v>
      </c>
      <c r="D2771" s="432">
        <v>3.3</v>
      </c>
      <c r="E2771" s="406" t="s">
        <v>14</v>
      </c>
      <c r="F2771" s="432">
        <f>'[161]Civil-SOR'!$G$307</f>
        <v>520</v>
      </c>
      <c r="G2771" s="431">
        <v>1</v>
      </c>
      <c r="H2771" s="406" t="s">
        <v>572</v>
      </c>
      <c r="I2771" s="459">
        <f t="shared" si="656"/>
        <v>1716</v>
      </c>
      <c r="J2771" s="462"/>
      <c r="K2771" s="463"/>
      <c r="L2771" s="463"/>
    </row>
    <row r="2772" spans="1:12">
      <c r="A2772" s="458"/>
      <c r="B2772" s="458"/>
      <c r="C2772" s="417" t="str">
        <f>[161]Input!$C$47</f>
        <v>Add for MA @ 40%</v>
      </c>
      <c r="D2772" s="622">
        <f>[161]Input!$D$47</f>
        <v>0.4</v>
      </c>
      <c r="E2772" s="406"/>
      <c r="F2772" s="432">
        <f>SUM(I2769:I2771)</f>
        <v>3504.8</v>
      </c>
      <c r="G2772" s="431"/>
      <c r="H2772" s="406"/>
      <c r="I2772" s="459">
        <f t="shared" si="656"/>
        <v>1401.92</v>
      </c>
      <c r="J2772" s="462"/>
      <c r="K2772" s="463"/>
      <c r="L2772" s="463"/>
    </row>
    <row r="2773" spans="1:12">
      <c r="A2773" s="458"/>
      <c r="B2773" s="458"/>
      <c r="C2773" s="417" t="s">
        <v>1046</v>
      </c>
      <c r="D2773" s="432">
        <v>0.01</v>
      </c>
      <c r="E2773" s="406"/>
      <c r="F2773" s="432">
        <f>SUM(I2763:I2772)</f>
        <v>11758.109200000001</v>
      </c>
      <c r="G2773" s="431"/>
      <c r="H2773" s="406"/>
      <c r="I2773" s="459">
        <f t="shared" si="656"/>
        <v>117.58109200000001</v>
      </c>
      <c r="J2773" s="462"/>
      <c r="K2773" s="463"/>
      <c r="L2773" s="463"/>
    </row>
    <row r="2774" spans="1:12" ht="13">
      <c r="A2774" s="454"/>
      <c r="B2774" s="454"/>
      <c r="C2774" s="666" t="s">
        <v>1184</v>
      </c>
      <c r="D2774" s="409"/>
      <c r="E2774" s="426"/>
      <c r="F2774" s="409"/>
      <c r="G2774" s="410"/>
      <c r="H2774" s="426"/>
      <c r="I2774" s="414">
        <f>SUM(I2763:I2773)</f>
        <v>11875.690292000001</v>
      </c>
      <c r="J2774" s="411"/>
      <c r="K2774" s="412"/>
      <c r="L2774" s="412"/>
    </row>
    <row r="2775" spans="1:12">
      <c r="A2775" s="454"/>
      <c r="B2775" s="454"/>
      <c r="C2775" s="469"/>
      <c r="D2775" s="409"/>
      <c r="E2775" s="426"/>
      <c r="F2775" s="409"/>
      <c r="G2775" s="410"/>
      <c r="H2775" s="426"/>
      <c r="I2775" s="408"/>
      <c r="J2775" s="400"/>
      <c r="K2775" s="401"/>
      <c r="L2775" s="401"/>
    </row>
    <row r="2776" spans="1:12" ht="13">
      <c r="A2776" s="454"/>
      <c r="B2776" s="454"/>
      <c r="C2776" s="427" t="s">
        <v>953</v>
      </c>
      <c r="D2776" s="414" t="s">
        <v>959</v>
      </c>
      <c r="E2776" s="416" t="s">
        <v>943</v>
      </c>
      <c r="F2776" s="415" t="s">
        <v>944</v>
      </c>
      <c r="G2776" s="414" t="s">
        <v>1036</v>
      </c>
      <c r="H2776" s="414" t="s">
        <v>1037</v>
      </c>
      <c r="I2776" s="414" t="s">
        <v>1038</v>
      </c>
      <c r="J2776" s="657" t="s">
        <v>1118</v>
      </c>
      <c r="K2776" s="631" t="s">
        <v>1119</v>
      </c>
      <c r="L2776" s="631" t="s">
        <v>1120</v>
      </c>
    </row>
    <row r="2777" spans="1:12">
      <c r="A2777" s="454"/>
      <c r="B2777" s="454"/>
      <c r="C2777" s="417" t="s">
        <v>1064</v>
      </c>
      <c r="D2777" s="408">
        <f>I2774</f>
        <v>11875.690292000001</v>
      </c>
      <c r="E2777" s="408">
        <f t="shared" ref="E2777:L2777" si="657">D2777</f>
        <v>11875.690292000001</v>
      </c>
      <c r="F2777" s="408">
        <f t="shared" si="657"/>
        <v>11875.690292000001</v>
      </c>
      <c r="G2777" s="408">
        <f t="shared" si="657"/>
        <v>11875.690292000001</v>
      </c>
      <c r="H2777" s="408">
        <f t="shared" si="657"/>
        <v>11875.690292000001</v>
      </c>
      <c r="I2777" s="408">
        <f t="shared" si="657"/>
        <v>11875.690292000001</v>
      </c>
      <c r="J2777" s="575">
        <f t="shared" si="657"/>
        <v>11875.690292000001</v>
      </c>
      <c r="K2777" s="644">
        <f t="shared" si="657"/>
        <v>11875.690292000001</v>
      </c>
      <c r="L2777" s="644">
        <f t="shared" si="657"/>
        <v>11875.690292000001</v>
      </c>
    </row>
    <row r="2778" spans="1:12">
      <c r="A2778" s="454"/>
      <c r="B2778" s="454"/>
      <c r="C2778" s="417" t="s">
        <v>994</v>
      </c>
      <c r="D2778" s="408">
        <v>0</v>
      </c>
      <c r="E2778" s="408">
        <f>ROUND($F$2772*10%,2)</f>
        <v>350.48</v>
      </c>
      <c r="F2778" s="408">
        <f>ROUND($F$2772*20%,2)</f>
        <v>700.96</v>
      </c>
      <c r="G2778" s="408">
        <f>ROUND($F$2772*30%,2)</f>
        <v>1051.44</v>
      </c>
      <c r="H2778" s="408">
        <f>ROUND($F$2772*40%,2)</f>
        <v>1401.92</v>
      </c>
      <c r="I2778" s="408">
        <f>ROUND($F$2772*50%,2)</f>
        <v>1752.4</v>
      </c>
      <c r="J2778" s="575">
        <f>ROUND($F$2772*60%,2)</f>
        <v>2102.88</v>
      </c>
      <c r="K2778" s="644">
        <f>ROUND($F$2772*70%,2)</f>
        <v>2453.36</v>
      </c>
      <c r="L2778" s="644">
        <f>ROUND($F$2772*80%,2)</f>
        <v>2803.84</v>
      </c>
    </row>
    <row r="2779" spans="1:12">
      <c r="A2779" s="454"/>
      <c r="B2779" s="454"/>
      <c r="C2779" s="417" t="str">
        <f>[161]Input!$C$47</f>
        <v>Add for MA @ 40%</v>
      </c>
      <c r="D2779" s="408">
        <f>D2778*[161]Input!$D$47</f>
        <v>0</v>
      </c>
      <c r="E2779" s="408">
        <f>E2778*[161]Input!$D$47</f>
        <v>140.19200000000001</v>
      </c>
      <c r="F2779" s="408">
        <f>F2778*[161]Input!$D$47</f>
        <v>280.38400000000001</v>
      </c>
      <c r="G2779" s="408">
        <f>G2778*[161]Input!$D$47</f>
        <v>420.57600000000002</v>
      </c>
      <c r="H2779" s="408">
        <f>H2778*[161]Input!$D$47</f>
        <v>560.76800000000003</v>
      </c>
      <c r="I2779" s="408">
        <f>I2778*[161]Input!$D$47</f>
        <v>700.96</v>
      </c>
      <c r="J2779" s="575">
        <f>J2778*[161]Input!$D$47</f>
        <v>841.15200000000004</v>
      </c>
      <c r="K2779" s="644">
        <f>K2778*[161]Input!$D$47</f>
        <v>981.34400000000005</v>
      </c>
      <c r="L2779" s="644">
        <f>L2778*[161]Input!$D$47</f>
        <v>1121.5360000000001</v>
      </c>
    </row>
    <row r="2780" spans="1:12">
      <c r="A2780" s="454"/>
      <c r="B2780" s="454"/>
      <c r="C2780" s="469"/>
      <c r="D2780" s="408">
        <f t="shared" ref="D2780:L2780" si="658">SUM(D2777:D2779)</f>
        <v>11875.690292000001</v>
      </c>
      <c r="E2780" s="408">
        <f t="shared" si="658"/>
        <v>12366.362292000002</v>
      </c>
      <c r="F2780" s="408">
        <f t="shared" si="658"/>
        <v>12857.034292000002</v>
      </c>
      <c r="G2780" s="408">
        <f t="shared" si="658"/>
        <v>13347.706292000003</v>
      </c>
      <c r="H2780" s="408">
        <f t="shared" si="658"/>
        <v>13838.378292000001</v>
      </c>
      <c r="I2780" s="408">
        <f t="shared" si="658"/>
        <v>14329.050292</v>
      </c>
      <c r="J2780" s="575">
        <f t="shared" si="658"/>
        <v>14819.722292</v>
      </c>
      <c r="K2780" s="644">
        <f t="shared" si="658"/>
        <v>15310.394292000001</v>
      </c>
      <c r="L2780" s="644">
        <f t="shared" si="658"/>
        <v>15801.066292000001</v>
      </c>
    </row>
    <row r="2781" spans="1:12" ht="25">
      <c r="A2781" s="454"/>
      <c r="B2781" s="454"/>
      <c r="C2781" s="417" t="str">
        <f>[161]Input!$C$48</f>
        <v>Overheads &amp; Contractors Profit @ 13.615%</v>
      </c>
      <c r="D2781" s="408">
        <f>ROUND(D2780*[161]Input!$D$48,2)</f>
        <v>1616.88</v>
      </c>
      <c r="E2781" s="408">
        <f>ROUND(E2780*[161]Input!$D$48,2)</f>
        <v>1683.68</v>
      </c>
      <c r="F2781" s="408">
        <f>ROUND(F2780*[161]Input!$D$48,2)</f>
        <v>1750.49</v>
      </c>
      <c r="G2781" s="408">
        <f>ROUND(G2780*[161]Input!$D$48,2)</f>
        <v>1817.29</v>
      </c>
      <c r="H2781" s="408">
        <f>ROUND(H2780*[161]Input!$D$48,2)</f>
        <v>1884.1</v>
      </c>
      <c r="I2781" s="408">
        <f>ROUND(I2780*[161]Input!$D$48,2)</f>
        <v>1950.9</v>
      </c>
      <c r="J2781" s="575">
        <f>ROUND(J2780*[161]Input!$D$48,2)</f>
        <v>2017.71</v>
      </c>
      <c r="K2781" s="644">
        <f>ROUND(K2780*[161]Input!$D$48,2)</f>
        <v>2084.5100000000002</v>
      </c>
      <c r="L2781" s="644">
        <f>ROUND(L2780*[161]Input!$D$48,2)</f>
        <v>2151.3200000000002</v>
      </c>
    </row>
    <row r="2782" spans="1:12" ht="13">
      <c r="A2782" s="454"/>
      <c r="B2782" s="454"/>
      <c r="C2782" s="427" t="s">
        <v>1047</v>
      </c>
      <c r="D2782" s="408">
        <f t="shared" ref="D2782:L2782" si="659">SUM(D2780:D2781)</f>
        <v>13492.570292</v>
      </c>
      <c r="E2782" s="408">
        <f t="shared" si="659"/>
        <v>14050.042292000002</v>
      </c>
      <c r="F2782" s="408">
        <f t="shared" si="659"/>
        <v>14607.524292000002</v>
      </c>
      <c r="G2782" s="408">
        <f t="shared" si="659"/>
        <v>15164.996292000003</v>
      </c>
      <c r="H2782" s="408">
        <f t="shared" si="659"/>
        <v>15722.478292000002</v>
      </c>
      <c r="I2782" s="408">
        <f t="shared" si="659"/>
        <v>16279.950292</v>
      </c>
      <c r="J2782" s="575">
        <f t="shared" si="659"/>
        <v>16837.432292000001</v>
      </c>
      <c r="K2782" s="644">
        <f t="shared" si="659"/>
        <v>17394.904291999999</v>
      </c>
      <c r="L2782" s="644">
        <f t="shared" si="659"/>
        <v>17952.386292000003</v>
      </c>
    </row>
    <row r="2783" spans="1:12" ht="13">
      <c r="A2783" s="454"/>
      <c r="B2783" s="454"/>
      <c r="C2783" s="481" t="s">
        <v>845</v>
      </c>
      <c r="D2783" s="414">
        <f t="shared" ref="D2783:L2783" si="660">D2782/10</f>
        <v>1349.2570292</v>
      </c>
      <c r="E2783" s="414">
        <f t="shared" si="660"/>
        <v>1405.0042292000003</v>
      </c>
      <c r="F2783" s="414">
        <f t="shared" si="660"/>
        <v>1460.7524292000003</v>
      </c>
      <c r="G2783" s="414">
        <f t="shared" si="660"/>
        <v>1516.4996292000003</v>
      </c>
      <c r="H2783" s="414">
        <f t="shared" si="660"/>
        <v>1572.2478292000001</v>
      </c>
      <c r="I2783" s="414">
        <f t="shared" si="660"/>
        <v>1627.9950291999999</v>
      </c>
      <c r="J2783" s="638">
        <f t="shared" si="660"/>
        <v>1683.7432292000001</v>
      </c>
      <c r="K2783" s="636">
        <f t="shared" si="660"/>
        <v>1739.4904291999999</v>
      </c>
      <c r="L2783" s="636">
        <f t="shared" si="660"/>
        <v>1795.2386292000003</v>
      </c>
    </row>
    <row r="2784" spans="1:12" ht="13">
      <c r="A2784" s="454"/>
      <c r="B2784" s="454"/>
      <c r="C2784" s="522" t="s">
        <v>726</v>
      </c>
      <c r="D2784" s="416">
        <f t="shared" ref="D2784:L2784" si="661">ROUND(D2783,0)</f>
        <v>1349</v>
      </c>
      <c r="E2784" s="416">
        <f t="shared" si="661"/>
        <v>1405</v>
      </c>
      <c r="F2784" s="416">
        <f t="shared" si="661"/>
        <v>1461</v>
      </c>
      <c r="G2784" s="416">
        <f t="shared" si="661"/>
        <v>1516</v>
      </c>
      <c r="H2784" s="416">
        <f t="shared" si="661"/>
        <v>1572</v>
      </c>
      <c r="I2784" s="416">
        <f t="shared" si="661"/>
        <v>1628</v>
      </c>
      <c r="J2784" s="533">
        <f t="shared" si="661"/>
        <v>1684</v>
      </c>
      <c r="K2784" s="534">
        <f t="shared" si="661"/>
        <v>1739</v>
      </c>
      <c r="L2784" s="534">
        <f t="shared" si="661"/>
        <v>1795</v>
      </c>
    </row>
    <row r="2785" spans="1:64">
      <c r="A2785" s="454"/>
      <c r="B2785" s="454"/>
      <c r="C2785" s="417"/>
      <c r="D2785" s="621"/>
      <c r="E2785" s="426"/>
      <c r="F2785" s="409"/>
      <c r="G2785" s="410"/>
      <c r="H2785" s="426"/>
      <c r="I2785" s="408"/>
      <c r="J2785" s="400"/>
      <c r="K2785" s="401"/>
      <c r="L2785" s="401"/>
    </row>
    <row r="2786" spans="1:64" ht="136.5" customHeight="1">
      <c r="A2786" s="415">
        <f>A2732+1</f>
        <v>9</v>
      </c>
      <c r="B2786" s="454"/>
      <c r="C2786" s="1276" t="s">
        <v>1195</v>
      </c>
      <c r="D2786" s="1276"/>
      <c r="E2786" s="1276"/>
      <c r="F2786" s="1276"/>
      <c r="G2786" s="1276"/>
      <c r="H2786" s="1276"/>
      <c r="I2786" s="407"/>
      <c r="J2786" s="400"/>
      <c r="K2786" s="401"/>
      <c r="L2786" s="401"/>
    </row>
    <row r="2787" spans="1:64" ht="13">
      <c r="A2787" s="454"/>
      <c r="B2787" s="454"/>
      <c r="C2787" s="455" t="s">
        <v>1192</v>
      </c>
      <c r="D2787" s="426"/>
      <c r="E2787" s="426"/>
      <c r="F2787" s="426"/>
      <c r="G2787" s="426"/>
      <c r="H2787" s="426"/>
      <c r="I2787" s="409"/>
      <c r="J2787" s="400"/>
      <c r="K2787" s="401"/>
      <c r="L2787" s="401"/>
    </row>
    <row r="2788" spans="1:64">
      <c r="A2788" s="454"/>
      <c r="B2788" s="454"/>
      <c r="C2788" s="483" t="s">
        <v>1167</v>
      </c>
      <c r="D2788" s="426"/>
      <c r="E2788" s="426"/>
      <c r="F2788" s="426"/>
      <c r="G2788" s="426"/>
      <c r="H2788" s="426"/>
      <c r="I2788" s="409"/>
      <c r="J2788" s="400"/>
      <c r="K2788" s="401"/>
      <c r="L2788" s="401"/>
    </row>
    <row r="2789" spans="1:64" ht="13">
      <c r="A2789" s="454"/>
      <c r="B2789" s="454"/>
      <c r="C2789" s="433" t="s">
        <v>1168</v>
      </c>
      <c r="D2789" s="409"/>
      <c r="E2789" s="426"/>
      <c r="F2789" s="409"/>
      <c r="G2789" s="410"/>
      <c r="H2789" s="426"/>
      <c r="I2789" s="408"/>
      <c r="J2789" s="400"/>
      <c r="K2789" s="401"/>
      <c r="L2789" s="401"/>
    </row>
    <row r="2790" spans="1:64" ht="25">
      <c r="A2790" s="454"/>
      <c r="B2790" s="454"/>
      <c r="C2790" s="667" t="s">
        <v>1193</v>
      </c>
      <c r="D2790" s="409">
        <v>10.5</v>
      </c>
      <c r="E2790" s="426" t="s">
        <v>62</v>
      </c>
      <c r="F2790" s="409">
        <f>'[161]Civil-SOR'!$G$19</f>
        <v>443</v>
      </c>
      <c r="G2790" s="410">
        <v>1</v>
      </c>
      <c r="H2790" s="426" t="s">
        <v>62</v>
      </c>
      <c r="I2790" s="408">
        <f t="shared" ref="I2790:I2794" si="662">IF(G2790="",D2790*F2790,(D2790*F2790/G2790))</f>
        <v>4651.5</v>
      </c>
      <c r="J2790" s="418"/>
      <c r="K2790" s="419"/>
      <c r="L2790" s="419"/>
      <c r="M2790" s="475"/>
      <c r="N2790" s="475"/>
      <c r="O2790" s="475"/>
      <c r="P2790" s="475"/>
      <c r="Q2790" s="475"/>
      <c r="R2790" s="475"/>
      <c r="S2790" s="475"/>
      <c r="T2790" s="475"/>
      <c r="U2790" s="475"/>
      <c r="V2790" s="475"/>
      <c r="W2790" s="475"/>
      <c r="X2790" s="475"/>
      <c r="Y2790" s="475"/>
      <c r="Z2790" s="475"/>
      <c r="AA2790" s="475"/>
      <c r="AB2790" s="475"/>
      <c r="AC2790" s="475"/>
      <c r="AD2790" s="475"/>
      <c r="AE2790" s="475"/>
      <c r="AF2790" s="475"/>
      <c r="AG2790" s="475"/>
      <c r="AH2790" s="475"/>
      <c r="AI2790" s="475"/>
      <c r="AJ2790" s="475"/>
      <c r="AK2790" s="475"/>
      <c r="AL2790" s="475"/>
      <c r="AM2790" s="475"/>
      <c r="AN2790" s="475"/>
      <c r="AO2790" s="475"/>
      <c r="AP2790" s="475"/>
      <c r="AQ2790" s="475"/>
      <c r="AR2790" s="475"/>
      <c r="AS2790" s="475"/>
      <c r="AT2790" s="475"/>
      <c r="AU2790" s="475"/>
      <c r="AV2790" s="475"/>
      <c r="AW2790" s="475"/>
      <c r="AX2790" s="475"/>
      <c r="AY2790" s="475"/>
      <c r="AZ2790" s="475"/>
      <c r="BA2790" s="475"/>
      <c r="BB2790" s="475"/>
      <c r="BC2790" s="475"/>
      <c r="BD2790" s="475"/>
      <c r="BE2790" s="475"/>
      <c r="BF2790" s="475"/>
      <c r="BG2790" s="475"/>
      <c r="BH2790" s="475"/>
      <c r="BI2790" s="475"/>
      <c r="BJ2790" s="475"/>
      <c r="BK2790" s="475"/>
      <c r="BL2790" s="475"/>
    </row>
    <row r="2791" spans="1:64" ht="25">
      <c r="A2791" s="454"/>
      <c r="B2791" s="454"/>
      <c r="C2791" s="667" t="s">
        <v>1186</v>
      </c>
      <c r="D2791" s="409">
        <v>21.6</v>
      </c>
      <c r="E2791" s="426" t="s">
        <v>833</v>
      </c>
      <c r="F2791" s="409">
        <f>[161]LEAD!$N$6</f>
        <v>5200</v>
      </c>
      <c r="G2791" s="410">
        <v>1000</v>
      </c>
      <c r="H2791" s="426" t="s">
        <v>833</v>
      </c>
      <c r="I2791" s="408">
        <f t="shared" si="662"/>
        <v>112.32000000000002</v>
      </c>
      <c r="J2791" s="418"/>
      <c r="K2791" s="419"/>
      <c r="L2791" s="419"/>
      <c r="M2791" s="475"/>
      <c r="N2791" s="475"/>
      <c r="O2791" s="475"/>
      <c r="P2791" s="475"/>
      <c r="Q2791" s="475"/>
      <c r="R2791" s="475"/>
      <c r="S2791" s="475"/>
      <c r="T2791" s="475"/>
      <c r="U2791" s="475"/>
      <c r="V2791" s="475"/>
      <c r="W2791" s="475"/>
      <c r="X2791" s="475"/>
      <c r="Y2791" s="475"/>
      <c r="Z2791" s="475"/>
      <c r="AA2791" s="475"/>
      <c r="AB2791" s="475"/>
      <c r="AC2791" s="475"/>
      <c r="AD2791" s="475"/>
      <c r="AE2791" s="475"/>
      <c r="AF2791" s="475"/>
      <c r="AG2791" s="475"/>
      <c r="AH2791" s="475"/>
      <c r="AI2791" s="475"/>
      <c r="AJ2791" s="475"/>
      <c r="AK2791" s="475"/>
      <c r="AL2791" s="475"/>
      <c r="AM2791" s="475"/>
      <c r="AN2791" s="475"/>
      <c r="AO2791" s="475"/>
      <c r="AP2791" s="475"/>
      <c r="AQ2791" s="475"/>
      <c r="AR2791" s="475"/>
      <c r="AS2791" s="475"/>
      <c r="AT2791" s="475"/>
      <c r="AU2791" s="475"/>
      <c r="AV2791" s="475"/>
      <c r="AW2791" s="475"/>
      <c r="AX2791" s="475"/>
      <c r="AY2791" s="475"/>
      <c r="AZ2791" s="475"/>
      <c r="BA2791" s="475"/>
      <c r="BB2791" s="475"/>
      <c r="BC2791" s="475"/>
      <c r="BD2791" s="475"/>
      <c r="BE2791" s="475"/>
      <c r="BF2791" s="475"/>
      <c r="BG2791" s="475"/>
      <c r="BH2791" s="475"/>
      <c r="BI2791" s="475"/>
      <c r="BJ2791" s="475"/>
      <c r="BK2791" s="475"/>
      <c r="BL2791" s="475"/>
    </row>
    <row r="2792" spans="1:64">
      <c r="A2792" s="454"/>
      <c r="B2792" s="454"/>
      <c r="C2792" s="483" t="s">
        <v>1171</v>
      </c>
      <c r="D2792" s="409">
        <v>33</v>
      </c>
      <c r="E2792" s="426" t="s">
        <v>833</v>
      </c>
      <c r="F2792" s="409">
        <f>[161]LEAD!$N$6</f>
        <v>5200</v>
      </c>
      <c r="G2792" s="410">
        <v>1000</v>
      </c>
      <c r="H2792" s="426" t="s">
        <v>833</v>
      </c>
      <c r="I2792" s="408">
        <f t="shared" si="662"/>
        <v>171.6</v>
      </c>
      <c r="J2792" s="400"/>
      <c r="K2792" s="401"/>
      <c r="L2792" s="401"/>
    </row>
    <row r="2793" spans="1:64">
      <c r="A2793" s="454"/>
      <c r="B2793" s="454"/>
      <c r="C2793" s="483" t="s">
        <v>1183</v>
      </c>
      <c r="D2793" s="409">
        <v>6</v>
      </c>
      <c r="E2793" s="426" t="s">
        <v>833</v>
      </c>
      <c r="F2793" s="409">
        <f>'[161]Civil-SOR'!$G$185</f>
        <v>34</v>
      </c>
      <c r="G2793" s="410">
        <v>1</v>
      </c>
      <c r="H2793" s="426" t="s">
        <v>312</v>
      </c>
      <c r="I2793" s="408">
        <f t="shared" si="662"/>
        <v>204</v>
      </c>
      <c r="J2793" s="400"/>
      <c r="K2793" s="401"/>
      <c r="L2793" s="401"/>
    </row>
    <row r="2794" spans="1:64">
      <c r="A2794" s="454"/>
      <c r="B2794" s="454"/>
      <c r="C2794" s="483" t="s">
        <v>1173</v>
      </c>
      <c r="D2794" s="409">
        <v>0.12</v>
      </c>
      <c r="E2794" s="426" t="s">
        <v>57</v>
      </c>
      <c r="F2794" s="409">
        <f>[161]LEAD!$N$13</f>
        <v>2453.91</v>
      </c>
      <c r="G2794" s="410">
        <v>1</v>
      </c>
      <c r="H2794" s="426" t="s">
        <v>57</v>
      </c>
      <c r="I2794" s="408">
        <f t="shared" si="662"/>
        <v>294.46919999999994</v>
      </c>
      <c r="J2794" s="400"/>
      <c r="K2794" s="401"/>
      <c r="L2794" s="401"/>
    </row>
    <row r="2795" spans="1:64" ht="13">
      <c r="A2795" s="454"/>
      <c r="B2795" s="454"/>
      <c r="C2795" s="433" t="s">
        <v>1073</v>
      </c>
      <c r="D2795" s="409"/>
      <c r="E2795" s="426"/>
      <c r="F2795" s="409"/>
      <c r="G2795" s="410"/>
      <c r="H2795" s="426"/>
      <c r="I2795" s="408"/>
      <c r="J2795" s="400"/>
      <c r="K2795" s="401"/>
      <c r="L2795" s="401"/>
    </row>
    <row r="2796" spans="1:64">
      <c r="A2796" s="454"/>
      <c r="B2796" s="454"/>
      <c r="C2796" s="483" t="s">
        <v>1044</v>
      </c>
      <c r="D2796" s="409">
        <v>0.96</v>
      </c>
      <c r="E2796" s="426" t="s">
        <v>14</v>
      </c>
      <c r="F2796" s="409">
        <f>'[161]Civil-SOR'!$G$293</f>
        <v>580</v>
      </c>
      <c r="G2796" s="410">
        <v>1</v>
      </c>
      <c r="H2796" s="426" t="s">
        <v>572</v>
      </c>
      <c r="I2796" s="408">
        <f t="shared" ref="I2796:I2800" si="663">IF(G2796="",D2796*F2796,(D2796*F2796/G2796))</f>
        <v>556.79999999999995</v>
      </c>
      <c r="J2796" s="400"/>
      <c r="K2796" s="401"/>
      <c r="L2796" s="401"/>
    </row>
    <row r="2797" spans="1:64">
      <c r="A2797" s="454"/>
      <c r="B2797" s="454"/>
      <c r="C2797" s="483" t="s">
        <v>1074</v>
      </c>
      <c r="D2797" s="409">
        <v>2.2400000000000002</v>
      </c>
      <c r="E2797" s="426" t="s">
        <v>14</v>
      </c>
      <c r="F2797" s="409">
        <f>'[161]Civil-SOR'!$G$302</f>
        <v>550</v>
      </c>
      <c r="G2797" s="410">
        <v>1</v>
      </c>
      <c r="H2797" s="426" t="s">
        <v>572</v>
      </c>
      <c r="I2797" s="408">
        <f t="shared" si="663"/>
        <v>1232.0000000000002</v>
      </c>
      <c r="J2797" s="400"/>
      <c r="K2797" s="401"/>
      <c r="L2797" s="401"/>
    </row>
    <row r="2798" spans="1:64">
      <c r="A2798" s="454"/>
      <c r="B2798" s="454"/>
      <c r="C2798" s="483" t="s">
        <v>1174</v>
      </c>
      <c r="D2798" s="409">
        <v>3.3</v>
      </c>
      <c r="E2798" s="426" t="s">
        <v>14</v>
      </c>
      <c r="F2798" s="409">
        <f>'[161]Civil-SOR'!$G$307</f>
        <v>520</v>
      </c>
      <c r="G2798" s="410">
        <v>1</v>
      </c>
      <c r="H2798" s="426" t="s">
        <v>572</v>
      </c>
      <c r="I2798" s="408">
        <f t="shared" si="663"/>
        <v>1716</v>
      </c>
      <c r="J2798" s="400"/>
      <c r="K2798" s="401"/>
      <c r="L2798" s="401"/>
    </row>
    <row r="2799" spans="1:64">
      <c r="A2799" s="454"/>
      <c r="B2799" s="454"/>
      <c r="C2799" s="417" t="str">
        <f>[161]Input!$C$47</f>
        <v>Add for MA @ 40%</v>
      </c>
      <c r="D2799" s="621">
        <f>[161]Input!$D$47</f>
        <v>0.4</v>
      </c>
      <c r="E2799" s="426"/>
      <c r="F2799" s="409">
        <f>SUM(I2796:I2798)</f>
        <v>3504.8</v>
      </c>
      <c r="G2799" s="410"/>
      <c r="H2799" s="426"/>
      <c r="I2799" s="408">
        <f t="shared" si="663"/>
        <v>1401.92</v>
      </c>
      <c r="J2799" s="400"/>
      <c r="K2799" s="401"/>
      <c r="L2799" s="401"/>
    </row>
    <row r="2800" spans="1:64">
      <c r="A2800" s="454"/>
      <c r="B2800" s="454"/>
      <c r="C2800" s="483" t="s">
        <v>1046</v>
      </c>
      <c r="D2800" s="409">
        <v>0.01</v>
      </c>
      <c r="E2800" s="426"/>
      <c r="F2800" s="409">
        <f>SUM(I2790:I2799)</f>
        <v>10340.609200000001</v>
      </c>
      <c r="G2800" s="410"/>
      <c r="H2800" s="426"/>
      <c r="I2800" s="408">
        <f t="shared" si="663"/>
        <v>103.40609200000002</v>
      </c>
      <c r="J2800" s="400"/>
      <c r="K2800" s="401"/>
      <c r="L2800" s="401"/>
    </row>
    <row r="2801" spans="1:64" ht="13">
      <c r="A2801" s="454"/>
      <c r="B2801" s="454"/>
      <c r="C2801" s="666" t="s">
        <v>1184</v>
      </c>
      <c r="D2801" s="409"/>
      <c r="E2801" s="426"/>
      <c r="F2801" s="409"/>
      <c r="G2801" s="410"/>
      <c r="H2801" s="426"/>
      <c r="I2801" s="414">
        <f>SUM(I2790:I2800)</f>
        <v>10444.015292</v>
      </c>
      <c r="J2801" s="411"/>
      <c r="K2801" s="412"/>
      <c r="L2801" s="412"/>
      <c r="M2801" s="554"/>
      <c r="N2801" s="554"/>
      <c r="O2801" s="554"/>
      <c r="P2801" s="554"/>
      <c r="Q2801" s="554"/>
      <c r="R2801" s="554"/>
      <c r="S2801" s="554"/>
      <c r="T2801" s="554"/>
      <c r="U2801" s="554"/>
      <c r="V2801" s="554"/>
      <c r="W2801" s="554"/>
      <c r="X2801" s="554"/>
      <c r="Y2801" s="554"/>
      <c r="Z2801" s="554"/>
      <c r="AA2801" s="554"/>
      <c r="AB2801" s="554"/>
      <c r="AC2801" s="554"/>
      <c r="AD2801" s="554"/>
      <c r="AE2801" s="554"/>
      <c r="AF2801" s="554"/>
      <c r="AG2801" s="554"/>
      <c r="AH2801" s="554"/>
      <c r="AI2801" s="554"/>
      <c r="AJ2801" s="554"/>
      <c r="AK2801" s="554"/>
      <c r="AL2801" s="554"/>
      <c r="AM2801" s="554"/>
      <c r="AN2801" s="554"/>
      <c r="AO2801" s="554"/>
      <c r="AP2801" s="554"/>
      <c r="AQ2801" s="554"/>
      <c r="AR2801" s="554"/>
      <c r="AS2801" s="554"/>
      <c r="AT2801" s="554"/>
      <c r="AU2801" s="554"/>
      <c r="AV2801" s="554"/>
      <c r="AW2801" s="554"/>
      <c r="AX2801" s="554"/>
      <c r="AY2801" s="554"/>
      <c r="AZ2801" s="554"/>
      <c r="BA2801" s="554"/>
      <c r="BB2801" s="554"/>
      <c r="BC2801" s="554"/>
      <c r="BD2801" s="554"/>
      <c r="BE2801" s="554"/>
      <c r="BF2801" s="554"/>
      <c r="BG2801" s="554"/>
      <c r="BH2801" s="554"/>
      <c r="BI2801" s="554"/>
      <c r="BJ2801" s="554"/>
      <c r="BK2801" s="554"/>
      <c r="BL2801" s="554"/>
    </row>
    <row r="2802" spans="1:64">
      <c r="A2802" s="454"/>
      <c r="B2802" s="454"/>
      <c r="C2802" s="469"/>
      <c r="D2802" s="409"/>
      <c r="E2802" s="426"/>
      <c r="F2802" s="409"/>
      <c r="G2802" s="410"/>
      <c r="H2802" s="426"/>
      <c r="I2802" s="408"/>
      <c r="J2802" s="400"/>
      <c r="K2802" s="401"/>
      <c r="L2802" s="401"/>
    </row>
    <row r="2803" spans="1:64" ht="13">
      <c r="A2803" s="454"/>
      <c r="B2803" s="454"/>
      <c r="C2803" s="427" t="s">
        <v>953</v>
      </c>
      <c r="D2803" s="414" t="s">
        <v>959</v>
      </c>
      <c r="E2803" s="416" t="s">
        <v>943</v>
      </c>
      <c r="F2803" s="415" t="s">
        <v>944</v>
      </c>
      <c r="G2803" s="414" t="s">
        <v>1036</v>
      </c>
      <c r="H2803" s="414" t="s">
        <v>1037</v>
      </c>
      <c r="I2803" s="414" t="s">
        <v>1038</v>
      </c>
      <c r="J2803" s="400"/>
      <c r="K2803" s="401"/>
      <c r="L2803" s="401"/>
    </row>
    <row r="2804" spans="1:64">
      <c r="A2804" s="454"/>
      <c r="B2804" s="454"/>
      <c r="C2804" s="417" t="s">
        <v>1064</v>
      </c>
      <c r="D2804" s="408">
        <f t="shared" ref="D2804:I2804" si="664">$I$2801</f>
        <v>10444.015292</v>
      </c>
      <c r="E2804" s="408">
        <f t="shared" si="664"/>
        <v>10444.015292</v>
      </c>
      <c r="F2804" s="408">
        <f t="shared" si="664"/>
        <v>10444.015292</v>
      </c>
      <c r="G2804" s="408">
        <f t="shared" si="664"/>
        <v>10444.015292</v>
      </c>
      <c r="H2804" s="408">
        <f t="shared" si="664"/>
        <v>10444.015292</v>
      </c>
      <c r="I2804" s="408">
        <f t="shared" si="664"/>
        <v>10444.015292</v>
      </c>
      <c r="J2804" s="400"/>
      <c r="K2804" s="401"/>
      <c r="L2804" s="401"/>
    </row>
    <row r="2805" spans="1:64" s="404" customFormat="1">
      <c r="A2805" s="454"/>
      <c r="B2805" s="454"/>
      <c r="C2805" s="417" t="s">
        <v>994</v>
      </c>
      <c r="D2805" s="408">
        <v>0</v>
      </c>
      <c r="E2805" s="408">
        <f>ROUND($F$2745*10%,2)</f>
        <v>350.48</v>
      </c>
      <c r="F2805" s="408">
        <f>ROUND($F$2745*20%,2)</f>
        <v>700.96</v>
      </c>
      <c r="G2805" s="408">
        <f>ROUND($F$2745*30%,2)</f>
        <v>1051.44</v>
      </c>
      <c r="H2805" s="408">
        <f>ROUND($F$2745*40%,2)</f>
        <v>1401.92</v>
      </c>
      <c r="I2805" s="408">
        <f>ROUND($F$2745*50%,2)</f>
        <v>1752.4</v>
      </c>
      <c r="J2805" s="400"/>
      <c r="K2805" s="401"/>
      <c r="L2805" s="401"/>
    </row>
    <row r="2806" spans="1:64" s="404" customFormat="1">
      <c r="A2806" s="454"/>
      <c r="B2806" s="454"/>
      <c r="C2806" s="417" t="str">
        <f>[161]Input!C47</f>
        <v>Add for MA @ 40%</v>
      </c>
      <c r="D2806" s="408">
        <f>D2805*[161]Input!$D$47</f>
        <v>0</v>
      </c>
      <c r="E2806" s="408">
        <f>E2805*[161]Input!$D$47</f>
        <v>140.19200000000001</v>
      </c>
      <c r="F2806" s="408">
        <f>F2805*[161]Input!$D$47</f>
        <v>280.38400000000001</v>
      </c>
      <c r="G2806" s="408">
        <f>G2805*[161]Input!$D$47</f>
        <v>420.57600000000002</v>
      </c>
      <c r="H2806" s="408">
        <f>H2805*[161]Input!$D$47</f>
        <v>560.76800000000003</v>
      </c>
      <c r="I2806" s="408">
        <f>I2805*[161]Input!$D$47</f>
        <v>700.96</v>
      </c>
      <c r="J2806" s="400"/>
      <c r="K2806" s="401"/>
      <c r="L2806" s="401"/>
    </row>
    <row r="2807" spans="1:64" s="404" customFormat="1">
      <c r="A2807" s="454"/>
      <c r="B2807" s="454"/>
      <c r="C2807" s="469"/>
      <c r="D2807" s="408">
        <f t="shared" ref="D2807:I2807" si="665">SUM(D2804:D2806)</f>
        <v>10444.015292</v>
      </c>
      <c r="E2807" s="408">
        <f t="shared" si="665"/>
        <v>10934.687291999999</v>
      </c>
      <c r="F2807" s="408">
        <f t="shared" si="665"/>
        <v>11425.359291999999</v>
      </c>
      <c r="G2807" s="408">
        <f t="shared" si="665"/>
        <v>11916.031292</v>
      </c>
      <c r="H2807" s="408">
        <f t="shared" si="665"/>
        <v>12406.703292</v>
      </c>
      <c r="I2807" s="408">
        <f t="shared" si="665"/>
        <v>12897.375292000001</v>
      </c>
      <c r="J2807" s="400"/>
      <c r="K2807" s="401"/>
      <c r="L2807" s="401"/>
    </row>
    <row r="2808" spans="1:64" s="404" customFormat="1" ht="25">
      <c r="A2808" s="454"/>
      <c r="B2808" s="454"/>
      <c r="C2808" s="417" t="str">
        <f>[161]Input!$C$48</f>
        <v>Overheads &amp; Contractors Profit @ 13.615%</v>
      </c>
      <c r="D2808" s="408">
        <f>ROUND(D2807*[161]Input!$D$48,2)</f>
        <v>1421.95</v>
      </c>
      <c r="E2808" s="408">
        <f>ROUND(E2807*[161]Input!$D$48,2)</f>
        <v>1488.76</v>
      </c>
      <c r="F2808" s="408">
        <f>ROUND(F2807*[161]Input!$D$48,2)</f>
        <v>1555.56</v>
      </c>
      <c r="G2808" s="408">
        <f>ROUND(G2807*[161]Input!$D$48,2)</f>
        <v>1622.37</v>
      </c>
      <c r="H2808" s="408">
        <f>ROUND(H2807*[161]Input!$D$48,2)</f>
        <v>1689.17</v>
      </c>
      <c r="I2808" s="408">
        <f>ROUND(I2807*[161]Input!$D$48,2)</f>
        <v>1755.98</v>
      </c>
      <c r="J2808" s="400"/>
      <c r="K2808" s="401"/>
      <c r="L2808" s="401"/>
    </row>
    <row r="2809" spans="1:64" s="404" customFormat="1" ht="13">
      <c r="A2809" s="454"/>
      <c r="B2809" s="454"/>
      <c r="C2809" s="427" t="s">
        <v>1047</v>
      </c>
      <c r="D2809" s="414">
        <f t="shared" ref="D2809:I2809" si="666">SUM(D2807:D2808)</f>
        <v>11865.965292000001</v>
      </c>
      <c r="E2809" s="414">
        <f t="shared" si="666"/>
        <v>12423.447291999999</v>
      </c>
      <c r="F2809" s="414">
        <f t="shared" si="666"/>
        <v>12980.919291999999</v>
      </c>
      <c r="G2809" s="414">
        <f t="shared" si="666"/>
        <v>13538.401291999999</v>
      </c>
      <c r="H2809" s="414">
        <f t="shared" si="666"/>
        <v>14095.873292</v>
      </c>
      <c r="I2809" s="414">
        <f t="shared" si="666"/>
        <v>14653.355292</v>
      </c>
      <c r="J2809" s="400"/>
      <c r="K2809" s="401"/>
      <c r="L2809" s="401"/>
    </row>
    <row r="2810" spans="1:64" s="404" customFormat="1" ht="13">
      <c r="A2810" s="454"/>
      <c r="B2810" s="454"/>
      <c r="C2810" s="427" t="s">
        <v>845</v>
      </c>
      <c r="D2810" s="414">
        <f t="shared" ref="D2810:I2810" si="667">D2809/10</f>
        <v>1186.5965292000001</v>
      </c>
      <c r="E2810" s="414">
        <f t="shared" si="667"/>
        <v>1242.3447291999998</v>
      </c>
      <c r="F2810" s="414">
        <f t="shared" si="667"/>
        <v>1298.0919291999999</v>
      </c>
      <c r="G2810" s="414">
        <f t="shared" si="667"/>
        <v>1353.8401291999999</v>
      </c>
      <c r="H2810" s="414">
        <f t="shared" si="667"/>
        <v>1409.5873292000001</v>
      </c>
      <c r="I2810" s="414">
        <f t="shared" si="667"/>
        <v>1465.3355292000001</v>
      </c>
      <c r="J2810" s="400"/>
      <c r="K2810" s="401"/>
      <c r="L2810" s="401"/>
    </row>
    <row r="2811" spans="1:64" s="404" customFormat="1" ht="13">
      <c r="A2811" s="454"/>
      <c r="B2811" s="454"/>
      <c r="C2811" s="522" t="s">
        <v>726</v>
      </c>
      <c r="D2811" s="416">
        <f t="shared" ref="D2811:I2811" si="668">ROUND(D2810,0)</f>
        <v>1187</v>
      </c>
      <c r="E2811" s="416">
        <f t="shared" si="668"/>
        <v>1242</v>
      </c>
      <c r="F2811" s="416">
        <f t="shared" si="668"/>
        <v>1298</v>
      </c>
      <c r="G2811" s="416">
        <f t="shared" si="668"/>
        <v>1354</v>
      </c>
      <c r="H2811" s="416">
        <f t="shared" si="668"/>
        <v>1410</v>
      </c>
      <c r="I2811" s="416">
        <f t="shared" si="668"/>
        <v>1465</v>
      </c>
      <c r="J2811" s="400"/>
      <c r="K2811" s="401"/>
      <c r="L2811" s="401"/>
    </row>
    <row r="2812" spans="1:64" s="404" customFormat="1">
      <c r="A2812" s="454"/>
      <c r="B2812" s="454"/>
      <c r="C2812" s="417"/>
      <c r="D2812" s="621"/>
      <c r="E2812" s="426"/>
      <c r="F2812" s="409"/>
      <c r="G2812" s="410"/>
      <c r="H2812" s="426"/>
      <c r="I2812" s="408"/>
      <c r="J2812" s="400"/>
      <c r="K2812" s="401"/>
      <c r="L2812" s="401"/>
    </row>
    <row r="2813" spans="1:64" s="404" customFormat="1" ht="13">
      <c r="A2813" s="454"/>
      <c r="B2813" s="454"/>
      <c r="C2813" s="427" t="s">
        <v>953</v>
      </c>
      <c r="D2813" s="414" t="s">
        <v>1118</v>
      </c>
      <c r="E2813" s="414" t="s">
        <v>1119</v>
      </c>
      <c r="F2813" s="414" t="s">
        <v>1120</v>
      </c>
      <c r="G2813" s="410"/>
      <c r="H2813" s="426"/>
      <c r="I2813" s="408"/>
      <c r="J2813" s="400"/>
      <c r="K2813" s="401"/>
      <c r="L2813" s="401"/>
    </row>
    <row r="2814" spans="1:64" s="404" customFormat="1">
      <c r="A2814" s="454"/>
      <c r="B2814" s="454"/>
      <c r="C2814" s="417" t="s">
        <v>1064</v>
      </c>
      <c r="D2814" s="408">
        <f>$I$2801</f>
        <v>10444.015292</v>
      </c>
      <c r="E2814" s="408">
        <f>$I$2801</f>
        <v>10444.015292</v>
      </c>
      <c r="F2814" s="408">
        <f>$I$2801</f>
        <v>10444.015292</v>
      </c>
      <c r="G2814" s="410"/>
      <c r="H2814" s="426"/>
      <c r="I2814" s="408"/>
      <c r="J2814" s="400"/>
      <c r="K2814" s="401"/>
      <c r="L2814" s="401"/>
    </row>
    <row r="2815" spans="1:64" s="404" customFormat="1">
      <c r="A2815" s="454"/>
      <c r="B2815" s="454"/>
      <c r="C2815" s="417" t="s">
        <v>994</v>
      </c>
      <c r="D2815" s="408">
        <f>ROUND($F$2745*60%,2)</f>
        <v>2102.88</v>
      </c>
      <c r="E2815" s="408">
        <f>ROUND($F$2745*70%,2)</f>
        <v>2453.36</v>
      </c>
      <c r="F2815" s="408">
        <f>ROUND($F$2745*80%,2)</f>
        <v>2803.84</v>
      </c>
      <c r="G2815" s="410"/>
      <c r="H2815" s="426"/>
      <c r="I2815" s="408"/>
      <c r="J2815" s="400"/>
      <c r="K2815" s="401"/>
      <c r="L2815" s="401"/>
    </row>
    <row r="2816" spans="1:64" s="404" customFormat="1">
      <c r="A2816" s="454"/>
      <c r="B2816" s="454"/>
      <c r="C2816" s="417">
        <f>[161]Input!C57</f>
        <v>0</v>
      </c>
      <c r="D2816" s="408">
        <f>D2815*[161]Input!$D$47</f>
        <v>841.15200000000004</v>
      </c>
      <c r="E2816" s="408">
        <f>E2815*[161]Input!$D$47</f>
        <v>981.34400000000005</v>
      </c>
      <c r="F2816" s="408">
        <f>F2815*[161]Input!$D$47</f>
        <v>1121.5360000000001</v>
      </c>
      <c r="G2816" s="410"/>
      <c r="H2816" s="426"/>
      <c r="I2816" s="408"/>
      <c r="J2816" s="400"/>
      <c r="K2816" s="401"/>
      <c r="L2816" s="401"/>
    </row>
    <row r="2817" spans="1:15" s="404" customFormat="1">
      <c r="A2817" s="454"/>
      <c r="B2817" s="454"/>
      <c r="C2817" s="435"/>
      <c r="D2817" s="408">
        <f>SUM(D2814:D2816)</f>
        <v>13388.047292000001</v>
      </c>
      <c r="E2817" s="408">
        <f>SUM(E2814:E2816)</f>
        <v>13878.719292000002</v>
      </c>
      <c r="F2817" s="408">
        <f>SUM(F2814:F2816)</f>
        <v>14369.391292</v>
      </c>
      <c r="G2817" s="410"/>
      <c r="H2817" s="426"/>
      <c r="I2817" s="408"/>
      <c r="J2817" s="400"/>
      <c r="K2817" s="401"/>
      <c r="L2817" s="401"/>
    </row>
    <row r="2818" spans="1:15" s="404" customFormat="1" ht="25">
      <c r="A2818" s="454"/>
      <c r="B2818" s="454"/>
      <c r="C2818" s="417" t="str">
        <f>[161]Input!$C$48</f>
        <v>Overheads &amp; Contractors Profit @ 13.615%</v>
      </c>
      <c r="D2818" s="408">
        <f>ROUND(D2817*[161]Input!$D$48,2)</f>
        <v>1822.78</v>
      </c>
      <c r="E2818" s="408">
        <f>ROUND(E2817*[161]Input!$D$48,2)</f>
        <v>1889.59</v>
      </c>
      <c r="F2818" s="408">
        <f>ROUND(F2817*[161]Input!$D$48,2)</f>
        <v>1956.39</v>
      </c>
      <c r="G2818" s="410"/>
      <c r="H2818" s="426"/>
      <c r="I2818" s="408"/>
      <c r="J2818" s="400"/>
      <c r="K2818" s="401"/>
      <c r="L2818" s="401"/>
    </row>
    <row r="2819" spans="1:15" s="404" customFormat="1" ht="13">
      <c r="A2819" s="454"/>
      <c r="B2819" s="454"/>
      <c r="C2819" s="427" t="s">
        <v>1047</v>
      </c>
      <c r="D2819" s="414">
        <f>SUM(D2817:D2818)</f>
        <v>15210.827292000002</v>
      </c>
      <c r="E2819" s="414">
        <f>SUM(E2817:E2818)</f>
        <v>15768.309292000002</v>
      </c>
      <c r="F2819" s="414">
        <f>SUM(F2817:F2818)</f>
        <v>16325.781292</v>
      </c>
      <c r="G2819" s="410"/>
      <c r="H2819" s="426"/>
      <c r="I2819" s="408"/>
      <c r="J2819" s="400"/>
      <c r="K2819" s="401"/>
      <c r="L2819" s="401"/>
    </row>
    <row r="2820" spans="1:15" s="404" customFormat="1" ht="13">
      <c r="A2820" s="454"/>
      <c r="B2820" s="454"/>
      <c r="C2820" s="427" t="s">
        <v>845</v>
      </c>
      <c r="D2820" s="414">
        <f>D2819/10</f>
        <v>1521.0827292000001</v>
      </c>
      <c r="E2820" s="414">
        <f>E2819/10</f>
        <v>1576.8309292000001</v>
      </c>
      <c r="F2820" s="414">
        <f>F2819/10</f>
        <v>1632.5781291999999</v>
      </c>
      <c r="G2820" s="410"/>
      <c r="H2820" s="426"/>
      <c r="I2820" s="408"/>
      <c r="J2820" s="400"/>
      <c r="K2820" s="401"/>
      <c r="L2820" s="401"/>
    </row>
    <row r="2821" spans="1:15" s="404" customFormat="1" ht="13">
      <c r="A2821" s="454"/>
      <c r="B2821" s="454"/>
      <c r="C2821" s="514" t="s">
        <v>726</v>
      </c>
      <c r="D2821" s="416">
        <f>ROUND(D2820,0)</f>
        <v>1521</v>
      </c>
      <c r="E2821" s="416">
        <f>ROUND(E2820,0)</f>
        <v>1577</v>
      </c>
      <c r="F2821" s="416">
        <f>ROUND(F2820,0)</f>
        <v>1633</v>
      </c>
      <c r="G2821" s="410"/>
      <c r="H2821" s="426"/>
      <c r="I2821" s="408"/>
      <c r="J2821" s="400"/>
      <c r="K2821" s="401"/>
      <c r="L2821" s="401"/>
    </row>
    <row r="2822" spans="1:15" s="404" customFormat="1">
      <c r="A2822" s="454"/>
      <c r="B2822" s="454"/>
      <c r="C2822" s="417"/>
      <c r="D2822" s="621"/>
      <c r="E2822" s="426"/>
      <c r="F2822" s="409"/>
      <c r="G2822" s="410"/>
      <c r="H2822" s="426"/>
      <c r="I2822" s="408"/>
      <c r="J2822" s="400"/>
      <c r="K2822" s="401"/>
      <c r="L2822" s="401"/>
    </row>
    <row r="2823" spans="1:15" s="670" customFormat="1" ht="134.25" customHeight="1">
      <c r="A2823" s="430">
        <f>A2786+1</f>
        <v>10</v>
      </c>
      <c r="B2823" s="454"/>
      <c r="C2823" s="1276" t="s">
        <v>1196</v>
      </c>
      <c r="D2823" s="1276"/>
      <c r="E2823" s="1276"/>
      <c r="F2823" s="1276"/>
      <c r="G2823" s="1276"/>
      <c r="H2823" s="1276"/>
      <c r="I2823" s="1276"/>
      <c r="J2823" s="472"/>
      <c r="K2823" s="497"/>
      <c r="L2823" s="497"/>
      <c r="M2823" s="498"/>
      <c r="N2823" s="498"/>
      <c r="O2823" s="498"/>
    </row>
    <row r="2824" spans="1:15" s="670" customFormat="1" ht="13">
      <c r="A2824" s="454"/>
      <c r="B2824" s="454"/>
      <c r="C2824" s="473" t="s">
        <v>1192</v>
      </c>
      <c r="D2824" s="426"/>
      <c r="E2824" s="426"/>
      <c r="F2824" s="426"/>
      <c r="G2824" s="426"/>
      <c r="H2824" s="426"/>
      <c r="I2824" s="409"/>
      <c r="J2824" s="472"/>
      <c r="K2824" s="497"/>
      <c r="L2824" s="497"/>
      <c r="M2824" s="498"/>
      <c r="N2824" s="498"/>
      <c r="O2824" s="498"/>
    </row>
    <row r="2825" spans="1:15" s="670" customFormat="1">
      <c r="A2825" s="454"/>
      <c r="B2825" s="454"/>
      <c r="C2825" s="417" t="s">
        <v>1167</v>
      </c>
      <c r="D2825" s="426"/>
      <c r="E2825" s="426"/>
      <c r="F2825" s="426"/>
      <c r="G2825" s="426"/>
      <c r="H2825" s="426"/>
      <c r="I2825" s="409"/>
      <c r="J2825" s="472"/>
      <c r="K2825" s="497"/>
      <c r="L2825" s="497"/>
      <c r="M2825" s="498"/>
      <c r="N2825" s="498"/>
      <c r="O2825" s="498"/>
    </row>
    <row r="2826" spans="1:15" s="670" customFormat="1" ht="13">
      <c r="A2826" s="454"/>
      <c r="B2826" s="454"/>
      <c r="C2826" s="427" t="s">
        <v>1168</v>
      </c>
      <c r="D2826" s="409"/>
      <c r="E2826" s="426"/>
      <c r="F2826" s="409"/>
      <c r="G2826" s="410"/>
      <c r="H2826" s="426"/>
      <c r="I2826" s="408"/>
      <c r="J2826" s="472"/>
      <c r="K2826" s="497"/>
      <c r="L2826" s="497"/>
      <c r="M2826" s="498"/>
      <c r="N2826" s="498"/>
      <c r="O2826" s="498"/>
    </row>
    <row r="2827" spans="1:15" s="670" customFormat="1" ht="50">
      <c r="A2827" s="454"/>
      <c r="B2827" s="454"/>
      <c r="C2827" s="417" t="s">
        <v>1197</v>
      </c>
      <c r="D2827" s="409">
        <v>10.5</v>
      </c>
      <c r="E2827" s="426" t="s">
        <v>62</v>
      </c>
      <c r="F2827" s="409">
        <v>840</v>
      </c>
      <c r="G2827" s="410">
        <v>1</v>
      </c>
      <c r="H2827" s="426" t="s">
        <v>62</v>
      </c>
      <c r="I2827" s="408">
        <f t="shared" ref="I2827:I2831" si="669">IF(G2827="",D2827*F2827,(D2827*F2827/G2827))</f>
        <v>8820</v>
      </c>
      <c r="J2827" s="472"/>
      <c r="K2827" s="497"/>
      <c r="L2827" s="497"/>
      <c r="M2827" s="498"/>
      <c r="N2827" s="498"/>
      <c r="O2827" s="498"/>
    </row>
    <row r="2828" spans="1:15" s="670" customFormat="1" ht="25">
      <c r="A2828" s="454"/>
      <c r="B2828" s="454"/>
      <c r="C2828" s="417" t="s">
        <v>1186</v>
      </c>
      <c r="D2828" s="409">
        <v>21.6</v>
      </c>
      <c r="E2828" s="426" t="s">
        <v>833</v>
      </c>
      <c r="F2828" s="409">
        <f>[161]LEAD!$N$6</f>
        <v>5200</v>
      </c>
      <c r="G2828" s="410">
        <v>1000</v>
      </c>
      <c r="H2828" s="426" t="s">
        <v>833</v>
      </c>
      <c r="I2828" s="408">
        <f t="shared" si="669"/>
        <v>112.32000000000002</v>
      </c>
      <c r="J2828" s="472"/>
      <c r="K2828" s="497"/>
      <c r="L2828" s="497"/>
      <c r="M2828" s="498"/>
      <c r="N2828" s="498"/>
      <c r="O2828" s="498"/>
    </row>
    <row r="2829" spans="1:15" s="670" customFormat="1">
      <c r="A2829" s="454"/>
      <c r="B2829" s="454"/>
      <c r="C2829" s="417" t="s">
        <v>1171</v>
      </c>
      <c r="D2829" s="409">
        <v>33</v>
      </c>
      <c r="E2829" s="426" t="s">
        <v>833</v>
      </c>
      <c r="F2829" s="409">
        <f>[161]LEAD!$N$6</f>
        <v>5200</v>
      </c>
      <c r="G2829" s="410">
        <v>1000</v>
      </c>
      <c r="H2829" s="426" t="s">
        <v>833</v>
      </c>
      <c r="I2829" s="408">
        <f t="shared" si="669"/>
        <v>171.6</v>
      </c>
      <c r="J2829" s="472"/>
      <c r="K2829" s="497"/>
      <c r="L2829" s="497"/>
      <c r="M2829" s="498"/>
      <c r="N2829" s="498"/>
      <c r="O2829" s="498"/>
    </row>
    <row r="2830" spans="1:15" s="670" customFormat="1">
      <c r="A2830" s="454"/>
      <c r="B2830" s="454"/>
      <c r="C2830" s="417" t="s">
        <v>1183</v>
      </c>
      <c r="D2830" s="409">
        <v>6</v>
      </c>
      <c r="E2830" s="426" t="s">
        <v>833</v>
      </c>
      <c r="F2830" s="409">
        <f>'[161]Civil-SOR'!$G$185</f>
        <v>34</v>
      </c>
      <c r="G2830" s="410">
        <v>1</v>
      </c>
      <c r="H2830" s="426" t="s">
        <v>312</v>
      </c>
      <c r="I2830" s="408">
        <f t="shared" si="669"/>
        <v>204</v>
      </c>
      <c r="J2830" s="472"/>
      <c r="K2830" s="497"/>
      <c r="L2830" s="497"/>
      <c r="M2830" s="498"/>
      <c r="N2830" s="498"/>
      <c r="O2830" s="498"/>
    </row>
    <row r="2831" spans="1:15" s="670" customFormat="1">
      <c r="A2831" s="454"/>
      <c r="B2831" s="454"/>
      <c r="C2831" s="417" t="s">
        <v>1173</v>
      </c>
      <c r="D2831" s="409">
        <v>0.12</v>
      </c>
      <c r="E2831" s="426" t="s">
        <v>57</v>
      </c>
      <c r="F2831" s="409">
        <f>[161]LEAD!$N$13</f>
        <v>2453.91</v>
      </c>
      <c r="G2831" s="410">
        <v>1</v>
      </c>
      <c r="H2831" s="426" t="s">
        <v>57</v>
      </c>
      <c r="I2831" s="408">
        <f t="shared" si="669"/>
        <v>294.46919999999994</v>
      </c>
      <c r="J2831" s="472"/>
      <c r="K2831" s="497"/>
      <c r="L2831" s="497"/>
      <c r="M2831" s="498"/>
      <c r="N2831" s="498"/>
      <c r="O2831" s="498"/>
    </row>
    <row r="2832" spans="1:15" s="670" customFormat="1" ht="13">
      <c r="A2832" s="454"/>
      <c r="B2832" s="454"/>
      <c r="C2832" s="427" t="s">
        <v>1073</v>
      </c>
      <c r="D2832" s="409"/>
      <c r="E2832" s="426"/>
      <c r="F2832" s="409"/>
      <c r="G2832" s="410"/>
      <c r="H2832" s="426"/>
      <c r="I2832" s="408"/>
      <c r="J2832" s="472"/>
      <c r="K2832" s="497"/>
      <c r="L2832" s="497"/>
      <c r="M2832" s="498"/>
      <c r="N2832" s="498"/>
      <c r="O2832" s="498"/>
    </row>
    <row r="2833" spans="1:15" s="670" customFormat="1">
      <c r="A2833" s="454"/>
      <c r="B2833" s="454"/>
      <c r="C2833" s="417" t="s">
        <v>1044</v>
      </c>
      <c r="D2833" s="409">
        <v>0.96</v>
      </c>
      <c r="E2833" s="426" t="s">
        <v>14</v>
      </c>
      <c r="F2833" s="409">
        <f>'[161]Civil-SOR'!$G$293</f>
        <v>580</v>
      </c>
      <c r="G2833" s="410">
        <v>1</v>
      </c>
      <c r="H2833" s="426" t="s">
        <v>572</v>
      </c>
      <c r="I2833" s="408">
        <f t="shared" ref="I2833:I2837" si="670">IF(G2833="",D2833*F2833,(D2833*F2833/G2833))</f>
        <v>556.79999999999995</v>
      </c>
      <c r="J2833" s="472"/>
      <c r="K2833" s="497"/>
      <c r="L2833" s="497"/>
      <c r="M2833" s="498"/>
      <c r="N2833" s="498"/>
      <c r="O2833" s="498"/>
    </row>
    <row r="2834" spans="1:15" s="670" customFormat="1">
      <c r="A2834" s="454"/>
      <c r="B2834" s="454"/>
      <c r="C2834" s="417" t="s">
        <v>1074</v>
      </c>
      <c r="D2834" s="409">
        <v>2.2400000000000002</v>
      </c>
      <c r="E2834" s="426" t="s">
        <v>14</v>
      </c>
      <c r="F2834" s="409">
        <f>'[161]Civil-SOR'!$G$302</f>
        <v>550</v>
      </c>
      <c r="G2834" s="410">
        <v>1</v>
      </c>
      <c r="H2834" s="426" t="s">
        <v>572</v>
      </c>
      <c r="I2834" s="408">
        <f t="shared" si="670"/>
        <v>1232.0000000000002</v>
      </c>
      <c r="J2834" s="472"/>
      <c r="K2834" s="497"/>
      <c r="L2834" s="497"/>
      <c r="M2834" s="498"/>
      <c r="N2834" s="498"/>
      <c r="O2834" s="498"/>
    </row>
    <row r="2835" spans="1:15" s="670" customFormat="1">
      <c r="A2835" s="454"/>
      <c r="B2835" s="454"/>
      <c r="C2835" s="417" t="s">
        <v>1174</v>
      </c>
      <c r="D2835" s="409">
        <v>3.3</v>
      </c>
      <c r="E2835" s="426" t="s">
        <v>14</v>
      </c>
      <c r="F2835" s="409">
        <f>'[161]Civil-SOR'!$G$307</f>
        <v>520</v>
      </c>
      <c r="G2835" s="410">
        <v>1</v>
      </c>
      <c r="H2835" s="426" t="s">
        <v>572</v>
      </c>
      <c r="I2835" s="408">
        <f t="shared" si="670"/>
        <v>1716</v>
      </c>
      <c r="J2835" s="472"/>
      <c r="K2835" s="497"/>
      <c r="L2835" s="497"/>
      <c r="M2835" s="498"/>
      <c r="N2835" s="498"/>
      <c r="O2835" s="498"/>
    </row>
    <row r="2836" spans="1:15" s="670" customFormat="1">
      <c r="A2836" s="454"/>
      <c r="B2836" s="454"/>
      <c r="C2836" s="417" t="str">
        <f>[161]Input!$C$47</f>
        <v>Add for MA @ 40%</v>
      </c>
      <c r="D2836" s="621">
        <f>[161]Input!$D$47</f>
        <v>0.4</v>
      </c>
      <c r="E2836" s="426"/>
      <c r="F2836" s="409">
        <f>SUM(I2833:I2835)</f>
        <v>3504.8</v>
      </c>
      <c r="G2836" s="410"/>
      <c r="H2836" s="426"/>
      <c r="I2836" s="408">
        <f t="shared" si="670"/>
        <v>1401.92</v>
      </c>
      <c r="J2836" s="472"/>
      <c r="K2836" s="497"/>
      <c r="L2836" s="497"/>
      <c r="M2836" s="498"/>
      <c r="N2836" s="498"/>
      <c r="O2836" s="498"/>
    </row>
    <row r="2837" spans="1:15" s="670" customFormat="1">
      <c r="A2837" s="454"/>
      <c r="B2837" s="454"/>
      <c r="C2837" s="417" t="s">
        <v>1046</v>
      </c>
      <c r="D2837" s="409">
        <v>0.01</v>
      </c>
      <c r="E2837" s="426"/>
      <c r="F2837" s="409">
        <f>SUM(I2827:I2836)</f>
        <v>14509.109199999999</v>
      </c>
      <c r="G2837" s="410"/>
      <c r="H2837" s="426"/>
      <c r="I2837" s="408">
        <f t="shared" si="670"/>
        <v>145.091092</v>
      </c>
      <c r="J2837" s="472"/>
      <c r="K2837" s="497"/>
      <c r="L2837" s="497"/>
      <c r="M2837" s="498"/>
      <c r="N2837" s="498"/>
      <c r="O2837" s="498"/>
    </row>
    <row r="2838" spans="1:15" s="670" customFormat="1" ht="13">
      <c r="A2838" s="454"/>
      <c r="B2838" s="454"/>
      <c r="C2838" s="427" t="s">
        <v>1184</v>
      </c>
      <c r="D2838" s="409"/>
      <c r="E2838" s="426"/>
      <c r="F2838" s="409"/>
      <c r="G2838" s="410"/>
      <c r="H2838" s="426"/>
      <c r="I2838" s="414">
        <f>SUM(I2827:I2837)</f>
        <v>14654.200292</v>
      </c>
      <c r="J2838" s="472"/>
      <c r="K2838" s="497"/>
      <c r="L2838" s="497"/>
      <c r="M2838" s="498"/>
      <c r="N2838" s="498"/>
      <c r="O2838" s="498"/>
    </row>
    <row r="2839" spans="1:15" s="670" customFormat="1">
      <c r="A2839" s="454"/>
      <c r="B2839" s="454"/>
      <c r="C2839" s="417"/>
      <c r="D2839" s="621"/>
      <c r="E2839" s="426"/>
      <c r="F2839" s="409"/>
      <c r="G2839" s="410"/>
      <c r="H2839" s="426"/>
      <c r="I2839" s="408"/>
      <c r="J2839" s="472"/>
      <c r="K2839" s="497"/>
      <c r="L2839" s="497"/>
      <c r="M2839" s="498"/>
      <c r="N2839" s="498"/>
      <c r="O2839" s="498"/>
    </row>
    <row r="2840" spans="1:15" s="670" customFormat="1">
      <c r="A2840" s="454"/>
      <c r="B2840" s="454"/>
      <c r="C2840" s="417"/>
      <c r="D2840" s="621"/>
      <c r="E2840" s="426"/>
      <c r="F2840" s="409"/>
      <c r="G2840" s="410"/>
      <c r="H2840" s="426"/>
      <c r="I2840" s="408"/>
      <c r="J2840" s="472"/>
      <c r="K2840" s="497"/>
      <c r="L2840" s="497"/>
      <c r="M2840" s="498"/>
      <c r="N2840" s="498"/>
      <c r="O2840" s="498"/>
    </row>
    <row r="2841" spans="1:15" s="670" customFormat="1" ht="13">
      <c r="A2841" s="454"/>
      <c r="B2841" s="454"/>
      <c r="C2841" s="427" t="s">
        <v>953</v>
      </c>
      <c r="D2841" s="414" t="s">
        <v>959</v>
      </c>
      <c r="E2841" s="416" t="s">
        <v>943</v>
      </c>
      <c r="F2841" s="415" t="s">
        <v>944</v>
      </c>
      <c r="G2841" s="414" t="s">
        <v>1036</v>
      </c>
      <c r="H2841" s="414" t="s">
        <v>1037</v>
      </c>
      <c r="I2841" s="414" t="s">
        <v>1038</v>
      </c>
      <c r="J2841" s="472"/>
      <c r="K2841" s="497"/>
      <c r="L2841" s="497"/>
      <c r="M2841" s="498"/>
      <c r="N2841" s="498"/>
      <c r="O2841" s="498"/>
    </row>
    <row r="2842" spans="1:15" s="670" customFormat="1">
      <c r="A2842" s="454"/>
      <c r="B2842" s="454"/>
      <c r="C2842" s="417" t="s">
        <v>1064</v>
      </c>
      <c r="D2842" s="408">
        <f>$I$2838</f>
        <v>14654.200292</v>
      </c>
      <c r="E2842" s="408">
        <f>$I$2837</f>
        <v>145.091092</v>
      </c>
      <c r="F2842" s="408">
        <f>$I$2838</f>
        <v>14654.200292</v>
      </c>
      <c r="G2842" s="408">
        <f>$I$2838</f>
        <v>14654.200292</v>
      </c>
      <c r="H2842" s="408">
        <f>$I$2838</f>
        <v>14654.200292</v>
      </c>
      <c r="I2842" s="408">
        <f>$I$2838</f>
        <v>14654.200292</v>
      </c>
      <c r="J2842" s="472"/>
      <c r="K2842" s="497"/>
      <c r="L2842" s="497"/>
      <c r="M2842" s="498"/>
      <c r="N2842" s="498"/>
      <c r="O2842" s="498"/>
    </row>
    <row r="2843" spans="1:15" s="670" customFormat="1">
      <c r="A2843" s="454"/>
      <c r="B2843" s="454"/>
      <c r="C2843" s="417" t="s">
        <v>994</v>
      </c>
      <c r="D2843" s="408">
        <v>0</v>
      </c>
      <c r="E2843" s="408">
        <f>ROUND($F$2745*10%,2)</f>
        <v>350.48</v>
      </c>
      <c r="F2843" s="408">
        <f>ROUND($F$2745*20%,2)</f>
        <v>700.96</v>
      </c>
      <c r="G2843" s="408">
        <f>ROUND($F$2745*30%,2)</f>
        <v>1051.44</v>
      </c>
      <c r="H2843" s="408">
        <f>ROUND($F$2745*40%,2)</f>
        <v>1401.92</v>
      </c>
      <c r="I2843" s="408">
        <f>ROUND($F$2745*50%,2)</f>
        <v>1752.4</v>
      </c>
      <c r="J2843" s="472"/>
      <c r="K2843" s="497"/>
      <c r="L2843" s="497"/>
      <c r="M2843" s="498"/>
      <c r="N2843" s="498"/>
      <c r="O2843" s="498"/>
    </row>
    <row r="2844" spans="1:15" s="670" customFormat="1">
      <c r="A2844" s="454"/>
      <c r="B2844" s="454"/>
      <c r="C2844" s="417">
        <f>[161]Input!C76</f>
        <v>0</v>
      </c>
      <c r="D2844" s="408">
        <f>D2843*[161]Input!$D$47</f>
        <v>0</v>
      </c>
      <c r="E2844" s="408">
        <f>E2843*[161]Input!$D$47</f>
        <v>140.19200000000001</v>
      </c>
      <c r="F2844" s="408">
        <f>F2843*[161]Input!$D$47</f>
        <v>280.38400000000001</v>
      </c>
      <c r="G2844" s="408">
        <f>G2843*[161]Input!$D$47</f>
        <v>420.57600000000002</v>
      </c>
      <c r="H2844" s="408">
        <f>H2843*[161]Input!$D$47</f>
        <v>560.76800000000003</v>
      </c>
      <c r="I2844" s="408">
        <f>I2843*[161]Input!$D$47</f>
        <v>700.96</v>
      </c>
      <c r="J2844" s="472"/>
      <c r="K2844" s="497"/>
      <c r="L2844" s="497"/>
      <c r="M2844" s="498"/>
      <c r="N2844" s="498"/>
      <c r="O2844" s="498"/>
    </row>
    <row r="2845" spans="1:15" s="670" customFormat="1">
      <c r="A2845" s="454"/>
      <c r="B2845" s="454"/>
      <c r="C2845" s="435"/>
      <c r="D2845" s="408">
        <f t="shared" ref="D2845:I2845" si="671">SUM(D2842:D2844)</f>
        <v>14654.200292</v>
      </c>
      <c r="E2845" s="408">
        <f t="shared" si="671"/>
        <v>635.76309200000003</v>
      </c>
      <c r="F2845" s="408">
        <f t="shared" si="671"/>
        <v>15635.544292</v>
      </c>
      <c r="G2845" s="408">
        <f t="shared" si="671"/>
        <v>16126.216292000001</v>
      </c>
      <c r="H2845" s="408">
        <f t="shared" si="671"/>
        <v>16616.888292</v>
      </c>
      <c r="I2845" s="408">
        <f t="shared" si="671"/>
        <v>17107.560291999998</v>
      </c>
      <c r="J2845" s="472"/>
      <c r="K2845" s="497"/>
      <c r="L2845" s="497"/>
      <c r="M2845" s="498"/>
      <c r="N2845" s="498"/>
      <c r="O2845" s="498"/>
    </row>
    <row r="2846" spans="1:15" s="670" customFormat="1" ht="25">
      <c r="A2846" s="454"/>
      <c r="B2846" s="454"/>
      <c r="C2846" s="417" t="str">
        <f>[161]Input!$C$48</f>
        <v>Overheads &amp; Contractors Profit @ 13.615%</v>
      </c>
      <c r="D2846" s="408">
        <f>ROUND(D2845*[161]Input!$D$48,2)</f>
        <v>1995.17</v>
      </c>
      <c r="E2846" s="408">
        <f>ROUND(E2845*[161]Input!$D$48,2)</f>
        <v>86.56</v>
      </c>
      <c r="F2846" s="408">
        <f>ROUND(F2845*[161]Input!$D$48,2)</f>
        <v>2128.7800000000002</v>
      </c>
      <c r="G2846" s="408">
        <f>ROUND(G2845*[161]Input!$D$48,2)</f>
        <v>2195.58</v>
      </c>
      <c r="H2846" s="408">
        <f>ROUND(H2845*[161]Input!$D$48,2)</f>
        <v>2262.39</v>
      </c>
      <c r="I2846" s="408">
        <f>ROUND(I2845*[161]Input!$D$48,2)</f>
        <v>2329.19</v>
      </c>
      <c r="J2846" s="472"/>
      <c r="K2846" s="497"/>
      <c r="L2846" s="497"/>
      <c r="M2846" s="498"/>
      <c r="N2846" s="498"/>
      <c r="O2846" s="498"/>
    </row>
    <row r="2847" spans="1:15" s="670" customFormat="1" ht="13">
      <c r="A2847" s="454"/>
      <c r="B2847" s="454"/>
      <c r="C2847" s="427" t="s">
        <v>1047</v>
      </c>
      <c r="D2847" s="414">
        <f t="shared" ref="D2847:I2847" si="672">SUM(D2845:D2846)</f>
        <v>16649.370292</v>
      </c>
      <c r="E2847" s="414">
        <f t="shared" si="672"/>
        <v>722.32309200000009</v>
      </c>
      <c r="F2847" s="414">
        <f t="shared" si="672"/>
        <v>17764.324292000001</v>
      </c>
      <c r="G2847" s="414">
        <f t="shared" si="672"/>
        <v>18321.796291999999</v>
      </c>
      <c r="H2847" s="414">
        <f t="shared" si="672"/>
        <v>18879.278291999999</v>
      </c>
      <c r="I2847" s="414">
        <f t="shared" si="672"/>
        <v>19436.750291999997</v>
      </c>
      <c r="J2847" s="472"/>
      <c r="K2847" s="497"/>
      <c r="L2847" s="497"/>
      <c r="M2847" s="498"/>
      <c r="N2847" s="498"/>
      <c r="O2847" s="498"/>
    </row>
    <row r="2848" spans="1:15" s="670" customFormat="1" ht="13">
      <c r="A2848" s="454"/>
      <c r="B2848" s="454"/>
      <c r="C2848" s="427" t="s">
        <v>845</v>
      </c>
      <c r="D2848" s="414">
        <f t="shared" ref="D2848:I2848" si="673">D2847/10</f>
        <v>1664.9370291999999</v>
      </c>
      <c r="E2848" s="414">
        <f t="shared" si="673"/>
        <v>72.232309200000003</v>
      </c>
      <c r="F2848" s="414">
        <f t="shared" si="673"/>
        <v>1776.4324292000001</v>
      </c>
      <c r="G2848" s="414">
        <f t="shared" si="673"/>
        <v>1832.1796291999999</v>
      </c>
      <c r="H2848" s="414">
        <f t="shared" si="673"/>
        <v>1887.9278291999999</v>
      </c>
      <c r="I2848" s="414">
        <f t="shared" si="673"/>
        <v>1943.6750291999997</v>
      </c>
      <c r="J2848" s="472"/>
      <c r="K2848" s="497"/>
      <c r="L2848" s="497"/>
      <c r="M2848" s="498"/>
      <c r="N2848" s="498"/>
      <c r="O2848" s="498"/>
    </row>
    <row r="2849" spans="1:15" s="670" customFormat="1" ht="13">
      <c r="A2849" s="454"/>
      <c r="B2849" s="454"/>
      <c r="C2849" s="514" t="s">
        <v>726</v>
      </c>
      <c r="D2849" s="416">
        <f t="shared" ref="D2849:I2849" si="674">ROUND(D2848,0)</f>
        <v>1665</v>
      </c>
      <c r="E2849" s="416">
        <f t="shared" si="674"/>
        <v>72</v>
      </c>
      <c r="F2849" s="416">
        <f t="shared" si="674"/>
        <v>1776</v>
      </c>
      <c r="G2849" s="416">
        <f t="shared" si="674"/>
        <v>1832</v>
      </c>
      <c r="H2849" s="416">
        <f t="shared" si="674"/>
        <v>1888</v>
      </c>
      <c r="I2849" s="416">
        <f t="shared" si="674"/>
        <v>1944</v>
      </c>
      <c r="J2849" s="472"/>
      <c r="K2849" s="497"/>
      <c r="L2849" s="497"/>
      <c r="M2849" s="498"/>
      <c r="N2849" s="498"/>
      <c r="O2849" s="498"/>
    </row>
    <row r="2850" spans="1:15" s="670" customFormat="1" ht="13">
      <c r="A2850" s="454"/>
      <c r="B2850" s="454"/>
      <c r="C2850" s="514"/>
      <c r="D2850" s="416"/>
      <c r="E2850" s="416"/>
      <c r="F2850" s="416"/>
      <c r="G2850" s="416"/>
      <c r="H2850" s="416"/>
      <c r="I2850" s="416"/>
      <c r="J2850" s="544"/>
      <c r="K2850" s="545"/>
      <c r="L2850" s="545"/>
      <c r="M2850" s="498"/>
      <c r="N2850" s="498"/>
      <c r="O2850" s="498"/>
    </row>
    <row r="2851" spans="1:15" s="670" customFormat="1" ht="13">
      <c r="A2851" s="454"/>
      <c r="B2851" s="454"/>
      <c r="C2851" s="514"/>
      <c r="D2851" s="414" t="s">
        <v>1118</v>
      </c>
      <c r="E2851" s="414" t="s">
        <v>1119</v>
      </c>
      <c r="F2851" s="414" t="s">
        <v>1120</v>
      </c>
      <c r="G2851" s="416"/>
      <c r="H2851" s="416"/>
      <c r="I2851" s="416"/>
      <c r="J2851" s="544"/>
      <c r="K2851" s="545"/>
      <c r="L2851" s="545"/>
      <c r="M2851" s="498"/>
      <c r="N2851" s="498"/>
      <c r="O2851" s="498"/>
    </row>
    <row r="2852" spans="1:15" s="670" customFormat="1" ht="13">
      <c r="A2852" s="454"/>
      <c r="B2852" s="454"/>
      <c r="C2852" s="514"/>
      <c r="D2852" s="408">
        <f>$I$2838</f>
        <v>14654.200292</v>
      </c>
      <c r="E2852" s="408">
        <f>$I$2837</f>
        <v>145.091092</v>
      </c>
      <c r="F2852" s="408">
        <f>$I$2838</f>
        <v>14654.200292</v>
      </c>
      <c r="G2852" s="416"/>
      <c r="H2852" s="416"/>
      <c r="I2852" s="416"/>
      <c r="J2852" s="544"/>
      <c r="K2852" s="545"/>
      <c r="L2852" s="545"/>
      <c r="M2852" s="498"/>
      <c r="N2852" s="498"/>
      <c r="O2852" s="498"/>
    </row>
    <row r="2853" spans="1:15" s="670" customFormat="1" ht="13">
      <c r="A2853" s="454"/>
      <c r="B2853" s="454"/>
      <c r="C2853" s="514"/>
      <c r="D2853" s="408">
        <f>ROUND($F$2745*60%,2)</f>
        <v>2102.88</v>
      </c>
      <c r="E2853" s="408">
        <f>ROUND($F$2745*70%,2)</f>
        <v>2453.36</v>
      </c>
      <c r="F2853" s="408">
        <f>ROUND($F$2745*80%,2)</f>
        <v>2803.84</v>
      </c>
      <c r="G2853" s="416"/>
      <c r="H2853" s="416"/>
      <c r="I2853" s="416"/>
      <c r="J2853" s="544"/>
      <c r="K2853" s="545"/>
      <c r="L2853" s="545"/>
      <c r="M2853" s="498"/>
      <c r="N2853" s="498"/>
      <c r="O2853" s="498"/>
    </row>
    <row r="2854" spans="1:15" s="670" customFormat="1" ht="13">
      <c r="A2854" s="454"/>
      <c r="B2854" s="454"/>
      <c r="C2854" s="514"/>
      <c r="D2854" s="408">
        <f>D2853*[161]Input!$D$47</f>
        <v>841.15200000000004</v>
      </c>
      <c r="E2854" s="408">
        <f>E2853*[161]Input!$D$47</f>
        <v>981.34400000000005</v>
      </c>
      <c r="F2854" s="408">
        <f>F2853*[161]Input!$D$47</f>
        <v>1121.5360000000001</v>
      </c>
      <c r="G2854" s="416"/>
      <c r="H2854" s="416"/>
      <c r="I2854" s="416"/>
      <c r="J2854" s="544"/>
      <c r="K2854" s="545"/>
      <c r="L2854" s="545"/>
      <c r="M2854" s="498"/>
      <c r="N2854" s="498"/>
      <c r="O2854" s="498"/>
    </row>
    <row r="2855" spans="1:15" s="670" customFormat="1" ht="13">
      <c r="A2855" s="454"/>
      <c r="B2855" s="454"/>
      <c r="C2855" s="514"/>
      <c r="D2855" s="408">
        <f>SUM(D2852:D2854)</f>
        <v>17598.232292000001</v>
      </c>
      <c r="E2855" s="408">
        <f>SUM(E2852:E2854)</f>
        <v>3579.7950920000003</v>
      </c>
      <c r="F2855" s="408">
        <f>SUM(F2852:F2854)</f>
        <v>18579.576291999998</v>
      </c>
      <c r="G2855" s="416"/>
      <c r="H2855" s="416"/>
      <c r="I2855" s="416"/>
      <c r="J2855" s="544"/>
      <c r="K2855" s="545"/>
      <c r="L2855" s="545"/>
      <c r="M2855" s="498"/>
      <c r="N2855" s="498"/>
      <c r="O2855" s="498"/>
    </row>
    <row r="2856" spans="1:15" s="670" customFormat="1" ht="13">
      <c r="A2856" s="454"/>
      <c r="B2856" s="454"/>
      <c r="C2856" s="514"/>
      <c r="D2856" s="408">
        <f>ROUND(D2855*[161]Input!$D$48,2)</f>
        <v>2396</v>
      </c>
      <c r="E2856" s="408">
        <f>ROUND(E2855*[161]Input!$D$48,2)</f>
        <v>487.39</v>
      </c>
      <c r="F2856" s="408">
        <f>ROUND(F2855*[161]Input!$D$48,2)</f>
        <v>2529.61</v>
      </c>
      <c r="G2856" s="416"/>
      <c r="H2856" s="416"/>
      <c r="I2856" s="416"/>
      <c r="J2856" s="544"/>
      <c r="K2856" s="545"/>
      <c r="L2856" s="545"/>
      <c r="M2856" s="498"/>
      <c r="N2856" s="498"/>
      <c r="O2856" s="498"/>
    </row>
    <row r="2857" spans="1:15" s="670" customFormat="1" ht="13">
      <c r="A2857" s="454"/>
      <c r="B2857" s="454"/>
      <c r="C2857" s="514"/>
      <c r="D2857" s="414">
        <f>SUM(D2855:D2856)</f>
        <v>19994.232292000001</v>
      </c>
      <c r="E2857" s="414">
        <f>SUM(E2855:E2856)</f>
        <v>4067.1850920000002</v>
      </c>
      <c r="F2857" s="414">
        <f>SUM(F2855:F2856)</f>
        <v>21109.186291999999</v>
      </c>
      <c r="G2857" s="416"/>
      <c r="H2857" s="416"/>
      <c r="I2857" s="416"/>
      <c r="J2857" s="544"/>
      <c r="K2857" s="545"/>
      <c r="L2857" s="545"/>
      <c r="M2857" s="498"/>
      <c r="N2857" s="498"/>
      <c r="O2857" s="498"/>
    </row>
    <row r="2858" spans="1:15" s="670" customFormat="1" ht="13">
      <c r="A2858" s="454"/>
      <c r="B2858" s="454"/>
      <c r="C2858" s="514"/>
      <c r="D2858" s="414">
        <f>D2857/10</f>
        <v>1999.4232292000002</v>
      </c>
      <c r="E2858" s="414">
        <f>E2857/10</f>
        <v>406.71850920000003</v>
      </c>
      <c r="F2858" s="414">
        <f>F2857/10</f>
        <v>2110.9186291999999</v>
      </c>
      <c r="G2858" s="416"/>
      <c r="H2858" s="416"/>
      <c r="I2858" s="416"/>
      <c r="J2858" s="544"/>
      <c r="K2858" s="545"/>
      <c r="L2858" s="545"/>
      <c r="M2858" s="498"/>
      <c r="N2858" s="498"/>
      <c r="O2858" s="498"/>
    </row>
    <row r="2859" spans="1:15" s="670" customFormat="1" ht="13">
      <c r="A2859" s="454"/>
      <c r="B2859" s="454"/>
      <c r="C2859" s="514"/>
      <c r="D2859" s="416">
        <f>ROUND(D2858,0)</f>
        <v>1999</v>
      </c>
      <c r="E2859" s="416">
        <f>ROUND(E2858,0)</f>
        <v>407</v>
      </c>
      <c r="F2859" s="416">
        <f>ROUND(F2858,0)</f>
        <v>2111</v>
      </c>
      <c r="G2859" s="416"/>
      <c r="H2859" s="416"/>
      <c r="I2859" s="416"/>
      <c r="J2859" s="544"/>
      <c r="K2859" s="545"/>
      <c r="L2859" s="545"/>
      <c r="M2859" s="498"/>
      <c r="N2859" s="498"/>
      <c r="O2859" s="498"/>
    </row>
    <row r="2860" spans="1:15" s="670" customFormat="1" ht="13">
      <c r="A2860" s="454"/>
      <c r="B2860" s="454"/>
      <c r="C2860" s="514"/>
      <c r="D2860" s="416"/>
      <c r="E2860" s="416"/>
      <c r="F2860" s="416"/>
      <c r="G2860" s="416"/>
      <c r="H2860" s="416"/>
      <c r="I2860" s="416"/>
      <c r="J2860" s="544"/>
      <c r="K2860" s="545"/>
      <c r="L2860" s="545"/>
      <c r="M2860" s="498"/>
      <c r="N2860" s="498"/>
      <c r="O2860" s="498"/>
    </row>
    <row r="2861" spans="1:15" s="670" customFormat="1" ht="115" customHeight="1">
      <c r="A2861" s="454">
        <f>A2786+1</f>
        <v>10</v>
      </c>
      <c r="B2861" s="454"/>
      <c r="C2861" s="1291" t="s">
        <v>1198</v>
      </c>
      <c r="D2861" s="1291"/>
      <c r="E2861" s="1291"/>
      <c r="F2861" s="1291"/>
      <c r="G2861" s="1291"/>
      <c r="H2861" s="1291"/>
      <c r="I2861" s="1291"/>
      <c r="J2861" s="472"/>
      <c r="K2861" s="497"/>
      <c r="L2861" s="497"/>
      <c r="M2861" s="498"/>
      <c r="N2861" s="498"/>
      <c r="O2861" s="498"/>
    </row>
    <row r="2862" spans="1:15" s="670" customFormat="1">
      <c r="A2862" s="454"/>
      <c r="B2862" s="454"/>
      <c r="C2862" s="417"/>
      <c r="D2862" s="621"/>
      <c r="E2862" s="426"/>
      <c r="F2862" s="409"/>
      <c r="G2862" s="410"/>
      <c r="H2862" s="426"/>
      <c r="I2862" s="408"/>
      <c r="J2862" s="472"/>
      <c r="K2862" s="497"/>
      <c r="L2862" s="497"/>
      <c r="M2862" s="498"/>
      <c r="N2862" s="498"/>
      <c r="O2862" s="498"/>
    </row>
    <row r="2863" spans="1:15" s="670" customFormat="1">
      <c r="A2863" s="454"/>
      <c r="B2863" s="454"/>
      <c r="C2863" s="417" t="s">
        <v>504</v>
      </c>
      <c r="D2863" s="408">
        <v>380</v>
      </c>
      <c r="E2863" s="408" t="s">
        <v>833</v>
      </c>
      <c r="F2863" s="408">
        <f>[161]LEAD!N6</f>
        <v>5200</v>
      </c>
      <c r="G2863" s="430">
        <v>1000</v>
      </c>
      <c r="H2863" s="456" t="str">
        <f t="shared" ref="H2863:H2866" si="675">IF(E2863="","",IF(E2863="No.","Each",IF(E2863="Nos.","Each",E2863)))</f>
        <v>Kgs</v>
      </c>
      <c r="I2863" s="408">
        <f t="shared" ref="I2863:I2866" si="676">IF(G2863="",D2863*F2863,(D2863*F2863/G2863))</f>
        <v>1976</v>
      </c>
      <c r="J2863" s="472"/>
      <c r="K2863" s="497"/>
      <c r="L2863" s="497"/>
      <c r="M2863" s="498"/>
      <c r="N2863" s="498"/>
      <c r="O2863" s="498"/>
    </row>
    <row r="2864" spans="1:15" s="670" customFormat="1">
      <c r="A2864" s="454"/>
      <c r="B2864" s="454"/>
      <c r="C2864" s="417" t="s">
        <v>1199</v>
      </c>
      <c r="D2864" s="408">
        <v>0.8</v>
      </c>
      <c r="E2864" s="408" t="s">
        <v>57</v>
      </c>
      <c r="F2864" s="408">
        <f>F16</f>
        <v>1447.96</v>
      </c>
      <c r="G2864" s="430">
        <v>1</v>
      </c>
      <c r="H2864" s="456" t="str">
        <f t="shared" si="675"/>
        <v>Cum</v>
      </c>
      <c r="I2864" s="408">
        <f t="shared" si="676"/>
        <v>1158.3680000000002</v>
      </c>
      <c r="J2864" s="472"/>
      <c r="K2864" s="497"/>
      <c r="L2864" s="497"/>
      <c r="M2864" s="498"/>
      <c r="N2864" s="498"/>
      <c r="O2864" s="498"/>
    </row>
    <row r="2865" spans="1:15" s="670" customFormat="1">
      <c r="A2865" s="454"/>
      <c r="B2865" s="454"/>
      <c r="C2865" s="417" t="s">
        <v>875</v>
      </c>
      <c r="D2865" s="408">
        <f>0.4</f>
        <v>0.4</v>
      </c>
      <c r="E2865" s="408" t="s">
        <v>57</v>
      </c>
      <c r="F2865" s="408">
        <f>[161]LEAD!N12</f>
        <v>2253.91</v>
      </c>
      <c r="G2865" s="430">
        <v>1</v>
      </c>
      <c r="H2865" s="456" t="str">
        <f t="shared" si="675"/>
        <v>Cum</v>
      </c>
      <c r="I2865" s="408">
        <f t="shared" si="676"/>
        <v>901.56399999999996</v>
      </c>
      <c r="J2865" s="472"/>
      <c r="K2865" s="497"/>
      <c r="L2865" s="497"/>
      <c r="M2865" s="498"/>
      <c r="N2865" s="498"/>
      <c r="O2865" s="498"/>
    </row>
    <row r="2866" spans="1:15" s="670" customFormat="1">
      <c r="A2866" s="454"/>
      <c r="B2866" s="454"/>
      <c r="C2866" s="417" t="s">
        <v>876</v>
      </c>
      <c r="D2866" s="408">
        <v>1.2</v>
      </c>
      <c r="E2866" s="408" t="s">
        <v>877</v>
      </c>
      <c r="F2866" s="408">
        <f>[161]Input!D53</f>
        <v>108</v>
      </c>
      <c r="G2866" s="408">
        <v>1</v>
      </c>
      <c r="H2866" s="456" t="str">
        <f t="shared" si="675"/>
        <v>kl</v>
      </c>
      <c r="I2866" s="408">
        <f t="shared" si="676"/>
        <v>129.6</v>
      </c>
      <c r="J2866" s="472"/>
      <c r="K2866" s="497"/>
      <c r="L2866" s="497"/>
      <c r="M2866" s="498"/>
      <c r="N2866" s="498"/>
      <c r="O2866" s="498"/>
    </row>
    <row r="2867" spans="1:15" s="670" customFormat="1" ht="13">
      <c r="A2867" s="454"/>
      <c r="B2867" s="454"/>
      <c r="C2867" s="427" t="s">
        <v>878</v>
      </c>
      <c r="D2867" s="426"/>
      <c r="E2867" s="426"/>
      <c r="F2867" s="426"/>
      <c r="G2867" s="426"/>
      <c r="H2867" s="426"/>
      <c r="I2867" s="426"/>
      <c r="J2867" s="472"/>
      <c r="K2867" s="497"/>
      <c r="L2867" s="497"/>
      <c r="M2867" s="498"/>
      <c r="N2867" s="498"/>
      <c r="O2867" s="498"/>
    </row>
    <row r="2868" spans="1:15" s="670" customFormat="1" ht="25">
      <c r="A2868" s="454"/>
      <c r="B2868" s="454"/>
      <c r="C2868" s="417" t="s">
        <v>1200</v>
      </c>
      <c r="D2868" s="408">
        <v>1</v>
      </c>
      <c r="E2868" s="408" t="s">
        <v>796</v>
      </c>
      <c r="F2868" s="408">
        <f>'[161]Civil-SOR'!G330</f>
        <v>192.9</v>
      </c>
      <c r="G2868" s="430">
        <v>1</v>
      </c>
      <c r="H2868" s="430" t="str">
        <f t="shared" ref="H2868:H2869" si="677">IF(E2868="","",IF(E2868="No.","Each",IF(E2868="Nos.","Each",E2868)))</f>
        <v>hours</v>
      </c>
      <c r="I2868" s="408">
        <f t="shared" ref="I2868:I2873" si="678">IF(G2868="",D2868*F2868,(D2868*F2868/G2868))</f>
        <v>192.9</v>
      </c>
      <c r="J2868" s="472"/>
      <c r="K2868" s="497"/>
      <c r="L2868" s="497"/>
      <c r="M2868" s="498"/>
      <c r="N2868" s="498"/>
      <c r="O2868" s="498"/>
    </row>
    <row r="2869" spans="1:15" s="670" customFormat="1">
      <c r="A2869" s="454"/>
      <c r="B2869" s="454"/>
      <c r="C2869" s="417" t="s">
        <v>828</v>
      </c>
      <c r="D2869" s="408">
        <v>1</v>
      </c>
      <c r="E2869" s="408" t="s">
        <v>796</v>
      </c>
      <c r="F2869" s="408">
        <f>'[161]Civil-SOR'!J330</f>
        <v>302.89999999999998</v>
      </c>
      <c r="G2869" s="430">
        <v>1</v>
      </c>
      <c r="H2869" s="430" t="str">
        <f t="shared" si="677"/>
        <v>hours</v>
      </c>
      <c r="I2869" s="408">
        <f t="shared" si="678"/>
        <v>302.89999999999998</v>
      </c>
      <c r="J2869" s="472"/>
      <c r="K2869" s="497"/>
      <c r="L2869" s="497"/>
      <c r="M2869" s="498"/>
      <c r="N2869" s="498"/>
      <c r="O2869" s="498"/>
    </row>
    <row r="2870" spans="1:15" s="670" customFormat="1">
      <c r="A2870" s="454"/>
      <c r="B2870" s="454"/>
      <c r="C2870" s="417" t="str">
        <f>[161]Input!$C$47</f>
        <v>Add for MA @ 40%</v>
      </c>
      <c r="D2870" s="621">
        <f>[161]Input!$D$47</f>
        <v>0.4</v>
      </c>
      <c r="E2870" s="454"/>
      <c r="F2870" s="408">
        <f>I2869</f>
        <v>302.89999999999998</v>
      </c>
      <c r="G2870" s="426"/>
      <c r="H2870" s="426"/>
      <c r="I2870" s="408">
        <f t="shared" si="678"/>
        <v>121.16</v>
      </c>
      <c r="J2870" s="472"/>
      <c r="K2870" s="497"/>
      <c r="L2870" s="497"/>
      <c r="M2870" s="498"/>
      <c r="N2870" s="498"/>
      <c r="O2870" s="498"/>
    </row>
    <row r="2871" spans="1:15" s="670" customFormat="1">
      <c r="A2871" s="454"/>
      <c r="B2871" s="454"/>
      <c r="C2871" s="417" t="s">
        <v>1201</v>
      </c>
      <c r="D2871" s="408">
        <v>1</v>
      </c>
      <c r="E2871" s="408" t="s">
        <v>796</v>
      </c>
      <c r="F2871" s="409">
        <f>'[161]Civil-SOR'!G332</f>
        <v>36.5</v>
      </c>
      <c r="G2871" s="430">
        <v>1</v>
      </c>
      <c r="H2871" s="430" t="str">
        <f t="shared" ref="H2871:H2872" si="679">IF(E2871="","",IF(E2871="No.","Each",IF(E2871="Nos.","Each",E2871)))</f>
        <v>hours</v>
      </c>
      <c r="I2871" s="408">
        <f t="shared" si="678"/>
        <v>36.5</v>
      </c>
      <c r="J2871" s="472"/>
      <c r="K2871" s="497"/>
      <c r="L2871" s="497"/>
      <c r="M2871" s="498"/>
      <c r="N2871" s="498"/>
      <c r="O2871" s="498"/>
    </row>
    <row r="2872" spans="1:15" s="670" customFormat="1">
      <c r="A2872" s="454"/>
      <c r="B2872" s="454"/>
      <c r="C2872" s="417" t="s">
        <v>828</v>
      </c>
      <c r="D2872" s="408">
        <v>1</v>
      </c>
      <c r="E2872" s="408" t="s">
        <v>796</v>
      </c>
      <c r="F2872" s="409">
        <f>'[161]Civil-SOR'!J332</f>
        <v>218</v>
      </c>
      <c r="G2872" s="430">
        <v>1</v>
      </c>
      <c r="H2872" s="430" t="str">
        <f t="shared" si="679"/>
        <v>hours</v>
      </c>
      <c r="I2872" s="408">
        <f t="shared" si="678"/>
        <v>218</v>
      </c>
      <c r="J2872" s="472"/>
      <c r="K2872" s="497"/>
      <c r="L2872" s="497"/>
      <c r="M2872" s="498"/>
      <c r="N2872" s="498"/>
      <c r="O2872" s="498"/>
    </row>
    <row r="2873" spans="1:15" s="670" customFormat="1">
      <c r="A2873" s="454"/>
      <c r="B2873" s="454"/>
      <c r="C2873" s="417" t="str">
        <f>[161]Input!$C$47</f>
        <v>Add for MA @ 40%</v>
      </c>
      <c r="D2873" s="621">
        <f>[161]Input!$D$47</f>
        <v>0.4</v>
      </c>
      <c r="E2873" s="454"/>
      <c r="F2873" s="408">
        <f>I2872</f>
        <v>218</v>
      </c>
      <c r="G2873" s="426"/>
      <c r="H2873" s="426"/>
      <c r="I2873" s="408">
        <f t="shared" si="678"/>
        <v>87.2</v>
      </c>
      <c r="J2873" s="472"/>
      <c r="K2873" s="497"/>
      <c r="L2873" s="497"/>
      <c r="M2873" s="498"/>
      <c r="N2873" s="498"/>
      <c r="O2873" s="498"/>
    </row>
    <row r="2874" spans="1:15" s="670" customFormat="1" ht="13">
      <c r="A2874" s="454"/>
      <c r="B2874" s="454"/>
      <c r="C2874" s="427" t="s">
        <v>880</v>
      </c>
      <c r="D2874" s="426"/>
      <c r="E2874" s="426"/>
      <c r="F2874" s="426"/>
      <c r="G2874" s="426"/>
      <c r="H2874" s="426"/>
      <c r="I2874" s="426"/>
      <c r="J2874" s="472"/>
      <c r="K2874" s="497"/>
      <c r="L2874" s="497"/>
      <c r="M2874" s="498"/>
      <c r="N2874" s="498"/>
      <c r="O2874" s="498"/>
    </row>
    <row r="2875" spans="1:15" s="670" customFormat="1">
      <c r="A2875" s="454"/>
      <c r="B2875" s="454"/>
      <c r="C2875" s="417" t="s">
        <v>1044</v>
      </c>
      <c r="D2875" s="408">
        <v>0.1</v>
      </c>
      <c r="E2875" s="454" t="s">
        <v>375</v>
      </c>
      <c r="F2875" s="408">
        <f>'[161]Civil-SOR'!G293</f>
        <v>580</v>
      </c>
      <c r="G2875" s="430">
        <v>1</v>
      </c>
      <c r="H2875" s="456" t="str">
        <f t="shared" ref="H2875:H2876" si="680">IF(E2875="","",IF(E2875="No.","Each",IF(E2875="Nos.","Each",E2875)))</f>
        <v>Each</v>
      </c>
      <c r="I2875" s="408">
        <f t="shared" ref="I2875:I2878" si="681">IF(G2875="",D2875*F2875,(D2875*F2875/G2875))</f>
        <v>58</v>
      </c>
      <c r="J2875" s="472"/>
      <c r="K2875" s="497"/>
      <c r="L2875" s="497"/>
      <c r="M2875" s="498"/>
      <c r="N2875" s="498"/>
      <c r="O2875" s="498"/>
    </row>
    <row r="2876" spans="1:15" s="670" customFormat="1">
      <c r="A2876" s="454"/>
      <c r="B2876" s="454"/>
      <c r="C2876" s="417" t="s">
        <v>1045</v>
      </c>
      <c r="D2876" s="408">
        <v>1.39</v>
      </c>
      <c r="E2876" s="454" t="s">
        <v>375</v>
      </c>
      <c r="F2876" s="408">
        <f>'[161]Civil-SOR'!G307</f>
        <v>520</v>
      </c>
      <c r="G2876" s="430">
        <v>1</v>
      </c>
      <c r="H2876" s="456" t="str">
        <f t="shared" si="680"/>
        <v>Each</v>
      </c>
      <c r="I2876" s="408">
        <f t="shared" si="681"/>
        <v>722.8</v>
      </c>
      <c r="J2876" s="472"/>
      <c r="K2876" s="497"/>
      <c r="L2876" s="497"/>
      <c r="M2876" s="498"/>
      <c r="N2876" s="498"/>
      <c r="O2876" s="498"/>
    </row>
    <row r="2877" spans="1:15" s="670" customFormat="1">
      <c r="A2877" s="454"/>
      <c r="B2877" s="454"/>
      <c r="C2877" s="417" t="str">
        <f>[161]Input!$C$47</f>
        <v>Add for MA @ 40%</v>
      </c>
      <c r="D2877" s="621">
        <f>[161]Input!$D$47</f>
        <v>0.4</v>
      </c>
      <c r="E2877" s="454"/>
      <c r="F2877" s="408">
        <f>SUM(I2875:I2876)</f>
        <v>780.8</v>
      </c>
      <c r="G2877" s="410"/>
      <c r="H2877" s="426"/>
      <c r="I2877" s="408">
        <f t="shared" si="681"/>
        <v>312.32</v>
      </c>
      <c r="J2877" s="472"/>
      <c r="K2877" s="497"/>
      <c r="L2877" s="497"/>
      <c r="M2877" s="498"/>
      <c r="N2877" s="498"/>
      <c r="O2877" s="498"/>
    </row>
    <row r="2878" spans="1:15" s="670" customFormat="1">
      <c r="A2878" s="454"/>
      <c r="B2878" s="454"/>
      <c r="C2878" s="417" t="s">
        <v>1046</v>
      </c>
      <c r="D2878" s="408">
        <v>0.01</v>
      </c>
      <c r="E2878" s="454"/>
      <c r="F2878" s="408">
        <f>SUM(I2863:I2877)</f>
        <v>6217.311999999999</v>
      </c>
      <c r="G2878" s="430"/>
      <c r="H2878" s="456"/>
      <c r="I2878" s="408">
        <f t="shared" si="681"/>
        <v>62.17311999999999</v>
      </c>
      <c r="J2878" s="472"/>
      <c r="K2878" s="497"/>
      <c r="L2878" s="497"/>
      <c r="M2878" s="498"/>
      <c r="N2878" s="498"/>
      <c r="O2878" s="498"/>
    </row>
    <row r="2879" spans="1:15" s="670" customFormat="1" ht="13">
      <c r="A2879" s="454"/>
      <c r="B2879" s="454"/>
      <c r="C2879" s="427" t="s">
        <v>724</v>
      </c>
      <c r="D2879" s="408"/>
      <c r="E2879" s="454"/>
      <c r="F2879" s="408"/>
      <c r="G2879" s="430"/>
      <c r="H2879" s="454"/>
      <c r="I2879" s="434">
        <f>SUM(I2863:I2878)</f>
        <v>6279.4851199999994</v>
      </c>
      <c r="J2879" s="472"/>
      <c r="K2879" s="497"/>
      <c r="L2879" s="497"/>
      <c r="M2879" s="498"/>
      <c r="N2879" s="498"/>
      <c r="O2879" s="498"/>
    </row>
    <row r="2880" spans="1:15" s="670" customFormat="1" ht="13">
      <c r="A2880" s="454"/>
      <c r="B2880" s="454"/>
      <c r="C2880" s="427"/>
      <c r="D2880" s="408"/>
      <c r="E2880" s="454"/>
      <c r="F2880" s="408"/>
      <c r="G2880" s="430"/>
      <c r="H2880" s="454"/>
      <c r="I2880" s="434"/>
      <c r="J2880" s="472"/>
      <c r="K2880" s="497"/>
      <c r="L2880" s="497"/>
      <c r="M2880" s="498"/>
      <c r="N2880" s="498"/>
      <c r="O2880" s="498"/>
    </row>
    <row r="2881" spans="1:15" s="670" customFormat="1">
      <c r="A2881" s="454"/>
      <c r="B2881" s="454"/>
      <c r="C2881" s="417" t="s">
        <v>1202</v>
      </c>
      <c r="D2881" s="408">
        <v>0.75</v>
      </c>
      <c r="E2881" s="408" t="s">
        <v>666</v>
      </c>
      <c r="F2881" s="408">
        <f>I2879</f>
        <v>6279.4851199999994</v>
      </c>
      <c r="G2881" s="430">
        <v>1</v>
      </c>
      <c r="H2881" s="454" t="s">
        <v>666</v>
      </c>
      <c r="I2881" s="408">
        <f t="shared" ref="I2881:I2888" si="682">IF(G2881="",D2881*F2881,(D2881*F2881/G2881))</f>
        <v>4709.61384</v>
      </c>
      <c r="J2881" s="472"/>
      <c r="K2881" s="497"/>
      <c r="L2881" s="497"/>
      <c r="M2881" s="498"/>
      <c r="N2881" s="498"/>
      <c r="O2881" s="498"/>
    </row>
    <row r="2882" spans="1:15" s="670" customFormat="1">
      <c r="A2882" s="454"/>
      <c r="B2882" s="454"/>
      <c r="C2882" s="445" t="s">
        <v>1203</v>
      </c>
      <c r="D2882" s="408">
        <f>D2881</f>
        <v>0.75</v>
      </c>
      <c r="E2882" s="408" t="s">
        <v>666</v>
      </c>
      <c r="F2882" s="408">
        <f>'[161]Civil-SOR'!F258</f>
        <v>72</v>
      </c>
      <c r="G2882" s="430">
        <v>1</v>
      </c>
      <c r="H2882" s="454" t="s">
        <v>666</v>
      </c>
      <c r="I2882" s="408">
        <f t="shared" si="682"/>
        <v>54</v>
      </c>
      <c r="J2882" s="472"/>
      <c r="K2882" s="497"/>
      <c r="L2882" s="497"/>
      <c r="M2882" s="498"/>
      <c r="N2882" s="498"/>
      <c r="O2882" s="498"/>
    </row>
    <row r="2883" spans="1:15" s="670" customFormat="1">
      <c r="A2883" s="454"/>
      <c r="B2883" s="454"/>
      <c r="C2883" s="445" t="s">
        <v>1204</v>
      </c>
      <c r="D2883" s="408">
        <f>D2881</f>
        <v>0.75</v>
      </c>
      <c r="E2883" s="408" t="s">
        <v>666</v>
      </c>
      <c r="F2883" s="408">
        <f>'[161]Civil-SOR'!G258</f>
        <v>392</v>
      </c>
      <c r="G2883" s="430">
        <v>1</v>
      </c>
      <c r="H2883" s="454" t="s">
        <v>666</v>
      </c>
      <c r="I2883" s="408">
        <f t="shared" si="682"/>
        <v>294</v>
      </c>
      <c r="J2883" s="472"/>
      <c r="K2883" s="497"/>
      <c r="L2883" s="497"/>
      <c r="M2883" s="498"/>
      <c r="N2883" s="498"/>
      <c r="O2883" s="498"/>
    </row>
    <row r="2884" spans="1:15" s="670" customFormat="1">
      <c r="A2884" s="454"/>
      <c r="B2884" s="454"/>
      <c r="C2884" s="417" t="str">
        <f>[161]Input!$C$47</f>
        <v>Add for MA @ 40%</v>
      </c>
      <c r="D2884" s="621">
        <f>[161]Input!$D$47</f>
        <v>0.4</v>
      </c>
      <c r="E2884" s="454"/>
      <c r="F2884" s="408">
        <f>I2883</f>
        <v>294</v>
      </c>
      <c r="G2884" s="426"/>
      <c r="H2884" s="426"/>
      <c r="I2884" s="408">
        <f t="shared" si="682"/>
        <v>117.60000000000001</v>
      </c>
      <c r="J2884" s="472"/>
      <c r="K2884" s="497"/>
      <c r="L2884" s="497"/>
      <c r="M2884" s="498"/>
      <c r="N2884" s="498"/>
      <c r="O2884" s="498"/>
    </row>
    <row r="2885" spans="1:15" s="670" customFormat="1">
      <c r="A2885" s="454"/>
      <c r="B2885" s="454"/>
      <c r="C2885" s="417" t="s">
        <v>1205</v>
      </c>
      <c r="D2885" s="408">
        <v>10</v>
      </c>
      <c r="E2885" s="408" t="s">
        <v>17</v>
      </c>
      <c r="F2885" s="671">
        <v>30</v>
      </c>
      <c r="G2885" s="430">
        <v>1</v>
      </c>
      <c r="H2885" s="454" t="s">
        <v>17</v>
      </c>
      <c r="I2885" s="408">
        <f t="shared" si="682"/>
        <v>300</v>
      </c>
      <c r="J2885" s="472"/>
      <c r="K2885" s="497"/>
      <c r="L2885" s="497"/>
      <c r="M2885" s="498"/>
      <c r="N2885" s="498"/>
      <c r="O2885" s="498"/>
    </row>
    <row r="2886" spans="1:15" s="670" customFormat="1">
      <c r="A2886" s="454"/>
      <c r="B2886" s="454"/>
      <c r="C2886" s="672" t="s">
        <v>1206</v>
      </c>
      <c r="D2886" s="408">
        <v>10</v>
      </c>
      <c r="E2886" s="408" t="s">
        <v>17</v>
      </c>
      <c r="F2886" s="671">
        <v>35</v>
      </c>
      <c r="G2886" s="430">
        <v>1</v>
      </c>
      <c r="H2886" s="454" t="s">
        <v>17</v>
      </c>
      <c r="I2886" s="408">
        <f t="shared" si="682"/>
        <v>350</v>
      </c>
      <c r="J2886" s="472"/>
      <c r="K2886" s="497"/>
      <c r="L2886" s="497"/>
      <c r="M2886" s="498"/>
      <c r="N2886" s="498"/>
      <c r="O2886" s="498"/>
    </row>
    <row r="2887" spans="1:15" s="670" customFormat="1">
      <c r="A2887" s="454"/>
      <c r="B2887" s="454"/>
      <c r="C2887" s="672" t="s">
        <v>1207</v>
      </c>
      <c r="D2887" s="408">
        <v>13</v>
      </c>
      <c r="E2887" s="408" t="s">
        <v>1052</v>
      </c>
      <c r="F2887" s="671">
        <v>40</v>
      </c>
      <c r="G2887" s="430">
        <v>1</v>
      </c>
      <c r="H2887" s="454" t="s">
        <v>1052</v>
      </c>
      <c r="I2887" s="408">
        <f t="shared" si="682"/>
        <v>520</v>
      </c>
      <c r="J2887" s="472"/>
      <c r="K2887" s="497"/>
      <c r="L2887" s="497"/>
      <c r="M2887" s="498"/>
      <c r="N2887" s="498"/>
      <c r="O2887" s="498"/>
    </row>
    <row r="2888" spans="1:15" s="670" customFormat="1">
      <c r="A2888" s="454"/>
      <c r="B2888" s="454"/>
      <c r="C2888" s="672" t="s">
        <v>1208</v>
      </c>
      <c r="D2888" s="408">
        <v>13</v>
      </c>
      <c r="E2888" s="408" t="s">
        <v>1052</v>
      </c>
      <c r="F2888" s="671">
        <v>35</v>
      </c>
      <c r="G2888" s="430">
        <v>1</v>
      </c>
      <c r="H2888" s="454" t="s">
        <v>1052</v>
      </c>
      <c r="I2888" s="408">
        <f t="shared" si="682"/>
        <v>455</v>
      </c>
      <c r="J2888" s="472"/>
      <c r="K2888" s="497"/>
      <c r="L2888" s="497"/>
      <c r="M2888" s="498"/>
      <c r="N2888" s="498"/>
      <c r="O2888" s="498"/>
    </row>
    <row r="2889" spans="1:15" s="670" customFormat="1" ht="13">
      <c r="A2889" s="454"/>
      <c r="B2889" s="454"/>
      <c r="C2889" s="673" t="s">
        <v>741</v>
      </c>
      <c r="D2889" s="408"/>
      <c r="E2889" s="454"/>
      <c r="F2889" s="408"/>
      <c r="G2889" s="430"/>
      <c r="H2889" s="454"/>
      <c r="I2889" s="414">
        <f>SUM(I2881:I2888)</f>
        <v>6800.2138400000003</v>
      </c>
      <c r="J2889" s="472"/>
      <c r="K2889" s="497"/>
      <c r="L2889" s="497"/>
      <c r="M2889" s="498"/>
      <c r="N2889" s="498"/>
      <c r="O2889" s="498"/>
    </row>
    <row r="2890" spans="1:15" s="670" customFormat="1" ht="25">
      <c r="A2890" s="454"/>
      <c r="B2890" s="454"/>
      <c r="C2890" s="417" t="str">
        <f>[161]Input!$C$48</f>
        <v>Overheads &amp; Contractors Profit @ 13.615%</v>
      </c>
      <c r="D2890" s="444">
        <f>[161]Input!$D$48</f>
        <v>0.13614999999999999</v>
      </c>
      <c r="E2890" s="408"/>
      <c r="F2890" s="408">
        <f>I2889</f>
        <v>6800.2138400000003</v>
      </c>
      <c r="G2890" s="430"/>
      <c r="H2890" s="415"/>
      <c r="I2890" s="408">
        <f>IF(G2890="",D2890*F2890,(D2890*F2890/G2890))</f>
        <v>925.84911431600005</v>
      </c>
      <c r="J2890" s="472"/>
      <c r="K2890" s="497"/>
      <c r="L2890" s="497"/>
      <c r="M2890" s="498"/>
      <c r="N2890" s="498"/>
      <c r="O2890" s="498"/>
    </row>
    <row r="2891" spans="1:15" s="670" customFormat="1" ht="13">
      <c r="A2891" s="454"/>
      <c r="B2891" s="454"/>
      <c r="C2891" s="673" t="s">
        <v>741</v>
      </c>
      <c r="D2891" s="408"/>
      <c r="E2891" s="454"/>
      <c r="F2891" s="408"/>
      <c r="G2891" s="430"/>
      <c r="H2891" s="454"/>
      <c r="I2891" s="408">
        <f>SUM(I2889:I2890)</f>
        <v>7726.0629543160003</v>
      </c>
      <c r="J2891" s="472"/>
      <c r="K2891" s="497"/>
      <c r="L2891" s="497"/>
      <c r="M2891" s="498"/>
      <c r="N2891" s="498"/>
      <c r="O2891" s="498"/>
    </row>
    <row r="2892" spans="1:15" s="670" customFormat="1" ht="13">
      <c r="A2892" s="454"/>
      <c r="B2892" s="454"/>
      <c r="C2892" s="674" t="s">
        <v>742</v>
      </c>
      <c r="D2892" s="408"/>
      <c r="E2892" s="408"/>
      <c r="F2892" s="408"/>
      <c r="G2892" s="430"/>
      <c r="H2892" s="454"/>
      <c r="I2892" s="408">
        <f>I2891/10</f>
        <v>772.60629543160007</v>
      </c>
      <c r="J2892" s="472"/>
      <c r="K2892" s="497"/>
      <c r="L2892" s="497"/>
      <c r="M2892" s="498"/>
      <c r="N2892" s="498"/>
      <c r="O2892" s="498"/>
    </row>
    <row r="2893" spans="1:15" s="670" customFormat="1" ht="13">
      <c r="A2893" s="454"/>
      <c r="B2893" s="454"/>
      <c r="C2893" s="674"/>
      <c r="D2893" s="408"/>
      <c r="E2893" s="408"/>
      <c r="F2893" s="408"/>
      <c r="G2893" s="430"/>
      <c r="H2893" s="415" t="s">
        <v>774</v>
      </c>
      <c r="I2893" s="416">
        <f>ROUND(I2892,0)</f>
        <v>773</v>
      </c>
      <c r="J2893" s="472"/>
      <c r="K2893" s="497"/>
      <c r="L2893" s="497"/>
      <c r="M2893" s="498"/>
      <c r="N2893" s="498"/>
      <c r="O2893" s="498"/>
    </row>
    <row r="2894" spans="1:15" s="670" customFormat="1">
      <c r="A2894" s="454"/>
      <c r="B2894" s="454"/>
      <c r="C2894" s="417"/>
      <c r="D2894" s="621"/>
      <c r="E2894" s="426"/>
      <c r="F2894" s="409"/>
      <c r="G2894" s="410"/>
      <c r="H2894" s="426"/>
      <c r="I2894" s="408"/>
      <c r="J2894" s="472"/>
      <c r="K2894" s="497"/>
      <c r="L2894" s="497"/>
      <c r="M2894" s="498"/>
      <c r="N2894" s="498"/>
      <c r="O2894" s="498"/>
    </row>
    <row r="2895" spans="1:15" s="670" customFormat="1" ht="39" customHeight="1">
      <c r="A2895" s="430">
        <f>A2823+1</f>
        <v>11</v>
      </c>
      <c r="B2895" s="454"/>
      <c r="C2895" s="1298" t="s">
        <v>1209</v>
      </c>
      <c r="D2895" s="1298"/>
      <c r="E2895" s="1298"/>
      <c r="F2895" s="1298"/>
      <c r="G2895" s="1298"/>
      <c r="H2895" s="1298"/>
      <c r="I2895" s="1298"/>
      <c r="J2895" s="472"/>
      <c r="K2895" s="497"/>
      <c r="L2895" s="497"/>
      <c r="M2895" s="498"/>
      <c r="N2895" s="498"/>
      <c r="O2895" s="498"/>
    </row>
    <row r="2896" spans="1:15" s="670" customFormat="1" ht="25">
      <c r="A2896" s="426"/>
      <c r="B2896" s="426"/>
      <c r="C2896" s="417" t="s">
        <v>1210</v>
      </c>
      <c r="D2896" s="675">
        <v>1</v>
      </c>
      <c r="E2896" s="454" t="s">
        <v>62</v>
      </c>
      <c r="F2896" s="671">
        <v>1229</v>
      </c>
      <c r="G2896" s="454">
        <v>1</v>
      </c>
      <c r="H2896" s="456" t="str">
        <f>IF(E2896="","",IF(E2896="No.","Each",IF(E2896="Nos.","Each",E2896)))</f>
        <v>Sqm</v>
      </c>
      <c r="I2896" s="408">
        <f>IF(G2896="",D2896*F2896,(D2896*F2896/G2896))</f>
        <v>1229</v>
      </c>
      <c r="J2896" s="472"/>
      <c r="K2896" s="497"/>
      <c r="L2896" s="497"/>
      <c r="M2896" s="498"/>
      <c r="N2896" s="498"/>
      <c r="O2896" s="498"/>
    </row>
    <row r="2897" spans="1:15" s="670" customFormat="1" ht="13">
      <c r="A2897" s="426"/>
      <c r="B2897" s="426"/>
      <c r="C2897" s="427" t="s">
        <v>1211</v>
      </c>
      <c r="D2897" s="409"/>
      <c r="E2897" s="426"/>
      <c r="F2897" s="409"/>
      <c r="G2897" s="410"/>
      <c r="H2897" s="426"/>
      <c r="I2897" s="409">
        <f>SUM(I2896:I2896)</f>
        <v>1229</v>
      </c>
      <c r="J2897" s="472"/>
      <c r="K2897" s="497"/>
      <c r="L2897" s="497"/>
      <c r="M2897" s="498"/>
      <c r="N2897" s="498"/>
      <c r="O2897" s="498"/>
    </row>
    <row r="2898" spans="1:15" s="670" customFormat="1" ht="25">
      <c r="A2898" s="406"/>
      <c r="B2898" s="406"/>
      <c r="C2898" s="417" t="str">
        <f>[161]Input!$C$48</f>
        <v>Overheads &amp; Contractors Profit @ 13.615%</v>
      </c>
      <c r="D2898" s="444">
        <f>[161]Input!$D$48</f>
        <v>0.13614999999999999</v>
      </c>
      <c r="E2898" s="459"/>
      <c r="F2898" s="459">
        <f>I2897</f>
        <v>1229</v>
      </c>
      <c r="G2898" s="460"/>
      <c r="H2898" s="406"/>
      <c r="I2898" s="459">
        <f>IF(G2898="",D2898*F2898,(D2898*F2898/G2898))</f>
        <v>167.32835</v>
      </c>
      <c r="J2898" s="582"/>
      <c r="K2898" s="562"/>
      <c r="L2898" s="562"/>
      <c r="M2898" s="583"/>
      <c r="N2898" s="583"/>
      <c r="O2898" s="583"/>
    </row>
    <row r="2899" spans="1:15" s="670" customFormat="1" ht="13">
      <c r="A2899" s="426"/>
      <c r="B2899" s="426"/>
      <c r="C2899" s="417"/>
      <c r="D2899" s="408"/>
      <c r="E2899" s="408"/>
      <c r="F2899" s="408"/>
      <c r="G2899" s="430"/>
      <c r="H2899" s="474"/>
      <c r="I2899" s="414">
        <f>SUM(I2897:I2898)</f>
        <v>1396.32835</v>
      </c>
      <c r="J2899" s="472"/>
      <c r="K2899" s="497"/>
      <c r="L2899" s="497"/>
      <c r="M2899" s="498"/>
      <c r="N2899" s="498"/>
      <c r="O2899" s="498"/>
    </row>
    <row r="2900" spans="1:15" s="670" customFormat="1" ht="13">
      <c r="A2900" s="426"/>
      <c r="B2900" s="426"/>
      <c r="C2900" s="417"/>
      <c r="D2900" s="408"/>
      <c r="E2900" s="408"/>
      <c r="F2900" s="408"/>
      <c r="G2900" s="430"/>
      <c r="H2900" s="474" t="s">
        <v>774</v>
      </c>
      <c r="I2900" s="414">
        <f>ROUND(I2899,0)</f>
        <v>1396</v>
      </c>
      <c r="J2900" s="472"/>
      <c r="K2900" s="497"/>
      <c r="L2900" s="497"/>
      <c r="M2900" s="498"/>
      <c r="N2900" s="498"/>
      <c r="O2900" s="498"/>
    </row>
    <row r="2901" spans="1:15" s="670" customFormat="1">
      <c r="A2901" s="454"/>
      <c r="B2901" s="454"/>
      <c r="C2901" s="417"/>
      <c r="D2901" s="621"/>
      <c r="E2901" s="426"/>
      <c r="F2901" s="409"/>
      <c r="G2901" s="410"/>
      <c r="H2901" s="426"/>
      <c r="I2901" s="408"/>
      <c r="J2901" s="472"/>
      <c r="K2901" s="497"/>
      <c r="L2901" s="497"/>
      <c r="M2901" s="498"/>
      <c r="N2901" s="498"/>
      <c r="O2901" s="498"/>
    </row>
    <row r="2902" spans="1:15" s="670" customFormat="1" ht="25.4" customHeight="1">
      <c r="A2902" s="430">
        <f>A2786+1</f>
        <v>10</v>
      </c>
      <c r="B2902" s="454"/>
      <c r="C2902" s="1298" t="s">
        <v>1212</v>
      </c>
      <c r="D2902" s="1298"/>
      <c r="E2902" s="1298"/>
      <c r="F2902" s="1298"/>
      <c r="G2902" s="1298"/>
      <c r="H2902" s="1298"/>
      <c r="I2902" s="1298"/>
      <c r="J2902" s="472"/>
      <c r="K2902" s="497"/>
      <c r="L2902" s="497"/>
      <c r="M2902" s="498"/>
      <c r="N2902" s="498"/>
      <c r="O2902" s="498"/>
    </row>
    <row r="2903" spans="1:15" s="670" customFormat="1" ht="37.5">
      <c r="A2903" s="426"/>
      <c r="B2903" s="426"/>
      <c r="C2903" s="417" t="s">
        <v>1213</v>
      </c>
      <c r="D2903" s="675">
        <v>1</v>
      </c>
      <c r="E2903" s="454" t="s">
        <v>62</v>
      </c>
      <c r="F2903" s="671">
        <v>760</v>
      </c>
      <c r="G2903" s="454">
        <v>1</v>
      </c>
      <c r="H2903" s="456" t="str">
        <f>IF(E2903="","",IF(E2903="No.","Each",IF(E2903="Nos.","Each",E2903)))</f>
        <v>Sqm</v>
      </c>
      <c r="I2903" s="408">
        <f>IF(G2903="",D2903*F2903,(D2903*F2903/G2903))</f>
        <v>760</v>
      </c>
      <c r="J2903" s="472"/>
      <c r="K2903" s="497"/>
      <c r="L2903" s="497"/>
      <c r="M2903" s="498"/>
      <c r="N2903" s="498"/>
      <c r="O2903" s="498"/>
    </row>
    <row r="2904" spans="1:15" s="670" customFormat="1" ht="13">
      <c r="A2904" s="426"/>
      <c r="B2904" s="426"/>
      <c r="C2904" s="427" t="s">
        <v>1211</v>
      </c>
      <c r="D2904" s="409"/>
      <c r="E2904" s="426"/>
      <c r="F2904" s="409"/>
      <c r="G2904" s="410"/>
      <c r="H2904" s="426"/>
      <c r="I2904" s="409">
        <f>SUM(I2903:I2903)</f>
        <v>760</v>
      </c>
      <c r="J2904" s="472"/>
      <c r="K2904" s="497"/>
      <c r="L2904" s="497"/>
      <c r="M2904" s="498"/>
      <c r="N2904" s="498"/>
      <c r="O2904" s="498"/>
    </row>
    <row r="2905" spans="1:15" s="670" customFormat="1" ht="25">
      <c r="A2905" s="406"/>
      <c r="B2905" s="406"/>
      <c r="C2905" s="417" t="str">
        <f>[161]Input!$C$48</f>
        <v>Overheads &amp; Contractors Profit @ 13.615%</v>
      </c>
      <c r="D2905" s="444">
        <f>[161]Input!$D$48</f>
        <v>0.13614999999999999</v>
      </c>
      <c r="E2905" s="459"/>
      <c r="F2905" s="459">
        <f>I2904</f>
        <v>760</v>
      </c>
      <c r="G2905" s="460"/>
      <c r="H2905" s="406"/>
      <c r="I2905" s="459">
        <f>IF(G2905="",D2905*F2905,(D2905*F2905/G2905))</f>
        <v>103.47399999999999</v>
      </c>
      <c r="J2905" s="582"/>
      <c r="K2905" s="562"/>
      <c r="L2905" s="562"/>
      <c r="M2905" s="583"/>
      <c r="N2905" s="583"/>
      <c r="O2905" s="583"/>
    </row>
    <row r="2906" spans="1:15" s="670" customFormat="1" ht="13">
      <c r="A2906" s="426"/>
      <c r="B2906" s="426"/>
      <c r="C2906" s="417"/>
      <c r="D2906" s="408"/>
      <c r="E2906" s="408"/>
      <c r="F2906" s="408"/>
      <c r="G2906" s="430"/>
      <c r="H2906" s="474"/>
      <c r="I2906" s="414">
        <f>SUM(I2904:I2905)</f>
        <v>863.47399999999993</v>
      </c>
      <c r="J2906" s="472"/>
      <c r="K2906" s="497"/>
      <c r="L2906" s="497"/>
      <c r="M2906" s="498"/>
      <c r="N2906" s="498"/>
      <c r="O2906" s="498"/>
    </row>
    <row r="2907" spans="1:15" s="670" customFormat="1" ht="13">
      <c r="A2907" s="426"/>
      <c r="B2907" s="426"/>
      <c r="C2907" s="417"/>
      <c r="D2907" s="408"/>
      <c r="E2907" s="408"/>
      <c r="F2907" s="408"/>
      <c r="G2907" s="430"/>
      <c r="H2907" s="474" t="s">
        <v>774</v>
      </c>
      <c r="I2907" s="414">
        <f>ROUND(I2906,0)</f>
        <v>863</v>
      </c>
      <c r="J2907" s="472"/>
      <c r="K2907" s="497"/>
      <c r="L2907" s="497"/>
      <c r="M2907" s="498"/>
      <c r="N2907" s="498"/>
      <c r="O2907" s="498"/>
    </row>
    <row r="2908" spans="1:15" s="670" customFormat="1" ht="60.4" customHeight="1">
      <c r="A2908" s="410">
        <f>A2902+1</f>
        <v>11</v>
      </c>
      <c r="B2908" s="426"/>
      <c r="C2908" s="1276" t="s">
        <v>1214</v>
      </c>
      <c r="D2908" s="1276"/>
      <c r="E2908" s="1276"/>
      <c r="F2908" s="1276"/>
      <c r="G2908" s="1276"/>
      <c r="H2908" s="1276"/>
      <c r="I2908" s="1276"/>
      <c r="J2908" s="472"/>
      <c r="K2908" s="497"/>
      <c r="L2908" s="497"/>
      <c r="M2908" s="498"/>
      <c r="N2908" s="498"/>
      <c r="O2908" s="498"/>
    </row>
    <row r="2909" spans="1:15" s="670" customFormat="1" ht="13">
      <c r="A2909" s="426"/>
      <c r="B2909" s="426"/>
      <c r="C2909" s="427" t="s">
        <v>1215</v>
      </c>
      <c r="D2909" s="409"/>
      <c r="E2909" s="426"/>
      <c r="F2909" s="409"/>
      <c r="G2909" s="410"/>
      <c r="H2909" s="426"/>
      <c r="I2909" s="409"/>
      <c r="J2909" s="472"/>
      <c r="K2909" s="497"/>
      <c r="L2909" s="497"/>
      <c r="M2909" s="498"/>
      <c r="N2909" s="498"/>
      <c r="O2909" s="498"/>
    </row>
    <row r="2910" spans="1:15" s="670" customFormat="1" ht="25">
      <c r="A2910" s="426"/>
      <c r="B2910" s="426"/>
      <c r="C2910" s="417" t="s">
        <v>1216</v>
      </c>
      <c r="D2910" s="409">
        <v>1</v>
      </c>
      <c r="E2910" s="426" t="s">
        <v>62</v>
      </c>
      <c r="F2910" s="409">
        <v>1427</v>
      </c>
      <c r="G2910" s="410">
        <v>1</v>
      </c>
      <c r="H2910" s="676" t="s">
        <v>62</v>
      </c>
      <c r="I2910" s="408">
        <f t="shared" ref="I2910:I2911" si="683">IF(G2910="",D2910*F2910,(D2910*F2910/G2910))</f>
        <v>1427</v>
      </c>
      <c r="J2910" s="472"/>
      <c r="K2910" s="497"/>
      <c r="L2910" s="497"/>
      <c r="M2910" s="498"/>
      <c r="N2910" s="498"/>
      <c r="O2910" s="498"/>
    </row>
    <row r="2911" spans="1:15" s="670" customFormat="1" ht="25">
      <c r="A2911" s="426"/>
      <c r="B2911" s="426"/>
      <c r="C2911" s="417" t="str">
        <f>[161]Input!$C$48</f>
        <v>Overheads &amp; Contractors Profit @ 13.615%</v>
      </c>
      <c r="D2911" s="444">
        <f>[161]Input!$D$48</f>
        <v>0.13614999999999999</v>
      </c>
      <c r="E2911" s="426"/>
      <c r="F2911" s="409">
        <f>I2910</f>
        <v>1427</v>
      </c>
      <c r="G2911" s="410"/>
      <c r="H2911" s="426"/>
      <c r="I2911" s="408">
        <f t="shared" si="683"/>
        <v>194.28604999999999</v>
      </c>
      <c r="J2911" s="472"/>
      <c r="K2911" s="497"/>
      <c r="L2911" s="497"/>
      <c r="M2911" s="498"/>
      <c r="N2911" s="498"/>
      <c r="O2911" s="498"/>
    </row>
    <row r="2912" spans="1:15" s="670" customFormat="1" ht="13">
      <c r="A2912" s="426"/>
      <c r="B2912" s="426"/>
      <c r="C2912" s="427" t="s">
        <v>742</v>
      </c>
      <c r="D2912" s="409"/>
      <c r="E2912" s="426"/>
      <c r="F2912" s="409"/>
      <c r="G2912" s="410"/>
      <c r="H2912" s="426"/>
      <c r="I2912" s="408">
        <f>SUM(I2910:I2911)</f>
        <v>1621.2860499999999</v>
      </c>
      <c r="J2912" s="472"/>
      <c r="K2912" s="497"/>
      <c r="L2912" s="497"/>
      <c r="M2912" s="498"/>
      <c r="N2912" s="498"/>
      <c r="O2912" s="498"/>
    </row>
    <row r="2913" spans="1:15" s="670" customFormat="1" ht="13">
      <c r="A2913" s="426"/>
      <c r="B2913" s="426"/>
      <c r="C2913" s="417"/>
      <c r="D2913" s="409"/>
      <c r="E2913" s="426"/>
      <c r="F2913" s="409"/>
      <c r="G2913" s="410"/>
      <c r="H2913" s="474" t="s">
        <v>774</v>
      </c>
      <c r="I2913" s="492">
        <f>ROUND(I2912,0)</f>
        <v>1621</v>
      </c>
      <c r="J2913" s="472"/>
      <c r="K2913" s="497"/>
      <c r="L2913" s="497"/>
      <c r="M2913" s="498"/>
      <c r="N2913" s="498"/>
      <c r="O2913" s="498"/>
    </row>
    <row r="2914" spans="1:15" s="670" customFormat="1">
      <c r="A2914" s="454"/>
      <c r="B2914" s="454"/>
      <c r="C2914" s="417"/>
      <c r="D2914" s="621"/>
      <c r="E2914" s="426"/>
      <c r="F2914" s="409"/>
      <c r="G2914" s="410"/>
      <c r="H2914" s="426"/>
      <c r="I2914" s="408"/>
      <c r="J2914" s="472"/>
      <c r="K2914" s="497"/>
      <c r="L2914" s="497"/>
      <c r="M2914" s="498"/>
      <c r="N2914" s="498"/>
      <c r="O2914" s="498"/>
    </row>
    <row r="2915" spans="1:15" s="670" customFormat="1" ht="36.65" customHeight="1">
      <c r="A2915" s="410">
        <f>A2908+1</f>
        <v>12</v>
      </c>
      <c r="B2915" s="426"/>
      <c r="C2915" s="1291" t="s">
        <v>1217</v>
      </c>
      <c r="D2915" s="1291"/>
      <c r="E2915" s="1291"/>
      <c r="F2915" s="1291"/>
      <c r="G2915" s="1291"/>
      <c r="H2915" s="1291"/>
      <c r="I2915" s="1291"/>
      <c r="J2915" s="472"/>
      <c r="K2915" s="497"/>
      <c r="L2915" s="497"/>
      <c r="M2915" s="498"/>
      <c r="N2915" s="498"/>
      <c r="O2915" s="498"/>
    </row>
    <row r="2916" spans="1:15" s="670" customFormat="1" ht="25">
      <c r="A2916" s="426"/>
      <c r="B2916" s="426"/>
      <c r="C2916" s="417" t="s">
        <v>1218</v>
      </c>
      <c r="D2916" s="409">
        <v>1</v>
      </c>
      <c r="E2916" s="426" t="s">
        <v>1052</v>
      </c>
      <c r="F2916" s="409">
        <v>145</v>
      </c>
      <c r="G2916" s="410">
        <v>1</v>
      </c>
      <c r="H2916" s="426" t="s">
        <v>1052</v>
      </c>
      <c r="I2916" s="408">
        <f t="shared" ref="I2916:I2917" si="684">IF(G2916="",D2916*F2916,(D2916*F2916/G2916))</f>
        <v>145</v>
      </c>
      <c r="J2916" s="472"/>
      <c r="K2916" s="497"/>
      <c r="L2916" s="497"/>
      <c r="M2916" s="498"/>
      <c r="N2916" s="498"/>
      <c r="O2916" s="498"/>
    </row>
    <row r="2917" spans="1:15" s="670" customFormat="1" ht="25">
      <c r="A2917" s="426"/>
      <c r="B2917" s="426"/>
      <c r="C2917" s="417" t="str">
        <f>[161]Input!$C$48</f>
        <v>Overheads &amp; Contractors Profit @ 13.615%</v>
      </c>
      <c r="D2917" s="444">
        <f>[161]Input!$D$48</f>
        <v>0.13614999999999999</v>
      </c>
      <c r="E2917" s="426"/>
      <c r="F2917" s="409">
        <f>I2916</f>
        <v>145</v>
      </c>
      <c r="G2917" s="410"/>
      <c r="H2917" s="426"/>
      <c r="I2917" s="408">
        <f t="shared" si="684"/>
        <v>19.74175</v>
      </c>
      <c r="J2917" s="472"/>
      <c r="K2917" s="497"/>
      <c r="L2917" s="497"/>
      <c r="M2917" s="498"/>
      <c r="N2917" s="498"/>
      <c r="O2917" s="498"/>
    </row>
    <row r="2918" spans="1:15" s="670" customFormat="1" ht="13">
      <c r="A2918" s="426"/>
      <c r="B2918" s="426"/>
      <c r="C2918" s="427" t="s">
        <v>1032</v>
      </c>
      <c r="D2918" s="409"/>
      <c r="E2918" s="426"/>
      <c r="F2918" s="409"/>
      <c r="G2918" s="410"/>
      <c r="H2918" s="426"/>
      <c r="I2918" s="408">
        <f>SUM(I2916:I2917)</f>
        <v>164.74175</v>
      </c>
      <c r="J2918" s="472"/>
      <c r="K2918" s="497"/>
      <c r="L2918" s="497"/>
      <c r="M2918" s="498"/>
      <c r="N2918" s="498"/>
      <c r="O2918" s="498"/>
    </row>
    <row r="2919" spans="1:15" s="670" customFormat="1" ht="13">
      <c r="A2919" s="426"/>
      <c r="B2919" s="426"/>
      <c r="C2919" s="417"/>
      <c r="D2919" s="409"/>
      <c r="E2919" s="426"/>
      <c r="F2919" s="409"/>
      <c r="G2919" s="410"/>
      <c r="H2919" s="474" t="s">
        <v>774</v>
      </c>
      <c r="I2919" s="492">
        <f>ROUND(I2918,0)</f>
        <v>165</v>
      </c>
      <c r="J2919" s="472"/>
      <c r="K2919" s="497"/>
      <c r="L2919" s="497"/>
      <c r="M2919" s="498"/>
      <c r="N2919" s="498"/>
      <c r="O2919" s="498"/>
    </row>
    <row r="2920" spans="1:15" s="670" customFormat="1">
      <c r="A2920" s="454"/>
      <c r="B2920" s="454"/>
      <c r="C2920" s="417"/>
      <c r="D2920" s="621"/>
      <c r="E2920" s="426"/>
      <c r="F2920" s="409"/>
      <c r="G2920" s="410"/>
      <c r="H2920" s="426"/>
      <c r="I2920" s="408"/>
      <c r="J2920" s="472"/>
      <c r="K2920" s="497"/>
      <c r="L2920" s="497"/>
      <c r="M2920" s="498"/>
      <c r="N2920" s="498"/>
      <c r="O2920" s="498"/>
    </row>
    <row r="2921" spans="1:15" s="670" customFormat="1" ht="81.400000000000006" customHeight="1">
      <c r="A2921" s="430">
        <f>A2902+1</f>
        <v>11</v>
      </c>
      <c r="B2921" s="454"/>
      <c r="C2921" s="1291" t="s">
        <v>1219</v>
      </c>
      <c r="D2921" s="1291"/>
      <c r="E2921" s="1291"/>
      <c r="F2921" s="1291"/>
      <c r="G2921" s="1291"/>
      <c r="H2921" s="1291"/>
      <c r="I2921" s="1291"/>
      <c r="J2921" s="472"/>
      <c r="K2921" s="497"/>
      <c r="L2921" s="497"/>
      <c r="M2921" s="498"/>
      <c r="N2921" s="498"/>
      <c r="O2921" s="498"/>
    </row>
    <row r="2922" spans="1:15" s="670" customFormat="1">
      <c r="A2922" s="454"/>
      <c r="B2922" s="454"/>
      <c r="C2922" s="435" t="s">
        <v>1220</v>
      </c>
      <c r="D2922" s="426">
        <f>10*1*0.1</f>
        <v>1</v>
      </c>
      <c r="E2922" s="426" t="s">
        <v>1062</v>
      </c>
      <c r="F2922" s="409">
        <f>I412</f>
        <v>4707.7235000000001</v>
      </c>
      <c r="G2922" s="426">
        <v>1</v>
      </c>
      <c r="H2922" s="426" t="s">
        <v>1062</v>
      </c>
      <c r="I2922" s="409">
        <f t="shared" ref="I2922:I2923" si="685">IF(G2922="",D2922*F2922,(D2922*F2922/G2922))</f>
        <v>4707.7235000000001</v>
      </c>
      <c r="J2922" s="472"/>
      <c r="K2922" s="497"/>
      <c r="L2922" s="497"/>
      <c r="M2922" s="498"/>
      <c r="N2922" s="498"/>
      <c r="O2922" s="498"/>
    </row>
    <row r="2923" spans="1:15" s="670" customFormat="1">
      <c r="A2923" s="454"/>
      <c r="B2923" s="454"/>
      <c r="C2923" s="435" t="s">
        <v>1221</v>
      </c>
      <c r="D2923" s="426">
        <v>10</v>
      </c>
      <c r="E2923" s="426" t="s">
        <v>1222</v>
      </c>
      <c r="F2923" s="409">
        <f>I3074</f>
        <v>4339.7029055000003</v>
      </c>
      <c r="G2923" s="426">
        <v>10</v>
      </c>
      <c r="H2923" s="426" t="s">
        <v>1222</v>
      </c>
      <c r="I2923" s="409">
        <f t="shared" si="685"/>
        <v>4339.7029055000003</v>
      </c>
      <c r="J2923" s="472"/>
      <c r="K2923" s="497"/>
      <c r="L2923" s="497"/>
      <c r="M2923" s="498"/>
      <c r="N2923" s="498"/>
      <c r="O2923" s="498"/>
    </row>
    <row r="2924" spans="1:15" s="670" customFormat="1">
      <c r="A2924" s="454"/>
      <c r="B2924" s="454"/>
      <c r="C2924" s="435"/>
      <c r="D2924" s="426"/>
      <c r="E2924" s="426"/>
      <c r="F2924" s="426"/>
      <c r="G2924" s="426"/>
      <c r="H2924" s="426"/>
      <c r="I2924" s="409">
        <f>SUM(I2922:I2923)</f>
        <v>9047.4264055000003</v>
      </c>
      <c r="J2924" s="472"/>
      <c r="K2924" s="497"/>
      <c r="L2924" s="497"/>
      <c r="M2924" s="498"/>
      <c r="N2924" s="498"/>
      <c r="O2924" s="498"/>
    </row>
    <row r="2925" spans="1:15" s="670" customFormat="1" ht="25">
      <c r="A2925" s="454"/>
      <c r="B2925" s="454"/>
      <c r="C2925" s="417" t="s">
        <v>688</v>
      </c>
      <c r="D2925" s="676">
        <v>0.13614999999999999</v>
      </c>
      <c r="E2925" s="426"/>
      <c r="F2925" s="426">
        <f>I2924</f>
        <v>9047.4264055000003</v>
      </c>
      <c r="G2925" s="426"/>
      <c r="H2925" s="426"/>
      <c r="I2925" s="409">
        <f>IF(G2925="",D2925*F2925,(D2925*F2925/G2925))</f>
        <v>1231.807105108825</v>
      </c>
      <c r="J2925" s="472"/>
      <c r="K2925" s="497"/>
      <c r="L2925" s="497"/>
      <c r="M2925" s="498"/>
      <c r="N2925" s="498"/>
      <c r="O2925" s="498"/>
    </row>
    <row r="2926" spans="1:15" s="670" customFormat="1" ht="13">
      <c r="A2926" s="454"/>
      <c r="B2926" s="454"/>
      <c r="C2926" s="473" t="s">
        <v>741</v>
      </c>
      <c r="D2926" s="416"/>
      <c r="E2926" s="416"/>
      <c r="F2926" s="416"/>
      <c r="G2926" s="416"/>
      <c r="H2926" s="416"/>
      <c r="I2926" s="414">
        <f>SUM(I2924:I2925)</f>
        <v>10279.233510608825</v>
      </c>
      <c r="J2926" s="472"/>
      <c r="K2926" s="497"/>
      <c r="L2926" s="497"/>
      <c r="M2926" s="498"/>
      <c r="N2926" s="498"/>
      <c r="O2926" s="498"/>
    </row>
    <row r="2927" spans="1:15" s="670" customFormat="1" ht="13">
      <c r="A2927" s="454"/>
      <c r="B2927" s="454"/>
      <c r="C2927" s="473" t="s">
        <v>742</v>
      </c>
      <c r="D2927" s="416"/>
      <c r="E2927" s="416"/>
      <c r="F2927" s="416"/>
      <c r="G2927" s="416"/>
      <c r="H2927" s="416"/>
      <c r="I2927" s="414">
        <f>I2926/10</f>
        <v>1027.9233510608824</v>
      </c>
      <c r="J2927" s="472"/>
      <c r="K2927" s="497"/>
      <c r="L2927" s="497"/>
      <c r="M2927" s="498"/>
      <c r="N2927" s="498"/>
      <c r="O2927" s="498"/>
    </row>
    <row r="2928" spans="1:15" s="670" customFormat="1" ht="13">
      <c r="A2928" s="454"/>
      <c r="B2928" s="454"/>
      <c r="C2928" s="427"/>
      <c r="D2928" s="416"/>
      <c r="E2928" s="416"/>
      <c r="F2928" s="416"/>
      <c r="G2928" s="416"/>
      <c r="H2928" s="407" t="s">
        <v>774</v>
      </c>
      <c r="I2928" s="416">
        <f>ROUND(I2927,0)</f>
        <v>1028</v>
      </c>
      <c r="J2928" s="472"/>
      <c r="K2928" s="497"/>
      <c r="L2928" s="497"/>
      <c r="M2928" s="498"/>
      <c r="N2928" s="498"/>
      <c r="O2928" s="498"/>
    </row>
    <row r="2929" spans="1:64" s="670" customFormat="1">
      <c r="A2929" s="454"/>
      <c r="B2929" s="454"/>
      <c r="C2929" s="417"/>
      <c r="D2929" s="621"/>
      <c r="E2929" s="426"/>
      <c r="F2929" s="409"/>
      <c r="G2929" s="410"/>
      <c r="H2929" s="426"/>
      <c r="I2929" s="408"/>
      <c r="J2929" s="472"/>
      <c r="K2929" s="497"/>
      <c r="L2929" s="497"/>
      <c r="M2929" s="498"/>
      <c r="N2929" s="498"/>
      <c r="O2929" s="498"/>
    </row>
    <row r="2930" spans="1:64" s="404" customFormat="1" ht="115" customHeight="1">
      <c r="A2930" s="454">
        <f>A2786+1</f>
        <v>10</v>
      </c>
      <c r="B2930" s="454"/>
      <c r="C2930" s="1276" t="s">
        <v>1223</v>
      </c>
      <c r="D2930" s="1276"/>
      <c r="E2930" s="1276"/>
      <c r="F2930" s="1276"/>
      <c r="G2930" s="1276"/>
      <c r="H2930" s="1276"/>
      <c r="I2930" s="407"/>
      <c r="J2930" s="400"/>
      <c r="K2930" s="401"/>
      <c r="L2930" s="401"/>
    </row>
    <row r="2931" spans="1:64" s="404" customFormat="1" ht="13">
      <c r="A2931" s="454"/>
      <c r="B2931" s="454"/>
      <c r="C2931" s="455" t="s">
        <v>1224</v>
      </c>
      <c r="D2931" s="426"/>
      <c r="E2931" s="426"/>
      <c r="F2931" s="426"/>
      <c r="G2931" s="426"/>
      <c r="H2931" s="426"/>
      <c r="I2931" s="409"/>
      <c r="J2931" s="400"/>
      <c r="K2931" s="401"/>
      <c r="L2931" s="401"/>
    </row>
    <row r="2932" spans="1:64" s="404" customFormat="1">
      <c r="A2932" s="454"/>
      <c r="B2932" s="454"/>
      <c r="C2932" s="483" t="s">
        <v>1167</v>
      </c>
      <c r="D2932" s="426"/>
      <c r="E2932" s="426"/>
      <c r="F2932" s="426"/>
      <c r="G2932" s="426"/>
      <c r="H2932" s="426"/>
      <c r="I2932" s="409"/>
      <c r="J2932" s="400"/>
      <c r="K2932" s="401"/>
      <c r="L2932" s="401"/>
    </row>
    <row r="2933" spans="1:64" s="404" customFormat="1" ht="13">
      <c r="A2933" s="454"/>
      <c r="B2933" s="454"/>
      <c r="C2933" s="433" t="s">
        <v>1168</v>
      </c>
      <c r="D2933" s="409"/>
      <c r="E2933" s="426"/>
      <c r="F2933" s="409"/>
      <c r="G2933" s="410"/>
      <c r="H2933" s="426"/>
      <c r="I2933" s="408"/>
      <c r="J2933" s="400"/>
      <c r="K2933" s="401"/>
      <c r="L2933" s="401"/>
    </row>
    <row r="2934" spans="1:64" ht="25">
      <c r="A2934" s="458"/>
      <c r="B2934" s="458"/>
      <c r="C2934" s="417" t="s">
        <v>1225</v>
      </c>
      <c r="D2934" s="432">
        <v>10.5</v>
      </c>
      <c r="E2934" s="406" t="s">
        <v>62</v>
      </c>
      <c r="F2934" s="432">
        <f>'[161]Civil-SOR'!$G$14</f>
        <v>1182</v>
      </c>
      <c r="G2934" s="431">
        <v>1</v>
      </c>
      <c r="H2934" s="406" t="s">
        <v>62</v>
      </c>
      <c r="I2934" s="459">
        <f t="shared" ref="I2934:I2938" si="686">IF(G2934="",D2934*F2934,(D2934*F2934/G2934))</f>
        <v>12411</v>
      </c>
      <c r="J2934" s="462"/>
      <c r="K2934" s="463"/>
      <c r="L2934" s="463"/>
      <c r="M2934" s="464"/>
      <c r="N2934" s="464"/>
      <c r="O2934" s="464"/>
      <c r="P2934" s="464"/>
      <c r="Q2934" s="464"/>
      <c r="R2934" s="464"/>
      <c r="S2934" s="464"/>
      <c r="T2934" s="464"/>
      <c r="U2934" s="464"/>
      <c r="V2934" s="464"/>
      <c r="W2934" s="464"/>
      <c r="X2934" s="464"/>
      <c r="Y2934" s="464"/>
      <c r="Z2934" s="464"/>
      <c r="AA2934" s="464"/>
      <c r="AB2934" s="464"/>
      <c r="AC2934" s="464"/>
      <c r="AD2934" s="464"/>
      <c r="AE2934" s="464"/>
      <c r="AF2934" s="464"/>
      <c r="AG2934" s="464"/>
      <c r="AH2934" s="464"/>
      <c r="AI2934" s="464"/>
      <c r="AJ2934" s="464"/>
      <c r="AK2934" s="464"/>
      <c r="AL2934" s="464"/>
      <c r="AM2934" s="464"/>
      <c r="AN2934" s="464"/>
      <c r="AO2934" s="464"/>
      <c r="AP2934" s="464"/>
      <c r="AQ2934" s="464"/>
      <c r="AR2934" s="464"/>
      <c r="AS2934" s="464"/>
      <c r="AT2934" s="464"/>
      <c r="AU2934" s="464"/>
      <c r="AV2934" s="464"/>
      <c r="AW2934" s="464"/>
      <c r="AX2934" s="464"/>
      <c r="AY2934" s="464"/>
      <c r="AZ2934" s="464"/>
      <c r="BA2934" s="464"/>
      <c r="BB2934" s="464"/>
      <c r="BC2934" s="464"/>
      <c r="BD2934" s="464"/>
      <c r="BE2934" s="464"/>
      <c r="BF2934" s="464"/>
      <c r="BG2934" s="464"/>
      <c r="BH2934" s="464"/>
      <c r="BI2934" s="464"/>
      <c r="BJ2934" s="464"/>
      <c r="BK2934" s="464"/>
      <c r="BL2934" s="464"/>
    </row>
    <row r="2935" spans="1:64" s="404" customFormat="1">
      <c r="A2935" s="454"/>
      <c r="B2935" s="454"/>
      <c r="C2935" s="483" t="s">
        <v>1226</v>
      </c>
      <c r="D2935" s="409">
        <v>21.6</v>
      </c>
      <c r="E2935" s="426" t="s">
        <v>833</v>
      </c>
      <c r="F2935" s="409">
        <f>[161]LEAD!$N$6</f>
        <v>5200</v>
      </c>
      <c r="G2935" s="410">
        <v>1000</v>
      </c>
      <c r="H2935" s="426" t="s">
        <v>833</v>
      </c>
      <c r="I2935" s="408">
        <f t="shared" si="686"/>
        <v>112.32000000000002</v>
      </c>
      <c r="J2935" s="400"/>
      <c r="K2935" s="401"/>
      <c r="L2935" s="401"/>
    </row>
    <row r="2936" spans="1:64" s="404" customFormat="1">
      <c r="A2936" s="454"/>
      <c r="B2936" s="454"/>
      <c r="C2936" s="483" t="s">
        <v>1171</v>
      </c>
      <c r="D2936" s="409">
        <v>33</v>
      </c>
      <c r="E2936" s="426" t="s">
        <v>833</v>
      </c>
      <c r="F2936" s="409">
        <f>[161]LEAD!$N$6</f>
        <v>5200</v>
      </c>
      <c r="G2936" s="410">
        <v>1000</v>
      </c>
      <c r="H2936" s="426" t="s">
        <v>312</v>
      </c>
      <c r="I2936" s="408">
        <f t="shared" si="686"/>
        <v>171.6</v>
      </c>
      <c r="J2936" s="400"/>
      <c r="K2936" s="401"/>
      <c r="L2936" s="401"/>
    </row>
    <row r="2937" spans="1:64" s="404" customFormat="1">
      <c r="A2937" s="454"/>
      <c r="B2937" s="454"/>
      <c r="C2937" s="483" t="s">
        <v>1183</v>
      </c>
      <c r="D2937" s="409">
        <v>6</v>
      </c>
      <c r="E2937" s="426" t="s">
        <v>833</v>
      </c>
      <c r="F2937" s="409">
        <f>'[161]Civil-SOR'!$G$185</f>
        <v>34</v>
      </c>
      <c r="G2937" s="410">
        <v>1</v>
      </c>
      <c r="H2937" s="426" t="s">
        <v>312</v>
      </c>
      <c r="I2937" s="408">
        <f t="shared" si="686"/>
        <v>204</v>
      </c>
      <c r="J2937" s="400"/>
      <c r="K2937" s="401"/>
      <c r="L2937" s="401"/>
    </row>
    <row r="2938" spans="1:64" s="404" customFormat="1">
      <c r="A2938" s="454"/>
      <c r="B2938" s="454"/>
      <c r="C2938" s="483" t="s">
        <v>1173</v>
      </c>
      <c r="D2938" s="409">
        <v>0.2</v>
      </c>
      <c r="E2938" s="426" t="s">
        <v>57</v>
      </c>
      <c r="F2938" s="409">
        <f>[161]LEAD!$N$13</f>
        <v>2453.91</v>
      </c>
      <c r="G2938" s="410">
        <v>1</v>
      </c>
      <c r="H2938" s="426" t="s">
        <v>57</v>
      </c>
      <c r="I2938" s="408">
        <f t="shared" si="686"/>
        <v>490.78199999999998</v>
      </c>
      <c r="J2938" s="400"/>
      <c r="K2938" s="401"/>
      <c r="L2938" s="401"/>
    </row>
    <row r="2939" spans="1:64" s="404" customFormat="1" ht="13">
      <c r="A2939" s="454"/>
      <c r="B2939" s="454"/>
      <c r="C2939" s="433" t="s">
        <v>1073</v>
      </c>
      <c r="D2939" s="409"/>
      <c r="E2939" s="426"/>
      <c r="F2939" s="409"/>
      <c r="G2939" s="410"/>
      <c r="H2939" s="426"/>
      <c r="I2939" s="408"/>
      <c r="J2939" s="400"/>
      <c r="K2939" s="401"/>
      <c r="L2939" s="401"/>
    </row>
    <row r="2940" spans="1:64" s="404" customFormat="1">
      <c r="A2940" s="454"/>
      <c r="B2940" s="454"/>
      <c r="C2940" s="483" t="s">
        <v>1044</v>
      </c>
      <c r="D2940" s="409">
        <v>0.96</v>
      </c>
      <c r="E2940" s="426" t="s">
        <v>14</v>
      </c>
      <c r="F2940" s="409">
        <f>'[161]Civil-SOR'!$G$293</f>
        <v>580</v>
      </c>
      <c r="G2940" s="410">
        <v>1</v>
      </c>
      <c r="H2940" s="426" t="s">
        <v>572</v>
      </c>
      <c r="I2940" s="408">
        <f t="shared" ref="I2940:I2944" si="687">IF(G2940="",D2940*F2940,(D2940*F2940/G2940))</f>
        <v>556.79999999999995</v>
      </c>
      <c r="J2940" s="400"/>
      <c r="K2940" s="401"/>
      <c r="L2940" s="401"/>
    </row>
    <row r="2941" spans="1:64" s="404" customFormat="1">
      <c r="A2941" s="454"/>
      <c r="B2941" s="454"/>
      <c r="C2941" s="483" t="s">
        <v>1074</v>
      </c>
      <c r="D2941" s="409">
        <v>2.2400000000000002</v>
      </c>
      <c r="E2941" s="426" t="s">
        <v>14</v>
      </c>
      <c r="F2941" s="409">
        <f>'[161]Civil-SOR'!$G$302</f>
        <v>550</v>
      </c>
      <c r="G2941" s="410">
        <v>1</v>
      </c>
      <c r="H2941" s="426" t="s">
        <v>572</v>
      </c>
      <c r="I2941" s="408">
        <f t="shared" si="687"/>
        <v>1232.0000000000002</v>
      </c>
      <c r="J2941" s="400"/>
      <c r="K2941" s="401"/>
      <c r="L2941" s="401"/>
    </row>
    <row r="2942" spans="1:64" s="404" customFormat="1">
      <c r="A2942" s="454"/>
      <c r="B2942" s="454"/>
      <c r="C2942" s="483" t="s">
        <v>1174</v>
      </c>
      <c r="D2942" s="409">
        <v>3.3</v>
      </c>
      <c r="E2942" s="426" t="s">
        <v>14</v>
      </c>
      <c r="F2942" s="409">
        <f>'[161]Civil-SOR'!$G$307</f>
        <v>520</v>
      </c>
      <c r="G2942" s="410">
        <v>1</v>
      </c>
      <c r="H2942" s="426" t="s">
        <v>572</v>
      </c>
      <c r="I2942" s="408">
        <f t="shared" si="687"/>
        <v>1716</v>
      </c>
      <c r="J2942" s="400"/>
      <c r="K2942" s="401"/>
      <c r="L2942" s="401"/>
    </row>
    <row r="2943" spans="1:64" s="404" customFormat="1">
      <c r="A2943" s="454"/>
      <c r="B2943" s="454"/>
      <c r="C2943" s="417" t="str">
        <f>[161]Input!$C$47</f>
        <v>Add for MA @ 40%</v>
      </c>
      <c r="D2943" s="621">
        <f>[161]Input!$D$47</f>
        <v>0.4</v>
      </c>
      <c r="E2943" s="426"/>
      <c r="F2943" s="409">
        <f>SUM(I2940:I2942)</f>
        <v>3504.8</v>
      </c>
      <c r="G2943" s="410"/>
      <c r="H2943" s="426"/>
      <c r="I2943" s="408">
        <f t="shared" si="687"/>
        <v>1401.92</v>
      </c>
      <c r="J2943" s="400"/>
      <c r="K2943" s="401"/>
      <c r="L2943" s="401"/>
    </row>
    <row r="2944" spans="1:64" s="404" customFormat="1">
      <c r="A2944" s="454"/>
      <c r="B2944" s="454"/>
      <c r="C2944" s="483" t="s">
        <v>1046</v>
      </c>
      <c r="D2944" s="409">
        <v>0.01</v>
      </c>
      <c r="E2944" s="426"/>
      <c r="F2944" s="409">
        <f>SUM(I2934:I2943)</f>
        <v>18296.421999999999</v>
      </c>
      <c r="G2944" s="410"/>
      <c r="H2944" s="426"/>
      <c r="I2944" s="408">
        <f t="shared" si="687"/>
        <v>182.96421999999998</v>
      </c>
      <c r="J2944" s="400"/>
      <c r="K2944" s="401"/>
      <c r="L2944" s="401"/>
    </row>
    <row r="2945" spans="1:12" s="413" customFormat="1" ht="13">
      <c r="A2945" s="454"/>
      <c r="B2945" s="454"/>
      <c r="C2945" s="666" t="s">
        <v>1175</v>
      </c>
      <c r="D2945" s="409"/>
      <c r="E2945" s="426"/>
      <c r="F2945" s="409"/>
      <c r="G2945" s="410"/>
      <c r="H2945" s="426"/>
      <c r="I2945" s="414">
        <f>SUM(I2934:I2944)</f>
        <v>18479.38622</v>
      </c>
      <c r="J2945" s="411"/>
      <c r="K2945" s="412"/>
      <c r="L2945" s="412"/>
    </row>
    <row r="2946" spans="1:12">
      <c r="A2946" s="454"/>
      <c r="B2946" s="454"/>
      <c r="C2946" s="469"/>
      <c r="D2946" s="409"/>
      <c r="E2946" s="426"/>
      <c r="F2946" s="409"/>
      <c r="G2946" s="410"/>
      <c r="H2946" s="426"/>
      <c r="I2946" s="408"/>
      <c r="J2946" s="400"/>
      <c r="K2946" s="401"/>
      <c r="L2946" s="401"/>
    </row>
    <row r="2947" spans="1:12" ht="13">
      <c r="A2947" s="454"/>
      <c r="B2947" s="454"/>
      <c r="C2947" s="427" t="s">
        <v>953</v>
      </c>
      <c r="D2947" s="414" t="s">
        <v>959</v>
      </c>
      <c r="E2947" s="416" t="s">
        <v>943</v>
      </c>
      <c r="F2947" s="415" t="s">
        <v>944</v>
      </c>
      <c r="G2947" s="414" t="s">
        <v>1036</v>
      </c>
      <c r="H2947" s="414" t="s">
        <v>1037</v>
      </c>
      <c r="I2947" s="414" t="s">
        <v>1038</v>
      </c>
      <c r="J2947" s="657" t="s">
        <v>1118</v>
      </c>
      <c r="K2947" s="631" t="s">
        <v>1119</v>
      </c>
      <c r="L2947" s="631" t="s">
        <v>1120</v>
      </c>
    </row>
    <row r="2948" spans="1:12">
      <c r="A2948" s="454"/>
      <c r="B2948" s="454"/>
      <c r="C2948" s="417" t="s">
        <v>1064</v>
      </c>
      <c r="D2948" s="408">
        <f t="shared" ref="D2948:L2948" si="688">$I$2945</f>
        <v>18479.38622</v>
      </c>
      <c r="E2948" s="408">
        <f t="shared" si="688"/>
        <v>18479.38622</v>
      </c>
      <c r="F2948" s="408">
        <f t="shared" si="688"/>
        <v>18479.38622</v>
      </c>
      <c r="G2948" s="408">
        <f t="shared" si="688"/>
        <v>18479.38622</v>
      </c>
      <c r="H2948" s="408">
        <f t="shared" si="688"/>
        <v>18479.38622</v>
      </c>
      <c r="I2948" s="408">
        <f t="shared" si="688"/>
        <v>18479.38622</v>
      </c>
      <c r="J2948" s="575">
        <f t="shared" si="688"/>
        <v>18479.38622</v>
      </c>
      <c r="K2948" s="644">
        <f t="shared" si="688"/>
        <v>18479.38622</v>
      </c>
      <c r="L2948" s="644">
        <f t="shared" si="688"/>
        <v>18479.38622</v>
      </c>
    </row>
    <row r="2949" spans="1:12">
      <c r="A2949" s="454"/>
      <c r="B2949" s="454"/>
      <c r="C2949" s="417" t="s">
        <v>994</v>
      </c>
      <c r="D2949" s="408">
        <v>0</v>
      </c>
      <c r="E2949" s="408">
        <f>ROUND($F2943*10%,2)</f>
        <v>350.48</v>
      </c>
      <c r="F2949" s="408">
        <f>ROUND($F2943*20%,2)</f>
        <v>700.96</v>
      </c>
      <c r="G2949" s="408">
        <f>ROUND($F2943*30%,2)</f>
        <v>1051.44</v>
      </c>
      <c r="H2949" s="408">
        <f>ROUND($F2943*40%,2)</f>
        <v>1401.92</v>
      </c>
      <c r="I2949" s="408">
        <f>ROUND($F2943*50%,2)</f>
        <v>1752.4</v>
      </c>
      <c r="J2949" s="575">
        <f>ROUND($F2943*60%,2)</f>
        <v>2102.88</v>
      </c>
      <c r="K2949" s="644">
        <f>ROUND($F2943*70%,2)</f>
        <v>2453.36</v>
      </c>
      <c r="L2949" s="644">
        <f>ROUND($F2943*80%,2)</f>
        <v>2803.84</v>
      </c>
    </row>
    <row r="2950" spans="1:12">
      <c r="A2950" s="454"/>
      <c r="B2950" s="454"/>
      <c r="C2950" s="417" t="str">
        <f>[161]Input!$C$47</f>
        <v>Add for MA @ 40%</v>
      </c>
      <c r="D2950" s="408">
        <f>D2949*[161]Input!$D$47</f>
        <v>0</v>
      </c>
      <c r="E2950" s="408">
        <f>E2949*[161]Input!$D$47</f>
        <v>140.19200000000001</v>
      </c>
      <c r="F2950" s="408">
        <f>F2949*[161]Input!$D$47</f>
        <v>280.38400000000001</v>
      </c>
      <c r="G2950" s="408">
        <f>G2949*[161]Input!$D$47</f>
        <v>420.57600000000002</v>
      </c>
      <c r="H2950" s="408">
        <f>H2949*[161]Input!$D$47</f>
        <v>560.76800000000003</v>
      </c>
      <c r="I2950" s="408">
        <f>I2949*[161]Input!$D$47</f>
        <v>700.96</v>
      </c>
      <c r="J2950" s="575">
        <f>J2949*[161]Input!$D$47</f>
        <v>841.15200000000004</v>
      </c>
      <c r="K2950" s="644">
        <f>K2949*[161]Input!$D$47</f>
        <v>981.34400000000005</v>
      </c>
      <c r="L2950" s="644">
        <f>L2949*[161]Input!$D$47</f>
        <v>1121.5360000000001</v>
      </c>
    </row>
    <row r="2951" spans="1:12">
      <c r="A2951" s="454"/>
      <c r="B2951" s="454"/>
      <c r="C2951" s="469"/>
      <c r="D2951" s="408">
        <f t="shared" ref="D2951:L2951" si="689">SUM(D2948:D2950)</f>
        <v>18479.38622</v>
      </c>
      <c r="E2951" s="408">
        <f t="shared" si="689"/>
        <v>18970.058219999999</v>
      </c>
      <c r="F2951" s="408">
        <f t="shared" si="689"/>
        <v>19460.730219999998</v>
      </c>
      <c r="G2951" s="408">
        <f t="shared" si="689"/>
        <v>19951.40222</v>
      </c>
      <c r="H2951" s="408">
        <f t="shared" si="689"/>
        <v>20442.074219999999</v>
      </c>
      <c r="I2951" s="408">
        <f t="shared" si="689"/>
        <v>20932.746220000001</v>
      </c>
      <c r="J2951" s="575">
        <f t="shared" si="689"/>
        <v>21423.41822</v>
      </c>
      <c r="K2951" s="644">
        <f t="shared" si="689"/>
        <v>21914.090220000002</v>
      </c>
      <c r="L2951" s="644">
        <f t="shared" si="689"/>
        <v>22404.762220000001</v>
      </c>
    </row>
    <row r="2952" spans="1:12" ht="25">
      <c r="A2952" s="454"/>
      <c r="B2952" s="454"/>
      <c r="C2952" s="417" t="str">
        <f>[161]Input!$C$48</f>
        <v>Overheads &amp; Contractors Profit @ 13.615%</v>
      </c>
      <c r="D2952" s="408">
        <f>ROUND(D2951*[161]Input!$D$48,2)</f>
        <v>2515.9699999999998</v>
      </c>
      <c r="E2952" s="408">
        <f>ROUND(E2951*[161]Input!$D$48,2)</f>
        <v>2582.77</v>
      </c>
      <c r="F2952" s="408">
        <f>ROUND(F2951*[161]Input!$D$48,2)</f>
        <v>2649.58</v>
      </c>
      <c r="G2952" s="408">
        <f>ROUND(G2951*[161]Input!$D$48,2)</f>
        <v>2716.38</v>
      </c>
      <c r="H2952" s="408">
        <f>ROUND(H2951*[161]Input!$D$48,2)</f>
        <v>2783.19</v>
      </c>
      <c r="I2952" s="408">
        <f>ROUND(I2951*[161]Input!$D$48,2)</f>
        <v>2849.99</v>
      </c>
      <c r="J2952" s="575">
        <f>ROUND(J2951*[161]Input!$D$48,2)</f>
        <v>2916.8</v>
      </c>
      <c r="K2952" s="644">
        <f>ROUND(K2951*[161]Input!$D$48,2)</f>
        <v>2983.6</v>
      </c>
      <c r="L2952" s="644">
        <f>ROUND(L2951*[161]Input!$D$48,2)</f>
        <v>3050.41</v>
      </c>
    </row>
    <row r="2953" spans="1:12" ht="13">
      <c r="A2953" s="454"/>
      <c r="B2953" s="454"/>
      <c r="C2953" s="427" t="s">
        <v>1047</v>
      </c>
      <c r="D2953" s="408">
        <f t="shared" ref="D2953:L2953" si="690">SUM(D2951:D2952)</f>
        <v>20995.356220000001</v>
      </c>
      <c r="E2953" s="408">
        <f t="shared" si="690"/>
        <v>21552.828219999999</v>
      </c>
      <c r="F2953" s="408">
        <f t="shared" si="690"/>
        <v>22110.310219999999</v>
      </c>
      <c r="G2953" s="408">
        <f t="shared" si="690"/>
        <v>22667.782220000001</v>
      </c>
      <c r="H2953" s="408">
        <f t="shared" si="690"/>
        <v>23225.264219999997</v>
      </c>
      <c r="I2953" s="408">
        <f t="shared" si="690"/>
        <v>23782.736219999999</v>
      </c>
      <c r="J2953" s="575">
        <f t="shared" si="690"/>
        <v>24340.218219999999</v>
      </c>
      <c r="K2953" s="644">
        <f t="shared" si="690"/>
        <v>24897.69022</v>
      </c>
      <c r="L2953" s="644">
        <f t="shared" si="690"/>
        <v>25455.17222</v>
      </c>
    </row>
    <row r="2954" spans="1:12" ht="13">
      <c r="A2954" s="454"/>
      <c r="B2954" s="454"/>
      <c r="C2954" s="427" t="s">
        <v>845</v>
      </c>
      <c r="D2954" s="414">
        <f t="shared" ref="D2954:L2954" si="691">D2953/10</f>
        <v>2099.5356220000003</v>
      </c>
      <c r="E2954" s="414">
        <f t="shared" si="691"/>
        <v>2155.2828220000001</v>
      </c>
      <c r="F2954" s="414">
        <f t="shared" si="691"/>
        <v>2211.0310220000001</v>
      </c>
      <c r="G2954" s="414">
        <f t="shared" si="691"/>
        <v>2266.7782219999999</v>
      </c>
      <c r="H2954" s="414">
        <f t="shared" si="691"/>
        <v>2322.5264219999999</v>
      </c>
      <c r="I2954" s="414">
        <f t="shared" si="691"/>
        <v>2378.2736219999997</v>
      </c>
      <c r="J2954" s="657">
        <f t="shared" si="691"/>
        <v>2434.0218219999997</v>
      </c>
      <c r="K2954" s="631">
        <f t="shared" si="691"/>
        <v>2489.7690219999999</v>
      </c>
      <c r="L2954" s="631">
        <f t="shared" si="691"/>
        <v>2545.5172219999999</v>
      </c>
    </row>
    <row r="2955" spans="1:12" ht="13">
      <c r="A2955" s="454"/>
      <c r="B2955" s="454"/>
      <c r="C2955" s="522" t="s">
        <v>726</v>
      </c>
      <c r="D2955" s="416">
        <f t="shared" ref="D2955:L2955" si="692">ROUND(D2954,0)</f>
        <v>2100</v>
      </c>
      <c r="E2955" s="416">
        <f t="shared" si="692"/>
        <v>2155</v>
      </c>
      <c r="F2955" s="416">
        <f t="shared" si="692"/>
        <v>2211</v>
      </c>
      <c r="G2955" s="416">
        <f t="shared" si="692"/>
        <v>2267</v>
      </c>
      <c r="H2955" s="416">
        <f t="shared" si="692"/>
        <v>2323</v>
      </c>
      <c r="I2955" s="416">
        <f t="shared" si="692"/>
        <v>2378</v>
      </c>
      <c r="J2955" s="529">
        <f t="shared" si="692"/>
        <v>2434</v>
      </c>
      <c r="K2955" s="530">
        <f t="shared" si="692"/>
        <v>2490</v>
      </c>
      <c r="L2955" s="530">
        <f t="shared" si="692"/>
        <v>2546</v>
      </c>
    </row>
    <row r="2956" spans="1:12" ht="13">
      <c r="A2956" s="454"/>
      <c r="B2956" s="454"/>
      <c r="C2956" s="521"/>
      <c r="D2956" s="408"/>
      <c r="E2956" s="408"/>
      <c r="F2956" s="408"/>
      <c r="G2956" s="426"/>
      <c r="H2956" s="492"/>
      <c r="I2956" s="434"/>
      <c r="J2956" s="400"/>
      <c r="K2956" s="401"/>
      <c r="L2956" s="401"/>
    </row>
    <row r="2957" spans="1:12" s="404" customFormat="1" ht="121.75" customHeight="1">
      <c r="A2957" s="454">
        <f>1+A2759</f>
        <v>12</v>
      </c>
      <c r="B2957" s="454"/>
      <c r="C2957" s="1276" t="s">
        <v>1227</v>
      </c>
      <c r="D2957" s="1276"/>
      <c r="E2957" s="1276"/>
      <c r="F2957" s="1276"/>
      <c r="G2957" s="1276"/>
      <c r="H2957" s="1276"/>
      <c r="I2957" s="407"/>
      <c r="J2957" s="400"/>
      <c r="K2957" s="401"/>
      <c r="L2957" s="401"/>
    </row>
    <row r="2958" spans="1:12" s="404" customFormat="1" ht="13">
      <c r="A2958" s="454"/>
      <c r="B2958" s="454"/>
      <c r="C2958" s="455" t="s">
        <v>1228</v>
      </c>
      <c r="D2958" s="426"/>
      <c r="E2958" s="426"/>
      <c r="F2958" s="426"/>
      <c r="G2958" s="426"/>
      <c r="H2958" s="426"/>
      <c r="I2958" s="409"/>
      <c r="J2958" s="400"/>
      <c r="K2958" s="401"/>
      <c r="L2958" s="401"/>
    </row>
    <row r="2959" spans="1:12" s="404" customFormat="1">
      <c r="A2959" s="454"/>
      <c r="B2959" s="454"/>
      <c r="C2959" s="483" t="s">
        <v>1167</v>
      </c>
      <c r="D2959" s="426"/>
      <c r="E2959" s="426"/>
      <c r="F2959" s="426"/>
      <c r="G2959" s="426"/>
      <c r="H2959" s="426"/>
      <c r="I2959" s="409"/>
      <c r="J2959" s="400"/>
      <c r="K2959" s="401"/>
      <c r="L2959" s="401"/>
    </row>
    <row r="2960" spans="1:12" s="404" customFormat="1" ht="13">
      <c r="A2960" s="454"/>
      <c r="B2960" s="454"/>
      <c r="C2960" s="433" t="s">
        <v>1168</v>
      </c>
      <c r="D2960" s="409"/>
      <c r="E2960" s="426"/>
      <c r="F2960" s="409"/>
      <c r="G2960" s="410"/>
      <c r="H2960" s="426"/>
      <c r="I2960" s="408"/>
      <c r="J2960" s="400"/>
      <c r="K2960" s="401"/>
      <c r="L2960" s="401"/>
    </row>
    <row r="2961" spans="1:12" s="404" customFormat="1" ht="25">
      <c r="A2961" s="454"/>
      <c r="B2961" s="454"/>
      <c r="C2961" s="483" t="s">
        <v>1229</v>
      </c>
      <c r="D2961" s="409">
        <v>10.5</v>
      </c>
      <c r="E2961" s="426" t="s">
        <v>62</v>
      </c>
      <c r="F2961" s="409">
        <f>[161]LEAD!$N$28</f>
        <v>3030</v>
      </c>
      <c r="G2961" s="410">
        <v>1</v>
      </c>
      <c r="H2961" s="426" t="s">
        <v>62</v>
      </c>
      <c r="I2961" s="408">
        <f t="shared" ref="I2961:I2965" si="693">IF(G2961="",D2961*F2961,(D2961*F2961/G2961))</f>
        <v>31815</v>
      </c>
      <c r="J2961" s="400"/>
      <c r="K2961" s="401"/>
      <c r="L2961" s="401"/>
    </row>
    <row r="2962" spans="1:12" s="404" customFormat="1">
      <c r="A2962" s="454"/>
      <c r="B2962" s="454"/>
      <c r="C2962" s="483" t="s">
        <v>1226</v>
      </c>
      <c r="D2962" s="409">
        <v>36</v>
      </c>
      <c r="E2962" s="426" t="s">
        <v>833</v>
      </c>
      <c r="F2962" s="409">
        <f>[161]LEAD!$N$6</f>
        <v>5200</v>
      </c>
      <c r="G2962" s="410">
        <v>1000</v>
      </c>
      <c r="H2962" s="426" t="s">
        <v>833</v>
      </c>
      <c r="I2962" s="408">
        <f t="shared" si="693"/>
        <v>187.2</v>
      </c>
      <c r="J2962" s="400"/>
      <c r="K2962" s="401"/>
      <c r="L2962" s="401"/>
    </row>
    <row r="2963" spans="1:12" s="404" customFormat="1">
      <c r="A2963" s="454"/>
      <c r="B2963" s="454"/>
      <c r="C2963" s="483" t="s">
        <v>1171</v>
      </c>
      <c r="D2963" s="409">
        <v>33</v>
      </c>
      <c r="E2963" s="426" t="s">
        <v>833</v>
      </c>
      <c r="F2963" s="409">
        <f>[161]LEAD!$N$6</f>
        <v>5200</v>
      </c>
      <c r="G2963" s="410">
        <v>1000</v>
      </c>
      <c r="H2963" s="426" t="s">
        <v>833</v>
      </c>
      <c r="I2963" s="408">
        <f t="shared" si="693"/>
        <v>171.6</v>
      </c>
      <c r="J2963" s="400"/>
      <c r="K2963" s="401"/>
      <c r="L2963" s="401"/>
    </row>
    <row r="2964" spans="1:12" s="404" customFormat="1">
      <c r="A2964" s="454"/>
      <c r="B2964" s="454"/>
      <c r="C2964" s="483" t="s">
        <v>1230</v>
      </c>
      <c r="D2964" s="409">
        <v>6</v>
      </c>
      <c r="E2964" s="426" t="s">
        <v>833</v>
      </c>
      <c r="F2964" s="409">
        <f>'[161]Civil-SOR'!$G$185</f>
        <v>34</v>
      </c>
      <c r="G2964" s="410">
        <v>1</v>
      </c>
      <c r="H2964" s="426" t="s">
        <v>312</v>
      </c>
      <c r="I2964" s="408">
        <f t="shared" si="693"/>
        <v>204</v>
      </c>
      <c r="J2964" s="400"/>
      <c r="K2964" s="401"/>
      <c r="L2964" s="401"/>
    </row>
    <row r="2965" spans="1:12" s="404" customFormat="1">
      <c r="A2965" s="454"/>
      <c r="B2965" s="454"/>
      <c r="C2965" s="483" t="s">
        <v>1173</v>
      </c>
      <c r="D2965" s="409">
        <v>0.2</v>
      </c>
      <c r="E2965" s="426" t="s">
        <v>57</v>
      </c>
      <c r="F2965" s="409">
        <f>[161]LEAD!$N$13</f>
        <v>2453.91</v>
      </c>
      <c r="G2965" s="410">
        <v>1</v>
      </c>
      <c r="H2965" s="426" t="s">
        <v>57</v>
      </c>
      <c r="I2965" s="408">
        <f t="shared" si="693"/>
        <v>490.78199999999998</v>
      </c>
      <c r="J2965" s="400"/>
      <c r="K2965" s="401"/>
      <c r="L2965" s="401"/>
    </row>
    <row r="2966" spans="1:12" s="404" customFormat="1" ht="13">
      <c r="A2966" s="454"/>
      <c r="B2966" s="454"/>
      <c r="C2966" s="433" t="s">
        <v>1073</v>
      </c>
      <c r="D2966" s="409"/>
      <c r="E2966" s="426"/>
      <c r="F2966" s="409"/>
      <c r="G2966" s="410"/>
      <c r="H2966" s="426"/>
      <c r="I2966" s="408"/>
      <c r="J2966" s="400"/>
      <c r="K2966" s="401"/>
      <c r="L2966" s="401"/>
    </row>
    <row r="2967" spans="1:12" s="404" customFormat="1">
      <c r="A2967" s="454"/>
      <c r="B2967" s="454"/>
      <c r="C2967" s="483" t="s">
        <v>1044</v>
      </c>
      <c r="D2967" s="409">
        <v>3</v>
      </c>
      <c r="E2967" s="426" t="s">
        <v>14</v>
      </c>
      <c r="F2967" s="409">
        <f>'[161]Civil-SOR'!$G$293</f>
        <v>580</v>
      </c>
      <c r="G2967" s="410">
        <v>1</v>
      </c>
      <c r="H2967" s="426" t="s">
        <v>572</v>
      </c>
      <c r="I2967" s="408">
        <f t="shared" ref="I2967:I2971" si="694">IF(G2967="",D2967*F2967,(D2967*F2967/G2967))</f>
        <v>1740</v>
      </c>
      <c r="J2967" s="400"/>
      <c r="K2967" s="401"/>
      <c r="L2967" s="401"/>
    </row>
    <row r="2968" spans="1:12" s="404" customFormat="1">
      <c r="A2968" s="454"/>
      <c r="B2968" s="454"/>
      <c r="C2968" s="483" t="s">
        <v>1074</v>
      </c>
      <c r="D2968" s="409">
        <v>1</v>
      </c>
      <c r="E2968" s="426" t="s">
        <v>14</v>
      </c>
      <c r="F2968" s="409">
        <f>'[161]Civil-SOR'!$G$302</f>
        <v>550</v>
      </c>
      <c r="G2968" s="410">
        <v>1</v>
      </c>
      <c r="H2968" s="426" t="s">
        <v>572</v>
      </c>
      <c r="I2968" s="408">
        <f t="shared" si="694"/>
        <v>550</v>
      </c>
      <c r="J2968" s="400"/>
      <c r="K2968" s="401"/>
      <c r="L2968" s="401"/>
    </row>
    <row r="2969" spans="1:12" s="404" customFormat="1">
      <c r="A2969" s="454"/>
      <c r="B2969" s="454"/>
      <c r="C2969" s="483" t="s">
        <v>1174</v>
      </c>
      <c r="D2969" s="409">
        <v>8</v>
      </c>
      <c r="E2969" s="426" t="s">
        <v>14</v>
      </c>
      <c r="F2969" s="409">
        <f>'[161]Civil-SOR'!$G$307</f>
        <v>520</v>
      </c>
      <c r="G2969" s="410">
        <v>1</v>
      </c>
      <c r="H2969" s="426" t="s">
        <v>572</v>
      </c>
      <c r="I2969" s="408">
        <f t="shared" si="694"/>
        <v>4160</v>
      </c>
      <c r="J2969" s="400"/>
      <c r="K2969" s="401"/>
      <c r="L2969" s="401"/>
    </row>
    <row r="2970" spans="1:12" s="404" customFormat="1">
      <c r="A2970" s="454"/>
      <c r="B2970" s="454"/>
      <c r="C2970" s="417" t="str">
        <f>[161]Input!$C$47</f>
        <v>Add for MA @ 40%</v>
      </c>
      <c r="D2970" s="621">
        <f>[161]Input!$D$47</f>
        <v>0.4</v>
      </c>
      <c r="E2970" s="426"/>
      <c r="F2970" s="409">
        <f>SUM(I2967:I2969)</f>
        <v>6450</v>
      </c>
      <c r="G2970" s="410"/>
      <c r="H2970" s="426"/>
      <c r="I2970" s="408">
        <f t="shared" si="694"/>
        <v>2580</v>
      </c>
      <c r="J2970" s="400"/>
      <c r="K2970" s="401"/>
      <c r="L2970" s="401"/>
    </row>
    <row r="2971" spans="1:12" s="404" customFormat="1">
      <c r="A2971" s="454"/>
      <c r="B2971" s="454"/>
      <c r="C2971" s="483" t="s">
        <v>1046</v>
      </c>
      <c r="D2971" s="409">
        <v>0.01</v>
      </c>
      <c r="E2971" s="426"/>
      <c r="F2971" s="409">
        <f>SUM(I2961:I2970)</f>
        <v>41898.582000000002</v>
      </c>
      <c r="G2971" s="410"/>
      <c r="H2971" s="426"/>
      <c r="I2971" s="408">
        <f t="shared" si="694"/>
        <v>418.98582000000005</v>
      </c>
      <c r="J2971" s="400"/>
      <c r="K2971" s="401"/>
      <c r="L2971" s="401"/>
    </row>
    <row r="2972" spans="1:12" s="404" customFormat="1" ht="13">
      <c r="A2972" s="454"/>
      <c r="B2972" s="454"/>
      <c r="C2972" s="433" t="s">
        <v>1184</v>
      </c>
      <c r="D2972" s="409"/>
      <c r="E2972" s="426"/>
      <c r="F2972" s="409"/>
      <c r="G2972" s="410"/>
      <c r="H2972" s="426"/>
      <c r="I2972" s="414">
        <f>SUM(I2961:I2971)</f>
        <v>42317.567820000004</v>
      </c>
      <c r="J2972" s="400"/>
      <c r="K2972" s="401"/>
      <c r="L2972" s="401"/>
    </row>
    <row r="2973" spans="1:12" ht="13">
      <c r="A2973" s="454"/>
      <c r="B2973" s="454"/>
      <c r="C2973" s="433"/>
      <c r="D2973" s="409"/>
      <c r="E2973" s="426"/>
      <c r="F2973" s="409"/>
      <c r="G2973" s="410"/>
      <c r="H2973" s="426"/>
      <c r="I2973" s="414"/>
      <c r="J2973" s="400"/>
      <c r="K2973" s="401"/>
      <c r="L2973" s="401"/>
    </row>
    <row r="2974" spans="1:12" s="554" customFormat="1" ht="13">
      <c r="A2974" s="454"/>
      <c r="B2974" s="454"/>
      <c r="C2974" s="481" t="s">
        <v>953</v>
      </c>
      <c r="D2974" s="414" t="s">
        <v>959</v>
      </c>
      <c r="E2974" s="416" t="s">
        <v>943</v>
      </c>
      <c r="F2974" s="415" t="s">
        <v>944</v>
      </c>
      <c r="G2974" s="414" t="s">
        <v>1036</v>
      </c>
      <c r="H2974" s="414" t="s">
        <v>1037</v>
      </c>
      <c r="I2974" s="414" t="s">
        <v>1038</v>
      </c>
      <c r="J2974" s="400"/>
      <c r="K2974" s="401"/>
      <c r="L2974" s="401"/>
    </row>
    <row r="2975" spans="1:12">
      <c r="A2975" s="454"/>
      <c r="B2975" s="454"/>
      <c r="C2975" s="417" t="s">
        <v>1064</v>
      </c>
      <c r="D2975" s="408">
        <f t="shared" ref="D2975:I2975" si="695">$I$2972</f>
        <v>42317.567820000004</v>
      </c>
      <c r="E2975" s="408">
        <f t="shared" si="695"/>
        <v>42317.567820000004</v>
      </c>
      <c r="F2975" s="408">
        <f t="shared" si="695"/>
        <v>42317.567820000004</v>
      </c>
      <c r="G2975" s="408">
        <f t="shared" si="695"/>
        <v>42317.567820000004</v>
      </c>
      <c r="H2975" s="408">
        <f t="shared" si="695"/>
        <v>42317.567820000004</v>
      </c>
      <c r="I2975" s="408">
        <f t="shared" si="695"/>
        <v>42317.567820000004</v>
      </c>
      <c r="J2975" s="400"/>
      <c r="K2975" s="401"/>
      <c r="L2975" s="401"/>
    </row>
    <row r="2976" spans="1:12">
      <c r="A2976" s="454"/>
      <c r="B2976" s="454"/>
      <c r="C2976" s="417" t="s">
        <v>994</v>
      </c>
      <c r="D2976" s="408">
        <v>0</v>
      </c>
      <c r="E2976" s="408">
        <f>ROUND($F$2970*10%,2)</f>
        <v>645</v>
      </c>
      <c r="F2976" s="408">
        <f>ROUND($F$2970*20%,2)</f>
        <v>1290</v>
      </c>
      <c r="G2976" s="408">
        <f>ROUND($F$2970*30%,2)</f>
        <v>1935</v>
      </c>
      <c r="H2976" s="408">
        <f>ROUND($F$2970*40%,2)</f>
        <v>2580</v>
      </c>
      <c r="I2976" s="408">
        <f>ROUND($F$2970*50%,2)</f>
        <v>3225</v>
      </c>
      <c r="J2976" s="400"/>
      <c r="K2976" s="401"/>
      <c r="L2976" s="401"/>
    </row>
    <row r="2977" spans="1:12">
      <c r="A2977" s="454"/>
      <c r="B2977" s="454"/>
      <c r="C2977" s="417" t="str">
        <f>[161]Input!$C$47</f>
        <v>Add for MA @ 40%</v>
      </c>
      <c r="D2977" s="408">
        <f>D2976*[161]Input!$D$47</f>
        <v>0</v>
      </c>
      <c r="E2977" s="408">
        <f>E2976*[161]Input!$D$47</f>
        <v>258</v>
      </c>
      <c r="F2977" s="408">
        <f>F2976*[161]Input!$D$47</f>
        <v>516</v>
      </c>
      <c r="G2977" s="408">
        <f>G2976*[161]Input!$D$47</f>
        <v>774</v>
      </c>
      <c r="H2977" s="408">
        <f>H2976*[161]Input!$D$47</f>
        <v>1032</v>
      </c>
      <c r="I2977" s="408">
        <f>I2976*[161]Input!$D$47</f>
        <v>1290</v>
      </c>
      <c r="J2977" s="400"/>
      <c r="K2977" s="401"/>
      <c r="L2977" s="401"/>
    </row>
    <row r="2978" spans="1:12">
      <c r="A2978" s="454"/>
      <c r="B2978" s="454"/>
      <c r="C2978" s="469"/>
      <c r="D2978" s="408">
        <f t="shared" ref="D2978:I2978" si="696">SUM(D2975:D2977)</f>
        <v>42317.567820000004</v>
      </c>
      <c r="E2978" s="408">
        <f t="shared" si="696"/>
        <v>43220.567820000004</v>
      </c>
      <c r="F2978" s="408">
        <f t="shared" si="696"/>
        <v>44123.567820000004</v>
      </c>
      <c r="G2978" s="408">
        <f t="shared" si="696"/>
        <v>45026.567820000004</v>
      </c>
      <c r="H2978" s="408">
        <f t="shared" si="696"/>
        <v>45929.567820000004</v>
      </c>
      <c r="I2978" s="408">
        <f t="shared" si="696"/>
        <v>46832.567820000004</v>
      </c>
      <c r="J2978" s="400"/>
      <c r="K2978" s="401"/>
      <c r="L2978" s="401"/>
    </row>
    <row r="2979" spans="1:12" ht="25">
      <c r="A2979" s="454"/>
      <c r="B2979" s="454"/>
      <c r="C2979" s="417" t="str">
        <f>[161]Input!$C$48</f>
        <v>Overheads &amp; Contractors Profit @ 13.615%</v>
      </c>
      <c r="D2979" s="408">
        <f>ROUND(D2978*[161]Input!$D$48,2)</f>
        <v>5761.54</v>
      </c>
      <c r="E2979" s="408">
        <f>ROUND(E2978*[161]Input!$D$48,2)</f>
        <v>5884.48</v>
      </c>
      <c r="F2979" s="408">
        <f>ROUND(F2978*[161]Input!$D$48,2)</f>
        <v>6007.42</v>
      </c>
      <c r="G2979" s="408">
        <f>ROUND(G2978*[161]Input!$D$48,2)</f>
        <v>6130.37</v>
      </c>
      <c r="H2979" s="408">
        <f>ROUND(H2978*[161]Input!$D$48,2)</f>
        <v>6253.31</v>
      </c>
      <c r="I2979" s="408">
        <f>ROUND(I2978*[161]Input!$D$48,2)</f>
        <v>6376.25</v>
      </c>
      <c r="J2979" s="400"/>
      <c r="K2979" s="401"/>
      <c r="L2979" s="401"/>
    </row>
    <row r="2980" spans="1:12" ht="13">
      <c r="A2980" s="454"/>
      <c r="B2980" s="454"/>
      <c r="C2980" s="427" t="s">
        <v>1047</v>
      </c>
      <c r="D2980" s="408">
        <f t="shared" ref="D2980:I2980" si="697">SUM(D2978:D2979)</f>
        <v>48079.107820000005</v>
      </c>
      <c r="E2980" s="408">
        <f t="shared" si="697"/>
        <v>49105.047820000007</v>
      </c>
      <c r="F2980" s="408">
        <f t="shared" si="697"/>
        <v>50130.987820000002</v>
      </c>
      <c r="G2980" s="408">
        <f t="shared" si="697"/>
        <v>51156.937820000006</v>
      </c>
      <c r="H2980" s="408">
        <f t="shared" si="697"/>
        <v>52182.877820000002</v>
      </c>
      <c r="I2980" s="408">
        <f t="shared" si="697"/>
        <v>53208.817820000004</v>
      </c>
      <c r="J2980" s="400"/>
      <c r="K2980" s="401"/>
      <c r="L2980" s="401"/>
    </row>
    <row r="2981" spans="1:12" s="554" customFormat="1" ht="13">
      <c r="A2981" s="454"/>
      <c r="B2981" s="454"/>
      <c r="C2981" s="481" t="s">
        <v>845</v>
      </c>
      <c r="D2981" s="414">
        <f t="shared" ref="D2981:I2981" si="698">D2980/10</f>
        <v>4807.9107820000008</v>
      </c>
      <c r="E2981" s="414">
        <f t="shared" si="698"/>
        <v>4910.5047820000009</v>
      </c>
      <c r="F2981" s="414">
        <f t="shared" si="698"/>
        <v>5013.098782</v>
      </c>
      <c r="G2981" s="414">
        <f t="shared" si="698"/>
        <v>5115.6937820000003</v>
      </c>
      <c r="H2981" s="414">
        <f t="shared" si="698"/>
        <v>5218.2877820000003</v>
      </c>
      <c r="I2981" s="414">
        <f t="shared" si="698"/>
        <v>5320.8817820000004</v>
      </c>
      <c r="J2981" s="400"/>
      <c r="K2981" s="401"/>
      <c r="L2981" s="401"/>
    </row>
    <row r="2982" spans="1:12" s="554" customFormat="1" ht="13">
      <c r="A2982" s="454"/>
      <c r="B2982" s="454"/>
      <c r="C2982" s="522" t="s">
        <v>726</v>
      </c>
      <c r="D2982" s="416">
        <f t="shared" ref="D2982:I2982" si="699">ROUND(D2981,0)</f>
        <v>4808</v>
      </c>
      <c r="E2982" s="416">
        <f t="shared" si="699"/>
        <v>4911</v>
      </c>
      <c r="F2982" s="416">
        <f t="shared" si="699"/>
        <v>5013</v>
      </c>
      <c r="G2982" s="416">
        <f t="shared" si="699"/>
        <v>5116</v>
      </c>
      <c r="H2982" s="416">
        <f t="shared" si="699"/>
        <v>5218</v>
      </c>
      <c r="I2982" s="416">
        <f t="shared" si="699"/>
        <v>5321</v>
      </c>
      <c r="J2982" s="400"/>
      <c r="K2982" s="401"/>
      <c r="L2982" s="401"/>
    </row>
    <row r="2983" spans="1:12" ht="13">
      <c r="A2983" s="454"/>
      <c r="B2983" s="454"/>
      <c r="C2983" s="521"/>
      <c r="D2983" s="408"/>
      <c r="E2983" s="408"/>
      <c r="F2983" s="408"/>
      <c r="G2983" s="426"/>
      <c r="H2983" s="492"/>
      <c r="I2983" s="434"/>
      <c r="J2983" s="400"/>
      <c r="K2983" s="401"/>
      <c r="L2983" s="401"/>
    </row>
    <row r="2984" spans="1:12" ht="13">
      <c r="A2984" s="454"/>
      <c r="B2984" s="454"/>
      <c r="C2984" s="427" t="s">
        <v>953</v>
      </c>
      <c r="D2984" s="414" t="s">
        <v>1118</v>
      </c>
      <c r="E2984" s="414" t="s">
        <v>1119</v>
      </c>
      <c r="F2984" s="414" t="s">
        <v>1120</v>
      </c>
      <c r="G2984" s="426"/>
      <c r="H2984" s="492"/>
      <c r="I2984" s="434"/>
      <c r="J2984" s="400"/>
      <c r="K2984" s="401"/>
      <c r="L2984" s="401"/>
    </row>
    <row r="2985" spans="1:12" ht="13">
      <c r="A2985" s="454"/>
      <c r="B2985" s="454"/>
      <c r="C2985" s="417" t="s">
        <v>1064</v>
      </c>
      <c r="D2985" s="408">
        <f>$I$2972</f>
        <v>42317.567820000004</v>
      </c>
      <c r="E2985" s="408">
        <f>$I$2972</f>
        <v>42317.567820000004</v>
      </c>
      <c r="F2985" s="408">
        <f>$I$2972</f>
        <v>42317.567820000004</v>
      </c>
      <c r="G2985" s="426"/>
      <c r="H2985" s="492"/>
      <c r="I2985" s="434"/>
      <c r="J2985" s="400"/>
      <c r="K2985" s="401"/>
      <c r="L2985" s="401"/>
    </row>
    <row r="2986" spans="1:12" ht="13">
      <c r="A2986" s="454"/>
      <c r="B2986" s="454"/>
      <c r="C2986" s="417" t="s">
        <v>994</v>
      </c>
      <c r="D2986" s="408">
        <f>ROUND($F$2970*60%,2)</f>
        <v>3870</v>
      </c>
      <c r="E2986" s="408">
        <f>ROUND($F$2970*70%,2)</f>
        <v>4515</v>
      </c>
      <c r="F2986" s="408">
        <f>ROUND($F$2970*80%,2)</f>
        <v>5160</v>
      </c>
      <c r="G2986" s="426"/>
      <c r="H2986" s="492"/>
      <c r="I2986" s="434"/>
      <c r="J2986" s="400"/>
      <c r="K2986" s="401"/>
      <c r="L2986" s="401"/>
    </row>
    <row r="2987" spans="1:12" ht="13">
      <c r="A2987" s="454"/>
      <c r="B2987" s="454"/>
      <c r="C2987" s="417" t="str">
        <f>[161]Input!$C$47</f>
        <v>Add for MA @ 40%</v>
      </c>
      <c r="D2987" s="408">
        <f>D2986*[161]Input!$D$47</f>
        <v>1548</v>
      </c>
      <c r="E2987" s="408">
        <f>E2986*[161]Input!$D$47</f>
        <v>1806</v>
      </c>
      <c r="F2987" s="408">
        <f>F2986*[161]Input!$D$47</f>
        <v>2064</v>
      </c>
      <c r="G2987" s="426"/>
      <c r="H2987" s="492"/>
      <c r="I2987" s="434"/>
      <c r="J2987" s="400"/>
      <c r="K2987" s="401"/>
      <c r="L2987" s="401"/>
    </row>
    <row r="2988" spans="1:12" ht="13">
      <c r="A2988" s="454"/>
      <c r="B2988" s="454"/>
      <c r="C2988" s="435"/>
      <c r="D2988" s="408">
        <f>SUM(D2985:D2987)</f>
        <v>47735.567820000004</v>
      </c>
      <c r="E2988" s="408">
        <f>SUM(E2985:E2987)</f>
        <v>48638.567820000004</v>
      </c>
      <c r="F2988" s="408">
        <f>SUM(F2985:F2987)</f>
        <v>49541.567820000004</v>
      </c>
      <c r="G2988" s="426"/>
      <c r="H2988" s="492"/>
      <c r="I2988" s="434"/>
      <c r="J2988" s="400"/>
      <c r="K2988" s="401"/>
      <c r="L2988" s="401"/>
    </row>
    <row r="2989" spans="1:12" ht="25">
      <c r="A2989" s="454"/>
      <c r="B2989" s="454"/>
      <c r="C2989" s="417" t="str">
        <f>[161]Input!$C$48</f>
        <v>Overheads &amp; Contractors Profit @ 13.615%</v>
      </c>
      <c r="D2989" s="408">
        <f>ROUND(D2988*[161]Input!$D$48,2)</f>
        <v>6499.2</v>
      </c>
      <c r="E2989" s="408">
        <f>ROUND(E2988*[161]Input!$D$48,2)</f>
        <v>6622.14</v>
      </c>
      <c r="F2989" s="408">
        <f>ROUND(F2988*[161]Input!$D$48,2)</f>
        <v>6745.08</v>
      </c>
      <c r="G2989" s="426"/>
      <c r="H2989" s="492"/>
      <c r="I2989" s="434"/>
      <c r="J2989" s="400"/>
      <c r="K2989" s="401"/>
      <c r="L2989" s="401"/>
    </row>
    <row r="2990" spans="1:12" ht="13">
      <c r="A2990" s="454"/>
      <c r="B2990" s="454"/>
      <c r="C2990" s="427" t="s">
        <v>1047</v>
      </c>
      <c r="D2990" s="408">
        <f>SUM(D2988:D2989)</f>
        <v>54234.767820000001</v>
      </c>
      <c r="E2990" s="408">
        <f>SUM(E2988:E2989)</f>
        <v>55260.707820000003</v>
      </c>
      <c r="F2990" s="408">
        <f>SUM(F2988:F2989)</f>
        <v>56286.647820000006</v>
      </c>
      <c r="G2990" s="426"/>
      <c r="H2990" s="492"/>
      <c r="I2990" s="434"/>
      <c r="J2990" s="400"/>
      <c r="K2990" s="401"/>
      <c r="L2990" s="401"/>
    </row>
    <row r="2991" spans="1:12" ht="13">
      <c r="A2991" s="454"/>
      <c r="B2991" s="454"/>
      <c r="C2991" s="427" t="s">
        <v>845</v>
      </c>
      <c r="D2991" s="414">
        <f>D2990/10</f>
        <v>5423.4767819999997</v>
      </c>
      <c r="E2991" s="414">
        <f>E2990/10</f>
        <v>5526.0707820000007</v>
      </c>
      <c r="F2991" s="414">
        <f>F2990/10</f>
        <v>5628.6647820000007</v>
      </c>
      <c r="G2991" s="426"/>
      <c r="H2991" s="492"/>
      <c r="I2991" s="434"/>
      <c r="J2991" s="400"/>
      <c r="K2991" s="401"/>
      <c r="L2991" s="401"/>
    </row>
    <row r="2992" spans="1:12" ht="13">
      <c r="A2992" s="454"/>
      <c r="B2992" s="454"/>
      <c r="C2992" s="514" t="s">
        <v>726</v>
      </c>
      <c r="D2992" s="416">
        <f>ROUND(D2991,0)</f>
        <v>5423</v>
      </c>
      <c r="E2992" s="416">
        <f>ROUND(E2991,0)</f>
        <v>5526</v>
      </c>
      <c r="F2992" s="416">
        <f>ROUND(F2991,0)</f>
        <v>5629</v>
      </c>
      <c r="G2992" s="426"/>
      <c r="H2992" s="492"/>
      <c r="I2992" s="434"/>
      <c r="J2992" s="400"/>
      <c r="K2992" s="401"/>
      <c r="L2992" s="401"/>
    </row>
    <row r="2993" spans="1:64" ht="13">
      <c r="A2993" s="454"/>
      <c r="B2993" s="454"/>
      <c r="C2993" s="521"/>
      <c r="D2993" s="408"/>
      <c r="E2993" s="408"/>
      <c r="F2993" s="408"/>
      <c r="G2993" s="426"/>
      <c r="H2993" s="492"/>
      <c r="I2993" s="434"/>
      <c r="J2993" s="400"/>
      <c r="K2993" s="401"/>
      <c r="L2993" s="401"/>
    </row>
    <row r="2994" spans="1:64" ht="97.75" customHeight="1">
      <c r="A2994" s="454">
        <f>A2957+1</f>
        <v>13</v>
      </c>
      <c r="B2994" s="454"/>
      <c r="C2994" s="1276" t="s">
        <v>1231</v>
      </c>
      <c r="D2994" s="1276"/>
      <c r="E2994" s="1276"/>
      <c r="F2994" s="1276"/>
      <c r="G2994" s="1276"/>
      <c r="H2994" s="1276"/>
      <c r="I2994" s="407"/>
      <c r="J2994" s="400"/>
      <c r="K2994" s="401"/>
      <c r="L2994" s="401"/>
    </row>
    <row r="2995" spans="1:64" ht="13">
      <c r="A2995" s="454"/>
      <c r="B2995" s="454"/>
      <c r="C2995" s="455" t="s">
        <v>1228</v>
      </c>
      <c r="D2995" s="426"/>
      <c r="E2995" s="426"/>
      <c r="F2995" s="426"/>
      <c r="G2995" s="426"/>
      <c r="H2995" s="426"/>
      <c r="I2995" s="409"/>
      <c r="J2995" s="400"/>
      <c r="K2995" s="401"/>
      <c r="L2995" s="401"/>
    </row>
    <row r="2996" spans="1:64">
      <c r="A2996" s="454"/>
      <c r="B2996" s="454"/>
      <c r="C2996" s="483" t="s">
        <v>1167</v>
      </c>
      <c r="D2996" s="426"/>
      <c r="E2996" s="426"/>
      <c r="F2996" s="426"/>
      <c r="G2996" s="426"/>
      <c r="H2996" s="426"/>
      <c r="I2996" s="409"/>
      <c r="J2996" s="400"/>
      <c r="K2996" s="401"/>
      <c r="L2996" s="401"/>
    </row>
    <row r="2997" spans="1:64" ht="13">
      <c r="A2997" s="454"/>
      <c r="B2997" s="454"/>
      <c r="C2997" s="433" t="s">
        <v>1168</v>
      </c>
      <c r="D2997" s="409"/>
      <c r="E2997" s="426"/>
      <c r="F2997" s="409"/>
      <c r="G2997" s="410"/>
      <c r="H2997" s="426"/>
      <c r="I2997" s="408"/>
      <c r="J2997" s="400"/>
      <c r="K2997" s="401"/>
      <c r="L2997" s="401"/>
    </row>
    <row r="2998" spans="1:64" ht="25">
      <c r="A2998" s="458"/>
      <c r="B2998" s="458"/>
      <c r="C2998" s="417" t="s">
        <v>1232</v>
      </c>
      <c r="D2998" s="432">
        <v>10.5</v>
      </c>
      <c r="E2998" s="406" t="s">
        <v>62</v>
      </c>
      <c r="F2998" s="432">
        <f>[161]LEAD!$N$29</f>
        <v>2576</v>
      </c>
      <c r="G2998" s="431">
        <v>1</v>
      </c>
      <c r="H2998" s="406" t="s">
        <v>62</v>
      </c>
      <c r="I2998" s="459">
        <f t="shared" ref="I2998:I3002" si="700">IF(G2998="",D2998*F2998,(D2998*F2998/G2998))</f>
        <v>27048</v>
      </c>
      <c r="J2998" s="462"/>
      <c r="K2998" s="463"/>
      <c r="L2998" s="463"/>
      <c r="M2998" s="559"/>
      <c r="N2998" s="559"/>
      <c r="O2998" s="559"/>
      <c r="P2998" s="559"/>
      <c r="Q2998" s="559"/>
      <c r="R2998" s="559"/>
      <c r="S2998" s="559"/>
      <c r="T2998" s="559"/>
      <c r="U2998" s="559"/>
      <c r="V2998" s="559"/>
      <c r="W2998" s="559"/>
      <c r="X2998" s="559"/>
      <c r="Y2998" s="559"/>
      <c r="Z2998" s="559"/>
      <c r="AA2998" s="559"/>
      <c r="AB2998" s="559"/>
      <c r="AC2998" s="559"/>
      <c r="AD2998" s="559"/>
      <c r="AE2998" s="559"/>
      <c r="AF2998" s="559"/>
      <c r="AG2998" s="559"/>
      <c r="AH2998" s="559"/>
      <c r="AI2998" s="559"/>
      <c r="AJ2998" s="559"/>
      <c r="AK2998" s="559"/>
      <c r="AL2998" s="559"/>
      <c r="AM2998" s="559"/>
      <c r="AN2998" s="559"/>
      <c r="AO2998" s="559"/>
      <c r="AP2998" s="559"/>
      <c r="AQ2998" s="559"/>
      <c r="AR2998" s="559"/>
      <c r="AS2998" s="559"/>
      <c r="AT2998" s="559"/>
      <c r="AU2998" s="559"/>
      <c r="AV2998" s="559"/>
      <c r="AW2998" s="559"/>
      <c r="AX2998" s="559"/>
      <c r="AY2998" s="559"/>
      <c r="AZ2998" s="559"/>
      <c r="BA2998" s="559"/>
      <c r="BB2998" s="559"/>
      <c r="BC2998" s="559"/>
      <c r="BD2998" s="559"/>
      <c r="BE2998" s="559"/>
      <c r="BF2998" s="559"/>
      <c r="BG2998" s="559"/>
      <c r="BH2998" s="559"/>
      <c r="BI2998" s="559"/>
      <c r="BJ2998" s="559"/>
      <c r="BK2998" s="559"/>
      <c r="BL2998" s="559"/>
    </row>
    <row r="2999" spans="1:64">
      <c r="A2999" s="458"/>
      <c r="B2999" s="458"/>
      <c r="C2999" s="417" t="s">
        <v>1226</v>
      </c>
      <c r="D2999" s="432">
        <v>36</v>
      </c>
      <c r="E2999" s="406" t="s">
        <v>833</v>
      </c>
      <c r="F2999" s="432">
        <f>[161]LEAD!$N$6</f>
        <v>5200</v>
      </c>
      <c r="G2999" s="431">
        <v>1000</v>
      </c>
      <c r="H2999" s="406" t="s">
        <v>833</v>
      </c>
      <c r="I2999" s="459">
        <f t="shared" si="700"/>
        <v>187.2</v>
      </c>
      <c r="J2999" s="462"/>
      <c r="K2999" s="463"/>
      <c r="L2999" s="463"/>
      <c r="M2999" s="559"/>
      <c r="N2999" s="559"/>
      <c r="O2999" s="559"/>
      <c r="P2999" s="559"/>
      <c r="Q2999" s="559"/>
      <c r="R2999" s="559"/>
      <c r="S2999" s="559"/>
      <c r="T2999" s="559"/>
      <c r="U2999" s="559"/>
      <c r="V2999" s="559"/>
      <c r="W2999" s="559"/>
      <c r="X2999" s="559"/>
      <c r="Y2999" s="559"/>
      <c r="Z2999" s="559"/>
      <c r="AA2999" s="559"/>
      <c r="AB2999" s="559"/>
      <c r="AC2999" s="559"/>
      <c r="AD2999" s="559"/>
      <c r="AE2999" s="559"/>
      <c r="AF2999" s="559"/>
      <c r="AG2999" s="559"/>
      <c r="AH2999" s="559"/>
      <c r="AI2999" s="559"/>
      <c r="AJ2999" s="559"/>
      <c r="AK2999" s="559"/>
      <c r="AL2999" s="559"/>
      <c r="AM2999" s="559"/>
      <c r="AN2999" s="559"/>
      <c r="AO2999" s="559"/>
      <c r="AP2999" s="559"/>
      <c r="AQ2999" s="559"/>
      <c r="AR2999" s="559"/>
      <c r="AS2999" s="559"/>
      <c r="AT2999" s="559"/>
      <c r="AU2999" s="559"/>
      <c r="AV2999" s="559"/>
      <c r="AW2999" s="559"/>
      <c r="AX2999" s="559"/>
      <c r="AY2999" s="559"/>
      <c r="AZ2999" s="559"/>
      <c r="BA2999" s="559"/>
      <c r="BB2999" s="559"/>
      <c r="BC2999" s="559"/>
      <c r="BD2999" s="559"/>
      <c r="BE2999" s="559"/>
      <c r="BF2999" s="559"/>
      <c r="BG2999" s="559"/>
      <c r="BH2999" s="559"/>
      <c r="BI2999" s="559"/>
      <c r="BJ2999" s="559"/>
      <c r="BK2999" s="559"/>
      <c r="BL2999" s="559"/>
    </row>
    <row r="3000" spans="1:64">
      <c r="A3000" s="458"/>
      <c r="B3000" s="458"/>
      <c r="C3000" s="417" t="s">
        <v>1171</v>
      </c>
      <c r="D3000" s="432">
        <v>33</v>
      </c>
      <c r="E3000" s="406" t="s">
        <v>833</v>
      </c>
      <c r="F3000" s="432">
        <f>[161]LEAD!$N$6</f>
        <v>5200</v>
      </c>
      <c r="G3000" s="431">
        <v>1000</v>
      </c>
      <c r="H3000" s="406" t="s">
        <v>833</v>
      </c>
      <c r="I3000" s="459">
        <f t="shared" si="700"/>
        <v>171.6</v>
      </c>
      <c r="J3000" s="462"/>
      <c r="K3000" s="463"/>
      <c r="L3000" s="463"/>
      <c r="M3000" s="559"/>
      <c r="N3000" s="559"/>
      <c r="O3000" s="559"/>
      <c r="P3000" s="559"/>
      <c r="Q3000" s="559"/>
      <c r="R3000" s="559"/>
      <c r="S3000" s="559"/>
      <c r="T3000" s="559"/>
      <c r="U3000" s="559"/>
      <c r="V3000" s="559"/>
      <c r="W3000" s="559"/>
      <c r="X3000" s="559"/>
      <c r="Y3000" s="559"/>
      <c r="Z3000" s="559"/>
      <c r="AA3000" s="559"/>
      <c r="AB3000" s="559"/>
      <c r="AC3000" s="559"/>
      <c r="AD3000" s="559"/>
      <c r="AE3000" s="559"/>
      <c r="AF3000" s="559"/>
      <c r="AG3000" s="559"/>
      <c r="AH3000" s="559"/>
      <c r="AI3000" s="559"/>
      <c r="AJ3000" s="559"/>
      <c r="AK3000" s="559"/>
      <c r="AL3000" s="559"/>
      <c r="AM3000" s="559"/>
      <c r="AN3000" s="559"/>
      <c r="AO3000" s="559"/>
      <c r="AP3000" s="559"/>
      <c r="AQ3000" s="559"/>
      <c r="AR3000" s="559"/>
      <c r="AS3000" s="559"/>
      <c r="AT3000" s="559"/>
      <c r="AU3000" s="559"/>
      <c r="AV3000" s="559"/>
      <c r="AW3000" s="559"/>
      <c r="AX3000" s="559"/>
      <c r="AY3000" s="559"/>
      <c r="AZ3000" s="559"/>
      <c r="BA3000" s="559"/>
      <c r="BB3000" s="559"/>
      <c r="BC3000" s="559"/>
      <c r="BD3000" s="559"/>
      <c r="BE3000" s="559"/>
      <c r="BF3000" s="559"/>
      <c r="BG3000" s="559"/>
      <c r="BH3000" s="559"/>
      <c r="BI3000" s="559"/>
      <c r="BJ3000" s="559"/>
      <c r="BK3000" s="559"/>
      <c r="BL3000" s="559"/>
    </row>
    <row r="3001" spans="1:64">
      <c r="A3001" s="458"/>
      <c r="B3001" s="458"/>
      <c r="C3001" s="417" t="s">
        <v>1230</v>
      </c>
      <c r="D3001" s="432">
        <v>6</v>
      </c>
      <c r="E3001" s="406" t="s">
        <v>833</v>
      </c>
      <c r="F3001" s="432">
        <f>'[161]Civil-SOR'!$G$185</f>
        <v>34</v>
      </c>
      <c r="G3001" s="431">
        <v>1</v>
      </c>
      <c r="H3001" s="406" t="s">
        <v>312</v>
      </c>
      <c r="I3001" s="459">
        <f t="shared" si="700"/>
        <v>204</v>
      </c>
      <c r="J3001" s="462"/>
      <c r="K3001" s="463"/>
      <c r="L3001" s="463"/>
      <c r="M3001" s="559"/>
      <c r="N3001" s="559"/>
      <c r="O3001" s="559"/>
      <c r="P3001" s="559"/>
      <c r="Q3001" s="559"/>
      <c r="R3001" s="559"/>
      <c r="S3001" s="559"/>
      <c r="T3001" s="559"/>
      <c r="U3001" s="559"/>
      <c r="V3001" s="559"/>
      <c r="W3001" s="559"/>
      <c r="X3001" s="559"/>
      <c r="Y3001" s="559"/>
      <c r="Z3001" s="559"/>
      <c r="AA3001" s="559"/>
      <c r="AB3001" s="559"/>
      <c r="AC3001" s="559"/>
      <c r="AD3001" s="559"/>
      <c r="AE3001" s="559"/>
      <c r="AF3001" s="559"/>
      <c r="AG3001" s="559"/>
      <c r="AH3001" s="559"/>
      <c r="AI3001" s="559"/>
      <c r="AJ3001" s="559"/>
      <c r="AK3001" s="559"/>
      <c r="AL3001" s="559"/>
      <c r="AM3001" s="559"/>
      <c r="AN3001" s="559"/>
      <c r="AO3001" s="559"/>
      <c r="AP3001" s="559"/>
      <c r="AQ3001" s="559"/>
      <c r="AR3001" s="559"/>
      <c r="AS3001" s="559"/>
      <c r="AT3001" s="559"/>
      <c r="AU3001" s="559"/>
      <c r="AV3001" s="559"/>
      <c r="AW3001" s="559"/>
      <c r="AX3001" s="559"/>
      <c r="AY3001" s="559"/>
      <c r="AZ3001" s="559"/>
      <c r="BA3001" s="559"/>
      <c r="BB3001" s="559"/>
      <c r="BC3001" s="559"/>
      <c r="BD3001" s="559"/>
      <c r="BE3001" s="559"/>
      <c r="BF3001" s="559"/>
      <c r="BG3001" s="559"/>
      <c r="BH3001" s="559"/>
      <c r="BI3001" s="559"/>
      <c r="BJ3001" s="559"/>
      <c r="BK3001" s="559"/>
      <c r="BL3001" s="559"/>
    </row>
    <row r="3002" spans="1:64">
      <c r="A3002" s="458"/>
      <c r="B3002" s="458"/>
      <c r="C3002" s="417" t="s">
        <v>1173</v>
      </c>
      <c r="D3002" s="432">
        <v>0.2</v>
      </c>
      <c r="E3002" s="406" t="s">
        <v>57</v>
      </c>
      <c r="F3002" s="432">
        <f>[161]LEAD!$N$13</f>
        <v>2453.91</v>
      </c>
      <c r="G3002" s="431">
        <v>1</v>
      </c>
      <c r="H3002" s="406" t="s">
        <v>57</v>
      </c>
      <c r="I3002" s="459">
        <f t="shared" si="700"/>
        <v>490.78199999999998</v>
      </c>
      <c r="J3002" s="462"/>
      <c r="K3002" s="463"/>
      <c r="L3002" s="463"/>
      <c r="M3002" s="559"/>
      <c r="N3002" s="559"/>
      <c r="O3002" s="559"/>
      <c r="P3002" s="559"/>
      <c r="Q3002" s="559"/>
      <c r="R3002" s="559"/>
      <c r="S3002" s="559"/>
      <c r="T3002" s="559"/>
      <c r="U3002" s="559"/>
      <c r="V3002" s="559"/>
      <c r="W3002" s="559"/>
      <c r="X3002" s="559"/>
      <c r="Y3002" s="559"/>
      <c r="Z3002" s="559"/>
      <c r="AA3002" s="559"/>
      <c r="AB3002" s="559"/>
      <c r="AC3002" s="559"/>
      <c r="AD3002" s="559"/>
      <c r="AE3002" s="559"/>
      <c r="AF3002" s="559"/>
      <c r="AG3002" s="559"/>
      <c r="AH3002" s="559"/>
      <c r="AI3002" s="559"/>
      <c r="AJ3002" s="559"/>
      <c r="AK3002" s="559"/>
      <c r="AL3002" s="559"/>
      <c r="AM3002" s="559"/>
      <c r="AN3002" s="559"/>
      <c r="AO3002" s="559"/>
      <c r="AP3002" s="559"/>
      <c r="AQ3002" s="559"/>
      <c r="AR3002" s="559"/>
      <c r="AS3002" s="559"/>
      <c r="AT3002" s="559"/>
      <c r="AU3002" s="559"/>
      <c r="AV3002" s="559"/>
      <c r="AW3002" s="559"/>
      <c r="AX3002" s="559"/>
      <c r="AY3002" s="559"/>
      <c r="AZ3002" s="559"/>
      <c r="BA3002" s="559"/>
      <c r="BB3002" s="559"/>
      <c r="BC3002" s="559"/>
      <c r="BD3002" s="559"/>
      <c r="BE3002" s="559"/>
      <c r="BF3002" s="559"/>
      <c r="BG3002" s="559"/>
      <c r="BH3002" s="559"/>
      <c r="BI3002" s="559"/>
      <c r="BJ3002" s="559"/>
      <c r="BK3002" s="559"/>
      <c r="BL3002" s="559"/>
    </row>
    <row r="3003" spans="1:64" ht="13">
      <c r="A3003" s="458"/>
      <c r="B3003" s="458"/>
      <c r="C3003" s="427" t="s">
        <v>1073</v>
      </c>
      <c r="D3003" s="432"/>
      <c r="E3003" s="406"/>
      <c r="F3003" s="432"/>
      <c r="G3003" s="431"/>
      <c r="H3003" s="406"/>
      <c r="I3003" s="459"/>
      <c r="J3003" s="462"/>
      <c r="K3003" s="463"/>
      <c r="L3003" s="463"/>
      <c r="M3003" s="559"/>
      <c r="N3003" s="559"/>
      <c r="O3003" s="559"/>
      <c r="P3003" s="559"/>
      <c r="Q3003" s="559"/>
      <c r="R3003" s="559"/>
      <c r="S3003" s="559"/>
      <c r="T3003" s="559"/>
      <c r="U3003" s="559"/>
      <c r="V3003" s="559"/>
      <c r="W3003" s="559"/>
      <c r="X3003" s="559"/>
      <c r="Y3003" s="559"/>
      <c r="Z3003" s="559"/>
      <c r="AA3003" s="559"/>
      <c r="AB3003" s="559"/>
      <c r="AC3003" s="559"/>
      <c r="AD3003" s="559"/>
      <c r="AE3003" s="559"/>
      <c r="AF3003" s="559"/>
      <c r="AG3003" s="559"/>
      <c r="AH3003" s="559"/>
      <c r="AI3003" s="559"/>
      <c r="AJ3003" s="559"/>
      <c r="AK3003" s="559"/>
      <c r="AL3003" s="559"/>
      <c r="AM3003" s="559"/>
      <c r="AN3003" s="559"/>
      <c r="AO3003" s="559"/>
      <c r="AP3003" s="559"/>
      <c r="AQ3003" s="559"/>
      <c r="AR3003" s="559"/>
      <c r="AS3003" s="559"/>
      <c r="AT3003" s="559"/>
      <c r="AU3003" s="559"/>
      <c r="AV3003" s="559"/>
      <c r="AW3003" s="559"/>
      <c r="AX3003" s="559"/>
      <c r="AY3003" s="559"/>
      <c r="AZ3003" s="559"/>
      <c r="BA3003" s="559"/>
      <c r="BB3003" s="559"/>
      <c r="BC3003" s="559"/>
      <c r="BD3003" s="559"/>
      <c r="BE3003" s="559"/>
      <c r="BF3003" s="559"/>
      <c r="BG3003" s="559"/>
      <c r="BH3003" s="559"/>
      <c r="BI3003" s="559"/>
      <c r="BJ3003" s="559"/>
      <c r="BK3003" s="559"/>
      <c r="BL3003" s="559"/>
    </row>
    <row r="3004" spans="1:64">
      <c r="A3004" s="458"/>
      <c r="B3004" s="458"/>
      <c r="C3004" s="417" t="s">
        <v>1044</v>
      </c>
      <c r="D3004" s="432">
        <v>3</v>
      </c>
      <c r="E3004" s="406" t="s">
        <v>14</v>
      </c>
      <c r="F3004" s="432">
        <f>'[161]Civil-SOR'!$G$293</f>
        <v>580</v>
      </c>
      <c r="G3004" s="431">
        <v>1</v>
      </c>
      <c r="H3004" s="406" t="s">
        <v>572</v>
      </c>
      <c r="I3004" s="459">
        <f t="shared" ref="I3004:I3011" si="701">IF(G3004="",D3004*F3004,(D3004*F3004/G3004))</f>
        <v>1740</v>
      </c>
      <c r="J3004" s="462"/>
      <c r="K3004" s="463"/>
      <c r="L3004" s="463"/>
      <c r="M3004" s="559"/>
      <c r="N3004" s="559"/>
      <c r="O3004" s="559"/>
      <c r="P3004" s="559"/>
      <c r="Q3004" s="559"/>
      <c r="R3004" s="559"/>
      <c r="S3004" s="559"/>
      <c r="T3004" s="559"/>
      <c r="U3004" s="559"/>
      <c r="V3004" s="559"/>
      <c r="W3004" s="559"/>
      <c r="X3004" s="559"/>
      <c r="Y3004" s="559"/>
      <c r="Z3004" s="559"/>
      <c r="AA3004" s="559"/>
      <c r="AB3004" s="559"/>
      <c r="AC3004" s="559"/>
      <c r="AD3004" s="559"/>
      <c r="AE3004" s="559"/>
      <c r="AF3004" s="559"/>
      <c r="AG3004" s="559"/>
      <c r="AH3004" s="559"/>
      <c r="AI3004" s="559"/>
      <c r="AJ3004" s="559"/>
      <c r="AK3004" s="559"/>
      <c r="AL3004" s="559"/>
      <c r="AM3004" s="559"/>
      <c r="AN3004" s="559"/>
      <c r="AO3004" s="559"/>
      <c r="AP3004" s="559"/>
      <c r="AQ3004" s="559"/>
      <c r="AR3004" s="559"/>
      <c r="AS3004" s="559"/>
      <c r="AT3004" s="559"/>
      <c r="AU3004" s="559"/>
      <c r="AV3004" s="559"/>
      <c r="AW3004" s="559"/>
      <c r="AX3004" s="559"/>
      <c r="AY3004" s="559"/>
      <c r="AZ3004" s="559"/>
      <c r="BA3004" s="559"/>
      <c r="BB3004" s="559"/>
      <c r="BC3004" s="559"/>
      <c r="BD3004" s="559"/>
      <c r="BE3004" s="559"/>
      <c r="BF3004" s="559"/>
      <c r="BG3004" s="559"/>
      <c r="BH3004" s="559"/>
      <c r="BI3004" s="559"/>
      <c r="BJ3004" s="559"/>
      <c r="BK3004" s="559"/>
      <c r="BL3004" s="559"/>
    </row>
    <row r="3005" spans="1:64">
      <c r="A3005" s="458"/>
      <c r="B3005" s="458"/>
      <c r="C3005" s="417" t="s">
        <v>1074</v>
      </c>
      <c r="D3005" s="432">
        <v>1</v>
      </c>
      <c r="E3005" s="406" t="s">
        <v>14</v>
      </c>
      <c r="F3005" s="432">
        <f>'[161]Civil-SOR'!$G$302</f>
        <v>550</v>
      </c>
      <c r="G3005" s="431">
        <v>1</v>
      </c>
      <c r="H3005" s="406" t="s">
        <v>572</v>
      </c>
      <c r="I3005" s="459">
        <f t="shared" si="701"/>
        <v>550</v>
      </c>
      <c r="J3005" s="462"/>
      <c r="K3005" s="463"/>
      <c r="L3005" s="463"/>
      <c r="M3005" s="559"/>
      <c r="N3005" s="559"/>
      <c r="O3005" s="559"/>
      <c r="P3005" s="559"/>
      <c r="Q3005" s="559"/>
      <c r="R3005" s="559"/>
      <c r="S3005" s="559"/>
      <c r="T3005" s="559"/>
      <c r="U3005" s="559"/>
      <c r="V3005" s="559"/>
      <c r="W3005" s="559"/>
      <c r="X3005" s="559"/>
      <c r="Y3005" s="559"/>
      <c r="Z3005" s="559"/>
      <c r="AA3005" s="559"/>
      <c r="AB3005" s="559"/>
      <c r="AC3005" s="559"/>
      <c r="AD3005" s="559"/>
      <c r="AE3005" s="559"/>
      <c r="AF3005" s="559"/>
      <c r="AG3005" s="559"/>
      <c r="AH3005" s="559"/>
      <c r="AI3005" s="559"/>
      <c r="AJ3005" s="559"/>
      <c r="AK3005" s="559"/>
      <c r="AL3005" s="559"/>
      <c r="AM3005" s="559"/>
      <c r="AN3005" s="559"/>
      <c r="AO3005" s="559"/>
      <c r="AP3005" s="559"/>
      <c r="AQ3005" s="559"/>
      <c r="AR3005" s="559"/>
      <c r="AS3005" s="559"/>
      <c r="AT3005" s="559"/>
      <c r="AU3005" s="559"/>
      <c r="AV3005" s="559"/>
      <c r="AW3005" s="559"/>
      <c r="AX3005" s="559"/>
      <c r="AY3005" s="559"/>
      <c r="AZ3005" s="559"/>
      <c r="BA3005" s="559"/>
      <c r="BB3005" s="559"/>
      <c r="BC3005" s="559"/>
      <c r="BD3005" s="559"/>
      <c r="BE3005" s="559"/>
      <c r="BF3005" s="559"/>
      <c r="BG3005" s="559"/>
      <c r="BH3005" s="559"/>
      <c r="BI3005" s="559"/>
      <c r="BJ3005" s="559"/>
      <c r="BK3005" s="559"/>
      <c r="BL3005" s="559"/>
    </row>
    <row r="3006" spans="1:64">
      <c r="A3006" s="458"/>
      <c r="B3006" s="458"/>
      <c r="C3006" s="417" t="s">
        <v>1174</v>
      </c>
      <c r="D3006" s="432">
        <v>8</v>
      </c>
      <c r="E3006" s="406" t="s">
        <v>14</v>
      </c>
      <c r="F3006" s="432">
        <f>'[161]Civil-SOR'!$G$307</f>
        <v>520</v>
      </c>
      <c r="G3006" s="431">
        <v>1</v>
      </c>
      <c r="H3006" s="406" t="s">
        <v>572</v>
      </c>
      <c r="I3006" s="459">
        <f t="shared" si="701"/>
        <v>4160</v>
      </c>
      <c r="J3006" s="462"/>
      <c r="K3006" s="463"/>
      <c r="L3006" s="463"/>
      <c r="M3006" s="559"/>
      <c r="N3006" s="559"/>
      <c r="O3006" s="559"/>
      <c r="P3006" s="559"/>
      <c r="Q3006" s="559"/>
      <c r="R3006" s="559"/>
      <c r="S3006" s="559"/>
      <c r="T3006" s="559"/>
      <c r="U3006" s="559"/>
      <c r="V3006" s="559"/>
      <c r="W3006" s="559"/>
      <c r="X3006" s="559"/>
      <c r="Y3006" s="559"/>
      <c r="Z3006" s="559"/>
      <c r="AA3006" s="559"/>
      <c r="AB3006" s="559"/>
      <c r="AC3006" s="559"/>
      <c r="AD3006" s="559"/>
      <c r="AE3006" s="559"/>
      <c r="AF3006" s="559"/>
      <c r="AG3006" s="559"/>
      <c r="AH3006" s="559"/>
      <c r="AI3006" s="559"/>
      <c r="AJ3006" s="559"/>
      <c r="AK3006" s="559"/>
      <c r="AL3006" s="559"/>
      <c r="AM3006" s="559"/>
      <c r="AN3006" s="559"/>
      <c r="AO3006" s="559"/>
      <c r="AP3006" s="559"/>
      <c r="AQ3006" s="559"/>
      <c r="AR3006" s="559"/>
      <c r="AS3006" s="559"/>
      <c r="AT3006" s="559"/>
      <c r="AU3006" s="559"/>
      <c r="AV3006" s="559"/>
      <c r="AW3006" s="559"/>
      <c r="AX3006" s="559"/>
      <c r="AY3006" s="559"/>
      <c r="AZ3006" s="559"/>
      <c r="BA3006" s="559"/>
      <c r="BB3006" s="559"/>
      <c r="BC3006" s="559"/>
      <c r="BD3006" s="559"/>
      <c r="BE3006" s="559"/>
      <c r="BF3006" s="559"/>
      <c r="BG3006" s="559"/>
      <c r="BH3006" s="559"/>
      <c r="BI3006" s="559"/>
      <c r="BJ3006" s="559"/>
      <c r="BK3006" s="559"/>
      <c r="BL3006" s="559"/>
    </row>
    <row r="3007" spans="1:64">
      <c r="A3007" s="458"/>
      <c r="B3007" s="458"/>
      <c r="C3007" s="417" t="str">
        <f>[161]Input!$C$47</f>
        <v>Add for MA @ 40%</v>
      </c>
      <c r="D3007" s="622">
        <f>[161]Input!$D$47</f>
        <v>0.4</v>
      </c>
      <c r="E3007" s="406"/>
      <c r="F3007" s="432">
        <f>SUM(I3004:I3006)</f>
        <v>6450</v>
      </c>
      <c r="G3007" s="431"/>
      <c r="H3007" s="406"/>
      <c r="I3007" s="459">
        <f t="shared" si="701"/>
        <v>2580</v>
      </c>
      <c r="J3007" s="462"/>
      <c r="K3007" s="463"/>
      <c r="L3007" s="463"/>
      <c r="M3007" s="559"/>
      <c r="N3007" s="559"/>
      <c r="O3007" s="559"/>
      <c r="P3007" s="559"/>
      <c r="Q3007" s="559"/>
      <c r="R3007" s="559"/>
      <c r="S3007" s="559"/>
      <c r="T3007" s="559"/>
      <c r="U3007" s="559"/>
      <c r="V3007" s="559"/>
      <c r="W3007" s="559"/>
      <c r="X3007" s="559"/>
      <c r="Y3007" s="559"/>
      <c r="Z3007" s="559"/>
      <c r="AA3007" s="559"/>
      <c r="AB3007" s="559"/>
      <c r="AC3007" s="559"/>
      <c r="AD3007" s="559"/>
      <c r="AE3007" s="559"/>
      <c r="AF3007" s="559"/>
      <c r="AG3007" s="559"/>
      <c r="AH3007" s="559"/>
      <c r="AI3007" s="559"/>
      <c r="AJ3007" s="559"/>
      <c r="AK3007" s="559"/>
      <c r="AL3007" s="559"/>
      <c r="AM3007" s="559"/>
      <c r="AN3007" s="559"/>
      <c r="AO3007" s="559"/>
      <c r="AP3007" s="559"/>
      <c r="AQ3007" s="559"/>
      <c r="AR3007" s="559"/>
      <c r="AS3007" s="559"/>
      <c r="AT3007" s="559"/>
      <c r="AU3007" s="559"/>
      <c r="AV3007" s="559"/>
      <c r="AW3007" s="559"/>
      <c r="AX3007" s="559"/>
      <c r="AY3007" s="559"/>
      <c r="AZ3007" s="559"/>
      <c r="BA3007" s="559"/>
      <c r="BB3007" s="559"/>
      <c r="BC3007" s="559"/>
      <c r="BD3007" s="559"/>
      <c r="BE3007" s="559"/>
      <c r="BF3007" s="559"/>
      <c r="BG3007" s="559"/>
      <c r="BH3007" s="559"/>
      <c r="BI3007" s="559"/>
      <c r="BJ3007" s="559"/>
      <c r="BK3007" s="559"/>
      <c r="BL3007" s="559"/>
    </row>
    <row r="3008" spans="1:64">
      <c r="A3008" s="458"/>
      <c r="B3008" s="458"/>
      <c r="C3008" s="417" t="s">
        <v>1233</v>
      </c>
      <c r="D3008" s="622">
        <v>16.670000000000002</v>
      </c>
      <c r="E3008" s="406" t="s">
        <v>1052</v>
      </c>
      <c r="F3008" s="432">
        <f>'[161]Civil-SOR'!$G$200</f>
        <v>24</v>
      </c>
      <c r="G3008" s="431">
        <v>1</v>
      </c>
      <c r="H3008" s="406" t="s">
        <v>1052</v>
      </c>
      <c r="I3008" s="459">
        <f t="shared" si="701"/>
        <v>400.08000000000004</v>
      </c>
      <c r="J3008" s="462"/>
      <c r="K3008" s="463"/>
      <c r="L3008" s="463"/>
      <c r="M3008" s="559"/>
      <c r="N3008" s="559"/>
      <c r="O3008" s="559"/>
      <c r="P3008" s="559"/>
      <c r="Q3008" s="559"/>
      <c r="R3008" s="559"/>
      <c r="S3008" s="559"/>
      <c r="T3008" s="559"/>
      <c r="U3008" s="559"/>
      <c r="V3008" s="559"/>
      <c r="W3008" s="559"/>
      <c r="X3008" s="559"/>
      <c r="Y3008" s="559"/>
      <c r="Z3008" s="559"/>
      <c r="AA3008" s="559"/>
      <c r="AB3008" s="559"/>
      <c r="AC3008" s="559"/>
      <c r="AD3008" s="559"/>
      <c r="AE3008" s="559"/>
      <c r="AF3008" s="559"/>
      <c r="AG3008" s="559"/>
      <c r="AH3008" s="559"/>
      <c r="AI3008" s="559"/>
      <c r="AJ3008" s="559"/>
      <c r="AK3008" s="559"/>
      <c r="AL3008" s="559"/>
      <c r="AM3008" s="559"/>
      <c r="AN3008" s="559"/>
      <c r="AO3008" s="559"/>
      <c r="AP3008" s="559"/>
      <c r="AQ3008" s="559"/>
      <c r="AR3008" s="559"/>
      <c r="AS3008" s="559"/>
      <c r="AT3008" s="559"/>
      <c r="AU3008" s="559"/>
      <c r="AV3008" s="559"/>
      <c r="AW3008" s="559"/>
      <c r="AX3008" s="559"/>
      <c r="AY3008" s="559"/>
      <c r="AZ3008" s="559"/>
      <c r="BA3008" s="559"/>
      <c r="BB3008" s="559"/>
      <c r="BC3008" s="559"/>
      <c r="BD3008" s="559"/>
      <c r="BE3008" s="559"/>
      <c r="BF3008" s="559"/>
      <c r="BG3008" s="559"/>
      <c r="BH3008" s="559"/>
      <c r="BI3008" s="559"/>
      <c r="BJ3008" s="559"/>
      <c r="BK3008" s="559"/>
      <c r="BL3008" s="559"/>
    </row>
    <row r="3009" spans="1:64">
      <c r="A3009" s="458"/>
      <c r="B3009" s="458"/>
      <c r="C3009" s="417" t="s">
        <v>1234</v>
      </c>
      <c r="D3009" s="622">
        <v>16.670000000000002</v>
      </c>
      <c r="E3009" s="406" t="s">
        <v>1052</v>
      </c>
      <c r="F3009" s="432">
        <f>'[161]Civil-SOR'!$G$198</f>
        <v>456</v>
      </c>
      <c r="G3009" s="431">
        <v>1</v>
      </c>
      <c r="H3009" s="406" t="s">
        <v>1052</v>
      </c>
      <c r="I3009" s="459">
        <f t="shared" si="701"/>
        <v>7601.52</v>
      </c>
      <c r="J3009" s="462"/>
      <c r="K3009" s="463"/>
      <c r="L3009" s="463"/>
      <c r="M3009" s="559"/>
      <c r="N3009" s="559"/>
      <c r="O3009" s="559"/>
      <c r="P3009" s="559"/>
      <c r="Q3009" s="559"/>
      <c r="R3009" s="559"/>
      <c r="S3009" s="559"/>
      <c r="T3009" s="559"/>
      <c r="U3009" s="559"/>
      <c r="V3009" s="559"/>
      <c r="W3009" s="559"/>
      <c r="X3009" s="559"/>
      <c r="Y3009" s="559"/>
      <c r="Z3009" s="559"/>
      <c r="AA3009" s="559"/>
      <c r="AB3009" s="559"/>
      <c r="AC3009" s="559"/>
      <c r="AD3009" s="559"/>
      <c r="AE3009" s="559"/>
      <c r="AF3009" s="559"/>
      <c r="AG3009" s="559"/>
      <c r="AH3009" s="559"/>
      <c r="AI3009" s="559"/>
      <c r="AJ3009" s="559"/>
      <c r="AK3009" s="559"/>
      <c r="AL3009" s="559"/>
      <c r="AM3009" s="559"/>
      <c r="AN3009" s="559"/>
      <c r="AO3009" s="559"/>
      <c r="AP3009" s="559"/>
      <c r="AQ3009" s="559"/>
      <c r="AR3009" s="559"/>
      <c r="AS3009" s="559"/>
      <c r="AT3009" s="559"/>
      <c r="AU3009" s="559"/>
      <c r="AV3009" s="559"/>
      <c r="AW3009" s="559"/>
      <c r="AX3009" s="559"/>
      <c r="AY3009" s="559"/>
      <c r="AZ3009" s="559"/>
      <c r="BA3009" s="559"/>
      <c r="BB3009" s="559"/>
      <c r="BC3009" s="559"/>
      <c r="BD3009" s="559"/>
      <c r="BE3009" s="559"/>
      <c r="BF3009" s="559"/>
      <c r="BG3009" s="559"/>
      <c r="BH3009" s="559"/>
      <c r="BI3009" s="559"/>
      <c r="BJ3009" s="559"/>
      <c r="BK3009" s="559"/>
      <c r="BL3009" s="559"/>
    </row>
    <row r="3010" spans="1:64">
      <c r="A3010" s="458"/>
      <c r="B3010" s="458"/>
      <c r="C3010" s="417" t="str">
        <f>[161]Input!$C$47</f>
        <v>Add for MA @ 40%</v>
      </c>
      <c r="D3010" s="622">
        <f>[161]Input!$D$47</f>
        <v>0.4</v>
      </c>
      <c r="E3010" s="406"/>
      <c r="F3010" s="432">
        <f>SUM(I3008:I3009)*40%</f>
        <v>3200.6400000000003</v>
      </c>
      <c r="G3010" s="431"/>
      <c r="H3010" s="406"/>
      <c r="I3010" s="459">
        <f t="shared" si="701"/>
        <v>1280.2560000000003</v>
      </c>
      <c r="J3010" s="462"/>
      <c r="K3010" s="463"/>
      <c r="L3010" s="463"/>
      <c r="M3010" s="559"/>
      <c r="N3010" s="559"/>
      <c r="O3010" s="559"/>
      <c r="P3010" s="559"/>
      <c r="Q3010" s="559"/>
      <c r="R3010" s="559"/>
      <c r="S3010" s="559"/>
      <c r="T3010" s="559"/>
      <c r="U3010" s="559"/>
      <c r="V3010" s="559"/>
      <c r="W3010" s="559"/>
      <c r="X3010" s="559"/>
      <c r="Y3010" s="559"/>
      <c r="Z3010" s="559"/>
      <c r="AA3010" s="559"/>
      <c r="AB3010" s="559"/>
      <c r="AC3010" s="559"/>
      <c r="AD3010" s="559"/>
      <c r="AE3010" s="559"/>
      <c r="AF3010" s="559"/>
      <c r="AG3010" s="559"/>
      <c r="AH3010" s="559"/>
      <c r="AI3010" s="559"/>
      <c r="AJ3010" s="559"/>
      <c r="AK3010" s="559"/>
      <c r="AL3010" s="559"/>
      <c r="AM3010" s="559"/>
      <c r="AN3010" s="559"/>
      <c r="AO3010" s="559"/>
      <c r="AP3010" s="559"/>
      <c r="AQ3010" s="559"/>
      <c r="AR3010" s="559"/>
      <c r="AS3010" s="559"/>
      <c r="AT3010" s="559"/>
      <c r="AU3010" s="559"/>
      <c r="AV3010" s="559"/>
      <c r="AW3010" s="559"/>
      <c r="AX3010" s="559"/>
      <c r="AY3010" s="559"/>
      <c r="AZ3010" s="559"/>
      <c r="BA3010" s="559"/>
      <c r="BB3010" s="559"/>
      <c r="BC3010" s="559"/>
      <c r="BD3010" s="559"/>
      <c r="BE3010" s="559"/>
      <c r="BF3010" s="559"/>
      <c r="BG3010" s="559"/>
      <c r="BH3010" s="559"/>
      <c r="BI3010" s="559"/>
      <c r="BJ3010" s="559"/>
      <c r="BK3010" s="559"/>
      <c r="BL3010" s="559"/>
    </row>
    <row r="3011" spans="1:64">
      <c r="A3011" s="458"/>
      <c r="B3011" s="458"/>
      <c r="C3011" s="417" t="s">
        <v>1046</v>
      </c>
      <c r="D3011" s="432">
        <v>0.01</v>
      </c>
      <c r="E3011" s="406"/>
      <c r="F3011" s="432">
        <f>SUM(I2998:I3010)</f>
        <v>46413.438000000002</v>
      </c>
      <c r="G3011" s="431"/>
      <c r="H3011" s="406"/>
      <c r="I3011" s="459">
        <f t="shared" si="701"/>
        <v>464.13438000000002</v>
      </c>
      <c r="J3011" s="462"/>
      <c r="K3011" s="463"/>
      <c r="L3011" s="463"/>
      <c r="M3011" s="559"/>
      <c r="N3011" s="559"/>
      <c r="O3011" s="559"/>
      <c r="P3011" s="559"/>
      <c r="Q3011" s="559"/>
      <c r="R3011" s="559"/>
      <c r="S3011" s="559"/>
      <c r="T3011" s="559"/>
      <c r="U3011" s="559"/>
      <c r="V3011" s="559"/>
      <c r="W3011" s="559"/>
      <c r="X3011" s="559"/>
      <c r="Y3011" s="559"/>
      <c r="Z3011" s="559"/>
      <c r="AA3011" s="559"/>
      <c r="AB3011" s="559"/>
      <c r="AC3011" s="559"/>
      <c r="AD3011" s="559"/>
      <c r="AE3011" s="559"/>
      <c r="AF3011" s="559"/>
      <c r="AG3011" s="559"/>
      <c r="AH3011" s="559"/>
      <c r="AI3011" s="559"/>
      <c r="AJ3011" s="559"/>
      <c r="AK3011" s="559"/>
      <c r="AL3011" s="559"/>
      <c r="AM3011" s="559"/>
      <c r="AN3011" s="559"/>
      <c r="AO3011" s="559"/>
      <c r="AP3011" s="559"/>
      <c r="AQ3011" s="559"/>
      <c r="AR3011" s="559"/>
      <c r="AS3011" s="559"/>
      <c r="AT3011" s="559"/>
      <c r="AU3011" s="559"/>
      <c r="AV3011" s="559"/>
      <c r="AW3011" s="559"/>
      <c r="AX3011" s="559"/>
      <c r="AY3011" s="559"/>
      <c r="AZ3011" s="559"/>
      <c r="BA3011" s="559"/>
      <c r="BB3011" s="559"/>
      <c r="BC3011" s="559"/>
      <c r="BD3011" s="559"/>
      <c r="BE3011" s="559"/>
      <c r="BF3011" s="559"/>
      <c r="BG3011" s="559"/>
      <c r="BH3011" s="559"/>
      <c r="BI3011" s="559"/>
      <c r="BJ3011" s="559"/>
      <c r="BK3011" s="559"/>
      <c r="BL3011" s="559"/>
    </row>
    <row r="3012" spans="1:64" s="554" customFormat="1" ht="13">
      <c r="A3012" s="454"/>
      <c r="B3012" s="454"/>
      <c r="C3012" s="666" t="s">
        <v>1175</v>
      </c>
      <c r="D3012" s="409"/>
      <c r="E3012" s="426"/>
      <c r="F3012" s="409"/>
      <c r="G3012" s="410"/>
      <c r="H3012" s="426"/>
      <c r="I3012" s="414">
        <f>SUM(I2998:I3011)</f>
        <v>46877.572380000005</v>
      </c>
      <c r="J3012" s="411"/>
      <c r="K3012" s="412"/>
      <c r="L3012" s="412"/>
    </row>
    <row r="3013" spans="1:64" ht="13">
      <c r="A3013" s="454"/>
      <c r="B3013" s="454"/>
      <c r="C3013" s="433"/>
      <c r="D3013" s="409"/>
      <c r="E3013" s="426"/>
      <c r="F3013" s="409"/>
      <c r="G3013" s="410"/>
      <c r="H3013" s="426"/>
      <c r="I3013" s="414"/>
      <c r="J3013" s="400"/>
      <c r="K3013" s="401"/>
      <c r="L3013" s="401"/>
    </row>
    <row r="3014" spans="1:64" ht="13">
      <c r="A3014" s="454"/>
      <c r="B3014" s="454"/>
      <c r="C3014" s="427" t="s">
        <v>953</v>
      </c>
      <c r="D3014" s="414" t="s">
        <v>959</v>
      </c>
      <c r="E3014" s="416" t="s">
        <v>943</v>
      </c>
      <c r="F3014" s="415" t="s">
        <v>944</v>
      </c>
      <c r="G3014" s="414" t="s">
        <v>1036</v>
      </c>
      <c r="H3014" s="414" t="s">
        <v>1037</v>
      </c>
      <c r="I3014" s="414" t="s">
        <v>1038</v>
      </c>
      <c r="J3014" s="400"/>
      <c r="K3014" s="401"/>
      <c r="L3014" s="401"/>
    </row>
    <row r="3015" spans="1:64">
      <c r="A3015" s="454"/>
      <c r="B3015" s="454"/>
      <c r="C3015" s="417" t="s">
        <v>1064</v>
      </c>
      <c r="D3015" s="408">
        <f t="shared" ref="D3015:I3015" si="702">$I$3012</f>
        <v>46877.572380000005</v>
      </c>
      <c r="E3015" s="408">
        <f t="shared" si="702"/>
        <v>46877.572380000005</v>
      </c>
      <c r="F3015" s="408">
        <f t="shared" si="702"/>
        <v>46877.572380000005</v>
      </c>
      <c r="G3015" s="408">
        <f t="shared" si="702"/>
        <v>46877.572380000005</v>
      </c>
      <c r="H3015" s="408">
        <f t="shared" si="702"/>
        <v>46877.572380000005</v>
      </c>
      <c r="I3015" s="408">
        <f t="shared" si="702"/>
        <v>46877.572380000005</v>
      </c>
      <c r="J3015" s="400"/>
      <c r="K3015" s="401"/>
      <c r="L3015" s="401"/>
    </row>
    <row r="3016" spans="1:64">
      <c r="A3016" s="454"/>
      <c r="B3016" s="454"/>
      <c r="C3016" s="417" t="s">
        <v>994</v>
      </c>
      <c r="D3016" s="408">
        <v>0</v>
      </c>
      <c r="E3016" s="408">
        <f>ROUND($F$3007*10%,2)</f>
        <v>645</v>
      </c>
      <c r="F3016" s="408">
        <f>ROUND($F$3007*20%,2)</f>
        <v>1290</v>
      </c>
      <c r="G3016" s="408">
        <f>ROUND($F$3007*30%,2)</f>
        <v>1935</v>
      </c>
      <c r="H3016" s="408">
        <f>ROUND($F$3007*40%,2)</f>
        <v>2580</v>
      </c>
      <c r="I3016" s="408">
        <f>ROUND($F$3007*50%,2)</f>
        <v>3225</v>
      </c>
      <c r="J3016" s="400"/>
      <c r="K3016" s="401"/>
      <c r="L3016" s="401"/>
    </row>
    <row r="3017" spans="1:64">
      <c r="A3017" s="454"/>
      <c r="B3017" s="454"/>
      <c r="C3017" s="417" t="str">
        <f>[161]Input!$C$47</f>
        <v>Add for MA @ 40%</v>
      </c>
      <c r="D3017" s="408">
        <f>D3016*[161]Input!D47</f>
        <v>0</v>
      </c>
      <c r="E3017" s="408">
        <f>E3016*[161]Input!$D$47</f>
        <v>258</v>
      </c>
      <c r="F3017" s="408">
        <f>F3016*[161]Input!$D$47</f>
        <v>516</v>
      </c>
      <c r="G3017" s="408">
        <f>G3016*[161]Input!$D$47</f>
        <v>774</v>
      </c>
      <c r="H3017" s="408">
        <f>H3016*[161]Input!$D$47</f>
        <v>1032</v>
      </c>
      <c r="I3017" s="408">
        <f>I3016*[161]Input!$D$47</f>
        <v>1290</v>
      </c>
      <c r="J3017" s="400"/>
      <c r="K3017" s="401"/>
      <c r="L3017" s="401"/>
    </row>
    <row r="3018" spans="1:64">
      <c r="A3018" s="454"/>
      <c r="B3018" s="454"/>
      <c r="C3018" s="469"/>
      <c r="D3018" s="408">
        <f t="shared" ref="D3018:I3018" si="703">SUM(D3015:D3017)</f>
        <v>46877.572380000005</v>
      </c>
      <c r="E3018" s="408">
        <f t="shared" si="703"/>
        <v>47780.572380000005</v>
      </c>
      <c r="F3018" s="408">
        <f t="shared" si="703"/>
        <v>48683.572380000005</v>
      </c>
      <c r="G3018" s="408">
        <f t="shared" si="703"/>
        <v>49586.572380000005</v>
      </c>
      <c r="H3018" s="408">
        <f t="shared" si="703"/>
        <v>50489.572380000005</v>
      </c>
      <c r="I3018" s="408">
        <f t="shared" si="703"/>
        <v>51392.572380000005</v>
      </c>
      <c r="J3018" s="400"/>
      <c r="K3018" s="401"/>
      <c r="L3018" s="401"/>
    </row>
    <row r="3019" spans="1:64" ht="25">
      <c r="A3019" s="454"/>
      <c r="B3019" s="454"/>
      <c r="C3019" s="417" t="str">
        <f>[161]Input!$C$48</f>
        <v>Overheads &amp; Contractors Profit @ 13.615%</v>
      </c>
      <c r="D3019" s="408">
        <f>ROUND(D3018*[161]Input!$D$48,2)</f>
        <v>6382.38</v>
      </c>
      <c r="E3019" s="408">
        <f>ROUND(E3018*[161]Input!$D$48,2)</f>
        <v>6505.32</v>
      </c>
      <c r="F3019" s="408">
        <f>ROUND(F3018*[161]Input!$D$48,2)</f>
        <v>6628.27</v>
      </c>
      <c r="G3019" s="408">
        <f>ROUND(G3018*[161]Input!$D$48,2)</f>
        <v>6751.21</v>
      </c>
      <c r="H3019" s="408">
        <f>ROUND(H3018*[161]Input!$D$48,2)</f>
        <v>6874.16</v>
      </c>
      <c r="I3019" s="408">
        <f>ROUND(I3018*[161]Input!$D$48,2)</f>
        <v>6997.1</v>
      </c>
      <c r="J3019" s="400"/>
      <c r="K3019" s="401"/>
      <c r="L3019" s="401"/>
    </row>
    <row r="3020" spans="1:64" ht="13">
      <c r="A3020" s="454"/>
      <c r="B3020" s="454"/>
      <c r="C3020" s="427" t="s">
        <v>1047</v>
      </c>
      <c r="D3020" s="408">
        <f t="shared" ref="D3020:I3020" si="704">SUM(D3018:D3019)</f>
        <v>53259.952380000002</v>
      </c>
      <c r="E3020" s="408">
        <f t="shared" si="704"/>
        <v>54285.892380000005</v>
      </c>
      <c r="F3020" s="408">
        <f t="shared" si="704"/>
        <v>55311.842380000002</v>
      </c>
      <c r="G3020" s="408">
        <f t="shared" si="704"/>
        <v>56337.782380000004</v>
      </c>
      <c r="H3020" s="408">
        <f t="shared" si="704"/>
        <v>57363.732380000001</v>
      </c>
      <c r="I3020" s="408">
        <f t="shared" si="704"/>
        <v>58389.672380000004</v>
      </c>
      <c r="J3020" s="400"/>
      <c r="K3020" s="401"/>
      <c r="L3020" s="401"/>
    </row>
    <row r="3021" spans="1:64" ht="13">
      <c r="A3021" s="454"/>
      <c r="B3021" s="454"/>
      <c r="C3021" s="427" t="s">
        <v>845</v>
      </c>
      <c r="D3021" s="414">
        <f t="shared" ref="D3021:I3021" si="705">D3020/10</f>
        <v>5325.9952380000004</v>
      </c>
      <c r="E3021" s="414">
        <f t="shared" si="705"/>
        <v>5428.5892380000005</v>
      </c>
      <c r="F3021" s="414">
        <f t="shared" si="705"/>
        <v>5531.1842379999998</v>
      </c>
      <c r="G3021" s="414">
        <f t="shared" si="705"/>
        <v>5633.7782380000008</v>
      </c>
      <c r="H3021" s="414">
        <f t="shared" si="705"/>
        <v>5736.3732380000001</v>
      </c>
      <c r="I3021" s="414">
        <f t="shared" si="705"/>
        <v>5838.9672380000002</v>
      </c>
      <c r="J3021" s="400"/>
      <c r="K3021" s="401"/>
      <c r="L3021" s="401"/>
    </row>
    <row r="3022" spans="1:64" s="554" customFormat="1" ht="13">
      <c r="A3022" s="454"/>
      <c r="B3022" s="454"/>
      <c r="C3022" s="522" t="s">
        <v>726</v>
      </c>
      <c r="D3022" s="416">
        <f t="shared" ref="D3022:I3022" si="706">ROUND(D3021,0)</f>
        <v>5326</v>
      </c>
      <c r="E3022" s="416">
        <f t="shared" si="706"/>
        <v>5429</v>
      </c>
      <c r="F3022" s="416">
        <f t="shared" si="706"/>
        <v>5531</v>
      </c>
      <c r="G3022" s="416">
        <f t="shared" si="706"/>
        <v>5634</v>
      </c>
      <c r="H3022" s="416">
        <f t="shared" si="706"/>
        <v>5736</v>
      </c>
      <c r="I3022" s="416">
        <f t="shared" si="706"/>
        <v>5839</v>
      </c>
      <c r="J3022" s="400"/>
      <c r="K3022" s="401"/>
      <c r="L3022" s="401"/>
    </row>
    <row r="3023" spans="1:64" ht="13">
      <c r="A3023" s="454"/>
      <c r="B3023" s="454"/>
      <c r="C3023" s="521"/>
      <c r="D3023" s="408"/>
      <c r="E3023" s="408"/>
      <c r="F3023" s="408"/>
      <c r="G3023" s="426"/>
      <c r="H3023" s="492"/>
      <c r="I3023" s="434"/>
      <c r="J3023" s="400"/>
      <c r="K3023" s="401"/>
      <c r="L3023" s="401"/>
    </row>
    <row r="3024" spans="1:64" ht="13">
      <c r="A3024" s="454"/>
      <c r="B3024" s="454"/>
      <c r="C3024" s="427" t="s">
        <v>953</v>
      </c>
      <c r="D3024" s="414" t="s">
        <v>1118</v>
      </c>
      <c r="E3024" s="414" t="s">
        <v>1119</v>
      </c>
      <c r="F3024" s="414" t="s">
        <v>1120</v>
      </c>
      <c r="G3024" s="426"/>
      <c r="H3024" s="492"/>
      <c r="I3024" s="434"/>
      <c r="J3024" s="400"/>
      <c r="K3024" s="401"/>
      <c r="L3024" s="401"/>
    </row>
    <row r="3025" spans="1:12" ht="13">
      <c r="A3025" s="454"/>
      <c r="B3025" s="454"/>
      <c r="C3025" s="417" t="s">
        <v>1064</v>
      </c>
      <c r="D3025" s="408">
        <f>$I$3012</f>
        <v>46877.572380000005</v>
      </c>
      <c r="E3025" s="408">
        <f>$I$3012</f>
        <v>46877.572380000005</v>
      </c>
      <c r="F3025" s="408">
        <f>$I$3012</f>
        <v>46877.572380000005</v>
      </c>
      <c r="G3025" s="426"/>
      <c r="H3025" s="492"/>
      <c r="I3025" s="434"/>
      <c r="J3025" s="400"/>
      <c r="K3025" s="401"/>
      <c r="L3025" s="401"/>
    </row>
    <row r="3026" spans="1:12" ht="13">
      <c r="A3026" s="454"/>
      <c r="B3026" s="454"/>
      <c r="C3026" s="417" t="s">
        <v>994</v>
      </c>
      <c r="D3026" s="408">
        <f>ROUND($F$3007*60%,2)</f>
        <v>3870</v>
      </c>
      <c r="E3026" s="408">
        <f>ROUND($F$3007*70%,2)</f>
        <v>4515</v>
      </c>
      <c r="F3026" s="408">
        <f>ROUND($F$3007*80%,2)</f>
        <v>5160</v>
      </c>
      <c r="G3026" s="426"/>
      <c r="H3026" s="492"/>
      <c r="I3026" s="434"/>
      <c r="J3026" s="400"/>
      <c r="K3026" s="401"/>
      <c r="L3026" s="401"/>
    </row>
    <row r="3027" spans="1:12" ht="13">
      <c r="A3027" s="454"/>
      <c r="B3027" s="454"/>
      <c r="C3027" s="417" t="str">
        <f>[161]Input!$C$47</f>
        <v>Add for MA @ 40%</v>
      </c>
      <c r="D3027" s="408">
        <f>D3026*[161]Input!$D$47</f>
        <v>1548</v>
      </c>
      <c r="E3027" s="408">
        <f>E3026*[161]Input!$D$47</f>
        <v>1806</v>
      </c>
      <c r="F3027" s="408">
        <f>F3026*[161]Input!$D$47</f>
        <v>2064</v>
      </c>
      <c r="G3027" s="426"/>
      <c r="H3027" s="492"/>
      <c r="I3027" s="434"/>
      <c r="J3027" s="400"/>
      <c r="K3027" s="401"/>
      <c r="L3027" s="401"/>
    </row>
    <row r="3028" spans="1:12" ht="13">
      <c r="A3028" s="454"/>
      <c r="B3028" s="454"/>
      <c r="C3028" s="435"/>
      <c r="D3028" s="408">
        <f>SUM(D3025:D3027)</f>
        <v>52295.572380000005</v>
      </c>
      <c r="E3028" s="408">
        <f>SUM(E3025:E3027)</f>
        <v>53198.572380000005</v>
      </c>
      <c r="F3028" s="408">
        <f>SUM(F3025:F3027)</f>
        <v>54101.572380000005</v>
      </c>
      <c r="G3028" s="426"/>
      <c r="H3028" s="492"/>
      <c r="I3028" s="434"/>
      <c r="J3028" s="400"/>
      <c r="K3028" s="401"/>
      <c r="L3028" s="401"/>
    </row>
    <row r="3029" spans="1:12" ht="25">
      <c r="A3029" s="454"/>
      <c r="B3029" s="454"/>
      <c r="C3029" s="417" t="str">
        <f>[161]Input!$C$48</f>
        <v>Overheads &amp; Contractors Profit @ 13.615%</v>
      </c>
      <c r="D3029" s="408">
        <f>ROUND(D3028*[161]Input!$D$48,2)</f>
        <v>7120.04</v>
      </c>
      <c r="E3029" s="408">
        <f>ROUND(E3028*[161]Input!$D$48,2)</f>
        <v>7242.99</v>
      </c>
      <c r="F3029" s="408">
        <f>ROUND(F3028*[161]Input!$D$48,2)</f>
        <v>7365.93</v>
      </c>
      <c r="G3029" s="426"/>
      <c r="H3029" s="492"/>
      <c r="I3029" s="434"/>
      <c r="J3029" s="400"/>
      <c r="K3029" s="401"/>
      <c r="L3029" s="401"/>
    </row>
    <row r="3030" spans="1:12" ht="13">
      <c r="A3030" s="454"/>
      <c r="B3030" s="454"/>
      <c r="C3030" s="427" t="s">
        <v>1047</v>
      </c>
      <c r="D3030" s="408">
        <f>SUM(D3028:D3029)</f>
        <v>59415.612380000006</v>
      </c>
      <c r="E3030" s="408">
        <f>SUM(E3028:E3029)</f>
        <v>60441.562380000003</v>
      </c>
      <c r="F3030" s="408">
        <f>SUM(F3028:F3029)</f>
        <v>61467.502380000005</v>
      </c>
      <c r="G3030" s="426"/>
      <c r="H3030" s="492"/>
      <c r="I3030" s="434"/>
      <c r="J3030" s="400"/>
      <c r="K3030" s="401"/>
      <c r="L3030" s="401"/>
    </row>
    <row r="3031" spans="1:12" ht="13">
      <c r="A3031" s="454"/>
      <c r="B3031" s="454"/>
      <c r="C3031" s="427" t="s">
        <v>845</v>
      </c>
      <c r="D3031" s="414">
        <f>D3030/10</f>
        <v>5941.5612380000002</v>
      </c>
      <c r="E3031" s="414">
        <f>E3030/10</f>
        <v>6044.1562380000005</v>
      </c>
      <c r="F3031" s="414">
        <f>F3030/10</f>
        <v>6146.7502380000005</v>
      </c>
      <c r="G3031" s="426"/>
      <c r="H3031" s="492"/>
      <c r="I3031" s="434"/>
      <c r="J3031" s="400"/>
      <c r="K3031" s="401"/>
      <c r="L3031" s="401"/>
    </row>
    <row r="3032" spans="1:12" ht="13">
      <c r="A3032" s="454"/>
      <c r="B3032" s="454"/>
      <c r="C3032" s="514" t="s">
        <v>726</v>
      </c>
      <c r="D3032" s="416">
        <f>ROUND(D3031,0)</f>
        <v>5942</v>
      </c>
      <c r="E3032" s="416">
        <f>ROUND(E3031,0)</f>
        <v>6044</v>
      </c>
      <c r="F3032" s="416">
        <f>ROUND(F3031,0)</f>
        <v>6147</v>
      </c>
      <c r="G3032" s="426"/>
      <c r="H3032" s="492"/>
      <c r="I3032" s="434"/>
      <c r="J3032" s="400"/>
      <c r="K3032" s="401"/>
      <c r="L3032" s="401"/>
    </row>
    <row r="3033" spans="1:12" ht="13">
      <c r="A3033" s="454"/>
      <c r="B3033" s="454"/>
      <c r="C3033" s="521"/>
      <c r="D3033" s="408"/>
      <c r="E3033" s="408"/>
      <c r="F3033" s="408"/>
      <c r="G3033" s="426"/>
      <c r="H3033" s="492"/>
      <c r="I3033" s="434"/>
      <c r="J3033" s="400"/>
      <c r="K3033" s="401"/>
      <c r="L3033" s="401"/>
    </row>
    <row r="3034" spans="1:12" ht="68.650000000000006" customHeight="1">
      <c r="A3034" s="677">
        <f>1+A2994</f>
        <v>14</v>
      </c>
      <c r="B3034" s="678"/>
      <c r="C3034" s="1289" t="s">
        <v>1235</v>
      </c>
      <c r="D3034" s="1289"/>
      <c r="E3034" s="1289"/>
      <c r="F3034" s="1289"/>
      <c r="G3034" s="1289"/>
      <c r="H3034" s="1289"/>
      <c r="I3034" s="1289"/>
      <c r="J3034" s="680"/>
      <c r="K3034" s="401"/>
      <c r="L3034" s="401"/>
    </row>
    <row r="3035" spans="1:12" ht="13">
      <c r="A3035" s="678"/>
      <c r="B3035" s="678"/>
      <c r="C3035" s="681" t="s">
        <v>1228</v>
      </c>
      <c r="D3035" s="682"/>
      <c r="E3035" s="682"/>
      <c r="F3035" s="682"/>
      <c r="G3035" s="682"/>
      <c r="H3035" s="682"/>
      <c r="I3035" s="683"/>
      <c r="J3035" s="680"/>
      <c r="K3035" s="401"/>
      <c r="L3035" s="401"/>
    </row>
    <row r="3036" spans="1:12">
      <c r="A3036" s="678"/>
      <c r="B3036" s="678"/>
      <c r="C3036" s="684" t="s">
        <v>1167</v>
      </c>
      <c r="D3036" s="682"/>
      <c r="E3036" s="682"/>
      <c r="F3036" s="682"/>
      <c r="G3036" s="682"/>
      <c r="H3036" s="682"/>
      <c r="I3036" s="683"/>
      <c r="J3036" s="680"/>
      <c r="K3036" s="401"/>
      <c r="L3036" s="401"/>
    </row>
    <row r="3037" spans="1:12" ht="13">
      <c r="A3037" s="678"/>
      <c r="B3037" s="678"/>
      <c r="C3037" s="679" t="s">
        <v>1168</v>
      </c>
      <c r="D3037" s="683"/>
      <c r="E3037" s="682"/>
      <c r="F3037" s="683"/>
      <c r="G3037" s="685"/>
      <c r="H3037" s="682"/>
      <c r="I3037" s="686"/>
      <c r="J3037" s="680"/>
      <c r="K3037" s="401"/>
      <c r="L3037" s="401"/>
    </row>
    <row r="3038" spans="1:12" ht="25">
      <c r="A3038" s="687"/>
      <c r="B3038" s="687"/>
      <c r="C3038" s="684" t="s">
        <v>1232</v>
      </c>
      <c r="D3038" s="688">
        <v>10.5</v>
      </c>
      <c r="E3038" s="689" t="s">
        <v>62</v>
      </c>
      <c r="F3038" s="688">
        <f>[161]LEAD!$N$29</f>
        <v>2576</v>
      </c>
      <c r="G3038" s="690">
        <v>1</v>
      </c>
      <c r="H3038" s="689" t="s">
        <v>62</v>
      </c>
      <c r="I3038" s="691">
        <f t="shared" ref="I3038:I3039" si="707">IF(G3038="",D3038*F3038,(D3038*F3038/G3038))</f>
        <v>27048</v>
      </c>
      <c r="J3038" s="692"/>
      <c r="K3038" s="401"/>
      <c r="L3038" s="401"/>
    </row>
    <row r="3039" spans="1:12" ht="25.5">
      <c r="A3039" s="687"/>
      <c r="B3039" s="687"/>
      <c r="C3039" s="684" t="s">
        <v>1236</v>
      </c>
      <c r="D3039" s="683">
        <v>36</v>
      </c>
      <c r="E3039" s="682" t="s">
        <v>833</v>
      </c>
      <c r="F3039" s="683">
        <v>221</v>
      </c>
      <c r="G3039" s="685">
        <v>1</v>
      </c>
      <c r="H3039" s="682" t="s">
        <v>833</v>
      </c>
      <c r="I3039" s="686">
        <f t="shared" si="707"/>
        <v>7956</v>
      </c>
      <c r="J3039" s="692"/>
      <c r="K3039" s="401"/>
      <c r="L3039" s="401"/>
    </row>
    <row r="3040" spans="1:12" ht="13">
      <c r="A3040" s="687"/>
      <c r="B3040" s="687"/>
      <c r="C3040" s="679" t="s">
        <v>1073</v>
      </c>
      <c r="D3040" s="688"/>
      <c r="E3040" s="689"/>
      <c r="F3040" s="688"/>
      <c r="G3040" s="690"/>
      <c r="H3040" s="689"/>
      <c r="I3040" s="691"/>
      <c r="J3040" s="692"/>
      <c r="K3040" s="401"/>
      <c r="L3040" s="401"/>
    </row>
    <row r="3041" spans="1:12">
      <c r="A3041" s="687"/>
      <c r="B3041" s="687"/>
      <c r="C3041" s="684" t="s">
        <v>1044</v>
      </c>
      <c r="D3041" s="688">
        <v>3</v>
      </c>
      <c r="E3041" s="689" t="s">
        <v>14</v>
      </c>
      <c r="F3041" s="688">
        <f>'[161]Civil-SOR'!$G$293</f>
        <v>580</v>
      </c>
      <c r="G3041" s="690">
        <v>1</v>
      </c>
      <c r="H3041" s="689" t="s">
        <v>572</v>
      </c>
      <c r="I3041" s="691">
        <f t="shared" ref="I3041:I3048" si="708">IF(G3041="",D3041*F3041,(D3041*F3041/G3041))</f>
        <v>1740</v>
      </c>
      <c r="J3041" s="692"/>
      <c r="K3041" s="401"/>
      <c r="L3041" s="401"/>
    </row>
    <row r="3042" spans="1:12">
      <c r="A3042" s="687"/>
      <c r="B3042" s="687"/>
      <c r="C3042" s="684" t="s">
        <v>1074</v>
      </c>
      <c r="D3042" s="688">
        <v>1</v>
      </c>
      <c r="E3042" s="689" t="s">
        <v>14</v>
      </c>
      <c r="F3042" s="688">
        <f>'[161]Civil-SOR'!$G$302</f>
        <v>550</v>
      </c>
      <c r="G3042" s="690">
        <v>1</v>
      </c>
      <c r="H3042" s="689" t="s">
        <v>572</v>
      </c>
      <c r="I3042" s="691">
        <f t="shared" si="708"/>
        <v>550</v>
      </c>
      <c r="J3042" s="692"/>
      <c r="K3042" s="401"/>
      <c r="L3042" s="401"/>
    </row>
    <row r="3043" spans="1:12">
      <c r="A3043" s="687"/>
      <c r="B3043" s="687"/>
      <c r="C3043" s="684" t="s">
        <v>1174</v>
      </c>
      <c r="D3043" s="688">
        <v>8</v>
      </c>
      <c r="E3043" s="689" t="s">
        <v>14</v>
      </c>
      <c r="F3043" s="688">
        <f>'[161]Civil-SOR'!$G$307</f>
        <v>520</v>
      </c>
      <c r="G3043" s="690">
        <v>1</v>
      </c>
      <c r="H3043" s="689" t="s">
        <v>572</v>
      </c>
      <c r="I3043" s="691">
        <f t="shared" si="708"/>
        <v>4160</v>
      </c>
      <c r="J3043" s="692"/>
      <c r="K3043" s="401"/>
      <c r="L3043" s="401"/>
    </row>
    <row r="3044" spans="1:12">
      <c r="A3044" s="687"/>
      <c r="B3044" s="687"/>
      <c r="C3044" s="684" t="str">
        <f>[161]Input!$C$47</f>
        <v>Add for MA @ 40%</v>
      </c>
      <c r="D3044" s="693">
        <f>[161]Input!$D$47</f>
        <v>0.4</v>
      </c>
      <c r="E3044" s="689"/>
      <c r="F3044" s="688">
        <f>SUM(I3041:I3043)</f>
        <v>6450</v>
      </c>
      <c r="G3044" s="690"/>
      <c r="H3044" s="689"/>
      <c r="I3044" s="691">
        <f t="shared" si="708"/>
        <v>2580</v>
      </c>
      <c r="J3044" s="692"/>
      <c r="K3044" s="401"/>
      <c r="L3044" s="401"/>
    </row>
    <row r="3045" spans="1:12">
      <c r="A3045" s="687"/>
      <c r="B3045" s="687"/>
      <c r="C3045" s="684" t="s">
        <v>1233</v>
      </c>
      <c r="D3045" s="693">
        <v>16.670000000000002</v>
      </c>
      <c r="E3045" s="689" t="s">
        <v>1052</v>
      </c>
      <c r="F3045" s="688">
        <f>'[161]Civil-SOR'!$G$200</f>
        <v>24</v>
      </c>
      <c r="G3045" s="690">
        <v>1</v>
      </c>
      <c r="H3045" s="689" t="s">
        <v>1052</v>
      </c>
      <c r="I3045" s="691">
        <f t="shared" si="708"/>
        <v>400.08000000000004</v>
      </c>
      <c r="J3045" s="692"/>
      <c r="K3045" s="401"/>
      <c r="L3045" s="401"/>
    </row>
    <row r="3046" spans="1:12">
      <c r="A3046" s="687"/>
      <c r="B3046" s="687"/>
      <c r="C3046" s="684" t="s">
        <v>1234</v>
      </c>
      <c r="D3046" s="693">
        <v>16.670000000000002</v>
      </c>
      <c r="E3046" s="689" t="s">
        <v>1052</v>
      </c>
      <c r="F3046" s="688">
        <f>'[161]Civil-SOR'!$G$198</f>
        <v>456</v>
      </c>
      <c r="G3046" s="690">
        <v>1</v>
      </c>
      <c r="H3046" s="689" t="s">
        <v>1052</v>
      </c>
      <c r="I3046" s="691">
        <f t="shared" si="708"/>
        <v>7601.52</v>
      </c>
      <c r="J3046" s="692"/>
      <c r="K3046" s="401"/>
      <c r="L3046" s="401"/>
    </row>
    <row r="3047" spans="1:12">
      <c r="A3047" s="687"/>
      <c r="B3047" s="687"/>
      <c r="C3047" s="684" t="str">
        <f>[161]Input!$C$47</f>
        <v>Add for MA @ 40%</v>
      </c>
      <c r="D3047" s="693">
        <f>[161]Input!$D$47</f>
        <v>0.4</v>
      </c>
      <c r="E3047" s="689"/>
      <c r="F3047" s="688">
        <f>SUM(I3045:I3046)*40%</f>
        <v>3200.6400000000003</v>
      </c>
      <c r="G3047" s="690"/>
      <c r="H3047" s="689"/>
      <c r="I3047" s="691">
        <f t="shared" si="708"/>
        <v>1280.2560000000003</v>
      </c>
      <c r="J3047" s="692"/>
      <c r="K3047" s="401"/>
      <c r="L3047" s="401"/>
    </row>
    <row r="3048" spans="1:12">
      <c r="A3048" s="687"/>
      <c r="B3048" s="687"/>
      <c r="C3048" s="684" t="s">
        <v>1046</v>
      </c>
      <c r="D3048" s="688">
        <v>0.01</v>
      </c>
      <c r="E3048" s="689"/>
      <c r="F3048" s="688">
        <f>SUM(I3038:I3047)</f>
        <v>53315.856000000007</v>
      </c>
      <c r="G3048" s="690"/>
      <c r="H3048" s="689"/>
      <c r="I3048" s="691">
        <f t="shared" si="708"/>
        <v>533.15856000000008</v>
      </c>
      <c r="J3048" s="692"/>
      <c r="K3048" s="401"/>
      <c r="L3048" s="401"/>
    </row>
    <row r="3049" spans="1:12" ht="13">
      <c r="A3049" s="678"/>
      <c r="B3049" s="678"/>
      <c r="C3049" s="679" t="s">
        <v>1175</v>
      </c>
      <c r="D3049" s="683"/>
      <c r="E3049" s="682"/>
      <c r="F3049" s="683"/>
      <c r="G3049" s="685"/>
      <c r="H3049" s="682"/>
      <c r="I3049" s="694">
        <f>SUM(I3038:I3048)</f>
        <v>53849.014560000011</v>
      </c>
      <c r="J3049" s="695"/>
      <c r="K3049" s="401"/>
      <c r="L3049" s="401"/>
    </row>
    <row r="3050" spans="1:12" ht="13">
      <c r="A3050" s="678"/>
      <c r="B3050" s="678"/>
      <c r="C3050" s="679"/>
      <c r="D3050" s="683"/>
      <c r="E3050" s="682"/>
      <c r="F3050" s="683"/>
      <c r="G3050" s="685"/>
      <c r="H3050" s="682"/>
      <c r="I3050" s="694"/>
      <c r="J3050" s="680"/>
      <c r="K3050" s="401"/>
      <c r="L3050" s="401"/>
    </row>
    <row r="3051" spans="1:12" ht="13">
      <c r="A3051" s="678"/>
      <c r="B3051" s="678"/>
      <c r="C3051" s="679" t="s">
        <v>953</v>
      </c>
      <c r="D3051" s="694" t="s">
        <v>959</v>
      </c>
      <c r="E3051" s="696" t="s">
        <v>943</v>
      </c>
      <c r="F3051" s="697" t="s">
        <v>944</v>
      </c>
      <c r="G3051" s="694" t="s">
        <v>1036</v>
      </c>
      <c r="H3051" s="694" t="s">
        <v>1037</v>
      </c>
      <c r="I3051" s="694" t="s">
        <v>1038</v>
      </c>
      <c r="J3051" s="680"/>
      <c r="K3051" s="401"/>
      <c r="L3051" s="401"/>
    </row>
    <row r="3052" spans="1:12">
      <c r="A3052" s="678"/>
      <c r="B3052" s="678"/>
      <c r="C3052" s="684" t="s">
        <v>1064</v>
      </c>
      <c r="D3052" s="686">
        <f t="shared" ref="D3052:I3052" si="709">$I$3049</f>
        <v>53849.014560000011</v>
      </c>
      <c r="E3052" s="686">
        <f t="shared" si="709"/>
        <v>53849.014560000011</v>
      </c>
      <c r="F3052" s="686">
        <f t="shared" si="709"/>
        <v>53849.014560000011</v>
      </c>
      <c r="G3052" s="686">
        <f t="shared" si="709"/>
        <v>53849.014560000011</v>
      </c>
      <c r="H3052" s="686">
        <f t="shared" si="709"/>
        <v>53849.014560000011</v>
      </c>
      <c r="I3052" s="686">
        <f t="shared" si="709"/>
        <v>53849.014560000011</v>
      </c>
      <c r="J3052" s="680"/>
      <c r="K3052" s="401"/>
      <c r="L3052" s="401"/>
    </row>
    <row r="3053" spans="1:12">
      <c r="A3053" s="678"/>
      <c r="B3053" s="678"/>
      <c r="C3053" s="684" t="s">
        <v>994</v>
      </c>
      <c r="D3053" s="686">
        <v>0</v>
      </c>
      <c r="E3053" s="686">
        <f>ROUND($F$3044*10%,2)</f>
        <v>645</v>
      </c>
      <c r="F3053" s="686">
        <f>ROUND($F$3044*20%,2)</f>
        <v>1290</v>
      </c>
      <c r="G3053" s="686">
        <f>ROUND($F$3044*30%,2)</f>
        <v>1935</v>
      </c>
      <c r="H3053" s="686">
        <f>ROUND($F$3044*40%,2)</f>
        <v>2580</v>
      </c>
      <c r="I3053" s="686">
        <f>ROUND($F$3044*50%,2)</f>
        <v>3225</v>
      </c>
      <c r="J3053" s="680"/>
      <c r="K3053" s="401"/>
      <c r="L3053" s="401"/>
    </row>
    <row r="3054" spans="1:12">
      <c r="A3054" s="678"/>
      <c r="B3054" s="678"/>
      <c r="C3054" s="684" t="str">
        <f>[161]Input!$C$47</f>
        <v>Add for MA @ 40%</v>
      </c>
      <c r="D3054" s="686">
        <f>D3053*[161]Input!D87</f>
        <v>0</v>
      </c>
      <c r="E3054" s="686">
        <f>E3053*[161]Input!$D$47</f>
        <v>258</v>
      </c>
      <c r="F3054" s="686">
        <f>F3053*[161]Input!$D$47</f>
        <v>516</v>
      </c>
      <c r="G3054" s="686">
        <f>G3053*[161]Input!$D$47</f>
        <v>774</v>
      </c>
      <c r="H3054" s="686">
        <f>H3053*[161]Input!$D$47</f>
        <v>1032</v>
      </c>
      <c r="I3054" s="686">
        <f>I3053*[161]Input!$D$47</f>
        <v>1290</v>
      </c>
      <c r="J3054" s="680"/>
      <c r="K3054" s="401"/>
      <c r="L3054" s="401"/>
    </row>
    <row r="3055" spans="1:12">
      <c r="A3055" s="678"/>
      <c r="B3055" s="678"/>
      <c r="C3055" s="698"/>
      <c r="D3055" s="686">
        <f t="shared" ref="D3055:I3055" si="710">SUM(D3052:D3054)</f>
        <v>53849.014560000011</v>
      </c>
      <c r="E3055" s="686">
        <f t="shared" si="710"/>
        <v>54752.014560000011</v>
      </c>
      <c r="F3055" s="686">
        <f t="shared" si="710"/>
        <v>55655.014560000011</v>
      </c>
      <c r="G3055" s="686">
        <f t="shared" si="710"/>
        <v>56558.014560000011</v>
      </c>
      <c r="H3055" s="686">
        <f t="shared" si="710"/>
        <v>57461.014560000011</v>
      </c>
      <c r="I3055" s="686">
        <f t="shared" si="710"/>
        <v>58364.014560000011</v>
      </c>
      <c r="J3055" s="680"/>
      <c r="K3055" s="401"/>
      <c r="L3055" s="401"/>
    </row>
    <row r="3056" spans="1:12" ht="25">
      <c r="A3056" s="678"/>
      <c r="B3056" s="678"/>
      <c r="C3056" s="684" t="str">
        <f>[161]Input!$C$48</f>
        <v>Overheads &amp; Contractors Profit @ 13.615%</v>
      </c>
      <c r="D3056" s="686">
        <f>ROUND(D3055*[161]Input!$D$48,2)</f>
        <v>7331.54</v>
      </c>
      <c r="E3056" s="686">
        <f>ROUND(E3055*[161]Input!$D$48,2)</f>
        <v>7454.49</v>
      </c>
      <c r="F3056" s="686">
        <f>ROUND(F3055*[161]Input!$D$48,2)</f>
        <v>7577.43</v>
      </c>
      <c r="G3056" s="686">
        <f>ROUND(G3055*[161]Input!$D$48,2)</f>
        <v>7700.37</v>
      </c>
      <c r="H3056" s="686">
        <f>ROUND(H3055*[161]Input!$D$48,2)</f>
        <v>7823.32</v>
      </c>
      <c r="I3056" s="686">
        <f>ROUND(I3055*[161]Input!$D$48,2)</f>
        <v>7946.26</v>
      </c>
      <c r="J3056" s="680"/>
      <c r="K3056" s="401"/>
      <c r="L3056" s="401"/>
    </row>
    <row r="3057" spans="1:12" ht="13">
      <c r="A3057" s="678"/>
      <c r="B3057" s="678"/>
      <c r="C3057" s="679" t="s">
        <v>1047</v>
      </c>
      <c r="D3057" s="686">
        <f t="shared" ref="D3057:I3057" si="711">SUM(D3055:D3056)</f>
        <v>61180.554560000011</v>
      </c>
      <c r="E3057" s="686">
        <f t="shared" si="711"/>
        <v>62206.504560000008</v>
      </c>
      <c r="F3057" s="686">
        <f t="shared" si="711"/>
        <v>63232.444560000011</v>
      </c>
      <c r="G3057" s="686">
        <f t="shared" si="711"/>
        <v>64258.384560000013</v>
      </c>
      <c r="H3057" s="686">
        <f t="shared" si="711"/>
        <v>65284.33456000001</v>
      </c>
      <c r="I3057" s="686">
        <f t="shared" si="711"/>
        <v>66310.274560000005</v>
      </c>
      <c r="J3057" s="680"/>
      <c r="K3057" s="401"/>
      <c r="L3057" s="401"/>
    </row>
    <row r="3058" spans="1:12" ht="13">
      <c r="A3058" s="678"/>
      <c r="B3058" s="678"/>
      <c r="C3058" s="679" t="s">
        <v>845</v>
      </c>
      <c r="D3058" s="694">
        <f t="shared" ref="D3058:I3058" si="712">D3057/10</f>
        <v>6118.055456000001</v>
      </c>
      <c r="E3058" s="694">
        <f t="shared" si="712"/>
        <v>6220.6504560000012</v>
      </c>
      <c r="F3058" s="694">
        <f t="shared" si="712"/>
        <v>6323.2444560000013</v>
      </c>
      <c r="G3058" s="694">
        <f t="shared" si="712"/>
        <v>6425.8384560000013</v>
      </c>
      <c r="H3058" s="694">
        <f t="shared" si="712"/>
        <v>6528.4334560000007</v>
      </c>
      <c r="I3058" s="694">
        <f t="shared" si="712"/>
        <v>6631.0274560000007</v>
      </c>
      <c r="J3058" s="680"/>
      <c r="K3058" s="401"/>
      <c r="L3058" s="401"/>
    </row>
    <row r="3059" spans="1:12" ht="13">
      <c r="A3059" s="678"/>
      <c r="B3059" s="678"/>
      <c r="C3059" s="699" t="s">
        <v>726</v>
      </c>
      <c r="D3059" s="696">
        <f t="shared" ref="D3059:I3059" si="713">ROUND(D3058,0)</f>
        <v>6118</v>
      </c>
      <c r="E3059" s="696">
        <f t="shared" si="713"/>
        <v>6221</v>
      </c>
      <c r="F3059" s="696">
        <f t="shared" si="713"/>
        <v>6323</v>
      </c>
      <c r="G3059" s="696">
        <f t="shared" si="713"/>
        <v>6426</v>
      </c>
      <c r="H3059" s="696">
        <f t="shared" si="713"/>
        <v>6528</v>
      </c>
      <c r="I3059" s="696">
        <f t="shared" si="713"/>
        <v>6631</v>
      </c>
      <c r="J3059" s="695">
        <f>1/0.05</f>
        <v>20</v>
      </c>
      <c r="K3059" s="401"/>
      <c r="L3059" s="401"/>
    </row>
    <row r="3060" spans="1:12" ht="13">
      <c r="A3060" s="678"/>
      <c r="B3060" s="678"/>
      <c r="C3060" s="679" t="s">
        <v>1237</v>
      </c>
      <c r="D3060" s="696">
        <f t="shared" ref="D3060:I3060" si="714">+D3059/20</f>
        <v>305.89999999999998</v>
      </c>
      <c r="E3060" s="696">
        <f t="shared" si="714"/>
        <v>311.05</v>
      </c>
      <c r="F3060" s="696">
        <f t="shared" si="714"/>
        <v>316.14999999999998</v>
      </c>
      <c r="G3060" s="696">
        <f t="shared" si="714"/>
        <v>321.3</v>
      </c>
      <c r="H3060" s="696">
        <f t="shared" si="714"/>
        <v>326.39999999999998</v>
      </c>
      <c r="I3060" s="696">
        <f t="shared" si="714"/>
        <v>331.55</v>
      </c>
      <c r="J3060" s="695"/>
      <c r="K3060" s="401"/>
      <c r="L3060" s="401"/>
    </row>
    <row r="3061" spans="1:12" ht="78.400000000000006" customHeight="1">
      <c r="A3061" s="454">
        <f>1+A3034</f>
        <v>15</v>
      </c>
      <c r="B3061" s="454"/>
      <c r="C3061" s="1276" t="s">
        <v>1238</v>
      </c>
      <c r="D3061" s="1276"/>
      <c r="E3061" s="1276"/>
      <c r="F3061" s="1276"/>
      <c r="G3061" s="1276"/>
      <c r="H3061" s="1276"/>
      <c r="I3061" s="407"/>
      <c r="J3061" s="400"/>
      <c r="K3061" s="401"/>
      <c r="L3061" s="401"/>
    </row>
    <row r="3062" spans="1:12" ht="13">
      <c r="A3062" s="454"/>
      <c r="B3062" s="454"/>
      <c r="C3062" s="455" t="s">
        <v>1239</v>
      </c>
      <c r="D3062" s="406"/>
      <c r="E3062" s="406"/>
      <c r="F3062" s="406"/>
      <c r="G3062" s="406"/>
      <c r="H3062" s="406"/>
      <c r="I3062" s="432"/>
      <c r="J3062" s="400"/>
      <c r="K3062" s="401"/>
      <c r="L3062" s="401"/>
    </row>
    <row r="3063" spans="1:12">
      <c r="A3063" s="454"/>
      <c r="B3063" s="454"/>
      <c r="C3063" s="417" t="s">
        <v>1041</v>
      </c>
      <c r="D3063" s="406"/>
      <c r="E3063" s="406"/>
      <c r="F3063" s="406"/>
      <c r="G3063" s="406"/>
      <c r="H3063" s="406"/>
      <c r="I3063" s="432"/>
      <c r="J3063" s="400"/>
      <c r="K3063" s="401"/>
      <c r="L3063" s="401"/>
    </row>
    <row r="3064" spans="1:12" ht="13">
      <c r="A3064" s="454"/>
      <c r="B3064" s="454"/>
      <c r="C3064" s="427" t="s">
        <v>873</v>
      </c>
      <c r="D3064" s="406"/>
      <c r="E3064" s="406"/>
      <c r="F3064" s="406"/>
      <c r="G3064" s="406"/>
      <c r="H3064" s="406"/>
      <c r="I3064" s="432"/>
      <c r="J3064" s="400"/>
      <c r="K3064" s="401"/>
      <c r="L3064" s="401"/>
    </row>
    <row r="3065" spans="1:12">
      <c r="A3065" s="454"/>
      <c r="B3065" s="454"/>
      <c r="C3065" s="483" t="s">
        <v>1240</v>
      </c>
      <c r="D3065" s="408">
        <v>0.17</v>
      </c>
      <c r="E3065" s="454" t="s">
        <v>57</v>
      </c>
      <c r="F3065" s="408">
        <f>$F$22</f>
        <v>1387.96</v>
      </c>
      <c r="G3065" s="430">
        <v>1</v>
      </c>
      <c r="H3065" s="456" t="str">
        <f t="shared" ref="H3065:H3067" si="715">IF(E3065="","",IF(E3065="No.","Each",IF(E3065="Nos.","Each",E3065)))</f>
        <v>Cum</v>
      </c>
      <c r="I3065" s="408">
        <f t="shared" ref="I3065:I3067" si="716">IF(G3065="",D3065*F3065,(D3065*F3065/G3065))</f>
        <v>235.95320000000001</v>
      </c>
      <c r="J3065" s="487"/>
      <c r="K3065" s="401"/>
      <c r="L3065" s="401"/>
    </row>
    <row r="3066" spans="1:12">
      <c r="A3066" s="454"/>
      <c r="B3066" s="454"/>
      <c r="C3066" s="483" t="s">
        <v>504</v>
      </c>
      <c r="D3066" s="408">
        <v>120</v>
      </c>
      <c r="E3066" s="454" t="s">
        <v>833</v>
      </c>
      <c r="F3066" s="408">
        <f>[161]LEAD!$N$6</f>
        <v>5200</v>
      </c>
      <c r="G3066" s="430">
        <v>1000</v>
      </c>
      <c r="H3066" s="456" t="str">
        <f t="shared" si="715"/>
        <v>Kgs</v>
      </c>
      <c r="I3066" s="408">
        <f t="shared" si="716"/>
        <v>624</v>
      </c>
      <c r="J3066" s="487"/>
      <c r="K3066" s="401"/>
      <c r="L3066" s="401"/>
    </row>
    <row r="3067" spans="1:12">
      <c r="A3067" s="454"/>
      <c r="B3067" s="454"/>
      <c r="C3067" s="483" t="s">
        <v>481</v>
      </c>
      <c r="D3067" s="532">
        <v>8.5000000000000006E-2</v>
      </c>
      <c r="E3067" s="454" t="s">
        <v>57</v>
      </c>
      <c r="F3067" s="408">
        <f>[161]LEAD!$N$12</f>
        <v>2253.91</v>
      </c>
      <c r="G3067" s="430">
        <v>1</v>
      </c>
      <c r="H3067" s="456" t="str">
        <f t="shared" si="715"/>
        <v>Cum</v>
      </c>
      <c r="I3067" s="408">
        <f t="shared" si="716"/>
        <v>191.58234999999999</v>
      </c>
      <c r="J3067" s="487"/>
      <c r="K3067" s="401"/>
      <c r="L3067" s="401"/>
    </row>
    <row r="3068" spans="1:12" ht="13">
      <c r="A3068" s="454"/>
      <c r="B3068" s="454"/>
      <c r="C3068" s="433" t="s">
        <v>1043</v>
      </c>
      <c r="D3068" s="426"/>
      <c r="E3068" s="426"/>
      <c r="F3068" s="426"/>
      <c r="G3068" s="426"/>
      <c r="H3068" s="426"/>
      <c r="I3068" s="409"/>
      <c r="J3068" s="700" t="s">
        <v>1241</v>
      </c>
      <c r="K3068" s="401"/>
      <c r="L3068" s="401"/>
    </row>
    <row r="3069" spans="1:12">
      <c r="A3069" s="454"/>
      <c r="B3069" s="454"/>
      <c r="C3069" s="483" t="s">
        <v>1044</v>
      </c>
      <c r="D3069" s="408">
        <v>1.25</v>
      </c>
      <c r="E3069" s="454" t="s">
        <v>375</v>
      </c>
      <c r="F3069" s="408">
        <f>'[161]Civil-SOR'!$G$293</f>
        <v>580</v>
      </c>
      <c r="G3069" s="430">
        <v>1</v>
      </c>
      <c r="H3069" s="456" t="str">
        <f t="shared" ref="H3069:H3071" si="717">IF(E3069="","",IF(E3069="No.","Each",IF(E3069="Nos.","Each",E3069)))</f>
        <v>Each</v>
      </c>
      <c r="I3069" s="408">
        <f t="shared" ref="I3069:I3073" si="718">IF(G3069="",D3069*F3069,(D3069*F3069/G3069))</f>
        <v>725</v>
      </c>
      <c r="J3069" s="487"/>
      <c r="K3069" s="401"/>
      <c r="L3069" s="401"/>
    </row>
    <row r="3070" spans="1:12">
      <c r="A3070" s="454"/>
      <c r="B3070" s="454"/>
      <c r="C3070" s="483" t="s">
        <v>1242</v>
      </c>
      <c r="D3070" s="408">
        <v>0.06</v>
      </c>
      <c r="E3070" s="454" t="s">
        <v>375</v>
      </c>
      <c r="F3070" s="408">
        <f>'[161]Civil-SOR'!$G$302</f>
        <v>550</v>
      </c>
      <c r="G3070" s="430">
        <v>1</v>
      </c>
      <c r="H3070" s="456" t="str">
        <f t="shared" si="717"/>
        <v>Each</v>
      </c>
      <c r="I3070" s="408">
        <f t="shared" si="718"/>
        <v>33</v>
      </c>
      <c r="J3070" s="487"/>
      <c r="K3070" s="401"/>
      <c r="L3070" s="401"/>
    </row>
    <row r="3071" spans="1:12">
      <c r="A3071" s="454"/>
      <c r="B3071" s="454"/>
      <c r="C3071" s="483" t="s">
        <v>1045</v>
      </c>
      <c r="D3071" s="408">
        <v>3</v>
      </c>
      <c r="E3071" s="454" t="s">
        <v>375</v>
      </c>
      <c r="F3071" s="408">
        <f>'[161]Civil-SOR'!$G$307</f>
        <v>520</v>
      </c>
      <c r="G3071" s="430">
        <v>1</v>
      </c>
      <c r="H3071" s="456" t="str">
        <f t="shared" si="717"/>
        <v>Each</v>
      </c>
      <c r="I3071" s="408">
        <f t="shared" si="718"/>
        <v>1560</v>
      </c>
      <c r="J3071" s="487"/>
      <c r="K3071" s="401"/>
      <c r="L3071" s="401"/>
    </row>
    <row r="3072" spans="1:12">
      <c r="A3072" s="454"/>
      <c r="B3072" s="454"/>
      <c r="C3072" s="469" t="str">
        <f>[161]Input!$C$47</f>
        <v>Add for MA @ 40%</v>
      </c>
      <c r="D3072" s="621">
        <f>[161]Input!$D$47</f>
        <v>0.4</v>
      </c>
      <c r="E3072" s="454"/>
      <c r="F3072" s="408">
        <f>SUM(I3069:I3071)</f>
        <v>2318</v>
      </c>
      <c r="G3072" s="410"/>
      <c r="H3072" s="426"/>
      <c r="I3072" s="408">
        <f t="shared" si="718"/>
        <v>927.2</v>
      </c>
      <c r="J3072" s="487"/>
      <c r="K3072" s="401"/>
      <c r="L3072" s="401"/>
    </row>
    <row r="3073" spans="1:12">
      <c r="A3073" s="454"/>
      <c r="B3073" s="454"/>
      <c r="C3073" s="483" t="s">
        <v>1046</v>
      </c>
      <c r="D3073" s="701">
        <v>0.01</v>
      </c>
      <c r="E3073" s="454"/>
      <c r="F3073" s="408">
        <f>SUM(I3065:I3072)</f>
        <v>4296.7355500000003</v>
      </c>
      <c r="G3073" s="430"/>
      <c r="H3073" s="456"/>
      <c r="I3073" s="408">
        <f t="shared" si="718"/>
        <v>42.967355500000004</v>
      </c>
      <c r="J3073" s="487"/>
      <c r="K3073" s="401"/>
      <c r="L3073" s="401"/>
    </row>
    <row r="3074" spans="1:12" s="554" customFormat="1" ht="13">
      <c r="A3074" s="454"/>
      <c r="B3074" s="454"/>
      <c r="C3074" s="481" t="s">
        <v>1047</v>
      </c>
      <c r="D3074" s="408"/>
      <c r="E3074" s="454"/>
      <c r="F3074" s="408"/>
      <c r="G3074" s="430"/>
      <c r="H3074" s="454"/>
      <c r="I3074" s="434">
        <f>SUM(I3065:I3073)</f>
        <v>4339.7029055000003</v>
      </c>
      <c r="J3074" s="654"/>
      <c r="K3074" s="412"/>
      <c r="L3074" s="412"/>
    </row>
    <row r="3075" spans="1:12" ht="13">
      <c r="A3075" s="454"/>
      <c r="B3075" s="454"/>
      <c r="C3075" s="702"/>
      <c r="D3075" s="408"/>
      <c r="E3075" s="454"/>
      <c r="F3075" s="408"/>
      <c r="G3075" s="430"/>
      <c r="H3075" s="454"/>
      <c r="I3075" s="409"/>
      <c r="J3075" s="487"/>
      <c r="K3075" s="401"/>
      <c r="L3075" s="401"/>
    </row>
    <row r="3076" spans="1:12" ht="13">
      <c r="A3076" s="454"/>
      <c r="B3076" s="454"/>
      <c r="C3076" s="427" t="s">
        <v>953</v>
      </c>
      <c r="D3076" s="414" t="s">
        <v>959</v>
      </c>
      <c r="E3076" s="416" t="s">
        <v>943</v>
      </c>
      <c r="F3076" s="415" t="s">
        <v>944</v>
      </c>
      <c r="G3076" s="414" t="s">
        <v>1036</v>
      </c>
      <c r="H3076" s="414" t="s">
        <v>1037</v>
      </c>
      <c r="I3076" s="414" t="s">
        <v>1038</v>
      </c>
      <c r="J3076" s="487"/>
      <c r="K3076" s="401"/>
      <c r="L3076" s="401"/>
    </row>
    <row r="3077" spans="1:12">
      <c r="A3077" s="454"/>
      <c r="B3077" s="454"/>
      <c r="C3077" s="417" t="s">
        <v>1064</v>
      </c>
      <c r="D3077" s="408">
        <f t="shared" ref="D3077:I3077" si="719">$I$3074</f>
        <v>4339.7029055000003</v>
      </c>
      <c r="E3077" s="408">
        <f t="shared" si="719"/>
        <v>4339.7029055000003</v>
      </c>
      <c r="F3077" s="408">
        <f t="shared" si="719"/>
        <v>4339.7029055000003</v>
      </c>
      <c r="G3077" s="408">
        <f t="shared" si="719"/>
        <v>4339.7029055000003</v>
      </c>
      <c r="H3077" s="408">
        <f t="shared" si="719"/>
        <v>4339.7029055000003</v>
      </c>
      <c r="I3077" s="408">
        <f t="shared" si="719"/>
        <v>4339.7029055000003</v>
      </c>
      <c r="J3077" s="487"/>
      <c r="K3077" s="401"/>
      <c r="L3077" s="401"/>
    </row>
    <row r="3078" spans="1:12">
      <c r="A3078" s="454"/>
      <c r="B3078" s="454"/>
      <c r="C3078" s="417" t="s">
        <v>994</v>
      </c>
      <c r="D3078" s="408">
        <v>0</v>
      </c>
      <c r="E3078" s="408">
        <f>ROUND($F$3072*10%,2)</f>
        <v>231.8</v>
      </c>
      <c r="F3078" s="408">
        <f>ROUND($F$3072*20%,2)</f>
        <v>463.6</v>
      </c>
      <c r="G3078" s="408">
        <f>ROUND($F$3072*30%,2)</f>
        <v>695.4</v>
      </c>
      <c r="H3078" s="408">
        <f>ROUND($F$3072*40%,2)</f>
        <v>927.2</v>
      </c>
      <c r="I3078" s="408">
        <f>ROUND($F$3072*50%,2)</f>
        <v>1159</v>
      </c>
      <c r="J3078" s="487"/>
      <c r="K3078" s="401"/>
      <c r="L3078" s="401"/>
    </row>
    <row r="3079" spans="1:12">
      <c r="A3079" s="454"/>
      <c r="B3079" s="454"/>
      <c r="C3079" s="417" t="str">
        <f>[161]Input!$C$47</f>
        <v>Add for MA @ 40%</v>
      </c>
      <c r="D3079" s="408">
        <f>D3078*[161]Input!$D$47</f>
        <v>0</v>
      </c>
      <c r="E3079" s="408">
        <f>E3078*[161]Input!$D$47</f>
        <v>92.720000000000013</v>
      </c>
      <c r="F3079" s="408">
        <f>F3078*[161]Input!$D$47</f>
        <v>185.44000000000003</v>
      </c>
      <c r="G3079" s="408">
        <f>G3078*[161]Input!$D$47</f>
        <v>278.16000000000003</v>
      </c>
      <c r="H3079" s="408">
        <f>H3078*[161]Input!$D$47</f>
        <v>370.88000000000005</v>
      </c>
      <c r="I3079" s="408">
        <f>I3078*[161]Input!$D$47</f>
        <v>463.6</v>
      </c>
      <c r="J3079" s="487"/>
      <c r="K3079" s="401"/>
      <c r="L3079" s="401"/>
    </row>
    <row r="3080" spans="1:12">
      <c r="A3080" s="454"/>
      <c r="B3080" s="454"/>
      <c r="C3080" s="469"/>
      <c r="D3080" s="408">
        <f t="shared" ref="D3080:I3080" si="720">SUM(D3077:D3079)</f>
        <v>4339.7029055000003</v>
      </c>
      <c r="E3080" s="408">
        <f t="shared" si="720"/>
        <v>4664.2229055000007</v>
      </c>
      <c r="F3080" s="408">
        <f t="shared" si="720"/>
        <v>4988.7429055000002</v>
      </c>
      <c r="G3080" s="408">
        <f t="shared" si="720"/>
        <v>5313.2629054999998</v>
      </c>
      <c r="H3080" s="408">
        <f t="shared" si="720"/>
        <v>5637.7829055000002</v>
      </c>
      <c r="I3080" s="408">
        <f t="shared" si="720"/>
        <v>5962.3029055000006</v>
      </c>
      <c r="J3080" s="487"/>
      <c r="K3080" s="401"/>
      <c r="L3080" s="401"/>
    </row>
    <row r="3081" spans="1:12" ht="25">
      <c r="A3081" s="454"/>
      <c r="B3081" s="454"/>
      <c r="C3081" s="417" t="str">
        <f>[161]Input!$C$48</f>
        <v>Overheads &amp; Contractors Profit @ 13.615%</v>
      </c>
      <c r="D3081" s="408">
        <f>ROUND(D3080*[161]Input!$D$48,2)</f>
        <v>590.85</v>
      </c>
      <c r="E3081" s="408">
        <f>ROUND(E3080*[161]Input!$D$48,2)</f>
        <v>635.03</v>
      </c>
      <c r="F3081" s="408">
        <f>ROUND(F3080*[161]Input!$D$48,2)</f>
        <v>679.22</v>
      </c>
      <c r="G3081" s="408">
        <f>ROUND(G3080*[161]Input!$D$48,2)</f>
        <v>723.4</v>
      </c>
      <c r="H3081" s="408">
        <f>ROUND(H3080*[161]Input!$D$48,2)</f>
        <v>767.58</v>
      </c>
      <c r="I3081" s="408">
        <f>ROUND(I3080*[161]Input!$D$48,2)</f>
        <v>811.77</v>
      </c>
      <c r="J3081" s="487"/>
      <c r="K3081" s="401"/>
      <c r="L3081" s="401"/>
    </row>
    <row r="3082" spans="1:12" ht="13">
      <c r="A3082" s="454"/>
      <c r="B3082" s="454"/>
      <c r="C3082" s="427" t="s">
        <v>1047</v>
      </c>
      <c r="D3082" s="408">
        <f t="shared" ref="D3082:I3082" si="721">SUM(D3080:D3081)</f>
        <v>4930.5529055000006</v>
      </c>
      <c r="E3082" s="408">
        <f t="shared" si="721"/>
        <v>5299.2529055000005</v>
      </c>
      <c r="F3082" s="408">
        <f t="shared" si="721"/>
        <v>5667.9629055000005</v>
      </c>
      <c r="G3082" s="408">
        <f t="shared" si="721"/>
        <v>6036.6629054999994</v>
      </c>
      <c r="H3082" s="408">
        <f t="shared" si="721"/>
        <v>6405.3629055000001</v>
      </c>
      <c r="I3082" s="408">
        <f t="shared" si="721"/>
        <v>6774.0729055000011</v>
      </c>
      <c r="J3082" s="487"/>
      <c r="K3082" s="401"/>
      <c r="L3082" s="401"/>
    </row>
    <row r="3083" spans="1:12" s="554" customFormat="1" ht="13">
      <c r="A3083" s="454"/>
      <c r="B3083" s="454"/>
      <c r="C3083" s="481" t="s">
        <v>845</v>
      </c>
      <c r="D3083" s="414">
        <f t="shared" ref="D3083:I3083" si="722">D3082/10</f>
        <v>493.05529055000005</v>
      </c>
      <c r="E3083" s="414">
        <f t="shared" si="722"/>
        <v>529.92529055</v>
      </c>
      <c r="F3083" s="414">
        <f t="shared" si="722"/>
        <v>566.79629055000009</v>
      </c>
      <c r="G3083" s="414">
        <f t="shared" si="722"/>
        <v>603.66629054999999</v>
      </c>
      <c r="H3083" s="414">
        <f t="shared" si="722"/>
        <v>640.53629054999999</v>
      </c>
      <c r="I3083" s="414">
        <f t="shared" si="722"/>
        <v>677.40729055000008</v>
      </c>
      <c r="J3083" s="487"/>
      <c r="K3083" s="401"/>
      <c r="L3083" s="401"/>
    </row>
    <row r="3084" spans="1:12" s="554" customFormat="1" ht="13">
      <c r="A3084" s="454"/>
      <c r="B3084" s="454"/>
      <c r="C3084" s="522" t="s">
        <v>726</v>
      </c>
      <c r="D3084" s="416">
        <f t="shared" ref="D3084:I3084" si="723">ROUND(D3083,0)</f>
        <v>493</v>
      </c>
      <c r="E3084" s="416">
        <f t="shared" si="723"/>
        <v>530</v>
      </c>
      <c r="F3084" s="416">
        <f t="shared" si="723"/>
        <v>567</v>
      </c>
      <c r="G3084" s="416">
        <f t="shared" si="723"/>
        <v>604</v>
      </c>
      <c r="H3084" s="416">
        <f t="shared" si="723"/>
        <v>641</v>
      </c>
      <c r="I3084" s="416">
        <f t="shared" si="723"/>
        <v>677</v>
      </c>
      <c r="J3084" s="487"/>
      <c r="K3084" s="401"/>
      <c r="L3084" s="401"/>
    </row>
    <row r="3085" spans="1:12" ht="13">
      <c r="A3085" s="454"/>
      <c r="B3085" s="454"/>
      <c r="C3085" s="521"/>
      <c r="D3085" s="408"/>
      <c r="E3085" s="408"/>
      <c r="F3085" s="408"/>
      <c r="G3085" s="426"/>
      <c r="H3085" s="492"/>
      <c r="I3085" s="434"/>
      <c r="J3085" s="487"/>
      <c r="K3085" s="401"/>
      <c r="L3085" s="401"/>
    </row>
    <row r="3086" spans="1:12" ht="13">
      <c r="A3086" s="454"/>
      <c r="B3086" s="454"/>
      <c r="C3086" s="427" t="s">
        <v>953</v>
      </c>
      <c r="D3086" s="414" t="s">
        <v>1118</v>
      </c>
      <c r="E3086" s="414" t="s">
        <v>1119</v>
      </c>
      <c r="F3086" s="414" t="s">
        <v>1120</v>
      </c>
      <c r="G3086" s="426"/>
      <c r="H3086" s="492"/>
      <c r="I3086" s="434"/>
      <c r="J3086" s="400"/>
      <c r="K3086" s="401"/>
      <c r="L3086" s="401"/>
    </row>
    <row r="3087" spans="1:12" ht="13">
      <c r="A3087" s="454"/>
      <c r="B3087" s="454"/>
      <c r="C3087" s="417" t="s">
        <v>1064</v>
      </c>
      <c r="D3087" s="408">
        <f>$I$3074</f>
        <v>4339.7029055000003</v>
      </c>
      <c r="E3087" s="408">
        <f>$I$3074</f>
        <v>4339.7029055000003</v>
      </c>
      <c r="F3087" s="408">
        <f>$I$3074</f>
        <v>4339.7029055000003</v>
      </c>
      <c r="G3087" s="426"/>
      <c r="H3087" s="492"/>
      <c r="I3087" s="434"/>
      <c r="J3087" s="400"/>
      <c r="K3087" s="401"/>
      <c r="L3087" s="401"/>
    </row>
    <row r="3088" spans="1:12" ht="13">
      <c r="A3088" s="454"/>
      <c r="B3088" s="454"/>
      <c r="C3088" s="417" t="s">
        <v>994</v>
      </c>
      <c r="D3088" s="408">
        <f>ROUND($F$3072*60%,2)</f>
        <v>1390.8</v>
      </c>
      <c r="E3088" s="408">
        <f>ROUND($F$3072*70%,2)</f>
        <v>1622.6</v>
      </c>
      <c r="F3088" s="408">
        <f>ROUND($F$3072*80%,2)</f>
        <v>1854.4</v>
      </c>
      <c r="G3088" s="426"/>
      <c r="H3088" s="492"/>
      <c r="I3088" s="434"/>
      <c r="J3088" s="400"/>
      <c r="K3088" s="401"/>
      <c r="L3088" s="401"/>
    </row>
    <row r="3089" spans="1:64" ht="13">
      <c r="A3089" s="454"/>
      <c r="B3089" s="454"/>
      <c r="C3089" s="417" t="str">
        <f>[161]Input!$C$47</f>
        <v>Add for MA @ 40%</v>
      </c>
      <c r="D3089" s="408">
        <f>D3088*[161]Input!$D$47</f>
        <v>556.32000000000005</v>
      </c>
      <c r="E3089" s="408">
        <f>E3088*[161]Input!$D$47</f>
        <v>649.04</v>
      </c>
      <c r="F3089" s="408">
        <f>F3088*[161]Input!$D$47</f>
        <v>741.7600000000001</v>
      </c>
      <c r="G3089" s="426"/>
      <c r="H3089" s="492"/>
      <c r="I3089" s="434"/>
      <c r="J3089" s="400"/>
      <c r="K3089" s="401"/>
      <c r="L3089" s="401"/>
    </row>
    <row r="3090" spans="1:64" ht="13">
      <c r="A3090" s="454"/>
      <c r="B3090" s="454"/>
      <c r="C3090" s="435"/>
      <c r="D3090" s="408">
        <f>SUM(D3087:D3089)</f>
        <v>6286.8229055000002</v>
      </c>
      <c r="E3090" s="408">
        <f>SUM(E3087:E3089)</f>
        <v>6611.3429055000006</v>
      </c>
      <c r="F3090" s="408">
        <f>SUM(F3087:F3089)</f>
        <v>6935.8629055000001</v>
      </c>
      <c r="G3090" s="426"/>
      <c r="H3090" s="492"/>
      <c r="I3090" s="434"/>
      <c r="J3090" s="400"/>
      <c r="K3090" s="401"/>
      <c r="L3090" s="401"/>
    </row>
    <row r="3091" spans="1:64" ht="25">
      <c r="A3091" s="454"/>
      <c r="B3091" s="454"/>
      <c r="C3091" s="417" t="str">
        <f>[161]Input!$C$48</f>
        <v>Overheads &amp; Contractors Profit @ 13.615%</v>
      </c>
      <c r="D3091" s="408">
        <f>ROUND(D3090*[161]Input!$D$48,2)</f>
        <v>855.95</v>
      </c>
      <c r="E3091" s="408">
        <f>ROUND(E3090*[161]Input!$D$48,2)</f>
        <v>900.13</v>
      </c>
      <c r="F3091" s="408">
        <f>ROUND(F3090*[161]Input!$D$48,2)</f>
        <v>944.32</v>
      </c>
      <c r="G3091" s="426"/>
      <c r="H3091" s="492"/>
      <c r="I3091" s="434"/>
      <c r="J3091" s="400"/>
      <c r="K3091" s="401"/>
      <c r="L3091" s="401"/>
    </row>
    <row r="3092" spans="1:64" ht="13">
      <c r="A3092" s="454"/>
      <c r="B3092" s="454"/>
      <c r="C3092" s="427" t="s">
        <v>1047</v>
      </c>
      <c r="D3092" s="408">
        <f>SUM(D3090:D3091)</f>
        <v>7142.7729055</v>
      </c>
      <c r="E3092" s="408">
        <f>SUM(E3090:E3091)</f>
        <v>7511.4729055000007</v>
      </c>
      <c r="F3092" s="408">
        <f>SUM(F3090:F3091)</f>
        <v>7880.1829054999998</v>
      </c>
      <c r="G3092" s="426"/>
      <c r="H3092" s="492"/>
      <c r="I3092" s="434"/>
      <c r="J3092" s="400"/>
      <c r="K3092" s="401"/>
      <c r="L3092" s="401"/>
    </row>
    <row r="3093" spans="1:64" ht="13">
      <c r="A3093" s="454"/>
      <c r="B3093" s="454"/>
      <c r="C3093" s="427" t="s">
        <v>845</v>
      </c>
      <c r="D3093" s="414">
        <f>D3092/10</f>
        <v>714.27729054999998</v>
      </c>
      <c r="E3093" s="414">
        <f>E3092/10</f>
        <v>751.14729055000009</v>
      </c>
      <c r="F3093" s="414">
        <f>F3092/10</f>
        <v>788.01829054999996</v>
      </c>
      <c r="G3093" s="426"/>
      <c r="H3093" s="492"/>
      <c r="I3093" s="434"/>
      <c r="J3093" s="400"/>
      <c r="K3093" s="401"/>
      <c r="L3093" s="401"/>
    </row>
    <row r="3094" spans="1:64" ht="13">
      <c r="A3094" s="454"/>
      <c r="B3094" s="454"/>
      <c r="C3094" s="514" t="s">
        <v>726</v>
      </c>
      <c r="D3094" s="416">
        <f>ROUND(D3093,0)</f>
        <v>714</v>
      </c>
      <c r="E3094" s="416">
        <f>ROUND(E3093,0)</f>
        <v>751</v>
      </c>
      <c r="F3094" s="416">
        <f>ROUND(F3093,0)</f>
        <v>788</v>
      </c>
      <c r="G3094" s="426"/>
      <c r="H3094" s="492"/>
      <c r="I3094" s="434"/>
      <c r="J3094" s="400"/>
      <c r="K3094" s="401"/>
      <c r="L3094" s="401"/>
    </row>
    <row r="3095" spans="1:64" ht="13">
      <c r="A3095" s="454"/>
      <c r="B3095" s="454"/>
      <c r="C3095" s="521"/>
      <c r="D3095" s="408"/>
      <c r="E3095" s="408"/>
      <c r="F3095" s="408"/>
      <c r="G3095" s="426"/>
      <c r="H3095" s="492"/>
      <c r="I3095" s="434"/>
      <c r="J3095" s="400"/>
      <c r="K3095" s="401"/>
      <c r="L3095" s="401"/>
    </row>
    <row r="3096" spans="1:64" ht="102.25" customHeight="1">
      <c r="A3096" s="454">
        <v>9</v>
      </c>
      <c r="B3096" s="454"/>
      <c r="C3096" s="1276" t="s">
        <v>1243</v>
      </c>
      <c r="D3096" s="1276"/>
      <c r="E3096" s="1276"/>
      <c r="F3096" s="1276"/>
      <c r="G3096" s="1276"/>
      <c r="H3096" s="1276"/>
      <c r="I3096" s="407"/>
      <c r="J3096" s="400"/>
      <c r="K3096" s="401"/>
      <c r="L3096" s="401"/>
    </row>
    <row r="3097" spans="1:64" ht="13">
      <c r="A3097" s="454"/>
      <c r="B3097" s="454"/>
      <c r="C3097" s="455" t="s">
        <v>1244</v>
      </c>
      <c r="D3097" s="406"/>
      <c r="E3097" s="406"/>
      <c r="F3097" s="406"/>
      <c r="G3097" s="406"/>
      <c r="H3097" s="406"/>
      <c r="I3097" s="432"/>
      <c r="J3097" s="400"/>
      <c r="K3097" s="401"/>
      <c r="L3097" s="401"/>
    </row>
    <row r="3098" spans="1:64" ht="13">
      <c r="A3098" s="454"/>
      <c r="B3098" s="454"/>
      <c r="C3098" s="427" t="s">
        <v>1041</v>
      </c>
      <c r="D3098" s="406"/>
      <c r="E3098" s="406"/>
      <c r="F3098" s="406"/>
      <c r="G3098" s="406"/>
      <c r="H3098" s="406"/>
      <c r="I3098" s="432"/>
      <c r="J3098" s="400"/>
      <c r="K3098" s="401"/>
      <c r="L3098" s="401"/>
    </row>
    <row r="3099" spans="1:64" ht="13">
      <c r="A3099" s="454"/>
      <c r="B3099" s="454"/>
      <c r="C3099" s="427" t="s">
        <v>873</v>
      </c>
      <c r="D3099" s="406"/>
      <c r="E3099" s="406"/>
      <c r="F3099" s="406"/>
      <c r="G3099" s="406"/>
      <c r="H3099" s="406"/>
      <c r="I3099" s="432"/>
      <c r="J3099" s="400"/>
      <c r="K3099" s="401"/>
      <c r="L3099" s="401"/>
    </row>
    <row r="3100" spans="1:64" ht="25">
      <c r="A3100" s="458"/>
      <c r="B3100" s="458"/>
      <c r="C3100" s="417" t="s">
        <v>1245</v>
      </c>
      <c r="D3100" s="459">
        <v>10.5</v>
      </c>
      <c r="E3100" s="458" t="s">
        <v>17</v>
      </c>
      <c r="F3100" s="459">
        <f>'[161]Civil-SOR'!$G$23</f>
        <v>288</v>
      </c>
      <c r="G3100" s="460">
        <v>1</v>
      </c>
      <c r="H3100" s="599" t="str">
        <f t="shared" ref="H3100:H3104" si="724">IF(E3100="","",IF(E3100="No.","Each",IF(E3100="Nos.","Each",E3100)))</f>
        <v>sqm</v>
      </c>
      <c r="I3100" s="459">
        <f t="shared" ref="I3100:I3104" si="725">IF(G3100="",D3100*F3100,(D3100*F3100/G3100))</f>
        <v>3024</v>
      </c>
      <c r="J3100" s="462"/>
      <c r="K3100" s="463"/>
      <c r="L3100" s="463">
        <v>3024</v>
      </c>
      <c r="M3100" s="703">
        <f t="shared" ref="M3100:M3111" si="726">I3100-L3100</f>
        <v>0</v>
      </c>
      <c r="N3100" s="559"/>
      <c r="O3100" s="559"/>
      <c r="P3100" s="559"/>
      <c r="Q3100" s="559"/>
      <c r="R3100" s="559"/>
      <c r="S3100" s="559"/>
      <c r="T3100" s="559"/>
      <c r="U3100" s="559"/>
      <c r="V3100" s="559"/>
      <c r="W3100" s="559"/>
      <c r="X3100" s="559"/>
      <c r="Y3100" s="559"/>
      <c r="Z3100" s="559"/>
      <c r="AA3100" s="559"/>
      <c r="AB3100" s="559"/>
      <c r="AC3100" s="559"/>
      <c r="AD3100" s="559"/>
      <c r="AE3100" s="559"/>
      <c r="AF3100" s="559"/>
      <c r="AG3100" s="559"/>
      <c r="AH3100" s="559"/>
      <c r="AI3100" s="559"/>
      <c r="AJ3100" s="559"/>
      <c r="AK3100" s="559"/>
      <c r="AL3100" s="559"/>
      <c r="AM3100" s="559"/>
      <c r="AN3100" s="559"/>
      <c r="AO3100" s="559"/>
      <c r="AP3100" s="559"/>
      <c r="AQ3100" s="559"/>
      <c r="AR3100" s="559"/>
      <c r="AS3100" s="559"/>
      <c r="AT3100" s="559"/>
      <c r="AU3100" s="559"/>
      <c r="AV3100" s="559"/>
      <c r="AW3100" s="559"/>
      <c r="AX3100" s="559"/>
      <c r="AY3100" s="559"/>
      <c r="AZ3100" s="559"/>
      <c r="BA3100" s="559"/>
      <c r="BB3100" s="559"/>
      <c r="BC3100" s="559"/>
      <c r="BD3100" s="559"/>
      <c r="BE3100" s="559"/>
      <c r="BF3100" s="559"/>
      <c r="BG3100" s="559"/>
      <c r="BH3100" s="559"/>
      <c r="BI3100" s="559"/>
      <c r="BJ3100" s="559"/>
      <c r="BK3100" s="559"/>
      <c r="BL3100" s="559"/>
    </row>
    <row r="3101" spans="1:64" ht="25">
      <c r="A3101" s="458"/>
      <c r="B3101" s="458"/>
      <c r="C3101" s="417" t="s">
        <v>1246</v>
      </c>
      <c r="D3101" s="459">
        <v>28.8</v>
      </c>
      <c r="E3101" s="458" t="s">
        <v>833</v>
      </c>
      <c r="F3101" s="459">
        <f>[161]LEAD!$N$6</f>
        <v>5200</v>
      </c>
      <c r="G3101" s="460">
        <v>1000</v>
      </c>
      <c r="H3101" s="599" t="str">
        <f t="shared" si="724"/>
        <v>Kgs</v>
      </c>
      <c r="I3101" s="459">
        <f t="shared" si="725"/>
        <v>149.76</v>
      </c>
      <c r="J3101" s="462"/>
      <c r="K3101" s="463"/>
      <c r="L3101" s="463">
        <v>164.16</v>
      </c>
      <c r="M3101" s="703">
        <f t="shared" si="726"/>
        <v>-14.400000000000006</v>
      </c>
      <c r="N3101" s="559"/>
      <c r="O3101" s="559"/>
      <c r="P3101" s="559"/>
      <c r="Q3101" s="559"/>
      <c r="R3101" s="559"/>
      <c r="S3101" s="559"/>
      <c r="T3101" s="559"/>
      <c r="U3101" s="559"/>
      <c r="V3101" s="559"/>
      <c r="W3101" s="559"/>
      <c r="X3101" s="559"/>
      <c r="Y3101" s="559"/>
      <c r="Z3101" s="559"/>
      <c r="AA3101" s="559"/>
      <c r="AB3101" s="559"/>
      <c r="AC3101" s="559"/>
      <c r="AD3101" s="559"/>
      <c r="AE3101" s="559"/>
      <c r="AF3101" s="559"/>
      <c r="AG3101" s="559"/>
      <c r="AH3101" s="559"/>
      <c r="AI3101" s="559"/>
      <c r="AJ3101" s="559"/>
      <c r="AK3101" s="559"/>
      <c r="AL3101" s="559"/>
      <c r="AM3101" s="559"/>
      <c r="AN3101" s="559"/>
      <c r="AO3101" s="559"/>
      <c r="AP3101" s="559"/>
      <c r="AQ3101" s="559"/>
      <c r="AR3101" s="559"/>
      <c r="AS3101" s="559"/>
      <c r="AT3101" s="559"/>
      <c r="AU3101" s="559"/>
      <c r="AV3101" s="559"/>
      <c r="AW3101" s="559"/>
      <c r="AX3101" s="559"/>
      <c r="AY3101" s="559"/>
      <c r="AZ3101" s="559"/>
      <c r="BA3101" s="559"/>
      <c r="BB3101" s="559"/>
      <c r="BC3101" s="559"/>
      <c r="BD3101" s="559"/>
      <c r="BE3101" s="559"/>
      <c r="BF3101" s="559"/>
      <c r="BG3101" s="559"/>
      <c r="BH3101" s="559"/>
      <c r="BI3101" s="559"/>
      <c r="BJ3101" s="559"/>
      <c r="BK3101" s="559"/>
      <c r="BL3101" s="559"/>
    </row>
    <row r="3102" spans="1:64">
      <c r="A3102" s="454"/>
      <c r="B3102" s="454"/>
      <c r="C3102" s="483" t="s">
        <v>1171</v>
      </c>
      <c r="D3102" s="408">
        <v>33</v>
      </c>
      <c r="E3102" s="454" t="s">
        <v>833</v>
      </c>
      <c r="F3102" s="408">
        <f>[161]LEAD!$N$6</f>
        <v>5200</v>
      </c>
      <c r="G3102" s="430">
        <v>1000</v>
      </c>
      <c r="H3102" s="456" t="str">
        <f t="shared" si="724"/>
        <v>Kgs</v>
      </c>
      <c r="I3102" s="408">
        <f t="shared" si="725"/>
        <v>171.6</v>
      </c>
      <c r="J3102" s="400"/>
      <c r="K3102" s="401"/>
      <c r="L3102" s="401">
        <v>188.1</v>
      </c>
      <c r="M3102" s="703">
        <f t="shared" si="726"/>
        <v>-16.5</v>
      </c>
    </row>
    <row r="3103" spans="1:64">
      <c r="A3103" s="454"/>
      <c r="B3103" s="454"/>
      <c r="C3103" s="483" t="s">
        <v>1247</v>
      </c>
      <c r="D3103" s="408">
        <v>6</v>
      </c>
      <c r="E3103" s="454" t="s">
        <v>833</v>
      </c>
      <c r="F3103" s="408">
        <f>[161]LEAD!$N$6</f>
        <v>5200</v>
      </c>
      <c r="G3103" s="430">
        <v>1000</v>
      </c>
      <c r="H3103" s="456" t="str">
        <f t="shared" si="724"/>
        <v>Kgs</v>
      </c>
      <c r="I3103" s="408">
        <f t="shared" si="725"/>
        <v>31.2</v>
      </c>
      <c r="J3103" s="400"/>
      <c r="K3103" s="401"/>
      <c r="L3103" s="401">
        <v>34.200000000000003</v>
      </c>
      <c r="M3103" s="703">
        <f t="shared" si="726"/>
        <v>-3.0000000000000036</v>
      </c>
    </row>
    <row r="3104" spans="1:64">
      <c r="A3104" s="454"/>
      <c r="B3104" s="454"/>
      <c r="C3104" s="483" t="s">
        <v>1248</v>
      </c>
      <c r="D3104" s="408">
        <v>0.12</v>
      </c>
      <c r="E3104" s="454" t="s">
        <v>57</v>
      </c>
      <c r="F3104" s="408">
        <f>[161]LEAD!$N$13</f>
        <v>2453.91</v>
      </c>
      <c r="G3104" s="430">
        <v>1</v>
      </c>
      <c r="H3104" s="456" t="str">
        <f t="shared" si="724"/>
        <v>Cum</v>
      </c>
      <c r="I3104" s="408">
        <f t="shared" si="725"/>
        <v>294.46919999999994</v>
      </c>
      <c r="J3104" s="400"/>
      <c r="K3104" s="401"/>
      <c r="L3104" s="401">
        <v>174.4128</v>
      </c>
      <c r="M3104" s="703">
        <f t="shared" si="726"/>
        <v>120.05639999999994</v>
      </c>
    </row>
    <row r="3105" spans="1:13" ht="13">
      <c r="A3105" s="454"/>
      <c r="B3105" s="454"/>
      <c r="C3105" s="433" t="s">
        <v>1043</v>
      </c>
      <c r="D3105" s="426"/>
      <c r="E3105" s="426"/>
      <c r="F3105" s="426"/>
      <c r="G3105" s="426"/>
      <c r="H3105" s="426"/>
      <c r="I3105" s="409"/>
      <c r="J3105" s="400"/>
      <c r="K3105" s="401"/>
      <c r="L3105" s="401"/>
      <c r="M3105" s="703">
        <f t="shared" si="726"/>
        <v>0</v>
      </c>
    </row>
    <row r="3106" spans="1:13">
      <c r="A3106" s="454"/>
      <c r="B3106" s="454"/>
      <c r="C3106" s="483" t="s">
        <v>1074</v>
      </c>
      <c r="D3106" s="408">
        <v>0.96</v>
      </c>
      <c r="E3106" s="454" t="s">
        <v>375</v>
      </c>
      <c r="F3106" s="408">
        <f>'[161]Civil-SOR'!$G$302</f>
        <v>550</v>
      </c>
      <c r="G3106" s="430">
        <v>1</v>
      </c>
      <c r="H3106" s="456" t="str">
        <f t="shared" ref="H3106:H3108" si="727">IF(E3106="","",IF(E3106="No.","Each",IF(E3106="Nos.","Each",E3106)))</f>
        <v>Each</v>
      </c>
      <c r="I3106" s="408">
        <f t="shared" ref="I3106:I3110" si="728">IF(G3106="",D3106*F3106,(D3106*F3106/G3106))</f>
        <v>528</v>
      </c>
      <c r="J3106" s="400"/>
      <c r="K3106" s="401"/>
      <c r="L3106" s="401">
        <v>432</v>
      </c>
      <c r="M3106" s="703">
        <f t="shared" si="726"/>
        <v>96</v>
      </c>
    </row>
    <row r="3107" spans="1:13">
      <c r="A3107" s="454"/>
      <c r="B3107" s="454"/>
      <c r="C3107" s="483" t="s">
        <v>1075</v>
      </c>
      <c r="D3107" s="408">
        <v>2.2400000000000002</v>
      </c>
      <c r="E3107" s="454" t="s">
        <v>375</v>
      </c>
      <c r="F3107" s="408">
        <f>'[161]Civil-SOR'!$G$307</f>
        <v>520</v>
      </c>
      <c r="G3107" s="430">
        <v>1</v>
      </c>
      <c r="H3107" s="456" t="str">
        <f t="shared" si="727"/>
        <v>Each</v>
      </c>
      <c r="I3107" s="408">
        <f t="shared" si="728"/>
        <v>1164.8000000000002</v>
      </c>
      <c r="J3107" s="400"/>
      <c r="K3107" s="401"/>
      <c r="L3107" s="401">
        <v>952</v>
      </c>
      <c r="M3107" s="703">
        <f t="shared" si="726"/>
        <v>212.80000000000018</v>
      </c>
    </row>
    <row r="3108" spans="1:13">
      <c r="A3108" s="454"/>
      <c r="B3108" s="454"/>
      <c r="C3108" s="483" t="s">
        <v>1045</v>
      </c>
      <c r="D3108" s="408">
        <v>3.3</v>
      </c>
      <c r="E3108" s="454" t="s">
        <v>375</v>
      </c>
      <c r="F3108" s="408">
        <f>'[161]Civil-SOR'!$G$307</f>
        <v>520</v>
      </c>
      <c r="G3108" s="430">
        <v>1</v>
      </c>
      <c r="H3108" s="456" t="str">
        <f t="shared" si="727"/>
        <v>Each</v>
      </c>
      <c r="I3108" s="408">
        <f t="shared" si="728"/>
        <v>1716</v>
      </c>
      <c r="J3108" s="400"/>
      <c r="K3108" s="401"/>
      <c r="L3108" s="401">
        <v>1617</v>
      </c>
      <c r="M3108" s="703">
        <f t="shared" si="726"/>
        <v>99</v>
      </c>
    </row>
    <row r="3109" spans="1:13">
      <c r="A3109" s="454"/>
      <c r="B3109" s="454"/>
      <c r="C3109" s="469" t="str">
        <f>[161]Input!$C$47</f>
        <v>Add for MA @ 40%</v>
      </c>
      <c r="D3109" s="621">
        <f>[161]Input!$D$47</f>
        <v>0.4</v>
      </c>
      <c r="E3109" s="454"/>
      <c r="F3109" s="408">
        <f>SUM(I3106:I3108)</f>
        <v>3408.8</v>
      </c>
      <c r="G3109" s="410"/>
      <c r="H3109" s="426"/>
      <c r="I3109" s="408">
        <f t="shared" si="728"/>
        <v>1363.5200000000002</v>
      </c>
      <c r="J3109" s="400"/>
      <c r="K3109" s="401"/>
      <c r="L3109" s="401">
        <v>600.20000000000005</v>
      </c>
      <c r="M3109" s="703">
        <f t="shared" si="726"/>
        <v>763.32000000000016</v>
      </c>
    </row>
    <row r="3110" spans="1:13">
      <c r="A3110" s="454"/>
      <c r="B3110" s="454"/>
      <c r="C3110" s="483" t="s">
        <v>1046</v>
      </c>
      <c r="D3110" s="408">
        <v>0.01</v>
      </c>
      <c r="E3110" s="454"/>
      <c r="F3110" s="408">
        <f>SUM(I3100:I3109)</f>
        <v>8443.3492000000006</v>
      </c>
      <c r="G3110" s="430"/>
      <c r="H3110" s="456"/>
      <c r="I3110" s="408">
        <f t="shared" si="728"/>
        <v>84.433492000000001</v>
      </c>
      <c r="J3110" s="400"/>
      <c r="K3110" s="401"/>
      <c r="L3110" s="401">
        <v>71.860727999999995</v>
      </c>
      <c r="M3110" s="703">
        <f t="shared" si="726"/>
        <v>12.572764000000006</v>
      </c>
    </row>
    <row r="3111" spans="1:13" s="554" customFormat="1" ht="13">
      <c r="A3111" s="454"/>
      <c r="B3111" s="454"/>
      <c r="C3111" s="481" t="s">
        <v>1047</v>
      </c>
      <c r="D3111" s="408"/>
      <c r="E3111" s="454"/>
      <c r="F3111" s="408"/>
      <c r="G3111" s="430"/>
      <c r="H3111" s="454"/>
      <c r="I3111" s="434">
        <f>SUM(I3100:I3110)</f>
        <v>8527.7826920000007</v>
      </c>
      <c r="J3111" s="411"/>
      <c r="K3111" s="412"/>
      <c r="L3111" s="412">
        <v>7257.9335279999996</v>
      </c>
      <c r="M3111" s="703">
        <f t="shared" si="726"/>
        <v>1269.8491640000011</v>
      </c>
    </row>
    <row r="3112" spans="1:13" ht="13">
      <c r="A3112" s="454"/>
      <c r="B3112" s="454"/>
      <c r="C3112" s="702"/>
      <c r="D3112" s="408"/>
      <c r="E3112" s="454"/>
      <c r="F3112" s="408"/>
      <c r="G3112" s="430"/>
      <c r="H3112" s="454"/>
      <c r="I3112" s="409"/>
      <c r="J3112" s="400"/>
      <c r="K3112" s="401"/>
      <c r="L3112" s="401"/>
    </row>
    <row r="3113" spans="1:13" ht="13">
      <c r="A3113" s="454"/>
      <c r="B3113" s="454"/>
      <c r="C3113" s="427" t="s">
        <v>953</v>
      </c>
      <c r="D3113" s="414" t="s">
        <v>959</v>
      </c>
      <c r="E3113" s="416" t="s">
        <v>943</v>
      </c>
      <c r="F3113" s="415" t="s">
        <v>944</v>
      </c>
      <c r="G3113" s="414" t="s">
        <v>1036</v>
      </c>
      <c r="H3113" s="414" t="s">
        <v>1037</v>
      </c>
      <c r="I3113" s="414" t="s">
        <v>947</v>
      </c>
      <c r="J3113" s="400"/>
      <c r="K3113" s="401"/>
      <c r="L3113" s="401"/>
    </row>
    <row r="3114" spans="1:13">
      <c r="A3114" s="454"/>
      <c r="B3114" s="454"/>
      <c r="C3114" s="417" t="s">
        <v>1064</v>
      </c>
      <c r="D3114" s="408">
        <f t="shared" ref="D3114:I3114" si="729">$I$3111</f>
        <v>8527.7826920000007</v>
      </c>
      <c r="E3114" s="408">
        <f t="shared" si="729"/>
        <v>8527.7826920000007</v>
      </c>
      <c r="F3114" s="408">
        <f t="shared" si="729"/>
        <v>8527.7826920000007</v>
      </c>
      <c r="G3114" s="408">
        <f t="shared" si="729"/>
        <v>8527.7826920000007</v>
      </c>
      <c r="H3114" s="408">
        <f t="shared" si="729"/>
        <v>8527.7826920000007</v>
      </c>
      <c r="I3114" s="408">
        <f t="shared" si="729"/>
        <v>8527.7826920000007</v>
      </c>
      <c r="J3114" s="400"/>
      <c r="K3114" s="401"/>
      <c r="L3114" s="401"/>
    </row>
    <row r="3115" spans="1:13">
      <c r="A3115" s="454"/>
      <c r="B3115" s="454"/>
      <c r="C3115" s="417" t="s">
        <v>994</v>
      </c>
      <c r="D3115" s="408">
        <v>0</v>
      </c>
      <c r="E3115" s="408">
        <f>ROUND($F$3109*10%,2)</f>
        <v>340.88</v>
      </c>
      <c r="F3115" s="408">
        <f>ROUND($F$3109*20%,2)</f>
        <v>681.76</v>
      </c>
      <c r="G3115" s="408">
        <f>ROUND($F$3109*30%,2)</f>
        <v>1022.64</v>
      </c>
      <c r="H3115" s="408">
        <f>ROUND($F$3109*40%,2)</f>
        <v>1363.52</v>
      </c>
      <c r="I3115" s="408">
        <f>ROUND($F$3109*50%,2)</f>
        <v>1704.4</v>
      </c>
      <c r="J3115" s="400"/>
      <c r="K3115" s="401"/>
      <c r="L3115" s="401"/>
    </row>
    <row r="3116" spans="1:13">
      <c r="A3116" s="454"/>
      <c r="B3116" s="454"/>
      <c r="C3116" s="417" t="str">
        <f>[161]Input!$C$47</f>
        <v>Add for MA @ 40%</v>
      </c>
      <c r="D3116" s="408">
        <f>D3115*[161]Input!$D$47</f>
        <v>0</v>
      </c>
      <c r="E3116" s="408">
        <f>E3115*[161]Input!$D$47</f>
        <v>136.352</v>
      </c>
      <c r="F3116" s="408">
        <f>F3115*[161]Input!$D$47</f>
        <v>272.70400000000001</v>
      </c>
      <c r="G3116" s="408">
        <f>G3115*[161]Input!$D$47</f>
        <v>409.05600000000004</v>
      </c>
      <c r="H3116" s="408">
        <f>H3115*[161]Input!$D$47</f>
        <v>545.40800000000002</v>
      </c>
      <c r="I3116" s="408">
        <f>I3115*[161]Input!$D$47</f>
        <v>681.7600000000001</v>
      </c>
      <c r="J3116" s="400"/>
      <c r="K3116" s="401"/>
      <c r="L3116" s="401"/>
    </row>
    <row r="3117" spans="1:13">
      <c r="A3117" s="454"/>
      <c r="B3117" s="454"/>
      <c r="C3117" s="469"/>
      <c r="D3117" s="408">
        <f t="shared" ref="D3117:H3117" si="730">SUM(D3114:D3116)</f>
        <v>8527.7826920000007</v>
      </c>
      <c r="E3117" s="408">
        <f t="shared" si="730"/>
        <v>9005.0146920000007</v>
      </c>
      <c r="F3117" s="408">
        <f t="shared" si="730"/>
        <v>9482.2466920000006</v>
      </c>
      <c r="G3117" s="408">
        <f t="shared" si="730"/>
        <v>9959.4786920000006</v>
      </c>
      <c r="H3117" s="408">
        <f t="shared" si="730"/>
        <v>10436.710692000001</v>
      </c>
      <c r="I3117" s="408">
        <f>SUM(I3114:I3116)</f>
        <v>10913.942692000001</v>
      </c>
      <c r="J3117" s="400"/>
      <c r="K3117" s="401"/>
      <c r="L3117" s="401"/>
    </row>
    <row r="3118" spans="1:13" ht="25">
      <c r="A3118" s="454"/>
      <c r="B3118" s="454"/>
      <c r="C3118" s="417" t="str">
        <f>[161]Input!$C$48</f>
        <v>Overheads &amp; Contractors Profit @ 13.615%</v>
      </c>
      <c r="D3118" s="408">
        <f>ROUND(D3117*[161]Input!$D$48,2)</f>
        <v>1161.06</v>
      </c>
      <c r="E3118" s="408">
        <f>ROUND(E3117*[161]Input!$D$48,2)</f>
        <v>1226.03</v>
      </c>
      <c r="F3118" s="408">
        <f>ROUND(F3117*[161]Input!$D$48,2)</f>
        <v>1291.01</v>
      </c>
      <c r="G3118" s="408">
        <f>ROUND(G3117*[161]Input!$D$48,2)</f>
        <v>1355.98</v>
      </c>
      <c r="H3118" s="408">
        <f>ROUND(H3117*[161]Input!$D$48,2)</f>
        <v>1420.96</v>
      </c>
      <c r="I3118" s="408">
        <f>ROUND(I3117*[161]Input!$D$48,2)</f>
        <v>1485.93</v>
      </c>
      <c r="J3118" s="400"/>
      <c r="K3118" s="401"/>
      <c r="L3118" s="401"/>
    </row>
    <row r="3119" spans="1:13" ht="13">
      <c r="A3119" s="454"/>
      <c r="B3119" s="454"/>
      <c r="C3119" s="427" t="s">
        <v>1047</v>
      </c>
      <c r="D3119" s="408">
        <f t="shared" ref="D3119:H3119" si="731">SUM(D3117:D3118)</f>
        <v>9688.8426920000002</v>
      </c>
      <c r="E3119" s="408">
        <f t="shared" si="731"/>
        <v>10231.044692000001</v>
      </c>
      <c r="F3119" s="408">
        <f t="shared" si="731"/>
        <v>10773.256692000001</v>
      </c>
      <c r="G3119" s="408">
        <f t="shared" si="731"/>
        <v>11315.458692</v>
      </c>
      <c r="H3119" s="408">
        <f t="shared" si="731"/>
        <v>11857.670692</v>
      </c>
      <c r="I3119" s="408">
        <f>SUM(I3117:I3118)</f>
        <v>12399.872692000001</v>
      </c>
      <c r="J3119" s="400"/>
      <c r="K3119" s="401"/>
      <c r="L3119" s="401"/>
    </row>
    <row r="3120" spans="1:13" ht="13">
      <c r="A3120" s="454"/>
      <c r="B3120" s="454"/>
      <c r="C3120" s="427" t="s">
        <v>845</v>
      </c>
      <c r="D3120" s="414">
        <f t="shared" ref="D3120:H3120" si="732">D3119/10</f>
        <v>968.88426920000006</v>
      </c>
      <c r="E3120" s="414">
        <f t="shared" si="732"/>
        <v>1023.1044692000002</v>
      </c>
      <c r="F3120" s="414">
        <f t="shared" si="732"/>
        <v>1077.3256692</v>
      </c>
      <c r="G3120" s="414">
        <f t="shared" si="732"/>
        <v>1131.5458692</v>
      </c>
      <c r="H3120" s="414">
        <f t="shared" si="732"/>
        <v>1185.7670691999999</v>
      </c>
      <c r="I3120" s="414">
        <f>I3119/10</f>
        <v>1239.9872692000001</v>
      </c>
      <c r="J3120" s="400"/>
      <c r="K3120" s="401"/>
      <c r="L3120" s="401"/>
    </row>
    <row r="3121" spans="1:12" s="554" customFormat="1" ht="13">
      <c r="A3121" s="454"/>
      <c r="B3121" s="454"/>
      <c r="C3121" s="522" t="s">
        <v>726</v>
      </c>
      <c r="D3121" s="416">
        <f t="shared" ref="D3121:H3121" si="733">ROUND(D3120,0)</f>
        <v>969</v>
      </c>
      <c r="E3121" s="416">
        <f t="shared" si="733"/>
        <v>1023</v>
      </c>
      <c r="F3121" s="416">
        <f t="shared" si="733"/>
        <v>1077</v>
      </c>
      <c r="G3121" s="416">
        <f t="shared" si="733"/>
        <v>1132</v>
      </c>
      <c r="H3121" s="416">
        <f t="shared" si="733"/>
        <v>1186</v>
      </c>
      <c r="I3121" s="416">
        <f>ROUND(I3120,0)</f>
        <v>1240</v>
      </c>
      <c r="J3121" s="400"/>
      <c r="K3121" s="401"/>
      <c r="L3121" s="401"/>
    </row>
    <row r="3122" spans="1:12" ht="13">
      <c r="A3122" s="454"/>
      <c r="B3122" s="454"/>
      <c r="C3122" s="521"/>
      <c r="D3122" s="408"/>
      <c r="E3122" s="408"/>
      <c r="F3122" s="408"/>
      <c r="G3122" s="426"/>
      <c r="H3122" s="492"/>
      <c r="I3122" s="434"/>
      <c r="J3122" s="400"/>
      <c r="K3122" s="401"/>
      <c r="L3122" s="401"/>
    </row>
    <row r="3123" spans="1:12" ht="13">
      <c r="A3123" s="454"/>
      <c r="B3123" s="454"/>
      <c r="C3123" s="427" t="s">
        <v>953</v>
      </c>
      <c r="D3123" s="414" t="s">
        <v>1118</v>
      </c>
      <c r="E3123" s="414" t="s">
        <v>1119</v>
      </c>
      <c r="F3123" s="414" t="s">
        <v>1120</v>
      </c>
      <c r="G3123" s="426"/>
      <c r="H3123" s="492"/>
      <c r="I3123" s="434"/>
      <c r="J3123" s="400"/>
      <c r="K3123" s="401"/>
      <c r="L3123" s="401"/>
    </row>
    <row r="3124" spans="1:12" ht="13">
      <c r="A3124" s="454"/>
      <c r="B3124" s="454"/>
      <c r="C3124" s="417" t="s">
        <v>1064</v>
      </c>
      <c r="D3124" s="408">
        <f>$I$3111</f>
        <v>8527.7826920000007</v>
      </c>
      <c r="E3124" s="408">
        <f>$I$3111</f>
        <v>8527.7826920000007</v>
      </c>
      <c r="F3124" s="408">
        <f>$I$3111</f>
        <v>8527.7826920000007</v>
      </c>
      <c r="G3124" s="426"/>
      <c r="H3124" s="492"/>
      <c r="I3124" s="434"/>
      <c r="J3124" s="400"/>
      <c r="K3124" s="401"/>
      <c r="L3124" s="401"/>
    </row>
    <row r="3125" spans="1:12" ht="13">
      <c r="A3125" s="454"/>
      <c r="B3125" s="454"/>
      <c r="C3125" s="417" t="s">
        <v>994</v>
      </c>
      <c r="D3125" s="408">
        <f>ROUND($F$3109*60%,2)</f>
        <v>2045.28</v>
      </c>
      <c r="E3125" s="408">
        <f>ROUND($F$3109*70%,2)</f>
        <v>2386.16</v>
      </c>
      <c r="F3125" s="408">
        <f>ROUND($F$3109*80%,2)</f>
        <v>2727.04</v>
      </c>
      <c r="G3125" s="426"/>
      <c r="H3125" s="492"/>
      <c r="I3125" s="434"/>
      <c r="J3125" s="400"/>
      <c r="K3125" s="401"/>
      <c r="L3125" s="401"/>
    </row>
    <row r="3126" spans="1:12" ht="13">
      <c r="A3126" s="454"/>
      <c r="B3126" s="454"/>
      <c r="C3126" s="417" t="str">
        <f>[161]Input!$C$47</f>
        <v>Add for MA @ 40%</v>
      </c>
      <c r="D3126" s="408">
        <f>D3125*[161]Input!$D$47</f>
        <v>818.11200000000008</v>
      </c>
      <c r="E3126" s="408">
        <f>E3125*[161]Input!$D$47</f>
        <v>954.46399999999994</v>
      </c>
      <c r="F3126" s="408">
        <f>F3125*[161]Input!$D$47</f>
        <v>1090.816</v>
      </c>
      <c r="G3126" s="426"/>
      <c r="H3126" s="492"/>
      <c r="I3126" s="434"/>
      <c r="J3126" s="400"/>
      <c r="K3126" s="401"/>
      <c r="L3126" s="401"/>
    </row>
    <row r="3127" spans="1:12" ht="13">
      <c r="A3127" s="454"/>
      <c r="B3127" s="454"/>
      <c r="C3127" s="435"/>
      <c r="D3127" s="408">
        <f>SUM(D3124:D3126)</f>
        <v>11391.174692000001</v>
      </c>
      <c r="E3127" s="408">
        <f>SUM(E3124:E3126)</f>
        <v>11868.406692</v>
      </c>
      <c r="F3127" s="408">
        <f>SUM(F3124:F3126)</f>
        <v>12345.638692000002</v>
      </c>
      <c r="G3127" s="426"/>
      <c r="H3127" s="492"/>
      <c r="I3127" s="434"/>
      <c r="J3127" s="400"/>
      <c r="K3127" s="401"/>
      <c r="L3127" s="401"/>
    </row>
    <row r="3128" spans="1:12" ht="25">
      <c r="A3128" s="454"/>
      <c r="B3128" s="454"/>
      <c r="C3128" s="417" t="str">
        <f>[161]Input!$C$48</f>
        <v>Overheads &amp; Contractors Profit @ 13.615%</v>
      </c>
      <c r="D3128" s="408">
        <f>ROUND(D3127*[161]Input!$D$48,2)</f>
        <v>1550.91</v>
      </c>
      <c r="E3128" s="408">
        <f>ROUND(E3127*[161]Input!$D$48,2)</f>
        <v>1615.88</v>
      </c>
      <c r="F3128" s="408">
        <f>ROUND(F3127*[161]Input!$D$48,2)</f>
        <v>1680.86</v>
      </c>
      <c r="G3128" s="426"/>
      <c r="H3128" s="492"/>
      <c r="I3128" s="434"/>
      <c r="J3128" s="400"/>
      <c r="K3128" s="401"/>
      <c r="L3128" s="401"/>
    </row>
    <row r="3129" spans="1:12" ht="13">
      <c r="A3129" s="454"/>
      <c r="B3129" s="454"/>
      <c r="C3129" s="427" t="s">
        <v>1047</v>
      </c>
      <c r="D3129" s="408">
        <f>SUM(D3127:D3128)</f>
        <v>12942.084692</v>
      </c>
      <c r="E3129" s="408">
        <f>SUM(E3127:E3128)</f>
        <v>13484.286692000001</v>
      </c>
      <c r="F3129" s="408">
        <f>SUM(F3127:F3128)</f>
        <v>14026.498692000003</v>
      </c>
      <c r="G3129" s="426"/>
      <c r="H3129" s="492"/>
      <c r="I3129" s="434"/>
      <c r="J3129" s="400"/>
      <c r="K3129" s="401"/>
      <c r="L3129" s="401"/>
    </row>
    <row r="3130" spans="1:12" ht="13">
      <c r="A3130" s="454"/>
      <c r="B3130" s="454"/>
      <c r="C3130" s="427" t="s">
        <v>845</v>
      </c>
      <c r="D3130" s="414">
        <f>D3129/10</f>
        <v>1294.2084692000001</v>
      </c>
      <c r="E3130" s="414">
        <f>E3129/10</f>
        <v>1348.4286692000001</v>
      </c>
      <c r="F3130" s="414">
        <f>F3129/10</f>
        <v>1402.6498692000002</v>
      </c>
      <c r="G3130" s="426"/>
      <c r="H3130" s="492"/>
      <c r="I3130" s="434"/>
      <c r="J3130" s="400"/>
      <c r="K3130" s="401"/>
      <c r="L3130" s="401"/>
    </row>
    <row r="3131" spans="1:12" ht="13">
      <c r="A3131" s="454"/>
      <c r="B3131" s="454"/>
      <c r="C3131" s="514" t="s">
        <v>726</v>
      </c>
      <c r="D3131" s="416">
        <f>ROUND(D3130,0)</f>
        <v>1294</v>
      </c>
      <c r="E3131" s="416">
        <f>ROUND(E3130,0)</f>
        <v>1348</v>
      </c>
      <c r="F3131" s="416">
        <f>ROUND(F3130,0)</f>
        <v>1403</v>
      </c>
      <c r="G3131" s="426"/>
      <c r="H3131" s="492"/>
      <c r="I3131" s="434"/>
      <c r="J3131" s="400"/>
      <c r="K3131" s="401"/>
      <c r="L3131" s="401"/>
    </row>
    <row r="3132" spans="1:12" ht="13">
      <c r="A3132" s="454"/>
      <c r="B3132" s="454"/>
      <c r="C3132" s="521"/>
      <c r="D3132" s="408"/>
      <c r="E3132" s="408"/>
      <c r="F3132" s="408"/>
      <c r="G3132" s="426"/>
      <c r="H3132" s="492"/>
      <c r="I3132" s="434"/>
      <c r="J3132" s="400"/>
      <c r="K3132" s="401"/>
      <c r="L3132" s="401"/>
    </row>
    <row r="3133" spans="1:12" s="704" customFormat="1" ht="84.4" customHeight="1">
      <c r="A3133" s="430">
        <f>A3061+1</f>
        <v>16</v>
      </c>
      <c r="B3133" s="454"/>
      <c r="C3133" s="1281" t="s">
        <v>1249</v>
      </c>
      <c r="D3133" s="1281"/>
      <c r="E3133" s="1281"/>
      <c r="F3133" s="1281"/>
      <c r="G3133" s="1281"/>
      <c r="H3133" s="1281"/>
      <c r="I3133" s="1281"/>
      <c r="J3133" s="400"/>
      <c r="K3133" s="401"/>
      <c r="L3133" s="401"/>
    </row>
    <row r="3134" spans="1:12" s="704" customFormat="1" ht="13">
      <c r="A3134" s="454"/>
      <c r="B3134" s="454"/>
      <c r="C3134" s="473" t="s">
        <v>1244</v>
      </c>
      <c r="D3134" s="406"/>
      <c r="E3134" s="406"/>
      <c r="F3134" s="406"/>
      <c r="G3134" s="406"/>
      <c r="H3134" s="406"/>
      <c r="I3134" s="432"/>
      <c r="J3134" s="400"/>
      <c r="K3134" s="401"/>
      <c r="L3134" s="401"/>
    </row>
    <row r="3135" spans="1:12" s="704" customFormat="1" ht="13">
      <c r="A3135" s="454"/>
      <c r="B3135" s="454"/>
      <c r="C3135" s="427" t="s">
        <v>1041</v>
      </c>
      <c r="D3135" s="406"/>
      <c r="E3135" s="406"/>
      <c r="F3135" s="406"/>
      <c r="G3135" s="406"/>
      <c r="H3135" s="406"/>
      <c r="I3135" s="432"/>
      <c r="J3135" s="400"/>
      <c r="K3135" s="401"/>
      <c r="L3135" s="401"/>
    </row>
    <row r="3136" spans="1:12" s="704" customFormat="1" ht="13">
      <c r="A3136" s="454"/>
      <c r="B3136" s="454"/>
      <c r="C3136" s="427" t="s">
        <v>873</v>
      </c>
      <c r="D3136" s="406"/>
      <c r="E3136" s="406"/>
      <c r="F3136" s="406"/>
      <c r="G3136" s="406"/>
      <c r="H3136" s="406"/>
      <c r="I3136" s="432"/>
      <c r="J3136" s="400"/>
      <c r="K3136" s="401"/>
      <c r="L3136" s="401"/>
    </row>
    <row r="3137" spans="1:12" s="704" customFormat="1" ht="25">
      <c r="A3137" s="458"/>
      <c r="B3137" s="458"/>
      <c r="C3137" s="417" t="s">
        <v>1250</v>
      </c>
      <c r="D3137" s="459">
        <v>10.5</v>
      </c>
      <c r="E3137" s="458" t="s">
        <v>17</v>
      </c>
      <c r="F3137" s="705">
        <v>437.3</v>
      </c>
      <c r="G3137" s="460">
        <v>1</v>
      </c>
      <c r="H3137" s="599" t="str">
        <f t="shared" ref="H3137:H3141" si="734">IF(E3137="","",IF(E3137="No.","Each",IF(E3137="Nos.","Each",E3137)))</f>
        <v>sqm</v>
      </c>
      <c r="I3137" s="459">
        <f t="shared" ref="I3137:I3141" si="735">IF(G3137="",D3137*F3137,(D3137*F3137/G3137))</f>
        <v>4591.6500000000005</v>
      </c>
      <c r="J3137" s="400"/>
      <c r="K3137" s="401"/>
      <c r="L3137" s="401"/>
    </row>
    <row r="3138" spans="1:12" s="704" customFormat="1" ht="25">
      <c r="A3138" s="458"/>
      <c r="B3138" s="458"/>
      <c r="C3138" s="417" t="s">
        <v>1246</v>
      </c>
      <c r="D3138" s="459">
        <v>28.8</v>
      </c>
      <c r="E3138" s="458" t="s">
        <v>833</v>
      </c>
      <c r="F3138" s="459">
        <f>[161]LEAD!$N$6</f>
        <v>5200</v>
      </c>
      <c r="G3138" s="460">
        <v>1000</v>
      </c>
      <c r="H3138" s="599" t="str">
        <f t="shared" si="734"/>
        <v>Kgs</v>
      </c>
      <c r="I3138" s="459">
        <f t="shared" si="735"/>
        <v>149.76</v>
      </c>
      <c r="J3138" s="400"/>
      <c r="K3138" s="401"/>
      <c r="L3138" s="401"/>
    </row>
    <row r="3139" spans="1:12" s="704" customFormat="1">
      <c r="A3139" s="454"/>
      <c r="B3139" s="454"/>
      <c r="C3139" s="417" t="s">
        <v>1171</v>
      </c>
      <c r="D3139" s="408">
        <v>33</v>
      </c>
      <c r="E3139" s="454" t="s">
        <v>833</v>
      </c>
      <c r="F3139" s="408">
        <f>[161]LEAD!$N$6</f>
        <v>5200</v>
      </c>
      <c r="G3139" s="430">
        <v>1000</v>
      </c>
      <c r="H3139" s="456" t="str">
        <f t="shared" si="734"/>
        <v>Kgs</v>
      </c>
      <c r="I3139" s="408">
        <f t="shared" si="735"/>
        <v>171.6</v>
      </c>
      <c r="J3139" s="400"/>
      <c r="K3139" s="401"/>
      <c r="L3139" s="401"/>
    </row>
    <row r="3140" spans="1:12" s="704" customFormat="1">
      <c r="A3140" s="454"/>
      <c r="B3140" s="454"/>
      <c r="C3140" s="417" t="s">
        <v>1247</v>
      </c>
      <c r="D3140" s="408">
        <v>6</v>
      </c>
      <c r="E3140" s="454" t="s">
        <v>833</v>
      </c>
      <c r="F3140" s="408">
        <f>[161]LEAD!$N$6</f>
        <v>5200</v>
      </c>
      <c r="G3140" s="430">
        <v>1000</v>
      </c>
      <c r="H3140" s="456" t="str">
        <f t="shared" si="734"/>
        <v>Kgs</v>
      </c>
      <c r="I3140" s="408">
        <f t="shared" si="735"/>
        <v>31.2</v>
      </c>
      <c r="J3140" s="400"/>
      <c r="K3140" s="401"/>
      <c r="L3140" s="401"/>
    </row>
    <row r="3141" spans="1:12" s="704" customFormat="1">
      <c r="A3141" s="454"/>
      <c r="B3141" s="454"/>
      <c r="C3141" s="417" t="s">
        <v>1248</v>
      </c>
      <c r="D3141" s="408">
        <v>0.12</v>
      </c>
      <c r="E3141" s="454" t="s">
        <v>57</v>
      </c>
      <c r="F3141" s="408">
        <f>[161]LEAD!$N$13</f>
        <v>2453.91</v>
      </c>
      <c r="G3141" s="430">
        <v>1</v>
      </c>
      <c r="H3141" s="456" t="str">
        <f t="shared" si="734"/>
        <v>Cum</v>
      </c>
      <c r="I3141" s="408">
        <f t="shared" si="735"/>
        <v>294.46919999999994</v>
      </c>
      <c r="J3141" s="400"/>
      <c r="K3141" s="401"/>
      <c r="L3141" s="401"/>
    </row>
    <row r="3142" spans="1:12" s="704" customFormat="1" ht="13">
      <c r="A3142" s="454"/>
      <c r="B3142" s="454"/>
      <c r="C3142" s="427" t="s">
        <v>1043</v>
      </c>
      <c r="D3142" s="426"/>
      <c r="E3142" s="426"/>
      <c r="F3142" s="426"/>
      <c r="G3142" s="426"/>
      <c r="H3142" s="426"/>
      <c r="I3142" s="409"/>
      <c r="J3142" s="400"/>
      <c r="K3142" s="401"/>
      <c r="L3142" s="401"/>
    </row>
    <row r="3143" spans="1:12" s="704" customFormat="1">
      <c r="A3143" s="454"/>
      <c r="B3143" s="454"/>
      <c r="C3143" s="417" t="s">
        <v>1074</v>
      </c>
      <c r="D3143" s="408">
        <v>0.96</v>
      </c>
      <c r="E3143" s="454" t="s">
        <v>375</v>
      </c>
      <c r="F3143" s="408">
        <f>'[161]Civil-SOR'!$G$302</f>
        <v>550</v>
      </c>
      <c r="G3143" s="430">
        <v>1</v>
      </c>
      <c r="H3143" s="456" t="str">
        <f t="shared" ref="H3143:H3145" si="736">IF(E3143="","",IF(E3143="No.","Each",IF(E3143="Nos.","Each",E3143)))</f>
        <v>Each</v>
      </c>
      <c r="I3143" s="408">
        <f t="shared" ref="I3143:I3147" si="737">IF(G3143="",D3143*F3143,(D3143*F3143/G3143))</f>
        <v>528</v>
      </c>
      <c r="J3143" s="400"/>
      <c r="K3143" s="401"/>
      <c r="L3143" s="401"/>
    </row>
    <row r="3144" spans="1:12" s="704" customFormat="1">
      <c r="A3144" s="454"/>
      <c r="B3144" s="454"/>
      <c r="C3144" s="417" t="s">
        <v>1075</v>
      </c>
      <c r="D3144" s="408">
        <v>2.2400000000000002</v>
      </c>
      <c r="E3144" s="454" t="s">
        <v>375</v>
      </c>
      <c r="F3144" s="408">
        <f>+'[161]Civil-SOR'!$G$307</f>
        <v>520</v>
      </c>
      <c r="G3144" s="430">
        <v>1</v>
      </c>
      <c r="H3144" s="456" t="str">
        <f t="shared" si="736"/>
        <v>Each</v>
      </c>
      <c r="I3144" s="408">
        <f t="shared" si="737"/>
        <v>1164.8000000000002</v>
      </c>
      <c r="J3144" s="400"/>
      <c r="K3144" s="401"/>
      <c r="L3144" s="401"/>
    </row>
    <row r="3145" spans="1:12" s="704" customFormat="1">
      <c r="A3145" s="454"/>
      <c r="B3145" s="454"/>
      <c r="C3145" s="417" t="s">
        <v>1045</v>
      </c>
      <c r="D3145" s="408">
        <v>3.3</v>
      </c>
      <c r="E3145" s="454" t="s">
        <v>375</v>
      </c>
      <c r="F3145" s="408">
        <f>'[161]Civil-SOR'!$G$307</f>
        <v>520</v>
      </c>
      <c r="G3145" s="430">
        <v>1</v>
      </c>
      <c r="H3145" s="456" t="str">
        <f t="shared" si="736"/>
        <v>Each</v>
      </c>
      <c r="I3145" s="408">
        <f t="shared" si="737"/>
        <v>1716</v>
      </c>
      <c r="J3145" s="400"/>
      <c r="K3145" s="401"/>
      <c r="L3145" s="401"/>
    </row>
    <row r="3146" spans="1:12" s="704" customFormat="1">
      <c r="A3146" s="454"/>
      <c r="B3146" s="454"/>
      <c r="C3146" s="435" t="str">
        <f>[161]Input!$C$47</f>
        <v>Add for MA @ 40%</v>
      </c>
      <c r="D3146" s="621">
        <f>[161]Input!$D$47</f>
        <v>0.4</v>
      </c>
      <c r="E3146" s="454"/>
      <c r="F3146" s="408">
        <f>SUM(I3143:I3145)</f>
        <v>3408.8</v>
      </c>
      <c r="G3146" s="410"/>
      <c r="H3146" s="426"/>
      <c r="I3146" s="408">
        <f t="shared" si="737"/>
        <v>1363.5200000000002</v>
      </c>
      <c r="J3146" s="400"/>
      <c r="K3146" s="401"/>
      <c r="L3146" s="401"/>
    </row>
    <row r="3147" spans="1:12" s="704" customFormat="1">
      <c r="A3147" s="454"/>
      <c r="B3147" s="454"/>
      <c r="C3147" s="417" t="s">
        <v>1046</v>
      </c>
      <c r="D3147" s="408">
        <v>0.01</v>
      </c>
      <c r="E3147" s="454"/>
      <c r="F3147" s="408">
        <f>SUM(I3137:I3146)</f>
        <v>10010.999200000002</v>
      </c>
      <c r="G3147" s="430"/>
      <c r="H3147" s="456"/>
      <c r="I3147" s="408">
        <f t="shared" si="737"/>
        <v>100.10999200000002</v>
      </c>
      <c r="J3147" s="400"/>
      <c r="K3147" s="401"/>
      <c r="L3147" s="401"/>
    </row>
    <row r="3148" spans="1:12" s="704" customFormat="1" ht="13">
      <c r="A3148" s="454"/>
      <c r="B3148" s="454"/>
      <c r="C3148" s="427" t="s">
        <v>1047</v>
      </c>
      <c r="D3148" s="408"/>
      <c r="E3148" s="454"/>
      <c r="F3148" s="408"/>
      <c r="G3148" s="430"/>
      <c r="H3148" s="454"/>
      <c r="I3148" s="434">
        <f>SUM(I3137:I3147)</f>
        <v>10111.109192000002</v>
      </c>
      <c r="J3148" s="400"/>
      <c r="K3148" s="401"/>
      <c r="L3148" s="401"/>
    </row>
    <row r="3149" spans="1:12" s="704" customFormat="1" ht="13">
      <c r="A3149" s="454"/>
      <c r="B3149" s="454"/>
      <c r="C3149" s="673"/>
      <c r="D3149" s="408"/>
      <c r="E3149" s="454"/>
      <c r="F3149" s="408"/>
      <c r="G3149" s="430"/>
      <c r="H3149" s="454"/>
      <c r="I3149" s="409"/>
      <c r="J3149" s="400"/>
      <c r="K3149" s="401"/>
      <c r="L3149" s="401"/>
    </row>
    <row r="3150" spans="1:12" s="704" customFormat="1" ht="13">
      <c r="A3150" s="454"/>
      <c r="B3150" s="454"/>
      <c r="C3150" s="427" t="s">
        <v>953</v>
      </c>
      <c r="D3150" s="414" t="s">
        <v>959</v>
      </c>
      <c r="E3150" s="416" t="s">
        <v>943</v>
      </c>
      <c r="F3150" s="415" t="s">
        <v>944</v>
      </c>
      <c r="G3150" s="414" t="s">
        <v>1036</v>
      </c>
      <c r="H3150" s="414" t="s">
        <v>1037</v>
      </c>
      <c r="I3150" s="414" t="s">
        <v>1036</v>
      </c>
      <c r="J3150" s="400"/>
      <c r="K3150" s="401"/>
      <c r="L3150" s="401"/>
    </row>
    <row r="3151" spans="1:12" s="704" customFormat="1">
      <c r="A3151" s="454"/>
      <c r="B3151" s="454"/>
      <c r="C3151" s="417" t="s">
        <v>1064</v>
      </c>
      <c r="D3151" s="408">
        <f t="shared" ref="D3151:I3151" si="738">$I$3148</f>
        <v>10111.109192000002</v>
      </c>
      <c r="E3151" s="408">
        <f t="shared" si="738"/>
        <v>10111.109192000002</v>
      </c>
      <c r="F3151" s="408">
        <f t="shared" si="738"/>
        <v>10111.109192000002</v>
      </c>
      <c r="G3151" s="408">
        <f t="shared" si="738"/>
        <v>10111.109192000002</v>
      </c>
      <c r="H3151" s="408">
        <f t="shared" si="738"/>
        <v>10111.109192000002</v>
      </c>
      <c r="I3151" s="408">
        <f t="shared" si="738"/>
        <v>10111.109192000002</v>
      </c>
      <c r="J3151" s="400"/>
      <c r="K3151" s="401"/>
      <c r="L3151" s="401"/>
    </row>
    <row r="3152" spans="1:12" s="704" customFormat="1">
      <c r="A3152" s="454"/>
      <c r="B3152" s="454"/>
      <c r="C3152" s="417" t="s">
        <v>994</v>
      </c>
      <c r="D3152" s="408">
        <v>0</v>
      </c>
      <c r="E3152" s="408">
        <f>ROUND($F$3146*10%,2)</f>
        <v>340.88</v>
      </c>
      <c r="F3152" s="408">
        <f>ROUND($F$3146*20%,2)</f>
        <v>681.76</v>
      </c>
      <c r="G3152" s="408">
        <f>ROUND($F$3146*30%,2)</f>
        <v>1022.64</v>
      </c>
      <c r="H3152" s="408">
        <f>ROUND($F$3146*40%,2)</f>
        <v>1363.52</v>
      </c>
      <c r="I3152" s="408">
        <f>ROUND($F$3146*50%,2)</f>
        <v>1704.4</v>
      </c>
      <c r="J3152" s="400"/>
      <c r="K3152" s="401"/>
      <c r="L3152" s="401"/>
    </row>
    <row r="3153" spans="1:12" s="704" customFormat="1">
      <c r="A3153" s="454"/>
      <c r="B3153" s="454"/>
      <c r="C3153" s="417" t="str">
        <f>[161]Input!$C$47</f>
        <v>Add for MA @ 40%</v>
      </c>
      <c r="D3153" s="408">
        <f>D3152*[161]Input!$D$47</f>
        <v>0</v>
      </c>
      <c r="E3153" s="408">
        <f>E3152*[161]Input!$D$47</f>
        <v>136.352</v>
      </c>
      <c r="F3153" s="408">
        <f>F3152*[161]Input!$D$47</f>
        <v>272.70400000000001</v>
      </c>
      <c r="G3153" s="408">
        <f>G3152*[161]Input!$D$47</f>
        <v>409.05600000000004</v>
      </c>
      <c r="H3153" s="408">
        <f>H3152*[161]Input!$D$47</f>
        <v>545.40800000000002</v>
      </c>
      <c r="I3153" s="408">
        <f>I3152*[161]Input!$D$47</f>
        <v>681.7600000000001</v>
      </c>
      <c r="J3153" s="400"/>
      <c r="K3153" s="401"/>
      <c r="L3153" s="401"/>
    </row>
    <row r="3154" spans="1:12" s="704" customFormat="1">
      <c r="A3154" s="454"/>
      <c r="B3154" s="454"/>
      <c r="C3154" s="435"/>
      <c r="D3154" s="408">
        <f t="shared" ref="D3154:I3154" si="739">SUM(D3151:D3153)</f>
        <v>10111.109192000002</v>
      </c>
      <c r="E3154" s="408">
        <f t="shared" si="739"/>
        <v>10588.341192000002</v>
      </c>
      <c r="F3154" s="408">
        <f t="shared" si="739"/>
        <v>11065.573192000002</v>
      </c>
      <c r="G3154" s="408">
        <f t="shared" si="739"/>
        <v>11542.805192000002</v>
      </c>
      <c r="H3154" s="408">
        <f t="shared" si="739"/>
        <v>12020.037192000002</v>
      </c>
      <c r="I3154" s="408">
        <f t="shared" si="739"/>
        <v>12497.269192000002</v>
      </c>
      <c r="J3154" s="400"/>
      <c r="K3154" s="401"/>
      <c r="L3154" s="401"/>
    </row>
    <row r="3155" spans="1:12" s="704" customFormat="1" ht="25">
      <c r="A3155" s="454"/>
      <c r="B3155" s="454"/>
      <c r="C3155" s="417" t="str">
        <f>[161]Input!$C$48</f>
        <v>Overheads &amp; Contractors Profit @ 13.615%</v>
      </c>
      <c r="D3155" s="408">
        <f>ROUND(D3154*[161]Input!$D$48,2)</f>
        <v>1376.63</v>
      </c>
      <c r="E3155" s="408">
        <f>ROUND(E3154*[161]Input!$D$48,2)</f>
        <v>1441.6</v>
      </c>
      <c r="F3155" s="408">
        <f>ROUND(F3154*[161]Input!$D$48,2)</f>
        <v>1506.58</v>
      </c>
      <c r="G3155" s="408">
        <f>ROUND(G3154*[161]Input!$D$48,2)</f>
        <v>1571.55</v>
      </c>
      <c r="H3155" s="408">
        <f>ROUND(H3154*[161]Input!$D$48,2)</f>
        <v>1636.53</v>
      </c>
      <c r="I3155" s="408">
        <f>ROUND(I3154*[161]Input!$D$48,2)</f>
        <v>1701.5</v>
      </c>
      <c r="J3155" s="400"/>
      <c r="K3155" s="401"/>
      <c r="L3155" s="401"/>
    </row>
    <row r="3156" spans="1:12" s="704" customFormat="1" ht="13">
      <c r="A3156" s="454"/>
      <c r="B3156" s="454"/>
      <c r="C3156" s="427" t="s">
        <v>1047</v>
      </c>
      <c r="D3156" s="408">
        <f t="shared" ref="D3156:I3156" si="740">SUM(D3154:D3155)</f>
        <v>11487.739192000001</v>
      </c>
      <c r="E3156" s="408">
        <f t="shared" si="740"/>
        <v>12029.941192000002</v>
      </c>
      <c r="F3156" s="408">
        <f t="shared" si="740"/>
        <v>12572.153192000002</v>
      </c>
      <c r="G3156" s="408">
        <f t="shared" si="740"/>
        <v>13114.355192000001</v>
      </c>
      <c r="H3156" s="408">
        <f t="shared" si="740"/>
        <v>13656.567192000002</v>
      </c>
      <c r="I3156" s="408">
        <f t="shared" si="740"/>
        <v>14198.769192000002</v>
      </c>
      <c r="J3156" s="400"/>
      <c r="K3156" s="401"/>
      <c r="L3156" s="401"/>
    </row>
    <row r="3157" spans="1:12" s="704" customFormat="1" ht="13">
      <c r="A3157" s="454"/>
      <c r="B3157" s="454"/>
      <c r="C3157" s="427" t="s">
        <v>845</v>
      </c>
      <c r="D3157" s="414">
        <f t="shared" ref="D3157:I3157" si="741">D3156/10</f>
        <v>1148.7739192000001</v>
      </c>
      <c r="E3157" s="414">
        <f t="shared" si="741"/>
        <v>1202.9941192000001</v>
      </c>
      <c r="F3157" s="414">
        <f t="shared" si="741"/>
        <v>1257.2153192000001</v>
      </c>
      <c r="G3157" s="414">
        <f t="shared" si="741"/>
        <v>1311.4355192</v>
      </c>
      <c r="H3157" s="414">
        <f t="shared" si="741"/>
        <v>1365.6567192000002</v>
      </c>
      <c r="I3157" s="414">
        <f t="shared" si="741"/>
        <v>1419.8769192000002</v>
      </c>
      <c r="J3157" s="400"/>
      <c r="K3157" s="401"/>
      <c r="L3157" s="401"/>
    </row>
    <row r="3158" spans="1:12" s="704" customFormat="1" ht="13">
      <c r="A3158" s="454"/>
      <c r="B3158" s="454"/>
      <c r="C3158" s="514" t="s">
        <v>726</v>
      </c>
      <c r="D3158" s="416">
        <f t="shared" ref="D3158:I3158" si="742">ROUND(D3157,0)</f>
        <v>1149</v>
      </c>
      <c r="E3158" s="416">
        <f t="shared" si="742"/>
        <v>1203</v>
      </c>
      <c r="F3158" s="416">
        <f t="shared" si="742"/>
        <v>1257</v>
      </c>
      <c r="G3158" s="416">
        <f t="shared" si="742"/>
        <v>1311</v>
      </c>
      <c r="H3158" s="416">
        <f t="shared" si="742"/>
        <v>1366</v>
      </c>
      <c r="I3158" s="416">
        <f t="shared" si="742"/>
        <v>1420</v>
      </c>
      <c r="J3158" s="400"/>
      <c r="K3158" s="401"/>
      <c r="L3158" s="401"/>
    </row>
    <row r="3159" spans="1:12" s="704" customFormat="1" ht="13">
      <c r="A3159" s="454"/>
      <c r="B3159" s="454"/>
      <c r="C3159" s="451"/>
      <c r="D3159" s="408"/>
      <c r="E3159" s="408"/>
      <c r="F3159" s="408"/>
      <c r="G3159" s="426"/>
      <c r="H3159" s="492"/>
      <c r="I3159" s="434"/>
      <c r="J3159" s="400"/>
      <c r="K3159" s="401"/>
      <c r="L3159" s="401"/>
    </row>
    <row r="3160" spans="1:12" s="704" customFormat="1" ht="13">
      <c r="A3160" s="454"/>
      <c r="B3160" s="454"/>
      <c r="C3160" s="427" t="s">
        <v>953</v>
      </c>
      <c r="D3160" s="414" t="s">
        <v>1118</v>
      </c>
      <c r="E3160" s="414" t="s">
        <v>1119</v>
      </c>
      <c r="F3160" s="414" t="s">
        <v>1120</v>
      </c>
      <c r="G3160" s="426"/>
      <c r="H3160" s="492"/>
      <c r="I3160" s="434"/>
      <c r="J3160" s="400"/>
      <c r="K3160" s="401"/>
      <c r="L3160" s="401"/>
    </row>
    <row r="3161" spans="1:12" s="704" customFormat="1" ht="13">
      <c r="A3161" s="454"/>
      <c r="B3161" s="454"/>
      <c r="C3161" s="417" t="s">
        <v>1064</v>
      </c>
      <c r="D3161" s="408">
        <f>$I$3148</f>
        <v>10111.109192000002</v>
      </c>
      <c r="E3161" s="408">
        <f>$I$3148</f>
        <v>10111.109192000002</v>
      </c>
      <c r="F3161" s="408">
        <f>$I$3148</f>
        <v>10111.109192000002</v>
      </c>
      <c r="G3161" s="426"/>
      <c r="H3161" s="492"/>
      <c r="I3161" s="434"/>
      <c r="J3161" s="400"/>
      <c r="K3161" s="401"/>
      <c r="L3161" s="401"/>
    </row>
    <row r="3162" spans="1:12" s="704" customFormat="1" ht="13">
      <c r="A3162" s="454"/>
      <c r="B3162" s="454"/>
      <c r="C3162" s="417" t="s">
        <v>994</v>
      </c>
      <c r="D3162" s="408">
        <f>ROUND($F$3146*60%,2)</f>
        <v>2045.28</v>
      </c>
      <c r="E3162" s="408">
        <f>ROUND($F$3146*70%,2)</f>
        <v>2386.16</v>
      </c>
      <c r="F3162" s="408">
        <f>ROUND($F$3146*80%,2)</f>
        <v>2727.04</v>
      </c>
      <c r="G3162" s="426"/>
      <c r="H3162" s="492"/>
      <c r="I3162" s="434"/>
      <c r="J3162" s="400"/>
      <c r="K3162" s="401"/>
      <c r="L3162" s="401"/>
    </row>
    <row r="3163" spans="1:12" s="704" customFormat="1" ht="13">
      <c r="A3163" s="454"/>
      <c r="B3163" s="454"/>
      <c r="C3163" s="417" t="str">
        <f>[161]Input!$C$47</f>
        <v>Add for MA @ 40%</v>
      </c>
      <c r="D3163" s="408">
        <f>D3162*[161]Input!$D$47</f>
        <v>818.11200000000008</v>
      </c>
      <c r="E3163" s="408">
        <f>E3162*[161]Input!$D$47</f>
        <v>954.46399999999994</v>
      </c>
      <c r="F3163" s="408">
        <f>F3162*[161]Input!$D$47</f>
        <v>1090.816</v>
      </c>
      <c r="G3163" s="426"/>
      <c r="H3163" s="492"/>
      <c r="I3163" s="434"/>
      <c r="J3163" s="400"/>
      <c r="K3163" s="401"/>
      <c r="L3163" s="401"/>
    </row>
    <row r="3164" spans="1:12" s="704" customFormat="1" ht="13">
      <c r="A3164" s="454"/>
      <c r="B3164" s="454"/>
      <c r="C3164" s="435"/>
      <c r="D3164" s="408">
        <f>SUM(D3161:D3163)</f>
        <v>12974.501192000003</v>
      </c>
      <c r="E3164" s="408">
        <f>SUM(E3161:E3163)</f>
        <v>13451.733192000002</v>
      </c>
      <c r="F3164" s="408">
        <f>SUM(F3161:F3163)</f>
        <v>13928.965192000001</v>
      </c>
      <c r="G3164" s="426"/>
      <c r="H3164" s="492"/>
      <c r="I3164" s="434"/>
      <c r="J3164" s="400"/>
      <c r="K3164" s="401"/>
      <c r="L3164" s="401"/>
    </row>
    <row r="3165" spans="1:12" s="704" customFormat="1" ht="25">
      <c r="A3165" s="454"/>
      <c r="B3165" s="454"/>
      <c r="C3165" s="417" t="str">
        <f>[161]Input!$C$48</f>
        <v>Overheads &amp; Contractors Profit @ 13.615%</v>
      </c>
      <c r="D3165" s="408">
        <f>ROUND(D3164*[161]Input!$D$48,2)</f>
        <v>1766.48</v>
      </c>
      <c r="E3165" s="408">
        <f>ROUND(E3164*[161]Input!$D$48,2)</f>
        <v>1831.45</v>
      </c>
      <c r="F3165" s="408">
        <f>ROUND(F3164*[161]Input!$D$48,2)</f>
        <v>1896.43</v>
      </c>
      <c r="G3165" s="426"/>
      <c r="H3165" s="492"/>
      <c r="I3165" s="434"/>
      <c r="J3165" s="400"/>
      <c r="K3165" s="401"/>
      <c r="L3165" s="401"/>
    </row>
    <row r="3166" spans="1:12" s="704" customFormat="1" ht="13">
      <c r="A3166" s="454"/>
      <c r="B3166" s="454"/>
      <c r="C3166" s="427" t="s">
        <v>1047</v>
      </c>
      <c r="D3166" s="408">
        <f>SUM(D3164:D3165)</f>
        <v>14740.981192000003</v>
      </c>
      <c r="E3166" s="408">
        <f>SUM(E3164:E3165)</f>
        <v>15283.183192000002</v>
      </c>
      <c r="F3166" s="408">
        <f>SUM(F3164:F3165)</f>
        <v>15825.395192000002</v>
      </c>
      <c r="G3166" s="426"/>
      <c r="H3166" s="492"/>
      <c r="I3166" s="434"/>
      <c r="J3166" s="400"/>
      <c r="K3166" s="401"/>
      <c r="L3166" s="401"/>
    </row>
    <row r="3167" spans="1:12" s="704" customFormat="1" ht="13">
      <c r="A3167" s="454"/>
      <c r="B3167" s="454"/>
      <c r="C3167" s="427" t="s">
        <v>845</v>
      </c>
      <c r="D3167" s="414">
        <f>D3166/10</f>
        <v>1474.0981192000004</v>
      </c>
      <c r="E3167" s="414">
        <f>E3166/10</f>
        <v>1528.3183192000001</v>
      </c>
      <c r="F3167" s="414">
        <f>F3166/10</f>
        <v>1582.5395192000001</v>
      </c>
      <c r="G3167" s="426"/>
      <c r="H3167" s="492"/>
      <c r="I3167" s="434"/>
      <c r="J3167" s="400"/>
      <c r="K3167" s="401"/>
      <c r="L3167" s="401"/>
    </row>
    <row r="3168" spans="1:12" s="704" customFormat="1" ht="13">
      <c r="A3168" s="454"/>
      <c r="B3168" s="454"/>
      <c r="C3168" s="514" t="s">
        <v>726</v>
      </c>
      <c r="D3168" s="416">
        <f>ROUND(D3167,0)</f>
        <v>1474</v>
      </c>
      <c r="E3168" s="416">
        <f>ROUND(E3167,0)</f>
        <v>1528</v>
      </c>
      <c r="F3168" s="416">
        <f>ROUND(F3167,0)</f>
        <v>1583</v>
      </c>
      <c r="G3168" s="426"/>
      <c r="H3168" s="492"/>
      <c r="I3168" s="434"/>
      <c r="J3168" s="400"/>
      <c r="K3168" s="401"/>
      <c r="L3168" s="401"/>
    </row>
    <row r="3169" spans="1:64" s="404" customFormat="1" ht="119.5" customHeight="1">
      <c r="A3169" s="454">
        <f>A3096+1</f>
        <v>10</v>
      </c>
      <c r="B3169" s="454"/>
      <c r="C3169" s="1276" t="s">
        <v>1251</v>
      </c>
      <c r="D3169" s="1276"/>
      <c r="E3169" s="1276"/>
      <c r="F3169" s="1276"/>
      <c r="G3169" s="1276"/>
      <c r="H3169" s="1276"/>
      <c r="I3169" s="407"/>
      <c r="J3169" s="400"/>
      <c r="K3169" s="401"/>
      <c r="L3169" s="401"/>
    </row>
    <row r="3170" spans="1:64" s="404" customFormat="1" ht="13">
      <c r="A3170" s="454"/>
      <c r="B3170" s="454" t="s">
        <v>720</v>
      </c>
      <c r="C3170" s="427" t="s">
        <v>1252</v>
      </c>
      <c r="D3170" s="406"/>
      <c r="E3170" s="406"/>
      <c r="F3170" s="406"/>
      <c r="G3170" s="406"/>
      <c r="H3170" s="406"/>
      <c r="I3170" s="432"/>
      <c r="J3170" s="400"/>
      <c r="K3170" s="401"/>
      <c r="L3170" s="401"/>
    </row>
    <row r="3171" spans="1:64" s="404" customFormat="1" ht="13">
      <c r="A3171" s="454"/>
      <c r="B3171" s="454"/>
      <c r="C3171" s="455" t="s">
        <v>1166</v>
      </c>
      <c r="D3171" s="426"/>
      <c r="E3171" s="426"/>
      <c r="F3171" s="426"/>
      <c r="G3171" s="426"/>
      <c r="H3171" s="426"/>
      <c r="I3171" s="409"/>
      <c r="J3171" s="400"/>
      <c r="K3171" s="401"/>
      <c r="L3171" s="401"/>
    </row>
    <row r="3172" spans="1:64" s="404" customFormat="1">
      <c r="A3172" s="454"/>
      <c r="B3172" s="454"/>
      <c r="C3172" s="483" t="s">
        <v>1167</v>
      </c>
      <c r="D3172" s="426"/>
      <c r="E3172" s="426"/>
      <c r="F3172" s="426"/>
      <c r="G3172" s="426"/>
      <c r="H3172" s="426"/>
      <c r="I3172" s="409"/>
      <c r="J3172" s="400"/>
      <c r="K3172" s="401"/>
      <c r="L3172" s="401"/>
    </row>
    <row r="3173" spans="1:64" s="404" customFormat="1" ht="13">
      <c r="A3173" s="454"/>
      <c r="B3173" s="454"/>
      <c r="C3173" s="433" t="s">
        <v>1168</v>
      </c>
      <c r="D3173" s="409"/>
      <c r="E3173" s="426"/>
      <c r="F3173" s="409"/>
      <c r="G3173" s="410"/>
      <c r="H3173" s="426"/>
      <c r="I3173" s="408"/>
      <c r="J3173" s="400"/>
      <c r="K3173" s="401"/>
      <c r="L3173" s="401"/>
    </row>
    <row r="3174" spans="1:64" ht="25">
      <c r="A3174" s="458"/>
      <c r="B3174" s="458"/>
      <c r="C3174" s="417" t="s">
        <v>1169</v>
      </c>
      <c r="D3174" s="432">
        <v>11</v>
      </c>
      <c r="E3174" s="406" t="s">
        <v>62</v>
      </c>
      <c r="F3174" s="432">
        <f>[161]LEAD!$N$26</f>
        <v>2705.69</v>
      </c>
      <c r="G3174" s="431">
        <v>10</v>
      </c>
      <c r="H3174" s="406" t="s">
        <v>62</v>
      </c>
      <c r="I3174" s="459">
        <f t="shared" ref="I3174:I3178" si="743">IF(G3174="",D3174*F3174,(D3174*F3174/G3174))</f>
        <v>2976.259</v>
      </c>
      <c r="J3174" s="462"/>
      <c r="K3174" s="463"/>
      <c r="L3174" s="463"/>
      <c r="M3174" s="464"/>
      <c r="N3174" s="464"/>
      <c r="O3174" s="464"/>
      <c r="P3174" s="464"/>
      <c r="Q3174" s="464"/>
      <c r="R3174" s="464"/>
      <c r="S3174" s="464"/>
      <c r="T3174" s="464"/>
      <c r="U3174" s="464"/>
      <c r="V3174" s="464"/>
      <c r="W3174" s="464"/>
      <c r="X3174" s="464"/>
      <c r="Y3174" s="464"/>
      <c r="Z3174" s="464"/>
      <c r="AA3174" s="464"/>
      <c r="AB3174" s="464"/>
      <c r="AC3174" s="464"/>
      <c r="AD3174" s="464"/>
      <c r="AE3174" s="464"/>
      <c r="AF3174" s="464"/>
      <c r="AG3174" s="464"/>
      <c r="AH3174" s="464"/>
      <c r="AI3174" s="464"/>
      <c r="AJ3174" s="464"/>
      <c r="AK3174" s="464"/>
      <c r="AL3174" s="464"/>
      <c r="AM3174" s="464"/>
      <c r="AN3174" s="464"/>
      <c r="AO3174" s="464"/>
      <c r="AP3174" s="464"/>
      <c r="AQ3174" s="464"/>
      <c r="AR3174" s="464"/>
      <c r="AS3174" s="464"/>
      <c r="AT3174" s="464"/>
      <c r="AU3174" s="464"/>
      <c r="AV3174" s="464"/>
      <c r="AW3174" s="464"/>
      <c r="AX3174" s="464"/>
      <c r="AY3174" s="464"/>
      <c r="AZ3174" s="464"/>
      <c r="BA3174" s="464"/>
      <c r="BB3174" s="464"/>
      <c r="BC3174" s="464"/>
      <c r="BD3174" s="464"/>
      <c r="BE3174" s="464"/>
      <c r="BF3174" s="464"/>
      <c r="BG3174" s="464"/>
      <c r="BH3174" s="464"/>
      <c r="BI3174" s="464"/>
      <c r="BJ3174" s="464"/>
      <c r="BK3174" s="464"/>
      <c r="BL3174" s="464"/>
    </row>
    <row r="3175" spans="1:64" ht="25">
      <c r="A3175" s="458"/>
      <c r="B3175" s="458"/>
      <c r="C3175" s="417" t="s">
        <v>1253</v>
      </c>
      <c r="D3175" s="432">
        <v>34.56</v>
      </c>
      <c r="E3175" s="406" t="s">
        <v>833</v>
      </c>
      <c r="F3175" s="432">
        <f>[161]LEAD!$N$6</f>
        <v>5200</v>
      </c>
      <c r="G3175" s="431">
        <v>1000</v>
      </c>
      <c r="H3175" s="406" t="s">
        <v>833</v>
      </c>
      <c r="I3175" s="459">
        <f t="shared" si="743"/>
        <v>179.71199999999999</v>
      </c>
      <c r="J3175" s="462"/>
      <c r="K3175" s="463"/>
      <c r="L3175" s="463"/>
      <c r="M3175" s="464"/>
      <c r="N3175" s="464"/>
      <c r="O3175" s="464"/>
      <c r="P3175" s="464"/>
      <c r="Q3175" s="464"/>
      <c r="R3175" s="464"/>
      <c r="S3175" s="464"/>
      <c r="T3175" s="464"/>
      <c r="U3175" s="464"/>
      <c r="V3175" s="464"/>
      <c r="W3175" s="464"/>
      <c r="X3175" s="464"/>
      <c r="Y3175" s="464"/>
      <c r="Z3175" s="464"/>
      <c r="AA3175" s="464"/>
      <c r="AB3175" s="464"/>
      <c r="AC3175" s="464"/>
      <c r="AD3175" s="464"/>
      <c r="AE3175" s="464"/>
      <c r="AF3175" s="464"/>
      <c r="AG3175" s="464"/>
      <c r="AH3175" s="464"/>
      <c r="AI3175" s="464"/>
      <c r="AJ3175" s="464"/>
      <c r="AK3175" s="464"/>
      <c r="AL3175" s="464"/>
      <c r="AM3175" s="464"/>
      <c r="AN3175" s="464"/>
      <c r="AO3175" s="464"/>
      <c r="AP3175" s="464"/>
      <c r="AQ3175" s="464"/>
      <c r="AR3175" s="464"/>
      <c r="AS3175" s="464"/>
      <c r="AT3175" s="464"/>
      <c r="AU3175" s="464"/>
      <c r="AV3175" s="464"/>
      <c r="AW3175" s="464"/>
      <c r="AX3175" s="464"/>
      <c r="AY3175" s="464"/>
      <c r="AZ3175" s="464"/>
      <c r="BA3175" s="464"/>
      <c r="BB3175" s="464"/>
      <c r="BC3175" s="464"/>
      <c r="BD3175" s="464"/>
      <c r="BE3175" s="464"/>
      <c r="BF3175" s="464"/>
      <c r="BG3175" s="464"/>
      <c r="BH3175" s="464"/>
      <c r="BI3175" s="464"/>
      <c r="BJ3175" s="464"/>
      <c r="BK3175" s="464"/>
      <c r="BL3175" s="464"/>
    </row>
    <row r="3176" spans="1:64">
      <c r="A3176" s="458"/>
      <c r="B3176" s="458"/>
      <c r="C3176" s="417" t="s">
        <v>1171</v>
      </c>
      <c r="D3176" s="432">
        <v>33</v>
      </c>
      <c r="E3176" s="406" t="s">
        <v>833</v>
      </c>
      <c r="F3176" s="432">
        <f>[161]LEAD!$N$6</f>
        <v>5200</v>
      </c>
      <c r="G3176" s="431">
        <v>1000</v>
      </c>
      <c r="H3176" s="406" t="s">
        <v>833</v>
      </c>
      <c r="I3176" s="459">
        <f t="shared" si="743"/>
        <v>171.6</v>
      </c>
      <c r="J3176" s="462"/>
      <c r="K3176" s="463"/>
      <c r="L3176" s="463"/>
      <c r="M3176" s="464"/>
      <c r="N3176" s="464"/>
      <c r="O3176" s="464"/>
      <c r="P3176" s="464"/>
      <c r="Q3176" s="464"/>
      <c r="R3176" s="464"/>
      <c r="S3176" s="464"/>
      <c r="T3176" s="464"/>
      <c r="U3176" s="464"/>
      <c r="V3176" s="464"/>
      <c r="W3176" s="464"/>
      <c r="X3176" s="464"/>
      <c r="Y3176" s="464"/>
      <c r="Z3176" s="464"/>
      <c r="AA3176" s="464"/>
      <c r="AB3176" s="464"/>
      <c r="AC3176" s="464"/>
      <c r="AD3176" s="464"/>
      <c r="AE3176" s="464"/>
      <c r="AF3176" s="464"/>
      <c r="AG3176" s="464"/>
      <c r="AH3176" s="464"/>
      <c r="AI3176" s="464"/>
      <c r="AJ3176" s="464"/>
      <c r="AK3176" s="464"/>
      <c r="AL3176" s="464"/>
      <c r="AM3176" s="464"/>
      <c r="AN3176" s="464"/>
      <c r="AO3176" s="464"/>
      <c r="AP3176" s="464"/>
      <c r="AQ3176" s="464"/>
      <c r="AR3176" s="464"/>
      <c r="AS3176" s="464"/>
      <c r="AT3176" s="464"/>
      <c r="AU3176" s="464"/>
      <c r="AV3176" s="464"/>
      <c r="AW3176" s="464"/>
      <c r="AX3176" s="464"/>
      <c r="AY3176" s="464"/>
      <c r="AZ3176" s="464"/>
      <c r="BA3176" s="464"/>
      <c r="BB3176" s="464"/>
      <c r="BC3176" s="464"/>
      <c r="BD3176" s="464"/>
      <c r="BE3176" s="464"/>
      <c r="BF3176" s="464"/>
      <c r="BG3176" s="464"/>
      <c r="BH3176" s="464"/>
      <c r="BI3176" s="464"/>
      <c r="BJ3176" s="464"/>
      <c r="BK3176" s="464"/>
      <c r="BL3176" s="464"/>
    </row>
    <row r="3177" spans="1:64">
      <c r="A3177" s="458"/>
      <c r="B3177" s="458"/>
      <c r="C3177" s="417" t="s">
        <v>1254</v>
      </c>
      <c r="D3177" s="432">
        <v>20</v>
      </c>
      <c r="E3177" s="406" t="s">
        <v>833</v>
      </c>
      <c r="F3177" s="432">
        <f>[161]LEAD!$N$6</f>
        <v>5200</v>
      </c>
      <c r="G3177" s="431">
        <v>1000</v>
      </c>
      <c r="H3177" s="406" t="s">
        <v>833</v>
      </c>
      <c r="I3177" s="459">
        <f t="shared" si="743"/>
        <v>104</v>
      </c>
      <c r="J3177" s="462"/>
      <c r="K3177" s="463"/>
      <c r="L3177" s="463"/>
      <c r="M3177" s="464"/>
      <c r="N3177" s="464"/>
      <c r="O3177" s="464"/>
      <c r="P3177" s="464"/>
      <c r="Q3177" s="464"/>
      <c r="R3177" s="464"/>
      <c r="S3177" s="464"/>
      <c r="T3177" s="464"/>
      <c r="U3177" s="464"/>
      <c r="V3177" s="464"/>
      <c r="W3177" s="464"/>
      <c r="X3177" s="464"/>
      <c r="Y3177" s="464"/>
      <c r="Z3177" s="464"/>
      <c r="AA3177" s="464"/>
      <c r="AB3177" s="464"/>
      <c r="AC3177" s="464"/>
      <c r="AD3177" s="464"/>
      <c r="AE3177" s="464"/>
      <c r="AF3177" s="464"/>
      <c r="AG3177" s="464"/>
      <c r="AH3177" s="464"/>
      <c r="AI3177" s="464"/>
      <c r="AJ3177" s="464"/>
      <c r="AK3177" s="464"/>
      <c r="AL3177" s="464"/>
      <c r="AM3177" s="464"/>
      <c r="AN3177" s="464"/>
      <c r="AO3177" s="464"/>
      <c r="AP3177" s="464"/>
      <c r="AQ3177" s="464"/>
      <c r="AR3177" s="464"/>
      <c r="AS3177" s="464"/>
      <c r="AT3177" s="464"/>
      <c r="AU3177" s="464"/>
      <c r="AV3177" s="464"/>
      <c r="AW3177" s="464"/>
      <c r="AX3177" s="464"/>
      <c r="AY3177" s="464"/>
      <c r="AZ3177" s="464"/>
      <c r="BA3177" s="464"/>
      <c r="BB3177" s="464"/>
      <c r="BC3177" s="464"/>
      <c r="BD3177" s="464"/>
      <c r="BE3177" s="464"/>
      <c r="BF3177" s="464"/>
      <c r="BG3177" s="464"/>
      <c r="BH3177" s="464"/>
      <c r="BI3177" s="464"/>
      <c r="BJ3177" s="464"/>
      <c r="BK3177" s="464"/>
      <c r="BL3177" s="464"/>
    </row>
    <row r="3178" spans="1:64">
      <c r="A3178" s="458"/>
      <c r="B3178" s="458"/>
      <c r="C3178" s="417" t="s">
        <v>1255</v>
      </c>
      <c r="D3178" s="432">
        <v>0.12</v>
      </c>
      <c r="E3178" s="406" t="s">
        <v>57</v>
      </c>
      <c r="F3178" s="432">
        <f>[161]LEAD!$N$13</f>
        <v>2453.91</v>
      </c>
      <c r="G3178" s="431">
        <v>1</v>
      </c>
      <c r="H3178" s="406" t="s">
        <v>57</v>
      </c>
      <c r="I3178" s="459">
        <f t="shared" si="743"/>
        <v>294.46919999999994</v>
      </c>
      <c r="J3178" s="462"/>
      <c r="K3178" s="463"/>
      <c r="L3178" s="463"/>
      <c r="M3178" s="464"/>
      <c r="N3178" s="464"/>
      <c r="O3178" s="464"/>
      <c r="P3178" s="464"/>
      <c r="Q3178" s="464"/>
      <c r="R3178" s="464"/>
      <c r="S3178" s="464"/>
      <c r="T3178" s="464"/>
      <c r="U3178" s="464"/>
      <c r="V3178" s="464"/>
      <c r="W3178" s="464"/>
      <c r="X3178" s="464"/>
      <c r="Y3178" s="464"/>
      <c r="Z3178" s="464"/>
      <c r="AA3178" s="464"/>
      <c r="AB3178" s="464"/>
      <c r="AC3178" s="464"/>
      <c r="AD3178" s="464"/>
      <c r="AE3178" s="464"/>
      <c r="AF3178" s="464"/>
      <c r="AG3178" s="464"/>
      <c r="AH3178" s="464"/>
      <c r="AI3178" s="464"/>
      <c r="AJ3178" s="464"/>
      <c r="AK3178" s="464"/>
      <c r="AL3178" s="464"/>
      <c r="AM3178" s="464"/>
      <c r="AN3178" s="464"/>
      <c r="AO3178" s="464"/>
      <c r="AP3178" s="464"/>
      <c r="AQ3178" s="464"/>
      <c r="AR3178" s="464"/>
      <c r="AS3178" s="464"/>
      <c r="AT3178" s="464"/>
      <c r="AU3178" s="464"/>
      <c r="AV3178" s="464"/>
      <c r="AW3178" s="464"/>
      <c r="AX3178" s="464"/>
      <c r="AY3178" s="464"/>
      <c r="AZ3178" s="464"/>
      <c r="BA3178" s="464"/>
      <c r="BB3178" s="464"/>
      <c r="BC3178" s="464"/>
      <c r="BD3178" s="464"/>
      <c r="BE3178" s="464"/>
      <c r="BF3178" s="464"/>
      <c r="BG3178" s="464"/>
      <c r="BH3178" s="464"/>
      <c r="BI3178" s="464"/>
      <c r="BJ3178" s="464"/>
      <c r="BK3178" s="464"/>
      <c r="BL3178" s="464"/>
    </row>
    <row r="3179" spans="1:64" ht="13">
      <c r="A3179" s="458"/>
      <c r="B3179" s="458"/>
      <c r="C3179" s="427" t="s">
        <v>1073</v>
      </c>
      <c r="D3179" s="432"/>
      <c r="E3179" s="406"/>
      <c r="F3179" s="432"/>
      <c r="G3179" s="431"/>
      <c r="H3179" s="406"/>
      <c r="I3179" s="459"/>
      <c r="J3179" s="462"/>
      <c r="K3179" s="463"/>
      <c r="L3179" s="463"/>
      <c r="M3179" s="464"/>
      <c r="N3179" s="464"/>
      <c r="O3179" s="464"/>
      <c r="P3179" s="464"/>
      <c r="Q3179" s="464"/>
      <c r="R3179" s="464"/>
      <c r="S3179" s="464"/>
      <c r="T3179" s="464"/>
      <c r="U3179" s="464"/>
      <c r="V3179" s="464"/>
      <c r="W3179" s="464"/>
      <c r="X3179" s="464"/>
      <c r="Y3179" s="464"/>
      <c r="Z3179" s="464"/>
      <c r="AA3179" s="464"/>
      <c r="AB3179" s="464"/>
      <c r="AC3179" s="464"/>
      <c r="AD3179" s="464"/>
      <c r="AE3179" s="464"/>
      <c r="AF3179" s="464"/>
      <c r="AG3179" s="464"/>
      <c r="AH3179" s="464"/>
      <c r="AI3179" s="464"/>
      <c r="AJ3179" s="464"/>
      <c r="AK3179" s="464"/>
      <c r="AL3179" s="464"/>
      <c r="AM3179" s="464"/>
      <c r="AN3179" s="464"/>
      <c r="AO3179" s="464"/>
      <c r="AP3179" s="464"/>
      <c r="AQ3179" s="464"/>
      <c r="AR3179" s="464"/>
      <c r="AS3179" s="464"/>
      <c r="AT3179" s="464"/>
      <c r="AU3179" s="464"/>
      <c r="AV3179" s="464"/>
      <c r="AW3179" s="464"/>
      <c r="AX3179" s="464"/>
      <c r="AY3179" s="464"/>
      <c r="AZ3179" s="464"/>
      <c r="BA3179" s="464"/>
      <c r="BB3179" s="464"/>
      <c r="BC3179" s="464"/>
      <c r="BD3179" s="464"/>
      <c r="BE3179" s="464"/>
      <c r="BF3179" s="464"/>
      <c r="BG3179" s="464"/>
      <c r="BH3179" s="464"/>
      <c r="BI3179" s="464"/>
      <c r="BJ3179" s="464"/>
      <c r="BK3179" s="464"/>
      <c r="BL3179" s="464"/>
    </row>
    <row r="3180" spans="1:64">
      <c r="A3180" s="458"/>
      <c r="B3180" s="458"/>
      <c r="C3180" s="417" t="s">
        <v>1044</v>
      </c>
      <c r="D3180" s="432">
        <v>3.1</v>
      </c>
      <c r="E3180" s="406" t="s">
        <v>14</v>
      </c>
      <c r="F3180" s="432">
        <f>'[161]Civil-SOR'!$G$293</f>
        <v>580</v>
      </c>
      <c r="G3180" s="431">
        <v>1</v>
      </c>
      <c r="H3180" s="406" t="s">
        <v>572</v>
      </c>
      <c r="I3180" s="459">
        <f t="shared" ref="I3180:I3186" si="744">IF(G3180="",D3180*F3180,(D3180*F3180/G3180))</f>
        <v>1798</v>
      </c>
      <c r="J3180" s="462"/>
      <c r="K3180" s="463"/>
      <c r="L3180" s="463"/>
      <c r="M3180" s="464"/>
      <c r="N3180" s="464"/>
      <c r="O3180" s="464"/>
      <c r="P3180" s="464"/>
      <c r="Q3180" s="464"/>
      <c r="R3180" s="464"/>
      <c r="S3180" s="464"/>
      <c r="T3180" s="464"/>
      <c r="U3180" s="464"/>
      <c r="V3180" s="464"/>
      <c r="W3180" s="464"/>
      <c r="X3180" s="464"/>
      <c r="Y3180" s="464"/>
      <c r="Z3180" s="464"/>
      <c r="AA3180" s="464"/>
      <c r="AB3180" s="464"/>
      <c r="AC3180" s="464"/>
      <c r="AD3180" s="464"/>
      <c r="AE3180" s="464"/>
      <c r="AF3180" s="464"/>
      <c r="AG3180" s="464"/>
      <c r="AH3180" s="464"/>
      <c r="AI3180" s="464"/>
      <c r="AJ3180" s="464"/>
      <c r="AK3180" s="464"/>
      <c r="AL3180" s="464"/>
      <c r="AM3180" s="464"/>
      <c r="AN3180" s="464"/>
      <c r="AO3180" s="464"/>
      <c r="AP3180" s="464"/>
      <c r="AQ3180" s="464"/>
      <c r="AR3180" s="464"/>
      <c r="AS3180" s="464"/>
      <c r="AT3180" s="464"/>
      <c r="AU3180" s="464"/>
      <c r="AV3180" s="464"/>
      <c r="AW3180" s="464"/>
      <c r="AX3180" s="464"/>
      <c r="AY3180" s="464"/>
      <c r="AZ3180" s="464"/>
      <c r="BA3180" s="464"/>
      <c r="BB3180" s="464"/>
      <c r="BC3180" s="464"/>
      <c r="BD3180" s="464"/>
      <c r="BE3180" s="464"/>
      <c r="BF3180" s="464"/>
      <c r="BG3180" s="464"/>
      <c r="BH3180" s="464"/>
      <c r="BI3180" s="464"/>
      <c r="BJ3180" s="464"/>
      <c r="BK3180" s="464"/>
      <c r="BL3180" s="464"/>
    </row>
    <row r="3181" spans="1:64">
      <c r="A3181" s="458"/>
      <c r="B3181" s="458"/>
      <c r="C3181" s="417" t="s">
        <v>1074</v>
      </c>
      <c r="D3181" s="432">
        <v>1.1000000000000001</v>
      </c>
      <c r="E3181" s="406" t="s">
        <v>14</v>
      </c>
      <c r="F3181" s="432">
        <f>'[161]Civil-SOR'!$G$302</f>
        <v>550</v>
      </c>
      <c r="G3181" s="431">
        <v>1</v>
      </c>
      <c r="H3181" s="406" t="s">
        <v>572</v>
      </c>
      <c r="I3181" s="459">
        <f t="shared" si="744"/>
        <v>605</v>
      </c>
      <c r="J3181" s="462"/>
      <c r="K3181" s="463"/>
      <c r="L3181" s="463"/>
      <c r="M3181" s="464"/>
      <c r="N3181" s="464"/>
      <c r="O3181" s="464"/>
      <c r="P3181" s="464"/>
      <c r="Q3181" s="464"/>
      <c r="R3181" s="464"/>
      <c r="S3181" s="464"/>
      <c r="T3181" s="464"/>
      <c r="U3181" s="464"/>
      <c r="V3181" s="464"/>
      <c r="W3181" s="464"/>
      <c r="X3181" s="464"/>
      <c r="Y3181" s="464"/>
      <c r="Z3181" s="464"/>
      <c r="AA3181" s="464"/>
      <c r="AB3181" s="464"/>
      <c r="AC3181" s="464"/>
      <c r="AD3181" s="464"/>
      <c r="AE3181" s="464"/>
      <c r="AF3181" s="464"/>
      <c r="AG3181" s="464"/>
      <c r="AH3181" s="464"/>
      <c r="AI3181" s="464"/>
      <c r="AJ3181" s="464"/>
      <c r="AK3181" s="464"/>
      <c r="AL3181" s="464"/>
      <c r="AM3181" s="464"/>
      <c r="AN3181" s="464"/>
      <c r="AO3181" s="464"/>
      <c r="AP3181" s="464"/>
      <c r="AQ3181" s="464"/>
      <c r="AR3181" s="464"/>
      <c r="AS3181" s="464"/>
      <c r="AT3181" s="464"/>
      <c r="AU3181" s="464"/>
      <c r="AV3181" s="464"/>
      <c r="AW3181" s="464"/>
      <c r="AX3181" s="464"/>
      <c r="AY3181" s="464"/>
      <c r="AZ3181" s="464"/>
      <c r="BA3181" s="464"/>
      <c r="BB3181" s="464"/>
      <c r="BC3181" s="464"/>
      <c r="BD3181" s="464"/>
      <c r="BE3181" s="464"/>
      <c r="BF3181" s="464"/>
      <c r="BG3181" s="464"/>
      <c r="BH3181" s="464"/>
      <c r="BI3181" s="464"/>
      <c r="BJ3181" s="464"/>
      <c r="BK3181" s="464"/>
      <c r="BL3181" s="464"/>
    </row>
    <row r="3182" spans="1:64">
      <c r="A3182" s="458"/>
      <c r="B3182" s="458"/>
      <c r="C3182" s="417" t="s">
        <v>1174</v>
      </c>
      <c r="D3182" s="432">
        <v>0.86</v>
      </c>
      <c r="E3182" s="406" t="s">
        <v>14</v>
      </c>
      <c r="F3182" s="432">
        <f>'[161]Civil-SOR'!$G$307</f>
        <v>520</v>
      </c>
      <c r="G3182" s="431">
        <v>1</v>
      </c>
      <c r="H3182" s="406" t="s">
        <v>572</v>
      </c>
      <c r="I3182" s="459">
        <f t="shared" si="744"/>
        <v>447.2</v>
      </c>
      <c r="J3182" s="462"/>
      <c r="K3182" s="463"/>
      <c r="L3182" s="463"/>
      <c r="M3182" s="464"/>
      <c r="N3182" s="464"/>
      <c r="O3182" s="464"/>
      <c r="P3182" s="464"/>
      <c r="Q3182" s="464"/>
      <c r="R3182" s="464"/>
      <c r="S3182" s="464"/>
      <c r="T3182" s="464"/>
      <c r="U3182" s="464"/>
      <c r="V3182" s="464"/>
      <c r="W3182" s="464"/>
      <c r="X3182" s="464"/>
      <c r="Y3182" s="464"/>
      <c r="Z3182" s="464"/>
      <c r="AA3182" s="464"/>
      <c r="AB3182" s="464"/>
      <c r="AC3182" s="464"/>
      <c r="AD3182" s="464"/>
      <c r="AE3182" s="464"/>
      <c r="AF3182" s="464"/>
      <c r="AG3182" s="464"/>
      <c r="AH3182" s="464"/>
      <c r="AI3182" s="464"/>
      <c r="AJ3182" s="464"/>
      <c r="AK3182" s="464"/>
      <c r="AL3182" s="464"/>
      <c r="AM3182" s="464"/>
      <c r="AN3182" s="464"/>
      <c r="AO3182" s="464"/>
      <c r="AP3182" s="464"/>
      <c r="AQ3182" s="464"/>
      <c r="AR3182" s="464"/>
      <c r="AS3182" s="464"/>
      <c r="AT3182" s="464"/>
      <c r="AU3182" s="464"/>
      <c r="AV3182" s="464"/>
      <c r="AW3182" s="464"/>
      <c r="AX3182" s="464"/>
      <c r="AY3182" s="464"/>
      <c r="AZ3182" s="464"/>
      <c r="BA3182" s="464"/>
      <c r="BB3182" s="464"/>
      <c r="BC3182" s="464"/>
      <c r="BD3182" s="464"/>
      <c r="BE3182" s="464"/>
      <c r="BF3182" s="464"/>
      <c r="BG3182" s="464"/>
      <c r="BH3182" s="464"/>
      <c r="BI3182" s="464"/>
      <c r="BJ3182" s="464"/>
      <c r="BK3182" s="464"/>
      <c r="BL3182" s="464"/>
    </row>
    <row r="3183" spans="1:64">
      <c r="A3183" s="458"/>
      <c r="B3183" s="458"/>
      <c r="C3183" s="417" t="str">
        <f>[161]Input!$C$47</f>
        <v>Add for MA @ 40%</v>
      </c>
      <c r="D3183" s="622">
        <f>[161]Input!$D$47</f>
        <v>0.4</v>
      </c>
      <c r="E3183" s="406"/>
      <c r="F3183" s="432">
        <f>SUM(I3180:I3182)</f>
        <v>2850.2</v>
      </c>
      <c r="G3183" s="431"/>
      <c r="H3183" s="406"/>
      <c r="I3183" s="459">
        <f t="shared" si="744"/>
        <v>1140.08</v>
      </c>
      <c r="J3183" s="462"/>
      <c r="K3183" s="463"/>
      <c r="L3183" s="463"/>
      <c r="M3183" s="464"/>
      <c r="N3183" s="464"/>
      <c r="O3183" s="464"/>
      <c r="P3183" s="464"/>
      <c r="Q3183" s="464"/>
      <c r="R3183" s="464"/>
      <c r="S3183" s="464"/>
      <c r="T3183" s="464"/>
      <c r="U3183" s="464"/>
      <c r="V3183" s="464"/>
      <c r="W3183" s="464"/>
      <c r="X3183" s="464"/>
      <c r="Y3183" s="464"/>
      <c r="Z3183" s="464"/>
      <c r="AA3183" s="464"/>
      <c r="AB3183" s="464"/>
      <c r="AC3183" s="464"/>
      <c r="AD3183" s="464"/>
      <c r="AE3183" s="464"/>
      <c r="AF3183" s="464"/>
      <c r="AG3183" s="464"/>
      <c r="AH3183" s="464"/>
      <c r="AI3183" s="464"/>
      <c r="AJ3183" s="464"/>
      <c r="AK3183" s="464"/>
      <c r="AL3183" s="464"/>
      <c r="AM3183" s="464"/>
      <c r="AN3183" s="464"/>
      <c r="AO3183" s="464"/>
      <c r="AP3183" s="464"/>
      <c r="AQ3183" s="464"/>
      <c r="AR3183" s="464"/>
      <c r="AS3183" s="464"/>
      <c r="AT3183" s="464"/>
      <c r="AU3183" s="464"/>
      <c r="AV3183" s="464"/>
      <c r="AW3183" s="464"/>
      <c r="AX3183" s="464"/>
      <c r="AY3183" s="464"/>
      <c r="AZ3183" s="464"/>
      <c r="BA3183" s="464"/>
      <c r="BB3183" s="464"/>
      <c r="BC3183" s="464"/>
      <c r="BD3183" s="464"/>
      <c r="BE3183" s="464"/>
      <c r="BF3183" s="464"/>
      <c r="BG3183" s="464"/>
      <c r="BH3183" s="464"/>
      <c r="BI3183" s="464"/>
      <c r="BJ3183" s="464"/>
      <c r="BK3183" s="464"/>
      <c r="BL3183" s="464"/>
    </row>
    <row r="3184" spans="1:64">
      <c r="A3184" s="458"/>
      <c r="B3184" s="458"/>
      <c r="C3184" s="417" t="s">
        <v>1256</v>
      </c>
      <c r="D3184" s="622">
        <v>33.33</v>
      </c>
      <c r="E3184" s="406" t="s">
        <v>1052</v>
      </c>
      <c r="F3184" s="432">
        <f>'[161]Civil-SOR'!$G$201</f>
        <v>73</v>
      </c>
      <c r="G3184" s="431">
        <v>1</v>
      </c>
      <c r="H3184" s="406" t="s">
        <v>1052</v>
      </c>
      <c r="I3184" s="459">
        <f t="shared" si="744"/>
        <v>2433.0899999999997</v>
      </c>
      <c r="J3184" s="462"/>
      <c r="K3184" s="463"/>
      <c r="L3184" s="463"/>
      <c r="M3184" s="464"/>
      <c r="N3184" s="464"/>
      <c r="O3184" s="464"/>
      <c r="P3184" s="464"/>
      <c r="Q3184" s="464"/>
      <c r="R3184" s="464"/>
      <c r="S3184" s="464"/>
      <c r="T3184" s="464"/>
      <c r="U3184" s="464"/>
      <c r="V3184" s="464"/>
      <c r="W3184" s="464"/>
      <c r="X3184" s="464"/>
      <c r="Y3184" s="464"/>
      <c r="Z3184" s="464"/>
      <c r="AA3184" s="464"/>
      <c r="AB3184" s="464"/>
      <c r="AC3184" s="464"/>
      <c r="AD3184" s="464"/>
      <c r="AE3184" s="464"/>
      <c r="AF3184" s="464"/>
      <c r="AG3184" s="464"/>
      <c r="AH3184" s="464"/>
      <c r="AI3184" s="464"/>
      <c r="AJ3184" s="464"/>
      <c r="AK3184" s="464"/>
      <c r="AL3184" s="464"/>
      <c r="AM3184" s="464"/>
      <c r="AN3184" s="464"/>
      <c r="AO3184" s="464"/>
      <c r="AP3184" s="464"/>
      <c r="AQ3184" s="464"/>
      <c r="AR3184" s="464"/>
      <c r="AS3184" s="464"/>
      <c r="AT3184" s="464"/>
      <c r="AU3184" s="464"/>
      <c r="AV3184" s="464"/>
      <c r="AW3184" s="464"/>
      <c r="AX3184" s="464"/>
      <c r="AY3184" s="464"/>
      <c r="AZ3184" s="464"/>
      <c r="BA3184" s="464"/>
      <c r="BB3184" s="464"/>
      <c r="BC3184" s="464"/>
      <c r="BD3184" s="464"/>
      <c r="BE3184" s="464"/>
      <c r="BF3184" s="464"/>
      <c r="BG3184" s="464"/>
      <c r="BH3184" s="464"/>
      <c r="BI3184" s="464"/>
      <c r="BJ3184" s="464"/>
      <c r="BK3184" s="464"/>
      <c r="BL3184" s="464"/>
    </row>
    <row r="3185" spans="1:64">
      <c r="A3185" s="458"/>
      <c r="B3185" s="458"/>
      <c r="C3185" s="417" t="str">
        <f>[161]Input!$C$47</f>
        <v>Add for MA @ 40%</v>
      </c>
      <c r="D3185" s="622">
        <f>[161]Input!$D$47</f>
        <v>0.4</v>
      </c>
      <c r="E3185" s="406"/>
      <c r="F3185" s="432">
        <f>I3184*40%</f>
        <v>973.23599999999988</v>
      </c>
      <c r="G3185" s="431"/>
      <c r="H3185" s="406"/>
      <c r="I3185" s="459">
        <f t="shared" si="744"/>
        <v>389.2944</v>
      </c>
      <c r="J3185" s="462"/>
      <c r="K3185" s="463"/>
      <c r="L3185" s="463"/>
      <c r="M3185" s="464"/>
      <c r="N3185" s="464"/>
      <c r="O3185" s="464"/>
      <c r="P3185" s="464"/>
      <c r="Q3185" s="464"/>
      <c r="R3185" s="464"/>
      <c r="S3185" s="464"/>
      <c r="T3185" s="464"/>
      <c r="U3185" s="464"/>
      <c r="V3185" s="464"/>
      <c r="W3185" s="464"/>
      <c r="X3185" s="464"/>
      <c r="Y3185" s="464"/>
      <c r="Z3185" s="464"/>
      <c r="AA3185" s="464"/>
      <c r="AB3185" s="464"/>
      <c r="AC3185" s="464"/>
      <c r="AD3185" s="464"/>
      <c r="AE3185" s="464"/>
      <c r="AF3185" s="464"/>
      <c r="AG3185" s="464"/>
      <c r="AH3185" s="464"/>
      <c r="AI3185" s="464"/>
      <c r="AJ3185" s="464"/>
      <c r="AK3185" s="464"/>
      <c r="AL3185" s="464"/>
      <c r="AM3185" s="464"/>
      <c r="AN3185" s="464"/>
      <c r="AO3185" s="464"/>
      <c r="AP3185" s="464"/>
      <c r="AQ3185" s="464"/>
      <c r="AR3185" s="464"/>
      <c r="AS3185" s="464"/>
      <c r="AT3185" s="464"/>
      <c r="AU3185" s="464"/>
      <c r="AV3185" s="464"/>
      <c r="AW3185" s="464"/>
      <c r="AX3185" s="464"/>
      <c r="AY3185" s="464"/>
      <c r="AZ3185" s="464"/>
      <c r="BA3185" s="464"/>
      <c r="BB3185" s="464"/>
      <c r="BC3185" s="464"/>
      <c r="BD3185" s="464"/>
      <c r="BE3185" s="464"/>
      <c r="BF3185" s="464"/>
      <c r="BG3185" s="464"/>
      <c r="BH3185" s="464"/>
      <c r="BI3185" s="464"/>
      <c r="BJ3185" s="464"/>
      <c r="BK3185" s="464"/>
      <c r="BL3185" s="464"/>
    </row>
    <row r="3186" spans="1:64">
      <c r="A3186" s="458"/>
      <c r="B3186" s="458"/>
      <c r="C3186" s="417" t="s">
        <v>1046</v>
      </c>
      <c r="D3186" s="432">
        <v>0.01</v>
      </c>
      <c r="E3186" s="406"/>
      <c r="F3186" s="432">
        <f>SUM(I3174:I3185)</f>
        <v>10538.704599999999</v>
      </c>
      <c r="G3186" s="431"/>
      <c r="H3186" s="406"/>
      <c r="I3186" s="459">
        <f t="shared" si="744"/>
        <v>105.387046</v>
      </c>
      <c r="J3186" s="462"/>
      <c r="K3186" s="463"/>
      <c r="L3186" s="463"/>
      <c r="M3186" s="464"/>
      <c r="N3186" s="464"/>
      <c r="O3186" s="464"/>
      <c r="P3186" s="464"/>
      <c r="Q3186" s="464"/>
      <c r="R3186" s="464"/>
      <c r="S3186" s="464"/>
      <c r="T3186" s="464"/>
      <c r="U3186" s="464"/>
      <c r="V3186" s="464"/>
      <c r="W3186" s="464"/>
      <c r="X3186" s="464"/>
      <c r="Y3186" s="464"/>
      <c r="Z3186" s="464"/>
      <c r="AA3186" s="464"/>
      <c r="AB3186" s="464"/>
      <c r="AC3186" s="464"/>
      <c r="AD3186" s="464"/>
      <c r="AE3186" s="464"/>
      <c r="AF3186" s="464"/>
      <c r="AG3186" s="464"/>
      <c r="AH3186" s="464"/>
      <c r="AI3186" s="464"/>
      <c r="AJ3186" s="464"/>
      <c r="AK3186" s="464"/>
      <c r="AL3186" s="464"/>
      <c r="AM3186" s="464"/>
      <c r="AN3186" s="464"/>
      <c r="AO3186" s="464"/>
      <c r="AP3186" s="464"/>
      <c r="AQ3186" s="464"/>
      <c r="AR3186" s="464"/>
      <c r="AS3186" s="464"/>
      <c r="AT3186" s="464"/>
      <c r="AU3186" s="464"/>
      <c r="AV3186" s="464"/>
      <c r="AW3186" s="464"/>
      <c r="AX3186" s="464"/>
      <c r="AY3186" s="464"/>
      <c r="AZ3186" s="464"/>
      <c r="BA3186" s="464"/>
      <c r="BB3186" s="464"/>
      <c r="BC3186" s="464"/>
      <c r="BD3186" s="464"/>
      <c r="BE3186" s="464"/>
      <c r="BF3186" s="464"/>
      <c r="BG3186" s="464"/>
      <c r="BH3186" s="464"/>
      <c r="BI3186" s="464"/>
      <c r="BJ3186" s="464"/>
      <c r="BK3186" s="464"/>
      <c r="BL3186" s="464"/>
    </row>
    <row r="3187" spans="1:64" s="413" customFormat="1" ht="13">
      <c r="A3187" s="454"/>
      <c r="B3187" s="454"/>
      <c r="C3187" s="666" t="s">
        <v>1184</v>
      </c>
      <c r="D3187" s="409"/>
      <c r="E3187" s="426"/>
      <c r="F3187" s="409"/>
      <c r="G3187" s="410"/>
      <c r="H3187" s="426"/>
      <c r="I3187" s="414">
        <f>SUM(I3174:I3186)</f>
        <v>10644.091645999999</v>
      </c>
      <c r="J3187" s="411"/>
      <c r="K3187" s="412"/>
      <c r="L3187" s="412"/>
    </row>
    <row r="3188" spans="1:64" ht="13">
      <c r="A3188" s="454"/>
      <c r="B3188" s="454"/>
      <c r="C3188" s="427"/>
      <c r="D3188" s="408"/>
      <c r="E3188" s="416"/>
      <c r="F3188" s="416"/>
      <c r="G3188" s="416"/>
      <c r="H3188" s="416"/>
      <c r="I3188" s="414"/>
      <c r="J3188" s="400"/>
      <c r="K3188" s="401"/>
      <c r="L3188" s="401"/>
    </row>
    <row r="3189" spans="1:64" ht="13">
      <c r="A3189" s="454"/>
      <c r="B3189" s="454"/>
      <c r="C3189" s="427" t="s">
        <v>1176</v>
      </c>
      <c r="D3189" s="414" t="s">
        <v>959</v>
      </c>
      <c r="E3189" s="416" t="s">
        <v>943</v>
      </c>
      <c r="F3189" s="415" t="s">
        <v>944</v>
      </c>
      <c r="G3189" s="414" t="s">
        <v>1036</v>
      </c>
      <c r="H3189" s="414" t="s">
        <v>1037</v>
      </c>
      <c r="I3189" s="414" t="s">
        <v>1038</v>
      </c>
      <c r="J3189" s="657" t="s">
        <v>1118</v>
      </c>
      <c r="K3189" s="631" t="s">
        <v>1119</v>
      </c>
      <c r="L3189" s="631" t="s">
        <v>1120</v>
      </c>
    </row>
    <row r="3190" spans="1:64">
      <c r="A3190" s="454"/>
      <c r="B3190" s="454"/>
      <c r="C3190" s="417" t="s">
        <v>1064</v>
      </c>
      <c r="D3190" s="408">
        <f t="shared" ref="D3190:L3190" si="745">$I$3187</f>
        <v>10644.091645999999</v>
      </c>
      <c r="E3190" s="408">
        <f t="shared" si="745"/>
        <v>10644.091645999999</v>
      </c>
      <c r="F3190" s="408">
        <f t="shared" si="745"/>
        <v>10644.091645999999</v>
      </c>
      <c r="G3190" s="408">
        <f t="shared" si="745"/>
        <v>10644.091645999999</v>
      </c>
      <c r="H3190" s="408">
        <f t="shared" si="745"/>
        <v>10644.091645999999</v>
      </c>
      <c r="I3190" s="408">
        <f t="shared" si="745"/>
        <v>10644.091645999999</v>
      </c>
      <c r="J3190" s="575">
        <f t="shared" si="745"/>
        <v>10644.091645999999</v>
      </c>
      <c r="K3190" s="644">
        <f t="shared" si="745"/>
        <v>10644.091645999999</v>
      </c>
      <c r="L3190" s="644">
        <f t="shared" si="745"/>
        <v>10644.091645999999</v>
      </c>
    </row>
    <row r="3191" spans="1:64">
      <c r="A3191" s="454"/>
      <c r="B3191" s="454"/>
      <c r="C3191" s="417" t="s">
        <v>994</v>
      </c>
      <c r="D3191" s="408">
        <v>0</v>
      </c>
      <c r="E3191" s="408">
        <f>ROUND($F$3183*10%,2)</f>
        <v>285.02</v>
      </c>
      <c r="F3191" s="408">
        <f>ROUND($F$3183*20%,2)</f>
        <v>570.04</v>
      </c>
      <c r="G3191" s="408">
        <f>ROUND($F$3183*30%,2)</f>
        <v>855.06</v>
      </c>
      <c r="H3191" s="408">
        <f>ROUND($F$3183*40%,2)</f>
        <v>1140.08</v>
      </c>
      <c r="I3191" s="408">
        <f>ROUND($F$3183*50%,2)</f>
        <v>1425.1</v>
      </c>
      <c r="J3191" s="575">
        <f>ROUND($F$3183*60%,2)</f>
        <v>1710.12</v>
      </c>
      <c r="K3191" s="644">
        <f>ROUND($F$3183*70%,2)</f>
        <v>1995.14</v>
      </c>
      <c r="L3191" s="644">
        <f>ROUND($F$3183*80%,2)</f>
        <v>2280.16</v>
      </c>
    </row>
    <row r="3192" spans="1:64">
      <c r="A3192" s="454"/>
      <c r="B3192" s="454"/>
      <c r="C3192" s="417" t="str">
        <f>[161]Input!$C$47</f>
        <v>Add for MA @ 40%</v>
      </c>
      <c r="D3192" s="408">
        <f>D3191*[161]Input!$D$47</f>
        <v>0</v>
      </c>
      <c r="E3192" s="408">
        <f>E3191*[161]Input!$D$47</f>
        <v>114.008</v>
      </c>
      <c r="F3192" s="408">
        <f>F3191*[161]Input!$D$47</f>
        <v>228.01599999999999</v>
      </c>
      <c r="G3192" s="408">
        <f>G3191*[161]Input!$D$47</f>
        <v>342.024</v>
      </c>
      <c r="H3192" s="408">
        <f>H3191*[161]Input!$D$47</f>
        <v>456.03199999999998</v>
      </c>
      <c r="I3192" s="408">
        <f>I3191*[161]Input!$D$47</f>
        <v>570.04</v>
      </c>
      <c r="J3192" s="575">
        <f>J3191*[161]Input!$D$47</f>
        <v>684.048</v>
      </c>
      <c r="K3192" s="644">
        <f>K3191*[161]Input!$D$47</f>
        <v>798.05600000000004</v>
      </c>
      <c r="L3192" s="644">
        <f>L3191*[161]Input!$D$47</f>
        <v>912.06399999999996</v>
      </c>
    </row>
    <row r="3193" spans="1:64">
      <c r="A3193" s="454"/>
      <c r="B3193" s="454"/>
      <c r="C3193" s="469"/>
      <c r="D3193" s="408">
        <f t="shared" ref="D3193:L3193" si="746">SUM(D3190:D3192)</f>
        <v>10644.091645999999</v>
      </c>
      <c r="E3193" s="408">
        <f t="shared" si="746"/>
        <v>11043.119645999999</v>
      </c>
      <c r="F3193" s="408">
        <f t="shared" si="746"/>
        <v>11442.147645999998</v>
      </c>
      <c r="G3193" s="408">
        <f t="shared" si="746"/>
        <v>11841.175645999998</v>
      </c>
      <c r="H3193" s="408">
        <f t="shared" si="746"/>
        <v>12240.203645999998</v>
      </c>
      <c r="I3193" s="408">
        <f t="shared" si="746"/>
        <v>12639.231646</v>
      </c>
      <c r="J3193" s="575">
        <f t="shared" si="746"/>
        <v>13038.259646</v>
      </c>
      <c r="K3193" s="644">
        <f t="shared" si="746"/>
        <v>13437.287645999999</v>
      </c>
      <c r="L3193" s="644">
        <f t="shared" si="746"/>
        <v>13836.315645999999</v>
      </c>
    </row>
    <row r="3194" spans="1:64" ht="25">
      <c r="A3194" s="454"/>
      <c r="B3194" s="454"/>
      <c r="C3194" s="417" t="str">
        <f>[161]Input!$C$48</f>
        <v>Overheads &amp; Contractors Profit @ 13.615%</v>
      </c>
      <c r="D3194" s="408">
        <f>ROUND(D3193*[161]Input!$D$48,2)</f>
        <v>1449.19</v>
      </c>
      <c r="E3194" s="408">
        <f>ROUND(E3193*[161]Input!$D$48,2)</f>
        <v>1503.52</v>
      </c>
      <c r="F3194" s="408">
        <f>ROUND(F3193*[161]Input!$D$48,2)</f>
        <v>1557.85</v>
      </c>
      <c r="G3194" s="408">
        <f>ROUND(G3193*[161]Input!$D$48,2)</f>
        <v>1612.18</v>
      </c>
      <c r="H3194" s="408">
        <f>ROUND(H3193*[161]Input!$D$48,2)</f>
        <v>1666.5</v>
      </c>
      <c r="I3194" s="408">
        <f>ROUND(I3193*[161]Input!$D$48,2)</f>
        <v>1720.83</v>
      </c>
      <c r="J3194" s="575">
        <f>ROUND(J3193*[161]Input!$D$48,2)</f>
        <v>1775.16</v>
      </c>
      <c r="K3194" s="644">
        <f>ROUND(K3193*[161]Input!$D$48,2)</f>
        <v>1829.49</v>
      </c>
      <c r="L3194" s="644">
        <f>ROUND(L3193*[161]Input!$D$48,2)</f>
        <v>1883.81</v>
      </c>
    </row>
    <row r="3195" spans="1:64" ht="13">
      <c r="A3195" s="454"/>
      <c r="B3195" s="454"/>
      <c r="C3195" s="427" t="s">
        <v>1047</v>
      </c>
      <c r="D3195" s="408">
        <f t="shared" ref="D3195:L3195" si="747">SUM(D3193:D3194)</f>
        <v>12093.281645999999</v>
      </c>
      <c r="E3195" s="408">
        <f t="shared" si="747"/>
        <v>12546.639646</v>
      </c>
      <c r="F3195" s="408">
        <f t="shared" si="747"/>
        <v>12999.997645999998</v>
      </c>
      <c r="G3195" s="408">
        <f t="shared" si="747"/>
        <v>13453.355645999998</v>
      </c>
      <c r="H3195" s="408">
        <f t="shared" si="747"/>
        <v>13906.703645999998</v>
      </c>
      <c r="I3195" s="408">
        <f t="shared" si="747"/>
        <v>14360.061646</v>
      </c>
      <c r="J3195" s="575">
        <f t="shared" si="747"/>
        <v>14813.419646</v>
      </c>
      <c r="K3195" s="644">
        <f t="shared" si="747"/>
        <v>15266.777645999999</v>
      </c>
      <c r="L3195" s="644">
        <f t="shared" si="747"/>
        <v>15720.125645999999</v>
      </c>
    </row>
    <row r="3196" spans="1:64" s="554" customFormat="1" ht="13">
      <c r="A3196" s="454"/>
      <c r="B3196" s="454"/>
      <c r="C3196" s="481" t="s">
        <v>845</v>
      </c>
      <c r="D3196" s="414">
        <f t="shared" ref="D3196:L3196" si="748">D3195/10</f>
        <v>1209.3281646</v>
      </c>
      <c r="E3196" s="414">
        <f t="shared" si="748"/>
        <v>1254.6639645999999</v>
      </c>
      <c r="F3196" s="414">
        <f t="shared" si="748"/>
        <v>1299.9997645999997</v>
      </c>
      <c r="G3196" s="414">
        <f t="shared" si="748"/>
        <v>1345.3355645999998</v>
      </c>
      <c r="H3196" s="414">
        <f t="shared" si="748"/>
        <v>1390.6703645999999</v>
      </c>
      <c r="I3196" s="414">
        <f t="shared" si="748"/>
        <v>1436.0061645999999</v>
      </c>
      <c r="J3196" s="638">
        <f t="shared" si="748"/>
        <v>1481.3419646</v>
      </c>
      <c r="K3196" s="636">
        <f t="shared" si="748"/>
        <v>1526.6777645999998</v>
      </c>
      <c r="L3196" s="636">
        <f t="shared" si="748"/>
        <v>1572.0125645999999</v>
      </c>
    </row>
    <row r="3197" spans="1:64" s="554" customFormat="1" ht="13">
      <c r="A3197" s="454"/>
      <c r="B3197" s="454"/>
      <c r="C3197" s="522" t="s">
        <v>726</v>
      </c>
      <c r="D3197" s="416">
        <f t="shared" ref="D3197:L3197" si="749">ROUND(D3196,0)</f>
        <v>1209</v>
      </c>
      <c r="E3197" s="416">
        <f t="shared" si="749"/>
        <v>1255</v>
      </c>
      <c r="F3197" s="416">
        <f t="shared" si="749"/>
        <v>1300</v>
      </c>
      <c r="G3197" s="416">
        <f t="shared" si="749"/>
        <v>1345</v>
      </c>
      <c r="H3197" s="416">
        <f t="shared" si="749"/>
        <v>1391</v>
      </c>
      <c r="I3197" s="416">
        <f t="shared" si="749"/>
        <v>1436</v>
      </c>
      <c r="J3197" s="533">
        <f t="shared" si="749"/>
        <v>1481</v>
      </c>
      <c r="K3197" s="534">
        <f t="shared" si="749"/>
        <v>1527</v>
      </c>
      <c r="L3197" s="534">
        <f t="shared" si="749"/>
        <v>1572</v>
      </c>
    </row>
    <row r="3198" spans="1:64" ht="13">
      <c r="A3198" s="454"/>
      <c r="B3198" s="454"/>
      <c r="C3198" s="427"/>
      <c r="D3198" s="408"/>
      <c r="E3198" s="416"/>
      <c r="F3198" s="416"/>
      <c r="G3198" s="416"/>
      <c r="H3198" s="416"/>
      <c r="I3198" s="414"/>
      <c r="J3198" s="400"/>
      <c r="K3198" s="401"/>
      <c r="L3198" s="401"/>
    </row>
    <row r="3199" spans="1:64" s="404" customFormat="1" ht="13">
      <c r="A3199" s="454"/>
      <c r="B3199" s="415" t="s">
        <v>727</v>
      </c>
      <c r="C3199" s="427" t="s">
        <v>1257</v>
      </c>
      <c r="D3199" s="408"/>
      <c r="E3199" s="408"/>
      <c r="F3199" s="408"/>
      <c r="G3199" s="426"/>
      <c r="H3199" s="492"/>
      <c r="I3199" s="434"/>
      <c r="J3199" s="400"/>
      <c r="K3199" s="401"/>
      <c r="L3199" s="401"/>
    </row>
    <row r="3200" spans="1:64" s="404" customFormat="1" ht="13">
      <c r="A3200" s="454"/>
      <c r="B3200" s="454"/>
      <c r="C3200" s="455" t="s">
        <v>1258</v>
      </c>
      <c r="D3200" s="408"/>
      <c r="E3200" s="408"/>
      <c r="F3200" s="408"/>
      <c r="G3200" s="430"/>
      <c r="H3200" s="415"/>
      <c r="I3200" s="414"/>
      <c r="J3200" s="400"/>
      <c r="K3200" s="401"/>
      <c r="L3200" s="401"/>
    </row>
    <row r="3201" spans="1:12" s="404" customFormat="1" ht="13">
      <c r="A3201" s="454"/>
      <c r="B3201" s="454"/>
      <c r="C3201" s="427" t="s">
        <v>1259</v>
      </c>
      <c r="D3201" s="408"/>
      <c r="E3201" s="408"/>
      <c r="F3201" s="408"/>
      <c r="G3201" s="430"/>
      <c r="H3201" s="415"/>
      <c r="I3201" s="414"/>
      <c r="J3201" s="400"/>
      <c r="K3201" s="401"/>
      <c r="L3201" s="401"/>
    </row>
    <row r="3202" spans="1:12" s="404" customFormat="1" ht="13">
      <c r="A3202" s="454"/>
      <c r="B3202" s="454"/>
      <c r="C3202" s="427" t="s">
        <v>873</v>
      </c>
      <c r="D3202" s="408"/>
      <c r="E3202" s="408"/>
      <c r="F3202" s="408"/>
      <c r="G3202" s="430"/>
      <c r="H3202" s="415"/>
      <c r="I3202" s="414"/>
      <c r="J3202" s="400"/>
      <c r="K3202" s="401"/>
      <c r="L3202" s="401"/>
    </row>
    <row r="3203" spans="1:12" s="404" customFormat="1">
      <c r="A3203" s="454"/>
      <c r="B3203" s="454"/>
      <c r="C3203" s="417" t="s">
        <v>1260</v>
      </c>
      <c r="D3203" s="408">
        <v>11</v>
      </c>
      <c r="E3203" s="408" t="s">
        <v>17</v>
      </c>
      <c r="F3203" s="408">
        <f>[161]LEAD!$N$26</f>
        <v>2705.69</v>
      </c>
      <c r="G3203" s="430">
        <v>10</v>
      </c>
      <c r="H3203" s="454" t="s">
        <v>17</v>
      </c>
      <c r="I3203" s="408">
        <f t="shared" ref="I3203:I3206" si="750">IF(G3203="",D3203*F3203,(D3203*F3203/G3203))</f>
        <v>2976.259</v>
      </c>
      <c r="J3203" s="400"/>
      <c r="K3203" s="401"/>
      <c r="L3203" s="401"/>
    </row>
    <row r="3204" spans="1:12" s="404" customFormat="1">
      <c r="A3204" s="454"/>
      <c r="B3204" s="454"/>
      <c r="C3204" s="417" t="s">
        <v>1261</v>
      </c>
      <c r="D3204" s="408">
        <v>0.12</v>
      </c>
      <c r="E3204" s="408" t="s">
        <v>666</v>
      </c>
      <c r="F3204" s="408">
        <f>[161]LEAD!$N$13</f>
        <v>2453.91</v>
      </c>
      <c r="G3204" s="430">
        <v>1</v>
      </c>
      <c r="H3204" s="454" t="s">
        <v>666</v>
      </c>
      <c r="I3204" s="408">
        <f t="shared" si="750"/>
        <v>294.46919999999994</v>
      </c>
      <c r="J3204" s="400"/>
      <c r="K3204" s="401"/>
      <c r="L3204" s="401"/>
    </row>
    <row r="3205" spans="1:12" s="404" customFormat="1">
      <c r="A3205" s="454"/>
      <c r="B3205" s="454"/>
      <c r="C3205" s="417" t="s">
        <v>1262</v>
      </c>
      <c r="D3205" s="408">
        <v>34.56</v>
      </c>
      <c r="E3205" s="408" t="s">
        <v>833</v>
      </c>
      <c r="F3205" s="408">
        <f>[161]LEAD!$N$6</f>
        <v>5200</v>
      </c>
      <c r="G3205" s="430">
        <v>1000</v>
      </c>
      <c r="H3205" s="454" t="s">
        <v>833</v>
      </c>
      <c r="I3205" s="408">
        <f t="shared" si="750"/>
        <v>179.71199999999999</v>
      </c>
      <c r="J3205" s="400"/>
      <c r="K3205" s="401"/>
      <c r="L3205" s="401"/>
    </row>
    <row r="3206" spans="1:12" s="404" customFormat="1">
      <c r="A3206" s="454"/>
      <c r="B3206" s="454"/>
      <c r="C3206" s="417" t="s">
        <v>1171</v>
      </c>
      <c r="D3206" s="408">
        <v>33</v>
      </c>
      <c r="E3206" s="408" t="s">
        <v>833</v>
      </c>
      <c r="F3206" s="408">
        <f>[161]LEAD!$N$6</f>
        <v>5200</v>
      </c>
      <c r="G3206" s="430">
        <v>1000</v>
      </c>
      <c r="H3206" s="454" t="s">
        <v>833</v>
      </c>
      <c r="I3206" s="408">
        <f t="shared" si="750"/>
        <v>171.6</v>
      </c>
      <c r="J3206" s="400"/>
      <c r="K3206" s="401"/>
      <c r="L3206" s="401"/>
    </row>
    <row r="3207" spans="1:12" s="404" customFormat="1" ht="13">
      <c r="A3207" s="454"/>
      <c r="B3207" s="454"/>
      <c r="C3207" s="427" t="s">
        <v>1263</v>
      </c>
      <c r="D3207" s="408"/>
      <c r="E3207" s="408"/>
      <c r="F3207" s="408"/>
      <c r="G3207" s="430"/>
      <c r="H3207" s="415"/>
      <c r="I3207" s="414"/>
      <c r="J3207" s="400"/>
      <c r="K3207" s="401"/>
      <c r="L3207" s="401"/>
    </row>
    <row r="3208" spans="1:12" s="404" customFormat="1">
      <c r="A3208" s="454"/>
      <c r="B3208" s="454"/>
      <c r="C3208" s="417" t="s">
        <v>1044</v>
      </c>
      <c r="D3208" s="408">
        <v>0.96</v>
      </c>
      <c r="E3208" s="408" t="s">
        <v>375</v>
      </c>
      <c r="F3208" s="408">
        <f>'[161]Civil-SOR'!$G$293</f>
        <v>580</v>
      </c>
      <c r="G3208" s="430">
        <v>1</v>
      </c>
      <c r="H3208" s="454" t="s">
        <v>572</v>
      </c>
      <c r="I3208" s="408">
        <f t="shared" ref="I3208:I3212" si="751">IF(G3208="",D3208*F3208,(D3208*F3208/G3208))</f>
        <v>556.79999999999995</v>
      </c>
      <c r="J3208" s="400"/>
      <c r="K3208" s="401"/>
      <c r="L3208" s="401"/>
    </row>
    <row r="3209" spans="1:12" s="404" customFormat="1">
      <c r="A3209" s="454"/>
      <c r="B3209" s="454"/>
      <c r="C3209" s="417" t="s">
        <v>1074</v>
      </c>
      <c r="D3209" s="408">
        <v>2.2400000000000002</v>
      </c>
      <c r="E3209" s="408" t="s">
        <v>375</v>
      </c>
      <c r="F3209" s="408">
        <f>'[161]Civil-SOR'!$G$302</f>
        <v>550</v>
      </c>
      <c r="G3209" s="430">
        <v>1</v>
      </c>
      <c r="H3209" s="454" t="s">
        <v>572</v>
      </c>
      <c r="I3209" s="408">
        <f t="shared" si="751"/>
        <v>1232.0000000000002</v>
      </c>
      <c r="J3209" s="400"/>
      <c r="K3209" s="401"/>
      <c r="L3209" s="401"/>
    </row>
    <row r="3210" spans="1:12" s="404" customFormat="1">
      <c r="A3210" s="454"/>
      <c r="B3210" s="454"/>
      <c r="C3210" s="417" t="s">
        <v>723</v>
      </c>
      <c r="D3210" s="408">
        <v>3.1</v>
      </c>
      <c r="E3210" s="408" t="s">
        <v>375</v>
      </c>
      <c r="F3210" s="408">
        <f>'[161]Civil-SOR'!$G$307</f>
        <v>520</v>
      </c>
      <c r="G3210" s="430">
        <v>1</v>
      </c>
      <c r="H3210" s="454" t="s">
        <v>572</v>
      </c>
      <c r="I3210" s="408">
        <f t="shared" si="751"/>
        <v>1612</v>
      </c>
      <c r="J3210" s="400"/>
      <c r="K3210" s="401"/>
      <c r="L3210" s="401"/>
    </row>
    <row r="3211" spans="1:12" s="404" customFormat="1">
      <c r="A3211" s="454"/>
      <c r="B3211" s="454"/>
      <c r="C3211" s="469" t="str">
        <f>[161]Input!$C$47</f>
        <v>Add for MA @ 40%</v>
      </c>
      <c r="D3211" s="621">
        <f>[161]Input!$D$47</f>
        <v>0.4</v>
      </c>
      <c r="E3211" s="454"/>
      <c r="F3211" s="408">
        <f>SUM(I3208:I3210)</f>
        <v>3400.8</v>
      </c>
      <c r="G3211" s="410"/>
      <c r="H3211" s="426"/>
      <c r="I3211" s="408">
        <f t="shared" si="751"/>
        <v>1360.3200000000002</v>
      </c>
      <c r="J3211" s="400"/>
      <c r="K3211" s="401"/>
      <c r="L3211" s="401"/>
    </row>
    <row r="3212" spans="1:12" s="404" customFormat="1">
      <c r="A3212" s="454"/>
      <c r="B3212" s="454"/>
      <c r="C3212" s="483" t="s">
        <v>1046</v>
      </c>
      <c r="D3212" s="408">
        <v>0.01</v>
      </c>
      <c r="E3212" s="408"/>
      <c r="F3212" s="408">
        <f>SUM(I3203:I3211)</f>
        <v>8383.1602000000003</v>
      </c>
      <c r="G3212" s="430"/>
      <c r="H3212" s="454"/>
      <c r="I3212" s="408">
        <f t="shared" si="751"/>
        <v>83.831602000000004</v>
      </c>
      <c r="J3212" s="400"/>
      <c r="K3212" s="401"/>
      <c r="L3212" s="401"/>
    </row>
    <row r="3213" spans="1:12" s="404" customFormat="1" ht="13">
      <c r="A3213" s="454"/>
      <c r="B3213" s="454"/>
      <c r="C3213" s="433" t="s">
        <v>1175</v>
      </c>
      <c r="D3213" s="408"/>
      <c r="E3213" s="454"/>
      <c r="F3213" s="408"/>
      <c r="G3213" s="430"/>
      <c r="H3213" s="454"/>
      <c r="I3213" s="434">
        <f>SUM(I3203:I3212)</f>
        <v>8466.9918020000005</v>
      </c>
      <c r="J3213" s="400"/>
      <c r="K3213" s="401"/>
      <c r="L3213" s="401"/>
    </row>
    <row r="3214" spans="1:12" ht="13">
      <c r="A3214" s="454"/>
      <c r="B3214" s="454"/>
      <c r="C3214" s="427"/>
      <c r="D3214" s="408"/>
      <c r="E3214" s="408"/>
      <c r="F3214" s="408"/>
      <c r="G3214" s="426"/>
      <c r="H3214" s="492"/>
      <c r="I3214" s="434"/>
      <c r="J3214" s="400"/>
      <c r="K3214" s="401"/>
      <c r="L3214" s="401"/>
    </row>
    <row r="3215" spans="1:12" s="554" customFormat="1" ht="13">
      <c r="A3215" s="454"/>
      <c r="B3215" s="454"/>
      <c r="C3215" s="481" t="s">
        <v>953</v>
      </c>
      <c r="D3215" s="414" t="s">
        <v>959</v>
      </c>
      <c r="E3215" s="416" t="s">
        <v>943</v>
      </c>
      <c r="F3215" s="415" t="s">
        <v>944</v>
      </c>
      <c r="G3215" s="414" t="s">
        <v>1036</v>
      </c>
      <c r="H3215" s="414" t="s">
        <v>1037</v>
      </c>
      <c r="I3215" s="414" t="s">
        <v>1038</v>
      </c>
      <c r="J3215" s="638" t="s">
        <v>1118</v>
      </c>
      <c r="K3215" s="636" t="s">
        <v>1119</v>
      </c>
      <c r="L3215" s="636" t="s">
        <v>1120</v>
      </c>
    </row>
    <row r="3216" spans="1:12">
      <c r="A3216" s="454"/>
      <c r="B3216" s="454"/>
      <c r="C3216" s="417" t="s">
        <v>1064</v>
      </c>
      <c r="D3216" s="408">
        <f t="shared" ref="D3216:L3216" si="752">$I$3213</f>
        <v>8466.9918020000005</v>
      </c>
      <c r="E3216" s="408">
        <f t="shared" si="752"/>
        <v>8466.9918020000005</v>
      </c>
      <c r="F3216" s="408">
        <f t="shared" si="752"/>
        <v>8466.9918020000005</v>
      </c>
      <c r="G3216" s="408">
        <f t="shared" si="752"/>
        <v>8466.9918020000005</v>
      </c>
      <c r="H3216" s="408">
        <f t="shared" si="752"/>
        <v>8466.9918020000005</v>
      </c>
      <c r="I3216" s="408">
        <f t="shared" si="752"/>
        <v>8466.9918020000005</v>
      </c>
      <c r="J3216" s="575">
        <f t="shared" si="752"/>
        <v>8466.9918020000005</v>
      </c>
      <c r="K3216" s="644">
        <f t="shared" si="752"/>
        <v>8466.9918020000005</v>
      </c>
      <c r="L3216" s="644">
        <f t="shared" si="752"/>
        <v>8466.9918020000005</v>
      </c>
    </row>
    <row r="3217" spans="1:64">
      <c r="A3217" s="454"/>
      <c r="B3217" s="454"/>
      <c r="C3217" s="417" t="s">
        <v>994</v>
      </c>
      <c r="D3217" s="408">
        <v>0</v>
      </c>
      <c r="E3217" s="408">
        <f>ROUND($F$3211*10%,2)</f>
        <v>340.08</v>
      </c>
      <c r="F3217" s="408">
        <f>ROUND($F$3211*20%,2)</f>
        <v>680.16</v>
      </c>
      <c r="G3217" s="408">
        <f>ROUND($F$3211*30%,2)</f>
        <v>1020.24</v>
      </c>
      <c r="H3217" s="408">
        <f>ROUND($F$3211*40%,2)</f>
        <v>1360.32</v>
      </c>
      <c r="I3217" s="408">
        <f>ROUND($F$3211*50%,2)</f>
        <v>1700.4</v>
      </c>
      <c r="J3217" s="575">
        <f>ROUND($F$3211*60%,2)</f>
        <v>2040.48</v>
      </c>
      <c r="K3217" s="644">
        <f>ROUND($F$3211*70%,2)</f>
        <v>2380.56</v>
      </c>
      <c r="L3217" s="644">
        <f>ROUND($F$3211*80%,2)</f>
        <v>2720.64</v>
      </c>
    </row>
    <row r="3218" spans="1:64">
      <c r="A3218" s="454"/>
      <c r="B3218" s="454"/>
      <c r="C3218" s="417" t="str">
        <f>[161]Input!$C$47</f>
        <v>Add for MA @ 40%</v>
      </c>
      <c r="D3218" s="408">
        <f>D3217*[161]Input!$D$47</f>
        <v>0</v>
      </c>
      <c r="E3218" s="408">
        <f>E3217*[161]Input!$D$47</f>
        <v>136.03200000000001</v>
      </c>
      <c r="F3218" s="408">
        <f>F3217*[161]Input!$D$47</f>
        <v>272.06400000000002</v>
      </c>
      <c r="G3218" s="408">
        <f>G3217*[161]Input!$D$47</f>
        <v>408.096</v>
      </c>
      <c r="H3218" s="408">
        <f>H3217*[161]Input!$D$47</f>
        <v>544.12800000000004</v>
      </c>
      <c r="I3218" s="408">
        <f>I3217*[161]Input!$D$47</f>
        <v>680.16000000000008</v>
      </c>
      <c r="J3218" s="575">
        <f>J3217*[161]Input!$D$47</f>
        <v>816.19200000000001</v>
      </c>
      <c r="K3218" s="644">
        <f>K3217*[161]Input!$D$47</f>
        <v>952.22400000000005</v>
      </c>
      <c r="L3218" s="644">
        <f>L3217*[161]Input!$D$47</f>
        <v>1088.2560000000001</v>
      </c>
    </row>
    <row r="3219" spans="1:64">
      <c r="A3219" s="454"/>
      <c r="B3219" s="454"/>
      <c r="C3219" s="469"/>
      <c r="D3219" s="408">
        <f t="shared" ref="D3219:L3219" si="753">SUM(D3216:D3218)</f>
        <v>8466.9918020000005</v>
      </c>
      <c r="E3219" s="408">
        <f t="shared" si="753"/>
        <v>8943.1038019999996</v>
      </c>
      <c r="F3219" s="408">
        <f t="shared" si="753"/>
        <v>9419.2158020000006</v>
      </c>
      <c r="G3219" s="408">
        <f t="shared" si="753"/>
        <v>9895.3278019999998</v>
      </c>
      <c r="H3219" s="408">
        <f t="shared" si="753"/>
        <v>10371.439802000001</v>
      </c>
      <c r="I3219" s="408">
        <f t="shared" si="753"/>
        <v>10847.551802</v>
      </c>
      <c r="J3219" s="575">
        <f t="shared" si="753"/>
        <v>11323.663801999999</v>
      </c>
      <c r="K3219" s="644">
        <f t="shared" si="753"/>
        <v>11799.775802</v>
      </c>
      <c r="L3219" s="644">
        <f t="shared" si="753"/>
        <v>12275.887801999999</v>
      </c>
    </row>
    <row r="3220" spans="1:64" ht="25">
      <c r="A3220" s="454"/>
      <c r="B3220" s="454"/>
      <c r="C3220" s="417" t="str">
        <f>[161]Input!$C$48</f>
        <v>Overheads &amp; Contractors Profit @ 13.615%</v>
      </c>
      <c r="D3220" s="408">
        <f>ROUND(D3219*[161]Input!$D$48,2)</f>
        <v>1152.78</v>
      </c>
      <c r="E3220" s="408">
        <f>ROUND(E3219*[161]Input!$D$48,2)</f>
        <v>1217.5999999999999</v>
      </c>
      <c r="F3220" s="408">
        <f>ROUND(F3219*[161]Input!$D$48,2)</f>
        <v>1282.43</v>
      </c>
      <c r="G3220" s="408">
        <f>ROUND(G3219*[161]Input!$D$48,2)</f>
        <v>1347.25</v>
      </c>
      <c r="H3220" s="408">
        <f>ROUND(H3219*[161]Input!$D$48,2)</f>
        <v>1412.07</v>
      </c>
      <c r="I3220" s="408">
        <f>ROUND(I3219*[161]Input!$D$48,2)</f>
        <v>1476.89</v>
      </c>
      <c r="J3220" s="575">
        <f>ROUND(J3219*[161]Input!$D$48,2)</f>
        <v>1541.72</v>
      </c>
      <c r="K3220" s="644">
        <f>ROUND(K3219*[161]Input!$D$48,2)</f>
        <v>1606.54</v>
      </c>
      <c r="L3220" s="644">
        <f>ROUND(L3219*[161]Input!$D$48,2)</f>
        <v>1671.36</v>
      </c>
    </row>
    <row r="3221" spans="1:64" ht="13">
      <c r="A3221" s="454"/>
      <c r="B3221" s="454"/>
      <c r="C3221" s="427" t="s">
        <v>1047</v>
      </c>
      <c r="D3221" s="414">
        <f t="shared" ref="D3221:L3221" si="754">SUM(D3219:D3220)</f>
        <v>9619.7718020000011</v>
      </c>
      <c r="E3221" s="414">
        <f t="shared" si="754"/>
        <v>10160.703802</v>
      </c>
      <c r="F3221" s="414">
        <f t="shared" si="754"/>
        <v>10701.645802000001</v>
      </c>
      <c r="G3221" s="414">
        <f t="shared" si="754"/>
        <v>11242.577802</v>
      </c>
      <c r="H3221" s="414">
        <f t="shared" si="754"/>
        <v>11783.509802</v>
      </c>
      <c r="I3221" s="414">
        <f t="shared" si="754"/>
        <v>12324.441801999999</v>
      </c>
      <c r="J3221" s="657">
        <f t="shared" si="754"/>
        <v>12865.383801999998</v>
      </c>
      <c r="K3221" s="631">
        <f t="shared" si="754"/>
        <v>13406.315802000001</v>
      </c>
      <c r="L3221" s="631">
        <f t="shared" si="754"/>
        <v>13947.247802</v>
      </c>
    </row>
    <row r="3222" spans="1:64" ht="13">
      <c r="A3222" s="454"/>
      <c r="B3222" s="454"/>
      <c r="C3222" s="427" t="s">
        <v>845</v>
      </c>
      <c r="D3222" s="414">
        <f t="shared" ref="D3222:L3222" si="755">D3221/10</f>
        <v>961.97718020000013</v>
      </c>
      <c r="E3222" s="414">
        <f t="shared" si="755"/>
        <v>1016.0703802</v>
      </c>
      <c r="F3222" s="414">
        <f t="shared" si="755"/>
        <v>1070.1645802</v>
      </c>
      <c r="G3222" s="414">
        <f t="shared" si="755"/>
        <v>1124.2577802000001</v>
      </c>
      <c r="H3222" s="414">
        <f t="shared" si="755"/>
        <v>1178.3509802000001</v>
      </c>
      <c r="I3222" s="414">
        <f t="shared" si="755"/>
        <v>1232.4441801999999</v>
      </c>
      <c r="J3222" s="657">
        <f t="shared" si="755"/>
        <v>1286.5383801999999</v>
      </c>
      <c r="K3222" s="631">
        <f t="shared" si="755"/>
        <v>1340.6315802000001</v>
      </c>
      <c r="L3222" s="631">
        <f t="shared" si="755"/>
        <v>1394.7247801999999</v>
      </c>
    </row>
    <row r="3223" spans="1:64" s="554" customFormat="1" ht="13">
      <c r="A3223" s="454"/>
      <c r="B3223" s="454"/>
      <c r="C3223" s="522" t="s">
        <v>726</v>
      </c>
      <c r="D3223" s="416">
        <f t="shared" ref="D3223:L3223" si="756">ROUND(D3222,0)</f>
        <v>962</v>
      </c>
      <c r="E3223" s="416">
        <f t="shared" si="756"/>
        <v>1016</v>
      </c>
      <c r="F3223" s="416">
        <f t="shared" si="756"/>
        <v>1070</v>
      </c>
      <c r="G3223" s="416">
        <f t="shared" si="756"/>
        <v>1124</v>
      </c>
      <c r="H3223" s="416">
        <f t="shared" si="756"/>
        <v>1178</v>
      </c>
      <c r="I3223" s="416">
        <f t="shared" si="756"/>
        <v>1232</v>
      </c>
      <c r="J3223" s="533">
        <f t="shared" si="756"/>
        <v>1287</v>
      </c>
      <c r="K3223" s="534">
        <f t="shared" si="756"/>
        <v>1341</v>
      </c>
      <c r="L3223" s="534">
        <f t="shared" si="756"/>
        <v>1395</v>
      </c>
    </row>
    <row r="3224" spans="1:64" ht="13">
      <c r="A3224" s="454"/>
      <c r="B3224" s="454"/>
      <c r="C3224" s="427"/>
      <c r="D3224" s="416"/>
      <c r="E3224" s="416"/>
      <c r="F3224" s="416"/>
      <c r="G3224" s="416"/>
      <c r="H3224" s="492"/>
      <c r="I3224" s="434"/>
      <c r="J3224" s="400"/>
      <c r="K3224" s="401"/>
      <c r="L3224" s="401"/>
    </row>
    <row r="3225" spans="1:64" ht="13">
      <c r="A3225" s="454"/>
      <c r="B3225" s="454"/>
      <c r="C3225" s="427"/>
      <c r="D3225" s="416"/>
      <c r="E3225" s="416"/>
      <c r="F3225" s="416"/>
      <c r="G3225" s="416"/>
      <c r="H3225" s="492"/>
      <c r="I3225" s="434"/>
      <c r="J3225" s="400"/>
      <c r="K3225" s="401"/>
      <c r="L3225" s="401"/>
    </row>
    <row r="3226" spans="1:64" s="404" customFormat="1" ht="111.25" customHeight="1">
      <c r="A3226" s="454">
        <f>A3169+1</f>
        <v>11</v>
      </c>
      <c r="B3226" s="454"/>
      <c r="C3226" s="1276" t="s">
        <v>1264</v>
      </c>
      <c r="D3226" s="1276"/>
      <c r="E3226" s="1276"/>
      <c r="F3226" s="1276"/>
      <c r="G3226" s="1276"/>
      <c r="H3226" s="1276"/>
      <c r="I3226" s="407"/>
      <c r="J3226" s="400"/>
      <c r="K3226" s="401"/>
      <c r="L3226" s="401"/>
    </row>
    <row r="3227" spans="1:64" s="404" customFormat="1" ht="13">
      <c r="A3227" s="454"/>
      <c r="B3227" s="454" t="s">
        <v>720</v>
      </c>
      <c r="C3227" s="427" t="s">
        <v>1252</v>
      </c>
      <c r="D3227" s="406"/>
      <c r="E3227" s="406"/>
      <c r="F3227" s="406"/>
      <c r="G3227" s="406"/>
      <c r="H3227" s="406"/>
      <c r="I3227" s="432"/>
      <c r="J3227" s="400"/>
      <c r="K3227" s="401"/>
      <c r="L3227" s="401"/>
    </row>
    <row r="3228" spans="1:64" s="404" customFormat="1" ht="13">
      <c r="A3228" s="454"/>
      <c r="B3228" s="454"/>
      <c r="C3228" s="455" t="s">
        <v>1166</v>
      </c>
      <c r="D3228" s="426"/>
      <c r="E3228" s="426"/>
      <c r="F3228" s="426"/>
      <c r="G3228" s="426"/>
      <c r="H3228" s="426"/>
      <c r="I3228" s="409"/>
      <c r="J3228" s="400"/>
      <c r="K3228" s="401"/>
      <c r="L3228" s="401"/>
    </row>
    <row r="3229" spans="1:64" s="404" customFormat="1">
      <c r="A3229" s="454"/>
      <c r="B3229" s="454"/>
      <c r="C3229" s="483" t="s">
        <v>1167</v>
      </c>
      <c r="D3229" s="426"/>
      <c r="E3229" s="426"/>
      <c r="F3229" s="426"/>
      <c r="G3229" s="426"/>
      <c r="H3229" s="426"/>
      <c r="I3229" s="409"/>
      <c r="J3229" s="400"/>
      <c r="K3229" s="401"/>
      <c r="L3229" s="401"/>
    </row>
    <row r="3230" spans="1:64" s="404" customFormat="1" ht="13">
      <c r="A3230" s="454"/>
      <c r="B3230" s="454"/>
      <c r="C3230" s="433" t="s">
        <v>1168</v>
      </c>
      <c r="D3230" s="409"/>
      <c r="E3230" s="426"/>
      <c r="F3230" s="409"/>
      <c r="G3230" s="410"/>
      <c r="H3230" s="426"/>
      <c r="I3230" s="408"/>
      <c r="J3230" s="400"/>
      <c r="K3230" s="401"/>
      <c r="L3230" s="401"/>
    </row>
    <row r="3231" spans="1:64" ht="25">
      <c r="A3231" s="458"/>
      <c r="B3231" s="458"/>
      <c r="C3231" s="435" t="s">
        <v>1265</v>
      </c>
      <c r="D3231" s="432">
        <v>11</v>
      </c>
      <c r="E3231" s="406" t="s">
        <v>62</v>
      </c>
      <c r="F3231" s="706">
        <f>[161]LEAD!$N$27</f>
        <v>1545.69</v>
      </c>
      <c r="G3231" s="431">
        <v>10</v>
      </c>
      <c r="H3231" s="406" t="s">
        <v>62</v>
      </c>
      <c r="I3231" s="459">
        <f t="shared" ref="I3231:I3235" si="757">IF(G3231="",D3231*F3231,(D3231*F3231/G3231))</f>
        <v>1700.259</v>
      </c>
      <c r="J3231" s="707"/>
      <c r="K3231" s="463"/>
      <c r="L3231" s="463"/>
      <c r="M3231" s="464"/>
      <c r="N3231" s="464"/>
      <c r="O3231" s="464"/>
      <c r="P3231" s="464"/>
      <c r="Q3231" s="464"/>
      <c r="R3231" s="464"/>
      <c r="S3231" s="464"/>
      <c r="T3231" s="464"/>
      <c r="U3231" s="464"/>
      <c r="V3231" s="464"/>
      <c r="W3231" s="464"/>
      <c r="X3231" s="464"/>
      <c r="Y3231" s="464"/>
      <c r="Z3231" s="464"/>
      <c r="AA3231" s="464"/>
      <c r="AB3231" s="464"/>
      <c r="AC3231" s="464"/>
      <c r="AD3231" s="464"/>
      <c r="AE3231" s="464"/>
      <c r="AF3231" s="464"/>
      <c r="AG3231" s="464"/>
      <c r="AH3231" s="464"/>
      <c r="AI3231" s="464"/>
      <c r="AJ3231" s="464"/>
      <c r="AK3231" s="464"/>
      <c r="AL3231" s="464"/>
      <c r="AM3231" s="464"/>
      <c r="AN3231" s="464"/>
      <c r="AO3231" s="464"/>
      <c r="AP3231" s="464"/>
      <c r="AQ3231" s="464"/>
      <c r="AR3231" s="464"/>
      <c r="AS3231" s="464"/>
      <c r="AT3231" s="464"/>
      <c r="AU3231" s="464"/>
      <c r="AV3231" s="464"/>
      <c r="AW3231" s="464"/>
      <c r="AX3231" s="464"/>
      <c r="AY3231" s="464"/>
      <c r="AZ3231" s="464"/>
      <c r="BA3231" s="464"/>
      <c r="BB3231" s="464"/>
      <c r="BC3231" s="464"/>
      <c r="BD3231" s="464"/>
      <c r="BE3231" s="464"/>
      <c r="BF3231" s="464"/>
      <c r="BG3231" s="464"/>
      <c r="BH3231" s="464"/>
      <c r="BI3231" s="464"/>
      <c r="BJ3231" s="464"/>
      <c r="BK3231" s="464"/>
      <c r="BL3231" s="464"/>
    </row>
    <row r="3232" spans="1:64" ht="25">
      <c r="A3232" s="458"/>
      <c r="B3232" s="458"/>
      <c r="C3232" s="417" t="s">
        <v>1253</v>
      </c>
      <c r="D3232" s="432">
        <v>34.56</v>
      </c>
      <c r="E3232" s="406" t="s">
        <v>833</v>
      </c>
      <c r="F3232" s="432">
        <f>[161]LEAD!$N$6</f>
        <v>5200</v>
      </c>
      <c r="G3232" s="431">
        <v>1000</v>
      </c>
      <c r="H3232" s="406" t="s">
        <v>833</v>
      </c>
      <c r="I3232" s="459">
        <f t="shared" si="757"/>
        <v>179.71199999999999</v>
      </c>
      <c r="J3232" s="462"/>
      <c r="K3232" s="463"/>
      <c r="L3232" s="463"/>
      <c r="M3232" s="464"/>
      <c r="N3232" s="464"/>
      <c r="O3232" s="464"/>
      <c r="P3232" s="464"/>
      <c r="Q3232" s="464"/>
      <c r="R3232" s="464"/>
      <c r="S3232" s="464"/>
      <c r="T3232" s="464"/>
      <c r="U3232" s="464"/>
      <c r="V3232" s="464"/>
      <c r="W3232" s="464"/>
      <c r="X3232" s="464"/>
      <c r="Y3232" s="464"/>
      <c r="Z3232" s="464"/>
      <c r="AA3232" s="464"/>
      <c r="AB3232" s="464"/>
      <c r="AC3232" s="464"/>
      <c r="AD3232" s="464"/>
      <c r="AE3232" s="464"/>
      <c r="AF3232" s="464"/>
      <c r="AG3232" s="464"/>
      <c r="AH3232" s="464"/>
      <c r="AI3232" s="464"/>
      <c r="AJ3232" s="464"/>
      <c r="AK3232" s="464"/>
      <c r="AL3232" s="464"/>
      <c r="AM3232" s="464"/>
      <c r="AN3232" s="464"/>
      <c r="AO3232" s="464"/>
      <c r="AP3232" s="464"/>
      <c r="AQ3232" s="464"/>
      <c r="AR3232" s="464"/>
      <c r="AS3232" s="464"/>
      <c r="AT3232" s="464"/>
      <c r="AU3232" s="464"/>
      <c r="AV3232" s="464"/>
      <c r="AW3232" s="464"/>
      <c r="AX3232" s="464"/>
      <c r="AY3232" s="464"/>
      <c r="AZ3232" s="464"/>
      <c r="BA3232" s="464"/>
      <c r="BB3232" s="464"/>
      <c r="BC3232" s="464"/>
      <c r="BD3232" s="464"/>
      <c r="BE3232" s="464"/>
      <c r="BF3232" s="464"/>
      <c r="BG3232" s="464"/>
      <c r="BH3232" s="464"/>
      <c r="BI3232" s="464"/>
      <c r="BJ3232" s="464"/>
      <c r="BK3232" s="464"/>
      <c r="BL3232" s="464"/>
    </row>
    <row r="3233" spans="1:64">
      <c r="A3233" s="458"/>
      <c r="B3233" s="458"/>
      <c r="C3233" s="417" t="s">
        <v>1171</v>
      </c>
      <c r="D3233" s="432">
        <v>33</v>
      </c>
      <c r="E3233" s="406" t="s">
        <v>833</v>
      </c>
      <c r="F3233" s="432">
        <f>[161]LEAD!$N$6</f>
        <v>5200</v>
      </c>
      <c r="G3233" s="431">
        <v>1000</v>
      </c>
      <c r="H3233" s="406" t="s">
        <v>833</v>
      </c>
      <c r="I3233" s="459">
        <f t="shared" si="757"/>
        <v>171.6</v>
      </c>
      <c r="J3233" s="462"/>
      <c r="K3233" s="463"/>
      <c r="L3233" s="463"/>
      <c r="M3233" s="464"/>
      <c r="N3233" s="464"/>
      <c r="O3233" s="464"/>
      <c r="P3233" s="464"/>
      <c r="Q3233" s="464"/>
      <c r="R3233" s="464"/>
      <c r="S3233" s="464"/>
      <c r="T3233" s="464"/>
      <c r="U3233" s="464"/>
      <c r="V3233" s="464"/>
      <c r="W3233" s="464"/>
      <c r="X3233" s="464"/>
      <c r="Y3233" s="464"/>
      <c r="Z3233" s="464"/>
      <c r="AA3233" s="464"/>
      <c r="AB3233" s="464"/>
      <c r="AC3233" s="464"/>
      <c r="AD3233" s="464"/>
      <c r="AE3233" s="464"/>
      <c r="AF3233" s="464"/>
      <c r="AG3233" s="464"/>
      <c r="AH3233" s="464"/>
      <c r="AI3233" s="464"/>
      <c r="AJ3233" s="464"/>
      <c r="AK3233" s="464"/>
      <c r="AL3233" s="464"/>
      <c r="AM3233" s="464"/>
      <c r="AN3233" s="464"/>
      <c r="AO3233" s="464"/>
      <c r="AP3233" s="464"/>
      <c r="AQ3233" s="464"/>
      <c r="AR3233" s="464"/>
      <c r="AS3233" s="464"/>
      <c r="AT3233" s="464"/>
      <c r="AU3233" s="464"/>
      <c r="AV3233" s="464"/>
      <c r="AW3233" s="464"/>
      <c r="AX3233" s="464"/>
      <c r="AY3233" s="464"/>
      <c r="AZ3233" s="464"/>
      <c r="BA3233" s="464"/>
      <c r="BB3233" s="464"/>
      <c r="BC3233" s="464"/>
      <c r="BD3233" s="464"/>
      <c r="BE3233" s="464"/>
      <c r="BF3233" s="464"/>
      <c r="BG3233" s="464"/>
      <c r="BH3233" s="464"/>
      <c r="BI3233" s="464"/>
      <c r="BJ3233" s="464"/>
      <c r="BK3233" s="464"/>
      <c r="BL3233" s="464"/>
    </row>
    <row r="3234" spans="1:64">
      <c r="A3234" s="458"/>
      <c r="B3234" s="458"/>
      <c r="C3234" s="417" t="s">
        <v>1254</v>
      </c>
      <c r="D3234" s="432">
        <v>20</v>
      </c>
      <c r="E3234" s="406" t="s">
        <v>833</v>
      </c>
      <c r="F3234" s="432">
        <f>[161]LEAD!$N$6</f>
        <v>5200</v>
      </c>
      <c r="G3234" s="431">
        <v>1000</v>
      </c>
      <c r="H3234" s="406" t="s">
        <v>833</v>
      </c>
      <c r="I3234" s="459">
        <f t="shared" si="757"/>
        <v>104</v>
      </c>
      <c r="J3234" s="462"/>
      <c r="K3234" s="463"/>
      <c r="L3234" s="463"/>
      <c r="M3234" s="464"/>
      <c r="N3234" s="464"/>
      <c r="O3234" s="464"/>
      <c r="P3234" s="464"/>
      <c r="Q3234" s="464"/>
      <c r="R3234" s="464"/>
      <c r="S3234" s="464"/>
      <c r="T3234" s="464"/>
      <c r="U3234" s="464"/>
      <c r="V3234" s="464"/>
      <c r="W3234" s="464"/>
      <c r="X3234" s="464"/>
      <c r="Y3234" s="464"/>
      <c r="Z3234" s="464"/>
      <c r="AA3234" s="464"/>
      <c r="AB3234" s="464"/>
      <c r="AC3234" s="464"/>
      <c r="AD3234" s="464"/>
      <c r="AE3234" s="464"/>
      <c r="AF3234" s="464"/>
      <c r="AG3234" s="464"/>
      <c r="AH3234" s="464"/>
      <c r="AI3234" s="464"/>
      <c r="AJ3234" s="464"/>
      <c r="AK3234" s="464"/>
      <c r="AL3234" s="464"/>
      <c r="AM3234" s="464"/>
      <c r="AN3234" s="464"/>
      <c r="AO3234" s="464"/>
      <c r="AP3234" s="464"/>
      <c r="AQ3234" s="464"/>
      <c r="AR3234" s="464"/>
      <c r="AS3234" s="464"/>
      <c r="AT3234" s="464"/>
      <c r="AU3234" s="464"/>
      <c r="AV3234" s="464"/>
      <c r="AW3234" s="464"/>
      <c r="AX3234" s="464"/>
      <c r="AY3234" s="464"/>
      <c r="AZ3234" s="464"/>
      <c r="BA3234" s="464"/>
      <c r="BB3234" s="464"/>
      <c r="BC3234" s="464"/>
      <c r="BD3234" s="464"/>
      <c r="BE3234" s="464"/>
      <c r="BF3234" s="464"/>
      <c r="BG3234" s="464"/>
      <c r="BH3234" s="464"/>
      <c r="BI3234" s="464"/>
      <c r="BJ3234" s="464"/>
      <c r="BK3234" s="464"/>
      <c r="BL3234" s="464"/>
    </row>
    <row r="3235" spans="1:64">
      <c r="A3235" s="458"/>
      <c r="B3235" s="458"/>
      <c r="C3235" s="417" t="s">
        <v>1255</v>
      </c>
      <c r="D3235" s="432">
        <v>0.12</v>
      </c>
      <c r="E3235" s="406" t="s">
        <v>57</v>
      </c>
      <c r="F3235" s="432">
        <f>[161]LEAD!$N$13</f>
        <v>2453.91</v>
      </c>
      <c r="G3235" s="431">
        <v>1</v>
      </c>
      <c r="H3235" s="406" t="s">
        <v>57</v>
      </c>
      <c r="I3235" s="459">
        <f t="shared" si="757"/>
        <v>294.46919999999994</v>
      </c>
      <c r="J3235" s="462"/>
      <c r="K3235" s="463"/>
      <c r="L3235" s="463"/>
      <c r="M3235" s="464"/>
      <c r="N3235" s="464"/>
      <c r="O3235" s="464"/>
      <c r="P3235" s="464"/>
      <c r="Q3235" s="464"/>
      <c r="R3235" s="464"/>
      <c r="S3235" s="464"/>
      <c r="T3235" s="464"/>
      <c r="U3235" s="464"/>
      <c r="V3235" s="464"/>
      <c r="W3235" s="464"/>
      <c r="X3235" s="464"/>
      <c r="Y3235" s="464"/>
      <c r="Z3235" s="464"/>
      <c r="AA3235" s="464"/>
      <c r="AB3235" s="464"/>
      <c r="AC3235" s="464"/>
      <c r="AD3235" s="464"/>
      <c r="AE3235" s="464"/>
      <c r="AF3235" s="464"/>
      <c r="AG3235" s="464"/>
      <c r="AH3235" s="464"/>
      <c r="AI3235" s="464"/>
      <c r="AJ3235" s="464"/>
      <c r="AK3235" s="464"/>
      <c r="AL3235" s="464"/>
      <c r="AM3235" s="464"/>
      <c r="AN3235" s="464"/>
      <c r="AO3235" s="464"/>
      <c r="AP3235" s="464"/>
      <c r="AQ3235" s="464"/>
      <c r="AR3235" s="464"/>
      <c r="AS3235" s="464"/>
      <c r="AT3235" s="464"/>
      <c r="AU3235" s="464"/>
      <c r="AV3235" s="464"/>
      <c r="AW3235" s="464"/>
      <c r="AX3235" s="464"/>
      <c r="AY3235" s="464"/>
      <c r="AZ3235" s="464"/>
      <c r="BA3235" s="464"/>
      <c r="BB3235" s="464"/>
      <c r="BC3235" s="464"/>
      <c r="BD3235" s="464"/>
      <c r="BE3235" s="464"/>
      <c r="BF3235" s="464"/>
      <c r="BG3235" s="464"/>
      <c r="BH3235" s="464"/>
      <c r="BI3235" s="464"/>
      <c r="BJ3235" s="464"/>
      <c r="BK3235" s="464"/>
      <c r="BL3235" s="464"/>
    </row>
    <row r="3236" spans="1:64" ht="13">
      <c r="A3236" s="458"/>
      <c r="B3236" s="458"/>
      <c r="C3236" s="427" t="s">
        <v>1073</v>
      </c>
      <c r="D3236" s="432"/>
      <c r="E3236" s="406"/>
      <c r="F3236" s="432"/>
      <c r="G3236" s="431"/>
      <c r="H3236" s="406"/>
      <c r="I3236" s="459"/>
      <c r="J3236" s="462"/>
      <c r="K3236" s="463"/>
      <c r="L3236" s="463"/>
      <c r="M3236" s="464"/>
      <c r="N3236" s="464"/>
      <c r="O3236" s="464"/>
      <c r="P3236" s="464"/>
      <c r="Q3236" s="464"/>
      <c r="R3236" s="464"/>
      <c r="S3236" s="464"/>
      <c r="T3236" s="464"/>
      <c r="U3236" s="464"/>
      <c r="V3236" s="464"/>
      <c r="W3236" s="464"/>
      <c r="X3236" s="464"/>
      <c r="Y3236" s="464"/>
      <c r="Z3236" s="464"/>
      <c r="AA3236" s="464"/>
      <c r="AB3236" s="464"/>
      <c r="AC3236" s="464"/>
      <c r="AD3236" s="464"/>
      <c r="AE3236" s="464"/>
      <c r="AF3236" s="464"/>
      <c r="AG3236" s="464"/>
      <c r="AH3236" s="464"/>
      <c r="AI3236" s="464"/>
      <c r="AJ3236" s="464"/>
      <c r="AK3236" s="464"/>
      <c r="AL3236" s="464"/>
      <c r="AM3236" s="464"/>
      <c r="AN3236" s="464"/>
      <c r="AO3236" s="464"/>
      <c r="AP3236" s="464"/>
      <c r="AQ3236" s="464"/>
      <c r="AR3236" s="464"/>
      <c r="AS3236" s="464"/>
      <c r="AT3236" s="464"/>
      <c r="AU3236" s="464"/>
      <c r="AV3236" s="464"/>
      <c r="AW3236" s="464"/>
      <c r="AX3236" s="464"/>
      <c r="AY3236" s="464"/>
      <c r="AZ3236" s="464"/>
      <c r="BA3236" s="464"/>
      <c r="BB3236" s="464"/>
      <c r="BC3236" s="464"/>
      <c r="BD3236" s="464"/>
      <c r="BE3236" s="464"/>
      <c r="BF3236" s="464"/>
      <c r="BG3236" s="464"/>
      <c r="BH3236" s="464"/>
      <c r="BI3236" s="464"/>
      <c r="BJ3236" s="464"/>
      <c r="BK3236" s="464"/>
      <c r="BL3236" s="464"/>
    </row>
    <row r="3237" spans="1:64">
      <c r="A3237" s="458"/>
      <c r="B3237" s="458"/>
      <c r="C3237" s="417" t="s">
        <v>1044</v>
      </c>
      <c r="D3237" s="432">
        <v>3.1</v>
      </c>
      <c r="E3237" s="406" t="s">
        <v>14</v>
      </c>
      <c r="F3237" s="432">
        <f>'[161]Civil-SOR'!$G$293</f>
        <v>580</v>
      </c>
      <c r="G3237" s="431">
        <v>1</v>
      </c>
      <c r="H3237" s="406" t="s">
        <v>572</v>
      </c>
      <c r="I3237" s="459">
        <f t="shared" ref="I3237:I3243" si="758">IF(G3237="",D3237*F3237,(D3237*F3237/G3237))</f>
        <v>1798</v>
      </c>
      <c r="J3237" s="462"/>
      <c r="K3237" s="463"/>
      <c r="L3237" s="463"/>
      <c r="M3237" s="464"/>
      <c r="N3237" s="464"/>
      <c r="O3237" s="464"/>
      <c r="P3237" s="464"/>
      <c r="Q3237" s="464"/>
      <c r="R3237" s="464"/>
      <c r="S3237" s="464"/>
      <c r="T3237" s="464"/>
      <c r="U3237" s="464"/>
      <c r="V3237" s="464"/>
      <c r="W3237" s="464"/>
      <c r="X3237" s="464"/>
      <c r="Y3237" s="464"/>
      <c r="Z3237" s="464"/>
      <c r="AA3237" s="464"/>
      <c r="AB3237" s="464"/>
      <c r="AC3237" s="464"/>
      <c r="AD3237" s="464"/>
      <c r="AE3237" s="464"/>
      <c r="AF3237" s="464"/>
      <c r="AG3237" s="464"/>
      <c r="AH3237" s="464"/>
      <c r="AI3237" s="464"/>
      <c r="AJ3237" s="464"/>
      <c r="AK3237" s="464"/>
      <c r="AL3237" s="464"/>
      <c r="AM3237" s="464"/>
      <c r="AN3237" s="464"/>
      <c r="AO3237" s="464"/>
      <c r="AP3237" s="464"/>
      <c r="AQ3237" s="464"/>
      <c r="AR3237" s="464"/>
      <c r="AS3237" s="464"/>
      <c r="AT3237" s="464"/>
      <c r="AU3237" s="464"/>
      <c r="AV3237" s="464"/>
      <c r="AW3237" s="464"/>
      <c r="AX3237" s="464"/>
      <c r="AY3237" s="464"/>
      <c r="AZ3237" s="464"/>
      <c r="BA3237" s="464"/>
      <c r="BB3237" s="464"/>
      <c r="BC3237" s="464"/>
      <c r="BD3237" s="464"/>
      <c r="BE3237" s="464"/>
      <c r="BF3237" s="464"/>
      <c r="BG3237" s="464"/>
      <c r="BH3237" s="464"/>
      <c r="BI3237" s="464"/>
      <c r="BJ3237" s="464"/>
      <c r="BK3237" s="464"/>
      <c r="BL3237" s="464"/>
    </row>
    <row r="3238" spans="1:64">
      <c r="A3238" s="458"/>
      <c r="B3238" s="458"/>
      <c r="C3238" s="417" t="s">
        <v>1074</v>
      </c>
      <c r="D3238" s="432">
        <v>1.1000000000000001</v>
      </c>
      <c r="E3238" s="406" t="s">
        <v>14</v>
      </c>
      <c r="F3238" s="432">
        <f>'[161]Civil-SOR'!$G$302</f>
        <v>550</v>
      </c>
      <c r="G3238" s="431">
        <v>1</v>
      </c>
      <c r="H3238" s="406" t="s">
        <v>572</v>
      </c>
      <c r="I3238" s="459">
        <f t="shared" si="758"/>
        <v>605</v>
      </c>
      <c r="J3238" s="462"/>
      <c r="K3238" s="463"/>
      <c r="L3238" s="463"/>
      <c r="M3238" s="464"/>
      <c r="N3238" s="464"/>
      <c r="O3238" s="464"/>
      <c r="P3238" s="464"/>
      <c r="Q3238" s="464"/>
      <c r="R3238" s="464"/>
      <c r="S3238" s="464"/>
      <c r="T3238" s="464"/>
      <c r="U3238" s="464"/>
      <c r="V3238" s="464"/>
      <c r="W3238" s="464"/>
      <c r="X3238" s="464"/>
      <c r="Y3238" s="464"/>
      <c r="Z3238" s="464"/>
      <c r="AA3238" s="464"/>
      <c r="AB3238" s="464"/>
      <c r="AC3238" s="464"/>
      <c r="AD3238" s="464"/>
      <c r="AE3238" s="464"/>
      <c r="AF3238" s="464"/>
      <c r="AG3238" s="464"/>
      <c r="AH3238" s="464"/>
      <c r="AI3238" s="464"/>
      <c r="AJ3238" s="464"/>
      <c r="AK3238" s="464"/>
      <c r="AL3238" s="464"/>
      <c r="AM3238" s="464"/>
      <c r="AN3238" s="464"/>
      <c r="AO3238" s="464"/>
      <c r="AP3238" s="464"/>
      <c r="AQ3238" s="464"/>
      <c r="AR3238" s="464"/>
      <c r="AS3238" s="464"/>
      <c r="AT3238" s="464"/>
      <c r="AU3238" s="464"/>
      <c r="AV3238" s="464"/>
      <c r="AW3238" s="464"/>
      <c r="AX3238" s="464"/>
      <c r="AY3238" s="464"/>
      <c r="AZ3238" s="464"/>
      <c r="BA3238" s="464"/>
      <c r="BB3238" s="464"/>
      <c r="BC3238" s="464"/>
      <c r="BD3238" s="464"/>
      <c r="BE3238" s="464"/>
      <c r="BF3238" s="464"/>
      <c r="BG3238" s="464"/>
      <c r="BH3238" s="464"/>
      <c r="BI3238" s="464"/>
      <c r="BJ3238" s="464"/>
      <c r="BK3238" s="464"/>
      <c r="BL3238" s="464"/>
    </row>
    <row r="3239" spans="1:64">
      <c r="A3239" s="458"/>
      <c r="B3239" s="458"/>
      <c r="C3239" s="417" t="s">
        <v>1174</v>
      </c>
      <c r="D3239" s="432">
        <v>0.86</v>
      </c>
      <c r="E3239" s="406" t="s">
        <v>14</v>
      </c>
      <c r="F3239" s="432">
        <f>'[161]Civil-SOR'!$G$307</f>
        <v>520</v>
      </c>
      <c r="G3239" s="431">
        <v>1</v>
      </c>
      <c r="H3239" s="406" t="s">
        <v>572</v>
      </c>
      <c r="I3239" s="459">
        <f t="shared" si="758"/>
        <v>447.2</v>
      </c>
      <c r="J3239" s="462"/>
      <c r="K3239" s="463"/>
      <c r="L3239" s="463"/>
      <c r="M3239" s="464"/>
      <c r="N3239" s="464"/>
      <c r="O3239" s="464"/>
      <c r="P3239" s="464"/>
      <c r="Q3239" s="464"/>
      <c r="R3239" s="464"/>
      <c r="S3239" s="464"/>
      <c r="T3239" s="464"/>
      <c r="U3239" s="464"/>
      <c r="V3239" s="464"/>
      <c r="W3239" s="464"/>
      <c r="X3239" s="464"/>
      <c r="Y3239" s="464"/>
      <c r="Z3239" s="464"/>
      <c r="AA3239" s="464"/>
      <c r="AB3239" s="464"/>
      <c r="AC3239" s="464"/>
      <c r="AD3239" s="464"/>
      <c r="AE3239" s="464"/>
      <c r="AF3239" s="464"/>
      <c r="AG3239" s="464"/>
      <c r="AH3239" s="464"/>
      <c r="AI3239" s="464"/>
      <c r="AJ3239" s="464"/>
      <c r="AK3239" s="464"/>
      <c r="AL3239" s="464"/>
      <c r="AM3239" s="464"/>
      <c r="AN3239" s="464"/>
      <c r="AO3239" s="464"/>
      <c r="AP3239" s="464"/>
      <c r="AQ3239" s="464"/>
      <c r="AR3239" s="464"/>
      <c r="AS3239" s="464"/>
      <c r="AT3239" s="464"/>
      <c r="AU3239" s="464"/>
      <c r="AV3239" s="464"/>
      <c r="AW3239" s="464"/>
      <c r="AX3239" s="464"/>
      <c r="AY3239" s="464"/>
      <c r="AZ3239" s="464"/>
      <c r="BA3239" s="464"/>
      <c r="BB3239" s="464"/>
      <c r="BC3239" s="464"/>
      <c r="BD3239" s="464"/>
      <c r="BE3239" s="464"/>
      <c r="BF3239" s="464"/>
      <c r="BG3239" s="464"/>
      <c r="BH3239" s="464"/>
      <c r="BI3239" s="464"/>
      <c r="BJ3239" s="464"/>
      <c r="BK3239" s="464"/>
      <c r="BL3239" s="464"/>
    </row>
    <row r="3240" spans="1:64">
      <c r="A3240" s="458"/>
      <c r="B3240" s="458"/>
      <c r="C3240" s="417" t="str">
        <f>[161]Input!$C$47</f>
        <v>Add for MA @ 40%</v>
      </c>
      <c r="D3240" s="622">
        <f>[161]Input!$D$47</f>
        <v>0.4</v>
      </c>
      <c r="E3240" s="406"/>
      <c r="F3240" s="432">
        <f>SUM(I3237:I3239)</f>
        <v>2850.2</v>
      </c>
      <c r="G3240" s="431"/>
      <c r="H3240" s="406"/>
      <c r="I3240" s="459">
        <f t="shared" si="758"/>
        <v>1140.08</v>
      </c>
      <c r="J3240" s="462"/>
      <c r="K3240" s="463"/>
      <c r="L3240" s="463"/>
      <c r="M3240" s="464"/>
      <c r="N3240" s="464"/>
      <c r="O3240" s="464"/>
      <c r="P3240" s="464"/>
      <c r="Q3240" s="464"/>
      <c r="R3240" s="464"/>
      <c r="S3240" s="464"/>
      <c r="T3240" s="464"/>
      <c r="U3240" s="464"/>
      <c r="V3240" s="464"/>
      <c r="W3240" s="464"/>
      <c r="X3240" s="464"/>
      <c r="Y3240" s="464"/>
      <c r="Z3240" s="464"/>
      <c r="AA3240" s="464"/>
      <c r="AB3240" s="464"/>
      <c r="AC3240" s="464"/>
      <c r="AD3240" s="464"/>
      <c r="AE3240" s="464"/>
      <c r="AF3240" s="464"/>
      <c r="AG3240" s="464"/>
      <c r="AH3240" s="464"/>
      <c r="AI3240" s="464"/>
      <c r="AJ3240" s="464"/>
      <c r="AK3240" s="464"/>
      <c r="AL3240" s="464"/>
      <c r="AM3240" s="464"/>
      <c r="AN3240" s="464"/>
      <c r="AO3240" s="464"/>
      <c r="AP3240" s="464"/>
      <c r="AQ3240" s="464"/>
      <c r="AR3240" s="464"/>
      <c r="AS3240" s="464"/>
      <c r="AT3240" s="464"/>
      <c r="AU3240" s="464"/>
      <c r="AV3240" s="464"/>
      <c r="AW3240" s="464"/>
      <c r="AX3240" s="464"/>
      <c r="AY3240" s="464"/>
      <c r="AZ3240" s="464"/>
      <c r="BA3240" s="464"/>
      <c r="BB3240" s="464"/>
      <c r="BC3240" s="464"/>
      <c r="BD3240" s="464"/>
      <c r="BE3240" s="464"/>
      <c r="BF3240" s="464"/>
      <c r="BG3240" s="464"/>
      <c r="BH3240" s="464"/>
      <c r="BI3240" s="464"/>
      <c r="BJ3240" s="464"/>
      <c r="BK3240" s="464"/>
      <c r="BL3240" s="464"/>
    </row>
    <row r="3241" spans="1:64">
      <c r="A3241" s="458"/>
      <c r="B3241" s="458"/>
      <c r="C3241" s="417" t="s">
        <v>1266</v>
      </c>
      <c r="D3241" s="622">
        <v>33.33</v>
      </c>
      <c r="E3241" s="406" t="s">
        <v>1052</v>
      </c>
      <c r="F3241" s="432">
        <f>'[161]Civil-SOR'!$G$201</f>
        <v>73</v>
      </c>
      <c r="G3241" s="431">
        <v>1</v>
      </c>
      <c r="H3241" s="406" t="s">
        <v>1052</v>
      </c>
      <c r="I3241" s="459">
        <f t="shared" si="758"/>
        <v>2433.0899999999997</v>
      </c>
      <c r="J3241" s="462"/>
      <c r="K3241" s="463"/>
      <c r="L3241" s="463"/>
      <c r="M3241" s="464"/>
      <c r="N3241" s="464"/>
      <c r="O3241" s="464"/>
      <c r="P3241" s="464"/>
      <c r="Q3241" s="464"/>
      <c r="R3241" s="464"/>
      <c r="S3241" s="464"/>
      <c r="T3241" s="464"/>
      <c r="U3241" s="464"/>
      <c r="V3241" s="464"/>
      <c r="W3241" s="464"/>
      <c r="X3241" s="464"/>
      <c r="Y3241" s="464"/>
      <c r="Z3241" s="464"/>
      <c r="AA3241" s="464"/>
      <c r="AB3241" s="464"/>
      <c r="AC3241" s="464"/>
      <c r="AD3241" s="464"/>
      <c r="AE3241" s="464"/>
      <c r="AF3241" s="464"/>
      <c r="AG3241" s="464"/>
      <c r="AH3241" s="464"/>
      <c r="AI3241" s="464"/>
      <c r="AJ3241" s="464"/>
      <c r="AK3241" s="464"/>
      <c r="AL3241" s="464"/>
      <c r="AM3241" s="464"/>
      <c r="AN3241" s="464"/>
      <c r="AO3241" s="464"/>
      <c r="AP3241" s="464"/>
      <c r="AQ3241" s="464"/>
      <c r="AR3241" s="464"/>
      <c r="AS3241" s="464"/>
      <c r="AT3241" s="464"/>
      <c r="AU3241" s="464"/>
      <c r="AV3241" s="464"/>
      <c r="AW3241" s="464"/>
      <c r="AX3241" s="464"/>
      <c r="AY3241" s="464"/>
      <c r="AZ3241" s="464"/>
      <c r="BA3241" s="464"/>
      <c r="BB3241" s="464"/>
      <c r="BC3241" s="464"/>
      <c r="BD3241" s="464"/>
      <c r="BE3241" s="464"/>
      <c r="BF3241" s="464"/>
      <c r="BG3241" s="464"/>
      <c r="BH3241" s="464"/>
      <c r="BI3241" s="464"/>
      <c r="BJ3241" s="464"/>
      <c r="BK3241" s="464"/>
      <c r="BL3241" s="464"/>
    </row>
    <row r="3242" spans="1:64">
      <c r="A3242" s="458"/>
      <c r="B3242" s="458"/>
      <c r="C3242" s="417" t="str">
        <f>[161]Input!$C$47</f>
        <v>Add for MA @ 40%</v>
      </c>
      <c r="D3242" s="622">
        <f>[161]Input!$D$47</f>
        <v>0.4</v>
      </c>
      <c r="E3242" s="406"/>
      <c r="F3242" s="432">
        <f>I3241*40%</f>
        <v>973.23599999999988</v>
      </c>
      <c r="G3242" s="431"/>
      <c r="H3242" s="406"/>
      <c r="I3242" s="459">
        <f t="shared" si="758"/>
        <v>389.2944</v>
      </c>
      <c r="J3242" s="462"/>
      <c r="K3242" s="463"/>
      <c r="L3242" s="463"/>
      <c r="M3242" s="464"/>
      <c r="N3242" s="464"/>
      <c r="O3242" s="464"/>
      <c r="P3242" s="464"/>
      <c r="Q3242" s="464"/>
      <c r="R3242" s="464"/>
      <c r="S3242" s="464"/>
      <c r="T3242" s="464"/>
      <c r="U3242" s="464"/>
      <c r="V3242" s="464"/>
      <c r="W3242" s="464"/>
      <c r="X3242" s="464"/>
      <c r="Y3242" s="464"/>
      <c r="Z3242" s="464"/>
      <c r="AA3242" s="464"/>
      <c r="AB3242" s="464"/>
      <c r="AC3242" s="464"/>
      <c r="AD3242" s="464"/>
      <c r="AE3242" s="464"/>
      <c r="AF3242" s="464"/>
      <c r="AG3242" s="464"/>
      <c r="AH3242" s="464"/>
      <c r="AI3242" s="464"/>
      <c r="AJ3242" s="464"/>
      <c r="AK3242" s="464"/>
      <c r="AL3242" s="464"/>
      <c r="AM3242" s="464"/>
      <c r="AN3242" s="464"/>
      <c r="AO3242" s="464"/>
      <c r="AP3242" s="464"/>
      <c r="AQ3242" s="464"/>
      <c r="AR3242" s="464"/>
      <c r="AS3242" s="464"/>
      <c r="AT3242" s="464"/>
      <c r="AU3242" s="464"/>
      <c r="AV3242" s="464"/>
      <c r="AW3242" s="464"/>
      <c r="AX3242" s="464"/>
      <c r="AY3242" s="464"/>
      <c r="AZ3242" s="464"/>
      <c r="BA3242" s="464"/>
      <c r="BB3242" s="464"/>
      <c r="BC3242" s="464"/>
      <c r="BD3242" s="464"/>
      <c r="BE3242" s="464"/>
      <c r="BF3242" s="464"/>
      <c r="BG3242" s="464"/>
      <c r="BH3242" s="464"/>
      <c r="BI3242" s="464"/>
      <c r="BJ3242" s="464"/>
      <c r="BK3242" s="464"/>
      <c r="BL3242" s="464"/>
    </row>
    <row r="3243" spans="1:64">
      <c r="A3243" s="458"/>
      <c r="B3243" s="458"/>
      <c r="C3243" s="417" t="s">
        <v>1046</v>
      </c>
      <c r="D3243" s="432">
        <v>0.01</v>
      </c>
      <c r="E3243" s="406"/>
      <c r="F3243" s="432">
        <f>SUM(I3231:I3242)</f>
        <v>9262.7045999999991</v>
      </c>
      <c r="G3243" s="431"/>
      <c r="H3243" s="406"/>
      <c r="I3243" s="459">
        <f t="shared" si="758"/>
        <v>92.627045999999993</v>
      </c>
      <c r="J3243" s="462"/>
      <c r="K3243" s="463"/>
      <c r="L3243" s="463"/>
      <c r="M3243" s="464"/>
      <c r="N3243" s="464"/>
      <c r="O3243" s="464"/>
      <c r="P3243" s="464"/>
      <c r="Q3243" s="464"/>
      <c r="R3243" s="464"/>
      <c r="S3243" s="464"/>
      <c r="T3243" s="464"/>
      <c r="U3243" s="464"/>
      <c r="V3243" s="464"/>
      <c r="W3243" s="464"/>
      <c r="X3243" s="464"/>
      <c r="Y3243" s="464"/>
      <c r="Z3243" s="464"/>
      <c r="AA3243" s="464"/>
      <c r="AB3243" s="464"/>
      <c r="AC3243" s="464"/>
      <c r="AD3243" s="464"/>
      <c r="AE3243" s="464"/>
      <c r="AF3243" s="464"/>
      <c r="AG3243" s="464"/>
      <c r="AH3243" s="464"/>
      <c r="AI3243" s="464"/>
      <c r="AJ3243" s="464"/>
      <c r="AK3243" s="464"/>
      <c r="AL3243" s="464"/>
      <c r="AM3243" s="464"/>
      <c r="AN3243" s="464"/>
      <c r="AO3243" s="464"/>
      <c r="AP3243" s="464"/>
      <c r="AQ3243" s="464"/>
      <c r="AR3243" s="464"/>
      <c r="AS3243" s="464"/>
      <c r="AT3243" s="464"/>
      <c r="AU3243" s="464"/>
      <c r="AV3243" s="464"/>
      <c r="AW3243" s="464"/>
      <c r="AX3243" s="464"/>
      <c r="AY3243" s="464"/>
      <c r="AZ3243" s="464"/>
      <c r="BA3243" s="464"/>
      <c r="BB3243" s="464"/>
      <c r="BC3243" s="464"/>
      <c r="BD3243" s="464"/>
      <c r="BE3243" s="464"/>
      <c r="BF3243" s="464"/>
      <c r="BG3243" s="464"/>
      <c r="BH3243" s="464"/>
      <c r="BI3243" s="464"/>
      <c r="BJ3243" s="464"/>
      <c r="BK3243" s="464"/>
      <c r="BL3243" s="464"/>
    </row>
    <row r="3244" spans="1:64" s="413" customFormat="1" ht="13">
      <c r="A3244" s="454"/>
      <c r="B3244" s="454"/>
      <c r="C3244" s="666" t="s">
        <v>1184</v>
      </c>
      <c r="D3244" s="409"/>
      <c r="E3244" s="426"/>
      <c r="F3244" s="409"/>
      <c r="G3244" s="410"/>
      <c r="H3244" s="426"/>
      <c r="I3244" s="414">
        <f>SUM(I3231:I3243)</f>
        <v>9355.3316459999987</v>
      </c>
      <c r="J3244" s="411"/>
      <c r="K3244" s="412"/>
      <c r="L3244" s="412"/>
    </row>
    <row r="3245" spans="1:64" ht="13">
      <c r="A3245" s="454"/>
      <c r="B3245" s="454"/>
      <c r="C3245" s="427"/>
      <c r="D3245" s="408"/>
      <c r="E3245" s="416"/>
      <c r="F3245" s="416"/>
      <c r="G3245" s="416"/>
      <c r="H3245" s="416"/>
      <c r="I3245" s="414"/>
      <c r="J3245" s="400"/>
      <c r="K3245" s="401"/>
      <c r="L3245" s="401"/>
    </row>
    <row r="3246" spans="1:64" ht="13">
      <c r="A3246" s="454"/>
      <c r="B3246" s="454"/>
      <c r="C3246" s="481" t="s">
        <v>1176</v>
      </c>
      <c r="D3246" s="414" t="s">
        <v>959</v>
      </c>
      <c r="E3246" s="416" t="s">
        <v>943</v>
      </c>
      <c r="F3246" s="415" t="s">
        <v>944</v>
      </c>
      <c r="G3246" s="414" t="s">
        <v>1036</v>
      </c>
      <c r="H3246" s="414" t="s">
        <v>1037</v>
      </c>
      <c r="I3246" s="414" t="s">
        <v>1038</v>
      </c>
      <c r="J3246" s="638" t="s">
        <v>1118</v>
      </c>
      <c r="K3246" s="636" t="s">
        <v>1119</v>
      </c>
      <c r="L3246" s="636" t="s">
        <v>1120</v>
      </c>
    </row>
    <row r="3247" spans="1:64" s="404" customFormat="1">
      <c r="A3247" s="454"/>
      <c r="B3247" s="454"/>
      <c r="C3247" s="417" t="s">
        <v>1064</v>
      </c>
      <c r="D3247" s="408">
        <f t="shared" ref="D3247:L3247" si="759">$I$3244</f>
        <v>9355.3316459999987</v>
      </c>
      <c r="E3247" s="408">
        <f t="shared" si="759"/>
        <v>9355.3316459999987</v>
      </c>
      <c r="F3247" s="408">
        <f t="shared" si="759"/>
        <v>9355.3316459999987</v>
      </c>
      <c r="G3247" s="408">
        <f t="shared" si="759"/>
        <v>9355.3316459999987</v>
      </c>
      <c r="H3247" s="408">
        <f t="shared" si="759"/>
        <v>9355.3316459999987</v>
      </c>
      <c r="I3247" s="408">
        <f t="shared" si="759"/>
        <v>9355.3316459999987</v>
      </c>
      <c r="J3247" s="575">
        <f t="shared" si="759"/>
        <v>9355.3316459999987</v>
      </c>
      <c r="K3247" s="644">
        <f t="shared" si="759"/>
        <v>9355.3316459999987</v>
      </c>
      <c r="L3247" s="644">
        <f t="shared" si="759"/>
        <v>9355.3316459999987</v>
      </c>
    </row>
    <row r="3248" spans="1:64" s="404" customFormat="1">
      <c r="A3248" s="454"/>
      <c r="B3248" s="454"/>
      <c r="C3248" s="417" t="s">
        <v>994</v>
      </c>
      <c r="D3248" s="408">
        <v>0</v>
      </c>
      <c r="E3248" s="408">
        <f>ROUND($F$3240*10%,2)</f>
        <v>285.02</v>
      </c>
      <c r="F3248" s="408">
        <f>ROUND($F$3240*20%,2)</f>
        <v>570.04</v>
      </c>
      <c r="G3248" s="408">
        <f>ROUND($F$3240*30%,2)</f>
        <v>855.06</v>
      </c>
      <c r="H3248" s="408">
        <f>ROUND($F$3240*40%,2)</f>
        <v>1140.08</v>
      </c>
      <c r="I3248" s="408">
        <f>ROUND($F$3240*50%,2)</f>
        <v>1425.1</v>
      </c>
      <c r="J3248" s="575">
        <f>ROUND($F$3240*60%,2)</f>
        <v>1710.12</v>
      </c>
      <c r="K3248" s="644">
        <f>ROUND($F$3240*70%,2)</f>
        <v>1995.14</v>
      </c>
      <c r="L3248" s="644">
        <f>ROUND($F$3240*80%,2)</f>
        <v>2280.16</v>
      </c>
    </row>
    <row r="3249" spans="1:12" s="404" customFormat="1">
      <c r="A3249" s="454"/>
      <c r="B3249" s="454"/>
      <c r="C3249" s="417" t="str">
        <f>[161]Input!$C$47</f>
        <v>Add for MA @ 40%</v>
      </c>
      <c r="D3249" s="408">
        <f>D3248*[161]Input!$D$47</f>
        <v>0</v>
      </c>
      <c r="E3249" s="408">
        <f>E3248*[161]Input!$D$47</f>
        <v>114.008</v>
      </c>
      <c r="F3249" s="408">
        <f>F3248*[161]Input!$D$47</f>
        <v>228.01599999999999</v>
      </c>
      <c r="G3249" s="408">
        <f>G3248*[161]Input!$D$47</f>
        <v>342.024</v>
      </c>
      <c r="H3249" s="408">
        <f>H3248*[161]Input!$D$47</f>
        <v>456.03199999999998</v>
      </c>
      <c r="I3249" s="408">
        <f>I3248*[161]Input!$D$47</f>
        <v>570.04</v>
      </c>
      <c r="J3249" s="575">
        <f>J3248*[161]Input!$D$47</f>
        <v>684.048</v>
      </c>
      <c r="K3249" s="644">
        <f>K3248*[161]Input!$D$47</f>
        <v>798.05600000000004</v>
      </c>
      <c r="L3249" s="644">
        <f>L3248*[161]Input!$D$47</f>
        <v>912.06399999999996</v>
      </c>
    </row>
    <row r="3250" spans="1:12" s="404" customFormat="1">
      <c r="A3250" s="454"/>
      <c r="B3250" s="454"/>
      <c r="C3250" s="469"/>
      <c r="D3250" s="408">
        <f t="shared" ref="D3250:L3250" si="760">SUM(D3247:D3249)</f>
        <v>9355.3316459999987</v>
      </c>
      <c r="E3250" s="408">
        <f t="shared" si="760"/>
        <v>9754.359645999999</v>
      </c>
      <c r="F3250" s="408">
        <f t="shared" si="760"/>
        <v>10153.387645999999</v>
      </c>
      <c r="G3250" s="408">
        <f t="shared" si="760"/>
        <v>10552.415645999998</v>
      </c>
      <c r="H3250" s="408">
        <f t="shared" si="760"/>
        <v>10951.443645999998</v>
      </c>
      <c r="I3250" s="408">
        <f t="shared" si="760"/>
        <v>11350.471645999998</v>
      </c>
      <c r="J3250" s="575">
        <f t="shared" si="760"/>
        <v>11749.499645999998</v>
      </c>
      <c r="K3250" s="644">
        <f t="shared" si="760"/>
        <v>12148.527645999999</v>
      </c>
      <c r="L3250" s="644">
        <f t="shared" si="760"/>
        <v>12547.555645999999</v>
      </c>
    </row>
    <row r="3251" spans="1:12" s="404" customFormat="1" ht="25">
      <c r="A3251" s="454"/>
      <c r="B3251" s="454"/>
      <c r="C3251" s="417" t="str">
        <f>[161]Input!$C$48</f>
        <v>Overheads &amp; Contractors Profit @ 13.615%</v>
      </c>
      <c r="D3251" s="408">
        <f>ROUND(D3250*[161]Input!$D$48,2)</f>
        <v>1273.73</v>
      </c>
      <c r="E3251" s="408">
        <f>ROUND(E3250*[161]Input!$D$48,2)</f>
        <v>1328.06</v>
      </c>
      <c r="F3251" s="408">
        <f>ROUND(F3250*[161]Input!$D$48,2)</f>
        <v>1382.38</v>
      </c>
      <c r="G3251" s="408">
        <f>ROUND(G3250*[161]Input!$D$48,2)</f>
        <v>1436.71</v>
      </c>
      <c r="H3251" s="408">
        <f>ROUND(H3250*[161]Input!$D$48,2)</f>
        <v>1491.04</v>
      </c>
      <c r="I3251" s="408">
        <f>ROUND(I3250*[161]Input!$D$48,2)</f>
        <v>1545.37</v>
      </c>
      <c r="J3251" s="575">
        <f>ROUND(J3250*[161]Input!$D$48,2)</f>
        <v>1599.69</v>
      </c>
      <c r="K3251" s="644">
        <f>ROUND(K3250*[161]Input!$D$48,2)</f>
        <v>1654.02</v>
      </c>
      <c r="L3251" s="644">
        <f>ROUND(L3250*[161]Input!$D$48,2)</f>
        <v>1708.35</v>
      </c>
    </row>
    <row r="3252" spans="1:12" s="404" customFormat="1" ht="13">
      <c r="A3252" s="454"/>
      <c r="B3252" s="454"/>
      <c r="C3252" s="427" t="s">
        <v>1047</v>
      </c>
      <c r="D3252" s="414">
        <f t="shared" ref="D3252:L3252" si="761">SUM(D3250:D3251)</f>
        <v>10629.061645999998</v>
      </c>
      <c r="E3252" s="414">
        <f t="shared" si="761"/>
        <v>11082.419645999998</v>
      </c>
      <c r="F3252" s="414">
        <f t="shared" si="761"/>
        <v>11535.767646</v>
      </c>
      <c r="G3252" s="414">
        <f t="shared" si="761"/>
        <v>11989.125645999997</v>
      </c>
      <c r="H3252" s="414">
        <f t="shared" si="761"/>
        <v>12442.483645999997</v>
      </c>
      <c r="I3252" s="414">
        <f t="shared" si="761"/>
        <v>12895.841645999997</v>
      </c>
      <c r="J3252" s="657">
        <f t="shared" si="761"/>
        <v>13349.189645999999</v>
      </c>
      <c r="K3252" s="631">
        <f t="shared" si="761"/>
        <v>13802.547645999999</v>
      </c>
      <c r="L3252" s="631">
        <f t="shared" si="761"/>
        <v>14255.905645999999</v>
      </c>
    </row>
    <row r="3253" spans="1:12" s="404" customFormat="1" ht="13">
      <c r="A3253" s="454"/>
      <c r="B3253" s="454"/>
      <c r="C3253" s="427" t="s">
        <v>845</v>
      </c>
      <c r="D3253" s="414">
        <f t="shared" ref="D3253:L3253" si="762">D3252/10</f>
        <v>1062.9061645999998</v>
      </c>
      <c r="E3253" s="414">
        <f t="shared" si="762"/>
        <v>1108.2419645999998</v>
      </c>
      <c r="F3253" s="414">
        <f t="shared" si="762"/>
        <v>1153.5767645999999</v>
      </c>
      <c r="G3253" s="414">
        <f t="shared" si="762"/>
        <v>1198.9125645999998</v>
      </c>
      <c r="H3253" s="414">
        <f t="shared" si="762"/>
        <v>1244.2483645999996</v>
      </c>
      <c r="I3253" s="414">
        <f t="shared" si="762"/>
        <v>1289.5841645999997</v>
      </c>
      <c r="J3253" s="657">
        <f t="shared" si="762"/>
        <v>1334.9189646</v>
      </c>
      <c r="K3253" s="631">
        <f t="shared" si="762"/>
        <v>1380.2547645999998</v>
      </c>
      <c r="L3253" s="631">
        <f t="shared" si="762"/>
        <v>1425.5905645999999</v>
      </c>
    </row>
    <row r="3254" spans="1:12" s="554" customFormat="1" ht="13">
      <c r="A3254" s="454"/>
      <c r="B3254" s="454"/>
      <c r="C3254" s="522" t="s">
        <v>726</v>
      </c>
      <c r="D3254" s="416">
        <f t="shared" ref="D3254:L3254" si="763">ROUND(D3253,0)</f>
        <v>1063</v>
      </c>
      <c r="E3254" s="416">
        <f t="shared" si="763"/>
        <v>1108</v>
      </c>
      <c r="F3254" s="416">
        <f t="shared" si="763"/>
        <v>1154</v>
      </c>
      <c r="G3254" s="416">
        <f t="shared" si="763"/>
        <v>1199</v>
      </c>
      <c r="H3254" s="416">
        <f t="shared" si="763"/>
        <v>1244</v>
      </c>
      <c r="I3254" s="416">
        <f t="shared" si="763"/>
        <v>1290</v>
      </c>
      <c r="J3254" s="533">
        <f t="shared" si="763"/>
        <v>1335</v>
      </c>
      <c r="K3254" s="534">
        <f t="shared" si="763"/>
        <v>1380</v>
      </c>
      <c r="L3254" s="534">
        <f t="shared" si="763"/>
        <v>1426</v>
      </c>
    </row>
    <row r="3255" spans="1:12" ht="13">
      <c r="A3255" s="454"/>
      <c r="B3255" s="454"/>
      <c r="C3255" s="427"/>
      <c r="D3255" s="408"/>
      <c r="E3255" s="416"/>
      <c r="F3255" s="416"/>
      <c r="G3255" s="416"/>
      <c r="H3255" s="416"/>
      <c r="I3255" s="414"/>
      <c r="J3255" s="400"/>
      <c r="K3255" s="401"/>
      <c r="L3255" s="401"/>
    </row>
    <row r="3256" spans="1:12" ht="13">
      <c r="A3256" s="454"/>
      <c r="B3256" s="454"/>
      <c r="C3256" s="427"/>
      <c r="D3256" s="408"/>
      <c r="E3256" s="416"/>
      <c r="F3256" s="416"/>
      <c r="G3256" s="416"/>
      <c r="H3256" s="416"/>
      <c r="I3256" s="414"/>
      <c r="J3256" s="400"/>
      <c r="K3256" s="401"/>
      <c r="L3256" s="401"/>
    </row>
    <row r="3257" spans="1:12" s="404" customFormat="1" ht="13">
      <c r="A3257" s="454"/>
      <c r="B3257" s="415" t="s">
        <v>727</v>
      </c>
      <c r="C3257" s="427" t="s">
        <v>1257</v>
      </c>
      <c r="D3257" s="408"/>
      <c r="E3257" s="408"/>
      <c r="F3257" s="408"/>
      <c r="G3257" s="426"/>
      <c r="H3257" s="492"/>
      <c r="I3257" s="434"/>
      <c r="J3257" s="400"/>
      <c r="K3257" s="401"/>
      <c r="L3257" s="401"/>
    </row>
    <row r="3258" spans="1:12" s="404" customFormat="1" ht="13">
      <c r="A3258" s="454"/>
      <c r="B3258" s="454"/>
      <c r="C3258" s="455" t="s">
        <v>1267</v>
      </c>
      <c r="D3258" s="408"/>
      <c r="E3258" s="408"/>
      <c r="F3258" s="408"/>
      <c r="G3258" s="430"/>
      <c r="H3258" s="415"/>
      <c r="I3258" s="414"/>
      <c r="J3258" s="400"/>
      <c r="K3258" s="401"/>
      <c r="L3258" s="401"/>
    </row>
    <row r="3259" spans="1:12" s="404" customFormat="1" ht="13">
      <c r="A3259" s="454"/>
      <c r="B3259" s="454"/>
      <c r="C3259" s="417" t="s">
        <v>1259</v>
      </c>
      <c r="D3259" s="408"/>
      <c r="E3259" s="408"/>
      <c r="F3259" s="408"/>
      <c r="G3259" s="430"/>
      <c r="H3259" s="415"/>
      <c r="I3259" s="414"/>
      <c r="J3259" s="400"/>
      <c r="K3259" s="401"/>
      <c r="L3259" s="401"/>
    </row>
    <row r="3260" spans="1:12" s="404" customFormat="1" ht="13">
      <c r="A3260" s="454"/>
      <c r="B3260" s="454"/>
      <c r="C3260" s="427" t="s">
        <v>873</v>
      </c>
      <c r="D3260" s="408"/>
      <c r="E3260" s="408"/>
      <c r="F3260" s="408"/>
      <c r="G3260" s="430"/>
      <c r="H3260" s="415"/>
      <c r="I3260" s="414"/>
      <c r="J3260" s="400"/>
      <c r="K3260" s="401"/>
      <c r="L3260" s="401"/>
    </row>
    <row r="3261" spans="1:12" s="404" customFormat="1">
      <c r="A3261" s="454"/>
      <c r="B3261" s="454"/>
      <c r="C3261" s="417" t="s">
        <v>1268</v>
      </c>
      <c r="D3261" s="408">
        <v>11</v>
      </c>
      <c r="E3261" s="408" t="s">
        <v>17</v>
      </c>
      <c r="F3261" s="408">
        <f>[161]LEAD!$N$27</f>
        <v>1545.69</v>
      </c>
      <c r="G3261" s="430">
        <v>10</v>
      </c>
      <c r="H3261" s="454" t="s">
        <v>17</v>
      </c>
      <c r="I3261" s="408">
        <f t="shared" ref="I3261:I3264" si="764">IF(G3261="",D3261*F3261,(D3261*F3261/G3261))</f>
        <v>1700.259</v>
      </c>
      <c r="J3261" s="400"/>
      <c r="K3261" s="401"/>
      <c r="L3261" s="401"/>
    </row>
    <row r="3262" spans="1:12" s="404" customFormat="1">
      <c r="A3262" s="454"/>
      <c r="B3262" s="454"/>
      <c r="C3262" s="417" t="s">
        <v>1261</v>
      </c>
      <c r="D3262" s="408">
        <v>0.12</v>
      </c>
      <c r="E3262" s="408" t="s">
        <v>666</v>
      </c>
      <c r="F3262" s="408">
        <f>[161]LEAD!$N$13</f>
        <v>2453.91</v>
      </c>
      <c r="G3262" s="430">
        <v>1</v>
      </c>
      <c r="H3262" s="454" t="s">
        <v>666</v>
      </c>
      <c r="I3262" s="408">
        <f t="shared" si="764"/>
        <v>294.46919999999994</v>
      </c>
      <c r="J3262" s="400"/>
      <c r="K3262" s="401"/>
      <c r="L3262" s="401"/>
    </row>
    <row r="3263" spans="1:12" s="404" customFormat="1">
      <c r="A3263" s="454"/>
      <c r="B3263" s="454"/>
      <c r="C3263" s="417" t="s">
        <v>1262</v>
      </c>
      <c r="D3263" s="408">
        <v>34.56</v>
      </c>
      <c r="E3263" s="408" t="s">
        <v>833</v>
      </c>
      <c r="F3263" s="408">
        <f>[161]LEAD!$N$6</f>
        <v>5200</v>
      </c>
      <c r="G3263" s="430">
        <v>1000</v>
      </c>
      <c r="H3263" s="454" t="s">
        <v>833</v>
      </c>
      <c r="I3263" s="408">
        <f t="shared" si="764"/>
        <v>179.71199999999999</v>
      </c>
      <c r="J3263" s="400"/>
      <c r="K3263" s="401"/>
      <c r="L3263" s="401"/>
    </row>
    <row r="3264" spans="1:12" s="404" customFormat="1">
      <c r="A3264" s="454"/>
      <c r="B3264" s="454"/>
      <c r="C3264" s="417" t="s">
        <v>1171</v>
      </c>
      <c r="D3264" s="408">
        <v>33</v>
      </c>
      <c r="E3264" s="408" t="s">
        <v>833</v>
      </c>
      <c r="F3264" s="408">
        <f>[161]LEAD!$N$6</f>
        <v>5200</v>
      </c>
      <c r="G3264" s="430">
        <v>1000</v>
      </c>
      <c r="H3264" s="454" t="s">
        <v>833</v>
      </c>
      <c r="I3264" s="408">
        <f t="shared" si="764"/>
        <v>171.6</v>
      </c>
      <c r="J3264" s="400"/>
      <c r="K3264" s="401"/>
      <c r="L3264" s="401"/>
    </row>
    <row r="3265" spans="1:12" s="404" customFormat="1" ht="13">
      <c r="A3265" s="454"/>
      <c r="B3265" s="454"/>
      <c r="C3265" s="427" t="s">
        <v>1263</v>
      </c>
      <c r="D3265" s="408"/>
      <c r="E3265" s="408"/>
      <c r="F3265" s="408"/>
      <c r="G3265" s="430"/>
      <c r="H3265" s="415"/>
      <c r="I3265" s="414"/>
      <c r="J3265" s="400"/>
      <c r="K3265" s="401"/>
      <c r="L3265" s="401"/>
    </row>
    <row r="3266" spans="1:12" s="404" customFormat="1">
      <c r="A3266" s="454"/>
      <c r="B3266" s="454"/>
      <c r="C3266" s="417" t="s">
        <v>1044</v>
      </c>
      <c r="D3266" s="408">
        <v>0.96</v>
      </c>
      <c r="E3266" s="408" t="s">
        <v>375</v>
      </c>
      <c r="F3266" s="408">
        <f>'[161]Civil-SOR'!$G$293</f>
        <v>580</v>
      </c>
      <c r="G3266" s="430">
        <v>1</v>
      </c>
      <c r="H3266" s="454" t="s">
        <v>572</v>
      </c>
      <c r="I3266" s="408">
        <f t="shared" ref="I3266:I3270" si="765">IF(G3266="",D3266*F3266,(D3266*F3266/G3266))</f>
        <v>556.79999999999995</v>
      </c>
      <c r="J3266" s="400"/>
      <c r="K3266" s="401"/>
      <c r="L3266" s="401"/>
    </row>
    <row r="3267" spans="1:12" s="404" customFormat="1">
      <c r="A3267" s="454"/>
      <c r="B3267" s="454"/>
      <c r="C3267" s="417" t="s">
        <v>1074</v>
      </c>
      <c r="D3267" s="408">
        <v>2.2400000000000002</v>
      </c>
      <c r="E3267" s="408" t="s">
        <v>375</v>
      </c>
      <c r="F3267" s="408">
        <f>'[161]Civil-SOR'!$G$302</f>
        <v>550</v>
      </c>
      <c r="G3267" s="430">
        <v>1</v>
      </c>
      <c r="H3267" s="454" t="s">
        <v>572</v>
      </c>
      <c r="I3267" s="408">
        <f t="shared" si="765"/>
        <v>1232.0000000000002</v>
      </c>
      <c r="J3267" s="400"/>
      <c r="K3267" s="401"/>
      <c r="L3267" s="401"/>
    </row>
    <row r="3268" spans="1:12" s="404" customFormat="1">
      <c r="A3268" s="454"/>
      <c r="B3268" s="454"/>
      <c r="C3268" s="417" t="s">
        <v>723</v>
      </c>
      <c r="D3268" s="408">
        <v>3.1</v>
      </c>
      <c r="E3268" s="408" t="s">
        <v>375</v>
      </c>
      <c r="F3268" s="408">
        <f>'[161]Civil-SOR'!$G$307</f>
        <v>520</v>
      </c>
      <c r="G3268" s="430">
        <v>1</v>
      </c>
      <c r="H3268" s="454" t="s">
        <v>572</v>
      </c>
      <c r="I3268" s="408">
        <f t="shared" si="765"/>
        <v>1612</v>
      </c>
      <c r="J3268" s="400"/>
      <c r="K3268" s="401"/>
      <c r="L3268" s="401"/>
    </row>
    <row r="3269" spans="1:12" s="404" customFormat="1">
      <c r="A3269" s="454"/>
      <c r="B3269" s="454"/>
      <c r="C3269" s="469" t="str">
        <f>[161]Input!$C$47</f>
        <v>Add for MA @ 40%</v>
      </c>
      <c r="D3269" s="621">
        <f>[161]Input!$D$47</f>
        <v>0.4</v>
      </c>
      <c r="E3269" s="454"/>
      <c r="F3269" s="408">
        <f>SUM(I3266:I3268)</f>
        <v>3400.8</v>
      </c>
      <c r="G3269" s="410"/>
      <c r="H3269" s="426"/>
      <c r="I3269" s="408">
        <f t="shared" si="765"/>
        <v>1360.3200000000002</v>
      </c>
      <c r="J3269" s="400"/>
      <c r="K3269" s="401"/>
      <c r="L3269" s="401"/>
    </row>
    <row r="3270" spans="1:12" s="404" customFormat="1">
      <c r="A3270" s="454"/>
      <c r="B3270" s="454"/>
      <c r="C3270" s="483" t="s">
        <v>1046</v>
      </c>
      <c r="D3270" s="408">
        <v>0.01</v>
      </c>
      <c r="E3270" s="408"/>
      <c r="F3270" s="408">
        <f>SUM(I3261:I3269)</f>
        <v>7107.1602000000003</v>
      </c>
      <c r="G3270" s="430"/>
      <c r="H3270" s="454"/>
      <c r="I3270" s="408">
        <f t="shared" si="765"/>
        <v>71.071601999999999</v>
      </c>
      <c r="J3270" s="400"/>
      <c r="K3270" s="401"/>
      <c r="L3270" s="401"/>
    </row>
    <row r="3271" spans="1:12" s="413" customFormat="1" ht="13">
      <c r="A3271" s="454"/>
      <c r="B3271" s="454"/>
      <c r="C3271" s="481" t="s">
        <v>1175</v>
      </c>
      <c r="D3271" s="408"/>
      <c r="E3271" s="454"/>
      <c r="F3271" s="408"/>
      <c r="G3271" s="430"/>
      <c r="H3271" s="454"/>
      <c r="I3271" s="434">
        <f>SUM(I3261:I3270)</f>
        <v>7178.2318020000002</v>
      </c>
      <c r="J3271" s="411"/>
      <c r="K3271" s="412"/>
      <c r="L3271" s="412"/>
    </row>
    <row r="3272" spans="1:12" ht="13">
      <c r="A3272" s="454"/>
      <c r="B3272" s="454"/>
      <c r="C3272" s="427"/>
      <c r="D3272" s="408"/>
      <c r="E3272" s="408"/>
      <c r="F3272" s="408"/>
      <c r="G3272" s="426"/>
      <c r="H3272" s="492"/>
      <c r="I3272" s="434"/>
      <c r="J3272" s="400"/>
      <c r="K3272" s="401"/>
      <c r="L3272" s="401"/>
    </row>
    <row r="3273" spans="1:12" s="413" customFormat="1" ht="13">
      <c r="A3273" s="454"/>
      <c r="B3273" s="454"/>
      <c r="C3273" s="481" t="s">
        <v>953</v>
      </c>
      <c r="D3273" s="414" t="s">
        <v>959</v>
      </c>
      <c r="E3273" s="416" t="s">
        <v>943</v>
      </c>
      <c r="F3273" s="415" t="s">
        <v>944</v>
      </c>
      <c r="G3273" s="414" t="s">
        <v>1036</v>
      </c>
      <c r="H3273" s="414" t="s">
        <v>1037</v>
      </c>
      <c r="I3273" s="414" t="s">
        <v>1038</v>
      </c>
      <c r="J3273" s="638" t="s">
        <v>1118</v>
      </c>
      <c r="K3273" s="636" t="s">
        <v>1119</v>
      </c>
      <c r="L3273" s="636" t="s">
        <v>1120</v>
      </c>
    </row>
    <row r="3274" spans="1:12" s="404" customFormat="1">
      <c r="A3274" s="454"/>
      <c r="B3274" s="454"/>
      <c r="C3274" s="417" t="s">
        <v>1064</v>
      </c>
      <c r="D3274" s="408">
        <f t="shared" ref="D3274:L3274" si="766">$I$3271</f>
        <v>7178.2318020000002</v>
      </c>
      <c r="E3274" s="408">
        <f t="shared" si="766"/>
        <v>7178.2318020000002</v>
      </c>
      <c r="F3274" s="408">
        <f t="shared" si="766"/>
        <v>7178.2318020000002</v>
      </c>
      <c r="G3274" s="408">
        <f t="shared" si="766"/>
        <v>7178.2318020000002</v>
      </c>
      <c r="H3274" s="408">
        <f t="shared" si="766"/>
        <v>7178.2318020000002</v>
      </c>
      <c r="I3274" s="408">
        <f t="shared" si="766"/>
        <v>7178.2318020000002</v>
      </c>
      <c r="J3274" s="575">
        <f t="shared" si="766"/>
        <v>7178.2318020000002</v>
      </c>
      <c r="K3274" s="644">
        <f t="shared" si="766"/>
        <v>7178.2318020000002</v>
      </c>
      <c r="L3274" s="644">
        <f t="shared" si="766"/>
        <v>7178.2318020000002</v>
      </c>
    </row>
    <row r="3275" spans="1:12" s="404" customFormat="1">
      <c r="A3275" s="454"/>
      <c r="B3275" s="454"/>
      <c r="C3275" s="417" t="s">
        <v>994</v>
      </c>
      <c r="D3275" s="408">
        <v>0</v>
      </c>
      <c r="E3275" s="408">
        <f>ROUND($F$3269*10%,2)</f>
        <v>340.08</v>
      </c>
      <c r="F3275" s="408">
        <f>ROUND($F$3269*20%,2)</f>
        <v>680.16</v>
      </c>
      <c r="G3275" s="408">
        <f>ROUND($F$3269*30%,2)</f>
        <v>1020.24</v>
      </c>
      <c r="H3275" s="408">
        <f>ROUND($F$3269*40%,2)</f>
        <v>1360.32</v>
      </c>
      <c r="I3275" s="408">
        <f>ROUND($F$3269*50%,2)</f>
        <v>1700.4</v>
      </c>
      <c r="J3275" s="575">
        <f>ROUND($F$3269*60%,2)</f>
        <v>2040.48</v>
      </c>
      <c r="K3275" s="644">
        <f>ROUND($F$3269*70%,2)</f>
        <v>2380.56</v>
      </c>
      <c r="L3275" s="644">
        <f>ROUND($F$3269*80%,2)</f>
        <v>2720.64</v>
      </c>
    </row>
    <row r="3276" spans="1:12" s="404" customFormat="1">
      <c r="A3276" s="454"/>
      <c r="B3276" s="454"/>
      <c r="C3276" s="417" t="str">
        <f>[161]Input!$C$47</f>
        <v>Add for MA @ 40%</v>
      </c>
      <c r="D3276" s="408">
        <f>D3275*[161]Input!$D$47</f>
        <v>0</v>
      </c>
      <c r="E3276" s="408">
        <f>E3275*[161]Input!$D$47</f>
        <v>136.03200000000001</v>
      </c>
      <c r="F3276" s="408">
        <f>F3275*[161]Input!$D$47</f>
        <v>272.06400000000002</v>
      </c>
      <c r="G3276" s="408">
        <f>G3275*[161]Input!$D$47</f>
        <v>408.096</v>
      </c>
      <c r="H3276" s="408">
        <f>H3275*[161]Input!$D$47</f>
        <v>544.12800000000004</v>
      </c>
      <c r="I3276" s="408">
        <f>I3275*[161]Input!$D$47</f>
        <v>680.16000000000008</v>
      </c>
      <c r="J3276" s="575">
        <f>J3275*[161]Input!$D$47</f>
        <v>816.19200000000001</v>
      </c>
      <c r="K3276" s="644">
        <f>K3275*[161]Input!$D$47</f>
        <v>952.22400000000005</v>
      </c>
      <c r="L3276" s="644">
        <f>L3275*[161]Input!$D$47</f>
        <v>1088.2560000000001</v>
      </c>
    </row>
    <row r="3277" spans="1:12" s="404" customFormat="1">
      <c r="A3277" s="454"/>
      <c r="B3277" s="454"/>
      <c r="C3277" s="469"/>
      <c r="D3277" s="408">
        <f t="shared" ref="D3277:L3277" si="767">SUM(D3274:D3276)</f>
        <v>7178.2318020000002</v>
      </c>
      <c r="E3277" s="408">
        <f t="shared" si="767"/>
        <v>7654.3438020000003</v>
      </c>
      <c r="F3277" s="408">
        <f t="shared" si="767"/>
        <v>8130.4558020000004</v>
      </c>
      <c r="G3277" s="408">
        <f t="shared" si="767"/>
        <v>8606.5678019999996</v>
      </c>
      <c r="H3277" s="408">
        <f t="shared" si="767"/>
        <v>9082.6798020000006</v>
      </c>
      <c r="I3277" s="408">
        <f t="shared" si="767"/>
        <v>9558.7918019999997</v>
      </c>
      <c r="J3277" s="575">
        <f t="shared" si="767"/>
        <v>10034.903802000001</v>
      </c>
      <c r="K3277" s="644">
        <f t="shared" si="767"/>
        <v>10511.015802</v>
      </c>
      <c r="L3277" s="644">
        <f t="shared" si="767"/>
        <v>10987.127801999999</v>
      </c>
    </row>
    <row r="3278" spans="1:12" s="404" customFormat="1" ht="25">
      <c r="A3278" s="454"/>
      <c r="B3278" s="454"/>
      <c r="C3278" s="417" t="str">
        <f>[161]Input!$C$48</f>
        <v>Overheads &amp; Contractors Profit @ 13.615%</v>
      </c>
      <c r="D3278" s="408">
        <f>ROUND(D3277*[161]Input!$D$48,2)</f>
        <v>977.32</v>
      </c>
      <c r="E3278" s="408">
        <f>ROUND(E3277*[161]Input!$D$48,2)</f>
        <v>1042.1400000000001</v>
      </c>
      <c r="F3278" s="408">
        <f>ROUND(F3277*[161]Input!$D$48,2)</f>
        <v>1106.96</v>
      </c>
      <c r="G3278" s="408">
        <f>ROUND(G3277*[161]Input!$D$48,2)</f>
        <v>1171.78</v>
      </c>
      <c r="H3278" s="408">
        <f>ROUND(H3277*[161]Input!$D$48,2)</f>
        <v>1236.6099999999999</v>
      </c>
      <c r="I3278" s="408">
        <f>ROUND(I3277*[161]Input!$D$48,2)</f>
        <v>1301.43</v>
      </c>
      <c r="J3278" s="575">
        <f>ROUND(J3277*[161]Input!$D$48,2)</f>
        <v>1366.25</v>
      </c>
      <c r="K3278" s="644">
        <f>ROUND(K3277*[161]Input!$D$48,2)</f>
        <v>1431.07</v>
      </c>
      <c r="L3278" s="644">
        <f>ROUND(L3277*[161]Input!$D$48,2)</f>
        <v>1495.9</v>
      </c>
    </row>
    <row r="3279" spans="1:12" s="404" customFormat="1" ht="13">
      <c r="A3279" s="454"/>
      <c r="B3279" s="454"/>
      <c r="C3279" s="427" t="s">
        <v>1047</v>
      </c>
      <c r="D3279" s="408">
        <f t="shared" ref="D3279:L3279" si="768">SUM(D3277:D3278)</f>
        <v>8155.551802</v>
      </c>
      <c r="E3279" s="408">
        <f t="shared" si="768"/>
        <v>8696.4838020000007</v>
      </c>
      <c r="F3279" s="408">
        <f t="shared" si="768"/>
        <v>9237.4158019999995</v>
      </c>
      <c r="G3279" s="408">
        <f t="shared" si="768"/>
        <v>9778.3478020000002</v>
      </c>
      <c r="H3279" s="408">
        <f t="shared" si="768"/>
        <v>10319.289802000001</v>
      </c>
      <c r="I3279" s="408">
        <f t="shared" si="768"/>
        <v>10860.221802</v>
      </c>
      <c r="J3279" s="575">
        <f t="shared" si="768"/>
        <v>11401.153802000001</v>
      </c>
      <c r="K3279" s="644">
        <f t="shared" si="768"/>
        <v>11942.085802</v>
      </c>
      <c r="L3279" s="644">
        <f t="shared" si="768"/>
        <v>12483.027801999999</v>
      </c>
    </row>
    <row r="3280" spans="1:12" s="413" customFormat="1" ht="13">
      <c r="A3280" s="454"/>
      <c r="B3280" s="454"/>
      <c r="C3280" s="481" t="s">
        <v>845</v>
      </c>
      <c r="D3280" s="414">
        <f t="shared" ref="D3280:L3280" si="769">D3279/10</f>
        <v>815.5551802</v>
      </c>
      <c r="E3280" s="414">
        <f t="shared" si="769"/>
        <v>869.64838020000002</v>
      </c>
      <c r="F3280" s="414">
        <f t="shared" si="769"/>
        <v>923.74158019999993</v>
      </c>
      <c r="G3280" s="414">
        <f t="shared" si="769"/>
        <v>977.83478020000007</v>
      </c>
      <c r="H3280" s="414">
        <f t="shared" si="769"/>
        <v>1031.9289802000001</v>
      </c>
      <c r="I3280" s="414">
        <f t="shared" si="769"/>
        <v>1086.0221802000001</v>
      </c>
      <c r="J3280" s="638">
        <f t="shared" si="769"/>
        <v>1140.1153802000001</v>
      </c>
      <c r="K3280" s="636">
        <f t="shared" si="769"/>
        <v>1194.2085801999999</v>
      </c>
      <c r="L3280" s="636">
        <f t="shared" si="769"/>
        <v>1248.3027801999999</v>
      </c>
    </row>
    <row r="3281" spans="1:64" s="413" customFormat="1" ht="13">
      <c r="A3281" s="454"/>
      <c r="B3281" s="454"/>
      <c r="C3281" s="522" t="s">
        <v>726</v>
      </c>
      <c r="D3281" s="416">
        <f t="shared" ref="D3281:L3281" si="770">ROUND(D3280,0)</f>
        <v>816</v>
      </c>
      <c r="E3281" s="416">
        <f t="shared" si="770"/>
        <v>870</v>
      </c>
      <c r="F3281" s="416">
        <f t="shared" si="770"/>
        <v>924</v>
      </c>
      <c r="G3281" s="416">
        <f t="shared" si="770"/>
        <v>978</v>
      </c>
      <c r="H3281" s="416">
        <f t="shared" si="770"/>
        <v>1032</v>
      </c>
      <c r="I3281" s="416">
        <f t="shared" si="770"/>
        <v>1086</v>
      </c>
      <c r="J3281" s="533">
        <f t="shared" si="770"/>
        <v>1140</v>
      </c>
      <c r="K3281" s="534">
        <f t="shared" si="770"/>
        <v>1194</v>
      </c>
      <c r="L3281" s="534">
        <f t="shared" si="770"/>
        <v>1248</v>
      </c>
    </row>
    <row r="3282" spans="1:64" ht="13">
      <c r="A3282" s="454"/>
      <c r="B3282" s="454"/>
      <c r="C3282" s="427"/>
      <c r="D3282" s="416"/>
      <c r="E3282" s="416"/>
      <c r="F3282" s="416"/>
      <c r="G3282" s="416"/>
      <c r="H3282" s="492"/>
      <c r="I3282" s="434"/>
      <c r="J3282" s="400"/>
      <c r="K3282" s="401"/>
      <c r="L3282" s="401"/>
    </row>
    <row r="3283" spans="1:64" ht="123.25" customHeight="1">
      <c r="A3283" s="454">
        <f>1+A3096</f>
        <v>10</v>
      </c>
      <c r="B3283" s="454"/>
      <c r="C3283" s="1276" t="s">
        <v>1269</v>
      </c>
      <c r="D3283" s="1276"/>
      <c r="E3283" s="1276"/>
      <c r="F3283" s="1276"/>
      <c r="G3283" s="1276"/>
      <c r="H3283" s="1276"/>
      <c r="I3283" s="407"/>
      <c r="J3283" s="400"/>
      <c r="K3283" s="401"/>
      <c r="L3283" s="401"/>
    </row>
    <row r="3284" spans="1:64" ht="13">
      <c r="A3284" s="454"/>
      <c r="B3284" s="454" t="s">
        <v>720</v>
      </c>
      <c r="C3284" s="427" t="s">
        <v>1252</v>
      </c>
      <c r="D3284" s="406"/>
      <c r="E3284" s="406"/>
      <c r="F3284" s="406"/>
      <c r="G3284" s="406"/>
      <c r="H3284" s="406"/>
      <c r="I3284" s="432"/>
      <c r="J3284" s="400"/>
      <c r="K3284" s="401"/>
      <c r="L3284" s="401"/>
    </row>
    <row r="3285" spans="1:64" ht="13">
      <c r="A3285" s="454"/>
      <c r="B3285" s="454"/>
      <c r="C3285" s="455" t="s">
        <v>1228</v>
      </c>
      <c r="D3285" s="426"/>
      <c r="E3285" s="426"/>
      <c r="F3285" s="426"/>
      <c r="G3285" s="426"/>
      <c r="H3285" s="426"/>
      <c r="I3285" s="409"/>
      <c r="J3285" s="400"/>
      <c r="K3285" s="401"/>
      <c r="L3285" s="401"/>
    </row>
    <row r="3286" spans="1:64">
      <c r="A3286" s="454"/>
      <c r="B3286" s="454"/>
      <c r="C3286" s="483" t="s">
        <v>1167</v>
      </c>
      <c r="D3286" s="426"/>
      <c r="E3286" s="426"/>
      <c r="F3286" s="426"/>
      <c r="G3286" s="426"/>
      <c r="H3286" s="426"/>
      <c r="I3286" s="409"/>
      <c r="J3286" s="400"/>
      <c r="K3286" s="401"/>
      <c r="L3286" s="401"/>
    </row>
    <row r="3287" spans="1:64" ht="13">
      <c r="A3287" s="454"/>
      <c r="B3287" s="454"/>
      <c r="C3287" s="433" t="s">
        <v>1168</v>
      </c>
      <c r="D3287" s="409"/>
      <c r="E3287" s="426"/>
      <c r="F3287" s="409"/>
      <c r="G3287" s="410"/>
      <c r="H3287" s="426"/>
      <c r="I3287" s="408"/>
      <c r="J3287" s="400"/>
      <c r="K3287" s="401"/>
      <c r="L3287" s="401"/>
    </row>
    <row r="3288" spans="1:64" ht="25">
      <c r="A3288" s="458"/>
      <c r="B3288" s="458"/>
      <c r="C3288" s="417" t="s">
        <v>1229</v>
      </c>
      <c r="D3288" s="432">
        <v>10.5</v>
      </c>
      <c r="E3288" s="406" t="s">
        <v>62</v>
      </c>
      <c r="F3288" s="432">
        <f>[161]LEAD!$N$28</f>
        <v>3030</v>
      </c>
      <c r="G3288" s="431">
        <v>1</v>
      </c>
      <c r="H3288" s="406" t="s">
        <v>62</v>
      </c>
      <c r="I3288" s="459">
        <f t="shared" ref="I3288:I3292" si="771">IF(G3288="",D3288*F3288,(D3288*F3288/G3288))</f>
        <v>31815</v>
      </c>
      <c r="J3288" s="462"/>
      <c r="K3288" s="463"/>
      <c r="L3288" s="463"/>
      <c r="M3288" s="559"/>
      <c r="N3288" s="559"/>
      <c r="O3288" s="559"/>
      <c r="P3288" s="559"/>
      <c r="Q3288" s="559"/>
      <c r="R3288" s="559"/>
      <c r="S3288" s="559"/>
      <c r="T3288" s="559"/>
      <c r="U3288" s="559"/>
      <c r="V3288" s="559"/>
      <c r="W3288" s="559"/>
      <c r="X3288" s="559"/>
      <c r="Y3288" s="559"/>
      <c r="Z3288" s="559"/>
      <c r="AA3288" s="559"/>
      <c r="AB3288" s="559"/>
      <c r="AC3288" s="559"/>
      <c r="AD3288" s="559"/>
      <c r="AE3288" s="559"/>
      <c r="AF3288" s="559"/>
      <c r="AG3288" s="559"/>
      <c r="AH3288" s="559"/>
      <c r="AI3288" s="559"/>
      <c r="AJ3288" s="559"/>
      <c r="AK3288" s="559"/>
      <c r="AL3288" s="559"/>
      <c r="AM3288" s="559"/>
      <c r="AN3288" s="559"/>
      <c r="AO3288" s="559"/>
      <c r="AP3288" s="559"/>
      <c r="AQ3288" s="559"/>
      <c r="AR3288" s="559"/>
      <c r="AS3288" s="559"/>
      <c r="AT3288" s="559"/>
      <c r="AU3288" s="559"/>
      <c r="AV3288" s="559"/>
      <c r="AW3288" s="559"/>
      <c r="AX3288" s="559"/>
      <c r="AY3288" s="559"/>
      <c r="AZ3288" s="559"/>
      <c r="BA3288" s="559"/>
      <c r="BB3288" s="559"/>
      <c r="BC3288" s="559"/>
      <c r="BD3288" s="559"/>
      <c r="BE3288" s="559"/>
      <c r="BF3288" s="559"/>
      <c r="BG3288" s="559"/>
      <c r="BH3288" s="559"/>
      <c r="BI3288" s="559"/>
      <c r="BJ3288" s="559"/>
      <c r="BK3288" s="559"/>
      <c r="BL3288" s="559"/>
    </row>
    <row r="3289" spans="1:64">
      <c r="A3289" s="458"/>
      <c r="B3289" s="458"/>
      <c r="C3289" s="417" t="s">
        <v>1270</v>
      </c>
      <c r="D3289" s="432">
        <v>34.56</v>
      </c>
      <c r="E3289" s="406" t="s">
        <v>833</v>
      </c>
      <c r="F3289" s="432">
        <f>[161]LEAD!$N$6</f>
        <v>5200</v>
      </c>
      <c r="G3289" s="431">
        <v>1000</v>
      </c>
      <c r="H3289" s="406" t="s">
        <v>833</v>
      </c>
      <c r="I3289" s="459">
        <f t="shared" si="771"/>
        <v>179.71199999999999</v>
      </c>
      <c r="J3289" s="462"/>
      <c r="K3289" s="463"/>
      <c r="L3289" s="463"/>
      <c r="M3289" s="559"/>
      <c r="N3289" s="559"/>
      <c r="O3289" s="559"/>
      <c r="P3289" s="559"/>
      <c r="Q3289" s="559"/>
      <c r="R3289" s="559"/>
      <c r="S3289" s="559"/>
      <c r="T3289" s="559"/>
      <c r="U3289" s="559"/>
      <c r="V3289" s="559"/>
      <c r="W3289" s="559"/>
      <c r="X3289" s="559"/>
      <c r="Y3289" s="559"/>
      <c r="Z3289" s="559"/>
      <c r="AA3289" s="559"/>
      <c r="AB3289" s="559"/>
      <c r="AC3289" s="559"/>
      <c r="AD3289" s="559"/>
      <c r="AE3289" s="559"/>
      <c r="AF3289" s="559"/>
      <c r="AG3289" s="559"/>
      <c r="AH3289" s="559"/>
      <c r="AI3289" s="559"/>
      <c r="AJ3289" s="559"/>
      <c r="AK3289" s="559"/>
      <c r="AL3289" s="559"/>
      <c r="AM3289" s="559"/>
      <c r="AN3289" s="559"/>
      <c r="AO3289" s="559"/>
      <c r="AP3289" s="559"/>
      <c r="AQ3289" s="559"/>
      <c r="AR3289" s="559"/>
      <c r="AS3289" s="559"/>
      <c r="AT3289" s="559"/>
      <c r="AU3289" s="559"/>
      <c r="AV3289" s="559"/>
      <c r="AW3289" s="559"/>
      <c r="AX3289" s="559"/>
      <c r="AY3289" s="559"/>
      <c r="AZ3289" s="559"/>
      <c r="BA3289" s="559"/>
      <c r="BB3289" s="559"/>
      <c r="BC3289" s="559"/>
      <c r="BD3289" s="559"/>
      <c r="BE3289" s="559"/>
      <c r="BF3289" s="559"/>
      <c r="BG3289" s="559"/>
      <c r="BH3289" s="559"/>
      <c r="BI3289" s="559"/>
      <c r="BJ3289" s="559"/>
      <c r="BK3289" s="559"/>
      <c r="BL3289" s="559"/>
    </row>
    <row r="3290" spans="1:64">
      <c r="A3290" s="458"/>
      <c r="B3290" s="458"/>
      <c r="C3290" s="417" t="s">
        <v>1171</v>
      </c>
      <c r="D3290" s="432">
        <v>33</v>
      </c>
      <c r="E3290" s="406" t="s">
        <v>833</v>
      </c>
      <c r="F3290" s="432">
        <f>[161]LEAD!$N$6</f>
        <v>5200</v>
      </c>
      <c r="G3290" s="431">
        <v>1000</v>
      </c>
      <c r="H3290" s="406" t="s">
        <v>833</v>
      </c>
      <c r="I3290" s="459">
        <f t="shared" si="771"/>
        <v>171.6</v>
      </c>
      <c r="J3290" s="462"/>
      <c r="K3290" s="463"/>
      <c r="L3290" s="463"/>
      <c r="M3290" s="559"/>
      <c r="N3290" s="559"/>
      <c r="O3290" s="559"/>
      <c r="P3290" s="559"/>
      <c r="Q3290" s="559"/>
      <c r="R3290" s="559"/>
      <c r="S3290" s="559"/>
      <c r="T3290" s="559"/>
      <c r="U3290" s="559"/>
      <c r="V3290" s="559"/>
      <c r="W3290" s="559"/>
      <c r="X3290" s="559"/>
      <c r="Y3290" s="559"/>
      <c r="Z3290" s="559"/>
      <c r="AA3290" s="559"/>
      <c r="AB3290" s="559"/>
      <c r="AC3290" s="559"/>
      <c r="AD3290" s="559"/>
      <c r="AE3290" s="559"/>
      <c r="AF3290" s="559"/>
      <c r="AG3290" s="559"/>
      <c r="AH3290" s="559"/>
      <c r="AI3290" s="559"/>
      <c r="AJ3290" s="559"/>
      <c r="AK3290" s="559"/>
      <c r="AL3290" s="559"/>
      <c r="AM3290" s="559"/>
      <c r="AN3290" s="559"/>
      <c r="AO3290" s="559"/>
      <c r="AP3290" s="559"/>
      <c r="AQ3290" s="559"/>
      <c r="AR3290" s="559"/>
      <c r="AS3290" s="559"/>
      <c r="AT3290" s="559"/>
      <c r="AU3290" s="559"/>
      <c r="AV3290" s="559"/>
      <c r="AW3290" s="559"/>
      <c r="AX3290" s="559"/>
      <c r="AY3290" s="559"/>
      <c r="AZ3290" s="559"/>
      <c r="BA3290" s="559"/>
      <c r="BB3290" s="559"/>
      <c r="BC3290" s="559"/>
      <c r="BD3290" s="559"/>
      <c r="BE3290" s="559"/>
      <c r="BF3290" s="559"/>
      <c r="BG3290" s="559"/>
      <c r="BH3290" s="559"/>
      <c r="BI3290" s="559"/>
      <c r="BJ3290" s="559"/>
      <c r="BK3290" s="559"/>
      <c r="BL3290" s="559"/>
    </row>
    <row r="3291" spans="1:64">
      <c r="A3291" s="458"/>
      <c r="B3291" s="458"/>
      <c r="C3291" s="417" t="s">
        <v>1230</v>
      </c>
      <c r="D3291" s="432">
        <v>6</v>
      </c>
      <c r="E3291" s="406" t="s">
        <v>833</v>
      </c>
      <c r="F3291" s="432">
        <f>'[161]Civil-SOR'!$G$185</f>
        <v>34</v>
      </c>
      <c r="G3291" s="431">
        <v>1</v>
      </c>
      <c r="H3291" s="406" t="s">
        <v>312</v>
      </c>
      <c r="I3291" s="459">
        <f t="shared" si="771"/>
        <v>204</v>
      </c>
      <c r="J3291" s="462"/>
      <c r="K3291" s="463"/>
      <c r="L3291" s="463"/>
      <c r="M3291" s="559"/>
      <c r="N3291" s="559"/>
      <c r="O3291" s="559"/>
      <c r="P3291" s="559"/>
      <c r="Q3291" s="559"/>
      <c r="R3291" s="559"/>
      <c r="S3291" s="559"/>
      <c r="T3291" s="559"/>
      <c r="U3291" s="559"/>
      <c r="V3291" s="559"/>
      <c r="W3291" s="559"/>
      <c r="X3291" s="559"/>
      <c r="Y3291" s="559"/>
      <c r="Z3291" s="559"/>
      <c r="AA3291" s="559"/>
      <c r="AB3291" s="559"/>
      <c r="AC3291" s="559"/>
      <c r="AD3291" s="559"/>
      <c r="AE3291" s="559"/>
      <c r="AF3291" s="559"/>
      <c r="AG3291" s="559"/>
      <c r="AH3291" s="559"/>
      <c r="AI3291" s="559"/>
      <c r="AJ3291" s="559"/>
      <c r="AK3291" s="559"/>
      <c r="AL3291" s="559"/>
      <c r="AM3291" s="559"/>
      <c r="AN3291" s="559"/>
      <c r="AO3291" s="559"/>
      <c r="AP3291" s="559"/>
      <c r="AQ3291" s="559"/>
      <c r="AR3291" s="559"/>
      <c r="AS3291" s="559"/>
      <c r="AT3291" s="559"/>
      <c r="AU3291" s="559"/>
      <c r="AV3291" s="559"/>
      <c r="AW3291" s="559"/>
      <c r="AX3291" s="559"/>
      <c r="AY3291" s="559"/>
      <c r="AZ3291" s="559"/>
      <c r="BA3291" s="559"/>
      <c r="BB3291" s="559"/>
      <c r="BC3291" s="559"/>
      <c r="BD3291" s="559"/>
      <c r="BE3291" s="559"/>
      <c r="BF3291" s="559"/>
      <c r="BG3291" s="559"/>
      <c r="BH3291" s="559"/>
      <c r="BI3291" s="559"/>
      <c r="BJ3291" s="559"/>
      <c r="BK3291" s="559"/>
      <c r="BL3291" s="559"/>
    </row>
    <row r="3292" spans="1:64">
      <c r="A3292" s="458"/>
      <c r="B3292" s="458"/>
      <c r="C3292" s="417" t="s">
        <v>1255</v>
      </c>
      <c r="D3292" s="432">
        <v>0.12</v>
      </c>
      <c r="E3292" s="406" t="s">
        <v>57</v>
      </c>
      <c r="F3292" s="432">
        <f>[161]LEAD!$N$13</f>
        <v>2453.91</v>
      </c>
      <c r="G3292" s="431">
        <v>1</v>
      </c>
      <c r="H3292" s="406" t="s">
        <v>57</v>
      </c>
      <c r="I3292" s="459">
        <f t="shared" si="771"/>
        <v>294.46919999999994</v>
      </c>
      <c r="J3292" s="462"/>
      <c r="K3292" s="463"/>
      <c r="L3292" s="463"/>
      <c r="M3292" s="559"/>
      <c r="N3292" s="559"/>
      <c r="O3292" s="559"/>
      <c r="P3292" s="559"/>
      <c r="Q3292" s="559"/>
      <c r="R3292" s="559"/>
      <c r="S3292" s="559"/>
      <c r="T3292" s="559"/>
      <c r="U3292" s="559"/>
      <c r="V3292" s="559"/>
      <c r="W3292" s="559"/>
      <c r="X3292" s="559"/>
      <c r="Y3292" s="559"/>
      <c r="Z3292" s="559"/>
      <c r="AA3292" s="559"/>
      <c r="AB3292" s="559"/>
      <c r="AC3292" s="559"/>
      <c r="AD3292" s="559"/>
      <c r="AE3292" s="559"/>
      <c r="AF3292" s="559"/>
      <c r="AG3292" s="559"/>
      <c r="AH3292" s="559"/>
      <c r="AI3292" s="559"/>
      <c r="AJ3292" s="559"/>
      <c r="AK3292" s="559"/>
      <c r="AL3292" s="559"/>
      <c r="AM3292" s="559"/>
      <c r="AN3292" s="559"/>
      <c r="AO3292" s="559"/>
      <c r="AP3292" s="559"/>
      <c r="AQ3292" s="559"/>
      <c r="AR3292" s="559"/>
      <c r="AS3292" s="559"/>
      <c r="AT3292" s="559"/>
      <c r="AU3292" s="559"/>
      <c r="AV3292" s="559"/>
      <c r="AW3292" s="559"/>
      <c r="AX3292" s="559"/>
      <c r="AY3292" s="559"/>
      <c r="AZ3292" s="559"/>
      <c r="BA3292" s="559"/>
      <c r="BB3292" s="559"/>
      <c r="BC3292" s="559"/>
      <c r="BD3292" s="559"/>
      <c r="BE3292" s="559"/>
      <c r="BF3292" s="559"/>
      <c r="BG3292" s="559"/>
      <c r="BH3292" s="559"/>
      <c r="BI3292" s="559"/>
      <c r="BJ3292" s="559"/>
      <c r="BK3292" s="559"/>
      <c r="BL3292" s="559"/>
    </row>
    <row r="3293" spans="1:64" ht="13">
      <c r="A3293" s="458"/>
      <c r="B3293" s="458"/>
      <c r="C3293" s="427" t="s">
        <v>1073</v>
      </c>
      <c r="D3293" s="432"/>
      <c r="E3293" s="406"/>
      <c r="F3293" s="432"/>
      <c r="G3293" s="431"/>
      <c r="H3293" s="406"/>
      <c r="I3293" s="459"/>
      <c r="J3293" s="462"/>
      <c r="K3293" s="463"/>
      <c r="L3293" s="463"/>
      <c r="M3293" s="559"/>
      <c r="N3293" s="559"/>
      <c r="O3293" s="559"/>
      <c r="P3293" s="559"/>
      <c r="Q3293" s="559"/>
      <c r="R3293" s="559"/>
      <c r="S3293" s="559"/>
      <c r="T3293" s="559"/>
      <c r="U3293" s="559"/>
      <c r="V3293" s="559"/>
      <c r="W3293" s="559"/>
      <c r="X3293" s="559"/>
      <c r="Y3293" s="559"/>
      <c r="Z3293" s="559"/>
      <c r="AA3293" s="559"/>
      <c r="AB3293" s="559"/>
      <c r="AC3293" s="559"/>
      <c r="AD3293" s="559"/>
      <c r="AE3293" s="559"/>
      <c r="AF3293" s="559"/>
      <c r="AG3293" s="559"/>
      <c r="AH3293" s="559"/>
      <c r="AI3293" s="559"/>
      <c r="AJ3293" s="559"/>
      <c r="AK3293" s="559"/>
      <c r="AL3293" s="559"/>
      <c r="AM3293" s="559"/>
      <c r="AN3293" s="559"/>
      <c r="AO3293" s="559"/>
      <c r="AP3293" s="559"/>
      <c r="AQ3293" s="559"/>
      <c r="AR3293" s="559"/>
      <c r="AS3293" s="559"/>
      <c r="AT3293" s="559"/>
      <c r="AU3293" s="559"/>
      <c r="AV3293" s="559"/>
      <c r="AW3293" s="559"/>
      <c r="AX3293" s="559"/>
      <c r="AY3293" s="559"/>
      <c r="AZ3293" s="559"/>
      <c r="BA3293" s="559"/>
      <c r="BB3293" s="559"/>
      <c r="BC3293" s="559"/>
      <c r="BD3293" s="559"/>
      <c r="BE3293" s="559"/>
      <c r="BF3293" s="559"/>
      <c r="BG3293" s="559"/>
      <c r="BH3293" s="559"/>
      <c r="BI3293" s="559"/>
      <c r="BJ3293" s="559"/>
      <c r="BK3293" s="559"/>
      <c r="BL3293" s="559"/>
    </row>
    <row r="3294" spans="1:64">
      <c r="A3294" s="458"/>
      <c r="B3294" s="458"/>
      <c r="C3294" s="417" t="s">
        <v>1044</v>
      </c>
      <c r="D3294" s="432">
        <v>3</v>
      </c>
      <c r="E3294" s="406" t="s">
        <v>14</v>
      </c>
      <c r="F3294" s="432">
        <f>'[161]Civil-SOR'!$G$293</f>
        <v>580</v>
      </c>
      <c r="G3294" s="431">
        <v>1</v>
      </c>
      <c r="H3294" s="406" t="s">
        <v>572</v>
      </c>
      <c r="I3294" s="459">
        <f t="shared" ref="I3294:I3301" si="772">IF(G3294="",D3294*F3294,(D3294*F3294/G3294))</f>
        <v>1740</v>
      </c>
      <c r="J3294" s="462"/>
      <c r="K3294" s="463"/>
      <c r="L3294" s="463"/>
      <c r="M3294" s="559"/>
      <c r="N3294" s="559"/>
      <c r="O3294" s="559"/>
      <c r="P3294" s="559"/>
      <c r="Q3294" s="559"/>
      <c r="R3294" s="559"/>
      <c r="S3294" s="559"/>
      <c r="T3294" s="559"/>
      <c r="U3294" s="559"/>
      <c r="V3294" s="559"/>
      <c r="W3294" s="559"/>
      <c r="X3294" s="559"/>
      <c r="Y3294" s="559"/>
      <c r="Z3294" s="559"/>
      <c r="AA3294" s="559"/>
      <c r="AB3294" s="559"/>
      <c r="AC3294" s="559"/>
      <c r="AD3294" s="559"/>
      <c r="AE3294" s="559"/>
      <c r="AF3294" s="559"/>
      <c r="AG3294" s="559"/>
      <c r="AH3294" s="559"/>
      <c r="AI3294" s="559"/>
      <c r="AJ3294" s="559"/>
      <c r="AK3294" s="559"/>
      <c r="AL3294" s="559"/>
      <c r="AM3294" s="559"/>
      <c r="AN3294" s="559"/>
      <c r="AO3294" s="559"/>
      <c r="AP3294" s="559"/>
      <c r="AQ3294" s="559"/>
      <c r="AR3294" s="559"/>
      <c r="AS3294" s="559"/>
      <c r="AT3294" s="559"/>
      <c r="AU3294" s="559"/>
      <c r="AV3294" s="559"/>
      <c r="AW3294" s="559"/>
      <c r="AX3294" s="559"/>
      <c r="AY3294" s="559"/>
      <c r="AZ3294" s="559"/>
      <c r="BA3294" s="559"/>
      <c r="BB3294" s="559"/>
      <c r="BC3294" s="559"/>
      <c r="BD3294" s="559"/>
      <c r="BE3294" s="559"/>
      <c r="BF3294" s="559"/>
      <c r="BG3294" s="559"/>
      <c r="BH3294" s="559"/>
      <c r="BI3294" s="559"/>
      <c r="BJ3294" s="559"/>
      <c r="BK3294" s="559"/>
      <c r="BL3294" s="559"/>
    </row>
    <row r="3295" spans="1:64">
      <c r="A3295" s="458"/>
      <c r="B3295" s="458"/>
      <c r="C3295" s="417" t="s">
        <v>1074</v>
      </c>
      <c r="D3295" s="432">
        <v>1</v>
      </c>
      <c r="E3295" s="406" t="s">
        <v>14</v>
      </c>
      <c r="F3295" s="432">
        <f>'[161]Civil-SOR'!$G$302</f>
        <v>550</v>
      </c>
      <c r="G3295" s="431">
        <v>1</v>
      </c>
      <c r="H3295" s="406" t="s">
        <v>572</v>
      </c>
      <c r="I3295" s="459">
        <f t="shared" si="772"/>
        <v>550</v>
      </c>
      <c r="J3295" s="462"/>
      <c r="K3295" s="463"/>
      <c r="L3295" s="463"/>
      <c r="M3295" s="559"/>
      <c r="N3295" s="559"/>
      <c r="O3295" s="559"/>
      <c r="P3295" s="559"/>
      <c r="Q3295" s="559"/>
      <c r="R3295" s="559"/>
      <c r="S3295" s="559"/>
      <c r="T3295" s="559"/>
      <c r="U3295" s="559"/>
      <c r="V3295" s="559"/>
      <c r="W3295" s="559"/>
      <c r="X3295" s="559"/>
      <c r="Y3295" s="559"/>
      <c r="Z3295" s="559"/>
      <c r="AA3295" s="559"/>
      <c r="AB3295" s="559"/>
      <c r="AC3295" s="559"/>
      <c r="AD3295" s="559"/>
      <c r="AE3295" s="559"/>
      <c r="AF3295" s="559"/>
      <c r="AG3295" s="559"/>
      <c r="AH3295" s="559"/>
      <c r="AI3295" s="559"/>
      <c r="AJ3295" s="559"/>
      <c r="AK3295" s="559"/>
      <c r="AL3295" s="559"/>
      <c r="AM3295" s="559"/>
      <c r="AN3295" s="559"/>
      <c r="AO3295" s="559"/>
      <c r="AP3295" s="559"/>
      <c r="AQ3295" s="559"/>
      <c r="AR3295" s="559"/>
      <c r="AS3295" s="559"/>
      <c r="AT3295" s="559"/>
      <c r="AU3295" s="559"/>
      <c r="AV3295" s="559"/>
      <c r="AW3295" s="559"/>
      <c r="AX3295" s="559"/>
      <c r="AY3295" s="559"/>
      <c r="AZ3295" s="559"/>
      <c r="BA3295" s="559"/>
      <c r="BB3295" s="559"/>
      <c r="BC3295" s="559"/>
      <c r="BD3295" s="559"/>
      <c r="BE3295" s="559"/>
      <c r="BF3295" s="559"/>
      <c r="BG3295" s="559"/>
      <c r="BH3295" s="559"/>
      <c r="BI3295" s="559"/>
      <c r="BJ3295" s="559"/>
      <c r="BK3295" s="559"/>
      <c r="BL3295" s="559"/>
    </row>
    <row r="3296" spans="1:64">
      <c r="A3296" s="458"/>
      <c r="B3296" s="458"/>
      <c r="C3296" s="417" t="s">
        <v>1174</v>
      </c>
      <c r="D3296" s="432">
        <v>8</v>
      </c>
      <c r="E3296" s="406" t="s">
        <v>14</v>
      </c>
      <c r="F3296" s="432">
        <f>'[161]Civil-SOR'!$G$307</f>
        <v>520</v>
      </c>
      <c r="G3296" s="431">
        <v>1</v>
      </c>
      <c r="H3296" s="406" t="s">
        <v>572</v>
      </c>
      <c r="I3296" s="459">
        <f t="shared" si="772"/>
        <v>4160</v>
      </c>
      <c r="J3296" s="462"/>
      <c r="K3296" s="463"/>
      <c r="L3296" s="463"/>
      <c r="M3296" s="559"/>
      <c r="N3296" s="559"/>
      <c r="O3296" s="559"/>
      <c r="P3296" s="559"/>
      <c r="Q3296" s="559"/>
      <c r="R3296" s="559"/>
      <c r="S3296" s="559"/>
      <c r="T3296" s="559"/>
      <c r="U3296" s="559"/>
      <c r="V3296" s="559"/>
      <c r="W3296" s="559"/>
      <c r="X3296" s="559"/>
      <c r="Y3296" s="559"/>
      <c r="Z3296" s="559"/>
      <c r="AA3296" s="559"/>
      <c r="AB3296" s="559"/>
      <c r="AC3296" s="559"/>
      <c r="AD3296" s="559"/>
      <c r="AE3296" s="559"/>
      <c r="AF3296" s="559"/>
      <c r="AG3296" s="559"/>
      <c r="AH3296" s="559"/>
      <c r="AI3296" s="559"/>
      <c r="AJ3296" s="559"/>
      <c r="AK3296" s="559"/>
      <c r="AL3296" s="559"/>
      <c r="AM3296" s="559"/>
      <c r="AN3296" s="559"/>
      <c r="AO3296" s="559"/>
      <c r="AP3296" s="559"/>
      <c r="AQ3296" s="559"/>
      <c r="AR3296" s="559"/>
      <c r="AS3296" s="559"/>
      <c r="AT3296" s="559"/>
      <c r="AU3296" s="559"/>
      <c r="AV3296" s="559"/>
      <c r="AW3296" s="559"/>
      <c r="AX3296" s="559"/>
      <c r="AY3296" s="559"/>
      <c r="AZ3296" s="559"/>
      <c r="BA3296" s="559"/>
      <c r="BB3296" s="559"/>
      <c r="BC3296" s="559"/>
      <c r="BD3296" s="559"/>
      <c r="BE3296" s="559"/>
      <c r="BF3296" s="559"/>
      <c r="BG3296" s="559"/>
      <c r="BH3296" s="559"/>
      <c r="BI3296" s="559"/>
      <c r="BJ3296" s="559"/>
      <c r="BK3296" s="559"/>
      <c r="BL3296" s="559"/>
    </row>
    <row r="3297" spans="1:64">
      <c r="A3297" s="458"/>
      <c r="B3297" s="458"/>
      <c r="C3297" s="417" t="str">
        <f>[161]Input!$C$47</f>
        <v>Add for MA @ 40%</v>
      </c>
      <c r="D3297" s="622">
        <f>[161]Input!$D$47</f>
        <v>0.4</v>
      </c>
      <c r="E3297" s="406"/>
      <c r="F3297" s="432">
        <f>SUM(I3294:I3296)</f>
        <v>6450</v>
      </c>
      <c r="G3297" s="431"/>
      <c r="H3297" s="406"/>
      <c r="I3297" s="459">
        <f t="shared" si="772"/>
        <v>2580</v>
      </c>
      <c r="J3297" s="462"/>
      <c r="K3297" s="463"/>
      <c r="L3297" s="463"/>
      <c r="M3297" s="559"/>
      <c r="N3297" s="559"/>
      <c r="O3297" s="559"/>
      <c r="P3297" s="559"/>
      <c r="Q3297" s="559"/>
      <c r="R3297" s="559"/>
      <c r="S3297" s="559"/>
      <c r="T3297" s="559"/>
      <c r="U3297" s="559"/>
      <c r="V3297" s="559"/>
      <c r="W3297" s="559"/>
      <c r="X3297" s="559"/>
      <c r="Y3297" s="559"/>
      <c r="Z3297" s="559"/>
      <c r="AA3297" s="559"/>
      <c r="AB3297" s="559"/>
      <c r="AC3297" s="559"/>
      <c r="AD3297" s="559"/>
      <c r="AE3297" s="559"/>
      <c r="AF3297" s="559"/>
      <c r="AG3297" s="559"/>
      <c r="AH3297" s="559"/>
      <c r="AI3297" s="559"/>
      <c r="AJ3297" s="559"/>
      <c r="AK3297" s="559"/>
      <c r="AL3297" s="559"/>
      <c r="AM3297" s="559"/>
      <c r="AN3297" s="559"/>
      <c r="AO3297" s="559"/>
      <c r="AP3297" s="559"/>
      <c r="AQ3297" s="559"/>
      <c r="AR3297" s="559"/>
      <c r="AS3297" s="559"/>
      <c r="AT3297" s="559"/>
      <c r="AU3297" s="559"/>
      <c r="AV3297" s="559"/>
      <c r="AW3297" s="559"/>
      <c r="AX3297" s="559"/>
      <c r="AY3297" s="559"/>
      <c r="AZ3297" s="559"/>
      <c r="BA3297" s="559"/>
      <c r="BB3297" s="559"/>
      <c r="BC3297" s="559"/>
      <c r="BD3297" s="559"/>
      <c r="BE3297" s="559"/>
      <c r="BF3297" s="559"/>
      <c r="BG3297" s="559"/>
      <c r="BH3297" s="559"/>
      <c r="BI3297" s="559"/>
      <c r="BJ3297" s="559"/>
      <c r="BK3297" s="559"/>
      <c r="BL3297" s="559"/>
    </row>
    <row r="3298" spans="1:64">
      <c r="A3298" s="458"/>
      <c r="B3298" s="458"/>
      <c r="C3298" s="417" t="s">
        <v>1271</v>
      </c>
      <c r="D3298" s="622">
        <v>33.33</v>
      </c>
      <c r="E3298" s="406" t="s">
        <v>1052</v>
      </c>
      <c r="F3298" s="459">
        <f>'[161]Civil-SOR'!$G$200</f>
        <v>24</v>
      </c>
      <c r="G3298" s="431">
        <v>1</v>
      </c>
      <c r="H3298" s="406" t="s">
        <v>1052</v>
      </c>
      <c r="I3298" s="459">
        <f t="shared" si="772"/>
        <v>799.92</v>
      </c>
      <c r="J3298" s="462"/>
      <c r="K3298" s="463"/>
      <c r="L3298" s="463"/>
      <c r="M3298" s="559"/>
      <c r="N3298" s="559"/>
      <c r="O3298" s="559"/>
      <c r="P3298" s="559"/>
      <c r="Q3298" s="559"/>
      <c r="R3298" s="559"/>
      <c r="S3298" s="559"/>
      <c r="T3298" s="559"/>
      <c r="U3298" s="559"/>
      <c r="V3298" s="559"/>
      <c r="W3298" s="559"/>
      <c r="X3298" s="559"/>
      <c r="Y3298" s="559"/>
      <c r="Z3298" s="559"/>
      <c r="AA3298" s="559"/>
      <c r="AB3298" s="559"/>
      <c r="AC3298" s="559"/>
      <c r="AD3298" s="559"/>
      <c r="AE3298" s="559"/>
      <c r="AF3298" s="559"/>
      <c r="AG3298" s="559"/>
      <c r="AH3298" s="559"/>
      <c r="AI3298" s="559"/>
      <c r="AJ3298" s="559"/>
      <c r="AK3298" s="559"/>
      <c r="AL3298" s="559"/>
      <c r="AM3298" s="559"/>
      <c r="AN3298" s="559"/>
      <c r="AO3298" s="559"/>
      <c r="AP3298" s="559"/>
      <c r="AQ3298" s="559"/>
      <c r="AR3298" s="559"/>
      <c r="AS3298" s="559"/>
      <c r="AT3298" s="559"/>
      <c r="AU3298" s="559"/>
      <c r="AV3298" s="559"/>
      <c r="AW3298" s="559"/>
      <c r="AX3298" s="559"/>
      <c r="AY3298" s="559"/>
      <c r="AZ3298" s="559"/>
      <c r="BA3298" s="559"/>
      <c r="BB3298" s="559"/>
      <c r="BC3298" s="559"/>
      <c r="BD3298" s="559"/>
      <c r="BE3298" s="559"/>
      <c r="BF3298" s="559"/>
      <c r="BG3298" s="559"/>
      <c r="BH3298" s="559"/>
      <c r="BI3298" s="559"/>
      <c r="BJ3298" s="559"/>
      <c r="BK3298" s="559"/>
      <c r="BL3298" s="559"/>
    </row>
    <row r="3299" spans="1:64">
      <c r="A3299" s="458"/>
      <c r="B3299" s="458"/>
      <c r="C3299" s="417" t="s">
        <v>1272</v>
      </c>
      <c r="D3299" s="622">
        <v>33.33</v>
      </c>
      <c r="E3299" s="406" t="s">
        <v>1052</v>
      </c>
      <c r="F3299" s="459">
        <f>'[161]Civil-SOR'!$G$198</f>
        <v>456</v>
      </c>
      <c r="G3299" s="431">
        <v>1</v>
      </c>
      <c r="H3299" s="406" t="s">
        <v>1052</v>
      </c>
      <c r="I3299" s="459">
        <f t="shared" si="772"/>
        <v>15198.48</v>
      </c>
      <c r="J3299" s="462"/>
      <c r="K3299" s="463"/>
      <c r="L3299" s="463"/>
      <c r="M3299" s="559"/>
      <c r="N3299" s="559"/>
      <c r="O3299" s="559"/>
      <c r="P3299" s="559"/>
      <c r="Q3299" s="559"/>
      <c r="R3299" s="559"/>
      <c r="S3299" s="559"/>
      <c r="T3299" s="559"/>
      <c r="U3299" s="559"/>
      <c r="V3299" s="559"/>
      <c r="W3299" s="559"/>
      <c r="X3299" s="559"/>
      <c r="Y3299" s="559"/>
      <c r="Z3299" s="559"/>
      <c r="AA3299" s="559"/>
      <c r="AB3299" s="559"/>
      <c r="AC3299" s="559"/>
      <c r="AD3299" s="559"/>
      <c r="AE3299" s="559"/>
      <c r="AF3299" s="559"/>
      <c r="AG3299" s="559"/>
      <c r="AH3299" s="559"/>
      <c r="AI3299" s="559"/>
      <c r="AJ3299" s="559"/>
      <c r="AK3299" s="559"/>
      <c r="AL3299" s="559"/>
      <c r="AM3299" s="559"/>
      <c r="AN3299" s="559"/>
      <c r="AO3299" s="559"/>
      <c r="AP3299" s="559"/>
      <c r="AQ3299" s="559"/>
      <c r="AR3299" s="559"/>
      <c r="AS3299" s="559"/>
      <c r="AT3299" s="559"/>
      <c r="AU3299" s="559"/>
      <c r="AV3299" s="559"/>
      <c r="AW3299" s="559"/>
      <c r="AX3299" s="559"/>
      <c r="AY3299" s="559"/>
      <c r="AZ3299" s="559"/>
      <c r="BA3299" s="559"/>
      <c r="BB3299" s="559"/>
      <c r="BC3299" s="559"/>
      <c r="BD3299" s="559"/>
      <c r="BE3299" s="559"/>
      <c r="BF3299" s="559"/>
      <c r="BG3299" s="559"/>
      <c r="BH3299" s="559"/>
      <c r="BI3299" s="559"/>
      <c r="BJ3299" s="559"/>
      <c r="BK3299" s="559"/>
      <c r="BL3299" s="559"/>
    </row>
    <row r="3300" spans="1:64">
      <c r="A3300" s="458"/>
      <c r="B3300" s="458"/>
      <c r="C3300" s="417" t="str">
        <f>[161]Input!$C$47</f>
        <v>Add for MA @ 40%</v>
      </c>
      <c r="D3300" s="622">
        <f>[161]Input!$D$47</f>
        <v>0.4</v>
      </c>
      <c r="E3300" s="406"/>
      <c r="F3300" s="432">
        <f>SUM(I3298:I3299)*40%</f>
        <v>6399.3600000000006</v>
      </c>
      <c r="G3300" s="431"/>
      <c r="H3300" s="406"/>
      <c r="I3300" s="459">
        <f t="shared" si="772"/>
        <v>2559.7440000000006</v>
      </c>
      <c r="J3300" s="462"/>
      <c r="K3300" s="463"/>
      <c r="L3300" s="463"/>
      <c r="M3300" s="559"/>
      <c r="N3300" s="559"/>
      <c r="O3300" s="559"/>
      <c r="P3300" s="559"/>
      <c r="Q3300" s="559"/>
      <c r="R3300" s="559"/>
      <c r="S3300" s="559"/>
      <c r="T3300" s="559"/>
      <c r="U3300" s="559"/>
      <c r="V3300" s="559"/>
      <c r="W3300" s="559"/>
      <c r="X3300" s="559"/>
      <c r="Y3300" s="559"/>
      <c r="Z3300" s="559"/>
      <c r="AA3300" s="559"/>
      <c r="AB3300" s="559"/>
      <c r="AC3300" s="559"/>
      <c r="AD3300" s="559"/>
      <c r="AE3300" s="559"/>
      <c r="AF3300" s="559"/>
      <c r="AG3300" s="559"/>
      <c r="AH3300" s="559"/>
      <c r="AI3300" s="559"/>
      <c r="AJ3300" s="559"/>
      <c r="AK3300" s="559"/>
      <c r="AL3300" s="559"/>
      <c r="AM3300" s="559"/>
      <c r="AN3300" s="559"/>
      <c r="AO3300" s="559"/>
      <c r="AP3300" s="559"/>
      <c r="AQ3300" s="559"/>
      <c r="AR3300" s="559"/>
      <c r="AS3300" s="559"/>
      <c r="AT3300" s="559"/>
      <c r="AU3300" s="559"/>
      <c r="AV3300" s="559"/>
      <c r="AW3300" s="559"/>
      <c r="AX3300" s="559"/>
      <c r="AY3300" s="559"/>
      <c r="AZ3300" s="559"/>
      <c r="BA3300" s="559"/>
      <c r="BB3300" s="559"/>
      <c r="BC3300" s="559"/>
      <c r="BD3300" s="559"/>
      <c r="BE3300" s="559"/>
      <c r="BF3300" s="559"/>
      <c r="BG3300" s="559"/>
      <c r="BH3300" s="559"/>
      <c r="BI3300" s="559"/>
      <c r="BJ3300" s="559"/>
      <c r="BK3300" s="559"/>
      <c r="BL3300" s="559"/>
    </row>
    <row r="3301" spans="1:64">
      <c r="A3301" s="458"/>
      <c r="B3301" s="458"/>
      <c r="C3301" s="417" t="s">
        <v>1046</v>
      </c>
      <c r="D3301" s="432">
        <v>0.01</v>
      </c>
      <c r="E3301" s="406"/>
      <c r="F3301" s="432">
        <f>SUM(I3288:I3300)</f>
        <v>60252.925199999991</v>
      </c>
      <c r="G3301" s="431"/>
      <c r="H3301" s="406"/>
      <c r="I3301" s="459">
        <f t="shared" si="772"/>
        <v>602.52925199999993</v>
      </c>
      <c r="J3301" s="462"/>
      <c r="K3301" s="463"/>
      <c r="L3301" s="463"/>
      <c r="M3301" s="559"/>
      <c r="N3301" s="559"/>
      <c r="O3301" s="559"/>
      <c r="P3301" s="559"/>
      <c r="Q3301" s="559"/>
      <c r="R3301" s="559"/>
      <c r="S3301" s="559"/>
      <c r="T3301" s="559"/>
      <c r="U3301" s="559"/>
      <c r="V3301" s="559"/>
      <c r="W3301" s="559"/>
      <c r="X3301" s="559"/>
      <c r="Y3301" s="559"/>
      <c r="Z3301" s="559"/>
      <c r="AA3301" s="559"/>
      <c r="AB3301" s="559"/>
      <c r="AC3301" s="559"/>
      <c r="AD3301" s="559"/>
      <c r="AE3301" s="559"/>
      <c r="AF3301" s="559"/>
      <c r="AG3301" s="559"/>
      <c r="AH3301" s="559"/>
      <c r="AI3301" s="559"/>
      <c r="AJ3301" s="559"/>
      <c r="AK3301" s="559"/>
      <c r="AL3301" s="559"/>
      <c r="AM3301" s="559"/>
      <c r="AN3301" s="559"/>
      <c r="AO3301" s="559"/>
      <c r="AP3301" s="559"/>
      <c r="AQ3301" s="559"/>
      <c r="AR3301" s="559"/>
      <c r="AS3301" s="559"/>
      <c r="AT3301" s="559"/>
      <c r="AU3301" s="559"/>
      <c r="AV3301" s="559"/>
      <c r="AW3301" s="559"/>
      <c r="AX3301" s="559"/>
      <c r="AY3301" s="559"/>
      <c r="AZ3301" s="559"/>
      <c r="BA3301" s="559"/>
      <c r="BB3301" s="559"/>
      <c r="BC3301" s="559"/>
      <c r="BD3301" s="559"/>
      <c r="BE3301" s="559"/>
      <c r="BF3301" s="559"/>
      <c r="BG3301" s="559"/>
      <c r="BH3301" s="559"/>
      <c r="BI3301" s="559"/>
      <c r="BJ3301" s="559"/>
      <c r="BK3301" s="559"/>
      <c r="BL3301" s="559"/>
    </row>
    <row r="3302" spans="1:64" ht="13">
      <c r="A3302" s="454"/>
      <c r="B3302" s="454"/>
      <c r="C3302" s="433" t="s">
        <v>1184</v>
      </c>
      <c r="D3302" s="409"/>
      <c r="E3302" s="426"/>
      <c r="F3302" s="409"/>
      <c r="G3302" s="410"/>
      <c r="H3302" s="426"/>
      <c r="I3302" s="414">
        <f>SUM(I3288:I3301)</f>
        <v>60855.454451999991</v>
      </c>
      <c r="J3302" s="400"/>
      <c r="K3302" s="401"/>
      <c r="L3302" s="401"/>
    </row>
    <row r="3303" spans="1:64" ht="13">
      <c r="A3303" s="454"/>
      <c r="B3303" s="454"/>
      <c r="C3303" s="433"/>
      <c r="D3303" s="409"/>
      <c r="E3303" s="426"/>
      <c r="F3303" s="409"/>
      <c r="G3303" s="410"/>
      <c r="H3303" s="426"/>
      <c r="I3303" s="414"/>
      <c r="J3303" s="400"/>
      <c r="K3303" s="401"/>
      <c r="L3303" s="401"/>
    </row>
    <row r="3304" spans="1:64" s="554" customFormat="1" ht="13">
      <c r="A3304" s="454"/>
      <c r="B3304" s="454"/>
      <c r="C3304" s="481" t="s">
        <v>953</v>
      </c>
      <c r="D3304" s="414" t="s">
        <v>959</v>
      </c>
      <c r="E3304" s="416" t="s">
        <v>943</v>
      </c>
      <c r="F3304" s="415" t="s">
        <v>944</v>
      </c>
      <c r="G3304" s="414" t="s">
        <v>1036</v>
      </c>
      <c r="H3304" s="414" t="s">
        <v>1037</v>
      </c>
      <c r="I3304" s="414" t="s">
        <v>1038</v>
      </c>
      <c r="J3304" s="638" t="s">
        <v>1118</v>
      </c>
      <c r="K3304" s="636" t="s">
        <v>1119</v>
      </c>
      <c r="L3304" s="636" t="s">
        <v>1120</v>
      </c>
    </row>
    <row r="3305" spans="1:64">
      <c r="A3305" s="454"/>
      <c r="B3305" s="454"/>
      <c r="C3305" s="417" t="s">
        <v>1064</v>
      </c>
      <c r="D3305" s="408">
        <f t="shared" ref="D3305:L3305" si="773">$I$3302</f>
        <v>60855.454451999991</v>
      </c>
      <c r="E3305" s="408">
        <f t="shared" si="773"/>
        <v>60855.454451999991</v>
      </c>
      <c r="F3305" s="408">
        <f t="shared" si="773"/>
        <v>60855.454451999991</v>
      </c>
      <c r="G3305" s="408">
        <f t="shared" si="773"/>
        <v>60855.454451999991</v>
      </c>
      <c r="H3305" s="408">
        <f t="shared" si="773"/>
        <v>60855.454451999991</v>
      </c>
      <c r="I3305" s="408">
        <f t="shared" si="773"/>
        <v>60855.454451999991</v>
      </c>
      <c r="J3305" s="575">
        <f t="shared" si="773"/>
        <v>60855.454451999991</v>
      </c>
      <c r="K3305" s="644">
        <f t="shared" si="773"/>
        <v>60855.454451999991</v>
      </c>
      <c r="L3305" s="644">
        <f t="shared" si="773"/>
        <v>60855.454451999991</v>
      </c>
    </row>
    <row r="3306" spans="1:64">
      <c r="A3306" s="454"/>
      <c r="B3306" s="454"/>
      <c r="C3306" s="417" t="s">
        <v>994</v>
      </c>
      <c r="D3306" s="408">
        <v>0</v>
      </c>
      <c r="E3306" s="408">
        <f>ROUND($F$3297*10%,2)</f>
        <v>645</v>
      </c>
      <c r="F3306" s="408">
        <f>ROUND($F$3297*20%,2)</f>
        <v>1290</v>
      </c>
      <c r="G3306" s="408">
        <f>ROUND($F$3297*30%,2)</f>
        <v>1935</v>
      </c>
      <c r="H3306" s="408">
        <f>ROUND($F$3297*40%,2)</f>
        <v>2580</v>
      </c>
      <c r="I3306" s="408">
        <f>ROUND($F$3297*50%,2)</f>
        <v>3225</v>
      </c>
      <c r="J3306" s="575">
        <f>ROUND($F$3297*60%,2)</f>
        <v>3870</v>
      </c>
      <c r="K3306" s="644">
        <f>ROUND($F$3297*70%,2)</f>
        <v>4515</v>
      </c>
      <c r="L3306" s="644">
        <f>ROUND($F$3297*80%,2)</f>
        <v>5160</v>
      </c>
    </row>
    <row r="3307" spans="1:64">
      <c r="A3307" s="454"/>
      <c r="B3307" s="454"/>
      <c r="C3307" s="417" t="str">
        <f>[161]Input!$C$47</f>
        <v>Add for MA @ 40%</v>
      </c>
      <c r="D3307" s="408">
        <f>D3306*[161]Input!$D$47</f>
        <v>0</v>
      </c>
      <c r="E3307" s="408">
        <f>E3306*[161]Input!$D$47</f>
        <v>258</v>
      </c>
      <c r="F3307" s="408">
        <f>F3306*[161]Input!$D$47</f>
        <v>516</v>
      </c>
      <c r="G3307" s="408">
        <f>G3306*[161]Input!$D$47</f>
        <v>774</v>
      </c>
      <c r="H3307" s="408">
        <f>H3306*[161]Input!$D$47</f>
        <v>1032</v>
      </c>
      <c r="I3307" s="408">
        <f>I3306*[161]Input!$D$47</f>
        <v>1290</v>
      </c>
      <c r="J3307" s="575">
        <f>J3306*[161]Input!$D$47</f>
        <v>1548</v>
      </c>
      <c r="K3307" s="644">
        <f>K3306*[161]Input!$D$47</f>
        <v>1806</v>
      </c>
      <c r="L3307" s="644">
        <f>L3306*[161]Input!$D$47</f>
        <v>2064</v>
      </c>
    </row>
    <row r="3308" spans="1:64">
      <c r="A3308" s="454"/>
      <c r="B3308" s="454"/>
      <c r="C3308" s="469"/>
      <c r="D3308" s="408">
        <f t="shared" ref="D3308:L3308" si="774">SUM(D3305:D3307)</f>
        <v>60855.454451999991</v>
      </c>
      <c r="E3308" s="408">
        <f t="shared" si="774"/>
        <v>61758.454451999991</v>
      </c>
      <c r="F3308" s="408">
        <f t="shared" si="774"/>
        <v>62661.454451999991</v>
      </c>
      <c r="G3308" s="408">
        <f t="shared" si="774"/>
        <v>63564.454451999991</v>
      </c>
      <c r="H3308" s="408">
        <f t="shared" si="774"/>
        <v>64467.454451999991</v>
      </c>
      <c r="I3308" s="408">
        <f t="shared" si="774"/>
        <v>65370.454451999991</v>
      </c>
      <c r="J3308" s="575">
        <f t="shared" si="774"/>
        <v>66273.454451999991</v>
      </c>
      <c r="K3308" s="644">
        <f t="shared" si="774"/>
        <v>67176.454451999991</v>
      </c>
      <c r="L3308" s="644">
        <f t="shared" si="774"/>
        <v>68079.454451999991</v>
      </c>
    </row>
    <row r="3309" spans="1:64" ht="25">
      <c r="A3309" s="454"/>
      <c r="B3309" s="454"/>
      <c r="C3309" s="417" t="str">
        <f>[161]Input!$C$48</f>
        <v>Overheads &amp; Contractors Profit @ 13.615%</v>
      </c>
      <c r="D3309" s="408">
        <f>ROUND(D3308*[161]Input!$D$48,2)</f>
        <v>8285.4699999999993</v>
      </c>
      <c r="E3309" s="408">
        <f>ROUND(E3308*[161]Input!$D$48,2)</f>
        <v>8408.41</v>
      </c>
      <c r="F3309" s="408">
        <f>ROUND(F3308*[161]Input!$D$48,2)</f>
        <v>8531.36</v>
      </c>
      <c r="G3309" s="408">
        <f>ROUND(G3308*[161]Input!$D$48,2)</f>
        <v>8654.2999999999993</v>
      </c>
      <c r="H3309" s="408">
        <f>ROUND(H3308*[161]Input!$D$48,2)</f>
        <v>8777.24</v>
      </c>
      <c r="I3309" s="408">
        <f>ROUND(I3308*[161]Input!$D$48,2)</f>
        <v>8900.19</v>
      </c>
      <c r="J3309" s="575">
        <f>ROUND(J3308*[161]Input!$D$48,2)</f>
        <v>9023.1299999999992</v>
      </c>
      <c r="K3309" s="644">
        <f>ROUND(K3308*[161]Input!$D$48,2)</f>
        <v>9146.07</v>
      </c>
      <c r="L3309" s="644">
        <f>ROUND(L3308*[161]Input!$D$48,2)</f>
        <v>9269.02</v>
      </c>
    </row>
    <row r="3310" spans="1:64" ht="13">
      <c r="A3310" s="454"/>
      <c r="B3310" s="454"/>
      <c r="C3310" s="427" t="s">
        <v>1047</v>
      </c>
      <c r="D3310" s="414">
        <f t="shared" ref="D3310:L3310" si="775">SUM(D3308:D3309)</f>
        <v>69140.924451999992</v>
      </c>
      <c r="E3310" s="414">
        <f t="shared" si="775"/>
        <v>70166.864451999994</v>
      </c>
      <c r="F3310" s="414">
        <f t="shared" si="775"/>
        <v>71192.814451999991</v>
      </c>
      <c r="G3310" s="414">
        <f t="shared" si="775"/>
        <v>72218.754451999994</v>
      </c>
      <c r="H3310" s="414">
        <f t="shared" si="775"/>
        <v>73244.694451999996</v>
      </c>
      <c r="I3310" s="414">
        <f t="shared" si="775"/>
        <v>74270.644451999993</v>
      </c>
      <c r="J3310" s="657">
        <f t="shared" si="775"/>
        <v>75296.584451999996</v>
      </c>
      <c r="K3310" s="631">
        <f t="shared" si="775"/>
        <v>76322.524451999983</v>
      </c>
      <c r="L3310" s="631">
        <f t="shared" si="775"/>
        <v>77348.474451999995</v>
      </c>
    </row>
    <row r="3311" spans="1:64" ht="13">
      <c r="A3311" s="454"/>
      <c r="B3311" s="454"/>
      <c r="C3311" s="427" t="s">
        <v>845</v>
      </c>
      <c r="D3311" s="414">
        <f t="shared" ref="D3311:L3311" si="776">D3310/10</f>
        <v>6914.092445199999</v>
      </c>
      <c r="E3311" s="414">
        <f t="shared" si="776"/>
        <v>7016.6864451999991</v>
      </c>
      <c r="F3311" s="414">
        <f t="shared" si="776"/>
        <v>7119.2814451999993</v>
      </c>
      <c r="G3311" s="414">
        <f t="shared" si="776"/>
        <v>7221.8754451999994</v>
      </c>
      <c r="H3311" s="414">
        <f t="shared" si="776"/>
        <v>7324.4694451999994</v>
      </c>
      <c r="I3311" s="414">
        <f t="shared" si="776"/>
        <v>7427.0644451999997</v>
      </c>
      <c r="J3311" s="657">
        <f t="shared" si="776"/>
        <v>7529.6584451999997</v>
      </c>
      <c r="K3311" s="631">
        <f t="shared" si="776"/>
        <v>7632.252445199998</v>
      </c>
      <c r="L3311" s="631">
        <f t="shared" si="776"/>
        <v>7734.8474451999991</v>
      </c>
    </row>
    <row r="3312" spans="1:64" s="554" customFormat="1" ht="13">
      <c r="A3312" s="454"/>
      <c r="B3312" s="454"/>
      <c r="C3312" s="522" t="s">
        <v>726</v>
      </c>
      <c r="D3312" s="416">
        <f t="shared" ref="D3312:L3312" si="777">ROUND(D3311,0)</f>
        <v>6914</v>
      </c>
      <c r="E3312" s="416">
        <f t="shared" si="777"/>
        <v>7017</v>
      </c>
      <c r="F3312" s="416">
        <f t="shared" si="777"/>
        <v>7119</v>
      </c>
      <c r="G3312" s="416">
        <f t="shared" si="777"/>
        <v>7222</v>
      </c>
      <c r="H3312" s="416">
        <f t="shared" si="777"/>
        <v>7324</v>
      </c>
      <c r="I3312" s="416">
        <f t="shared" si="777"/>
        <v>7427</v>
      </c>
      <c r="J3312" s="533">
        <f t="shared" si="777"/>
        <v>7530</v>
      </c>
      <c r="K3312" s="534">
        <f t="shared" si="777"/>
        <v>7632</v>
      </c>
      <c r="L3312" s="534">
        <f t="shared" si="777"/>
        <v>7735</v>
      </c>
    </row>
    <row r="3313" spans="1:12" ht="13">
      <c r="A3313" s="454"/>
      <c r="B3313" s="454"/>
      <c r="C3313" s="427"/>
      <c r="D3313" s="416"/>
      <c r="E3313" s="416"/>
      <c r="F3313" s="416"/>
      <c r="G3313" s="416"/>
      <c r="H3313" s="416"/>
      <c r="I3313" s="414"/>
      <c r="J3313" s="400"/>
      <c r="K3313" s="401"/>
      <c r="L3313" s="401"/>
    </row>
    <row r="3314" spans="1:12" ht="13">
      <c r="A3314" s="454"/>
      <c r="B3314" s="454"/>
      <c r="C3314" s="427" t="s">
        <v>953</v>
      </c>
      <c r="D3314" s="414" t="s">
        <v>1118</v>
      </c>
      <c r="E3314" s="414" t="s">
        <v>1119</v>
      </c>
      <c r="F3314" s="414" t="s">
        <v>1120</v>
      </c>
      <c r="G3314" s="416"/>
      <c r="H3314" s="416"/>
      <c r="I3314" s="414"/>
      <c r="J3314" s="400"/>
      <c r="K3314" s="401"/>
      <c r="L3314" s="401"/>
    </row>
    <row r="3315" spans="1:12" ht="13">
      <c r="A3315" s="454"/>
      <c r="B3315" s="454"/>
      <c r="C3315" s="417" t="s">
        <v>1064</v>
      </c>
      <c r="D3315" s="408">
        <f>$I$3302</f>
        <v>60855.454451999991</v>
      </c>
      <c r="E3315" s="408">
        <f>$I$3302</f>
        <v>60855.454451999991</v>
      </c>
      <c r="F3315" s="408">
        <f>$I$3302</f>
        <v>60855.454451999991</v>
      </c>
      <c r="G3315" s="416"/>
      <c r="H3315" s="416"/>
      <c r="I3315" s="414"/>
      <c r="J3315" s="400"/>
      <c r="K3315" s="401"/>
      <c r="L3315" s="401"/>
    </row>
    <row r="3316" spans="1:12" ht="13">
      <c r="A3316" s="454"/>
      <c r="B3316" s="454"/>
      <c r="C3316" s="417" t="s">
        <v>994</v>
      </c>
      <c r="D3316" s="408">
        <f>ROUND($F$3297*60%,2)</f>
        <v>3870</v>
      </c>
      <c r="E3316" s="408">
        <f>ROUND($F$3297*70%,2)</f>
        <v>4515</v>
      </c>
      <c r="F3316" s="408">
        <f>ROUND($F$3297*80%,2)</f>
        <v>5160</v>
      </c>
      <c r="G3316" s="416"/>
      <c r="H3316" s="416"/>
      <c r="I3316" s="414"/>
      <c r="J3316" s="400"/>
      <c r="K3316" s="401"/>
      <c r="L3316" s="401"/>
    </row>
    <row r="3317" spans="1:12" ht="13">
      <c r="A3317" s="454"/>
      <c r="B3317" s="454"/>
      <c r="C3317" s="417" t="str">
        <f>[161]Input!$C$47</f>
        <v>Add for MA @ 40%</v>
      </c>
      <c r="D3317" s="408">
        <f>D3316*[161]Input!$D$47</f>
        <v>1548</v>
      </c>
      <c r="E3317" s="408">
        <f>E3316*[161]Input!$D$47</f>
        <v>1806</v>
      </c>
      <c r="F3317" s="408">
        <f>F3316*[161]Input!$D$47</f>
        <v>2064</v>
      </c>
      <c r="G3317" s="416"/>
      <c r="H3317" s="416"/>
      <c r="I3317" s="414"/>
      <c r="J3317" s="400"/>
      <c r="K3317" s="401"/>
      <c r="L3317" s="401"/>
    </row>
    <row r="3318" spans="1:12" ht="13">
      <c r="A3318" s="454"/>
      <c r="B3318" s="454"/>
      <c r="C3318" s="435"/>
      <c r="D3318" s="408">
        <f>SUM(D3315:D3317)</f>
        <v>66273.454451999991</v>
      </c>
      <c r="E3318" s="408">
        <f>SUM(E3315:E3317)</f>
        <v>67176.454451999991</v>
      </c>
      <c r="F3318" s="408">
        <f>SUM(F3315:F3317)</f>
        <v>68079.454451999991</v>
      </c>
      <c r="G3318" s="416"/>
      <c r="H3318" s="416"/>
      <c r="I3318" s="414"/>
      <c r="J3318" s="400"/>
      <c r="K3318" s="401"/>
      <c r="L3318" s="401"/>
    </row>
    <row r="3319" spans="1:12" ht="25">
      <c r="A3319" s="454"/>
      <c r="B3319" s="454"/>
      <c r="C3319" s="417" t="str">
        <f>[161]Input!$C$48</f>
        <v>Overheads &amp; Contractors Profit @ 13.615%</v>
      </c>
      <c r="D3319" s="408">
        <f>ROUND(D3318*[161]Input!$D$48,2)</f>
        <v>9023.1299999999992</v>
      </c>
      <c r="E3319" s="408">
        <f>ROUND(E3318*[161]Input!$D$48,2)</f>
        <v>9146.07</v>
      </c>
      <c r="F3319" s="408">
        <f>ROUND(F3318*[161]Input!$D$48,2)</f>
        <v>9269.02</v>
      </c>
      <c r="G3319" s="416"/>
      <c r="H3319" s="416"/>
      <c r="I3319" s="414"/>
      <c r="J3319" s="400"/>
      <c r="K3319" s="401"/>
      <c r="L3319" s="401"/>
    </row>
    <row r="3320" spans="1:12" ht="13">
      <c r="A3320" s="454"/>
      <c r="B3320" s="454"/>
      <c r="C3320" s="427" t="s">
        <v>1047</v>
      </c>
      <c r="D3320" s="414">
        <f>SUM(D3318:D3319)</f>
        <v>75296.584451999996</v>
      </c>
      <c r="E3320" s="414">
        <f>SUM(E3318:E3319)</f>
        <v>76322.524451999983</v>
      </c>
      <c r="F3320" s="414">
        <f>SUM(F3318:F3319)</f>
        <v>77348.474451999995</v>
      </c>
      <c r="G3320" s="416"/>
      <c r="H3320" s="416"/>
      <c r="I3320" s="414"/>
      <c r="J3320" s="400"/>
      <c r="K3320" s="401"/>
      <c r="L3320" s="401"/>
    </row>
    <row r="3321" spans="1:12" ht="13">
      <c r="A3321" s="454"/>
      <c r="B3321" s="454"/>
      <c r="C3321" s="427" t="s">
        <v>845</v>
      </c>
      <c r="D3321" s="414">
        <f>D3320/10</f>
        <v>7529.6584451999997</v>
      </c>
      <c r="E3321" s="414">
        <f>E3320/10</f>
        <v>7632.252445199998</v>
      </c>
      <c r="F3321" s="414">
        <f>F3320/10</f>
        <v>7734.8474451999991</v>
      </c>
      <c r="G3321" s="416"/>
      <c r="H3321" s="416"/>
      <c r="I3321" s="414"/>
      <c r="J3321" s="400"/>
      <c r="K3321" s="401"/>
      <c r="L3321" s="401"/>
    </row>
    <row r="3322" spans="1:12" ht="13">
      <c r="A3322" s="454"/>
      <c r="B3322" s="454"/>
      <c r="C3322" s="514" t="s">
        <v>726</v>
      </c>
      <c r="D3322" s="416">
        <f>ROUND(D3321,0)</f>
        <v>7530</v>
      </c>
      <c r="E3322" s="416">
        <f>ROUND(E3321,0)</f>
        <v>7632</v>
      </c>
      <c r="F3322" s="416">
        <f>ROUND(F3321,0)</f>
        <v>7735</v>
      </c>
      <c r="G3322" s="416"/>
      <c r="H3322" s="416"/>
      <c r="I3322" s="414"/>
      <c r="J3322" s="400"/>
      <c r="K3322" s="401"/>
      <c r="L3322" s="401"/>
    </row>
    <row r="3323" spans="1:12" ht="13">
      <c r="A3323" s="454"/>
      <c r="B3323" s="454"/>
      <c r="C3323" s="427"/>
      <c r="D3323" s="416"/>
      <c r="E3323" s="416"/>
      <c r="F3323" s="416"/>
      <c r="G3323" s="416"/>
      <c r="H3323" s="416"/>
      <c r="I3323" s="414"/>
      <c r="J3323" s="400"/>
      <c r="K3323" s="401"/>
      <c r="L3323" s="401"/>
    </row>
    <row r="3324" spans="1:12" s="404" customFormat="1" ht="13">
      <c r="A3324" s="454"/>
      <c r="B3324" s="415" t="s">
        <v>727</v>
      </c>
      <c r="C3324" s="427" t="s">
        <v>1257</v>
      </c>
      <c r="D3324" s="416"/>
      <c r="E3324" s="416"/>
      <c r="F3324" s="416"/>
      <c r="G3324" s="416"/>
      <c r="H3324" s="416"/>
      <c r="I3324" s="414"/>
      <c r="J3324" s="400"/>
      <c r="K3324" s="401"/>
      <c r="L3324" s="401"/>
    </row>
    <row r="3325" spans="1:12" s="404" customFormat="1" ht="13">
      <c r="A3325" s="454"/>
      <c r="B3325" s="454"/>
      <c r="C3325" s="455" t="s">
        <v>1267</v>
      </c>
      <c r="D3325" s="408"/>
      <c r="E3325" s="408"/>
      <c r="F3325" s="408"/>
      <c r="G3325" s="430"/>
      <c r="H3325" s="415"/>
      <c r="I3325" s="414"/>
      <c r="J3325" s="400"/>
      <c r="K3325" s="401"/>
      <c r="L3325" s="401"/>
    </row>
    <row r="3326" spans="1:12" s="404" customFormat="1" ht="13">
      <c r="A3326" s="454"/>
      <c r="B3326" s="454"/>
      <c r="C3326" s="417" t="s">
        <v>1259</v>
      </c>
      <c r="D3326" s="408"/>
      <c r="E3326" s="408"/>
      <c r="F3326" s="408"/>
      <c r="G3326" s="430"/>
      <c r="H3326" s="415"/>
      <c r="I3326" s="414"/>
      <c r="J3326" s="400"/>
      <c r="K3326" s="401"/>
      <c r="L3326" s="401"/>
    </row>
    <row r="3327" spans="1:12" s="404" customFormat="1" ht="13">
      <c r="A3327" s="454"/>
      <c r="B3327" s="454"/>
      <c r="C3327" s="427" t="s">
        <v>873</v>
      </c>
      <c r="D3327" s="408"/>
      <c r="E3327" s="408"/>
      <c r="F3327" s="408"/>
      <c r="G3327" s="430"/>
      <c r="H3327" s="415"/>
      <c r="I3327" s="414"/>
      <c r="J3327" s="400"/>
      <c r="K3327" s="401"/>
      <c r="L3327" s="401"/>
    </row>
    <row r="3328" spans="1:12" s="404" customFormat="1">
      <c r="A3328" s="454"/>
      <c r="B3328" s="454"/>
      <c r="C3328" s="417" t="s">
        <v>1273</v>
      </c>
      <c r="D3328" s="408">
        <v>10.5</v>
      </c>
      <c r="E3328" s="408" t="s">
        <v>17</v>
      </c>
      <c r="F3328" s="408">
        <f>[161]LEAD!$N$28</f>
        <v>3030</v>
      </c>
      <c r="G3328" s="430">
        <v>1</v>
      </c>
      <c r="H3328" s="454" t="s">
        <v>17</v>
      </c>
      <c r="I3328" s="408">
        <f t="shared" ref="I3328:I3334" si="778">IF(G3328="",D3328*F3328,(D3328*F3328/G3328))</f>
        <v>31815</v>
      </c>
      <c r="J3328" s="487"/>
      <c r="K3328" s="401"/>
      <c r="L3328" s="401"/>
    </row>
    <row r="3329" spans="1:12" s="404" customFormat="1">
      <c r="A3329" s="454"/>
      <c r="B3329" s="454"/>
      <c r="C3329" s="417" t="s">
        <v>1261</v>
      </c>
      <c r="D3329" s="408">
        <v>0.12</v>
      </c>
      <c r="E3329" s="408" t="s">
        <v>666</v>
      </c>
      <c r="F3329" s="408">
        <f>[161]LEAD!$N$13</f>
        <v>2453.91</v>
      </c>
      <c r="G3329" s="430">
        <v>1</v>
      </c>
      <c r="H3329" s="454" t="s">
        <v>666</v>
      </c>
      <c r="I3329" s="408">
        <f t="shared" si="778"/>
        <v>294.46919999999994</v>
      </c>
      <c r="J3329" s="487"/>
      <c r="K3329" s="401"/>
      <c r="L3329" s="401"/>
    </row>
    <row r="3330" spans="1:12" s="404" customFormat="1">
      <c r="A3330" s="454"/>
      <c r="B3330" s="454"/>
      <c r="C3330" s="417" t="s">
        <v>1262</v>
      </c>
      <c r="D3330" s="408">
        <v>34.56</v>
      </c>
      <c r="E3330" s="408" t="s">
        <v>833</v>
      </c>
      <c r="F3330" s="408">
        <f>[161]LEAD!$N$6</f>
        <v>5200</v>
      </c>
      <c r="G3330" s="430">
        <v>1000</v>
      </c>
      <c r="H3330" s="454" t="s">
        <v>833</v>
      </c>
      <c r="I3330" s="408">
        <f t="shared" si="778"/>
        <v>179.71199999999999</v>
      </c>
      <c r="J3330" s="487"/>
      <c r="K3330" s="401"/>
      <c r="L3330" s="401"/>
    </row>
    <row r="3331" spans="1:12" s="404" customFormat="1">
      <c r="A3331" s="454"/>
      <c r="B3331" s="454"/>
      <c r="C3331" s="417" t="s">
        <v>1171</v>
      </c>
      <c r="D3331" s="408">
        <v>33</v>
      </c>
      <c r="E3331" s="408" t="s">
        <v>833</v>
      </c>
      <c r="F3331" s="408">
        <f>[161]LEAD!$N$6</f>
        <v>5200</v>
      </c>
      <c r="G3331" s="430">
        <v>1000</v>
      </c>
      <c r="H3331" s="454" t="s">
        <v>833</v>
      </c>
      <c r="I3331" s="408">
        <f t="shared" si="778"/>
        <v>171.6</v>
      </c>
      <c r="J3331" s="487"/>
      <c r="K3331" s="401"/>
      <c r="L3331" s="401"/>
    </row>
    <row r="3332" spans="1:12" s="420" customFormat="1" ht="25">
      <c r="A3332" s="454"/>
      <c r="B3332" s="454"/>
      <c r="C3332" s="417" t="s">
        <v>1274</v>
      </c>
      <c r="D3332" s="408">
        <v>5</v>
      </c>
      <c r="E3332" s="408" t="s">
        <v>833</v>
      </c>
      <c r="F3332" s="408">
        <f>'[161]Civil-SOR'!$G$185</f>
        <v>34</v>
      </c>
      <c r="G3332" s="430">
        <v>1</v>
      </c>
      <c r="H3332" s="454" t="s">
        <v>312</v>
      </c>
      <c r="I3332" s="408">
        <f t="shared" si="778"/>
        <v>170</v>
      </c>
      <c r="J3332" s="489"/>
      <c r="K3332" s="419"/>
      <c r="L3332" s="419"/>
    </row>
    <row r="3333" spans="1:12" s="420" customFormat="1">
      <c r="A3333" s="454"/>
      <c r="B3333" s="454"/>
      <c r="C3333" s="417" t="s">
        <v>1275</v>
      </c>
      <c r="D3333" s="408">
        <v>66.67</v>
      </c>
      <c r="E3333" s="408" t="s">
        <v>1052</v>
      </c>
      <c r="F3333" s="408">
        <f>'[161]Civil-SOR'!$G$200</f>
        <v>24</v>
      </c>
      <c r="G3333" s="430">
        <v>1</v>
      </c>
      <c r="H3333" s="454" t="s">
        <v>1052</v>
      </c>
      <c r="I3333" s="408">
        <f t="shared" si="778"/>
        <v>1600.08</v>
      </c>
      <c r="J3333" s="489"/>
      <c r="K3333" s="419"/>
      <c r="L3333" s="419"/>
    </row>
    <row r="3334" spans="1:12" s="404" customFormat="1">
      <c r="A3334" s="454"/>
      <c r="B3334" s="454"/>
      <c r="C3334" s="469" t="str">
        <f>[161]Input!$C$47</f>
        <v>Add for MA @ 40%</v>
      </c>
      <c r="D3334" s="621">
        <f>[161]Input!$D$47</f>
        <v>0.4</v>
      </c>
      <c r="E3334" s="454"/>
      <c r="F3334" s="408">
        <f>I3333*40%</f>
        <v>640.03200000000004</v>
      </c>
      <c r="G3334" s="410"/>
      <c r="H3334" s="426"/>
      <c r="I3334" s="408">
        <f t="shared" si="778"/>
        <v>256.01280000000003</v>
      </c>
      <c r="J3334" s="487"/>
      <c r="K3334" s="401"/>
      <c r="L3334" s="401"/>
    </row>
    <row r="3335" spans="1:12" s="404" customFormat="1" ht="13">
      <c r="A3335" s="454"/>
      <c r="B3335" s="454"/>
      <c r="C3335" s="427" t="s">
        <v>1263</v>
      </c>
      <c r="D3335" s="408"/>
      <c r="E3335" s="408"/>
      <c r="F3335" s="408"/>
      <c r="G3335" s="430"/>
      <c r="H3335" s="415"/>
      <c r="I3335" s="414"/>
      <c r="J3335" s="487"/>
      <c r="K3335" s="401"/>
      <c r="L3335" s="401"/>
    </row>
    <row r="3336" spans="1:12" s="404" customFormat="1">
      <c r="A3336" s="454"/>
      <c r="B3336" s="454"/>
      <c r="C3336" s="417" t="s">
        <v>1044</v>
      </c>
      <c r="D3336" s="408">
        <v>2.1</v>
      </c>
      <c r="E3336" s="408" t="s">
        <v>375</v>
      </c>
      <c r="F3336" s="408">
        <f>'[161]Civil-SOR'!$G$293</f>
        <v>580</v>
      </c>
      <c r="G3336" s="430">
        <v>1</v>
      </c>
      <c r="H3336" s="454" t="s">
        <v>572</v>
      </c>
      <c r="I3336" s="408">
        <f t="shared" ref="I3336:I3340" si="779">IF(G3336="",D3336*F3336,(D3336*F3336/G3336))</f>
        <v>1218</v>
      </c>
      <c r="J3336" s="487"/>
      <c r="K3336" s="401"/>
      <c r="L3336" s="401"/>
    </row>
    <row r="3337" spans="1:12" s="404" customFormat="1">
      <c r="A3337" s="454"/>
      <c r="B3337" s="454"/>
      <c r="C3337" s="417" t="s">
        <v>1276</v>
      </c>
      <c r="D3337" s="408">
        <v>0.8</v>
      </c>
      <c r="E3337" s="408" t="s">
        <v>375</v>
      </c>
      <c r="F3337" s="408">
        <f>'[161]Civil-SOR'!$G$307</f>
        <v>520</v>
      </c>
      <c r="G3337" s="430">
        <v>1</v>
      </c>
      <c r="H3337" s="454" t="s">
        <v>572</v>
      </c>
      <c r="I3337" s="408">
        <f t="shared" si="779"/>
        <v>416</v>
      </c>
      <c r="J3337" s="487"/>
      <c r="K3337" s="401"/>
      <c r="L3337" s="401"/>
    </row>
    <row r="3338" spans="1:12" s="404" customFormat="1">
      <c r="A3338" s="454"/>
      <c r="B3338" s="454"/>
      <c r="C3338" s="417" t="s">
        <v>1074</v>
      </c>
      <c r="D3338" s="408">
        <v>4.9000000000000004</v>
      </c>
      <c r="E3338" s="408" t="s">
        <v>375</v>
      </c>
      <c r="F3338" s="408">
        <f>'[161]Civil-SOR'!$G$302</f>
        <v>550</v>
      </c>
      <c r="G3338" s="430">
        <v>1</v>
      </c>
      <c r="H3338" s="454" t="s">
        <v>572</v>
      </c>
      <c r="I3338" s="408">
        <f t="shared" si="779"/>
        <v>2695</v>
      </c>
      <c r="J3338" s="487"/>
      <c r="K3338" s="401"/>
      <c r="L3338" s="401"/>
    </row>
    <row r="3339" spans="1:12" s="404" customFormat="1">
      <c r="A3339" s="454"/>
      <c r="B3339" s="454"/>
      <c r="C3339" s="469" t="str">
        <f>[161]Input!$C$47</f>
        <v>Add for MA @ 40%</v>
      </c>
      <c r="D3339" s="621">
        <f>[161]Input!$D$47</f>
        <v>0.4</v>
      </c>
      <c r="E3339" s="454"/>
      <c r="F3339" s="408">
        <f>SUM(I3336:I3337)</f>
        <v>1634</v>
      </c>
      <c r="G3339" s="410"/>
      <c r="H3339" s="426"/>
      <c r="I3339" s="408">
        <f t="shared" si="779"/>
        <v>653.6</v>
      </c>
      <c r="J3339" s="487"/>
      <c r="K3339" s="401"/>
      <c r="L3339" s="401"/>
    </row>
    <row r="3340" spans="1:12" s="404" customFormat="1">
      <c r="A3340" s="454"/>
      <c r="B3340" s="454"/>
      <c r="C3340" s="483" t="s">
        <v>1046</v>
      </c>
      <c r="D3340" s="408">
        <v>0.01</v>
      </c>
      <c r="E3340" s="408"/>
      <c r="F3340" s="408">
        <f>SUM(I3328:I3339)</f>
        <v>39469.473999999995</v>
      </c>
      <c r="G3340" s="430"/>
      <c r="H3340" s="454"/>
      <c r="I3340" s="408">
        <f t="shared" si="779"/>
        <v>394.69473999999997</v>
      </c>
      <c r="J3340" s="487"/>
      <c r="K3340" s="401"/>
      <c r="L3340" s="401"/>
    </row>
    <row r="3341" spans="1:12" s="413" customFormat="1" ht="13">
      <c r="A3341" s="454"/>
      <c r="B3341" s="454"/>
      <c r="C3341" s="481" t="s">
        <v>1175</v>
      </c>
      <c r="D3341" s="408"/>
      <c r="E3341" s="454"/>
      <c r="F3341" s="408"/>
      <c r="G3341" s="430"/>
      <c r="H3341" s="454"/>
      <c r="I3341" s="434">
        <f>SUM(I3328:I3340)</f>
        <v>39864.168739999994</v>
      </c>
      <c r="J3341" s="654"/>
      <c r="K3341" s="412"/>
      <c r="L3341" s="412"/>
    </row>
    <row r="3342" spans="1:12" s="404" customFormat="1" ht="13">
      <c r="A3342" s="454"/>
      <c r="B3342" s="454"/>
      <c r="C3342" s="433"/>
      <c r="D3342" s="408"/>
      <c r="E3342" s="454"/>
      <c r="F3342" s="408"/>
      <c r="G3342" s="430"/>
      <c r="H3342" s="454"/>
      <c r="I3342" s="409"/>
      <c r="J3342" s="400"/>
      <c r="K3342" s="401"/>
      <c r="L3342" s="401"/>
    </row>
    <row r="3343" spans="1:12" s="413" customFormat="1" ht="13">
      <c r="A3343" s="454"/>
      <c r="B3343" s="454"/>
      <c r="C3343" s="481" t="s">
        <v>953</v>
      </c>
      <c r="D3343" s="414" t="s">
        <v>959</v>
      </c>
      <c r="E3343" s="416" t="s">
        <v>943</v>
      </c>
      <c r="F3343" s="415" t="s">
        <v>944</v>
      </c>
      <c r="G3343" s="414" t="s">
        <v>1036</v>
      </c>
      <c r="H3343" s="414" t="s">
        <v>1037</v>
      </c>
      <c r="I3343" s="414" t="s">
        <v>1038</v>
      </c>
      <c r="J3343" s="638" t="s">
        <v>1118</v>
      </c>
      <c r="K3343" s="636" t="s">
        <v>1119</v>
      </c>
      <c r="L3343" s="636" t="s">
        <v>1120</v>
      </c>
    </row>
    <row r="3344" spans="1:12" s="404" customFormat="1">
      <c r="A3344" s="454"/>
      <c r="B3344" s="454"/>
      <c r="C3344" s="417" t="s">
        <v>1064</v>
      </c>
      <c r="D3344" s="408">
        <f t="shared" ref="D3344:L3344" si="780">$I$3341</f>
        <v>39864.168739999994</v>
      </c>
      <c r="E3344" s="408">
        <f t="shared" si="780"/>
        <v>39864.168739999994</v>
      </c>
      <c r="F3344" s="408">
        <f t="shared" si="780"/>
        <v>39864.168739999994</v>
      </c>
      <c r="G3344" s="408">
        <f t="shared" si="780"/>
        <v>39864.168739999994</v>
      </c>
      <c r="H3344" s="408">
        <f t="shared" si="780"/>
        <v>39864.168739999994</v>
      </c>
      <c r="I3344" s="408">
        <f t="shared" si="780"/>
        <v>39864.168739999994</v>
      </c>
      <c r="J3344" s="575">
        <f t="shared" si="780"/>
        <v>39864.168739999994</v>
      </c>
      <c r="K3344" s="644">
        <f t="shared" si="780"/>
        <v>39864.168739999994</v>
      </c>
      <c r="L3344" s="644">
        <f t="shared" si="780"/>
        <v>39864.168739999994</v>
      </c>
    </row>
    <row r="3345" spans="1:12" s="404" customFormat="1">
      <c r="A3345" s="454"/>
      <c r="B3345" s="454"/>
      <c r="C3345" s="417" t="s">
        <v>994</v>
      </c>
      <c r="D3345" s="408">
        <v>0</v>
      </c>
      <c r="E3345" s="408">
        <f>ROUND($F$3339*10%,2)</f>
        <v>163.4</v>
      </c>
      <c r="F3345" s="408">
        <f>ROUND($F$3339*20%,2)</f>
        <v>326.8</v>
      </c>
      <c r="G3345" s="408">
        <f>ROUND($F$3339*30%,2)</f>
        <v>490.2</v>
      </c>
      <c r="H3345" s="408">
        <f>ROUND($F$3339*40%,2)</f>
        <v>653.6</v>
      </c>
      <c r="I3345" s="408">
        <f>ROUND($F$3339*50%,2)</f>
        <v>817</v>
      </c>
      <c r="J3345" s="575">
        <f>ROUND($F$3339*60%,2)</f>
        <v>980.4</v>
      </c>
      <c r="K3345" s="644">
        <f>ROUND($F$3339*70%,2)</f>
        <v>1143.8</v>
      </c>
      <c r="L3345" s="644">
        <f>ROUND($F$3339*80%,2)</f>
        <v>1307.2</v>
      </c>
    </row>
    <row r="3346" spans="1:12" s="404" customFormat="1">
      <c r="A3346" s="454"/>
      <c r="B3346" s="454"/>
      <c r="C3346" s="417" t="str">
        <f>[161]Input!$C$47</f>
        <v>Add for MA @ 40%</v>
      </c>
      <c r="D3346" s="408">
        <f>D3345*[161]Input!$D$47</f>
        <v>0</v>
      </c>
      <c r="E3346" s="408">
        <f>E3345*[161]Input!$D$47</f>
        <v>65.36</v>
      </c>
      <c r="F3346" s="408">
        <f>F3345*[161]Input!$D$47</f>
        <v>130.72</v>
      </c>
      <c r="G3346" s="408">
        <f>G3345*[161]Input!$D$47</f>
        <v>196.08</v>
      </c>
      <c r="H3346" s="408">
        <f>H3345*[161]Input!$D$47</f>
        <v>261.44</v>
      </c>
      <c r="I3346" s="408">
        <f>I3345*[161]Input!$D$47</f>
        <v>326.8</v>
      </c>
      <c r="J3346" s="575">
        <f>J3345*[161]Input!$D$47</f>
        <v>392.16</v>
      </c>
      <c r="K3346" s="644">
        <f>K3345*[161]Input!$D$47</f>
        <v>457.52</v>
      </c>
      <c r="L3346" s="644">
        <f>L3345*[161]Input!$D$47</f>
        <v>522.88</v>
      </c>
    </row>
    <row r="3347" spans="1:12" s="404" customFormat="1">
      <c r="A3347" s="454"/>
      <c r="B3347" s="454"/>
      <c r="C3347" s="469"/>
      <c r="D3347" s="408">
        <f t="shared" ref="D3347:L3347" si="781">SUM(D3344:D3346)</f>
        <v>39864.168739999994</v>
      </c>
      <c r="E3347" s="408">
        <f t="shared" si="781"/>
        <v>40092.928739999996</v>
      </c>
      <c r="F3347" s="408">
        <f t="shared" si="781"/>
        <v>40321.688739999998</v>
      </c>
      <c r="G3347" s="408">
        <f t="shared" si="781"/>
        <v>40550.448739999993</v>
      </c>
      <c r="H3347" s="408">
        <f t="shared" si="781"/>
        <v>40779.208739999995</v>
      </c>
      <c r="I3347" s="408">
        <f t="shared" si="781"/>
        <v>41007.968739999997</v>
      </c>
      <c r="J3347" s="575">
        <f t="shared" si="781"/>
        <v>41236.728739999999</v>
      </c>
      <c r="K3347" s="644">
        <f t="shared" si="781"/>
        <v>41465.488739999993</v>
      </c>
      <c r="L3347" s="644">
        <f t="shared" si="781"/>
        <v>41694.248739999988</v>
      </c>
    </row>
    <row r="3348" spans="1:12" s="404" customFormat="1" ht="25">
      <c r="A3348" s="454"/>
      <c r="B3348" s="454"/>
      <c r="C3348" s="417" t="str">
        <f>[161]Input!$C$48</f>
        <v>Overheads &amp; Contractors Profit @ 13.615%</v>
      </c>
      <c r="D3348" s="408">
        <f>ROUND(D3347*[161]Input!$D$48,2)</f>
        <v>5427.51</v>
      </c>
      <c r="E3348" s="408">
        <f>ROUND(E3347*[161]Input!$D$48,2)</f>
        <v>5458.65</v>
      </c>
      <c r="F3348" s="408">
        <f>ROUND(F3347*[161]Input!$D$48,2)</f>
        <v>5489.8</v>
      </c>
      <c r="G3348" s="408">
        <f>ROUND(G3347*[161]Input!$D$48,2)</f>
        <v>5520.94</v>
      </c>
      <c r="H3348" s="408">
        <f>ROUND(H3347*[161]Input!$D$48,2)</f>
        <v>5552.09</v>
      </c>
      <c r="I3348" s="408">
        <f>ROUND(I3347*[161]Input!$D$48,2)</f>
        <v>5583.23</v>
      </c>
      <c r="J3348" s="575">
        <f>ROUND(J3347*[161]Input!$D$48,2)</f>
        <v>5614.38</v>
      </c>
      <c r="K3348" s="644">
        <f>ROUND(K3347*[161]Input!$D$48,2)</f>
        <v>5645.53</v>
      </c>
      <c r="L3348" s="644">
        <f>ROUND(L3347*[161]Input!$D$48,2)</f>
        <v>5676.67</v>
      </c>
    </row>
    <row r="3349" spans="1:12" s="404" customFormat="1" ht="13">
      <c r="A3349" s="454"/>
      <c r="B3349" s="454"/>
      <c r="C3349" s="427" t="s">
        <v>1047</v>
      </c>
      <c r="D3349" s="414">
        <f t="shared" ref="D3349:L3349" si="782">SUM(D3347:D3348)</f>
        <v>45291.678739999996</v>
      </c>
      <c r="E3349" s="414">
        <f t="shared" si="782"/>
        <v>45551.578739999997</v>
      </c>
      <c r="F3349" s="414">
        <f t="shared" si="782"/>
        <v>45811.488740000001</v>
      </c>
      <c r="G3349" s="414">
        <f t="shared" si="782"/>
        <v>46071.388739999995</v>
      </c>
      <c r="H3349" s="414">
        <f t="shared" si="782"/>
        <v>46331.298739999998</v>
      </c>
      <c r="I3349" s="414">
        <f t="shared" si="782"/>
        <v>46591.198739999993</v>
      </c>
      <c r="J3349" s="657">
        <f t="shared" si="782"/>
        <v>46851.108739999996</v>
      </c>
      <c r="K3349" s="631">
        <f t="shared" si="782"/>
        <v>47111.018739999992</v>
      </c>
      <c r="L3349" s="631">
        <f t="shared" si="782"/>
        <v>47370.918739999986</v>
      </c>
    </row>
    <row r="3350" spans="1:12" s="404" customFormat="1" ht="13">
      <c r="A3350" s="454"/>
      <c r="B3350" s="454"/>
      <c r="C3350" s="427" t="s">
        <v>845</v>
      </c>
      <c r="D3350" s="414">
        <f t="shared" ref="D3350:L3350" si="783">D3349/10</f>
        <v>4529.1678739999998</v>
      </c>
      <c r="E3350" s="414">
        <f t="shared" si="783"/>
        <v>4555.1578739999995</v>
      </c>
      <c r="F3350" s="414">
        <f t="shared" si="783"/>
        <v>4581.1488740000004</v>
      </c>
      <c r="G3350" s="414">
        <f t="shared" si="783"/>
        <v>4607.1388739999993</v>
      </c>
      <c r="H3350" s="414">
        <f t="shared" si="783"/>
        <v>4633.1298740000002</v>
      </c>
      <c r="I3350" s="414">
        <f t="shared" si="783"/>
        <v>4659.1198739999991</v>
      </c>
      <c r="J3350" s="657">
        <f t="shared" si="783"/>
        <v>4685.110874</v>
      </c>
      <c r="K3350" s="631">
        <f t="shared" si="783"/>
        <v>4711.101873999999</v>
      </c>
      <c r="L3350" s="631">
        <f t="shared" si="783"/>
        <v>4737.0918739999988</v>
      </c>
    </row>
    <row r="3351" spans="1:12" s="413" customFormat="1" ht="13">
      <c r="A3351" s="454"/>
      <c r="B3351" s="454"/>
      <c r="C3351" s="522" t="s">
        <v>726</v>
      </c>
      <c r="D3351" s="416">
        <f t="shared" ref="D3351:L3351" si="784">ROUND(D3350,0)</f>
        <v>4529</v>
      </c>
      <c r="E3351" s="416">
        <f t="shared" si="784"/>
        <v>4555</v>
      </c>
      <c r="F3351" s="416">
        <f t="shared" si="784"/>
        <v>4581</v>
      </c>
      <c r="G3351" s="416">
        <f t="shared" si="784"/>
        <v>4607</v>
      </c>
      <c r="H3351" s="416">
        <f t="shared" si="784"/>
        <v>4633</v>
      </c>
      <c r="I3351" s="416">
        <f t="shared" si="784"/>
        <v>4659</v>
      </c>
      <c r="J3351" s="533">
        <f t="shared" si="784"/>
        <v>4685</v>
      </c>
      <c r="K3351" s="534">
        <f t="shared" si="784"/>
        <v>4711</v>
      </c>
      <c r="L3351" s="534">
        <f t="shared" si="784"/>
        <v>4737</v>
      </c>
    </row>
    <row r="3352" spans="1:12" ht="13">
      <c r="A3352" s="454"/>
      <c r="B3352" s="454"/>
      <c r="C3352" s="427"/>
      <c r="D3352" s="416"/>
      <c r="E3352" s="416"/>
      <c r="F3352" s="416"/>
      <c r="G3352" s="416"/>
      <c r="H3352" s="416"/>
      <c r="I3352" s="414"/>
      <c r="J3352" s="400"/>
      <c r="K3352" s="401"/>
      <c r="L3352" s="401"/>
    </row>
    <row r="3353" spans="1:12" ht="13">
      <c r="A3353" s="454"/>
      <c r="B3353" s="454"/>
      <c r="C3353" s="427" t="s">
        <v>953</v>
      </c>
      <c r="D3353" s="414" t="s">
        <v>1118</v>
      </c>
      <c r="E3353" s="414" t="s">
        <v>1119</v>
      </c>
      <c r="F3353" s="414" t="s">
        <v>1120</v>
      </c>
      <c r="G3353" s="416"/>
      <c r="H3353" s="416"/>
      <c r="I3353" s="414"/>
      <c r="J3353" s="400"/>
      <c r="K3353" s="401"/>
      <c r="L3353" s="401"/>
    </row>
    <row r="3354" spans="1:12" ht="13">
      <c r="A3354" s="454"/>
      <c r="B3354" s="454"/>
      <c r="C3354" s="417" t="s">
        <v>1064</v>
      </c>
      <c r="D3354" s="408">
        <f>$I$3341</f>
        <v>39864.168739999994</v>
      </c>
      <c r="E3354" s="408">
        <f>$I$3341</f>
        <v>39864.168739999994</v>
      </c>
      <c r="F3354" s="408">
        <f>$I$3341</f>
        <v>39864.168739999994</v>
      </c>
      <c r="G3354" s="416"/>
      <c r="H3354" s="416"/>
      <c r="I3354" s="414"/>
      <c r="J3354" s="400"/>
      <c r="K3354" s="401"/>
      <c r="L3354" s="401"/>
    </row>
    <row r="3355" spans="1:12" ht="13">
      <c r="A3355" s="454"/>
      <c r="B3355" s="454"/>
      <c r="C3355" s="417" t="s">
        <v>994</v>
      </c>
      <c r="D3355" s="408">
        <f>ROUND($F$3339*60%,2)</f>
        <v>980.4</v>
      </c>
      <c r="E3355" s="408">
        <f>ROUND($F$3339*70%,2)</f>
        <v>1143.8</v>
      </c>
      <c r="F3355" s="408">
        <f>ROUND($F$3339*80%,2)</f>
        <v>1307.2</v>
      </c>
      <c r="G3355" s="416"/>
      <c r="H3355" s="416"/>
      <c r="I3355" s="414"/>
      <c r="J3355" s="400"/>
      <c r="K3355" s="401"/>
      <c r="L3355" s="401"/>
    </row>
    <row r="3356" spans="1:12" ht="13">
      <c r="A3356" s="454"/>
      <c r="B3356" s="454"/>
      <c r="C3356" s="417" t="str">
        <f>[161]Input!$C$47</f>
        <v>Add for MA @ 40%</v>
      </c>
      <c r="D3356" s="408">
        <f>D3355*[161]Input!$D$47</f>
        <v>392.16</v>
      </c>
      <c r="E3356" s="408">
        <f>E3355*[161]Input!$D$47</f>
        <v>457.52</v>
      </c>
      <c r="F3356" s="408">
        <f>F3355*[161]Input!$D$47</f>
        <v>522.88</v>
      </c>
      <c r="G3356" s="416"/>
      <c r="H3356" s="416"/>
      <c r="I3356" s="414"/>
      <c r="J3356" s="400"/>
      <c r="K3356" s="401"/>
      <c r="L3356" s="401"/>
    </row>
    <row r="3357" spans="1:12" ht="13">
      <c r="A3357" s="454"/>
      <c r="B3357" s="454"/>
      <c r="C3357" s="435"/>
      <c r="D3357" s="408">
        <f>SUM(D3354:D3356)</f>
        <v>41236.728739999999</v>
      </c>
      <c r="E3357" s="408">
        <f>SUM(E3354:E3356)</f>
        <v>41465.488739999993</v>
      </c>
      <c r="F3357" s="408">
        <f>SUM(F3354:F3356)</f>
        <v>41694.248739999988</v>
      </c>
      <c r="G3357" s="416"/>
      <c r="H3357" s="416"/>
      <c r="I3357" s="414"/>
      <c r="J3357" s="400"/>
      <c r="K3357" s="401"/>
      <c r="L3357" s="401"/>
    </row>
    <row r="3358" spans="1:12" ht="25">
      <c r="A3358" s="454"/>
      <c r="B3358" s="454"/>
      <c r="C3358" s="417" t="str">
        <f>[161]Input!$C$48</f>
        <v>Overheads &amp; Contractors Profit @ 13.615%</v>
      </c>
      <c r="D3358" s="408">
        <f>ROUND(D3357*[161]Input!$D$48,2)</f>
        <v>5614.38</v>
      </c>
      <c r="E3358" s="408">
        <f>ROUND(E3357*[161]Input!$D$48,2)</f>
        <v>5645.53</v>
      </c>
      <c r="F3358" s="408">
        <f>ROUND(F3357*[161]Input!$D$48,2)</f>
        <v>5676.67</v>
      </c>
      <c r="G3358" s="416"/>
      <c r="H3358" s="416"/>
      <c r="I3358" s="414"/>
      <c r="J3358" s="400"/>
      <c r="K3358" s="401"/>
      <c r="L3358" s="401"/>
    </row>
    <row r="3359" spans="1:12" ht="13">
      <c r="A3359" s="454"/>
      <c r="B3359" s="454"/>
      <c r="C3359" s="427" t="s">
        <v>1047</v>
      </c>
      <c r="D3359" s="414">
        <f>SUM(D3357:D3358)</f>
        <v>46851.108739999996</v>
      </c>
      <c r="E3359" s="414">
        <f>SUM(E3357:E3358)</f>
        <v>47111.018739999992</v>
      </c>
      <c r="F3359" s="414">
        <f>SUM(F3357:F3358)</f>
        <v>47370.918739999986</v>
      </c>
      <c r="G3359" s="416"/>
      <c r="H3359" s="416"/>
      <c r="I3359" s="414"/>
      <c r="J3359" s="400"/>
      <c r="K3359" s="401"/>
      <c r="L3359" s="401"/>
    </row>
    <row r="3360" spans="1:12" ht="13">
      <c r="A3360" s="454"/>
      <c r="B3360" s="454"/>
      <c r="C3360" s="427" t="s">
        <v>845</v>
      </c>
      <c r="D3360" s="414">
        <f>D3359/10</f>
        <v>4685.110874</v>
      </c>
      <c r="E3360" s="414">
        <f>E3359/10</f>
        <v>4711.101873999999</v>
      </c>
      <c r="F3360" s="414">
        <f>F3359/10</f>
        <v>4737.0918739999988</v>
      </c>
      <c r="G3360" s="416"/>
      <c r="H3360" s="416"/>
      <c r="I3360" s="414"/>
      <c r="J3360" s="400"/>
      <c r="K3360" s="401"/>
      <c r="L3360" s="401"/>
    </row>
    <row r="3361" spans="1:12" ht="13">
      <c r="A3361" s="454"/>
      <c r="B3361" s="454"/>
      <c r="C3361" s="514" t="s">
        <v>726</v>
      </c>
      <c r="D3361" s="416">
        <f>ROUND(D3360,0)</f>
        <v>4685</v>
      </c>
      <c r="E3361" s="416">
        <f>ROUND(E3360,0)</f>
        <v>4711</v>
      </c>
      <c r="F3361" s="416">
        <f>ROUND(F3360,0)</f>
        <v>4737</v>
      </c>
      <c r="G3361" s="416"/>
      <c r="H3361" s="416"/>
      <c r="I3361" s="414"/>
      <c r="J3361" s="400"/>
      <c r="K3361" s="401"/>
      <c r="L3361" s="401"/>
    </row>
    <row r="3362" spans="1:12" ht="13">
      <c r="A3362" s="454"/>
      <c r="B3362" s="454"/>
      <c r="C3362" s="427"/>
      <c r="D3362" s="416"/>
      <c r="E3362" s="416"/>
      <c r="F3362" s="416"/>
      <c r="G3362" s="416"/>
      <c r="H3362" s="416"/>
      <c r="I3362" s="414"/>
      <c r="J3362" s="400"/>
      <c r="K3362" s="401"/>
      <c r="L3362" s="401"/>
    </row>
    <row r="3363" spans="1:12" ht="79.150000000000006" customHeight="1">
      <c r="A3363" s="454">
        <f>A3283+1</f>
        <v>11</v>
      </c>
      <c r="B3363" s="454"/>
      <c r="C3363" s="1276" t="s">
        <v>1277</v>
      </c>
      <c r="D3363" s="1276"/>
      <c r="E3363" s="1276"/>
      <c r="F3363" s="1276"/>
      <c r="G3363" s="1276"/>
      <c r="H3363" s="1276"/>
      <c r="I3363" s="407"/>
      <c r="J3363" s="400"/>
      <c r="K3363" s="401"/>
      <c r="L3363" s="401"/>
    </row>
    <row r="3364" spans="1:12" ht="13">
      <c r="A3364" s="454"/>
      <c r="B3364" s="454"/>
      <c r="C3364" s="455" t="s">
        <v>1258</v>
      </c>
      <c r="D3364" s="408"/>
      <c r="E3364" s="408"/>
      <c r="F3364" s="408"/>
      <c r="G3364" s="430"/>
      <c r="H3364" s="415"/>
      <c r="I3364" s="414"/>
      <c r="J3364" s="400"/>
      <c r="K3364" s="401"/>
      <c r="L3364" s="401"/>
    </row>
    <row r="3365" spans="1:12" ht="13">
      <c r="A3365" s="454"/>
      <c r="B3365" s="454"/>
      <c r="C3365" s="417" t="s">
        <v>1259</v>
      </c>
      <c r="D3365" s="408"/>
      <c r="E3365" s="408"/>
      <c r="F3365" s="408"/>
      <c r="G3365" s="430"/>
      <c r="H3365" s="415"/>
      <c r="I3365" s="414"/>
      <c r="J3365" s="400"/>
      <c r="K3365" s="401"/>
      <c r="L3365" s="401"/>
    </row>
    <row r="3366" spans="1:12" ht="13">
      <c r="A3366" s="454"/>
      <c r="B3366" s="454"/>
      <c r="C3366" s="427" t="s">
        <v>873</v>
      </c>
      <c r="D3366" s="408"/>
      <c r="E3366" s="408"/>
      <c r="F3366" s="408"/>
      <c r="G3366" s="430"/>
      <c r="H3366" s="415"/>
      <c r="I3366" s="414"/>
      <c r="J3366" s="400"/>
      <c r="K3366" s="401"/>
      <c r="L3366" s="401"/>
    </row>
    <row r="3367" spans="1:12">
      <c r="A3367" s="454"/>
      <c r="B3367" s="454"/>
      <c r="C3367" s="417" t="s">
        <v>1260</v>
      </c>
      <c r="D3367" s="408">
        <v>11</v>
      </c>
      <c r="E3367" s="408" t="s">
        <v>17</v>
      </c>
      <c r="F3367" s="408">
        <f>[161]LEAD!$N$26</f>
        <v>2705.69</v>
      </c>
      <c r="G3367" s="430">
        <v>10</v>
      </c>
      <c r="H3367" s="454" t="s">
        <v>17</v>
      </c>
      <c r="I3367" s="408">
        <f t="shared" ref="I3367:I3370" si="785">IF(G3367="",D3367*F3367,(D3367*F3367/G3367))</f>
        <v>2976.259</v>
      </c>
      <c r="J3367" s="400"/>
      <c r="K3367" s="401"/>
      <c r="L3367" s="401"/>
    </row>
    <row r="3368" spans="1:12">
      <c r="A3368" s="454"/>
      <c r="B3368" s="454"/>
      <c r="C3368" s="417" t="s">
        <v>1261</v>
      </c>
      <c r="D3368" s="408">
        <v>0.12</v>
      </c>
      <c r="E3368" s="408" t="s">
        <v>666</v>
      </c>
      <c r="F3368" s="408">
        <f>[161]LEAD!$N$13</f>
        <v>2453.91</v>
      </c>
      <c r="G3368" s="430">
        <v>1</v>
      </c>
      <c r="H3368" s="454" t="s">
        <v>666</v>
      </c>
      <c r="I3368" s="408">
        <f t="shared" si="785"/>
        <v>294.46919999999994</v>
      </c>
      <c r="J3368" s="400"/>
      <c r="K3368" s="401"/>
      <c r="L3368" s="401"/>
    </row>
    <row r="3369" spans="1:12">
      <c r="A3369" s="454"/>
      <c r="B3369" s="454"/>
      <c r="C3369" s="417" t="s">
        <v>1262</v>
      </c>
      <c r="D3369" s="408">
        <v>34.56</v>
      </c>
      <c r="E3369" s="408" t="s">
        <v>833</v>
      </c>
      <c r="F3369" s="408">
        <f>[161]LEAD!$N$6</f>
        <v>5200</v>
      </c>
      <c r="G3369" s="430">
        <v>1000</v>
      </c>
      <c r="H3369" s="454" t="s">
        <v>833</v>
      </c>
      <c r="I3369" s="408">
        <f t="shared" si="785"/>
        <v>179.71199999999999</v>
      </c>
      <c r="J3369" s="400"/>
      <c r="K3369" s="401"/>
      <c r="L3369" s="401"/>
    </row>
    <row r="3370" spans="1:12">
      <c r="A3370" s="454"/>
      <c r="B3370" s="454"/>
      <c r="C3370" s="417" t="s">
        <v>1171</v>
      </c>
      <c r="D3370" s="408">
        <v>33</v>
      </c>
      <c r="E3370" s="408" t="s">
        <v>833</v>
      </c>
      <c r="F3370" s="408">
        <f>[161]LEAD!$N$6</f>
        <v>5200</v>
      </c>
      <c r="G3370" s="430">
        <v>1000</v>
      </c>
      <c r="H3370" s="454" t="s">
        <v>833</v>
      </c>
      <c r="I3370" s="408">
        <f t="shared" si="785"/>
        <v>171.6</v>
      </c>
      <c r="J3370" s="400"/>
      <c r="K3370" s="401"/>
      <c r="L3370" s="401"/>
    </row>
    <row r="3371" spans="1:12" ht="13">
      <c r="A3371" s="454"/>
      <c r="B3371" s="454"/>
      <c r="C3371" s="427" t="s">
        <v>1263</v>
      </c>
      <c r="D3371" s="408"/>
      <c r="E3371" s="408"/>
      <c r="F3371" s="408"/>
      <c r="G3371" s="430"/>
      <c r="H3371" s="415"/>
      <c r="I3371" s="414"/>
      <c r="J3371" s="400"/>
      <c r="K3371" s="401"/>
      <c r="L3371" s="401"/>
    </row>
    <row r="3372" spans="1:12">
      <c r="A3372" s="454"/>
      <c r="B3372" s="454"/>
      <c r="C3372" s="417" t="s">
        <v>1044</v>
      </c>
      <c r="D3372" s="408">
        <v>0.96</v>
      </c>
      <c r="E3372" s="408" t="s">
        <v>375</v>
      </c>
      <c r="F3372" s="408">
        <f>'[161]Civil-SOR'!$G$293</f>
        <v>580</v>
      </c>
      <c r="G3372" s="430">
        <v>1</v>
      </c>
      <c r="H3372" s="454" t="s">
        <v>572</v>
      </c>
      <c r="I3372" s="408">
        <f t="shared" ref="I3372:I3376" si="786">IF(G3372="",D3372*F3372,(D3372*F3372/G3372))</f>
        <v>556.79999999999995</v>
      </c>
      <c r="J3372" s="400"/>
      <c r="K3372" s="401"/>
      <c r="L3372" s="401"/>
    </row>
    <row r="3373" spans="1:12">
      <c r="A3373" s="454"/>
      <c r="B3373" s="454"/>
      <c r="C3373" s="417" t="s">
        <v>1074</v>
      </c>
      <c r="D3373" s="408">
        <v>2.2400000000000002</v>
      </c>
      <c r="E3373" s="408" t="s">
        <v>375</v>
      </c>
      <c r="F3373" s="408">
        <f>'[161]Civil-SOR'!$G$302</f>
        <v>550</v>
      </c>
      <c r="G3373" s="430">
        <v>1</v>
      </c>
      <c r="H3373" s="454" t="s">
        <v>572</v>
      </c>
      <c r="I3373" s="408">
        <f t="shared" si="786"/>
        <v>1232.0000000000002</v>
      </c>
      <c r="J3373" s="400"/>
      <c r="K3373" s="401"/>
      <c r="L3373" s="401"/>
    </row>
    <row r="3374" spans="1:12">
      <c r="A3374" s="454"/>
      <c r="B3374" s="454"/>
      <c r="C3374" s="417" t="s">
        <v>723</v>
      </c>
      <c r="D3374" s="408">
        <v>3.1</v>
      </c>
      <c r="E3374" s="408" t="s">
        <v>375</v>
      </c>
      <c r="F3374" s="408">
        <f>'[161]Civil-SOR'!$G$307</f>
        <v>520</v>
      </c>
      <c r="G3374" s="430">
        <v>1</v>
      </c>
      <c r="H3374" s="454" t="s">
        <v>572</v>
      </c>
      <c r="I3374" s="408">
        <f t="shared" si="786"/>
        <v>1612</v>
      </c>
      <c r="J3374" s="400"/>
      <c r="K3374" s="401"/>
      <c r="L3374" s="401"/>
    </row>
    <row r="3375" spans="1:12">
      <c r="A3375" s="454"/>
      <c r="B3375" s="454"/>
      <c r="C3375" s="469" t="str">
        <f>[161]Input!$C$47</f>
        <v>Add for MA @ 40%</v>
      </c>
      <c r="D3375" s="621">
        <f>[161]Input!$D$47</f>
        <v>0.4</v>
      </c>
      <c r="E3375" s="454"/>
      <c r="F3375" s="408">
        <f>SUM(I3372:I3374)</f>
        <v>3400.8</v>
      </c>
      <c r="G3375" s="410"/>
      <c r="H3375" s="426"/>
      <c r="I3375" s="408">
        <f t="shared" si="786"/>
        <v>1360.3200000000002</v>
      </c>
      <c r="J3375" s="400"/>
      <c r="K3375" s="401"/>
      <c r="L3375" s="401"/>
    </row>
    <row r="3376" spans="1:12">
      <c r="A3376" s="454"/>
      <c r="B3376" s="454"/>
      <c r="C3376" s="483" t="s">
        <v>1046</v>
      </c>
      <c r="D3376" s="408">
        <v>0.01</v>
      </c>
      <c r="E3376" s="408"/>
      <c r="F3376" s="408">
        <f>SUM(I3367:I3375)</f>
        <v>8383.1602000000003</v>
      </c>
      <c r="G3376" s="430"/>
      <c r="H3376" s="454"/>
      <c r="I3376" s="408">
        <f t="shared" si="786"/>
        <v>83.831602000000004</v>
      </c>
      <c r="J3376" s="400"/>
      <c r="K3376" s="401"/>
      <c r="L3376" s="401"/>
    </row>
    <row r="3377" spans="1:12" s="554" customFormat="1" ht="13">
      <c r="A3377" s="454"/>
      <c r="B3377" s="454"/>
      <c r="C3377" s="481" t="s">
        <v>1175</v>
      </c>
      <c r="D3377" s="408"/>
      <c r="E3377" s="454"/>
      <c r="F3377" s="408"/>
      <c r="G3377" s="430"/>
      <c r="H3377" s="454"/>
      <c r="I3377" s="434">
        <f>SUM(I3367:I3376)</f>
        <v>8466.9918020000005</v>
      </c>
      <c r="J3377" s="411"/>
      <c r="K3377" s="412"/>
      <c r="L3377" s="412"/>
    </row>
    <row r="3378" spans="1:12" ht="13">
      <c r="A3378" s="454"/>
      <c r="B3378" s="454"/>
      <c r="C3378" s="433"/>
      <c r="D3378" s="408"/>
      <c r="E3378" s="454"/>
      <c r="F3378" s="408"/>
      <c r="G3378" s="430"/>
      <c r="H3378" s="454"/>
      <c r="I3378" s="434"/>
      <c r="J3378" s="400"/>
      <c r="K3378" s="401"/>
      <c r="L3378" s="401"/>
    </row>
    <row r="3379" spans="1:12" s="554" customFormat="1" ht="13">
      <c r="A3379" s="454"/>
      <c r="B3379" s="454"/>
      <c r="C3379" s="481" t="s">
        <v>953</v>
      </c>
      <c r="D3379" s="414" t="s">
        <v>959</v>
      </c>
      <c r="E3379" s="416" t="s">
        <v>943</v>
      </c>
      <c r="F3379" s="415" t="s">
        <v>944</v>
      </c>
      <c r="G3379" s="414" t="s">
        <v>1036</v>
      </c>
      <c r="H3379" s="414" t="s">
        <v>1037</v>
      </c>
      <c r="I3379" s="414" t="s">
        <v>1038</v>
      </c>
      <c r="J3379" s="638" t="s">
        <v>1118</v>
      </c>
      <c r="K3379" s="636" t="s">
        <v>1119</v>
      </c>
      <c r="L3379" s="636" t="s">
        <v>1120</v>
      </c>
    </row>
    <row r="3380" spans="1:12">
      <c r="A3380" s="454"/>
      <c r="B3380" s="454"/>
      <c r="C3380" s="417" t="s">
        <v>1064</v>
      </c>
      <c r="D3380" s="408">
        <f t="shared" ref="D3380:L3380" si="787">$I$3377</f>
        <v>8466.9918020000005</v>
      </c>
      <c r="E3380" s="408">
        <f t="shared" si="787"/>
        <v>8466.9918020000005</v>
      </c>
      <c r="F3380" s="408">
        <f t="shared" si="787"/>
        <v>8466.9918020000005</v>
      </c>
      <c r="G3380" s="408">
        <f t="shared" si="787"/>
        <v>8466.9918020000005</v>
      </c>
      <c r="H3380" s="408">
        <f t="shared" si="787"/>
        <v>8466.9918020000005</v>
      </c>
      <c r="I3380" s="408">
        <f t="shared" si="787"/>
        <v>8466.9918020000005</v>
      </c>
      <c r="J3380" s="575">
        <f t="shared" si="787"/>
        <v>8466.9918020000005</v>
      </c>
      <c r="K3380" s="644">
        <f t="shared" si="787"/>
        <v>8466.9918020000005</v>
      </c>
      <c r="L3380" s="644">
        <f t="shared" si="787"/>
        <v>8466.9918020000005</v>
      </c>
    </row>
    <row r="3381" spans="1:12">
      <c r="A3381" s="454"/>
      <c r="B3381" s="454"/>
      <c r="C3381" s="417" t="s">
        <v>994</v>
      </c>
      <c r="D3381" s="408">
        <v>0</v>
      </c>
      <c r="E3381" s="408">
        <f>ROUND($F$3375*10%,2)</f>
        <v>340.08</v>
      </c>
      <c r="F3381" s="408">
        <f>ROUND($F$3375*20%,2)</f>
        <v>680.16</v>
      </c>
      <c r="G3381" s="408">
        <f>ROUND($F$3375*30%,2)</f>
        <v>1020.24</v>
      </c>
      <c r="H3381" s="408">
        <f>ROUND($F$3375*40%,2)</f>
        <v>1360.32</v>
      </c>
      <c r="I3381" s="408">
        <f>ROUND($F$3375*50%,2)</f>
        <v>1700.4</v>
      </c>
      <c r="J3381" s="575">
        <f>ROUND($F$3375*60%,2)</f>
        <v>2040.48</v>
      </c>
      <c r="K3381" s="644">
        <f>ROUND($F$3375*70%,2)</f>
        <v>2380.56</v>
      </c>
      <c r="L3381" s="644">
        <f>ROUND($F$3375*80%,2)</f>
        <v>2720.64</v>
      </c>
    </row>
    <row r="3382" spans="1:12">
      <c r="A3382" s="454"/>
      <c r="B3382" s="454"/>
      <c r="C3382" s="417" t="str">
        <f>[161]Input!$C$47</f>
        <v>Add for MA @ 40%</v>
      </c>
      <c r="D3382" s="408">
        <f>D3381*[161]Input!$D$47</f>
        <v>0</v>
      </c>
      <c r="E3382" s="408">
        <f>E3381*[161]Input!$D$47</f>
        <v>136.03200000000001</v>
      </c>
      <c r="F3382" s="408">
        <f>F3381*[161]Input!$D$47</f>
        <v>272.06400000000002</v>
      </c>
      <c r="G3382" s="408">
        <f>G3381*[161]Input!$D$47</f>
        <v>408.096</v>
      </c>
      <c r="H3382" s="408">
        <f>H3381*[161]Input!$D$47</f>
        <v>544.12800000000004</v>
      </c>
      <c r="I3382" s="408">
        <f>I3381*[161]Input!$D$47</f>
        <v>680.16000000000008</v>
      </c>
      <c r="J3382" s="575">
        <f>J3381*[161]Input!$D$47</f>
        <v>816.19200000000001</v>
      </c>
      <c r="K3382" s="644">
        <f>K3381*[161]Input!$D$47</f>
        <v>952.22400000000005</v>
      </c>
      <c r="L3382" s="644">
        <f>L3381*[161]Input!$D$47</f>
        <v>1088.2560000000001</v>
      </c>
    </row>
    <row r="3383" spans="1:12">
      <c r="A3383" s="454"/>
      <c r="B3383" s="454"/>
      <c r="C3383" s="469"/>
      <c r="D3383" s="408">
        <f t="shared" ref="D3383:L3383" si="788">SUM(D3380:D3382)</f>
        <v>8466.9918020000005</v>
      </c>
      <c r="E3383" s="408">
        <f t="shared" si="788"/>
        <v>8943.1038019999996</v>
      </c>
      <c r="F3383" s="408">
        <f t="shared" si="788"/>
        <v>9419.2158020000006</v>
      </c>
      <c r="G3383" s="408">
        <f t="shared" si="788"/>
        <v>9895.3278019999998</v>
      </c>
      <c r="H3383" s="408">
        <f t="shared" si="788"/>
        <v>10371.439802000001</v>
      </c>
      <c r="I3383" s="408">
        <f t="shared" si="788"/>
        <v>10847.551802</v>
      </c>
      <c r="J3383" s="575">
        <f t="shared" si="788"/>
        <v>11323.663801999999</v>
      </c>
      <c r="K3383" s="644">
        <f t="shared" si="788"/>
        <v>11799.775802</v>
      </c>
      <c r="L3383" s="644">
        <f t="shared" si="788"/>
        <v>12275.887801999999</v>
      </c>
    </row>
    <row r="3384" spans="1:12" ht="25">
      <c r="A3384" s="454"/>
      <c r="B3384" s="454"/>
      <c r="C3384" s="417" t="str">
        <f>[161]Input!$C$48</f>
        <v>Overheads &amp; Contractors Profit @ 13.615%</v>
      </c>
      <c r="D3384" s="408">
        <f>ROUND(D3383*[161]Input!$D$48,2)</f>
        <v>1152.78</v>
      </c>
      <c r="E3384" s="408">
        <f>ROUND(E3383*[161]Input!$D$48,2)</f>
        <v>1217.5999999999999</v>
      </c>
      <c r="F3384" s="408">
        <f>ROUND(F3383*[161]Input!$D$48,2)</f>
        <v>1282.43</v>
      </c>
      <c r="G3384" s="408">
        <f>ROUND(G3383*[161]Input!$D$48,2)</f>
        <v>1347.25</v>
      </c>
      <c r="H3384" s="408">
        <f>ROUND(H3383*[161]Input!$D$48,2)</f>
        <v>1412.07</v>
      </c>
      <c r="I3384" s="408">
        <f>ROUND(I3383*[161]Input!$D$48,2)</f>
        <v>1476.89</v>
      </c>
      <c r="J3384" s="575">
        <f>ROUND(J3383*[161]Input!$D$48,2)</f>
        <v>1541.72</v>
      </c>
      <c r="K3384" s="644">
        <f>ROUND(K3383*[161]Input!$D$48,2)</f>
        <v>1606.54</v>
      </c>
      <c r="L3384" s="644">
        <f>ROUND(L3383*[161]Input!$D$48,2)</f>
        <v>1671.36</v>
      </c>
    </row>
    <row r="3385" spans="1:12" ht="13">
      <c r="A3385" s="454"/>
      <c r="B3385" s="454"/>
      <c r="C3385" s="427" t="s">
        <v>1047</v>
      </c>
      <c r="D3385" s="414">
        <f t="shared" ref="D3385:L3385" si="789">SUM(D3383:D3384)</f>
        <v>9619.7718020000011</v>
      </c>
      <c r="E3385" s="414">
        <f t="shared" si="789"/>
        <v>10160.703802</v>
      </c>
      <c r="F3385" s="414">
        <f t="shared" si="789"/>
        <v>10701.645802000001</v>
      </c>
      <c r="G3385" s="414">
        <f t="shared" si="789"/>
        <v>11242.577802</v>
      </c>
      <c r="H3385" s="414">
        <f t="shared" si="789"/>
        <v>11783.509802</v>
      </c>
      <c r="I3385" s="414">
        <f t="shared" si="789"/>
        <v>12324.441801999999</v>
      </c>
      <c r="J3385" s="657">
        <f t="shared" si="789"/>
        <v>12865.383801999998</v>
      </c>
      <c r="K3385" s="631">
        <f t="shared" si="789"/>
        <v>13406.315802000001</v>
      </c>
      <c r="L3385" s="631">
        <f t="shared" si="789"/>
        <v>13947.247802</v>
      </c>
    </row>
    <row r="3386" spans="1:12" ht="13">
      <c r="A3386" s="454"/>
      <c r="B3386" s="454"/>
      <c r="C3386" s="427" t="s">
        <v>1032</v>
      </c>
      <c r="D3386" s="414">
        <f t="shared" ref="D3386:L3386" si="790">D3385*0.01</f>
        <v>96.197718020000011</v>
      </c>
      <c r="E3386" s="414">
        <f t="shared" si="790"/>
        <v>101.60703802</v>
      </c>
      <c r="F3386" s="414">
        <f t="shared" si="790"/>
        <v>107.01645802000002</v>
      </c>
      <c r="G3386" s="414">
        <f t="shared" si="790"/>
        <v>112.42577802</v>
      </c>
      <c r="H3386" s="414">
        <f t="shared" si="790"/>
        <v>117.83509802</v>
      </c>
      <c r="I3386" s="414">
        <f t="shared" si="790"/>
        <v>123.24441802</v>
      </c>
      <c r="J3386" s="657">
        <f t="shared" si="790"/>
        <v>128.65383801999999</v>
      </c>
      <c r="K3386" s="631">
        <f t="shared" si="790"/>
        <v>134.06315802</v>
      </c>
      <c r="L3386" s="631">
        <f t="shared" si="790"/>
        <v>139.47247802000001</v>
      </c>
    </row>
    <row r="3387" spans="1:12" s="554" customFormat="1" ht="13">
      <c r="A3387" s="454"/>
      <c r="B3387" s="454"/>
      <c r="C3387" s="522" t="s">
        <v>726</v>
      </c>
      <c r="D3387" s="416">
        <f t="shared" ref="D3387:L3387" si="791">ROUND(D3386,0)</f>
        <v>96</v>
      </c>
      <c r="E3387" s="416">
        <f t="shared" si="791"/>
        <v>102</v>
      </c>
      <c r="F3387" s="416">
        <f t="shared" si="791"/>
        <v>107</v>
      </c>
      <c r="G3387" s="416">
        <f t="shared" si="791"/>
        <v>112</v>
      </c>
      <c r="H3387" s="416">
        <f t="shared" si="791"/>
        <v>118</v>
      </c>
      <c r="I3387" s="416">
        <f t="shared" si="791"/>
        <v>123</v>
      </c>
      <c r="J3387" s="533">
        <f t="shared" si="791"/>
        <v>129</v>
      </c>
      <c r="K3387" s="534">
        <f t="shared" si="791"/>
        <v>134</v>
      </c>
      <c r="L3387" s="534">
        <f t="shared" si="791"/>
        <v>139</v>
      </c>
    </row>
    <row r="3388" spans="1:12" ht="13">
      <c r="A3388" s="454"/>
      <c r="B3388" s="454"/>
      <c r="C3388" s="427"/>
      <c r="D3388" s="416"/>
      <c r="E3388" s="416"/>
      <c r="F3388" s="416"/>
      <c r="G3388" s="416"/>
      <c r="H3388" s="416"/>
      <c r="I3388" s="414"/>
      <c r="J3388" s="400"/>
      <c r="K3388" s="401"/>
      <c r="L3388" s="401"/>
    </row>
    <row r="3389" spans="1:12" ht="77.650000000000006" customHeight="1">
      <c r="A3389" s="454">
        <f>A3363+1</f>
        <v>12</v>
      </c>
      <c r="B3389" s="454"/>
      <c r="C3389" s="1276" t="s">
        <v>1278</v>
      </c>
      <c r="D3389" s="1276"/>
      <c r="E3389" s="1276"/>
      <c r="F3389" s="1276"/>
      <c r="G3389" s="1276"/>
      <c r="H3389" s="1276"/>
      <c r="I3389" s="407"/>
      <c r="J3389" s="400"/>
      <c r="K3389" s="401"/>
      <c r="L3389" s="401"/>
    </row>
    <row r="3390" spans="1:12" ht="13">
      <c r="A3390" s="454"/>
      <c r="B3390" s="454"/>
      <c r="C3390" s="455" t="s">
        <v>1279</v>
      </c>
      <c r="D3390" s="408"/>
      <c r="E3390" s="408"/>
      <c r="F3390" s="408"/>
      <c r="G3390" s="430"/>
      <c r="H3390" s="415"/>
      <c r="I3390" s="414"/>
      <c r="J3390" s="400"/>
      <c r="K3390" s="401"/>
      <c r="L3390" s="401"/>
    </row>
    <row r="3391" spans="1:12" ht="13">
      <c r="A3391" s="454"/>
      <c r="B3391" s="454"/>
      <c r="C3391" s="417" t="s">
        <v>1259</v>
      </c>
      <c r="D3391" s="408"/>
      <c r="E3391" s="408"/>
      <c r="F3391" s="408"/>
      <c r="G3391" s="430"/>
      <c r="H3391" s="415"/>
      <c r="I3391" s="414"/>
      <c r="J3391" s="400"/>
      <c r="K3391" s="401"/>
      <c r="L3391" s="401"/>
    </row>
    <row r="3392" spans="1:12" ht="13">
      <c r="A3392" s="454"/>
      <c r="B3392" s="454"/>
      <c r="C3392" s="427" t="s">
        <v>873</v>
      </c>
      <c r="D3392" s="408"/>
      <c r="E3392" s="408"/>
      <c r="F3392" s="408"/>
      <c r="G3392" s="430"/>
      <c r="H3392" s="415"/>
      <c r="I3392" s="414"/>
      <c r="J3392" s="400"/>
      <c r="K3392" s="401"/>
      <c r="L3392" s="401"/>
    </row>
    <row r="3393" spans="1:12">
      <c r="A3393" s="454"/>
      <c r="B3393" s="454"/>
      <c r="C3393" s="417" t="s">
        <v>1268</v>
      </c>
      <c r="D3393" s="408">
        <v>10.5</v>
      </c>
      <c r="E3393" s="408" t="s">
        <v>17</v>
      </c>
      <c r="F3393" s="408">
        <f>[161]LEAD!$N$27</f>
        <v>1545.69</v>
      </c>
      <c r="G3393" s="430">
        <v>10</v>
      </c>
      <c r="H3393" s="454" t="s">
        <v>17</v>
      </c>
      <c r="I3393" s="408">
        <f t="shared" ref="I3393:I3396" si="792">IF(G3393="",D3393*F3393,(D3393*F3393/G3393))</f>
        <v>1622.9745</v>
      </c>
      <c r="J3393" s="400"/>
      <c r="K3393" s="401"/>
      <c r="L3393" s="401"/>
    </row>
    <row r="3394" spans="1:12">
      <c r="A3394" s="454"/>
      <c r="B3394" s="454"/>
      <c r="C3394" s="417" t="s">
        <v>1261</v>
      </c>
      <c r="D3394" s="408">
        <v>0.12</v>
      </c>
      <c r="E3394" s="408" t="s">
        <v>666</v>
      </c>
      <c r="F3394" s="408">
        <f>[161]LEAD!$N$13</f>
        <v>2453.91</v>
      </c>
      <c r="G3394" s="430">
        <v>1</v>
      </c>
      <c r="H3394" s="454" t="s">
        <v>666</v>
      </c>
      <c r="I3394" s="408">
        <f t="shared" si="792"/>
        <v>294.46919999999994</v>
      </c>
      <c r="J3394" s="400"/>
      <c r="K3394" s="401"/>
      <c r="L3394" s="401"/>
    </row>
    <row r="3395" spans="1:12">
      <c r="A3395" s="454"/>
      <c r="B3395" s="454"/>
      <c r="C3395" s="417" t="s">
        <v>1262</v>
      </c>
      <c r="D3395" s="408">
        <v>34.56</v>
      </c>
      <c r="E3395" s="408" t="s">
        <v>833</v>
      </c>
      <c r="F3395" s="408">
        <f>[161]LEAD!$N$6</f>
        <v>5200</v>
      </c>
      <c r="G3395" s="430">
        <v>1000</v>
      </c>
      <c r="H3395" s="454" t="s">
        <v>833</v>
      </c>
      <c r="I3395" s="408">
        <f t="shared" si="792"/>
        <v>179.71199999999999</v>
      </c>
      <c r="J3395" s="400"/>
      <c r="K3395" s="401"/>
      <c r="L3395" s="401"/>
    </row>
    <row r="3396" spans="1:12">
      <c r="A3396" s="454"/>
      <c r="B3396" s="454"/>
      <c r="C3396" s="417" t="s">
        <v>1171</v>
      </c>
      <c r="D3396" s="408">
        <v>33</v>
      </c>
      <c r="E3396" s="408" t="s">
        <v>833</v>
      </c>
      <c r="F3396" s="408">
        <f>[161]LEAD!$N$6</f>
        <v>5200</v>
      </c>
      <c r="G3396" s="430">
        <v>1000</v>
      </c>
      <c r="H3396" s="454" t="s">
        <v>833</v>
      </c>
      <c r="I3396" s="408">
        <f t="shared" si="792"/>
        <v>171.6</v>
      </c>
      <c r="J3396" s="400"/>
      <c r="K3396" s="401"/>
      <c r="L3396" s="401"/>
    </row>
    <row r="3397" spans="1:12" ht="13">
      <c r="A3397" s="454"/>
      <c r="B3397" s="454"/>
      <c r="C3397" s="427" t="s">
        <v>1263</v>
      </c>
      <c r="D3397" s="408"/>
      <c r="E3397" s="408"/>
      <c r="F3397" s="408"/>
      <c r="G3397" s="430"/>
      <c r="H3397" s="415"/>
      <c r="I3397" s="414"/>
      <c r="J3397" s="400"/>
      <c r="K3397" s="401"/>
      <c r="L3397" s="401"/>
    </row>
    <row r="3398" spans="1:12">
      <c r="A3398" s="454"/>
      <c r="B3398" s="454"/>
      <c r="C3398" s="417" t="s">
        <v>1044</v>
      </c>
      <c r="D3398" s="408">
        <v>0.96</v>
      </c>
      <c r="E3398" s="408" t="s">
        <v>375</v>
      </c>
      <c r="F3398" s="408">
        <f>'[161]Civil-SOR'!$G$293</f>
        <v>580</v>
      </c>
      <c r="G3398" s="430">
        <v>1</v>
      </c>
      <c r="H3398" s="454" t="s">
        <v>572</v>
      </c>
      <c r="I3398" s="408">
        <f t="shared" ref="I3398:I3402" si="793">IF(G3398="",D3398*F3398,(D3398*F3398/G3398))</f>
        <v>556.79999999999995</v>
      </c>
      <c r="J3398" s="400"/>
      <c r="K3398" s="401"/>
      <c r="L3398" s="401"/>
    </row>
    <row r="3399" spans="1:12">
      <c r="A3399" s="454"/>
      <c r="B3399" s="454"/>
      <c r="C3399" s="417" t="s">
        <v>1074</v>
      </c>
      <c r="D3399" s="408">
        <v>2.2400000000000002</v>
      </c>
      <c r="E3399" s="408" t="s">
        <v>375</v>
      </c>
      <c r="F3399" s="408">
        <f>'[161]Civil-SOR'!$G$302</f>
        <v>550</v>
      </c>
      <c r="G3399" s="430">
        <v>1</v>
      </c>
      <c r="H3399" s="454" t="s">
        <v>572</v>
      </c>
      <c r="I3399" s="408">
        <f t="shared" si="793"/>
        <v>1232.0000000000002</v>
      </c>
      <c r="J3399" s="400"/>
      <c r="K3399" s="401"/>
      <c r="L3399" s="401"/>
    </row>
    <row r="3400" spans="1:12">
      <c r="A3400" s="454"/>
      <c r="B3400" s="454"/>
      <c r="C3400" s="417" t="s">
        <v>723</v>
      </c>
      <c r="D3400" s="408">
        <v>3.1</v>
      </c>
      <c r="E3400" s="408" t="s">
        <v>375</v>
      </c>
      <c r="F3400" s="408">
        <f>'[161]Civil-SOR'!$G$307</f>
        <v>520</v>
      </c>
      <c r="G3400" s="430">
        <v>1</v>
      </c>
      <c r="H3400" s="454" t="s">
        <v>572</v>
      </c>
      <c r="I3400" s="408">
        <f t="shared" si="793"/>
        <v>1612</v>
      </c>
      <c r="J3400" s="400"/>
      <c r="K3400" s="401"/>
      <c r="L3400" s="401"/>
    </row>
    <row r="3401" spans="1:12">
      <c r="A3401" s="454"/>
      <c r="B3401" s="454"/>
      <c r="C3401" s="469" t="str">
        <f>[161]Input!$C$47</f>
        <v>Add for MA @ 40%</v>
      </c>
      <c r="D3401" s="621">
        <f>[161]Input!$D$47</f>
        <v>0.4</v>
      </c>
      <c r="E3401" s="454"/>
      <c r="F3401" s="408">
        <f>SUM(I3398:I3400)</f>
        <v>3400.8</v>
      </c>
      <c r="G3401" s="410"/>
      <c r="H3401" s="426"/>
      <c r="I3401" s="408">
        <f t="shared" si="793"/>
        <v>1360.3200000000002</v>
      </c>
      <c r="J3401" s="400"/>
      <c r="K3401" s="401"/>
      <c r="L3401" s="401"/>
    </row>
    <row r="3402" spans="1:12">
      <c r="A3402" s="454"/>
      <c r="B3402" s="454"/>
      <c r="C3402" s="483" t="s">
        <v>1046</v>
      </c>
      <c r="D3402" s="408">
        <v>0.01</v>
      </c>
      <c r="E3402" s="408"/>
      <c r="F3402" s="408">
        <f>SUM(I3393:I3401)</f>
        <v>7029.8757000000005</v>
      </c>
      <c r="G3402" s="430"/>
      <c r="H3402" s="454"/>
      <c r="I3402" s="408">
        <f t="shared" si="793"/>
        <v>70.298757000000009</v>
      </c>
      <c r="J3402" s="400"/>
      <c r="K3402" s="401"/>
      <c r="L3402" s="401"/>
    </row>
    <row r="3403" spans="1:12" ht="13">
      <c r="A3403" s="454"/>
      <c r="B3403" s="454"/>
      <c r="C3403" s="522" t="s">
        <v>726</v>
      </c>
      <c r="D3403" s="408"/>
      <c r="E3403" s="454"/>
      <c r="F3403" s="408"/>
      <c r="G3403" s="430"/>
      <c r="H3403" s="454"/>
      <c r="I3403" s="434">
        <f>SUM(I3393:I3402)</f>
        <v>7100.1744570000001</v>
      </c>
      <c r="J3403" s="400"/>
      <c r="K3403" s="401"/>
      <c r="L3403" s="401"/>
    </row>
    <row r="3404" spans="1:12" ht="13">
      <c r="A3404" s="454"/>
      <c r="B3404" s="454"/>
      <c r="C3404" s="433"/>
      <c r="D3404" s="408"/>
      <c r="E3404" s="454"/>
      <c r="F3404" s="408"/>
      <c r="G3404" s="430"/>
      <c r="H3404" s="454"/>
      <c r="I3404" s="434"/>
      <c r="J3404" s="400"/>
      <c r="K3404" s="401"/>
      <c r="L3404" s="401"/>
    </row>
    <row r="3405" spans="1:12" s="554" customFormat="1" ht="13">
      <c r="A3405" s="454"/>
      <c r="B3405" s="454"/>
      <c r="C3405" s="481" t="s">
        <v>953</v>
      </c>
      <c r="D3405" s="414" t="s">
        <v>959</v>
      </c>
      <c r="E3405" s="416" t="s">
        <v>943</v>
      </c>
      <c r="F3405" s="415" t="s">
        <v>944</v>
      </c>
      <c r="G3405" s="414" t="s">
        <v>1036</v>
      </c>
      <c r="H3405" s="414" t="s">
        <v>1037</v>
      </c>
      <c r="I3405" s="414" t="s">
        <v>1038</v>
      </c>
      <c r="J3405" s="638" t="s">
        <v>1118</v>
      </c>
      <c r="K3405" s="636" t="s">
        <v>1119</v>
      </c>
      <c r="L3405" s="636" t="s">
        <v>1120</v>
      </c>
    </row>
    <row r="3406" spans="1:12">
      <c r="A3406" s="454"/>
      <c r="B3406" s="454"/>
      <c r="C3406" s="417" t="s">
        <v>1064</v>
      </c>
      <c r="D3406" s="408">
        <f t="shared" ref="D3406:L3406" si="794">$I$3403</f>
        <v>7100.1744570000001</v>
      </c>
      <c r="E3406" s="408">
        <f t="shared" si="794"/>
        <v>7100.1744570000001</v>
      </c>
      <c r="F3406" s="408">
        <f t="shared" si="794"/>
        <v>7100.1744570000001</v>
      </c>
      <c r="G3406" s="408">
        <f t="shared" si="794"/>
        <v>7100.1744570000001</v>
      </c>
      <c r="H3406" s="408">
        <f t="shared" si="794"/>
        <v>7100.1744570000001</v>
      </c>
      <c r="I3406" s="408">
        <f t="shared" si="794"/>
        <v>7100.1744570000001</v>
      </c>
      <c r="J3406" s="575">
        <f t="shared" si="794"/>
        <v>7100.1744570000001</v>
      </c>
      <c r="K3406" s="644">
        <f t="shared" si="794"/>
        <v>7100.1744570000001</v>
      </c>
      <c r="L3406" s="644">
        <f t="shared" si="794"/>
        <v>7100.1744570000001</v>
      </c>
    </row>
    <row r="3407" spans="1:12">
      <c r="A3407" s="454"/>
      <c r="B3407" s="454"/>
      <c r="C3407" s="417" t="s">
        <v>994</v>
      </c>
      <c r="D3407" s="408">
        <v>0</v>
      </c>
      <c r="E3407" s="408">
        <f>ROUND($F$3401*10%,2)</f>
        <v>340.08</v>
      </c>
      <c r="F3407" s="408">
        <f>ROUND($F$3401*20%,2)</f>
        <v>680.16</v>
      </c>
      <c r="G3407" s="408">
        <f>ROUND($F$3401*30%,2)</f>
        <v>1020.24</v>
      </c>
      <c r="H3407" s="408">
        <f>ROUND($F$3401*40%,2)</f>
        <v>1360.32</v>
      </c>
      <c r="I3407" s="408">
        <f>ROUND($F$3401*50%,2)</f>
        <v>1700.4</v>
      </c>
      <c r="J3407" s="575">
        <f>ROUND($F$3401*60%,2)</f>
        <v>2040.48</v>
      </c>
      <c r="K3407" s="644">
        <f>ROUND($F$3401*70%,2)</f>
        <v>2380.56</v>
      </c>
      <c r="L3407" s="644">
        <f>ROUND($F$3401*80%,2)</f>
        <v>2720.64</v>
      </c>
    </row>
    <row r="3408" spans="1:12">
      <c r="A3408" s="454"/>
      <c r="B3408" s="454"/>
      <c r="C3408" s="417" t="str">
        <f>[161]Input!$C$47</f>
        <v>Add for MA @ 40%</v>
      </c>
      <c r="D3408" s="408">
        <f>D3407*[161]Input!$D$47</f>
        <v>0</v>
      </c>
      <c r="E3408" s="408">
        <f>E3407*[161]Input!$D$47</f>
        <v>136.03200000000001</v>
      </c>
      <c r="F3408" s="408">
        <f>F3407*[161]Input!$D$47</f>
        <v>272.06400000000002</v>
      </c>
      <c r="G3408" s="408">
        <f>G3407*[161]Input!$D$47</f>
        <v>408.096</v>
      </c>
      <c r="H3408" s="408">
        <f>H3407*[161]Input!$D$47</f>
        <v>544.12800000000004</v>
      </c>
      <c r="I3408" s="408">
        <f>I3407*[161]Input!$D$47</f>
        <v>680.16000000000008</v>
      </c>
      <c r="J3408" s="575">
        <f>J3407*[161]Input!$D$47</f>
        <v>816.19200000000001</v>
      </c>
      <c r="K3408" s="644">
        <f>K3407*[161]Input!$D$47</f>
        <v>952.22400000000005</v>
      </c>
      <c r="L3408" s="644">
        <f>L3407*[161]Input!$D$47</f>
        <v>1088.2560000000001</v>
      </c>
    </row>
    <row r="3409" spans="1:64">
      <c r="A3409" s="454"/>
      <c r="B3409" s="454"/>
      <c r="C3409" s="469"/>
      <c r="D3409" s="408">
        <f t="shared" ref="D3409:L3409" si="795">SUM(D3406:D3408)</f>
        <v>7100.1744570000001</v>
      </c>
      <c r="E3409" s="408">
        <f t="shared" si="795"/>
        <v>7576.2864570000002</v>
      </c>
      <c r="F3409" s="408">
        <f t="shared" si="795"/>
        <v>8052.3984570000002</v>
      </c>
      <c r="G3409" s="408">
        <f t="shared" si="795"/>
        <v>8528.5104570000003</v>
      </c>
      <c r="H3409" s="408">
        <f t="shared" si="795"/>
        <v>9004.6224570000013</v>
      </c>
      <c r="I3409" s="408">
        <f t="shared" si="795"/>
        <v>9480.7344570000005</v>
      </c>
      <c r="J3409" s="575">
        <f t="shared" si="795"/>
        <v>9956.8464569999996</v>
      </c>
      <c r="K3409" s="644">
        <f t="shared" si="795"/>
        <v>10432.958457000001</v>
      </c>
      <c r="L3409" s="644">
        <f t="shared" si="795"/>
        <v>10909.070457</v>
      </c>
    </row>
    <row r="3410" spans="1:64" ht="25">
      <c r="A3410" s="454"/>
      <c r="B3410" s="454"/>
      <c r="C3410" s="417" t="str">
        <f>[161]Input!$C$48</f>
        <v>Overheads &amp; Contractors Profit @ 13.615%</v>
      </c>
      <c r="D3410" s="408">
        <f>ROUND(D3409*[161]Input!$D$48,2)</f>
        <v>966.69</v>
      </c>
      <c r="E3410" s="408">
        <f>ROUND(E3409*[161]Input!$D$48,2)</f>
        <v>1031.51</v>
      </c>
      <c r="F3410" s="408">
        <f>ROUND(F3409*[161]Input!$D$48,2)</f>
        <v>1096.33</v>
      </c>
      <c r="G3410" s="408">
        <f>ROUND(G3409*[161]Input!$D$48,2)</f>
        <v>1161.1600000000001</v>
      </c>
      <c r="H3410" s="408">
        <f>ROUND(H3409*[161]Input!$D$48,2)</f>
        <v>1225.98</v>
      </c>
      <c r="I3410" s="408">
        <f>ROUND(I3409*[161]Input!$D$48,2)</f>
        <v>1290.8</v>
      </c>
      <c r="J3410" s="575">
        <f>ROUND(J3409*[161]Input!$D$48,2)</f>
        <v>1355.62</v>
      </c>
      <c r="K3410" s="644">
        <f>ROUND(K3409*[161]Input!$D$48,2)</f>
        <v>1420.45</v>
      </c>
      <c r="L3410" s="644">
        <f>ROUND(L3409*[161]Input!$D$48,2)</f>
        <v>1485.27</v>
      </c>
    </row>
    <row r="3411" spans="1:64" ht="13">
      <c r="A3411" s="454"/>
      <c r="B3411" s="454"/>
      <c r="C3411" s="427" t="s">
        <v>1047</v>
      </c>
      <c r="D3411" s="408">
        <f t="shared" ref="D3411:L3411" si="796">SUM(D3409:D3410)</f>
        <v>8066.8644569999997</v>
      </c>
      <c r="E3411" s="408">
        <f t="shared" si="796"/>
        <v>8607.7964570000004</v>
      </c>
      <c r="F3411" s="408">
        <f t="shared" si="796"/>
        <v>9148.7284570000011</v>
      </c>
      <c r="G3411" s="408">
        <f t="shared" si="796"/>
        <v>9689.6704570000002</v>
      </c>
      <c r="H3411" s="408">
        <f t="shared" si="796"/>
        <v>10230.602457000001</v>
      </c>
      <c r="I3411" s="408">
        <f t="shared" si="796"/>
        <v>10771.534457</v>
      </c>
      <c r="J3411" s="575">
        <f t="shared" si="796"/>
        <v>11312.466456999999</v>
      </c>
      <c r="K3411" s="644">
        <f t="shared" si="796"/>
        <v>11853.408457000001</v>
      </c>
      <c r="L3411" s="644">
        <f t="shared" si="796"/>
        <v>12394.340457</v>
      </c>
    </row>
    <row r="3412" spans="1:64" ht="13">
      <c r="A3412" s="454"/>
      <c r="B3412" s="454"/>
      <c r="C3412" s="427" t="s">
        <v>1032</v>
      </c>
      <c r="D3412" s="414">
        <f t="shared" ref="D3412:L3412" si="797">D3411*0.01</f>
        <v>80.668644569999998</v>
      </c>
      <c r="E3412" s="414">
        <f t="shared" si="797"/>
        <v>86.077964570000006</v>
      </c>
      <c r="F3412" s="414">
        <f t="shared" si="797"/>
        <v>91.487284570000014</v>
      </c>
      <c r="G3412" s="414">
        <f t="shared" si="797"/>
        <v>96.896704569999997</v>
      </c>
      <c r="H3412" s="414">
        <f t="shared" si="797"/>
        <v>102.30602457000001</v>
      </c>
      <c r="I3412" s="414">
        <f t="shared" si="797"/>
        <v>107.71534457</v>
      </c>
      <c r="J3412" s="657">
        <f t="shared" si="797"/>
        <v>113.12466456999999</v>
      </c>
      <c r="K3412" s="631">
        <f t="shared" si="797"/>
        <v>118.53408457000002</v>
      </c>
      <c r="L3412" s="631">
        <f t="shared" si="797"/>
        <v>123.94340457</v>
      </c>
    </row>
    <row r="3413" spans="1:64" s="554" customFormat="1" ht="13">
      <c r="A3413" s="454"/>
      <c r="B3413" s="454"/>
      <c r="C3413" s="522" t="s">
        <v>726</v>
      </c>
      <c r="D3413" s="416">
        <f t="shared" ref="D3413:L3413" si="798">ROUND(D3412,0)</f>
        <v>81</v>
      </c>
      <c r="E3413" s="416">
        <f t="shared" si="798"/>
        <v>86</v>
      </c>
      <c r="F3413" s="416">
        <f t="shared" si="798"/>
        <v>91</v>
      </c>
      <c r="G3413" s="416">
        <f t="shared" si="798"/>
        <v>97</v>
      </c>
      <c r="H3413" s="416">
        <f t="shared" si="798"/>
        <v>102</v>
      </c>
      <c r="I3413" s="416">
        <f t="shared" si="798"/>
        <v>108</v>
      </c>
      <c r="J3413" s="533">
        <f t="shared" si="798"/>
        <v>113</v>
      </c>
      <c r="K3413" s="534">
        <f t="shared" si="798"/>
        <v>119</v>
      </c>
      <c r="L3413" s="534">
        <f t="shared" si="798"/>
        <v>124</v>
      </c>
    </row>
    <row r="3414" spans="1:64" ht="13">
      <c r="A3414" s="454"/>
      <c r="B3414" s="454"/>
      <c r="C3414" s="427"/>
      <c r="D3414" s="416"/>
      <c r="E3414" s="416"/>
      <c r="F3414" s="416"/>
      <c r="G3414" s="416"/>
      <c r="H3414" s="416"/>
      <c r="I3414" s="414"/>
      <c r="J3414" s="400"/>
      <c r="K3414" s="401"/>
      <c r="L3414" s="401"/>
    </row>
    <row r="3415" spans="1:64" ht="88.15" customHeight="1">
      <c r="A3415" s="454">
        <f>A3389+1</f>
        <v>13</v>
      </c>
      <c r="B3415" s="454"/>
      <c r="C3415" s="1281" t="s">
        <v>1280</v>
      </c>
      <c r="D3415" s="1281"/>
      <c r="E3415" s="1281"/>
      <c r="F3415" s="1281"/>
      <c r="G3415" s="1281"/>
      <c r="H3415" s="1281"/>
      <c r="I3415" s="407"/>
      <c r="J3415" s="400"/>
      <c r="K3415" s="401"/>
      <c r="L3415" s="401"/>
    </row>
    <row r="3416" spans="1:64" ht="13">
      <c r="A3416" s="454"/>
      <c r="B3416" s="454"/>
      <c r="C3416" s="455" t="s">
        <v>1281</v>
      </c>
      <c r="D3416" s="408"/>
      <c r="E3416" s="408"/>
      <c r="F3416" s="408"/>
      <c r="G3416" s="430"/>
      <c r="H3416" s="415"/>
      <c r="I3416" s="414"/>
      <c r="J3416" s="400"/>
      <c r="K3416" s="401"/>
      <c r="L3416" s="401"/>
    </row>
    <row r="3417" spans="1:64" ht="13">
      <c r="A3417" s="454"/>
      <c r="B3417" s="454"/>
      <c r="C3417" s="417" t="s">
        <v>1259</v>
      </c>
      <c r="D3417" s="408"/>
      <c r="E3417" s="408"/>
      <c r="F3417" s="408"/>
      <c r="G3417" s="430"/>
      <c r="H3417" s="415"/>
      <c r="I3417" s="414"/>
      <c r="J3417" s="400"/>
      <c r="K3417" s="401"/>
      <c r="L3417" s="401"/>
    </row>
    <row r="3418" spans="1:64" ht="13">
      <c r="A3418" s="454"/>
      <c r="B3418" s="454"/>
      <c r="C3418" s="427" t="s">
        <v>873</v>
      </c>
      <c r="D3418" s="408"/>
      <c r="E3418" s="408"/>
      <c r="F3418" s="408"/>
      <c r="G3418" s="430"/>
      <c r="H3418" s="415"/>
      <c r="I3418" s="414"/>
      <c r="J3418" s="400"/>
      <c r="K3418" s="401"/>
      <c r="L3418" s="401"/>
    </row>
    <row r="3419" spans="1:64" ht="25">
      <c r="A3419" s="458"/>
      <c r="B3419" s="458"/>
      <c r="C3419" s="417" t="s">
        <v>1282</v>
      </c>
      <c r="D3419" s="459">
        <v>10.5</v>
      </c>
      <c r="E3419" s="459" t="s">
        <v>17</v>
      </c>
      <c r="F3419" s="705">
        <v>300</v>
      </c>
      <c r="G3419" s="460">
        <v>1</v>
      </c>
      <c r="H3419" s="458" t="s">
        <v>17</v>
      </c>
      <c r="I3419" s="459">
        <f t="shared" ref="I3419:I3423" si="799">IF(G3419="",D3419*F3419,(D3419*F3419/G3419))</f>
        <v>3150</v>
      </c>
      <c r="J3419" s="707"/>
      <c r="K3419" s="463"/>
      <c r="L3419" s="463"/>
      <c r="M3419" s="559"/>
      <c r="N3419" s="559"/>
      <c r="O3419" s="559"/>
      <c r="P3419" s="559"/>
      <c r="Q3419" s="559"/>
      <c r="R3419" s="559"/>
      <c r="S3419" s="559"/>
      <c r="T3419" s="559"/>
      <c r="U3419" s="559"/>
      <c r="V3419" s="559"/>
      <c r="W3419" s="559"/>
      <c r="X3419" s="559"/>
      <c r="Y3419" s="559"/>
      <c r="Z3419" s="559"/>
      <c r="AA3419" s="559"/>
      <c r="AB3419" s="559"/>
      <c r="AC3419" s="559"/>
      <c r="AD3419" s="559"/>
      <c r="AE3419" s="559"/>
      <c r="AF3419" s="559"/>
      <c r="AG3419" s="559"/>
      <c r="AH3419" s="559"/>
      <c r="AI3419" s="559"/>
      <c r="AJ3419" s="559"/>
      <c r="AK3419" s="559"/>
      <c r="AL3419" s="559"/>
      <c r="AM3419" s="559"/>
      <c r="AN3419" s="559"/>
      <c r="AO3419" s="559"/>
      <c r="AP3419" s="559"/>
      <c r="AQ3419" s="559"/>
      <c r="AR3419" s="559"/>
      <c r="AS3419" s="559"/>
      <c r="AT3419" s="559"/>
      <c r="AU3419" s="559"/>
      <c r="AV3419" s="559"/>
      <c r="AW3419" s="559"/>
      <c r="AX3419" s="559"/>
      <c r="AY3419" s="559"/>
      <c r="AZ3419" s="559"/>
      <c r="BA3419" s="559"/>
      <c r="BB3419" s="559"/>
      <c r="BC3419" s="559"/>
      <c r="BD3419" s="559"/>
      <c r="BE3419" s="559"/>
      <c r="BF3419" s="559"/>
      <c r="BG3419" s="559"/>
      <c r="BH3419" s="559"/>
      <c r="BI3419" s="559"/>
      <c r="BJ3419" s="559"/>
      <c r="BK3419" s="559"/>
      <c r="BL3419" s="559"/>
    </row>
    <row r="3420" spans="1:64">
      <c r="A3420" s="458"/>
      <c r="B3420" s="458"/>
      <c r="C3420" s="417" t="s">
        <v>1261</v>
      </c>
      <c r="D3420" s="459">
        <v>0.12</v>
      </c>
      <c r="E3420" s="459" t="s">
        <v>666</v>
      </c>
      <c r="F3420" s="708">
        <f>[161]LEAD!$N$13</f>
        <v>2453.91</v>
      </c>
      <c r="G3420" s="460">
        <v>1</v>
      </c>
      <c r="H3420" s="458" t="s">
        <v>666</v>
      </c>
      <c r="I3420" s="459">
        <f t="shared" si="799"/>
        <v>294.46919999999994</v>
      </c>
      <c r="J3420" s="462"/>
      <c r="K3420" s="463"/>
      <c r="L3420" s="463"/>
      <c r="M3420" s="559"/>
      <c r="N3420" s="559"/>
      <c r="O3420" s="559"/>
      <c r="P3420" s="559"/>
      <c r="Q3420" s="559"/>
      <c r="R3420" s="559"/>
      <c r="S3420" s="559"/>
      <c r="T3420" s="559"/>
      <c r="U3420" s="559"/>
      <c r="V3420" s="559"/>
      <c r="W3420" s="559"/>
      <c r="X3420" s="559"/>
      <c r="Y3420" s="559"/>
      <c r="Z3420" s="559"/>
      <c r="AA3420" s="559"/>
      <c r="AB3420" s="559"/>
      <c r="AC3420" s="559"/>
      <c r="AD3420" s="559"/>
      <c r="AE3420" s="559"/>
      <c r="AF3420" s="559"/>
      <c r="AG3420" s="559"/>
      <c r="AH3420" s="559"/>
      <c r="AI3420" s="559"/>
      <c r="AJ3420" s="559"/>
      <c r="AK3420" s="559"/>
      <c r="AL3420" s="559"/>
      <c r="AM3420" s="559"/>
      <c r="AN3420" s="559"/>
      <c r="AO3420" s="559"/>
      <c r="AP3420" s="559"/>
      <c r="AQ3420" s="559"/>
      <c r="AR3420" s="559"/>
      <c r="AS3420" s="559"/>
      <c r="AT3420" s="559"/>
      <c r="AU3420" s="559"/>
      <c r="AV3420" s="559"/>
      <c r="AW3420" s="559"/>
      <c r="AX3420" s="559"/>
      <c r="AY3420" s="559"/>
      <c r="AZ3420" s="559"/>
      <c r="BA3420" s="559"/>
      <c r="BB3420" s="559"/>
      <c r="BC3420" s="559"/>
      <c r="BD3420" s="559"/>
      <c r="BE3420" s="559"/>
      <c r="BF3420" s="559"/>
      <c r="BG3420" s="559"/>
      <c r="BH3420" s="559"/>
      <c r="BI3420" s="559"/>
      <c r="BJ3420" s="559"/>
      <c r="BK3420" s="559"/>
      <c r="BL3420" s="559"/>
    </row>
    <row r="3421" spans="1:64">
      <c r="A3421" s="458"/>
      <c r="B3421" s="458"/>
      <c r="C3421" s="417" t="s">
        <v>1262</v>
      </c>
      <c r="D3421" s="459">
        <v>34.56</v>
      </c>
      <c r="E3421" s="459" t="s">
        <v>833</v>
      </c>
      <c r="F3421" s="459">
        <f>[161]LEAD!$N$6</f>
        <v>5200</v>
      </c>
      <c r="G3421" s="460">
        <v>1000</v>
      </c>
      <c r="H3421" s="458" t="s">
        <v>833</v>
      </c>
      <c r="I3421" s="459">
        <f t="shared" si="799"/>
        <v>179.71199999999999</v>
      </c>
      <c r="J3421" s="462"/>
      <c r="K3421" s="463"/>
      <c r="L3421" s="463"/>
      <c r="M3421" s="559"/>
      <c r="N3421" s="559"/>
      <c r="O3421" s="559"/>
      <c r="P3421" s="559"/>
      <c r="Q3421" s="559"/>
      <c r="R3421" s="559"/>
      <c r="S3421" s="559"/>
      <c r="T3421" s="559"/>
      <c r="U3421" s="559"/>
      <c r="V3421" s="559"/>
      <c r="W3421" s="559"/>
      <c r="X3421" s="559"/>
      <c r="Y3421" s="559"/>
      <c r="Z3421" s="559"/>
      <c r="AA3421" s="559"/>
      <c r="AB3421" s="559"/>
      <c r="AC3421" s="559"/>
      <c r="AD3421" s="559"/>
      <c r="AE3421" s="559"/>
      <c r="AF3421" s="559"/>
      <c r="AG3421" s="559"/>
      <c r="AH3421" s="559"/>
      <c r="AI3421" s="559"/>
      <c r="AJ3421" s="559"/>
      <c r="AK3421" s="559"/>
      <c r="AL3421" s="559"/>
      <c r="AM3421" s="559"/>
      <c r="AN3421" s="559"/>
      <c r="AO3421" s="559"/>
      <c r="AP3421" s="559"/>
      <c r="AQ3421" s="559"/>
      <c r="AR3421" s="559"/>
      <c r="AS3421" s="559"/>
      <c r="AT3421" s="559"/>
      <c r="AU3421" s="559"/>
      <c r="AV3421" s="559"/>
      <c r="AW3421" s="559"/>
      <c r="AX3421" s="559"/>
      <c r="AY3421" s="559"/>
      <c r="AZ3421" s="559"/>
      <c r="BA3421" s="559"/>
      <c r="BB3421" s="559"/>
      <c r="BC3421" s="559"/>
      <c r="BD3421" s="559"/>
      <c r="BE3421" s="559"/>
      <c r="BF3421" s="559"/>
      <c r="BG3421" s="559"/>
      <c r="BH3421" s="559"/>
      <c r="BI3421" s="559"/>
      <c r="BJ3421" s="559"/>
      <c r="BK3421" s="559"/>
      <c r="BL3421" s="559"/>
    </row>
    <row r="3422" spans="1:64">
      <c r="A3422" s="458"/>
      <c r="B3422" s="458"/>
      <c r="C3422" s="417" t="s">
        <v>1171</v>
      </c>
      <c r="D3422" s="459">
        <v>33</v>
      </c>
      <c r="E3422" s="459" t="s">
        <v>833</v>
      </c>
      <c r="F3422" s="459">
        <f>[161]LEAD!$N$6</f>
        <v>5200</v>
      </c>
      <c r="G3422" s="460">
        <v>1000</v>
      </c>
      <c r="H3422" s="458" t="s">
        <v>833</v>
      </c>
      <c r="I3422" s="459">
        <f t="shared" si="799"/>
        <v>171.6</v>
      </c>
      <c r="J3422" s="462"/>
      <c r="K3422" s="463"/>
      <c r="L3422" s="463"/>
      <c r="M3422" s="559"/>
      <c r="N3422" s="559"/>
      <c r="O3422" s="559"/>
      <c r="P3422" s="559"/>
      <c r="Q3422" s="559"/>
      <c r="R3422" s="559"/>
      <c r="S3422" s="559"/>
      <c r="T3422" s="559"/>
      <c r="U3422" s="559"/>
      <c r="V3422" s="559"/>
      <c r="W3422" s="559"/>
      <c r="X3422" s="559"/>
      <c r="Y3422" s="559"/>
      <c r="Z3422" s="559"/>
      <c r="AA3422" s="559"/>
      <c r="AB3422" s="559"/>
      <c r="AC3422" s="559"/>
      <c r="AD3422" s="559"/>
      <c r="AE3422" s="559"/>
      <c r="AF3422" s="559"/>
      <c r="AG3422" s="559"/>
      <c r="AH3422" s="559"/>
      <c r="AI3422" s="559"/>
      <c r="AJ3422" s="559"/>
      <c r="AK3422" s="559"/>
      <c r="AL3422" s="559"/>
      <c r="AM3422" s="559"/>
      <c r="AN3422" s="559"/>
      <c r="AO3422" s="559"/>
      <c r="AP3422" s="559"/>
      <c r="AQ3422" s="559"/>
      <c r="AR3422" s="559"/>
      <c r="AS3422" s="559"/>
      <c r="AT3422" s="559"/>
      <c r="AU3422" s="559"/>
      <c r="AV3422" s="559"/>
      <c r="AW3422" s="559"/>
      <c r="AX3422" s="559"/>
      <c r="AY3422" s="559"/>
      <c r="AZ3422" s="559"/>
      <c r="BA3422" s="559"/>
      <c r="BB3422" s="559"/>
      <c r="BC3422" s="559"/>
      <c r="BD3422" s="559"/>
      <c r="BE3422" s="559"/>
      <c r="BF3422" s="559"/>
      <c r="BG3422" s="559"/>
      <c r="BH3422" s="559"/>
      <c r="BI3422" s="559"/>
      <c r="BJ3422" s="559"/>
      <c r="BK3422" s="559"/>
      <c r="BL3422" s="559"/>
    </row>
    <row r="3423" spans="1:64">
      <c r="A3423" s="458"/>
      <c r="B3423" s="458"/>
      <c r="C3423" s="417" t="s">
        <v>1283</v>
      </c>
      <c r="D3423" s="459">
        <v>6</v>
      </c>
      <c r="E3423" s="459" t="s">
        <v>833</v>
      </c>
      <c r="F3423" s="459">
        <f>'[161]Civil-SOR'!$G$185</f>
        <v>34</v>
      </c>
      <c r="G3423" s="460">
        <v>1</v>
      </c>
      <c r="H3423" s="458" t="s">
        <v>312</v>
      </c>
      <c r="I3423" s="459">
        <f t="shared" si="799"/>
        <v>204</v>
      </c>
      <c r="J3423" s="462"/>
      <c r="K3423" s="463"/>
      <c r="L3423" s="463"/>
      <c r="M3423" s="559"/>
      <c r="N3423" s="559"/>
      <c r="O3423" s="559"/>
      <c r="P3423" s="559"/>
      <c r="Q3423" s="559"/>
      <c r="R3423" s="559"/>
      <c r="S3423" s="559"/>
      <c r="T3423" s="559"/>
      <c r="U3423" s="559"/>
      <c r="V3423" s="559"/>
      <c r="W3423" s="559"/>
      <c r="X3423" s="559"/>
      <c r="Y3423" s="559"/>
      <c r="Z3423" s="559"/>
      <c r="AA3423" s="559"/>
      <c r="AB3423" s="559"/>
      <c r="AC3423" s="559"/>
      <c r="AD3423" s="559"/>
      <c r="AE3423" s="559"/>
      <c r="AF3423" s="559"/>
      <c r="AG3423" s="559"/>
      <c r="AH3423" s="559"/>
      <c r="AI3423" s="559"/>
      <c r="AJ3423" s="559"/>
      <c r="AK3423" s="559"/>
      <c r="AL3423" s="559"/>
      <c r="AM3423" s="559"/>
      <c r="AN3423" s="559"/>
      <c r="AO3423" s="559"/>
      <c r="AP3423" s="559"/>
      <c r="AQ3423" s="559"/>
      <c r="AR3423" s="559"/>
      <c r="AS3423" s="559"/>
      <c r="AT3423" s="559"/>
      <c r="AU3423" s="559"/>
      <c r="AV3423" s="559"/>
      <c r="AW3423" s="559"/>
      <c r="AX3423" s="559"/>
      <c r="AY3423" s="559"/>
      <c r="AZ3423" s="559"/>
      <c r="BA3423" s="559"/>
      <c r="BB3423" s="559"/>
      <c r="BC3423" s="559"/>
      <c r="BD3423" s="559"/>
      <c r="BE3423" s="559"/>
      <c r="BF3423" s="559"/>
      <c r="BG3423" s="559"/>
      <c r="BH3423" s="559"/>
      <c r="BI3423" s="559"/>
      <c r="BJ3423" s="559"/>
      <c r="BK3423" s="559"/>
      <c r="BL3423" s="559"/>
    </row>
    <row r="3424" spans="1:64" ht="13">
      <c r="A3424" s="458"/>
      <c r="B3424" s="458"/>
      <c r="C3424" s="427" t="s">
        <v>1263</v>
      </c>
      <c r="D3424" s="459"/>
      <c r="E3424" s="459"/>
      <c r="F3424" s="459"/>
      <c r="G3424" s="460"/>
      <c r="H3424" s="471"/>
      <c r="I3424" s="461"/>
      <c r="J3424" s="462"/>
      <c r="K3424" s="463"/>
      <c r="L3424" s="463"/>
      <c r="M3424" s="559"/>
      <c r="N3424" s="559"/>
      <c r="O3424" s="559"/>
      <c r="P3424" s="559"/>
      <c r="Q3424" s="559"/>
      <c r="R3424" s="559"/>
      <c r="S3424" s="559"/>
      <c r="T3424" s="559"/>
      <c r="U3424" s="559"/>
      <c r="V3424" s="559"/>
      <c r="W3424" s="559"/>
      <c r="X3424" s="559"/>
      <c r="Y3424" s="559"/>
      <c r="Z3424" s="559"/>
      <c r="AA3424" s="559"/>
      <c r="AB3424" s="559"/>
      <c r="AC3424" s="559"/>
      <c r="AD3424" s="559"/>
      <c r="AE3424" s="559"/>
      <c r="AF3424" s="559"/>
      <c r="AG3424" s="559"/>
      <c r="AH3424" s="559"/>
      <c r="AI3424" s="559"/>
      <c r="AJ3424" s="559"/>
      <c r="AK3424" s="559"/>
      <c r="AL3424" s="559"/>
      <c r="AM3424" s="559"/>
      <c r="AN3424" s="559"/>
      <c r="AO3424" s="559"/>
      <c r="AP3424" s="559"/>
      <c r="AQ3424" s="559"/>
      <c r="AR3424" s="559"/>
      <c r="AS3424" s="559"/>
      <c r="AT3424" s="559"/>
      <c r="AU3424" s="559"/>
      <c r="AV3424" s="559"/>
      <c r="AW3424" s="559"/>
      <c r="AX3424" s="559"/>
      <c r="AY3424" s="559"/>
      <c r="AZ3424" s="559"/>
      <c r="BA3424" s="559"/>
      <c r="BB3424" s="559"/>
      <c r="BC3424" s="559"/>
      <c r="BD3424" s="559"/>
      <c r="BE3424" s="559"/>
      <c r="BF3424" s="559"/>
      <c r="BG3424" s="559"/>
      <c r="BH3424" s="559"/>
      <c r="BI3424" s="559"/>
      <c r="BJ3424" s="559"/>
      <c r="BK3424" s="559"/>
      <c r="BL3424" s="559"/>
    </row>
    <row r="3425" spans="1:64">
      <c r="A3425" s="458"/>
      <c r="B3425" s="458"/>
      <c r="C3425" s="417" t="s">
        <v>1044</v>
      </c>
      <c r="D3425" s="459">
        <v>0.77</v>
      </c>
      <c r="E3425" s="459" t="s">
        <v>375</v>
      </c>
      <c r="F3425" s="459">
        <f>'[161]Civil-SOR'!$G$293</f>
        <v>580</v>
      </c>
      <c r="G3425" s="460">
        <v>1</v>
      </c>
      <c r="H3425" s="458" t="s">
        <v>572</v>
      </c>
      <c r="I3425" s="459">
        <f t="shared" ref="I3425:I3428" si="800">IF(G3425="",D3425*F3425,(D3425*F3425/G3425))</f>
        <v>446.6</v>
      </c>
      <c r="J3425" s="462"/>
      <c r="K3425" s="463"/>
      <c r="L3425" s="463"/>
      <c r="M3425" s="559"/>
      <c r="N3425" s="559"/>
      <c r="O3425" s="559"/>
      <c r="P3425" s="559"/>
      <c r="Q3425" s="559"/>
      <c r="R3425" s="559"/>
      <c r="S3425" s="559"/>
      <c r="T3425" s="559"/>
      <c r="U3425" s="559"/>
      <c r="V3425" s="559"/>
      <c r="W3425" s="559"/>
      <c r="X3425" s="559"/>
      <c r="Y3425" s="559"/>
      <c r="Z3425" s="559"/>
      <c r="AA3425" s="559"/>
      <c r="AB3425" s="559"/>
      <c r="AC3425" s="559"/>
      <c r="AD3425" s="559"/>
      <c r="AE3425" s="559"/>
      <c r="AF3425" s="559"/>
      <c r="AG3425" s="559"/>
      <c r="AH3425" s="559"/>
      <c r="AI3425" s="559"/>
      <c r="AJ3425" s="559"/>
      <c r="AK3425" s="559"/>
      <c r="AL3425" s="559"/>
      <c r="AM3425" s="559"/>
      <c r="AN3425" s="559"/>
      <c r="AO3425" s="559"/>
      <c r="AP3425" s="559"/>
      <c r="AQ3425" s="559"/>
      <c r="AR3425" s="559"/>
      <c r="AS3425" s="559"/>
      <c r="AT3425" s="559"/>
      <c r="AU3425" s="559"/>
      <c r="AV3425" s="559"/>
      <c r="AW3425" s="559"/>
      <c r="AX3425" s="559"/>
      <c r="AY3425" s="559"/>
      <c r="AZ3425" s="559"/>
      <c r="BA3425" s="559"/>
      <c r="BB3425" s="559"/>
      <c r="BC3425" s="559"/>
      <c r="BD3425" s="559"/>
      <c r="BE3425" s="559"/>
      <c r="BF3425" s="559"/>
      <c r="BG3425" s="559"/>
      <c r="BH3425" s="559"/>
      <c r="BI3425" s="559"/>
      <c r="BJ3425" s="559"/>
      <c r="BK3425" s="559"/>
      <c r="BL3425" s="559"/>
    </row>
    <row r="3426" spans="1:64">
      <c r="A3426" s="458"/>
      <c r="B3426" s="458"/>
      <c r="C3426" s="417" t="s">
        <v>723</v>
      </c>
      <c r="D3426" s="459">
        <v>0.8</v>
      </c>
      <c r="E3426" s="459" t="s">
        <v>375</v>
      </c>
      <c r="F3426" s="459">
        <f>'[161]Civil-SOR'!$G$307</f>
        <v>520</v>
      </c>
      <c r="G3426" s="460">
        <v>1</v>
      </c>
      <c r="H3426" s="458" t="s">
        <v>572</v>
      </c>
      <c r="I3426" s="459">
        <f t="shared" si="800"/>
        <v>416</v>
      </c>
      <c r="J3426" s="462"/>
      <c r="K3426" s="463"/>
      <c r="L3426" s="463"/>
      <c r="M3426" s="559"/>
      <c r="N3426" s="559"/>
      <c r="O3426" s="559"/>
      <c r="P3426" s="559"/>
      <c r="Q3426" s="559"/>
      <c r="R3426" s="559"/>
      <c r="S3426" s="559"/>
      <c r="T3426" s="559"/>
      <c r="U3426" s="559"/>
      <c r="V3426" s="559"/>
      <c r="W3426" s="559"/>
      <c r="X3426" s="559"/>
      <c r="Y3426" s="559"/>
      <c r="Z3426" s="559"/>
      <c r="AA3426" s="559"/>
      <c r="AB3426" s="559"/>
      <c r="AC3426" s="559"/>
      <c r="AD3426" s="559"/>
      <c r="AE3426" s="559"/>
      <c r="AF3426" s="559"/>
      <c r="AG3426" s="559"/>
      <c r="AH3426" s="559"/>
      <c r="AI3426" s="559"/>
      <c r="AJ3426" s="559"/>
      <c r="AK3426" s="559"/>
      <c r="AL3426" s="559"/>
      <c r="AM3426" s="559"/>
      <c r="AN3426" s="559"/>
      <c r="AO3426" s="559"/>
      <c r="AP3426" s="559"/>
      <c r="AQ3426" s="559"/>
      <c r="AR3426" s="559"/>
      <c r="AS3426" s="559"/>
      <c r="AT3426" s="559"/>
      <c r="AU3426" s="559"/>
      <c r="AV3426" s="559"/>
      <c r="AW3426" s="559"/>
      <c r="AX3426" s="559"/>
      <c r="AY3426" s="559"/>
      <c r="AZ3426" s="559"/>
      <c r="BA3426" s="559"/>
      <c r="BB3426" s="559"/>
      <c r="BC3426" s="559"/>
      <c r="BD3426" s="559"/>
      <c r="BE3426" s="559"/>
      <c r="BF3426" s="559"/>
      <c r="BG3426" s="559"/>
      <c r="BH3426" s="559"/>
      <c r="BI3426" s="559"/>
      <c r="BJ3426" s="559"/>
      <c r="BK3426" s="559"/>
      <c r="BL3426" s="559"/>
    </row>
    <row r="3427" spans="1:64">
      <c r="A3427" s="458"/>
      <c r="B3427" s="458"/>
      <c r="C3427" s="435" t="str">
        <f>[161]Input!$C$47</f>
        <v>Add for MA @ 40%</v>
      </c>
      <c r="D3427" s="622">
        <f>[161]Input!$D$47</f>
        <v>0.4</v>
      </c>
      <c r="E3427" s="458"/>
      <c r="F3427" s="459">
        <f>SUM(I3425:I3426)</f>
        <v>862.6</v>
      </c>
      <c r="G3427" s="431"/>
      <c r="H3427" s="406"/>
      <c r="I3427" s="459">
        <f t="shared" si="800"/>
        <v>345.04</v>
      </c>
      <c r="J3427" s="462"/>
      <c r="K3427" s="463"/>
      <c r="L3427" s="463"/>
      <c r="M3427" s="559"/>
      <c r="N3427" s="559"/>
      <c r="O3427" s="559"/>
      <c r="P3427" s="559"/>
      <c r="Q3427" s="559"/>
      <c r="R3427" s="559"/>
      <c r="S3427" s="559"/>
      <c r="T3427" s="559"/>
      <c r="U3427" s="559"/>
      <c r="V3427" s="559"/>
      <c r="W3427" s="559"/>
      <c r="X3427" s="559"/>
      <c r="Y3427" s="559"/>
      <c r="Z3427" s="559"/>
      <c r="AA3427" s="559"/>
      <c r="AB3427" s="559"/>
      <c r="AC3427" s="559"/>
      <c r="AD3427" s="559"/>
      <c r="AE3427" s="559"/>
      <c r="AF3427" s="559"/>
      <c r="AG3427" s="559"/>
      <c r="AH3427" s="559"/>
      <c r="AI3427" s="559"/>
      <c r="AJ3427" s="559"/>
      <c r="AK3427" s="559"/>
      <c r="AL3427" s="559"/>
      <c r="AM3427" s="559"/>
      <c r="AN3427" s="559"/>
      <c r="AO3427" s="559"/>
      <c r="AP3427" s="559"/>
      <c r="AQ3427" s="559"/>
      <c r="AR3427" s="559"/>
      <c r="AS3427" s="559"/>
      <c r="AT3427" s="559"/>
      <c r="AU3427" s="559"/>
      <c r="AV3427" s="559"/>
      <c r="AW3427" s="559"/>
      <c r="AX3427" s="559"/>
      <c r="AY3427" s="559"/>
      <c r="AZ3427" s="559"/>
      <c r="BA3427" s="559"/>
      <c r="BB3427" s="559"/>
      <c r="BC3427" s="559"/>
      <c r="BD3427" s="559"/>
      <c r="BE3427" s="559"/>
      <c r="BF3427" s="559"/>
      <c r="BG3427" s="559"/>
      <c r="BH3427" s="559"/>
      <c r="BI3427" s="559"/>
      <c r="BJ3427" s="559"/>
      <c r="BK3427" s="559"/>
      <c r="BL3427" s="559"/>
    </row>
    <row r="3428" spans="1:64">
      <c r="A3428" s="458"/>
      <c r="B3428" s="458"/>
      <c r="C3428" s="417" t="s">
        <v>1046</v>
      </c>
      <c r="D3428" s="459">
        <v>0.01</v>
      </c>
      <c r="E3428" s="459"/>
      <c r="F3428" s="459">
        <f>SUM(I3419:I3427)</f>
        <v>5207.4211999999998</v>
      </c>
      <c r="G3428" s="460"/>
      <c r="H3428" s="458"/>
      <c r="I3428" s="459">
        <f t="shared" si="800"/>
        <v>52.074211999999996</v>
      </c>
      <c r="J3428" s="462"/>
      <c r="K3428" s="463"/>
      <c r="L3428" s="463"/>
      <c r="M3428" s="559"/>
      <c r="N3428" s="559"/>
      <c r="O3428" s="559"/>
      <c r="P3428" s="559"/>
      <c r="Q3428" s="559"/>
      <c r="R3428" s="559"/>
      <c r="S3428" s="559"/>
      <c r="T3428" s="559"/>
      <c r="U3428" s="559"/>
      <c r="V3428" s="559"/>
      <c r="W3428" s="559"/>
      <c r="X3428" s="559"/>
      <c r="Y3428" s="559"/>
      <c r="Z3428" s="559"/>
      <c r="AA3428" s="559"/>
      <c r="AB3428" s="559"/>
      <c r="AC3428" s="559"/>
      <c r="AD3428" s="559"/>
      <c r="AE3428" s="559"/>
      <c r="AF3428" s="559"/>
      <c r="AG3428" s="559"/>
      <c r="AH3428" s="559"/>
      <c r="AI3428" s="559"/>
      <c r="AJ3428" s="559"/>
      <c r="AK3428" s="559"/>
      <c r="AL3428" s="559"/>
      <c r="AM3428" s="559"/>
      <c r="AN3428" s="559"/>
      <c r="AO3428" s="559"/>
      <c r="AP3428" s="559"/>
      <c r="AQ3428" s="559"/>
      <c r="AR3428" s="559"/>
      <c r="AS3428" s="559"/>
      <c r="AT3428" s="559"/>
      <c r="AU3428" s="559"/>
      <c r="AV3428" s="559"/>
      <c r="AW3428" s="559"/>
      <c r="AX3428" s="559"/>
      <c r="AY3428" s="559"/>
      <c r="AZ3428" s="559"/>
      <c r="BA3428" s="559"/>
      <c r="BB3428" s="559"/>
      <c r="BC3428" s="559"/>
      <c r="BD3428" s="559"/>
      <c r="BE3428" s="559"/>
      <c r="BF3428" s="559"/>
      <c r="BG3428" s="559"/>
      <c r="BH3428" s="559"/>
      <c r="BI3428" s="559"/>
      <c r="BJ3428" s="559"/>
      <c r="BK3428" s="559"/>
      <c r="BL3428" s="559"/>
    </row>
    <row r="3429" spans="1:64" s="554" customFormat="1" ht="13">
      <c r="A3429" s="454"/>
      <c r="B3429" s="454"/>
      <c r="C3429" s="481" t="s">
        <v>1047</v>
      </c>
      <c r="D3429" s="408"/>
      <c r="E3429" s="408"/>
      <c r="F3429" s="408"/>
      <c r="G3429" s="426"/>
      <c r="H3429" s="492"/>
      <c r="I3429" s="434">
        <f>SUM(I3419:I3428)</f>
        <v>5259.4954120000002</v>
      </c>
      <c r="J3429" s="411"/>
      <c r="K3429" s="412"/>
      <c r="L3429" s="412"/>
    </row>
    <row r="3430" spans="1:64" ht="13">
      <c r="A3430" s="454"/>
      <c r="B3430" s="454"/>
      <c r="C3430" s="709"/>
      <c r="D3430" s="408"/>
      <c r="E3430" s="408"/>
      <c r="F3430" s="408"/>
      <c r="G3430" s="426"/>
      <c r="H3430" s="492"/>
      <c r="I3430" s="409"/>
      <c r="J3430" s="400"/>
      <c r="K3430" s="401"/>
      <c r="L3430" s="401"/>
    </row>
    <row r="3431" spans="1:64" s="554" customFormat="1" ht="13">
      <c r="A3431" s="454"/>
      <c r="B3431" s="454"/>
      <c r="C3431" s="481" t="s">
        <v>953</v>
      </c>
      <c r="D3431" s="414" t="s">
        <v>959</v>
      </c>
      <c r="E3431" s="416" t="s">
        <v>943</v>
      </c>
      <c r="F3431" s="415" t="s">
        <v>944</v>
      </c>
      <c r="G3431" s="414" t="s">
        <v>1036</v>
      </c>
      <c r="H3431" s="414" t="s">
        <v>1037</v>
      </c>
      <c r="I3431" s="414" t="s">
        <v>1038</v>
      </c>
      <c r="J3431" s="638" t="s">
        <v>1118</v>
      </c>
      <c r="K3431" s="636" t="s">
        <v>1119</v>
      </c>
      <c r="L3431" s="636" t="s">
        <v>1120</v>
      </c>
    </row>
    <row r="3432" spans="1:64">
      <c r="A3432" s="454"/>
      <c r="B3432" s="454"/>
      <c r="C3432" s="417" t="s">
        <v>1064</v>
      </c>
      <c r="D3432" s="408">
        <f t="shared" ref="D3432:L3432" si="801">$I$3429</f>
        <v>5259.4954120000002</v>
      </c>
      <c r="E3432" s="408">
        <f t="shared" si="801"/>
        <v>5259.4954120000002</v>
      </c>
      <c r="F3432" s="408">
        <f t="shared" si="801"/>
        <v>5259.4954120000002</v>
      </c>
      <c r="G3432" s="408">
        <f t="shared" si="801"/>
        <v>5259.4954120000002</v>
      </c>
      <c r="H3432" s="408">
        <f t="shared" si="801"/>
        <v>5259.4954120000002</v>
      </c>
      <c r="I3432" s="408">
        <f t="shared" si="801"/>
        <v>5259.4954120000002</v>
      </c>
      <c r="J3432" s="575">
        <f t="shared" si="801"/>
        <v>5259.4954120000002</v>
      </c>
      <c r="K3432" s="644">
        <f t="shared" si="801"/>
        <v>5259.4954120000002</v>
      </c>
      <c r="L3432" s="644">
        <f t="shared" si="801"/>
        <v>5259.4954120000002</v>
      </c>
    </row>
    <row r="3433" spans="1:64">
      <c r="A3433" s="454"/>
      <c r="B3433" s="454"/>
      <c r="C3433" s="417" t="s">
        <v>994</v>
      </c>
      <c r="D3433" s="408">
        <v>0</v>
      </c>
      <c r="E3433" s="408">
        <f>ROUND($F$3427*10%,2)</f>
        <v>86.26</v>
      </c>
      <c r="F3433" s="408">
        <f>ROUND($F$3427*20%,2)</f>
        <v>172.52</v>
      </c>
      <c r="G3433" s="408">
        <f>ROUND($F$3427*30%,2)</f>
        <v>258.77999999999997</v>
      </c>
      <c r="H3433" s="408">
        <f>ROUND($F$3427*40%,2)</f>
        <v>345.04</v>
      </c>
      <c r="I3433" s="408">
        <f>ROUND($F$3427*50%,2)</f>
        <v>431.3</v>
      </c>
      <c r="J3433" s="575">
        <f>ROUND($F$3427*60%,2)</f>
        <v>517.55999999999995</v>
      </c>
      <c r="K3433" s="644">
        <f>ROUND($F$3427*70%,2)</f>
        <v>603.82000000000005</v>
      </c>
      <c r="L3433" s="644">
        <f>ROUND($F$3427*80%,2)</f>
        <v>690.08</v>
      </c>
    </row>
    <row r="3434" spans="1:64">
      <c r="A3434" s="454"/>
      <c r="B3434" s="454"/>
      <c r="C3434" s="417" t="str">
        <f>[161]Input!$C$47</f>
        <v>Add for MA @ 40%</v>
      </c>
      <c r="D3434" s="408">
        <f>D3433*[161]Input!$D$47</f>
        <v>0</v>
      </c>
      <c r="E3434" s="408">
        <f>E3433*[161]Input!$D$47</f>
        <v>34.504000000000005</v>
      </c>
      <c r="F3434" s="408">
        <f>F3433*[161]Input!$D$47</f>
        <v>69.00800000000001</v>
      </c>
      <c r="G3434" s="408">
        <f>G3433*[161]Input!$D$47</f>
        <v>103.512</v>
      </c>
      <c r="H3434" s="408">
        <f>H3433*[161]Input!$D$47</f>
        <v>138.01600000000002</v>
      </c>
      <c r="I3434" s="408">
        <f>I3433*[161]Input!$D$47</f>
        <v>172.52</v>
      </c>
      <c r="J3434" s="575">
        <f>J3433*[161]Input!$D$47</f>
        <v>207.024</v>
      </c>
      <c r="K3434" s="644">
        <f>K3433*[161]Input!$D$47</f>
        <v>241.52800000000002</v>
      </c>
      <c r="L3434" s="644">
        <f>L3433*[161]Input!$D$47</f>
        <v>276.03200000000004</v>
      </c>
    </row>
    <row r="3435" spans="1:64">
      <c r="A3435" s="454"/>
      <c r="B3435" s="454"/>
      <c r="C3435" s="469"/>
      <c r="D3435" s="408">
        <f t="shared" ref="D3435:L3435" si="802">SUM(D3432:D3434)</f>
        <v>5259.4954120000002</v>
      </c>
      <c r="E3435" s="408">
        <f t="shared" si="802"/>
        <v>5380.2594120000003</v>
      </c>
      <c r="F3435" s="408">
        <f t="shared" si="802"/>
        <v>5501.0234120000005</v>
      </c>
      <c r="G3435" s="408">
        <f t="shared" si="802"/>
        <v>5621.7874119999997</v>
      </c>
      <c r="H3435" s="408">
        <f t="shared" si="802"/>
        <v>5742.5514119999998</v>
      </c>
      <c r="I3435" s="408">
        <f t="shared" si="802"/>
        <v>5863.3154120000008</v>
      </c>
      <c r="J3435" s="575">
        <f t="shared" si="802"/>
        <v>5984.079412</v>
      </c>
      <c r="K3435" s="644">
        <f t="shared" si="802"/>
        <v>6104.8434120000002</v>
      </c>
      <c r="L3435" s="644">
        <f t="shared" si="802"/>
        <v>6225.6074120000003</v>
      </c>
    </row>
    <row r="3436" spans="1:64" ht="25">
      <c r="A3436" s="454"/>
      <c r="B3436" s="454"/>
      <c r="C3436" s="417" t="str">
        <f>[161]Input!$C$48</f>
        <v>Overheads &amp; Contractors Profit @ 13.615%</v>
      </c>
      <c r="D3436" s="408">
        <f>ROUND(D3435*[161]Input!$D$48,2)</f>
        <v>716.08</v>
      </c>
      <c r="E3436" s="408">
        <f>ROUND(E3435*[161]Input!$D$48,2)</f>
        <v>732.52</v>
      </c>
      <c r="F3436" s="408">
        <f>ROUND(F3435*[161]Input!$D$48,2)</f>
        <v>748.96</v>
      </c>
      <c r="G3436" s="408">
        <f>ROUND(G3435*[161]Input!$D$48,2)</f>
        <v>765.41</v>
      </c>
      <c r="H3436" s="408">
        <f>ROUND(H3435*[161]Input!$D$48,2)</f>
        <v>781.85</v>
      </c>
      <c r="I3436" s="408">
        <f>ROUND(I3435*[161]Input!$D$48,2)</f>
        <v>798.29</v>
      </c>
      <c r="J3436" s="575">
        <f>ROUND(J3435*[161]Input!$D$48,2)</f>
        <v>814.73</v>
      </c>
      <c r="K3436" s="644">
        <f>ROUND(K3435*[161]Input!$D$48,2)</f>
        <v>831.17</v>
      </c>
      <c r="L3436" s="644">
        <f>ROUND(L3435*[161]Input!$D$48,2)</f>
        <v>847.62</v>
      </c>
    </row>
    <row r="3437" spans="1:64" ht="13">
      <c r="A3437" s="454"/>
      <c r="B3437" s="454"/>
      <c r="C3437" s="427" t="s">
        <v>1047</v>
      </c>
      <c r="D3437" s="408">
        <f t="shared" ref="D3437:L3437" si="803">SUM(D3435:D3436)</f>
        <v>5975.5754120000001</v>
      </c>
      <c r="E3437" s="408">
        <f t="shared" si="803"/>
        <v>6112.7794119999999</v>
      </c>
      <c r="F3437" s="408">
        <f t="shared" si="803"/>
        <v>6249.9834120000005</v>
      </c>
      <c r="G3437" s="408">
        <f t="shared" si="803"/>
        <v>6387.1974119999995</v>
      </c>
      <c r="H3437" s="408">
        <f t="shared" si="803"/>
        <v>6524.4014120000002</v>
      </c>
      <c r="I3437" s="408">
        <f t="shared" si="803"/>
        <v>6661.6054120000008</v>
      </c>
      <c r="J3437" s="575">
        <f t="shared" si="803"/>
        <v>6798.8094120000005</v>
      </c>
      <c r="K3437" s="644">
        <f t="shared" si="803"/>
        <v>6936.0134120000002</v>
      </c>
      <c r="L3437" s="644">
        <f t="shared" si="803"/>
        <v>7073.2274120000002</v>
      </c>
    </row>
    <row r="3438" spans="1:64" ht="13">
      <c r="A3438" s="454"/>
      <c r="B3438" s="454"/>
      <c r="C3438" s="427" t="s">
        <v>1032</v>
      </c>
      <c r="D3438" s="414">
        <f t="shared" ref="D3438:L3438" si="804">D3437*0.01</f>
        <v>59.755754120000006</v>
      </c>
      <c r="E3438" s="414">
        <f t="shared" si="804"/>
        <v>61.127794119999997</v>
      </c>
      <c r="F3438" s="414">
        <f t="shared" si="804"/>
        <v>62.49983412000001</v>
      </c>
      <c r="G3438" s="414">
        <f t="shared" si="804"/>
        <v>63.871974119999997</v>
      </c>
      <c r="H3438" s="414">
        <f t="shared" si="804"/>
        <v>65.244014120000003</v>
      </c>
      <c r="I3438" s="414">
        <f t="shared" si="804"/>
        <v>66.616054120000015</v>
      </c>
      <c r="J3438" s="657">
        <f t="shared" si="804"/>
        <v>67.98809412</v>
      </c>
      <c r="K3438" s="631">
        <f t="shared" si="804"/>
        <v>69.360134119999998</v>
      </c>
      <c r="L3438" s="631">
        <f t="shared" si="804"/>
        <v>70.73227412</v>
      </c>
    </row>
    <row r="3439" spans="1:64" s="554" customFormat="1" ht="13">
      <c r="A3439" s="454"/>
      <c r="B3439" s="454"/>
      <c r="C3439" s="522" t="s">
        <v>726</v>
      </c>
      <c r="D3439" s="416">
        <f t="shared" ref="D3439:L3439" si="805">ROUND(D3438,0)</f>
        <v>60</v>
      </c>
      <c r="E3439" s="416">
        <f t="shared" si="805"/>
        <v>61</v>
      </c>
      <c r="F3439" s="416">
        <f t="shared" si="805"/>
        <v>62</v>
      </c>
      <c r="G3439" s="416">
        <f t="shared" si="805"/>
        <v>64</v>
      </c>
      <c r="H3439" s="416">
        <f t="shared" si="805"/>
        <v>65</v>
      </c>
      <c r="I3439" s="416">
        <f t="shared" si="805"/>
        <v>67</v>
      </c>
      <c r="J3439" s="533">
        <f t="shared" si="805"/>
        <v>68</v>
      </c>
      <c r="K3439" s="534">
        <f t="shared" si="805"/>
        <v>69</v>
      </c>
      <c r="L3439" s="534">
        <f t="shared" si="805"/>
        <v>71</v>
      </c>
    </row>
    <row r="3440" spans="1:64" ht="13">
      <c r="A3440" s="454"/>
      <c r="B3440" s="454"/>
      <c r="C3440" s="709"/>
      <c r="D3440" s="408"/>
      <c r="E3440" s="408"/>
      <c r="F3440" s="408"/>
      <c r="G3440" s="426"/>
      <c r="H3440" s="492"/>
      <c r="I3440" s="409"/>
      <c r="J3440" s="400"/>
      <c r="K3440" s="401"/>
      <c r="L3440" s="401"/>
    </row>
    <row r="3441" spans="1:12" ht="89.65" customHeight="1">
      <c r="A3441" s="454">
        <f>1+A3283</f>
        <v>11</v>
      </c>
      <c r="B3441" s="454"/>
      <c r="C3441" s="1276" t="s">
        <v>1284</v>
      </c>
      <c r="D3441" s="1276"/>
      <c r="E3441" s="1276"/>
      <c r="F3441" s="1276"/>
      <c r="G3441" s="1276"/>
      <c r="H3441" s="1276"/>
      <c r="I3441" s="407"/>
      <c r="J3441" s="400"/>
      <c r="K3441" s="401"/>
      <c r="L3441" s="401"/>
    </row>
    <row r="3442" spans="1:12" ht="13">
      <c r="A3442" s="454"/>
      <c r="B3442" s="454"/>
      <c r="C3442" s="455" t="s">
        <v>1285</v>
      </c>
      <c r="D3442" s="408"/>
      <c r="E3442" s="408"/>
      <c r="F3442" s="408"/>
      <c r="G3442" s="430"/>
      <c r="H3442" s="415"/>
      <c r="I3442" s="414"/>
      <c r="J3442" s="400"/>
      <c r="K3442" s="401"/>
      <c r="L3442" s="401"/>
    </row>
    <row r="3443" spans="1:12" ht="13">
      <c r="A3443" s="454"/>
      <c r="B3443" s="454"/>
      <c r="C3443" s="427" t="s">
        <v>1259</v>
      </c>
      <c r="D3443" s="408"/>
      <c r="E3443" s="408"/>
      <c r="F3443" s="408"/>
      <c r="G3443" s="430"/>
      <c r="H3443" s="415"/>
      <c r="I3443" s="414"/>
      <c r="J3443" s="400"/>
      <c r="K3443" s="401"/>
      <c r="L3443" s="401"/>
    </row>
    <row r="3444" spans="1:12">
      <c r="A3444" s="454"/>
      <c r="B3444" s="454"/>
      <c r="C3444" s="417" t="s">
        <v>1286</v>
      </c>
      <c r="D3444" s="408">
        <v>10.5</v>
      </c>
      <c r="E3444" s="408" t="s">
        <v>17</v>
      </c>
      <c r="F3444" s="408">
        <f>+'[161]Civil-SOR'!$G$20</f>
        <v>578</v>
      </c>
      <c r="G3444" s="430">
        <v>1</v>
      </c>
      <c r="H3444" s="454" t="s">
        <v>17</v>
      </c>
      <c r="I3444" s="408">
        <f t="shared" ref="I3444:I3448" si="806">IF(G3444="",D3444*F3444,(D3444*F3444/G3444))</f>
        <v>6069</v>
      </c>
      <c r="J3444" s="400"/>
      <c r="K3444" s="401"/>
      <c r="L3444" s="401"/>
    </row>
    <row r="3445" spans="1:12">
      <c r="A3445" s="454"/>
      <c r="B3445" s="454"/>
      <c r="C3445" s="417" t="s">
        <v>1261</v>
      </c>
      <c r="D3445" s="408">
        <v>0.12</v>
      </c>
      <c r="E3445" s="408" t="s">
        <v>666</v>
      </c>
      <c r="F3445" s="408">
        <f>[161]LEAD!$N$13</f>
        <v>2453.91</v>
      </c>
      <c r="G3445" s="430">
        <v>1</v>
      </c>
      <c r="H3445" s="454" t="s">
        <v>666</v>
      </c>
      <c r="I3445" s="408">
        <f t="shared" si="806"/>
        <v>294.46919999999994</v>
      </c>
      <c r="J3445" s="400"/>
      <c r="K3445" s="401"/>
      <c r="L3445" s="401"/>
    </row>
    <row r="3446" spans="1:12">
      <c r="A3446" s="454"/>
      <c r="B3446" s="454"/>
      <c r="C3446" s="417" t="s">
        <v>1262</v>
      </c>
      <c r="D3446" s="408">
        <v>34.56</v>
      </c>
      <c r="E3446" s="408" t="s">
        <v>833</v>
      </c>
      <c r="F3446" s="408">
        <f>[161]LEAD!$N$6</f>
        <v>5200</v>
      </c>
      <c r="G3446" s="430">
        <v>1000</v>
      </c>
      <c r="H3446" s="454" t="s">
        <v>833</v>
      </c>
      <c r="I3446" s="408">
        <f t="shared" si="806"/>
        <v>179.71199999999999</v>
      </c>
      <c r="J3446" s="400"/>
      <c r="K3446" s="401"/>
      <c r="L3446" s="401"/>
    </row>
    <row r="3447" spans="1:12">
      <c r="A3447" s="454"/>
      <c r="B3447" s="454"/>
      <c r="C3447" s="417" t="s">
        <v>1171</v>
      </c>
      <c r="D3447" s="408">
        <v>33</v>
      </c>
      <c r="E3447" s="408" t="s">
        <v>833</v>
      </c>
      <c r="F3447" s="408">
        <f>[161]LEAD!$N$6</f>
        <v>5200</v>
      </c>
      <c r="G3447" s="430">
        <v>1000</v>
      </c>
      <c r="H3447" s="454" t="s">
        <v>833</v>
      </c>
      <c r="I3447" s="408">
        <f t="shared" si="806"/>
        <v>171.6</v>
      </c>
      <c r="J3447" s="400"/>
      <c r="K3447" s="401"/>
      <c r="L3447" s="401"/>
    </row>
    <row r="3448" spans="1:12">
      <c r="A3448" s="454"/>
      <c r="B3448" s="454"/>
      <c r="C3448" s="417" t="s">
        <v>1283</v>
      </c>
      <c r="D3448" s="408">
        <v>2</v>
      </c>
      <c r="E3448" s="408" t="s">
        <v>833</v>
      </c>
      <c r="F3448" s="408">
        <f>'[161]Civil-SOR'!$G$185</f>
        <v>34</v>
      </c>
      <c r="G3448" s="430">
        <v>1</v>
      </c>
      <c r="H3448" s="454" t="s">
        <v>312</v>
      </c>
      <c r="I3448" s="408">
        <f t="shared" si="806"/>
        <v>68</v>
      </c>
      <c r="J3448" s="400"/>
      <c r="K3448" s="401"/>
      <c r="L3448" s="401"/>
    </row>
    <row r="3449" spans="1:12" ht="13">
      <c r="A3449" s="454"/>
      <c r="B3449" s="454"/>
      <c r="C3449" s="427" t="s">
        <v>1263</v>
      </c>
      <c r="D3449" s="408"/>
      <c r="E3449" s="408"/>
      <c r="F3449" s="408"/>
      <c r="G3449" s="430"/>
      <c r="H3449" s="415"/>
      <c r="I3449" s="414"/>
      <c r="J3449" s="400"/>
      <c r="K3449" s="401"/>
      <c r="L3449" s="401"/>
    </row>
    <row r="3450" spans="1:12">
      <c r="A3450" s="454"/>
      <c r="B3450" s="454"/>
      <c r="C3450" s="417" t="s">
        <v>1044</v>
      </c>
      <c r="D3450" s="408">
        <v>0.96</v>
      </c>
      <c r="E3450" s="408" t="s">
        <v>375</v>
      </c>
      <c r="F3450" s="408">
        <f>'[161]Civil-SOR'!$G$293</f>
        <v>580</v>
      </c>
      <c r="G3450" s="430">
        <v>1</v>
      </c>
      <c r="H3450" s="454" t="s">
        <v>572</v>
      </c>
      <c r="I3450" s="408">
        <f t="shared" ref="I3450:I3454" si="807">IF(G3450="",D3450*F3450,(D3450*F3450/G3450))</f>
        <v>556.79999999999995</v>
      </c>
      <c r="J3450" s="400"/>
      <c r="K3450" s="401"/>
      <c r="L3450" s="401"/>
    </row>
    <row r="3451" spans="1:12">
      <c r="A3451" s="454"/>
      <c r="B3451" s="454"/>
      <c r="C3451" s="417" t="s">
        <v>1074</v>
      </c>
      <c r="D3451" s="408">
        <v>2.2400000000000002</v>
      </c>
      <c r="E3451" s="408" t="s">
        <v>375</v>
      </c>
      <c r="F3451" s="408">
        <f>'[161]Civil-SOR'!$G$302</f>
        <v>550</v>
      </c>
      <c r="G3451" s="430">
        <v>1</v>
      </c>
      <c r="H3451" s="454" t="s">
        <v>572</v>
      </c>
      <c r="I3451" s="408">
        <f t="shared" si="807"/>
        <v>1232.0000000000002</v>
      </c>
      <c r="J3451" s="400"/>
      <c r="K3451" s="401"/>
      <c r="L3451" s="401"/>
    </row>
    <row r="3452" spans="1:12">
      <c r="A3452" s="454"/>
      <c r="B3452" s="454"/>
      <c r="C3452" s="417" t="s">
        <v>723</v>
      </c>
      <c r="D3452" s="408">
        <v>3.3</v>
      </c>
      <c r="E3452" s="408" t="s">
        <v>375</v>
      </c>
      <c r="F3452" s="408">
        <f>'[161]Civil-SOR'!$G$307</f>
        <v>520</v>
      </c>
      <c r="G3452" s="430">
        <v>1</v>
      </c>
      <c r="H3452" s="454" t="s">
        <v>572</v>
      </c>
      <c r="I3452" s="408">
        <f t="shared" si="807"/>
        <v>1716</v>
      </c>
      <c r="J3452" s="400"/>
      <c r="K3452" s="401"/>
      <c r="L3452" s="401"/>
    </row>
    <row r="3453" spans="1:12">
      <c r="A3453" s="454"/>
      <c r="B3453" s="454"/>
      <c r="C3453" s="469" t="str">
        <f>[161]Input!$C$47</f>
        <v>Add for MA @ 40%</v>
      </c>
      <c r="D3453" s="621">
        <f>[161]Input!$D$47</f>
        <v>0.4</v>
      </c>
      <c r="E3453" s="454"/>
      <c r="F3453" s="408">
        <f>SUM(I3450:I3452)</f>
        <v>3504.8</v>
      </c>
      <c r="G3453" s="410"/>
      <c r="H3453" s="426"/>
      <c r="I3453" s="408">
        <f t="shared" si="807"/>
        <v>1401.92</v>
      </c>
      <c r="J3453" s="400"/>
      <c r="K3453" s="401"/>
      <c r="L3453" s="401"/>
    </row>
    <row r="3454" spans="1:12">
      <c r="A3454" s="454"/>
      <c r="B3454" s="454"/>
      <c r="C3454" s="483" t="s">
        <v>1046</v>
      </c>
      <c r="D3454" s="408">
        <v>0.01</v>
      </c>
      <c r="E3454" s="408"/>
      <c r="F3454" s="408">
        <f>SUM(I3444:I3453)</f>
        <v>11689.501200000001</v>
      </c>
      <c r="G3454" s="430"/>
      <c r="H3454" s="454"/>
      <c r="I3454" s="408">
        <f t="shared" si="807"/>
        <v>116.89501200000001</v>
      </c>
      <c r="J3454" s="400"/>
      <c r="K3454" s="401"/>
      <c r="L3454" s="401"/>
    </row>
    <row r="3455" spans="1:12" ht="13">
      <c r="A3455" s="454"/>
      <c r="B3455" s="454"/>
      <c r="C3455" s="433" t="s">
        <v>1175</v>
      </c>
      <c r="D3455" s="408"/>
      <c r="E3455" s="454"/>
      <c r="F3455" s="408"/>
      <c r="G3455" s="430"/>
      <c r="H3455" s="454"/>
      <c r="I3455" s="434">
        <f>SUM(I3444:I3454)</f>
        <v>11806.396212000001</v>
      </c>
      <c r="J3455" s="400"/>
      <c r="K3455" s="401"/>
      <c r="L3455" s="401"/>
    </row>
    <row r="3456" spans="1:12" ht="13">
      <c r="A3456" s="454"/>
      <c r="B3456" s="454"/>
      <c r="C3456" s="433"/>
      <c r="D3456" s="408"/>
      <c r="E3456" s="454"/>
      <c r="F3456" s="408"/>
      <c r="G3456" s="430"/>
      <c r="H3456" s="454"/>
      <c r="I3456" s="409"/>
      <c r="J3456" s="400"/>
      <c r="K3456" s="401"/>
      <c r="L3456" s="401"/>
    </row>
    <row r="3457" spans="1:12" s="554" customFormat="1" ht="13">
      <c r="A3457" s="454"/>
      <c r="B3457" s="454"/>
      <c r="C3457" s="481" t="s">
        <v>953</v>
      </c>
      <c r="D3457" s="414" t="s">
        <v>959</v>
      </c>
      <c r="E3457" s="416" t="s">
        <v>943</v>
      </c>
      <c r="F3457" s="415" t="s">
        <v>944</v>
      </c>
      <c r="G3457" s="414" t="s">
        <v>1036</v>
      </c>
      <c r="H3457" s="414" t="s">
        <v>1037</v>
      </c>
      <c r="I3457" s="414" t="s">
        <v>1038</v>
      </c>
      <c r="J3457" s="638" t="s">
        <v>1118</v>
      </c>
      <c r="K3457" s="636" t="s">
        <v>1119</v>
      </c>
      <c r="L3457" s="636" t="s">
        <v>1120</v>
      </c>
    </row>
    <row r="3458" spans="1:12">
      <c r="A3458" s="454"/>
      <c r="B3458" s="454"/>
      <c r="C3458" s="417" t="s">
        <v>1064</v>
      </c>
      <c r="D3458" s="408">
        <f t="shared" ref="D3458:L3458" si="808">$I$3455</f>
        <v>11806.396212000001</v>
      </c>
      <c r="E3458" s="408">
        <f t="shared" si="808"/>
        <v>11806.396212000001</v>
      </c>
      <c r="F3458" s="408">
        <f t="shared" si="808"/>
        <v>11806.396212000001</v>
      </c>
      <c r="G3458" s="408">
        <f t="shared" si="808"/>
        <v>11806.396212000001</v>
      </c>
      <c r="H3458" s="408">
        <f t="shared" si="808"/>
        <v>11806.396212000001</v>
      </c>
      <c r="I3458" s="408">
        <f t="shared" si="808"/>
        <v>11806.396212000001</v>
      </c>
      <c r="J3458" s="575">
        <f t="shared" si="808"/>
        <v>11806.396212000001</v>
      </c>
      <c r="K3458" s="644">
        <f t="shared" si="808"/>
        <v>11806.396212000001</v>
      </c>
      <c r="L3458" s="644">
        <f t="shared" si="808"/>
        <v>11806.396212000001</v>
      </c>
    </row>
    <row r="3459" spans="1:12">
      <c r="A3459" s="454"/>
      <c r="B3459" s="454"/>
      <c r="C3459" s="417" t="s">
        <v>994</v>
      </c>
      <c r="D3459" s="408">
        <v>0</v>
      </c>
      <c r="E3459" s="408">
        <f>ROUND($F$3453*10%,2)</f>
        <v>350.48</v>
      </c>
      <c r="F3459" s="408">
        <f>ROUND($F$3453*20%,2)</f>
        <v>700.96</v>
      </c>
      <c r="G3459" s="408">
        <f>ROUND($F$3453*30%,2)</f>
        <v>1051.44</v>
      </c>
      <c r="H3459" s="408">
        <f>ROUND($F$3453*40%,2)</f>
        <v>1401.92</v>
      </c>
      <c r="I3459" s="408">
        <f>ROUND($F$3453*50%,2)</f>
        <v>1752.4</v>
      </c>
      <c r="J3459" s="575">
        <f>ROUND($F$3453*60%,2)</f>
        <v>2102.88</v>
      </c>
      <c r="K3459" s="644">
        <f>ROUND($F$3453*70%,2)</f>
        <v>2453.36</v>
      </c>
      <c r="L3459" s="644">
        <f>ROUND($F$3453*80%,2)</f>
        <v>2803.84</v>
      </c>
    </row>
    <row r="3460" spans="1:12">
      <c r="A3460" s="454"/>
      <c r="B3460" s="454"/>
      <c r="C3460" s="417" t="str">
        <f>[161]Input!$C$47</f>
        <v>Add for MA @ 40%</v>
      </c>
      <c r="D3460" s="408">
        <f>D3459*[161]Input!$D$47</f>
        <v>0</v>
      </c>
      <c r="E3460" s="408">
        <f>E3459*[161]Input!$D$47</f>
        <v>140.19200000000001</v>
      </c>
      <c r="F3460" s="408">
        <f>F3459*[161]Input!$D$47</f>
        <v>280.38400000000001</v>
      </c>
      <c r="G3460" s="408">
        <f>G3459*[161]Input!$D$47</f>
        <v>420.57600000000002</v>
      </c>
      <c r="H3460" s="408">
        <f>H3459*[161]Input!$D$47</f>
        <v>560.76800000000003</v>
      </c>
      <c r="I3460" s="408">
        <f>I3459*[161]Input!$D$47</f>
        <v>700.96</v>
      </c>
      <c r="J3460" s="575">
        <f>J3459*[161]Input!$D$47</f>
        <v>841.15200000000004</v>
      </c>
      <c r="K3460" s="644">
        <f>K3459*[161]Input!$D$47</f>
        <v>981.34400000000005</v>
      </c>
      <c r="L3460" s="644">
        <f>L3459*[161]Input!$D$47</f>
        <v>1121.5360000000001</v>
      </c>
    </row>
    <row r="3461" spans="1:12">
      <c r="A3461" s="454"/>
      <c r="B3461" s="454"/>
      <c r="C3461" s="469"/>
      <c r="D3461" s="408">
        <f t="shared" ref="D3461:L3461" si="809">SUM(D3458:D3460)</f>
        <v>11806.396212000001</v>
      </c>
      <c r="E3461" s="408">
        <f t="shared" si="809"/>
        <v>12297.068212000002</v>
      </c>
      <c r="F3461" s="408">
        <f t="shared" si="809"/>
        <v>12787.740212000002</v>
      </c>
      <c r="G3461" s="408">
        <f t="shared" si="809"/>
        <v>13278.412212000003</v>
      </c>
      <c r="H3461" s="408">
        <f t="shared" si="809"/>
        <v>13769.084212000002</v>
      </c>
      <c r="I3461" s="408">
        <f t="shared" si="809"/>
        <v>14259.756212</v>
      </c>
      <c r="J3461" s="575">
        <f t="shared" si="809"/>
        <v>14750.428212000001</v>
      </c>
      <c r="K3461" s="644">
        <f t="shared" si="809"/>
        <v>15241.100212000001</v>
      </c>
      <c r="L3461" s="644">
        <f t="shared" si="809"/>
        <v>15731.772212000002</v>
      </c>
    </row>
    <row r="3462" spans="1:12" ht="25">
      <c r="A3462" s="454"/>
      <c r="B3462" s="454"/>
      <c r="C3462" s="417" t="str">
        <f>[161]Input!$C$48</f>
        <v>Overheads &amp; Contractors Profit @ 13.615%</v>
      </c>
      <c r="D3462" s="408">
        <f>ROUND(D3461*[161]Input!$D$48,2)</f>
        <v>1607.44</v>
      </c>
      <c r="E3462" s="408">
        <f>ROUND(E3461*[161]Input!$D$48,2)</f>
        <v>1674.25</v>
      </c>
      <c r="F3462" s="408">
        <f>ROUND(F3461*[161]Input!$D$48,2)</f>
        <v>1741.05</v>
      </c>
      <c r="G3462" s="408">
        <f>ROUND(G3461*[161]Input!$D$48,2)</f>
        <v>1807.86</v>
      </c>
      <c r="H3462" s="408">
        <f>ROUND(H3461*[161]Input!$D$48,2)</f>
        <v>1874.66</v>
      </c>
      <c r="I3462" s="408">
        <f>ROUND(I3461*[161]Input!$D$48,2)</f>
        <v>1941.47</v>
      </c>
      <c r="J3462" s="575">
        <f>ROUND(J3461*[161]Input!$D$48,2)</f>
        <v>2008.27</v>
      </c>
      <c r="K3462" s="644">
        <f>ROUND(K3461*[161]Input!$D$48,2)</f>
        <v>2075.08</v>
      </c>
      <c r="L3462" s="644">
        <f>ROUND(L3461*[161]Input!$D$48,2)</f>
        <v>2141.88</v>
      </c>
    </row>
    <row r="3463" spans="1:12" ht="13">
      <c r="A3463" s="454"/>
      <c r="B3463" s="454"/>
      <c r="C3463" s="427" t="s">
        <v>1047</v>
      </c>
      <c r="D3463" s="408">
        <f t="shared" ref="D3463:L3463" si="810">SUM(D3461:D3462)</f>
        <v>13413.836212000002</v>
      </c>
      <c r="E3463" s="408">
        <f t="shared" si="810"/>
        <v>13971.318212000002</v>
      </c>
      <c r="F3463" s="408">
        <f t="shared" si="810"/>
        <v>14528.790212000002</v>
      </c>
      <c r="G3463" s="408">
        <f t="shared" si="810"/>
        <v>15086.272212000003</v>
      </c>
      <c r="H3463" s="408">
        <f t="shared" si="810"/>
        <v>15643.744212000001</v>
      </c>
      <c r="I3463" s="408">
        <f t="shared" si="810"/>
        <v>16201.226212</v>
      </c>
      <c r="J3463" s="575">
        <f t="shared" si="810"/>
        <v>16758.698211999999</v>
      </c>
      <c r="K3463" s="644">
        <f t="shared" si="810"/>
        <v>17316.180211999999</v>
      </c>
      <c r="L3463" s="644">
        <f t="shared" si="810"/>
        <v>17873.652212000001</v>
      </c>
    </row>
    <row r="3464" spans="1:12" ht="13">
      <c r="A3464" s="454"/>
      <c r="B3464" s="454"/>
      <c r="C3464" s="427" t="s">
        <v>1032</v>
      </c>
      <c r="D3464" s="414">
        <f t="shared" ref="D3464:L3464" si="811">D3463*0.01</f>
        <v>134.13836212000001</v>
      </c>
      <c r="E3464" s="414">
        <f t="shared" si="811"/>
        <v>139.71318212000003</v>
      </c>
      <c r="F3464" s="414">
        <f t="shared" si="811"/>
        <v>145.28790212000001</v>
      </c>
      <c r="G3464" s="414">
        <f t="shared" si="811"/>
        <v>150.86272212000003</v>
      </c>
      <c r="H3464" s="414">
        <f t="shared" si="811"/>
        <v>156.43744212000001</v>
      </c>
      <c r="I3464" s="414">
        <f t="shared" si="811"/>
        <v>162.01226212</v>
      </c>
      <c r="J3464" s="657">
        <f t="shared" si="811"/>
        <v>167.58698211999999</v>
      </c>
      <c r="K3464" s="631">
        <f t="shared" si="811"/>
        <v>173.16180212</v>
      </c>
      <c r="L3464" s="631">
        <f t="shared" si="811"/>
        <v>178.73652212000002</v>
      </c>
    </row>
    <row r="3465" spans="1:12" s="554" customFormat="1" ht="13">
      <c r="A3465" s="454"/>
      <c r="B3465" s="454"/>
      <c r="C3465" s="522" t="s">
        <v>726</v>
      </c>
      <c r="D3465" s="416">
        <f t="shared" ref="D3465:L3465" si="812">ROUND(D3464,0)</f>
        <v>134</v>
      </c>
      <c r="E3465" s="416">
        <f t="shared" si="812"/>
        <v>140</v>
      </c>
      <c r="F3465" s="416">
        <f t="shared" si="812"/>
        <v>145</v>
      </c>
      <c r="G3465" s="416">
        <f t="shared" si="812"/>
        <v>151</v>
      </c>
      <c r="H3465" s="416">
        <f t="shared" si="812"/>
        <v>156</v>
      </c>
      <c r="I3465" s="416">
        <f t="shared" si="812"/>
        <v>162</v>
      </c>
      <c r="J3465" s="533">
        <f t="shared" si="812"/>
        <v>168</v>
      </c>
      <c r="K3465" s="534">
        <f t="shared" si="812"/>
        <v>173</v>
      </c>
      <c r="L3465" s="534">
        <f t="shared" si="812"/>
        <v>179</v>
      </c>
    </row>
    <row r="3466" spans="1:12" ht="13">
      <c r="A3466" s="454"/>
      <c r="B3466" s="454"/>
      <c r="C3466" s="469"/>
      <c r="D3466" s="408"/>
      <c r="E3466" s="408"/>
      <c r="F3466" s="408"/>
      <c r="G3466" s="426"/>
      <c r="H3466" s="415"/>
      <c r="I3466" s="414"/>
      <c r="J3466" s="400"/>
      <c r="K3466" s="401"/>
      <c r="L3466" s="401"/>
    </row>
    <row r="3467" spans="1:12" ht="92.5" customHeight="1">
      <c r="A3467" s="454">
        <f>A3441+1</f>
        <v>12</v>
      </c>
      <c r="B3467" s="454"/>
      <c r="C3467" s="1276" t="s">
        <v>1287</v>
      </c>
      <c r="D3467" s="1276"/>
      <c r="E3467" s="1276"/>
      <c r="F3467" s="1276"/>
      <c r="G3467" s="1276"/>
      <c r="H3467" s="1276"/>
      <c r="I3467" s="407"/>
      <c r="J3467" s="400"/>
      <c r="K3467" s="401"/>
      <c r="L3467" s="401"/>
    </row>
    <row r="3468" spans="1:12" ht="13">
      <c r="A3468" s="454"/>
      <c r="B3468" s="454"/>
      <c r="C3468" s="455" t="s">
        <v>1267</v>
      </c>
      <c r="D3468" s="408"/>
      <c r="E3468" s="408"/>
      <c r="F3468" s="408"/>
      <c r="G3468" s="430"/>
      <c r="H3468" s="415"/>
      <c r="I3468" s="414"/>
      <c r="J3468" s="400"/>
      <c r="K3468" s="401"/>
      <c r="L3468" s="401"/>
    </row>
    <row r="3469" spans="1:12" ht="13">
      <c r="A3469" s="454"/>
      <c r="B3469" s="454"/>
      <c r="C3469" s="417" t="s">
        <v>1259</v>
      </c>
      <c r="D3469" s="408"/>
      <c r="E3469" s="408"/>
      <c r="F3469" s="408"/>
      <c r="G3469" s="430"/>
      <c r="H3469" s="415"/>
      <c r="I3469" s="414"/>
      <c r="J3469" s="400"/>
      <c r="K3469" s="401"/>
      <c r="L3469" s="401"/>
    </row>
    <row r="3470" spans="1:12">
      <c r="A3470" s="454"/>
      <c r="B3470" s="454"/>
      <c r="C3470" s="417" t="s">
        <v>1286</v>
      </c>
      <c r="D3470" s="408">
        <v>10.5</v>
      </c>
      <c r="E3470" s="408" t="s">
        <v>17</v>
      </c>
      <c r="F3470" s="408">
        <f>'[161]Civil-SOR'!$G$19</f>
        <v>443</v>
      </c>
      <c r="G3470" s="430">
        <v>1</v>
      </c>
      <c r="H3470" s="454" t="s">
        <v>17</v>
      </c>
      <c r="I3470" s="408">
        <f t="shared" ref="I3470:I3474" si="813">IF(G3470="",D3470*F3470,(D3470*F3470/G3470))</f>
        <v>4651.5</v>
      </c>
      <c r="J3470" s="400"/>
      <c r="K3470" s="401"/>
      <c r="L3470" s="401"/>
    </row>
    <row r="3471" spans="1:12">
      <c r="A3471" s="454"/>
      <c r="B3471" s="454"/>
      <c r="C3471" s="417" t="s">
        <v>1261</v>
      </c>
      <c r="D3471" s="408">
        <v>0.12</v>
      </c>
      <c r="E3471" s="408" t="s">
        <v>666</v>
      </c>
      <c r="F3471" s="408">
        <f>[161]LEAD!$N$13</f>
        <v>2453.91</v>
      </c>
      <c r="G3471" s="430">
        <v>1</v>
      </c>
      <c r="H3471" s="454" t="s">
        <v>666</v>
      </c>
      <c r="I3471" s="408">
        <f t="shared" si="813"/>
        <v>294.46919999999994</v>
      </c>
      <c r="J3471" s="400"/>
      <c r="K3471" s="401"/>
      <c r="L3471" s="401"/>
    </row>
    <row r="3472" spans="1:12">
      <c r="A3472" s="454"/>
      <c r="B3472" s="454"/>
      <c r="C3472" s="417" t="s">
        <v>1262</v>
      </c>
      <c r="D3472" s="408">
        <v>34.56</v>
      </c>
      <c r="E3472" s="408" t="s">
        <v>833</v>
      </c>
      <c r="F3472" s="408">
        <f>[161]LEAD!$N$6</f>
        <v>5200</v>
      </c>
      <c r="G3472" s="430">
        <v>1000</v>
      </c>
      <c r="H3472" s="454" t="s">
        <v>833</v>
      </c>
      <c r="I3472" s="408">
        <f t="shared" si="813"/>
        <v>179.71199999999999</v>
      </c>
      <c r="J3472" s="400"/>
      <c r="K3472" s="401"/>
      <c r="L3472" s="401"/>
    </row>
    <row r="3473" spans="1:12">
      <c r="A3473" s="454"/>
      <c r="B3473" s="454"/>
      <c r="C3473" s="417" t="s">
        <v>1171</v>
      </c>
      <c r="D3473" s="408">
        <v>33</v>
      </c>
      <c r="E3473" s="408" t="s">
        <v>833</v>
      </c>
      <c r="F3473" s="408">
        <f>[161]LEAD!$N$6</f>
        <v>5200</v>
      </c>
      <c r="G3473" s="430">
        <v>1000</v>
      </c>
      <c r="H3473" s="454" t="s">
        <v>833</v>
      </c>
      <c r="I3473" s="408">
        <f t="shared" si="813"/>
        <v>171.6</v>
      </c>
      <c r="J3473" s="400"/>
      <c r="K3473" s="401"/>
      <c r="L3473" s="401"/>
    </row>
    <row r="3474" spans="1:12">
      <c r="A3474" s="454"/>
      <c r="B3474" s="454"/>
      <c r="C3474" s="417" t="s">
        <v>1283</v>
      </c>
      <c r="D3474" s="408">
        <v>2</v>
      </c>
      <c r="E3474" s="408" t="s">
        <v>833</v>
      </c>
      <c r="F3474" s="408">
        <f>'[161]Civil-SOR'!$G$185</f>
        <v>34</v>
      </c>
      <c r="G3474" s="430">
        <v>1</v>
      </c>
      <c r="H3474" s="454" t="s">
        <v>312</v>
      </c>
      <c r="I3474" s="408">
        <f t="shared" si="813"/>
        <v>68</v>
      </c>
      <c r="J3474" s="400"/>
      <c r="K3474" s="401"/>
      <c r="L3474" s="401"/>
    </row>
    <row r="3475" spans="1:12" ht="13">
      <c r="A3475" s="454"/>
      <c r="B3475" s="454"/>
      <c r="C3475" s="427" t="s">
        <v>1263</v>
      </c>
      <c r="D3475" s="408"/>
      <c r="E3475" s="408"/>
      <c r="F3475" s="408"/>
      <c r="G3475" s="430"/>
      <c r="H3475" s="415"/>
      <c r="I3475" s="414"/>
      <c r="J3475" s="400"/>
      <c r="K3475" s="401"/>
      <c r="L3475" s="401"/>
    </row>
    <row r="3476" spans="1:12">
      <c r="A3476" s="454"/>
      <c r="B3476" s="454"/>
      <c r="C3476" s="417" t="s">
        <v>1044</v>
      </c>
      <c r="D3476" s="408">
        <v>0.96</v>
      </c>
      <c r="E3476" s="408" t="s">
        <v>375</v>
      </c>
      <c r="F3476" s="408">
        <f>'[161]Civil-SOR'!$G$293</f>
        <v>580</v>
      </c>
      <c r="G3476" s="430">
        <v>1</v>
      </c>
      <c r="H3476" s="454" t="s">
        <v>572</v>
      </c>
      <c r="I3476" s="408">
        <f t="shared" ref="I3476:I3480" si="814">IF(G3476="",D3476*F3476,(D3476*F3476/G3476))</f>
        <v>556.79999999999995</v>
      </c>
      <c r="J3476" s="400"/>
      <c r="K3476" s="401"/>
      <c r="L3476" s="401"/>
    </row>
    <row r="3477" spans="1:12">
      <c r="A3477" s="454"/>
      <c r="B3477" s="454"/>
      <c r="C3477" s="417" t="s">
        <v>1074</v>
      </c>
      <c r="D3477" s="408">
        <v>2.2400000000000002</v>
      </c>
      <c r="E3477" s="408" t="s">
        <v>375</v>
      </c>
      <c r="F3477" s="408">
        <f>'[161]Civil-SOR'!$G$302</f>
        <v>550</v>
      </c>
      <c r="G3477" s="430">
        <v>1</v>
      </c>
      <c r="H3477" s="454" t="s">
        <v>572</v>
      </c>
      <c r="I3477" s="408">
        <f t="shared" si="814"/>
        <v>1232.0000000000002</v>
      </c>
      <c r="J3477" s="400"/>
      <c r="K3477" s="401"/>
      <c r="L3477" s="401"/>
    </row>
    <row r="3478" spans="1:12">
      <c r="A3478" s="454"/>
      <c r="B3478" s="454"/>
      <c r="C3478" s="417" t="s">
        <v>723</v>
      </c>
      <c r="D3478" s="408">
        <v>3.3</v>
      </c>
      <c r="E3478" s="408" t="s">
        <v>375</v>
      </c>
      <c r="F3478" s="408">
        <f>'[161]Civil-SOR'!$G$307</f>
        <v>520</v>
      </c>
      <c r="G3478" s="430">
        <v>1</v>
      </c>
      <c r="H3478" s="454" t="s">
        <v>572</v>
      </c>
      <c r="I3478" s="408">
        <f t="shared" si="814"/>
        <v>1716</v>
      </c>
      <c r="J3478" s="400"/>
      <c r="K3478" s="401"/>
      <c r="L3478" s="401"/>
    </row>
    <row r="3479" spans="1:12">
      <c r="A3479" s="454"/>
      <c r="B3479" s="454"/>
      <c r="C3479" s="469" t="str">
        <f>[161]Input!$C$47</f>
        <v>Add for MA @ 40%</v>
      </c>
      <c r="D3479" s="621">
        <f>[161]Input!$D$47</f>
        <v>0.4</v>
      </c>
      <c r="E3479" s="454"/>
      <c r="F3479" s="408">
        <f>SUM(I3476:I3478)</f>
        <v>3504.8</v>
      </c>
      <c r="G3479" s="410"/>
      <c r="H3479" s="426"/>
      <c r="I3479" s="408">
        <f t="shared" si="814"/>
        <v>1401.92</v>
      </c>
      <c r="J3479" s="400"/>
      <c r="K3479" s="401"/>
      <c r="L3479" s="401"/>
    </row>
    <row r="3480" spans="1:12">
      <c r="A3480" s="454"/>
      <c r="B3480" s="454"/>
      <c r="C3480" s="483" t="s">
        <v>1046</v>
      </c>
      <c r="D3480" s="408">
        <v>0.01</v>
      </c>
      <c r="E3480" s="408"/>
      <c r="F3480" s="408">
        <f>SUM(I3470:I3479)</f>
        <v>10272.001200000001</v>
      </c>
      <c r="G3480" s="430"/>
      <c r="H3480" s="454"/>
      <c r="I3480" s="408">
        <f t="shared" si="814"/>
        <v>102.72001200000001</v>
      </c>
      <c r="J3480" s="400"/>
      <c r="K3480" s="401"/>
      <c r="L3480" s="401"/>
    </row>
    <row r="3481" spans="1:12" ht="13">
      <c r="A3481" s="454"/>
      <c r="B3481" s="454"/>
      <c r="C3481" s="433" t="s">
        <v>1175</v>
      </c>
      <c r="D3481" s="408"/>
      <c r="E3481" s="454"/>
      <c r="F3481" s="408"/>
      <c r="G3481" s="430"/>
      <c r="H3481" s="454"/>
      <c r="I3481" s="434">
        <f>SUM(I3470:I3480)</f>
        <v>10374.721212</v>
      </c>
      <c r="J3481" s="400"/>
      <c r="K3481" s="401"/>
      <c r="L3481" s="401"/>
    </row>
    <row r="3482" spans="1:12" ht="13">
      <c r="A3482" s="454"/>
      <c r="B3482" s="454"/>
      <c r="C3482" s="433"/>
      <c r="D3482" s="408"/>
      <c r="E3482" s="454"/>
      <c r="F3482" s="408"/>
      <c r="G3482" s="430"/>
      <c r="H3482" s="454"/>
      <c r="I3482" s="409"/>
      <c r="J3482" s="400"/>
      <c r="K3482" s="401"/>
      <c r="L3482" s="401"/>
    </row>
    <row r="3483" spans="1:12" s="554" customFormat="1" ht="13">
      <c r="A3483" s="454"/>
      <c r="B3483" s="454"/>
      <c r="C3483" s="481" t="s">
        <v>953</v>
      </c>
      <c r="D3483" s="414" t="s">
        <v>959</v>
      </c>
      <c r="E3483" s="416" t="s">
        <v>943</v>
      </c>
      <c r="F3483" s="415" t="s">
        <v>944</v>
      </c>
      <c r="G3483" s="414" t="s">
        <v>1036</v>
      </c>
      <c r="H3483" s="414" t="s">
        <v>1037</v>
      </c>
      <c r="I3483" s="414" t="s">
        <v>1038</v>
      </c>
      <c r="J3483" s="638" t="s">
        <v>1118</v>
      </c>
      <c r="K3483" s="636" t="s">
        <v>1119</v>
      </c>
      <c r="L3483" s="636" t="s">
        <v>1120</v>
      </c>
    </row>
    <row r="3484" spans="1:12">
      <c r="A3484" s="454"/>
      <c r="B3484" s="454"/>
      <c r="C3484" s="417" t="s">
        <v>1064</v>
      </c>
      <c r="D3484" s="408">
        <f t="shared" ref="D3484:L3484" si="815">$I$3481</f>
        <v>10374.721212</v>
      </c>
      <c r="E3484" s="408">
        <f t="shared" si="815"/>
        <v>10374.721212</v>
      </c>
      <c r="F3484" s="408">
        <f t="shared" si="815"/>
        <v>10374.721212</v>
      </c>
      <c r="G3484" s="408">
        <f t="shared" si="815"/>
        <v>10374.721212</v>
      </c>
      <c r="H3484" s="408">
        <f t="shared" si="815"/>
        <v>10374.721212</v>
      </c>
      <c r="I3484" s="408">
        <f t="shared" si="815"/>
        <v>10374.721212</v>
      </c>
      <c r="J3484" s="575">
        <f t="shared" si="815"/>
        <v>10374.721212</v>
      </c>
      <c r="K3484" s="644">
        <f t="shared" si="815"/>
        <v>10374.721212</v>
      </c>
      <c r="L3484" s="644">
        <f t="shared" si="815"/>
        <v>10374.721212</v>
      </c>
    </row>
    <row r="3485" spans="1:12">
      <c r="A3485" s="454"/>
      <c r="B3485" s="454"/>
      <c r="C3485" s="417" t="s">
        <v>994</v>
      </c>
      <c r="D3485" s="408">
        <v>0</v>
      </c>
      <c r="E3485" s="408">
        <f>ROUND($F$3479*10%,2)</f>
        <v>350.48</v>
      </c>
      <c r="F3485" s="408">
        <f>ROUND($F$3479*20%,2)</f>
        <v>700.96</v>
      </c>
      <c r="G3485" s="408">
        <f>ROUND($F$3479*30%,2)</f>
        <v>1051.44</v>
      </c>
      <c r="H3485" s="408">
        <f>ROUND($F$3479*40%,2)</f>
        <v>1401.92</v>
      </c>
      <c r="I3485" s="408">
        <f>ROUND($F$3479*50%,2)</f>
        <v>1752.4</v>
      </c>
      <c r="J3485" s="575">
        <f>ROUND($F$3479*60%,2)</f>
        <v>2102.88</v>
      </c>
      <c r="K3485" s="644">
        <f>ROUND($F$3479*70%,2)</f>
        <v>2453.36</v>
      </c>
      <c r="L3485" s="644">
        <f>ROUND($F$3479*80%,2)</f>
        <v>2803.84</v>
      </c>
    </row>
    <row r="3486" spans="1:12">
      <c r="A3486" s="454"/>
      <c r="B3486" s="454"/>
      <c r="C3486" s="417" t="str">
        <f>[161]Input!$C$47</f>
        <v>Add for MA @ 40%</v>
      </c>
      <c r="D3486" s="408">
        <f>D3485*[161]Input!$D$47</f>
        <v>0</v>
      </c>
      <c r="E3486" s="408">
        <f>E3485*[161]Input!$D$47</f>
        <v>140.19200000000001</v>
      </c>
      <c r="F3486" s="408">
        <f>F3485*[161]Input!$D$47</f>
        <v>280.38400000000001</v>
      </c>
      <c r="G3486" s="408">
        <f>G3485*[161]Input!$D$47</f>
        <v>420.57600000000002</v>
      </c>
      <c r="H3486" s="408">
        <f>H3485*[161]Input!$D$47</f>
        <v>560.76800000000003</v>
      </c>
      <c r="I3486" s="408">
        <f>I3485*[161]Input!$D$47</f>
        <v>700.96</v>
      </c>
      <c r="J3486" s="575">
        <f>J3485*[161]Input!$D$47</f>
        <v>841.15200000000004</v>
      </c>
      <c r="K3486" s="644">
        <f>K3485*[161]Input!$D$47</f>
        <v>981.34400000000005</v>
      </c>
      <c r="L3486" s="644">
        <f>L3485*[161]Input!$D$47</f>
        <v>1121.5360000000001</v>
      </c>
    </row>
    <row r="3487" spans="1:12">
      <c r="A3487" s="454"/>
      <c r="B3487" s="454"/>
      <c r="C3487" s="469"/>
      <c r="D3487" s="408">
        <f t="shared" ref="D3487:L3487" si="816">SUM(D3484:D3486)</f>
        <v>10374.721212</v>
      </c>
      <c r="E3487" s="408">
        <f t="shared" si="816"/>
        <v>10865.393211999999</v>
      </c>
      <c r="F3487" s="408">
        <f t="shared" si="816"/>
        <v>11356.065212</v>
      </c>
      <c r="G3487" s="408">
        <f t="shared" si="816"/>
        <v>11846.737212</v>
      </c>
      <c r="H3487" s="408">
        <f t="shared" si="816"/>
        <v>12337.409212</v>
      </c>
      <c r="I3487" s="408">
        <f t="shared" si="816"/>
        <v>12828.081212000001</v>
      </c>
      <c r="J3487" s="575">
        <f t="shared" si="816"/>
        <v>13318.753212000001</v>
      </c>
      <c r="K3487" s="644">
        <f t="shared" si="816"/>
        <v>13809.425212000002</v>
      </c>
      <c r="L3487" s="644">
        <f t="shared" si="816"/>
        <v>14300.097212000001</v>
      </c>
    </row>
    <row r="3488" spans="1:12" ht="25">
      <c r="A3488" s="454"/>
      <c r="B3488" s="454"/>
      <c r="C3488" s="417" t="str">
        <f>[161]Input!$C$48</f>
        <v>Overheads &amp; Contractors Profit @ 13.615%</v>
      </c>
      <c r="D3488" s="408">
        <f>ROUND(D3487*[161]Input!$D$48,2)</f>
        <v>1412.52</v>
      </c>
      <c r="E3488" s="408">
        <f>ROUND(E3487*[161]Input!$D$48,2)</f>
        <v>1479.32</v>
      </c>
      <c r="F3488" s="408">
        <f>ROUND(F3487*[161]Input!$D$48,2)</f>
        <v>1546.13</v>
      </c>
      <c r="G3488" s="408">
        <f>ROUND(G3487*[161]Input!$D$48,2)</f>
        <v>1612.93</v>
      </c>
      <c r="H3488" s="408">
        <f>ROUND(H3487*[161]Input!$D$48,2)</f>
        <v>1679.74</v>
      </c>
      <c r="I3488" s="408">
        <f>ROUND(I3487*[161]Input!$D$48,2)</f>
        <v>1746.54</v>
      </c>
      <c r="J3488" s="575">
        <f>ROUND(J3487*[161]Input!$D$48,2)</f>
        <v>1813.35</v>
      </c>
      <c r="K3488" s="644">
        <f>ROUND(K3487*[161]Input!$D$48,2)</f>
        <v>1880.15</v>
      </c>
      <c r="L3488" s="644">
        <f>ROUND(L3487*[161]Input!$D$48,2)</f>
        <v>1946.96</v>
      </c>
    </row>
    <row r="3489" spans="1:12" ht="13">
      <c r="A3489" s="454"/>
      <c r="B3489" s="454"/>
      <c r="C3489" s="427" t="s">
        <v>1047</v>
      </c>
      <c r="D3489" s="408">
        <f t="shared" ref="D3489:L3489" si="817">SUM(D3487:D3488)</f>
        <v>11787.241212000001</v>
      </c>
      <c r="E3489" s="408">
        <f t="shared" si="817"/>
        <v>12344.713211999999</v>
      </c>
      <c r="F3489" s="408">
        <f t="shared" si="817"/>
        <v>12902.195211999999</v>
      </c>
      <c r="G3489" s="408">
        <f t="shared" si="817"/>
        <v>13459.667212</v>
      </c>
      <c r="H3489" s="408">
        <f t="shared" si="817"/>
        <v>14017.149212</v>
      </c>
      <c r="I3489" s="408">
        <f t="shared" si="817"/>
        <v>14574.621212000002</v>
      </c>
      <c r="J3489" s="575">
        <f t="shared" si="817"/>
        <v>15132.103212000002</v>
      </c>
      <c r="K3489" s="644">
        <f t="shared" si="817"/>
        <v>15689.575212000002</v>
      </c>
      <c r="L3489" s="644">
        <f t="shared" si="817"/>
        <v>16247.057212</v>
      </c>
    </row>
    <row r="3490" spans="1:12" ht="13">
      <c r="A3490" s="454"/>
      <c r="B3490" s="454"/>
      <c r="C3490" s="427" t="s">
        <v>1032</v>
      </c>
      <c r="D3490" s="414">
        <f t="shared" ref="D3490:L3490" si="818">D3489*0.01</f>
        <v>117.87241212000001</v>
      </c>
      <c r="E3490" s="414">
        <f t="shared" si="818"/>
        <v>123.44713211999999</v>
      </c>
      <c r="F3490" s="414">
        <f t="shared" si="818"/>
        <v>129.02195211999998</v>
      </c>
      <c r="G3490" s="414">
        <f t="shared" si="818"/>
        <v>134.59667211999999</v>
      </c>
      <c r="H3490" s="414">
        <f t="shared" si="818"/>
        <v>140.17149212000001</v>
      </c>
      <c r="I3490" s="414">
        <f t="shared" si="818"/>
        <v>145.74621212000002</v>
      </c>
      <c r="J3490" s="657">
        <f t="shared" si="818"/>
        <v>151.32103212000001</v>
      </c>
      <c r="K3490" s="631">
        <f t="shared" si="818"/>
        <v>156.89575212000003</v>
      </c>
      <c r="L3490" s="631">
        <f t="shared" si="818"/>
        <v>162.47057212000001</v>
      </c>
    </row>
    <row r="3491" spans="1:12" s="554" customFormat="1" ht="13">
      <c r="A3491" s="454"/>
      <c r="B3491" s="454"/>
      <c r="C3491" s="522" t="s">
        <v>726</v>
      </c>
      <c r="D3491" s="416">
        <f t="shared" ref="D3491:L3491" si="819">ROUND(D3490,0)</f>
        <v>118</v>
      </c>
      <c r="E3491" s="416">
        <f t="shared" si="819"/>
        <v>123</v>
      </c>
      <c r="F3491" s="416">
        <f t="shared" si="819"/>
        <v>129</v>
      </c>
      <c r="G3491" s="416">
        <f t="shared" si="819"/>
        <v>135</v>
      </c>
      <c r="H3491" s="416">
        <f t="shared" si="819"/>
        <v>140</v>
      </c>
      <c r="I3491" s="416">
        <f t="shared" si="819"/>
        <v>146</v>
      </c>
      <c r="J3491" s="533">
        <f t="shared" si="819"/>
        <v>151</v>
      </c>
      <c r="K3491" s="534">
        <f t="shared" si="819"/>
        <v>157</v>
      </c>
      <c r="L3491" s="534">
        <f t="shared" si="819"/>
        <v>162</v>
      </c>
    </row>
    <row r="3492" spans="1:12" ht="13">
      <c r="A3492" s="454"/>
      <c r="B3492" s="454"/>
      <c r="C3492" s="469"/>
      <c r="D3492" s="408"/>
      <c r="E3492" s="408"/>
      <c r="F3492" s="408"/>
      <c r="G3492" s="426"/>
      <c r="H3492" s="415"/>
      <c r="I3492" s="414"/>
      <c r="J3492" s="400"/>
      <c r="K3492" s="401"/>
      <c r="L3492" s="401"/>
    </row>
    <row r="3493" spans="1:12" ht="13">
      <c r="A3493" s="454"/>
      <c r="B3493" s="454"/>
      <c r="C3493" s="427" t="s">
        <v>953</v>
      </c>
      <c r="D3493" s="414" t="s">
        <v>1118</v>
      </c>
      <c r="E3493" s="414" t="s">
        <v>1119</v>
      </c>
      <c r="F3493" s="414" t="s">
        <v>1120</v>
      </c>
      <c r="G3493" s="426"/>
      <c r="H3493" s="415"/>
      <c r="I3493" s="414"/>
      <c r="J3493" s="400"/>
      <c r="K3493" s="401"/>
      <c r="L3493" s="401"/>
    </row>
    <row r="3494" spans="1:12" ht="13">
      <c r="A3494" s="454"/>
      <c r="B3494" s="454"/>
      <c r="C3494" s="417" t="s">
        <v>1064</v>
      </c>
      <c r="D3494" s="408">
        <f>$I$3481</f>
        <v>10374.721212</v>
      </c>
      <c r="E3494" s="408">
        <f>$I$3481</f>
        <v>10374.721212</v>
      </c>
      <c r="F3494" s="408">
        <f>$I$3481</f>
        <v>10374.721212</v>
      </c>
      <c r="G3494" s="426"/>
      <c r="H3494" s="415"/>
      <c r="I3494" s="414"/>
      <c r="J3494" s="400"/>
      <c r="K3494" s="401"/>
      <c r="L3494" s="401"/>
    </row>
    <row r="3495" spans="1:12" ht="13">
      <c r="A3495" s="454"/>
      <c r="B3495" s="454"/>
      <c r="C3495" s="417" t="s">
        <v>994</v>
      </c>
      <c r="D3495" s="408">
        <f>ROUND($F$3479*60%,2)</f>
        <v>2102.88</v>
      </c>
      <c r="E3495" s="408">
        <f>ROUND($F$3479*70%,2)</f>
        <v>2453.36</v>
      </c>
      <c r="F3495" s="408">
        <f>ROUND($F$3479*80%,2)</f>
        <v>2803.84</v>
      </c>
      <c r="G3495" s="426"/>
      <c r="H3495" s="415"/>
      <c r="I3495" s="414"/>
      <c r="J3495" s="400"/>
      <c r="K3495" s="401"/>
      <c r="L3495" s="401"/>
    </row>
    <row r="3496" spans="1:12" ht="13">
      <c r="A3496" s="454"/>
      <c r="B3496" s="454"/>
      <c r="C3496" s="417" t="str">
        <f>[161]Input!$C$47</f>
        <v>Add for MA @ 40%</v>
      </c>
      <c r="D3496" s="408">
        <f>D3495*[161]Input!$D$47</f>
        <v>841.15200000000004</v>
      </c>
      <c r="E3496" s="408">
        <f>E3495*[161]Input!$D$47</f>
        <v>981.34400000000005</v>
      </c>
      <c r="F3496" s="408">
        <f>F3495*[161]Input!$D$47</f>
        <v>1121.5360000000001</v>
      </c>
      <c r="G3496" s="426"/>
      <c r="H3496" s="415"/>
      <c r="I3496" s="414"/>
      <c r="J3496" s="400"/>
      <c r="K3496" s="401"/>
      <c r="L3496" s="401"/>
    </row>
    <row r="3497" spans="1:12" ht="13">
      <c r="A3497" s="454"/>
      <c r="B3497" s="454"/>
      <c r="C3497" s="435"/>
      <c r="D3497" s="408">
        <f>SUM(D3494:D3496)</f>
        <v>13318.753212000001</v>
      </c>
      <c r="E3497" s="408">
        <f>SUM(E3494:E3496)</f>
        <v>13809.425212000002</v>
      </c>
      <c r="F3497" s="408">
        <f>SUM(F3494:F3496)</f>
        <v>14300.097212000001</v>
      </c>
      <c r="G3497" s="426"/>
      <c r="H3497" s="415"/>
      <c r="I3497" s="414"/>
      <c r="J3497" s="400"/>
      <c r="K3497" s="401"/>
      <c r="L3497" s="401"/>
    </row>
    <row r="3498" spans="1:12" ht="25">
      <c r="A3498" s="454"/>
      <c r="B3498" s="454"/>
      <c r="C3498" s="417" t="str">
        <f>[161]Input!$C$48</f>
        <v>Overheads &amp; Contractors Profit @ 13.615%</v>
      </c>
      <c r="D3498" s="408">
        <f>ROUND(D3497*[161]Input!$D$48,2)</f>
        <v>1813.35</v>
      </c>
      <c r="E3498" s="408">
        <f>ROUND(E3497*[161]Input!$D$48,2)</f>
        <v>1880.15</v>
      </c>
      <c r="F3498" s="408">
        <f>ROUND(F3497*[161]Input!$D$48,2)</f>
        <v>1946.96</v>
      </c>
      <c r="G3498" s="426"/>
      <c r="H3498" s="415"/>
      <c r="I3498" s="414"/>
      <c r="J3498" s="400"/>
      <c r="K3498" s="401"/>
      <c r="L3498" s="401"/>
    </row>
    <row r="3499" spans="1:12" ht="13">
      <c r="A3499" s="454"/>
      <c r="B3499" s="454"/>
      <c r="C3499" s="427" t="s">
        <v>1047</v>
      </c>
      <c r="D3499" s="408">
        <f>SUM(D3497:D3498)</f>
        <v>15132.103212000002</v>
      </c>
      <c r="E3499" s="408">
        <f>SUM(E3497:E3498)</f>
        <v>15689.575212000002</v>
      </c>
      <c r="F3499" s="408">
        <f>SUM(F3497:F3498)</f>
        <v>16247.057212</v>
      </c>
      <c r="G3499" s="426"/>
      <c r="H3499" s="415"/>
      <c r="I3499" s="414"/>
      <c r="J3499" s="400"/>
      <c r="K3499" s="401"/>
      <c r="L3499" s="401"/>
    </row>
    <row r="3500" spans="1:12" ht="13">
      <c r="A3500" s="454"/>
      <c r="B3500" s="454"/>
      <c r="C3500" s="427" t="s">
        <v>1032</v>
      </c>
      <c r="D3500" s="414">
        <f>D3499*0.01</f>
        <v>151.32103212000001</v>
      </c>
      <c r="E3500" s="414">
        <f>E3499*0.01</f>
        <v>156.89575212000003</v>
      </c>
      <c r="F3500" s="414">
        <f>F3499*0.01</f>
        <v>162.47057212000001</v>
      </c>
      <c r="G3500" s="426"/>
      <c r="H3500" s="415"/>
      <c r="I3500" s="414"/>
      <c r="J3500" s="400"/>
      <c r="K3500" s="401"/>
      <c r="L3500" s="401"/>
    </row>
    <row r="3501" spans="1:12" ht="13">
      <c r="A3501" s="454"/>
      <c r="B3501" s="454"/>
      <c r="C3501" s="514" t="s">
        <v>726</v>
      </c>
      <c r="D3501" s="416">
        <f>ROUND(D3500,0)</f>
        <v>151</v>
      </c>
      <c r="E3501" s="416">
        <f>ROUND(E3500,0)</f>
        <v>157</v>
      </c>
      <c r="F3501" s="416">
        <f>ROUND(F3500,0)</f>
        <v>162</v>
      </c>
      <c r="G3501" s="426"/>
      <c r="H3501" s="415"/>
      <c r="I3501" s="414"/>
      <c r="J3501" s="400"/>
      <c r="K3501" s="401"/>
      <c r="L3501" s="401"/>
    </row>
    <row r="3502" spans="1:12" ht="13">
      <c r="A3502" s="454"/>
      <c r="B3502" s="454"/>
      <c r="C3502" s="469"/>
      <c r="D3502" s="408"/>
      <c r="E3502" s="408"/>
      <c r="F3502" s="408"/>
      <c r="G3502" s="426"/>
      <c r="H3502" s="415"/>
      <c r="I3502" s="414"/>
      <c r="J3502" s="400"/>
      <c r="K3502" s="401"/>
      <c r="L3502" s="401"/>
    </row>
    <row r="3503" spans="1:12" ht="13">
      <c r="A3503" s="454"/>
      <c r="B3503" s="454"/>
      <c r="C3503" s="469"/>
      <c r="D3503" s="408"/>
      <c r="E3503" s="408"/>
      <c r="F3503" s="408"/>
      <c r="G3503" s="426"/>
      <c r="H3503" s="415"/>
      <c r="I3503" s="414"/>
      <c r="J3503" s="400"/>
      <c r="K3503" s="401"/>
      <c r="L3503" s="401"/>
    </row>
    <row r="3504" spans="1:12" ht="74.650000000000006" customHeight="1">
      <c r="A3504" s="454">
        <f>A3467+1</f>
        <v>13</v>
      </c>
      <c r="B3504" s="415" t="s">
        <v>720</v>
      </c>
      <c r="C3504" s="1276" t="s">
        <v>1288</v>
      </c>
      <c r="D3504" s="1276"/>
      <c r="E3504" s="1276"/>
      <c r="F3504" s="1276"/>
      <c r="G3504" s="1276"/>
      <c r="H3504" s="1276"/>
      <c r="I3504" s="407"/>
      <c r="J3504" s="400"/>
      <c r="K3504" s="401"/>
      <c r="L3504" s="401"/>
    </row>
    <row r="3505" spans="1:12" ht="13">
      <c r="A3505" s="454"/>
      <c r="B3505" s="454"/>
      <c r="C3505" s="455" t="s">
        <v>1267</v>
      </c>
      <c r="D3505" s="408"/>
      <c r="E3505" s="408"/>
      <c r="F3505" s="408"/>
      <c r="G3505" s="430"/>
      <c r="H3505" s="415"/>
      <c r="I3505" s="414"/>
      <c r="J3505" s="400"/>
      <c r="K3505" s="401"/>
      <c r="L3505" s="401"/>
    </row>
    <row r="3506" spans="1:12" ht="13">
      <c r="A3506" s="454"/>
      <c r="B3506" s="454"/>
      <c r="C3506" s="417" t="s">
        <v>1259</v>
      </c>
      <c r="D3506" s="408"/>
      <c r="E3506" s="408"/>
      <c r="F3506" s="408"/>
      <c r="G3506" s="430"/>
      <c r="H3506" s="415"/>
      <c r="I3506" s="414"/>
      <c r="J3506" s="400"/>
      <c r="K3506" s="401"/>
      <c r="L3506" s="401"/>
    </row>
    <row r="3507" spans="1:12" ht="13">
      <c r="A3507" s="454"/>
      <c r="B3507" s="454"/>
      <c r="C3507" s="427" t="s">
        <v>873</v>
      </c>
      <c r="D3507" s="408"/>
      <c r="E3507" s="408"/>
      <c r="F3507" s="408"/>
      <c r="G3507" s="430"/>
      <c r="H3507" s="415"/>
      <c r="I3507" s="414"/>
      <c r="J3507" s="400"/>
      <c r="K3507" s="401"/>
      <c r="L3507" s="401"/>
    </row>
    <row r="3508" spans="1:12">
      <c r="A3508" s="454"/>
      <c r="B3508" s="454"/>
      <c r="C3508" s="417" t="s">
        <v>1289</v>
      </c>
      <c r="D3508" s="408">
        <v>10.5</v>
      </c>
      <c r="E3508" s="408" t="s">
        <v>17</v>
      </c>
      <c r="F3508" s="408">
        <f>'[161]Civil-SOR'!$G$14</f>
        <v>1182</v>
      </c>
      <c r="G3508" s="430">
        <v>1</v>
      </c>
      <c r="H3508" s="454" t="s">
        <v>17</v>
      </c>
      <c r="I3508" s="408">
        <f t="shared" ref="I3508:I3512" si="820">IF(G3508="",D3508*F3508,(D3508*F3508/G3508))</f>
        <v>12411</v>
      </c>
      <c r="J3508" s="400"/>
      <c r="K3508" s="401"/>
      <c r="L3508" s="401"/>
    </row>
    <row r="3509" spans="1:12">
      <c r="A3509" s="454"/>
      <c r="B3509" s="454"/>
      <c r="C3509" s="417" t="s">
        <v>1261</v>
      </c>
      <c r="D3509" s="408">
        <v>0.12</v>
      </c>
      <c r="E3509" s="408" t="s">
        <v>666</v>
      </c>
      <c r="F3509" s="408">
        <f>[161]LEAD!$N$13</f>
        <v>2453.91</v>
      </c>
      <c r="G3509" s="430">
        <v>1</v>
      </c>
      <c r="H3509" s="454" t="s">
        <v>666</v>
      </c>
      <c r="I3509" s="408">
        <f t="shared" si="820"/>
        <v>294.46919999999994</v>
      </c>
      <c r="J3509" s="400"/>
      <c r="K3509" s="401"/>
      <c r="L3509" s="401"/>
    </row>
    <row r="3510" spans="1:12">
      <c r="A3510" s="454"/>
      <c r="B3510" s="454"/>
      <c r="C3510" s="417" t="s">
        <v>1262</v>
      </c>
      <c r="D3510" s="408">
        <v>34.56</v>
      </c>
      <c r="E3510" s="408" t="s">
        <v>833</v>
      </c>
      <c r="F3510" s="408">
        <f>[161]LEAD!$N$6</f>
        <v>5200</v>
      </c>
      <c r="G3510" s="430">
        <v>1000</v>
      </c>
      <c r="H3510" s="454" t="s">
        <v>833</v>
      </c>
      <c r="I3510" s="408">
        <f t="shared" si="820"/>
        <v>179.71199999999999</v>
      </c>
      <c r="J3510" s="400"/>
      <c r="K3510" s="401"/>
      <c r="L3510" s="401"/>
    </row>
    <row r="3511" spans="1:12">
      <c r="A3511" s="454"/>
      <c r="B3511" s="454"/>
      <c r="C3511" s="417" t="s">
        <v>1171</v>
      </c>
      <c r="D3511" s="408">
        <v>33</v>
      </c>
      <c r="E3511" s="408" t="s">
        <v>833</v>
      </c>
      <c r="F3511" s="408">
        <f>[161]LEAD!$N$6</f>
        <v>5200</v>
      </c>
      <c r="G3511" s="430">
        <v>1000</v>
      </c>
      <c r="H3511" s="454" t="s">
        <v>833</v>
      </c>
      <c r="I3511" s="408">
        <f t="shared" si="820"/>
        <v>171.6</v>
      </c>
      <c r="J3511" s="400"/>
      <c r="K3511" s="401"/>
      <c r="L3511" s="401"/>
    </row>
    <row r="3512" spans="1:12">
      <c r="A3512" s="454"/>
      <c r="B3512" s="454"/>
      <c r="C3512" s="417" t="s">
        <v>1283</v>
      </c>
      <c r="D3512" s="408">
        <v>5</v>
      </c>
      <c r="E3512" s="408" t="s">
        <v>833</v>
      </c>
      <c r="F3512" s="408">
        <f>'[161]Civil-SOR'!$G$185</f>
        <v>34</v>
      </c>
      <c r="G3512" s="430">
        <v>1</v>
      </c>
      <c r="H3512" s="454" t="s">
        <v>312</v>
      </c>
      <c r="I3512" s="408">
        <f t="shared" si="820"/>
        <v>170</v>
      </c>
      <c r="J3512" s="400"/>
      <c r="K3512" s="401"/>
      <c r="L3512" s="401"/>
    </row>
    <row r="3513" spans="1:12" ht="13">
      <c r="A3513" s="454"/>
      <c r="B3513" s="454"/>
      <c r="C3513" s="427" t="s">
        <v>1263</v>
      </c>
      <c r="D3513" s="408"/>
      <c r="E3513" s="408"/>
      <c r="F3513" s="408"/>
      <c r="G3513" s="430"/>
      <c r="H3513" s="415"/>
      <c r="I3513" s="414"/>
      <c r="J3513" s="400"/>
      <c r="K3513" s="401"/>
      <c r="L3513" s="401"/>
    </row>
    <row r="3514" spans="1:12">
      <c r="A3514" s="454"/>
      <c r="B3514" s="454"/>
      <c r="C3514" s="417" t="s">
        <v>1044</v>
      </c>
      <c r="D3514" s="408">
        <v>2.1</v>
      </c>
      <c r="E3514" s="408" t="s">
        <v>375</v>
      </c>
      <c r="F3514" s="408">
        <f>'[161]Civil-SOR'!$G$293</f>
        <v>580</v>
      </c>
      <c r="G3514" s="430">
        <v>1</v>
      </c>
      <c r="H3514" s="454" t="s">
        <v>572</v>
      </c>
      <c r="I3514" s="408">
        <f t="shared" ref="I3514:I3518" si="821">IF(G3514="",D3514*F3514,(D3514*F3514/G3514))</f>
        <v>1218</v>
      </c>
      <c r="J3514" s="400"/>
      <c r="K3514" s="401"/>
      <c r="L3514" s="401"/>
    </row>
    <row r="3515" spans="1:12">
      <c r="A3515" s="454"/>
      <c r="B3515" s="454"/>
      <c r="C3515" s="417" t="s">
        <v>1074</v>
      </c>
      <c r="D3515" s="408">
        <v>4.9000000000000004</v>
      </c>
      <c r="E3515" s="408" t="s">
        <v>375</v>
      </c>
      <c r="F3515" s="408">
        <f>'[161]Civil-SOR'!$G$302</f>
        <v>550</v>
      </c>
      <c r="G3515" s="430">
        <v>1</v>
      </c>
      <c r="H3515" s="454" t="s">
        <v>572</v>
      </c>
      <c r="I3515" s="408">
        <f t="shared" si="821"/>
        <v>2695</v>
      </c>
      <c r="J3515" s="400"/>
      <c r="K3515" s="401"/>
      <c r="L3515" s="401"/>
    </row>
    <row r="3516" spans="1:12">
      <c r="A3516" s="454"/>
      <c r="B3516" s="454"/>
      <c r="C3516" s="417" t="s">
        <v>723</v>
      </c>
      <c r="D3516" s="408">
        <v>0.8</v>
      </c>
      <c r="E3516" s="408" t="s">
        <v>375</v>
      </c>
      <c r="F3516" s="408">
        <f>'[161]Civil-SOR'!$G$307</f>
        <v>520</v>
      </c>
      <c r="G3516" s="430">
        <v>1</v>
      </c>
      <c r="H3516" s="454" t="s">
        <v>572</v>
      </c>
      <c r="I3516" s="408">
        <f t="shared" si="821"/>
        <v>416</v>
      </c>
      <c r="J3516" s="400"/>
      <c r="K3516" s="401"/>
      <c r="L3516" s="401"/>
    </row>
    <row r="3517" spans="1:12">
      <c r="A3517" s="454"/>
      <c r="B3517" s="454"/>
      <c r="C3517" s="469" t="str">
        <f>[161]Input!$C$47</f>
        <v>Add for MA @ 40%</v>
      </c>
      <c r="D3517" s="621">
        <f>[161]Input!$D$47</f>
        <v>0.4</v>
      </c>
      <c r="E3517" s="454"/>
      <c r="F3517" s="408">
        <f>SUM(I3514:I3516)</f>
        <v>4329</v>
      </c>
      <c r="G3517" s="410"/>
      <c r="H3517" s="426"/>
      <c r="I3517" s="408">
        <f t="shared" si="821"/>
        <v>1731.6000000000001</v>
      </c>
      <c r="J3517" s="400"/>
      <c r="K3517" s="401"/>
      <c r="L3517" s="401"/>
    </row>
    <row r="3518" spans="1:12">
      <c r="A3518" s="454"/>
      <c r="B3518" s="454"/>
      <c r="C3518" s="483" t="s">
        <v>1046</v>
      </c>
      <c r="D3518" s="408">
        <v>0.01</v>
      </c>
      <c r="E3518" s="408"/>
      <c r="F3518" s="408">
        <f>SUM(I3508:I3517)</f>
        <v>19287.381199999996</v>
      </c>
      <c r="G3518" s="430"/>
      <c r="H3518" s="454"/>
      <c r="I3518" s="408">
        <f t="shared" si="821"/>
        <v>192.87381199999996</v>
      </c>
      <c r="J3518" s="400"/>
      <c r="K3518" s="401"/>
      <c r="L3518" s="401"/>
    </row>
    <row r="3519" spans="1:12" s="554" customFormat="1" ht="13">
      <c r="A3519" s="454"/>
      <c r="B3519" s="454"/>
      <c r="C3519" s="481" t="s">
        <v>1175</v>
      </c>
      <c r="D3519" s="408"/>
      <c r="E3519" s="454"/>
      <c r="F3519" s="408"/>
      <c r="G3519" s="430"/>
      <c r="H3519" s="454"/>
      <c r="I3519" s="434">
        <f>SUM(I3508:I3518)</f>
        <v>19480.255011999998</v>
      </c>
      <c r="J3519" s="411"/>
      <c r="K3519" s="412"/>
      <c r="L3519" s="412"/>
    </row>
    <row r="3520" spans="1:12" ht="13">
      <c r="A3520" s="454"/>
      <c r="B3520" s="454"/>
      <c r="C3520" s="433"/>
      <c r="D3520" s="408"/>
      <c r="E3520" s="454"/>
      <c r="F3520" s="408"/>
      <c r="G3520" s="430"/>
      <c r="H3520" s="454"/>
      <c r="I3520" s="409"/>
      <c r="J3520" s="400"/>
      <c r="K3520" s="401"/>
      <c r="L3520" s="401"/>
    </row>
    <row r="3521" spans="1:12" s="554" customFormat="1" ht="13">
      <c r="A3521" s="454"/>
      <c r="B3521" s="454"/>
      <c r="C3521" s="481" t="s">
        <v>953</v>
      </c>
      <c r="D3521" s="414" t="s">
        <v>959</v>
      </c>
      <c r="E3521" s="416" t="s">
        <v>943</v>
      </c>
      <c r="F3521" s="415" t="s">
        <v>944</v>
      </c>
      <c r="G3521" s="414" t="s">
        <v>1036</v>
      </c>
      <c r="H3521" s="414" t="s">
        <v>1037</v>
      </c>
      <c r="I3521" s="414" t="s">
        <v>1038</v>
      </c>
      <c r="J3521" s="638" t="s">
        <v>1118</v>
      </c>
      <c r="K3521" s="636" t="s">
        <v>1119</v>
      </c>
      <c r="L3521" s="636" t="s">
        <v>1120</v>
      </c>
    </row>
    <row r="3522" spans="1:12">
      <c r="A3522" s="454"/>
      <c r="B3522" s="454"/>
      <c r="C3522" s="417" t="s">
        <v>1064</v>
      </c>
      <c r="D3522" s="408">
        <f t="shared" ref="D3522:L3522" si="822">$I$3519</f>
        <v>19480.255011999998</v>
      </c>
      <c r="E3522" s="408">
        <f t="shared" si="822"/>
        <v>19480.255011999998</v>
      </c>
      <c r="F3522" s="408">
        <f t="shared" si="822"/>
        <v>19480.255011999998</v>
      </c>
      <c r="G3522" s="408">
        <f t="shared" si="822"/>
        <v>19480.255011999998</v>
      </c>
      <c r="H3522" s="408">
        <f t="shared" si="822"/>
        <v>19480.255011999998</v>
      </c>
      <c r="I3522" s="408">
        <f t="shared" si="822"/>
        <v>19480.255011999998</v>
      </c>
      <c r="J3522" s="575">
        <f t="shared" si="822"/>
        <v>19480.255011999998</v>
      </c>
      <c r="K3522" s="644">
        <f t="shared" si="822"/>
        <v>19480.255011999998</v>
      </c>
      <c r="L3522" s="644">
        <f t="shared" si="822"/>
        <v>19480.255011999998</v>
      </c>
    </row>
    <row r="3523" spans="1:12">
      <c r="A3523" s="454"/>
      <c r="B3523" s="454"/>
      <c r="C3523" s="417" t="s">
        <v>994</v>
      </c>
      <c r="D3523" s="408">
        <v>0</v>
      </c>
      <c r="E3523" s="408">
        <f>ROUND($F$3517*10%,2)</f>
        <v>432.9</v>
      </c>
      <c r="F3523" s="408">
        <f>ROUND($F$3517*20%,2)</f>
        <v>865.8</v>
      </c>
      <c r="G3523" s="408">
        <f>ROUND($F$3517*30%,2)</f>
        <v>1298.7</v>
      </c>
      <c r="H3523" s="408">
        <f>ROUND($F$3517*40%,2)</f>
        <v>1731.6</v>
      </c>
      <c r="I3523" s="408">
        <f>ROUND($F$3517*50%,2)</f>
        <v>2164.5</v>
      </c>
      <c r="J3523" s="575">
        <f>ROUND($F$3517*60%,2)</f>
        <v>2597.4</v>
      </c>
      <c r="K3523" s="644">
        <f>ROUND($F$3517*70%,2)</f>
        <v>3030.3</v>
      </c>
      <c r="L3523" s="644">
        <f>ROUND($F$3517*80%,2)</f>
        <v>3463.2</v>
      </c>
    </row>
    <row r="3524" spans="1:12">
      <c r="A3524" s="454"/>
      <c r="B3524" s="454"/>
      <c r="C3524" s="417" t="str">
        <f>[161]Input!$C$47</f>
        <v>Add for MA @ 40%</v>
      </c>
      <c r="D3524" s="408">
        <f>D3523*[161]Input!$D$47</f>
        <v>0</v>
      </c>
      <c r="E3524" s="408">
        <f>E3523*[161]Input!$D$47</f>
        <v>173.16</v>
      </c>
      <c r="F3524" s="408">
        <f>F3523*[161]Input!$D$47</f>
        <v>346.32</v>
      </c>
      <c r="G3524" s="408">
        <f>G3523*[161]Input!$D$47</f>
        <v>519.48</v>
      </c>
      <c r="H3524" s="408">
        <f>H3523*[161]Input!$D$47</f>
        <v>692.64</v>
      </c>
      <c r="I3524" s="408">
        <f>I3523*[161]Input!$D$47</f>
        <v>865.80000000000007</v>
      </c>
      <c r="J3524" s="575">
        <f>J3523*[161]Input!$D$47</f>
        <v>1038.96</v>
      </c>
      <c r="K3524" s="644">
        <f>K3523*[161]Input!$D$47</f>
        <v>1212.1200000000001</v>
      </c>
      <c r="L3524" s="644">
        <f>L3523*[161]Input!$D$47</f>
        <v>1385.28</v>
      </c>
    </row>
    <row r="3525" spans="1:12">
      <c r="A3525" s="454"/>
      <c r="B3525" s="454"/>
      <c r="C3525" s="469"/>
      <c r="D3525" s="408">
        <f t="shared" ref="D3525:L3525" si="823">SUM(D3522:D3524)</f>
        <v>19480.255011999998</v>
      </c>
      <c r="E3525" s="408">
        <f t="shared" si="823"/>
        <v>20086.315011999999</v>
      </c>
      <c r="F3525" s="408">
        <f t="shared" si="823"/>
        <v>20692.375011999997</v>
      </c>
      <c r="G3525" s="408">
        <f t="shared" si="823"/>
        <v>21298.435011999998</v>
      </c>
      <c r="H3525" s="408">
        <f t="shared" si="823"/>
        <v>21904.495011999996</v>
      </c>
      <c r="I3525" s="408">
        <f t="shared" si="823"/>
        <v>22510.555011999997</v>
      </c>
      <c r="J3525" s="575">
        <f t="shared" si="823"/>
        <v>23116.615011999998</v>
      </c>
      <c r="K3525" s="644">
        <f t="shared" si="823"/>
        <v>23722.675011999996</v>
      </c>
      <c r="L3525" s="644">
        <f t="shared" si="823"/>
        <v>24328.735011999997</v>
      </c>
    </row>
    <row r="3526" spans="1:12" ht="25">
      <c r="A3526" s="454"/>
      <c r="B3526" s="454"/>
      <c r="C3526" s="417" t="str">
        <f>[161]Input!$C$48</f>
        <v>Overheads &amp; Contractors Profit @ 13.615%</v>
      </c>
      <c r="D3526" s="408">
        <f>ROUND(D3525*[161]Input!$D$48,2)</f>
        <v>2652.24</v>
      </c>
      <c r="E3526" s="408">
        <f>ROUND(E3525*[161]Input!$D$48,2)</f>
        <v>2734.75</v>
      </c>
      <c r="F3526" s="408">
        <f>ROUND(F3525*[161]Input!$D$48,2)</f>
        <v>2817.27</v>
      </c>
      <c r="G3526" s="408">
        <f>ROUND(G3525*[161]Input!$D$48,2)</f>
        <v>2899.78</v>
      </c>
      <c r="H3526" s="408">
        <f>ROUND(H3525*[161]Input!$D$48,2)</f>
        <v>2982.3</v>
      </c>
      <c r="I3526" s="408">
        <f>ROUND(I3525*[161]Input!$D$48,2)</f>
        <v>3064.81</v>
      </c>
      <c r="J3526" s="575">
        <f>ROUND(J3525*[161]Input!$D$48,2)</f>
        <v>3147.33</v>
      </c>
      <c r="K3526" s="644">
        <f>ROUND(K3525*[161]Input!$D$48,2)</f>
        <v>3229.84</v>
      </c>
      <c r="L3526" s="644">
        <f>ROUND(L3525*[161]Input!$D$48,2)</f>
        <v>3312.36</v>
      </c>
    </row>
    <row r="3527" spans="1:12" ht="13">
      <c r="A3527" s="454"/>
      <c r="B3527" s="454"/>
      <c r="C3527" s="427" t="s">
        <v>1047</v>
      </c>
      <c r="D3527" s="414">
        <f t="shared" ref="D3527:L3527" si="824">SUM(D3525:D3526)</f>
        <v>22132.495011999999</v>
      </c>
      <c r="E3527" s="414">
        <f t="shared" si="824"/>
        <v>22821.065011999999</v>
      </c>
      <c r="F3527" s="414">
        <f t="shared" si="824"/>
        <v>23509.645011999997</v>
      </c>
      <c r="G3527" s="414">
        <f t="shared" si="824"/>
        <v>24198.215011999997</v>
      </c>
      <c r="H3527" s="414">
        <f t="shared" si="824"/>
        <v>24886.795011999995</v>
      </c>
      <c r="I3527" s="414">
        <f t="shared" si="824"/>
        <v>25575.365011999998</v>
      </c>
      <c r="J3527" s="657">
        <f t="shared" si="824"/>
        <v>26263.945011999996</v>
      </c>
      <c r="K3527" s="631">
        <f t="shared" si="824"/>
        <v>26952.515011999996</v>
      </c>
      <c r="L3527" s="631">
        <f t="shared" si="824"/>
        <v>27641.095011999998</v>
      </c>
    </row>
    <row r="3528" spans="1:12" s="554" customFormat="1" ht="13">
      <c r="A3528" s="454"/>
      <c r="B3528" s="454"/>
      <c r="C3528" s="481" t="s">
        <v>1032</v>
      </c>
      <c r="D3528" s="414">
        <f t="shared" ref="D3528:L3528" si="825">D3527*0.01</f>
        <v>221.32495012000001</v>
      </c>
      <c r="E3528" s="414">
        <f t="shared" si="825"/>
        <v>228.21065012</v>
      </c>
      <c r="F3528" s="414">
        <f t="shared" si="825"/>
        <v>235.09645011999999</v>
      </c>
      <c r="G3528" s="414">
        <f t="shared" si="825"/>
        <v>241.98215011999997</v>
      </c>
      <c r="H3528" s="414">
        <f t="shared" si="825"/>
        <v>248.86795011999996</v>
      </c>
      <c r="I3528" s="414">
        <f t="shared" si="825"/>
        <v>255.75365012</v>
      </c>
      <c r="J3528" s="638">
        <f t="shared" si="825"/>
        <v>262.63945011999999</v>
      </c>
      <c r="K3528" s="636">
        <f t="shared" si="825"/>
        <v>269.52515011999998</v>
      </c>
      <c r="L3528" s="636">
        <f t="shared" si="825"/>
        <v>276.41095012</v>
      </c>
    </row>
    <row r="3529" spans="1:12" s="554" customFormat="1" ht="13">
      <c r="A3529" s="454"/>
      <c r="B3529" s="454"/>
      <c r="C3529" s="522" t="s">
        <v>726</v>
      </c>
      <c r="D3529" s="416">
        <f t="shared" ref="D3529:L3529" si="826">ROUND(D3528,0)</f>
        <v>221</v>
      </c>
      <c r="E3529" s="416">
        <f t="shared" si="826"/>
        <v>228</v>
      </c>
      <c r="F3529" s="416">
        <f t="shared" si="826"/>
        <v>235</v>
      </c>
      <c r="G3529" s="416">
        <f t="shared" si="826"/>
        <v>242</v>
      </c>
      <c r="H3529" s="416">
        <f t="shared" si="826"/>
        <v>249</v>
      </c>
      <c r="I3529" s="416">
        <f t="shared" si="826"/>
        <v>256</v>
      </c>
      <c r="J3529" s="533">
        <f t="shared" si="826"/>
        <v>263</v>
      </c>
      <c r="K3529" s="534">
        <f t="shared" si="826"/>
        <v>270</v>
      </c>
      <c r="L3529" s="534">
        <f t="shared" si="826"/>
        <v>276</v>
      </c>
    </row>
    <row r="3530" spans="1:12" ht="13">
      <c r="A3530" s="454"/>
      <c r="B3530" s="454"/>
      <c r="C3530" s="433"/>
      <c r="D3530" s="408"/>
      <c r="E3530" s="454"/>
      <c r="F3530" s="408"/>
      <c r="G3530" s="430"/>
      <c r="H3530" s="454"/>
      <c r="I3530" s="409"/>
      <c r="J3530" s="400"/>
      <c r="K3530" s="401"/>
      <c r="L3530" s="401"/>
    </row>
    <row r="3531" spans="1:12" ht="94.75" customHeight="1">
      <c r="A3531" s="454"/>
      <c r="B3531" s="454" t="s">
        <v>727</v>
      </c>
      <c r="C3531" s="1276" t="s">
        <v>1290</v>
      </c>
      <c r="D3531" s="1276"/>
      <c r="E3531" s="1276"/>
      <c r="F3531" s="1276"/>
      <c r="G3531" s="1276"/>
      <c r="H3531" s="1276"/>
      <c r="I3531" s="407"/>
      <c r="J3531" s="400"/>
      <c r="K3531" s="401"/>
      <c r="L3531" s="401"/>
    </row>
    <row r="3532" spans="1:12" s="554" customFormat="1" ht="13">
      <c r="A3532" s="454"/>
      <c r="B3532" s="454"/>
      <c r="C3532" s="481" t="s">
        <v>953</v>
      </c>
      <c r="D3532" s="414" t="s">
        <v>959</v>
      </c>
      <c r="E3532" s="416" t="s">
        <v>943</v>
      </c>
      <c r="F3532" s="415" t="s">
        <v>944</v>
      </c>
      <c r="G3532" s="414" t="s">
        <v>1036</v>
      </c>
      <c r="H3532" s="414" t="s">
        <v>1037</v>
      </c>
      <c r="I3532" s="414" t="s">
        <v>1038</v>
      </c>
      <c r="J3532" s="638" t="s">
        <v>1118</v>
      </c>
      <c r="K3532" s="636" t="s">
        <v>1119</v>
      </c>
      <c r="L3532" s="636" t="s">
        <v>1120</v>
      </c>
    </row>
    <row r="3533" spans="1:12">
      <c r="A3533" s="454"/>
      <c r="B3533" s="454"/>
      <c r="C3533" s="417" t="s">
        <v>1064</v>
      </c>
      <c r="D3533" s="408">
        <f t="shared" ref="D3533:L3533" si="827">$I$3519</f>
        <v>19480.255011999998</v>
      </c>
      <c r="E3533" s="408">
        <f t="shared" si="827"/>
        <v>19480.255011999998</v>
      </c>
      <c r="F3533" s="408">
        <f t="shared" si="827"/>
        <v>19480.255011999998</v>
      </c>
      <c r="G3533" s="408">
        <f t="shared" si="827"/>
        <v>19480.255011999998</v>
      </c>
      <c r="H3533" s="408">
        <f t="shared" si="827"/>
        <v>19480.255011999998</v>
      </c>
      <c r="I3533" s="408">
        <f t="shared" si="827"/>
        <v>19480.255011999998</v>
      </c>
      <c r="J3533" s="575">
        <f t="shared" si="827"/>
        <v>19480.255011999998</v>
      </c>
      <c r="K3533" s="644">
        <f t="shared" si="827"/>
        <v>19480.255011999998</v>
      </c>
      <c r="L3533" s="644">
        <f t="shared" si="827"/>
        <v>19480.255011999998</v>
      </c>
    </row>
    <row r="3534" spans="1:12">
      <c r="A3534" s="454"/>
      <c r="B3534" s="454"/>
      <c r="C3534" s="417" t="s">
        <v>994</v>
      </c>
      <c r="D3534" s="408">
        <v>0</v>
      </c>
      <c r="E3534" s="408">
        <f>ROUND($F$3517*10%,2)</f>
        <v>432.9</v>
      </c>
      <c r="F3534" s="408">
        <f>ROUND($F$3517*20%,2)</f>
        <v>865.8</v>
      </c>
      <c r="G3534" s="408">
        <f>ROUND($F$3517*30%,2)</f>
        <v>1298.7</v>
      </c>
      <c r="H3534" s="408">
        <f>ROUND($F$3517*40%,2)</f>
        <v>1731.6</v>
      </c>
      <c r="I3534" s="408">
        <f>ROUND($F$3517*50%,2)</f>
        <v>2164.5</v>
      </c>
      <c r="J3534" s="575">
        <f>ROUND($F$3517*60%,2)</f>
        <v>2597.4</v>
      </c>
      <c r="K3534" s="644">
        <f>ROUND($F$3517*70%,2)</f>
        <v>3030.3</v>
      </c>
      <c r="L3534" s="644">
        <f>ROUND($F$3517*80%,2)</f>
        <v>3463.2</v>
      </c>
    </row>
    <row r="3535" spans="1:12">
      <c r="A3535" s="454"/>
      <c r="B3535" s="454"/>
      <c r="C3535" s="417" t="str">
        <f>[161]Input!$C$47</f>
        <v>Add for MA @ 40%</v>
      </c>
      <c r="D3535" s="408">
        <f>D3534*[161]Input!$D$47</f>
        <v>0</v>
      </c>
      <c r="E3535" s="408">
        <f>E3534*[161]Input!$D$47</f>
        <v>173.16</v>
      </c>
      <c r="F3535" s="408">
        <f>F3534*[161]Input!$D$47</f>
        <v>346.32</v>
      </c>
      <c r="G3535" s="408">
        <f>G3534*[161]Input!$D$47</f>
        <v>519.48</v>
      </c>
      <c r="H3535" s="408">
        <f>H3534*[161]Input!$D$47</f>
        <v>692.64</v>
      </c>
      <c r="I3535" s="408">
        <f>I3534*[161]Input!$D$47</f>
        <v>865.80000000000007</v>
      </c>
      <c r="J3535" s="575">
        <f>J3534*[161]Input!$D$47</f>
        <v>1038.96</v>
      </c>
      <c r="K3535" s="644">
        <f>K3534*[161]Input!$D$47</f>
        <v>1212.1200000000001</v>
      </c>
      <c r="L3535" s="644">
        <f>L3534*[161]Input!$D$47</f>
        <v>1385.28</v>
      </c>
    </row>
    <row r="3536" spans="1:12" s="554" customFormat="1">
      <c r="A3536" s="454"/>
      <c r="B3536" s="454"/>
      <c r="C3536" s="710"/>
      <c r="D3536" s="408">
        <f t="shared" ref="D3536:L3536" si="828">SUM(D3533:D3535)</f>
        <v>19480.255011999998</v>
      </c>
      <c r="E3536" s="408">
        <f t="shared" si="828"/>
        <v>20086.315011999999</v>
      </c>
      <c r="F3536" s="408">
        <f t="shared" si="828"/>
        <v>20692.375011999997</v>
      </c>
      <c r="G3536" s="408">
        <f t="shared" si="828"/>
        <v>21298.435011999998</v>
      </c>
      <c r="H3536" s="408">
        <f t="shared" si="828"/>
        <v>21904.495011999996</v>
      </c>
      <c r="I3536" s="408">
        <f t="shared" si="828"/>
        <v>22510.555011999997</v>
      </c>
      <c r="J3536" s="645">
        <f t="shared" si="828"/>
        <v>23116.615011999998</v>
      </c>
      <c r="K3536" s="646">
        <f t="shared" si="828"/>
        <v>23722.675011999996</v>
      </c>
      <c r="L3536" s="646">
        <f t="shared" si="828"/>
        <v>24328.735011999997</v>
      </c>
    </row>
    <row r="3537" spans="1:12" ht="25">
      <c r="A3537" s="454"/>
      <c r="B3537" s="454"/>
      <c r="C3537" s="417" t="str">
        <f>[161]Input!$C$48</f>
        <v>Overheads &amp; Contractors Profit @ 13.615%</v>
      </c>
      <c r="D3537" s="408">
        <f>ROUND(D3536*[161]Input!$D$48,2)</f>
        <v>2652.24</v>
      </c>
      <c r="E3537" s="408">
        <f>ROUND(E3536*[161]Input!$D$48,2)</f>
        <v>2734.75</v>
      </c>
      <c r="F3537" s="408">
        <f>ROUND(F3536*[161]Input!$D$48,2)</f>
        <v>2817.27</v>
      </c>
      <c r="G3537" s="408">
        <f>ROUND(G3536*[161]Input!$D$48,2)</f>
        <v>2899.78</v>
      </c>
      <c r="H3537" s="408">
        <f>ROUND(H3536*[161]Input!$D$48,2)</f>
        <v>2982.3</v>
      </c>
      <c r="I3537" s="408">
        <f>ROUND(I3536*[161]Input!$D$48,2)</f>
        <v>3064.81</v>
      </c>
      <c r="J3537" s="575">
        <f>ROUND(J3536*[161]Input!$D$48,2)</f>
        <v>3147.33</v>
      </c>
      <c r="K3537" s="644">
        <f>ROUND(K3536*[161]Input!$D$48,2)</f>
        <v>3229.84</v>
      </c>
      <c r="L3537" s="644">
        <f>ROUND(L3536*[161]Input!$D$48,2)</f>
        <v>3312.36</v>
      </c>
    </row>
    <row r="3538" spans="1:12" s="554" customFormat="1" ht="13">
      <c r="A3538" s="454"/>
      <c r="B3538" s="454"/>
      <c r="C3538" s="481" t="s">
        <v>1047</v>
      </c>
      <c r="D3538" s="414">
        <f t="shared" ref="D3538:L3538" si="829">SUM(D3536:D3537)</f>
        <v>22132.495011999999</v>
      </c>
      <c r="E3538" s="414">
        <f t="shared" si="829"/>
        <v>22821.065011999999</v>
      </c>
      <c r="F3538" s="414">
        <f t="shared" si="829"/>
        <v>23509.645011999997</v>
      </c>
      <c r="G3538" s="414">
        <f t="shared" si="829"/>
        <v>24198.215011999997</v>
      </c>
      <c r="H3538" s="414">
        <f t="shared" si="829"/>
        <v>24886.795011999995</v>
      </c>
      <c r="I3538" s="414">
        <f t="shared" si="829"/>
        <v>25575.365011999998</v>
      </c>
      <c r="J3538" s="638">
        <f t="shared" si="829"/>
        <v>26263.945011999996</v>
      </c>
      <c r="K3538" s="636">
        <f t="shared" si="829"/>
        <v>26952.515011999996</v>
      </c>
      <c r="L3538" s="636">
        <f t="shared" si="829"/>
        <v>27641.095011999998</v>
      </c>
    </row>
    <row r="3539" spans="1:12" s="554" customFormat="1" ht="13">
      <c r="A3539" s="454"/>
      <c r="B3539" s="454"/>
      <c r="C3539" s="481" t="s">
        <v>845</v>
      </c>
      <c r="D3539" s="414">
        <f t="shared" ref="D3539:L3539" si="830">D3538/10</f>
        <v>2213.2495011999999</v>
      </c>
      <c r="E3539" s="414">
        <f t="shared" si="830"/>
        <v>2282.1065011999999</v>
      </c>
      <c r="F3539" s="414">
        <f t="shared" si="830"/>
        <v>2350.9645011999996</v>
      </c>
      <c r="G3539" s="414">
        <f t="shared" si="830"/>
        <v>2419.8215011999996</v>
      </c>
      <c r="H3539" s="414">
        <f t="shared" si="830"/>
        <v>2488.6795011999993</v>
      </c>
      <c r="I3539" s="414">
        <f t="shared" si="830"/>
        <v>2557.5365011999997</v>
      </c>
      <c r="J3539" s="638">
        <f t="shared" si="830"/>
        <v>2626.3945011999995</v>
      </c>
      <c r="K3539" s="636">
        <f t="shared" si="830"/>
        <v>2695.2515011999994</v>
      </c>
      <c r="L3539" s="636">
        <f t="shared" si="830"/>
        <v>2764.1095011999996</v>
      </c>
    </row>
    <row r="3540" spans="1:12" s="554" customFormat="1" ht="13">
      <c r="A3540" s="454"/>
      <c r="B3540" s="454"/>
      <c r="C3540" s="522" t="s">
        <v>726</v>
      </c>
      <c r="D3540" s="416">
        <f t="shared" ref="D3540:L3540" si="831">ROUND(D3539,0)</f>
        <v>2213</v>
      </c>
      <c r="E3540" s="416">
        <f t="shared" si="831"/>
        <v>2282</v>
      </c>
      <c r="F3540" s="416">
        <f t="shared" si="831"/>
        <v>2351</v>
      </c>
      <c r="G3540" s="416">
        <f t="shared" si="831"/>
        <v>2420</v>
      </c>
      <c r="H3540" s="416">
        <f t="shared" si="831"/>
        <v>2489</v>
      </c>
      <c r="I3540" s="416">
        <f t="shared" si="831"/>
        <v>2558</v>
      </c>
      <c r="J3540" s="533">
        <f t="shared" si="831"/>
        <v>2626</v>
      </c>
      <c r="K3540" s="534">
        <f t="shared" si="831"/>
        <v>2695</v>
      </c>
      <c r="L3540" s="534">
        <f t="shared" si="831"/>
        <v>2764</v>
      </c>
    </row>
    <row r="3541" spans="1:12" ht="13">
      <c r="A3541" s="454"/>
      <c r="B3541" s="454"/>
      <c r="C3541" s="469"/>
      <c r="D3541" s="408"/>
      <c r="E3541" s="408"/>
      <c r="F3541" s="408"/>
      <c r="G3541" s="426"/>
      <c r="H3541" s="415"/>
      <c r="I3541" s="414"/>
      <c r="J3541" s="400"/>
      <c r="K3541" s="401"/>
      <c r="L3541" s="401"/>
    </row>
    <row r="3542" spans="1:12" ht="83.65" customHeight="1">
      <c r="A3542" s="454">
        <f>A3504+1</f>
        <v>14</v>
      </c>
      <c r="B3542" s="415" t="s">
        <v>720</v>
      </c>
      <c r="C3542" s="1276" t="s">
        <v>1291</v>
      </c>
      <c r="D3542" s="1276"/>
      <c r="E3542" s="1276"/>
      <c r="F3542" s="1276"/>
      <c r="G3542" s="1276"/>
      <c r="H3542" s="1276"/>
      <c r="I3542" s="407"/>
      <c r="J3542" s="400"/>
      <c r="K3542" s="401"/>
      <c r="L3542" s="401"/>
    </row>
    <row r="3543" spans="1:12" ht="13">
      <c r="A3543" s="454"/>
      <c r="B3543" s="454"/>
      <c r="C3543" s="455" t="s">
        <v>1292</v>
      </c>
      <c r="D3543" s="408"/>
      <c r="E3543" s="408"/>
      <c r="F3543" s="408"/>
      <c r="G3543" s="430"/>
      <c r="H3543" s="415"/>
      <c r="I3543" s="414"/>
      <c r="J3543" s="400"/>
      <c r="K3543" s="401"/>
      <c r="L3543" s="401"/>
    </row>
    <row r="3544" spans="1:12" ht="13">
      <c r="A3544" s="454"/>
      <c r="B3544" s="454"/>
      <c r="C3544" s="417" t="s">
        <v>1259</v>
      </c>
      <c r="D3544" s="408"/>
      <c r="E3544" s="408"/>
      <c r="F3544" s="408"/>
      <c r="G3544" s="430"/>
      <c r="H3544" s="415"/>
      <c r="I3544" s="414"/>
      <c r="J3544" s="400"/>
      <c r="K3544" s="401"/>
      <c r="L3544" s="401"/>
    </row>
    <row r="3545" spans="1:12" ht="13">
      <c r="A3545" s="454"/>
      <c r="B3545" s="454"/>
      <c r="C3545" s="427" t="s">
        <v>873</v>
      </c>
      <c r="D3545" s="408"/>
      <c r="E3545" s="408"/>
      <c r="F3545" s="408"/>
      <c r="G3545" s="430"/>
      <c r="H3545" s="415"/>
      <c r="I3545" s="414"/>
      <c r="J3545" s="400"/>
      <c r="K3545" s="401"/>
      <c r="L3545" s="401"/>
    </row>
    <row r="3546" spans="1:12">
      <c r="A3546" s="454"/>
      <c r="B3546" s="454"/>
      <c r="C3546" s="417" t="s">
        <v>1273</v>
      </c>
      <c r="D3546" s="408">
        <v>10.5</v>
      </c>
      <c r="E3546" s="408" t="s">
        <v>17</v>
      </c>
      <c r="F3546" s="408">
        <f>[161]LEAD!$N$28</f>
        <v>3030</v>
      </c>
      <c r="G3546" s="430">
        <v>1</v>
      </c>
      <c r="H3546" s="454" t="s">
        <v>17</v>
      </c>
      <c r="I3546" s="408">
        <f t="shared" ref="I3546:I3552" si="832">IF(G3546="",D3546*F3546,(D3546*F3546/G3546))</f>
        <v>31815</v>
      </c>
      <c r="J3546" s="400"/>
      <c r="K3546" s="401"/>
      <c r="L3546" s="401"/>
    </row>
    <row r="3547" spans="1:12">
      <c r="A3547" s="454"/>
      <c r="B3547" s="454"/>
      <c r="C3547" s="417" t="s">
        <v>1261</v>
      </c>
      <c r="D3547" s="408">
        <v>0.12</v>
      </c>
      <c r="E3547" s="408" t="s">
        <v>666</v>
      </c>
      <c r="F3547" s="408">
        <f>[161]LEAD!$N$13</f>
        <v>2453.91</v>
      </c>
      <c r="G3547" s="430">
        <v>1</v>
      </c>
      <c r="H3547" s="454" t="s">
        <v>666</v>
      </c>
      <c r="I3547" s="408">
        <f t="shared" si="832"/>
        <v>294.46919999999994</v>
      </c>
      <c r="J3547" s="400"/>
      <c r="K3547" s="401"/>
      <c r="L3547" s="401"/>
    </row>
    <row r="3548" spans="1:12">
      <c r="A3548" s="454"/>
      <c r="B3548" s="454"/>
      <c r="C3548" s="417" t="s">
        <v>1262</v>
      </c>
      <c r="D3548" s="408">
        <v>34.56</v>
      </c>
      <c r="E3548" s="408" t="s">
        <v>833</v>
      </c>
      <c r="F3548" s="408">
        <f>[161]LEAD!$N$6</f>
        <v>5200</v>
      </c>
      <c r="G3548" s="430">
        <v>1000</v>
      </c>
      <c r="H3548" s="454" t="s">
        <v>833</v>
      </c>
      <c r="I3548" s="408">
        <f t="shared" si="832"/>
        <v>179.71199999999999</v>
      </c>
      <c r="J3548" s="400"/>
      <c r="K3548" s="401"/>
      <c r="L3548" s="401"/>
    </row>
    <row r="3549" spans="1:12">
      <c r="A3549" s="454"/>
      <c r="B3549" s="454"/>
      <c r="C3549" s="417" t="s">
        <v>1171</v>
      </c>
      <c r="D3549" s="408">
        <v>33</v>
      </c>
      <c r="E3549" s="408" t="s">
        <v>833</v>
      </c>
      <c r="F3549" s="408">
        <f>[161]LEAD!$N$6</f>
        <v>5200</v>
      </c>
      <c r="G3549" s="430">
        <v>1000</v>
      </c>
      <c r="H3549" s="454" t="s">
        <v>833</v>
      </c>
      <c r="I3549" s="408">
        <f t="shared" si="832"/>
        <v>171.6</v>
      </c>
      <c r="J3549" s="400"/>
      <c r="K3549" s="401"/>
      <c r="L3549" s="401"/>
    </row>
    <row r="3550" spans="1:12">
      <c r="A3550" s="454"/>
      <c r="B3550" s="454"/>
      <c r="C3550" s="417" t="s">
        <v>1283</v>
      </c>
      <c r="D3550" s="408">
        <v>5</v>
      </c>
      <c r="E3550" s="408" t="s">
        <v>833</v>
      </c>
      <c r="F3550" s="408">
        <f>'[161]Civil-SOR'!$G$185</f>
        <v>34</v>
      </c>
      <c r="G3550" s="430">
        <v>1</v>
      </c>
      <c r="H3550" s="454" t="s">
        <v>312</v>
      </c>
      <c r="I3550" s="408">
        <f t="shared" si="832"/>
        <v>170</v>
      </c>
      <c r="J3550" s="400"/>
      <c r="K3550" s="401"/>
      <c r="L3550" s="401"/>
    </row>
    <row r="3551" spans="1:12">
      <c r="A3551" s="454"/>
      <c r="B3551" s="454"/>
      <c r="C3551" s="417" t="s">
        <v>1233</v>
      </c>
      <c r="D3551" s="408">
        <v>66.67</v>
      </c>
      <c r="E3551" s="408" t="s">
        <v>1052</v>
      </c>
      <c r="F3551" s="408">
        <f>'[161]Civil-SOR'!$G$200</f>
        <v>24</v>
      </c>
      <c r="G3551" s="430">
        <v>1</v>
      </c>
      <c r="H3551" s="454" t="s">
        <v>1052</v>
      </c>
      <c r="I3551" s="408">
        <f t="shared" si="832"/>
        <v>1600.08</v>
      </c>
      <c r="J3551" s="400"/>
      <c r="K3551" s="401"/>
      <c r="L3551" s="401"/>
    </row>
    <row r="3552" spans="1:12">
      <c r="A3552" s="454"/>
      <c r="B3552" s="454"/>
      <c r="C3552" s="469" t="str">
        <f>[161]Input!$C$47</f>
        <v>Add for MA @ 40%</v>
      </c>
      <c r="D3552" s="621">
        <f>[161]Input!$D$47</f>
        <v>0.4</v>
      </c>
      <c r="E3552" s="454"/>
      <c r="F3552" s="408">
        <f>I3551*40%</f>
        <v>640.03200000000004</v>
      </c>
      <c r="G3552" s="410"/>
      <c r="H3552" s="426"/>
      <c r="I3552" s="408">
        <f t="shared" si="832"/>
        <v>256.01280000000003</v>
      </c>
      <c r="J3552" s="400"/>
      <c r="K3552" s="401"/>
      <c r="L3552" s="401"/>
    </row>
    <row r="3553" spans="1:12" ht="13">
      <c r="A3553" s="454"/>
      <c r="B3553" s="454"/>
      <c r="C3553" s="427" t="s">
        <v>1263</v>
      </c>
      <c r="D3553" s="408"/>
      <c r="E3553" s="408"/>
      <c r="F3553" s="408"/>
      <c r="G3553" s="430"/>
      <c r="H3553" s="415"/>
      <c r="I3553" s="414"/>
      <c r="J3553" s="400"/>
      <c r="K3553" s="401"/>
      <c r="L3553" s="401"/>
    </row>
    <row r="3554" spans="1:12">
      <c r="A3554" s="454"/>
      <c r="B3554" s="454"/>
      <c r="C3554" s="417" t="s">
        <v>1044</v>
      </c>
      <c r="D3554" s="408">
        <v>2.1</v>
      </c>
      <c r="E3554" s="408" t="s">
        <v>375</v>
      </c>
      <c r="F3554" s="408">
        <f>'[161]Civil-SOR'!$G$293</f>
        <v>580</v>
      </c>
      <c r="G3554" s="430">
        <v>1</v>
      </c>
      <c r="H3554" s="454" t="s">
        <v>572</v>
      </c>
      <c r="I3554" s="408">
        <f t="shared" ref="I3554:I3558" si="833">IF(G3554="",D3554*F3554,(D3554*F3554/G3554))</f>
        <v>1218</v>
      </c>
      <c r="J3554" s="400"/>
      <c r="K3554" s="401"/>
      <c r="L3554" s="401"/>
    </row>
    <row r="3555" spans="1:12">
      <c r="A3555" s="454"/>
      <c r="B3555" s="454"/>
      <c r="C3555" s="417" t="s">
        <v>1074</v>
      </c>
      <c r="D3555" s="408">
        <v>4.9000000000000004</v>
      </c>
      <c r="E3555" s="408" t="s">
        <v>375</v>
      </c>
      <c r="F3555" s="408">
        <f>+F3556</f>
        <v>520</v>
      </c>
      <c r="G3555" s="430">
        <v>1</v>
      </c>
      <c r="H3555" s="454" t="s">
        <v>572</v>
      </c>
      <c r="I3555" s="408">
        <f t="shared" si="833"/>
        <v>2548</v>
      </c>
      <c r="J3555" s="400"/>
      <c r="K3555" s="401"/>
      <c r="L3555" s="401"/>
    </row>
    <row r="3556" spans="1:12">
      <c r="A3556" s="454"/>
      <c r="B3556" s="454"/>
      <c r="C3556" s="417" t="s">
        <v>1276</v>
      </c>
      <c r="D3556" s="408">
        <v>0.8</v>
      </c>
      <c r="E3556" s="408" t="s">
        <v>375</v>
      </c>
      <c r="F3556" s="408">
        <f>'[161]Civil-SOR'!$G$307</f>
        <v>520</v>
      </c>
      <c r="G3556" s="430">
        <v>1</v>
      </c>
      <c r="H3556" s="454" t="s">
        <v>572</v>
      </c>
      <c r="I3556" s="408">
        <f t="shared" si="833"/>
        <v>416</v>
      </c>
      <c r="J3556" s="400"/>
      <c r="K3556" s="401"/>
      <c r="L3556" s="401"/>
    </row>
    <row r="3557" spans="1:12">
      <c r="A3557" s="454"/>
      <c r="B3557" s="454"/>
      <c r="C3557" s="469" t="str">
        <f>[161]Input!$C$47</f>
        <v>Add for MA @ 40%</v>
      </c>
      <c r="D3557" s="621">
        <f>[161]Input!$D$47</f>
        <v>0.4</v>
      </c>
      <c r="E3557" s="454"/>
      <c r="F3557" s="408">
        <f>SUM(I3554:I3556)</f>
        <v>4182</v>
      </c>
      <c r="G3557" s="410"/>
      <c r="H3557" s="426"/>
      <c r="I3557" s="408">
        <f t="shared" si="833"/>
        <v>1672.8000000000002</v>
      </c>
      <c r="J3557" s="400"/>
      <c r="K3557" s="401"/>
      <c r="L3557" s="401"/>
    </row>
    <row r="3558" spans="1:12">
      <c r="A3558" s="454"/>
      <c r="B3558" s="454"/>
      <c r="C3558" s="483" t="s">
        <v>1046</v>
      </c>
      <c r="D3558" s="408">
        <v>0.01</v>
      </c>
      <c r="E3558" s="408"/>
      <c r="F3558" s="408">
        <f>SUM(I3546:I3557)</f>
        <v>40341.673999999999</v>
      </c>
      <c r="G3558" s="430"/>
      <c r="H3558" s="454"/>
      <c r="I3558" s="408">
        <f t="shared" si="833"/>
        <v>403.41674</v>
      </c>
      <c r="J3558" s="400"/>
      <c r="K3558" s="401"/>
      <c r="L3558" s="401"/>
    </row>
    <row r="3559" spans="1:12" ht="13">
      <c r="A3559" s="454"/>
      <c r="B3559" s="454"/>
      <c r="C3559" s="433" t="s">
        <v>1175</v>
      </c>
      <c r="D3559" s="408"/>
      <c r="E3559" s="454"/>
      <c r="F3559" s="408"/>
      <c r="G3559" s="408"/>
      <c r="H3559" s="454"/>
      <c r="I3559" s="434">
        <f>SUM(I3546:I3558)</f>
        <v>40745.09074</v>
      </c>
      <c r="J3559" s="400"/>
      <c r="K3559" s="401"/>
      <c r="L3559" s="401"/>
    </row>
    <row r="3560" spans="1:12" s="711" customFormat="1" ht="13">
      <c r="A3560" s="454"/>
      <c r="B3560" s="454"/>
      <c r="C3560" s="469"/>
      <c r="D3560" s="408"/>
      <c r="E3560" s="408"/>
      <c r="F3560" s="408"/>
      <c r="G3560" s="426"/>
      <c r="H3560" s="415"/>
      <c r="I3560" s="414"/>
      <c r="J3560" s="400"/>
      <c r="K3560" s="401"/>
      <c r="L3560" s="401"/>
    </row>
    <row r="3561" spans="1:12" s="711" customFormat="1" ht="13">
      <c r="A3561" s="454"/>
      <c r="B3561" s="454"/>
      <c r="C3561" s="427" t="s">
        <v>953</v>
      </c>
      <c r="D3561" s="414" t="s">
        <v>959</v>
      </c>
      <c r="E3561" s="416" t="s">
        <v>943</v>
      </c>
      <c r="F3561" s="415" t="s">
        <v>944</v>
      </c>
      <c r="G3561" s="414" t="s">
        <v>1036</v>
      </c>
      <c r="H3561" s="414" t="s">
        <v>1037</v>
      </c>
      <c r="I3561" s="416" t="s">
        <v>947</v>
      </c>
      <c r="J3561" s="648" t="s">
        <v>948</v>
      </c>
      <c r="K3561" s="631" t="s">
        <v>1119</v>
      </c>
      <c r="L3561" s="631" t="s">
        <v>1120</v>
      </c>
    </row>
    <row r="3562" spans="1:12" s="711" customFormat="1">
      <c r="A3562" s="454"/>
      <c r="B3562" s="454"/>
      <c r="C3562" s="417" t="s">
        <v>1064</v>
      </c>
      <c r="D3562" s="408">
        <f t="shared" ref="D3562:L3562" si="834">$I$3559</f>
        <v>40745.09074</v>
      </c>
      <c r="E3562" s="408">
        <f t="shared" si="834"/>
        <v>40745.09074</v>
      </c>
      <c r="F3562" s="408">
        <f t="shared" si="834"/>
        <v>40745.09074</v>
      </c>
      <c r="G3562" s="408">
        <f t="shared" si="834"/>
        <v>40745.09074</v>
      </c>
      <c r="H3562" s="408">
        <f t="shared" si="834"/>
        <v>40745.09074</v>
      </c>
      <c r="I3562" s="408">
        <f t="shared" si="834"/>
        <v>40745.09074</v>
      </c>
      <c r="J3562" s="575">
        <f t="shared" si="834"/>
        <v>40745.09074</v>
      </c>
      <c r="K3562" s="644">
        <f t="shared" si="834"/>
        <v>40745.09074</v>
      </c>
      <c r="L3562" s="644">
        <f t="shared" si="834"/>
        <v>40745.09074</v>
      </c>
    </row>
    <row r="3563" spans="1:12" s="711" customFormat="1">
      <c r="A3563" s="454"/>
      <c r="B3563" s="454"/>
      <c r="C3563" s="417" t="s">
        <v>994</v>
      </c>
      <c r="D3563" s="408">
        <v>0</v>
      </c>
      <c r="E3563" s="408">
        <f>ROUND($F$3557*10%,2)</f>
        <v>418.2</v>
      </c>
      <c r="F3563" s="408">
        <f>ROUND($F$3557*20%,2)</f>
        <v>836.4</v>
      </c>
      <c r="G3563" s="408">
        <f>ROUND($F$3557*30%,2)</f>
        <v>1254.5999999999999</v>
      </c>
      <c r="H3563" s="408">
        <f>ROUND($F$3557*40%,2)</f>
        <v>1672.8</v>
      </c>
      <c r="I3563" s="408">
        <f>ROUND($F$3557*50%,2)</f>
        <v>2091</v>
      </c>
      <c r="J3563" s="575">
        <f>ROUND($F$3557*60%,2)</f>
        <v>2509.1999999999998</v>
      </c>
      <c r="K3563" s="644">
        <f>ROUND($F$3557*70%,2)</f>
        <v>2927.4</v>
      </c>
      <c r="L3563" s="644">
        <f>ROUND($F$3557*80%,2)</f>
        <v>3345.6</v>
      </c>
    </row>
    <row r="3564" spans="1:12" s="711" customFormat="1">
      <c r="A3564" s="454"/>
      <c r="B3564" s="454"/>
      <c r="C3564" s="417" t="str">
        <f>[161]Input!$C$47</f>
        <v>Add for MA @ 40%</v>
      </c>
      <c r="D3564" s="408">
        <f>D3563*[161]Input!$D$47</f>
        <v>0</v>
      </c>
      <c r="E3564" s="408">
        <f>E3563*[161]Input!$D$47</f>
        <v>167.28</v>
      </c>
      <c r="F3564" s="408">
        <f>F3563*[161]Input!$D$47</f>
        <v>334.56</v>
      </c>
      <c r="G3564" s="408">
        <f>G3563*[161]Input!$D$47</f>
        <v>501.84</v>
      </c>
      <c r="H3564" s="408">
        <f>H3563*[161]Input!$D$47</f>
        <v>669.12</v>
      </c>
      <c r="I3564" s="408">
        <f>I3563*[161]Input!$D$47</f>
        <v>836.40000000000009</v>
      </c>
      <c r="J3564" s="575">
        <f>J3563*[161]Input!$D$47</f>
        <v>1003.68</v>
      </c>
      <c r="K3564" s="644">
        <f>K3563*[161]Input!$D$47</f>
        <v>1170.96</v>
      </c>
      <c r="L3564" s="644">
        <f>L3563*[161]Input!$D$47</f>
        <v>1338.24</v>
      </c>
    </row>
    <row r="3565" spans="1:12" s="711" customFormat="1">
      <c r="A3565" s="454"/>
      <c r="B3565" s="454"/>
      <c r="C3565" s="469"/>
      <c r="D3565" s="408">
        <f t="shared" ref="D3565:L3565" si="835">SUM(D3562:D3564)</f>
        <v>40745.09074</v>
      </c>
      <c r="E3565" s="408">
        <f t="shared" si="835"/>
        <v>41330.570739999996</v>
      </c>
      <c r="F3565" s="408">
        <f t="shared" si="835"/>
        <v>41916.050739999999</v>
      </c>
      <c r="G3565" s="408">
        <f t="shared" si="835"/>
        <v>42501.530739999995</v>
      </c>
      <c r="H3565" s="408">
        <f t="shared" si="835"/>
        <v>43087.010740000005</v>
      </c>
      <c r="I3565" s="408">
        <f t="shared" si="835"/>
        <v>43672.490740000001</v>
      </c>
      <c r="J3565" s="645">
        <f t="shared" si="835"/>
        <v>44257.970739999997</v>
      </c>
      <c r="K3565" s="646">
        <f t="shared" si="835"/>
        <v>44843.45074</v>
      </c>
      <c r="L3565" s="646">
        <f t="shared" si="835"/>
        <v>45428.930739999996</v>
      </c>
    </row>
    <row r="3566" spans="1:12" s="711" customFormat="1" ht="25">
      <c r="A3566" s="454"/>
      <c r="B3566" s="454"/>
      <c r="C3566" s="417" t="str">
        <f>[161]Input!$C$48</f>
        <v>Overheads &amp; Contractors Profit @ 13.615%</v>
      </c>
      <c r="D3566" s="408">
        <f>ROUND(D3565*[161]Input!$D$48,2)</f>
        <v>5547.44</v>
      </c>
      <c r="E3566" s="408">
        <f>ROUND(E3565*[161]Input!$D$48,2)</f>
        <v>5627.16</v>
      </c>
      <c r="F3566" s="408">
        <f>ROUND(F3565*[161]Input!$D$48,2)</f>
        <v>5706.87</v>
      </c>
      <c r="G3566" s="408">
        <f>ROUND(G3565*[161]Input!$D$48,2)</f>
        <v>5786.58</v>
      </c>
      <c r="H3566" s="408">
        <f>ROUND(H3565*[161]Input!$D$48,2)</f>
        <v>5866.3</v>
      </c>
      <c r="I3566" s="408">
        <f>ROUND(I3565*[161]Input!$D$48,2)</f>
        <v>5946.01</v>
      </c>
      <c r="J3566" s="575">
        <f>ROUND(J3565*[161]Input!$D$48,2)</f>
        <v>6025.72</v>
      </c>
      <c r="K3566" s="644">
        <f>ROUND(K3565*[161]Input!$D$48,2)</f>
        <v>6105.44</v>
      </c>
      <c r="L3566" s="644">
        <f>ROUND(L3565*[161]Input!$D$48,2)</f>
        <v>6185.15</v>
      </c>
    </row>
    <row r="3567" spans="1:12" s="711" customFormat="1" ht="13">
      <c r="A3567" s="454"/>
      <c r="B3567" s="454"/>
      <c r="C3567" s="427" t="s">
        <v>1047</v>
      </c>
      <c r="D3567" s="414">
        <f t="shared" ref="D3567:L3567" si="836">SUM(D3565:D3566)</f>
        <v>46292.530740000002</v>
      </c>
      <c r="E3567" s="414">
        <f t="shared" si="836"/>
        <v>46957.730739999999</v>
      </c>
      <c r="F3567" s="414">
        <f t="shared" si="836"/>
        <v>47622.920740000001</v>
      </c>
      <c r="G3567" s="414">
        <f t="shared" si="836"/>
        <v>48288.110739999996</v>
      </c>
      <c r="H3567" s="414">
        <f t="shared" si="836"/>
        <v>48953.310740000008</v>
      </c>
      <c r="I3567" s="414">
        <f t="shared" si="836"/>
        <v>49618.500740000003</v>
      </c>
      <c r="J3567" s="657">
        <f t="shared" si="836"/>
        <v>50283.690739999998</v>
      </c>
      <c r="K3567" s="631">
        <f t="shared" si="836"/>
        <v>50948.890740000003</v>
      </c>
      <c r="L3567" s="631">
        <f t="shared" si="836"/>
        <v>51614.080739999998</v>
      </c>
    </row>
    <row r="3568" spans="1:12" s="711" customFormat="1" ht="13">
      <c r="A3568" s="454"/>
      <c r="B3568" s="454"/>
      <c r="C3568" s="427" t="s">
        <v>1032</v>
      </c>
      <c r="D3568" s="414">
        <f t="shared" ref="D3568:L3568" si="837">D3567*0.015</f>
        <v>694.38796109999998</v>
      </c>
      <c r="E3568" s="414">
        <f t="shared" si="837"/>
        <v>704.36596109999994</v>
      </c>
      <c r="F3568" s="414">
        <f t="shared" si="837"/>
        <v>714.34381110000004</v>
      </c>
      <c r="G3568" s="414">
        <f t="shared" si="837"/>
        <v>724.32166109999991</v>
      </c>
      <c r="H3568" s="414">
        <f t="shared" si="837"/>
        <v>734.29966110000009</v>
      </c>
      <c r="I3568" s="414">
        <f t="shared" si="837"/>
        <v>744.27751109999997</v>
      </c>
      <c r="J3568" s="657">
        <f t="shared" si="837"/>
        <v>754.25536109999996</v>
      </c>
      <c r="K3568" s="631">
        <f t="shared" si="837"/>
        <v>764.23336110000002</v>
      </c>
      <c r="L3568" s="631">
        <f t="shared" si="837"/>
        <v>774.2112110999999</v>
      </c>
    </row>
    <row r="3569" spans="1:12" s="711" customFormat="1" ht="13">
      <c r="A3569" s="454"/>
      <c r="B3569" s="454"/>
      <c r="C3569" s="522" t="s">
        <v>726</v>
      </c>
      <c r="D3569" s="416">
        <f t="shared" ref="D3569:L3569" si="838">ROUND(D3568,0)</f>
        <v>694</v>
      </c>
      <c r="E3569" s="416">
        <f t="shared" si="838"/>
        <v>704</v>
      </c>
      <c r="F3569" s="416">
        <f t="shared" si="838"/>
        <v>714</v>
      </c>
      <c r="G3569" s="416">
        <f t="shared" si="838"/>
        <v>724</v>
      </c>
      <c r="H3569" s="416">
        <f t="shared" si="838"/>
        <v>734</v>
      </c>
      <c r="I3569" s="416">
        <f t="shared" si="838"/>
        <v>744</v>
      </c>
      <c r="J3569" s="529">
        <f t="shared" si="838"/>
        <v>754</v>
      </c>
      <c r="K3569" s="530">
        <f t="shared" si="838"/>
        <v>764</v>
      </c>
      <c r="L3569" s="530">
        <f t="shared" si="838"/>
        <v>774</v>
      </c>
    </row>
    <row r="3570" spans="1:12" s="711" customFormat="1" ht="13">
      <c r="A3570" s="454"/>
      <c r="B3570" s="454"/>
      <c r="C3570" s="469"/>
      <c r="D3570" s="408"/>
      <c r="E3570" s="408"/>
      <c r="F3570" s="408"/>
      <c r="G3570" s="426"/>
      <c r="H3570" s="415"/>
      <c r="I3570" s="414"/>
      <c r="J3570" s="400"/>
      <c r="K3570" s="401"/>
      <c r="L3570" s="401"/>
    </row>
    <row r="3571" spans="1:12" s="711" customFormat="1" ht="13">
      <c r="A3571" s="454"/>
      <c r="B3571" s="454"/>
      <c r="C3571" s="427" t="s">
        <v>953</v>
      </c>
      <c r="D3571" s="415" t="s">
        <v>948</v>
      </c>
      <c r="E3571" s="414" t="s">
        <v>1119</v>
      </c>
      <c r="F3571" s="414" t="s">
        <v>1120</v>
      </c>
      <c r="G3571" s="426"/>
      <c r="H3571" s="415"/>
      <c r="I3571" s="414"/>
      <c r="J3571" s="400"/>
      <c r="K3571" s="401"/>
      <c r="L3571" s="401"/>
    </row>
    <row r="3572" spans="1:12" s="711" customFormat="1" ht="13">
      <c r="A3572" s="454"/>
      <c r="B3572" s="454"/>
      <c r="C3572" s="417" t="s">
        <v>1064</v>
      </c>
      <c r="D3572" s="408">
        <f>$I$3559</f>
        <v>40745.09074</v>
      </c>
      <c r="E3572" s="408">
        <f>$I$3559</f>
        <v>40745.09074</v>
      </c>
      <c r="F3572" s="408">
        <f>$I$3559</f>
        <v>40745.09074</v>
      </c>
      <c r="G3572" s="426"/>
      <c r="H3572" s="415"/>
      <c r="I3572" s="414"/>
      <c r="J3572" s="400"/>
      <c r="K3572" s="401"/>
      <c r="L3572" s="401"/>
    </row>
    <row r="3573" spans="1:12" s="711" customFormat="1" ht="13">
      <c r="A3573" s="454"/>
      <c r="B3573" s="454"/>
      <c r="C3573" s="417" t="s">
        <v>994</v>
      </c>
      <c r="D3573" s="408">
        <f>ROUND($F$3557*60%,2)</f>
        <v>2509.1999999999998</v>
      </c>
      <c r="E3573" s="408">
        <f>ROUND($F$3557*70%,2)</f>
        <v>2927.4</v>
      </c>
      <c r="F3573" s="408">
        <f>ROUND($F$3557*80%,2)</f>
        <v>3345.6</v>
      </c>
      <c r="G3573" s="426"/>
      <c r="H3573" s="415"/>
      <c r="I3573" s="414"/>
      <c r="J3573" s="400"/>
      <c r="K3573" s="401"/>
      <c r="L3573" s="401"/>
    </row>
    <row r="3574" spans="1:12" s="711" customFormat="1" ht="13">
      <c r="A3574" s="454"/>
      <c r="B3574" s="454"/>
      <c r="C3574" s="417" t="str">
        <f>[161]Input!$C$47</f>
        <v>Add for MA @ 40%</v>
      </c>
      <c r="D3574" s="408">
        <f>D3573*[161]Input!$D$47</f>
        <v>1003.68</v>
      </c>
      <c r="E3574" s="408">
        <f>E3573*[161]Input!$D$47</f>
        <v>1170.96</v>
      </c>
      <c r="F3574" s="408">
        <f>F3573*[161]Input!$D$47</f>
        <v>1338.24</v>
      </c>
      <c r="G3574" s="426"/>
      <c r="H3574" s="415"/>
      <c r="I3574" s="414"/>
      <c r="J3574" s="400"/>
      <c r="K3574" s="401"/>
      <c r="L3574" s="401"/>
    </row>
    <row r="3575" spans="1:12" s="711" customFormat="1" ht="13">
      <c r="A3575" s="454"/>
      <c r="B3575" s="454"/>
      <c r="C3575" s="435"/>
      <c r="D3575" s="408">
        <f>SUM(D3572:D3574)</f>
        <v>44257.970739999997</v>
      </c>
      <c r="E3575" s="408">
        <f>SUM(E3572:E3574)</f>
        <v>44843.45074</v>
      </c>
      <c r="F3575" s="408">
        <f>SUM(F3572:F3574)</f>
        <v>45428.930739999996</v>
      </c>
      <c r="G3575" s="426"/>
      <c r="H3575" s="415"/>
      <c r="I3575" s="414"/>
      <c r="J3575" s="400"/>
      <c r="K3575" s="401"/>
      <c r="L3575" s="401"/>
    </row>
    <row r="3576" spans="1:12" s="711" customFormat="1" ht="25">
      <c r="A3576" s="454"/>
      <c r="B3576" s="454"/>
      <c r="C3576" s="417" t="str">
        <f>[161]Input!$C$48</f>
        <v>Overheads &amp; Contractors Profit @ 13.615%</v>
      </c>
      <c r="D3576" s="408">
        <f>ROUND(D3575*[161]Input!$D$48,2)</f>
        <v>6025.72</v>
      </c>
      <c r="E3576" s="408">
        <f>ROUND(E3575*[161]Input!$D$48,2)</f>
        <v>6105.44</v>
      </c>
      <c r="F3576" s="408">
        <f>ROUND(F3575*[161]Input!$D$48,2)</f>
        <v>6185.15</v>
      </c>
      <c r="G3576" s="426"/>
      <c r="H3576" s="415"/>
      <c r="I3576" s="414"/>
      <c r="J3576" s="400"/>
      <c r="K3576" s="401"/>
      <c r="L3576" s="401"/>
    </row>
    <row r="3577" spans="1:12" s="711" customFormat="1" ht="13">
      <c r="A3577" s="454"/>
      <c r="B3577" s="454"/>
      <c r="C3577" s="427" t="s">
        <v>1047</v>
      </c>
      <c r="D3577" s="414">
        <f>SUM(D3575:D3576)</f>
        <v>50283.690739999998</v>
      </c>
      <c r="E3577" s="414">
        <f>SUM(E3575:E3576)</f>
        <v>50948.890740000003</v>
      </c>
      <c r="F3577" s="414">
        <f>SUM(F3575:F3576)</f>
        <v>51614.080739999998</v>
      </c>
      <c r="G3577" s="426"/>
      <c r="H3577" s="415"/>
      <c r="I3577" s="414"/>
      <c r="J3577" s="400"/>
      <c r="K3577" s="401"/>
      <c r="L3577" s="401"/>
    </row>
    <row r="3578" spans="1:12" s="711" customFormat="1" ht="13">
      <c r="A3578" s="454"/>
      <c r="B3578" s="454"/>
      <c r="C3578" s="427" t="s">
        <v>1032</v>
      </c>
      <c r="D3578" s="414">
        <f>D3577*0.015</f>
        <v>754.25536109999996</v>
      </c>
      <c r="E3578" s="414">
        <f>E3577*0.015</f>
        <v>764.23336110000002</v>
      </c>
      <c r="F3578" s="414">
        <f>F3577*0.015</f>
        <v>774.2112110999999</v>
      </c>
      <c r="G3578" s="426"/>
      <c r="H3578" s="415"/>
      <c r="I3578" s="414"/>
      <c r="J3578" s="400"/>
      <c r="K3578" s="401"/>
      <c r="L3578" s="401"/>
    </row>
    <row r="3579" spans="1:12" s="711" customFormat="1" ht="13">
      <c r="A3579" s="454"/>
      <c r="B3579" s="454"/>
      <c r="C3579" s="514" t="s">
        <v>726</v>
      </c>
      <c r="D3579" s="416">
        <f>ROUND(D3578,0)</f>
        <v>754</v>
      </c>
      <c r="E3579" s="416">
        <f>ROUND(E3578,0)</f>
        <v>764</v>
      </c>
      <c r="F3579" s="416">
        <f>ROUND(F3578,0)</f>
        <v>774</v>
      </c>
      <c r="G3579" s="426"/>
      <c r="H3579" s="415"/>
      <c r="I3579" s="414"/>
      <c r="J3579" s="400"/>
      <c r="K3579" s="401"/>
      <c r="L3579" s="401"/>
    </row>
    <row r="3580" spans="1:12" s="711" customFormat="1" ht="13">
      <c r="A3580" s="454"/>
      <c r="B3580" s="454"/>
      <c r="C3580" s="469"/>
      <c r="D3580" s="408"/>
      <c r="E3580" s="408"/>
      <c r="F3580" s="408"/>
      <c r="G3580" s="426"/>
      <c r="H3580" s="415"/>
      <c r="I3580" s="414"/>
      <c r="J3580" s="400"/>
      <c r="K3580" s="401"/>
      <c r="L3580" s="401"/>
    </row>
    <row r="3581" spans="1:12" s="711" customFormat="1" ht="105.25" customHeight="1">
      <c r="A3581" s="426">
        <v>10</v>
      </c>
      <c r="B3581" s="415"/>
      <c r="C3581" s="1276" t="s">
        <v>1293</v>
      </c>
      <c r="D3581" s="1276"/>
      <c r="E3581" s="1276"/>
      <c r="F3581" s="1276"/>
      <c r="G3581" s="1276"/>
      <c r="H3581" s="1276"/>
      <c r="I3581" s="407"/>
      <c r="J3581" s="641"/>
      <c r="K3581" s="401"/>
      <c r="L3581" s="401"/>
    </row>
    <row r="3582" spans="1:12" s="711" customFormat="1" ht="13">
      <c r="A3582" s="454"/>
      <c r="B3582" s="454"/>
      <c r="C3582" s="455" t="s">
        <v>1292</v>
      </c>
      <c r="D3582" s="408"/>
      <c r="E3582" s="408"/>
      <c r="F3582" s="408"/>
      <c r="G3582" s="430"/>
      <c r="H3582" s="415"/>
      <c r="I3582" s="414"/>
      <c r="J3582" s="712"/>
      <c r="K3582" s="401"/>
      <c r="L3582" s="401"/>
    </row>
    <row r="3583" spans="1:12" s="711" customFormat="1" ht="13">
      <c r="A3583" s="454"/>
      <c r="B3583" s="454"/>
      <c r="C3583" s="417" t="s">
        <v>1259</v>
      </c>
      <c r="D3583" s="408"/>
      <c r="E3583" s="408"/>
      <c r="F3583" s="408"/>
      <c r="G3583" s="430"/>
      <c r="H3583" s="415"/>
      <c r="I3583" s="414"/>
      <c r="J3583" s="400"/>
      <c r="K3583" s="401"/>
      <c r="L3583" s="401"/>
    </row>
    <row r="3584" spans="1:12" s="711" customFormat="1" ht="13">
      <c r="A3584" s="454"/>
      <c r="B3584" s="454"/>
      <c r="C3584" s="427" t="s">
        <v>873</v>
      </c>
      <c r="D3584" s="408"/>
      <c r="E3584" s="408"/>
      <c r="F3584" s="408"/>
      <c r="G3584" s="430"/>
      <c r="H3584" s="415"/>
      <c r="I3584" s="414"/>
      <c r="J3584" s="400"/>
      <c r="K3584" s="401"/>
      <c r="L3584" s="401"/>
    </row>
    <row r="3585" spans="1:12" s="711" customFormat="1">
      <c r="A3585" s="454"/>
      <c r="B3585" s="454"/>
      <c r="C3585" s="417" t="s">
        <v>1273</v>
      </c>
      <c r="D3585" s="408">
        <v>10.5</v>
      </c>
      <c r="E3585" s="408" t="s">
        <v>17</v>
      </c>
      <c r="F3585" s="408">
        <f>[161]LEAD!$N$28</f>
        <v>3030</v>
      </c>
      <c r="G3585" s="430">
        <v>1</v>
      </c>
      <c r="H3585" s="454" t="s">
        <v>17</v>
      </c>
      <c r="I3585" s="408">
        <f t="shared" ref="I3585:I3589" si="839">IF(G3585="",D3585*F3585,(D3585*F3585/G3585))</f>
        <v>31815</v>
      </c>
      <c r="J3585" s="400"/>
      <c r="K3585" s="401"/>
      <c r="L3585" s="401"/>
    </row>
    <row r="3586" spans="1:12" s="711" customFormat="1">
      <c r="A3586" s="454"/>
      <c r="B3586" s="454"/>
      <c r="C3586" s="417" t="s">
        <v>1261</v>
      </c>
      <c r="D3586" s="408">
        <v>0.12</v>
      </c>
      <c r="E3586" s="408" t="s">
        <v>666</v>
      </c>
      <c r="F3586" s="408">
        <f>[161]LEAD!$N$13</f>
        <v>2453.91</v>
      </c>
      <c r="G3586" s="430">
        <v>1</v>
      </c>
      <c r="H3586" s="454" t="s">
        <v>666</v>
      </c>
      <c r="I3586" s="408">
        <f t="shared" si="839"/>
        <v>294.46919999999994</v>
      </c>
      <c r="J3586" s="400"/>
      <c r="K3586" s="401"/>
      <c r="L3586" s="401"/>
    </row>
    <row r="3587" spans="1:12" s="711" customFormat="1">
      <c r="A3587" s="454"/>
      <c r="B3587" s="454"/>
      <c r="C3587" s="417" t="s">
        <v>1262</v>
      </c>
      <c r="D3587" s="408">
        <v>34.56</v>
      </c>
      <c r="E3587" s="408" t="s">
        <v>833</v>
      </c>
      <c r="F3587" s="408">
        <f>[161]LEAD!$N$6</f>
        <v>5200</v>
      </c>
      <c r="G3587" s="430">
        <v>1000</v>
      </c>
      <c r="H3587" s="454" t="s">
        <v>833</v>
      </c>
      <c r="I3587" s="408">
        <f t="shared" si="839"/>
        <v>179.71199999999999</v>
      </c>
      <c r="J3587" s="400"/>
      <c r="K3587" s="401"/>
      <c r="L3587" s="401"/>
    </row>
    <row r="3588" spans="1:12" s="711" customFormat="1">
      <c r="A3588" s="454"/>
      <c r="B3588" s="454"/>
      <c r="C3588" s="417" t="s">
        <v>1171</v>
      </c>
      <c r="D3588" s="408">
        <v>33</v>
      </c>
      <c r="E3588" s="408" t="s">
        <v>833</v>
      </c>
      <c r="F3588" s="408">
        <f>[161]LEAD!$N$6</f>
        <v>5200</v>
      </c>
      <c r="G3588" s="430">
        <v>1000</v>
      </c>
      <c r="H3588" s="454" t="s">
        <v>833</v>
      </c>
      <c r="I3588" s="408">
        <f t="shared" si="839"/>
        <v>171.6</v>
      </c>
      <c r="J3588" s="400"/>
      <c r="K3588" s="401"/>
      <c r="L3588" s="401"/>
    </row>
    <row r="3589" spans="1:12" s="711" customFormat="1">
      <c r="A3589" s="454"/>
      <c r="B3589" s="454"/>
      <c r="C3589" s="417" t="s">
        <v>1283</v>
      </c>
      <c r="D3589" s="408">
        <v>5</v>
      </c>
      <c r="E3589" s="408" t="s">
        <v>833</v>
      </c>
      <c r="F3589" s="408">
        <f>'[161]Civil-SOR'!$G$185</f>
        <v>34</v>
      </c>
      <c r="G3589" s="430">
        <v>1</v>
      </c>
      <c r="H3589" s="454" t="s">
        <v>312</v>
      </c>
      <c r="I3589" s="408">
        <f t="shared" si="839"/>
        <v>170</v>
      </c>
      <c r="J3589" s="400"/>
      <c r="K3589" s="401"/>
      <c r="L3589" s="401"/>
    </row>
    <row r="3590" spans="1:12" s="711" customFormat="1" ht="13">
      <c r="A3590" s="454"/>
      <c r="B3590" s="454"/>
      <c r="C3590" s="427" t="s">
        <v>1263</v>
      </c>
      <c r="D3590" s="408"/>
      <c r="E3590" s="408"/>
      <c r="F3590" s="408"/>
      <c r="G3590" s="430"/>
      <c r="H3590" s="415"/>
      <c r="I3590" s="414"/>
      <c r="J3590" s="400"/>
      <c r="K3590" s="401"/>
      <c r="L3590" s="401"/>
    </row>
    <row r="3591" spans="1:12" s="711" customFormat="1">
      <c r="A3591" s="454"/>
      <c r="B3591" s="454"/>
      <c r="C3591" s="417" t="s">
        <v>1044</v>
      </c>
      <c r="D3591" s="408">
        <v>2.1</v>
      </c>
      <c r="E3591" s="408" t="s">
        <v>375</v>
      </c>
      <c r="F3591" s="408">
        <f>'[161]Civil-SOR'!$G$293</f>
        <v>580</v>
      </c>
      <c r="G3591" s="430">
        <v>1</v>
      </c>
      <c r="H3591" s="454" t="s">
        <v>572</v>
      </c>
      <c r="I3591" s="408">
        <f t="shared" ref="I3591:I3595" si="840">IF(G3591="",D3591*F3591,(D3591*F3591/G3591))</f>
        <v>1218</v>
      </c>
      <c r="J3591" s="400"/>
      <c r="K3591" s="401"/>
      <c r="L3591" s="401"/>
    </row>
    <row r="3592" spans="1:12" s="711" customFormat="1">
      <c r="A3592" s="454"/>
      <c r="B3592" s="454"/>
      <c r="C3592" s="417" t="s">
        <v>1074</v>
      </c>
      <c r="D3592" s="408">
        <v>4.9000000000000004</v>
      </c>
      <c r="E3592" s="408" t="s">
        <v>375</v>
      </c>
      <c r="F3592" s="408">
        <f>+F3593</f>
        <v>520</v>
      </c>
      <c r="G3592" s="430">
        <v>1</v>
      </c>
      <c r="H3592" s="454" t="s">
        <v>572</v>
      </c>
      <c r="I3592" s="408">
        <f t="shared" si="840"/>
        <v>2548</v>
      </c>
      <c r="J3592" s="400"/>
      <c r="K3592" s="401"/>
      <c r="L3592" s="401"/>
    </row>
    <row r="3593" spans="1:12" s="711" customFormat="1">
      <c r="A3593" s="454"/>
      <c r="B3593" s="454"/>
      <c r="C3593" s="417" t="s">
        <v>1276</v>
      </c>
      <c r="D3593" s="408">
        <v>0.8</v>
      </c>
      <c r="E3593" s="408" t="s">
        <v>375</v>
      </c>
      <c r="F3593" s="408">
        <f>'[161]Civil-SOR'!$G$307</f>
        <v>520</v>
      </c>
      <c r="G3593" s="430">
        <v>1</v>
      </c>
      <c r="H3593" s="454" t="s">
        <v>572</v>
      </c>
      <c r="I3593" s="408">
        <f t="shared" si="840"/>
        <v>416</v>
      </c>
      <c r="J3593" s="400"/>
      <c r="K3593" s="401"/>
      <c r="L3593" s="401"/>
    </row>
    <row r="3594" spans="1:12" s="711" customFormat="1">
      <c r="A3594" s="454"/>
      <c r="B3594" s="454"/>
      <c r="C3594" s="469" t="str">
        <f>[161]Input!$C$47</f>
        <v>Add for MA @ 40%</v>
      </c>
      <c r="D3594" s="621">
        <f>[161]Input!$D$47</f>
        <v>0.4</v>
      </c>
      <c r="E3594" s="454"/>
      <c r="F3594" s="408">
        <f>SUM(I3591:I3593)</f>
        <v>4182</v>
      </c>
      <c r="G3594" s="410"/>
      <c r="H3594" s="426"/>
      <c r="I3594" s="408">
        <f t="shared" si="840"/>
        <v>1672.8000000000002</v>
      </c>
      <c r="J3594" s="400"/>
      <c r="K3594" s="401"/>
      <c r="L3594" s="401"/>
    </row>
    <row r="3595" spans="1:12" s="711" customFormat="1">
      <c r="A3595" s="454"/>
      <c r="B3595" s="454"/>
      <c r="C3595" s="483" t="s">
        <v>1046</v>
      </c>
      <c r="D3595" s="408">
        <v>0.01</v>
      </c>
      <c r="E3595" s="408"/>
      <c r="F3595" s="408">
        <f>SUM(I3585:I3594)</f>
        <v>38485.581200000001</v>
      </c>
      <c r="G3595" s="430"/>
      <c r="H3595" s="454"/>
      <c r="I3595" s="408">
        <f t="shared" si="840"/>
        <v>384.85581200000001</v>
      </c>
      <c r="J3595" s="400"/>
      <c r="K3595" s="401"/>
      <c r="L3595" s="401"/>
    </row>
    <row r="3596" spans="1:12" s="713" customFormat="1" ht="13">
      <c r="A3596" s="454"/>
      <c r="B3596" s="454"/>
      <c r="C3596" s="481" t="s">
        <v>1175</v>
      </c>
      <c r="D3596" s="408"/>
      <c r="E3596" s="454"/>
      <c r="F3596" s="408"/>
      <c r="G3596" s="430"/>
      <c r="H3596" s="454"/>
      <c r="I3596" s="434">
        <f>SUM(I3585:I3595)</f>
        <v>38870.437012000002</v>
      </c>
      <c r="J3596" s="411"/>
      <c r="K3596" s="412"/>
      <c r="L3596" s="412"/>
    </row>
    <row r="3597" spans="1:12" ht="13">
      <c r="A3597" s="454"/>
      <c r="B3597" s="454"/>
      <c r="C3597" s="433"/>
      <c r="D3597" s="408"/>
      <c r="E3597" s="454"/>
      <c r="F3597" s="408"/>
      <c r="G3597" s="430"/>
      <c r="H3597" s="454"/>
      <c r="I3597" s="434"/>
      <c r="J3597" s="400"/>
      <c r="K3597" s="401"/>
      <c r="L3597" s="401"/>
    </row>
    <row r="3598" spans="1:12" s="713" customFormat="1" ht="13">
      <c r="A3598" s="454"/>
      <c r="B3598" s="454"/>
      <c r="C3598" s="481" t="s">
        <v>953</v>
      </c>
      <c r="D3598" s="414" t="s">
        <v>959</v>
      </c>
      <c r="E3598" s="416" t="s">
        <v>943</v>
      </c>
      <c r="F3598" s="415" t="s">
        <v>944</v>
      </c>
      <c r="G3598" s="414" t="s">
        <v>1036</v>
      </c>
      <c r="H3598" s="414" t="s">
        <v>1037</v>
      </c>
      <c r="I3598" s="414" t="s">
        <v>1038</v>
      </c>
      <c r="J3598" s="638" t="s">
        <v>1118</v>
      </c>
      <c r="K3598" s="636" t="s">
        <v>1119</v>
      </c>
      <c r="L3598" s="636" t="s">
        <v>1120</v>
      </c>
    </row>
    <row r="3599" spans="1:12" s="711" customFormat="1">
      <c r="A3599" s="454"/>
      <c r="B3599" s="454"/>
      <c r="C3599" s="417" t="s">
        <v>1064</v>
      </c>
      <c r="D3599" s="408">
        <f t="shared" ref="D3599:L3599" si="841">$I$3596</f>
        <v>38870.437012000002</v>
      </c>
      <c r="E3599" s="408">
        <f t="shared" si="841"/>
        <v>38870.437012000002</v>
      </c>
      <c r="F3599" s="408">
        <f t="shared" si="841"/>
        <v>38870.437012000002</v>
      </c>
      <c r="G3599" s="408">
        <f t="shared" si="841"/>
        <v>38870.437012000002</v>
      </c>
      <c r="H3599" s="408">
        <f t="shared" si="841"/>
        <v>38870.437012000002</v>
      </c>
      <c r="I3599" s="408">
        <f t="shared" si="841"/>
        <v>38870.437012000002</v>
      </c>
      <c r="J3599" s="575">
        <f t="shared" si="841"/>
        <v>38870.437012000002</v>
      </c>
      <c r="K3599" s="644">
        <f t="shared" si="841"/>
        <v>38870.437012000002</v>
      </c>
      <c r="L3599" s="644">
        <f t="shared" si="841"/>
        <v>38870.437012000002</v>
      </c>
    </row>
    <row r="3600" spans="1:12" s="711" customFormat="1">
      <c r="A3600" s="454"/>
      <c r="B3600" s="454"/>
      <c r="C3600" s="417" t="s">
        <v>994</v>
      </c>
      <c r="D3600" s="408">
        <v>0</v>
      </c>
      <c r="E3600" s="408">
        <f>ROUND($F$3557*10%,2)</f>
        <v>418.2</v>
      </c>
      <c r="F3600" s="408">
        <f>ROUND($F$3557*20%,2)</f>
        <v>836.4</v>
      </c>
      <c r="G3600" s="408">
        <f>ROUND($F$3557*30%,2)</f>
        <v>1254.5999999999999</v>
      </c>
      <c r="H3600" s="408">
        <f>ROUND($F$3557*40%,2)</f>
        <v>1672.8</v>
      </c>
      <c r="I3600" s="408">
        <f>ROUND($F$3557*50%,2)</f>
        <v>2091</v>
      </c>
      <c r="J3600" s="575">
        <f>ROUND($F$3557*60%,2)</f>
        <v>2509.1999999999998</v>
      </c>
      <c r="K3600" s="644">
        <f>ROUND($F$3557*70%,2)</f>
        <v>2927.4</v>
      </c>
      <c r="L3600" s="644">
        <f>ROUND($F$3557*80%,2)</f>
        <v>3345.6</v>
      </c>
    </row>
    <row r="3601" spans="1:12" s="711" customFormat="1">
      <c r="A3601" s="454"/>
      <c r="B3601" s="454"/>
      <c r="C3601" s="417" t="str">
        <f>[161]Input!$C$47</f>
        <v>Add for MA @ 40%</v>
      </c>
      <c r="D3601" s="408">
        <f>D3600*[161]Input!$D$47</f>
        <v>0</v>
      </c>
      <c r="E3601" s="408">
        <f>E3600*[161]Input!$D$47</f>
        <v>167.28</v>
      </c>
      <c r="F3601" s="408">
        <f>F3600*[161]Input!$D$47</f>
        <v>334.56</v>
      </c>
      <c r="G3601" s="408">
        <f>G3600*[161]Input!$D$47</f>
        <v>501.84</v>
      </c>
      <c r="H3601" s="408">
        <f>H3600*[161]Input!$D$47</f>
        <v>669.12</v>
      </c>
      <c r="I3601" s="408">
        <f>I3600*[161]Input!$D$47</f>
        <v>836.40000000000009</v>
      </c>
      <c r="J3601" s="575">
        <f>J3600*[161]Input!$D$47</f>
        <v>1003.68</v>
      </c>
      <c r="K3601" s="644">
        <f>K3600*[161]Input!$D$47</f>
        <v>1170.96</v>
      </c>
      <c r="L3601" s="644">
        <f>L3600*[161]Input!$D$47</f>
        <v>1338.24</v>
      </c>
    </row>
    <row r="3602" spans="1:12" s="711" customFormat="1">
      <c r="A3602" s="454"/>
      <c r="B3602" s="454"/>
      <c r="C3602" s="469"/>
      <c r="D3602" s="408">
        <f t="shared" ref="D3602:L3602" si="842">SUM(D3599:D3601)</f>
        <v>38870.437012000002</v>
      </c>
      <c r="E3602" s="408">
        <f t="shared" si="842"/>
        <v>39455.917011999998</v>
      </c>
      <c r="F3602" s="408">
        <f t="shared" si="842"/>
        <v>40041.397012000001</v>
      </c>
      <c r="G3602" s="408">
        <f t="shared" si="842"/>
        <v>40626.877011999997</v>
      </c>
      <c r="H3602" s="408">
        <f t="shared" si="842"/>
        <v>41212.357012000008</v>
      </c>
      <c r="I3602" s="408">
        <f t="shared" si="842"/>
        <v>41797.837012000004</v>
      </c>
      <c r="J3602" s="575">
        <f t="shared" si="842"/>
        <v>42383.317012</v>
      </c>
      <c r="K3602" s="644">
        <f t="shared" si="842"/>
        <v>42968.797012000003</v>
      </c>
      <c r="L3602" s="644">
        <f t="shared" si="842"/>
        <v>43554.277011999999</v>
      </c>
    </row>
    <row r="3603" spans="1:12" s="711" customFormat="1" ht="25">
      <c r="A3603" s="454"/>
      <c r="B3603" s="454"/>
      <c r="C3603" s="417" t="str">
        <f>[161]Input!$C$48</f>
        <v>Overheads &amp; Contractors Profit @ 13.615%</v>
      </c>
      <c r="D3603" s="408">
        <f>ROUND(D3602*[161]Input!$D$48,2)</f>
        <v>5292.21</v>
      </c>
      <c r="E3603" s="408">
        <f>ROUND(E3602*[161]Input!$D$48,2)</f>
        <v>5371.92</v>
      </c>
      <c r="F3603" s="408">
        <f>ROUND(F3602*[161]Input!$D$48,2)</f>
        <v>5451.64</v>
      </c>
      <c r="G3603" s="408">
        <f>ROUND(G3602*[161]Input!$D$48,2)</f>
        <v>5531.35</v>
      </c>
      <c r="H3603" s="408">
        <f>ROUND(H3602*[161]Input!$D$48,2)</f>
        <v>5611.06</v>
      </c>
      <c r="I3603" s="408">
        <f>ROUND(I3602*[161]Input!$D$48,2)</f>
        <v>5690.78</v>
      </c>
      <c r="J3603" s="575">
        <f>ROUND(J3602*[161]Input!$D$48,2)</f>
        <v>5770.49</v>
      </c>
      <c r="K3603" s="644">
        <f>ROUND(K3602*[161]Input!$D$48,2)</f>
        <v>5850.2</v>
      </c>
      <c r="L3603" s="644">
        <f>ROUND(L3602*[161]Input!$D$48,2)</f>
        <v>5929.91</v>
      </c>
    </row>
    <row r="3604" spans="1:12" s="711" customFormat="1">
      <c r="A3604" s="454"/>
      <c r="B3604" s="454"/>
      <c r="C3604" s="417" t="s">
        <v>1047</v>
      </c>
      <c r="D3604" s="408">
        <f t="shared" ref="D3604:L3604" si="843">SUM(D3602:D3603)</f>
        <v>44162.647012000001</v>
      </c>
      <c r="E3604" s="408">
        <f t="shared" si="843"/>
        <v>44827.837011999996</v>
      </c>
      <c r="F3604" s="408">
        <f t="shared" si="843"/>
        <v>45493.037012000001</v>
      </c>
      <c r="G3604" s="408">
        <f t="shared" si="843"/>
        <v>46158.227011999996</v>
      </c>
      <c r="H3604" s="408">
        <f t="shared" si="843"/>
        <v>46823.417012000005</v>
      </c>
      <c r="I3604" s="408">
        <f t="shared" si="843"/>
        <v>47488.617012000002</v>
      </c>
      <c r="J3604" s="575">
        <f t="shared" si="843"/>
        <v>48153.807011999997</v>
      </c>
      <c r="K3604" s="644">
        <f t="shared" si="843"/>
        <v>48818.997012</v>
      </c>
      <c r="L3604" s="644">
        <f t="shared" si="843"/>
        <v>49484.187011999995</v>
      </c>
    </row>
    <row r="3605" spans="1:12" s="711" customFormat="1" ht="13">
      <c r="A3605" s="454"/>
      <c r="B3605" s="454"/>
      <c r="C3605" s="427" t="s">
        <v>845</v>
      </c>
      <c r="D3605" s="414">
        <f t="shared" ref="D3605:L3605" si="844">D3604/10</f>
        <v>4416.2647011999998</v>
      </c>
      <c r="E3605" s="414">
        <f t="shared" si="844"/>
        <v>4482.7837012</v>
      </c>
      <c r="F3605" s="414">
        <f t="shared" si="844"/>
        <v>4549.3037012000004</v>
      </c>
      <c r="G3605" s="414">
        <f t="shared" si="844"/>
        <v>4615.8227011999998</v>
      </c>
      <c r="H3605" s="414">
        <f t="shared" si="844"/>
        <v>4682.3417012000009</v>
      </c>
      <c r="I3605" s="414">
        <f t="shared" si="844"/>
        <v>4748.8617012000004</v>
      </c>
      <c r="J3605" s="657">
        <f t="shared" si="844"/>
        <v>4815.3807011999997</v>
      </c>
      <c r="K3605" s="631">
        <f t="shared" si="844"/>
        <v>4881.8997012</v>
      </c>
      <c r="L3605" s="631">
        <f t="shared" si="844"/>
        <v>4948.4187011999993</v>
      </c>
    </row>
    <row r="3606" spans="1:12" s="713" customFormat="1" ht="13">
      <c r="A3606" s="454"/>
      <c r="B3606" s="454"/>
      <c r="C3606" s="522" t="s">
        <v>726</v>
      </c>
      <c r="D3606" s="416">
        <f t="shared" ref="D3606:L3606" si="845">ROUND(D3605,0)</f>
        <v>4416</v>
      </c>
      <c r="E3606" s="416">
        <f t="shared" si="845"/>
        <v>4483</v>
      </c>
      <c r="F3606" s="416">
        <f t="shared" si="845"/>
        <v>4549</v>
      </c>
      <c r="G3606" s="416">
        <f t="shared" si="845"/>
        <v>4616</v>
      </c>
      <c r="H3606" s="416">
        <f t="shared" si="845"/>
        <v>4682</v>
      </c>
      <c r="I3606" s="416">
        <f t="shared" si="845"/>
        <v>4749</v>
      </c>
      <c r="J3606" s="533">
        <f t="shared" si="845"/>
        <v>4815</v>
      </c>
      <c r="K3606" s="534">
        <f t="shared" si="845"/>
        <v>4882</v>
      </c>
      <c r="L3606" s="534">
        <f t="shared" si="845"/>
        <v>4948</v>
      </c>
    </row>
    <row r="3607" spans="1:12" ht="13">
      <c r="A3607" s="454"/>
      <c r="B3607" s="454"/>
      <c r="C3607" s="427"/>
      <c r="D3607" s="416"/>
      <c r="E3607" s="416"/>
      <c r="F3607" s="416"/>
      <c r="G3607" s="416"/>
      <c r="H3607" s="416"/>
      <c r="I3607" s="414"/>
      <c r="J3607" s="400"/>
      <c r="K3607" s="401"/>
      <c r="L3607" s="401"/>
    </row>
    <row r="3608" spans="1:12" ht="13">
      <c r="A3608" s="454"/>
      <c r="B3608" s="454"/>
      <c r="C3608" s="427" t="s">
        <v>953</v>
      </c>
      <c r="D3608" s="414" t="s">
        <v>1118</v>
      </c>
      <c r="E3608" s="414" t="s">
        <v>1119</v>
      </c>
      <c r="F3608" s="414" t="s">
        <v>1120</v>
      </c>
      <c r="G3608" s="416"/>
      <c r="H3608" s="416"/>
      <c r="I3608" s="414"/>
      <c r="J3608" s="400"/>
      <c r="K3608" s="401"/>
      <c r="L3608" s="401"/>
    </row>
    <row r="3609" spans="1:12" ht="13">
      <c r="A3609" s="454"/>
      <c r="B3609" s="454"/>
      <c r="C3609" s="417" t="s">
        <v>1064</v>
      </c>
      <c r="D3609" s="408">
        <f>$I$3596</f>
        <v>38870.437012000002</v>
      </c>
      <c r="E3609" s="408">
        <f>$I$3596</f>
        <v>38870.437012000002</v>
      </c>
      <c r="F3609" s="408">
        <f>$I$3596</f>
        <v>38870.437012000002</v>
      </c>
      <c r="G3609" s="416"/>
      <c r="H3609" s="416"/>
      <c r="I3609" s="414"/>
      <c r="J3609" s="400"/>
      <c r="K3609" s="401"/>
      <c r="L3609" s="401"/>
    </row>
    <row r="3610" spans="1:12" ht="13">
      <c r="A3610" s="454"/>
      <c r="B3610" s="454"/>
      <c r="C3610" s="417" t="s">
        <v>994</v>
      </c>
      <c r="D3610" s="408">
        <f>ROUND($F$3557*60%,2)</f>
        <v>2509.1999999999998</v>
      </c>
      <c r="E3610" s="408">
        <f>ROUND($F$3557*70%,2)</f>
        <v>2927.4</v>
      </c>
      <c r="F3610" s="408">
        <f>ROUND($F$3557*80%,2)</f>
        <v>3345.6</v>
      </c>
      <c r="G3610" s="416"/>
      <c r="H3610" s="416"/>
      <c r="I3610" s="414"/>
      <c r="J3610" s="400"/>
      <c r="K3610" s="401"/>
      <c r="L3610" s="401"/>
    </row>
    <row r="3611" spans="1:12" ht="13">
      <c r="A3611" s="454"/>
      <c r="B3611" s="454"/>
      <c r="C3611" s="417" t="str">
        <f>[161]Input!$C$47</f>
        <v>Add for MA @ 40%</v>
      </c>
      <c r="D3611" s="408">
        <f>D3610*[161]Input!$D$47</f>
        <v>1003.68</v>
      </c>
      <c r="E3611" s="408">
        <f>E3610*[161]Input!$D$47</f>
        <v>1170.96</v>
      </c>
      <c r="F3611" s="408">
        <f>F3610*[161]Input!$D$47</f>
        <v>1338.24</v>
      </c>
      <c r="G3611" s="416"/>
      <c r="H3611" s="416"/>
      <c r="I3611" s="414"/>
      <c r="J3611" s="400"/>
      <c r="K3611" s="401"/>
      <c r="L3611" s="401"/>
    </row>
    <row r="3612" spans="1:12" ht="13">
      <c r="A3612" s="454"/>
      <c r="B3612" s="454"/>
      <c r="C3612" s="435"/>
      <c r="D3612" s="408">
        <f>SUM(D3609:D3611)</f>
        <v>42383.317012</v>
      </c>
      <c r="E3612" s="408">
        <f>SUM(E3609:E3611)</f>
        <v>42968.797012000003</v>
      </c>
      <c r="F3612" s="408">
        <f>SUM(F3609:F3611)</f>
        <v>43554.277011999999</v>
      </c>
      <c r="G3612" s="416"/>
      <c r="H3612" s="416"/>
      <c r="I3612" s="414"/>
      <c r="J3612" s="400"/>
      <c r="K3612" s="401"/>
      <c r="L3612" s="401"/>
    </row>
    <row r="3613" spans="1:12" ht="25">
      <c r="A3613" s="454"/>
      <c r="B3613" s="454"/>
      <c r="C3613" s="417" t="str">
        <f>[161]Input!$C$48</f>
        <v>Overheads &amp; Contractors Profit @ 13.615%</v>
      </c>
      <c r="D3613" s="408">
        <f>ROUND(D3612*[161]Input!$D$48,2)</f>
        <v>5770.49</v>
      </c>
      <c r="E3613" s="408">
        <f>ROUND(E3612*[161]Input!$D$48,2)</f>
        <v>5850.2</v>
      </c>
      <c r="F3613" s="408">
        <f>ROUND(F3612*[161]Input!$D$48,2)</f>
        <v>5929.91</v>
      </c>
      <c r="G3613" s="416"/>
      <c r="H3613" s="416"/>
      <c r="I3613" s="414"/>
      <c r="J3613" s="400"/>
      <c r="K3613" s="401"/>
      <c r="L3613" s="401"/>
    </row>
    <row r="3614" spans="1:12" ht="13">
      <c r="A3614" s="454"/>
      <c r="B3614" s="454"/>
      <c r="C3614" s="417" t="s">
        <v>1047</v>
      </c>
      <c r="D3614" s="408">
        <f>SUM(D3612:D3613)</f>
        <v>48153.807011999997</v>
      </c>
      <c r="E3614" s="408">
        <f>SUM(E3612:E3613)</f>
        <v>48818.997012</v>
      </c>
      <c r="F3614" s="408">
        <f>SUM(F3612:F3613)</f>
        <v>49484.187011999995</v>
      </c>
      <c r="G3614" s="416"/>
      <c r="H3614" s="416"/>
      <c r="I3614" s="414"/>
      <c r="J3614" s="400"/>
      <c r="K3614" s="401"/>
      <c r="L3614" s="401"/>
    </row>
    <row r="3615" spans="1:12" ht="13">
      <c r="A3615" s="454"/>
      <c r="B3615" s="454"/>
      <c r="C3615" s="427" t="s">
        <v>845</v>
      </c>
      <c r="D3615" s="414">
        <f>D3614/10</f>
        <v>4815.3807011999997</v>
      </c>
      <c r="E3615" s="414">
        <f>E3614/10</f>
        <v>4881.8997012</v>
      </c>
      <c r="F3615" s="414">
        <f>F3614/10</f>
        <v>4948.4187011999993</v>
      </c>
      <c r="G3615" s="416"/>
      <c r="H3615" s="416"/>
      <c r="I3615" s="414"/>
      <c r="J3615" s="400"/>
      <c r="K3615" s="401"/>
      <c r="L3615" s="401"/>
    </row>
    <row r="3616" spans="1:12" ht="13">
      <c r="A3616" s="454"/>
      <c r="B3616" s="454"/>
      <c r="C3616" s="514" t="s">
        <v>726</v>
      </c>
      <c r="D3616" s="416">
        <f>ROUND(D3615,0)</f>
        <v>4815</v>
      </c>
      <c r="E3616" s="416">
        <f>ROUND(E3615,0)</f>
        <v>4882</v>
      </c>
      <c r="F3616" s="416">
        <f>ROUND(F3615,0)</f>
        <v>4948</v>
      </c>
      <c r="G3616" s="416"/>
      <c r="H3616" s="416"/>
      <c r="I3616" s="414"/>
      <c r="J3616" s="400"/>
      <c r="K3616" s="401"/>
      <c r="L3616" s="401"/>
    </row>
    <row r="3617" spans="1:12" ht="13">
      <c r="A3617" s="454"/>
      <c r="B3617" s="454"/>
      <c r="C3617" s="427"/>
      <c r="D3617" s="416"/>
      <c r="E3617" s="416"/>
      <c r="F3617" s="416"/>
      <c r="G3617" s="416"/>
      <c r="H3617" s="416"/>
      <c r="I3617" s="414"/>
      <c r="J3617" s="400"/>
      <c r="K3617" s="401"/>
      <c r="L3617" s="401"/>
    </row>
    <row r="3618" spans="1:12" ht="130.5" customHeight="1">
      <c r="A3618" s="454">
        <f>1+A3441</f>
        <v>12</v>
      </c>
      <c r="B3618" s="454"/>
      <c r="C3618" s="1276" t="s">
        <v>1294</v>
      </c>
      <c r="D3618" s="1276"/>
      <c r="E3618" s="1276"/>
      <c r="F3618" s="1276"/>
      <c r="G3618" s="1276"/>
      <c r="H3618" s="1276"/>
      <c r="I3618" s="407"/>
      <c r="J3618" s="400"/>
      <c r="K3618" s="401"/>
      <c r="L3618" s="401"/>
    </row>
    <row r="3619" spans="1:12" ht="13">
      <c r="A3619" s="454"/>
      <c r="B3619" s="454"/>
      <c r="C3619" s="455" t="s">
        <v>1295</v>
      </c>
      <c r="D3619" s="408"/>
      <c r="E3619" s="408"/>
      <c r="F3619" s="408"/>
      <c r="G3619" s="430"/>
      <c r="H3619" s="415"/>
      <c r="I3619" s="414"/>
      <c r="J3619" s="400"/>
      <c r="K3619" s="401"/>
      <c r="L3619" s="401"/>
    </row>
    <row r="3620" spans="1:12" ht="13">
      <c r="A3620" s="454"/>
      <c r="B3620" s="454"/>
      <c r="C3620" s="417" t="s">
        <v>1259</v>
      </c>
      <c r="D3620" s="408"/>
      <c r="E3620" s="408"/>
      <c r="F3620" s="408"/>
      <c r="G3620" s="430"/>
      <c r="H3620" s="415"/>
      <c r="I3620" s="414"/>
      <c r="J3620" s="400"/>
      <c r="K3620" s="401"/>
      <c r="L3620" s="401"/>
    </row>
    <row r="3621" spans="1:12" ht="13">
      <c r="A3621" s="454"/>
      <c r="B3621" s="454"/>
      <c r="C3621" s="427" t="s">
        <v>873</v>
      </c>
      <c r="D3621" s="408"/>
      <c r="E3621" s="408"/>
      <c r="F3621" s="408"/>
      <c r="G3621" s="430"/>
      <c r="H3621" s="415"/>
      <c r="I3621" s="414"/>
      <c r="J3621" s="400"/>
      <c r="K3621" s="401"/>
      <c r="L3621" s="401"/>
    </row>
    <row r="3622" spans="1:12" ht="25">
      <c r="A3622" s="454"/>
      <c r="B3622" s="454"/>
      <c r="C3622" s="417" t="s">
        <v>1296</v>
      </c>
      <c r="D3622" s="408">
        <v>10.5</v>
      </c>
      <c r="E3622" s="408" t="s">
        <v>17</v>
      </c>
      <c r="F3622" s="714">
        <f>'[161]Civil-SOR'!$G$22</f>
        <v>750</v>
      </c>
      <c r="G3622" s="430">
        <v>1</v>
      </c>
      <c r="H3622" s="454" t="s">
        <v>17</v>
      </c>
      <c r="I3622" s="408">
        <f t="shared" ref="I3622:I3626" si="846">IF(G3622="",D3622*F3622,(D3622*F3622/G3622))</f>
        <v>7875</v>
      </c>
      <c r="J3622" s="641"/>
      <c r="K3622" s="401"/>
      <c r="L3622" s="401"/>
    </row>
    <row r="3623" spans="1:12">
      <c r="A3623" s="454"/>
      <c r="B3623" s="454"/>
      <c r="C3623" s="417" t="s">
        <v>1261</v>
      </c>
      <c r="D3623" s="408">
        <v>0.12</v>
      </c>
      <c r="E3623" s="408" t="s">
        <v>666</v>
      </c>
      <c r="F3623" s="408">
        <f>[161]LEAD!$N$13</f>
        <v>2453.91</v>
      </c>
      <c r="G3623" s="430">
        <v>1</v>
      </c>
      <c r="H3623" s="454" t="s">
        <v>666</v>
      </c>
      <c r="I3623" s="408">
        <f t="shared" si="846"/>
        <v>294.46919999999994</v>
      </c>
      <c r="J3623" s="400"/>
      <c r="K3623" s="401"/>
      <c r="L3623" s="401"/>
    </row>
    <row r="3624" spans="1:12">
      <c r="A3624" s="454"/>
      <c r="B3624" s="454"/>
      <c r="C3624" s="417" t="s">
        <v>1262</v>
      </c>
      <c r="D3624" s="408">
        <v>34.56</v>
      </c>
      <c r="E3624" s="408" t="s">
        <v>833</v>
      </c>
      <c r="F3624" s="408">
        <f>[161]LEAD!$N$6</f>
        <v>5200</v>
      </c>
      <c r="G3624" s="430">
        <v>1000</v>
      </c>
      <c r="H3624" s="454" t="s">
        <v>833</v>
      </c>
      <c r="I3624" s="408">
        <f t="shared" si="846"/>
        <v>179.71199999999999</v>
      </c>
      <c r="J3624" s="400"/>
      <c r="K3624" s="401"/>
      <c r="L3624" s="401"/>
    </row>
    <row r="3625" spans="1:12">
      <c r="A3625" s="454"/>
      <c r="B3625" s="454"/>
      <c r="C3625" s="417" t="s">
        <v>1171</v>
      </c>
      <c r="D3625" s="408">
        <v>33</v>
      </c>
      <c r="E3625" s="408" t="s">
        <v>833</v>
      </c>
      <c r="F3625" s="408">
        <f>[161]LEAD!$N$6</f>
        <v>5200</v>
      </c>
      <c r="G3625" s="430">
        <v>1000</v>
      </c>
      <c r="H3625" s="454" t="s">
        <v>833</v>
      </c>
      <c r="I3625" s="408">
        <f t="shared" si="846"/>
        <v>171.6</v>
      </c>
      <c r="J3625" s="400"/>
      <c r="K3625" s="401"/>
      <c r="L3625" s="401"/>
    </row>
    <row r="3626" spans="1:12">
      <c r="A3626" s="454"/>
      <c r="B3626" s="454"/>
      <c r="C3626" s="417" t="s">
        <v>1283</v>
      </c>
      <c r="D3626" s="408">
        <v>6</v>
      </c>
      <c r="E3626" s="408" t="s">
        <v>833</v>
      </c>
      <c r="F3626" s="408">
        <f>'[161]Civil-SOR'!$G$185</f>
        <v>34</v>
      </c>
      <c r="G3626" s="430">
        <v>1</v>
      </c>
      <c r="H3626" s="454" t="s">
        <v>312</v>
      </c>
      <c r="I3626" s="408">
        <f t="shared" si="846"/>
        <v>204</v>
      </c>
      <c r="J3626" s="400"/>
      <c r="K3626" s="401"/>
      <c r="L3626" s="401"/>
    </row>
    <row r="3627" spans="1:12" ht="13">
      <c r="A3627" s="454"/>
      <c r="B3627" s="454"/>
      <c r="C3627" s="427" t="s">
        <v>1263</v>
      </c>
      <c r="D3627" s="408"/>
      <c r="E3627" s="408"/>
      <c r="F3627" s="408"/>
      <c r="G3627" s="430"/>
      <c r="H3627" s="415"/>
      <c r="I3627" s="414"/>
      <c r="J3627" s="400"/>
      <c r="K3627" s="401"/>
      <c r="L3627" s="401"/>
    </row>
    <row r="3628" spans="1:12">
      <c r="A3628" s="454"/>
      <c r="B3628" s="454"/>
      <c r="C3628" s="417" t="s">
        <v>1044</v>
      </c>
      <c r="D3628" s="408">
        <v>0.77</v>
      </c>
      <c r="E3628" s="408" t="s">
        <v>375</v>
      </c>
      <c r="F3628" s="408">
        <f>'[161]Civil-SOR'!$G$293</f>
        <v>580</v>
      </c>
      <c r="G3628" s="430">
        <v>1</v>
      </c>
      <c r="H3628" s="454" t="s">
        <v>572</v>
      </c>
      <c r="I3628" s="408">
        <f t="shared" ref="I3628:I3631" si="847">IF(G3628="",D3628*F3628,(D3628*F3628/G3628))</f>
        <v>446.6</v>
      </c>
      <c r="J3628" s="400"/>
      <c r="K3628" s="401"/>
      <c r="L3628" s="401"/>
    </row>
    <row r="3629" spans="1:12">
      <c r="A3629" s="454"/>
      <c r="B3629" s="454"/>
      <c r="C3629" s="417" t="s">
        <v>723</v>
      </c>
      <c r="D3629" s="408">
        <v>0.8</v>
      </c>
      <c r="E3629" s="408" t="s">
        <v>375</v>
      </c>
      <c r="F3629" s="408">
        <f>'[161]Civil-SOR'!$G$307</f>
        <v>520</v>
      </c>
      <c r="G3629" s="430">
        <v>1</v>
      </c>
      <c r="H3629" s="454" t="s">
        <v>572</v>
      </c>
      <c r="I3629" s="408">
        <f t="shared" si="847"/>
        <v>416</v>
      </c>
      <c r="J3629" s="400"/>
      <c r="K3629" s="401"/>
      <c r="L3629" s="401"/>
    </row>
    <row r="3630" spans="1:12">
      <c r="A3630" s="454"/>
      <c r="B3630" s="454"/>
      <c r="C3630" s="417" t="str">
        <f>[161]Input!$C$47</f>
        <v>Add for MA @ 40%</v>
      </c>
      <c r="D3630" s="432">
        <f>[161]Input!$D$47</f>
        <v>0.4</v>
      </c>
      <c r="E3630" s="454"/>
      <c r="F3630" s="408">
        <f>SUM(I3628:I3629)</f>
        <v>862.6</v>
      </c>
      <c r="G3630" s="410"/>
      <c r="H3630" s="426"/>
      <c r="I3630" s="408">
        <f t="shared" si="847"/>
        <v>345.04</v>
      </c>
      <c r="J3630" s="400"/>
      <c r="K3630" s="401"/>
      <c r="L3630" s="401"/>
    </row>
    <row r="3631" spans="1:12">
      <c r="A3631" s="454"/>
      <c r="B3631" s="454"/>
      <c r="C3631" s="483" t="s">
        <v>1046</v>
      </c>
      <c r="D3631" s="408">
        <v>0.01</v>
      </c>
      <c r="E3631" s="408"/>
      <c r="F3631" s="408">
        <f>SUM(I3622:I3630)</f>
        <v>9932.4212000000007</v>
      </c>
      <c r="G3631" s="430"/>
      <c r="H3631" s="454"/>
      <c r="I3631" s="408">
        <f t="shared" si="847"/>
        <v>99.324212000000003</v>
      </c>
      <c r="J3631" s="400"/>
      <c r="K3631" s="401"/>
      <c r="L3631" s="401"/>
    </row>
    <row r="3632" spans="1:12" s="554" customFormat="1" ht="13">
      <c r="A3632" s="454"/>
      <c r="B3632" s="454"/>
      <c r="C3632" s="481" t="s">
        <v>1175</v>
      </c>
      <c r="D3632" s="408"/>
      <c r="E3632" s="454"/>
      <c r="F3632" s="408"/>
      <c r="G3632" s="430"/>
      <c r="H3632" s="454"/>
      <c r="I3632" s="434">
        <f>SUM(I3622:I3631)</f>
        <v>10031.745412</v>
      </c>
      <c r="J3632" s="411"/>
      <c r="K3632" s="412"/>
      <c r="L3632" s="412"/>
    </row>
    <row r="3633" spans="1:12" ht="13">
      <c r="A3633" s="454"/>
      <c r="B3633" s="454"/>
      <c r="C3633" s="433"/>
      <c r="D3633" s="408"/>
      <c r="E3633" s="454"/>
      <c r="F3633" s="408"/>
      <c r="G3633" s="430"/>
      <c r="H3633" s="454"/>
      <c r="I3633" s="409"/>
      <c r="J3633" s="400"/>
      <c r="K3633" s="401"/>
      <c r="L3633" s="401"/>
    </row>
    <row r="3634" spans="1:12" ht="13">
      <c r="A3634" s="454"/>
      <c r="B3634" s="454"/>
      <c r="C3634" s="433"/>
      <c r="D3634" s="408"/>
      <c r="E3634" s="454"/>
      <c r="F3634" s="408"/>
      <c r="G3634" s="430"/>
      <c r="H3634" s="454"/>
      <c r="I3634" s="409"/>
      <c r="J3634" s="400"/>
      <c r="K3634" s="401"/>
      <c r="L3634" s="401"/>
    </row>
    <row r="3635" spans="1:12" ht="13">
      <c r="A3635" s="454"/>
      <c r="B3635" s="454"/>
      <c r="C3635" s="433"/>
      <c r="D3635" s="408"/>
      <c r="E3635" s="454"/>
      <c r="F3635" s="408"/>
      <c r="G3635" s="430"/>
      <c r="H3635" s="454"/>
      <c r="I3635" s="409"/>
      <c r="J3635" s="400"/>
      <c r="K3635" s="401"/>
      <c r="L3635" s="401"/>
    </row>
    <row r="3636" spans="1:12" s="554" customFormat="1" ht="13">
      <c r="A3636" s="454"/>
      <c r="B3636" s="454"/>
      <c r="C3636" s="481" t="s">
        <v>953</v>
      </c>
      <c r="D3636" s="414" t="s">
        <v>959</v>
      </c>
      <c r="E3636" s="416" t="s">
        <v>943</v>
      </c>
      <c r="F3636" s="415" t="s">
        <v>944</v>
      </c>
      <c r="G3636" s="415" t="s">
        <v>1036</v>
      </c>
      <c r="H3636" s="415" t="s">
        <v>1037</v>
      </c>
      <c r="I3636" s="415" t="s">
        <v>1038</v>
      </c>
      <c r="J3636" s="715" t="s">
        <v>1118</v>
      </c>
      <c r="K3636" s="716" t="s">
        <v>1119</v>
      </c>
      <c r="L3636" s="716" t="s">
        <v>1120</v>
      </c>
    </row>
    <row r="3637" spans="1:12">
      <c r="A3637" s="454"/>
      <c r="B3637" s="454"/>
      <c r="C3637" s="417" t="s">
        <v>1064</v>
      </c>
      <c r="D3637" s="408">
        <f t="shared" ref="D3637:L3637" si="848">$I$3632</f>
        <v>10031.745412</v>
      </c>
      <c r="E3637" s="408">
        <f t="shared" si="848"/>
        <v>10031.745412</v>
      </c>
      <c r="F3637" s="408">
        <f t="shared" si="848"/>
        <v>10031.745412</v>
      </c>
      <c r="G3637" s="408">
        <f t="shared" si="848"/>
        <v>10031.745412</v>
      </c>
      <c r="H3637" s="408">
        <f t="shared" si="848"/>
        <v>10031.745412</v>
      </c>
      <c r="I3637" s="408">
        <f t="shared" si="848"/>
        <v>10031.745412</v>
      </c>
      <c r="J3637" s="575">
        <f t="shared" si="848"/>
        <v>10031.745412</v>
      </c>
      <c r="K3637" s="644">
        <f t="shared" si="848"/>
        <v>10031.745412</v>
      </c>
      <c r="L3637" s="644">
        <f t="shared" si="848"/>
        <v>10031.745412</v>
      </c>
    </row>
    <row r="3638" spans="1:12">
      <c r="A3638" s="454"/>
      <c r="B3638" s="454"/>
      <c r="C3638" s="417" t="s">
        <v>994</v>
      </c>
      <c r="D3638" s="408">
        <v>0</v>
      </c>
      <c r="E3638" s="408">
        <f>ROUND($F$3630*10%,2)</f>
        <v>86.26</v>
      </c>
      <c r="F3638" s="408">
        <f>ROUND($F$3630*20%,2)</f>
        <v>172.52</v>
      </c>
      <c r="G3638" s="408">
        <f>ROUND($F$3630*30%,2)</f>
        <v>258.77999999999997</v>
      </c>
      <c r="H3638" s="408">
        <f>ROUND($F$3630*40%,2)</f>
        <v>345.04</v>
      </c>
      <c r="I3638" s="408">
        <f>ROUND($F$3630*50%,2)</f>
        <v>431.3</v>
      </c>
      <c r="J3638" s="575">
        <f>ROUND($F$3630*60%,2)</f>
        <v>517.55999999999995</v>
      </c>
      <c r="K3638" s="644">
        <f>ROUND($F$3630*70%,2)</f>
        <v>603.82000000000005</v>
      </c>
      <c r="L3638" s="644">
        <f>ROUND($F$3630*80%,2)</f>
        <v>690.08</v>
      </c>
    </row>
    <row r="3639" spans="1:12">
      <c r="A3639" s="454"/>
      <c r="B3639" s="454"/>
      <c r="C3639" s="417" t="str">
        <f>[161]Input!$C$47</f>
        <v>Add for MA @ 40%</v>
      </c>
      <c r="D3639" s="408">
        <f>D3638*[161]Input!$D$47</f>
        <v>0</v>
      </c>
      <c r="E3639" s="408">
        <f>E3638*[161]Input!$D$47</f>
        <v>34.504000000000005</v>
      </c>
      <c r="F3639" s="408">
        <f>F3638*[161]Input!$D$47</f>
        <v>69.00800000000001</v>
      </c>
      <c r="G3639" s="408">
        <f>G3638*[161]Input!$D$47</f>
        <v>103.512</v>
      </c>
      <c r="H3639" s="408">
        <f>H3638*[161]Input!$D$47</f>
        <v>138.01600000000002</v>
      </c>
      <c r="I3639" s="408">
        <f>I3638*[161]Input!$D$47</f>
        <v>172.52</v>
      </c>
      <c r="J3639" s="575">
        <f>J3638*[161]Input!$D$47</f>
        <v>207.024</v>
      </c>
      <c r="K3639" s="644">
        <f>K3638*[161]Input!$D$47</f>
        <v>241.52800000000002</v>
      </c>
      <c r="L3639" s="644">
        <f>L3638*[161]Input!$D$47</f>
        <v>276.03200000000004</v>
      </c>
    </row>
    <row r="3640" spans="1:12">
      <c r="A3640" s="454"/>
      <c r="B3640" s="454"/>
      <c r="C3640" s="469"/>
      <c r="D3640" s="408">
        <f t="shared" ref="D3640:L3640" si="849">SUM(D3637:D3639)</f>
        <v>10031.745412</v>
      </c>
      <c r="E3640" s="408">
        <f t="shared" si="849"/>
        <v>10152.509412000001</v>
      </c>
      <c r="F3640" s="408">
        <f t="shared" si="849"/>
        <v>10273.273412</v>
      </c>
      <c r="G3640" s="408">
        <f t="shared" si="849"/>
        <v>10394.037412000001</v>
      </c>
      <c r="H3640" s="408">
        <f t="shared" si="849"/>
        <v>10514.801412000001</v>
      </c>
      <c r="I3640" s="408">
        <f t="shared" si="849"/>
        <v>10635.565412</v>
      </c>
      <c r="J3640" s="575">
        <f t="shared" si="849"/>
        <v>10756.329411999999</v>
      </c>
      <c r="K3640" s="644">
        <f t="shared" si="849"/>
        <v>10877.093412</v>
      </c>
      <c r="L3640" s="644">
        <f t="shared" si="849"/>
        <v>10997.857411999999</v>
      </c>
    </row>
    <row r="3641" spans="1:12" ht="25">
      <c r="A3641" s="454"/>
      <c r="B3641" s="454"/>
      <c r="C3641" s="417" t="str">
        <f>[161]Input!$C$48</f>
        <v>Overheads &amp; Contractors Profit @ 13.615%</v>
      </c>
      <c r="D3641" s="408">
        <f>ROUND(D3640*[161]Input!$D$48,2)</f>
        <v>1365.82</v>
      </c>
      <c r="E3641" s="408">
        <f>ROUND(E3640*[161]Input!$D$48,2)</f>
        <v>1382.26</v>
      </c>
      <c r="F3641" s="408">
        <f>ROUND(F3640*[161]Input!$D$48,2)</f>
        <v>1398.71</v>
      </c>
      <c r="G3641" s="408">
        <f>ROUND(G3640*[161]Input!$D$48,2)</f>
        <v>1415.15</v>
      </c>
      <c r="H3641" s="408">
        <f>ROUND(H3640*[161]Input!$D$48,2)</f>
        <v>1431.59</v>
      </c>
      <c r="I3641" s="408">
        <f>ROUND(I3640*[161]Input!$D$48,2)</f>
        <v>1448.03</v>
      </c>
      <c r="J3641" s="575">
        <f>ROUND(J3640*[161]Input!$D$48,2)</f>
        <v>1464.47</v>
      </c>
      <c r="K3641" s="644">
        <f>ROUND(K3640*[161]Input!$D$48,2)</f>
        <v>1480.92</v>
      </c>
      <c r="L3641" s="644">
        <f>ROUND(L3640*[161]Input!$D$48,2)</f>
        <v>1497.36</v>
      </c>
    </row>
    <row r="3642" spans="1:12" ht="13">
      <c r="A3642" s="454"/>
      <c r="B3642" s="454"/>
      <c r="C3642" s="427" t="s">
        <v>1047</v>
      </c>
      <c r="D3642" s="408">
        <f t="shared" ref="D3642:L3642" si="850">SUM(D3640:D3641)</f>
        <v>11397.565412</v>
      </c>
      <c r="E3642" s="408">
        <f t="shared" si="850"/>
        <v>11534.769412000001</v>
      </c>
      <c r="F3642" s="408">
        <f t="shared" si="850"/>
        <v>11671.983412000001</v>
      </c>
      <c r="G3642" s="408">
        <f t="shared" si="850"/>
        <v>11809.187412000001</v>
      </c>
      <c r="H3642" s="408">
        <f t="shared" si="850"/>
        <v>11946.391412000001</v>
      </c>
      <c r="I3642" s="408">
        <f t="shared" si="850"/>
        <v>12083.595412000001</v>
      </c>
      <c r="J3642" s="575">
        <f t="shared" si="850"/>
        <v>12220.799411999998</v>
      </c>
      <c r="K3642" s="644">
        <f t="shared" si="850"/>
        <v>12358.013412</v>
      </c>
      <c r="L3642" s="644">
        <f t="shared" si="850"/>
        <v>12495.217412</v>
      </c>
    </row>
    <row r="3643" spans="1:12" s="554" customFormat="1" ht="13">
      <c r="A3643" s="454"/>
      <c r="B3643" s="454"/>
      <c r="C3643" s="481" t="s">
        <v>845</v>
      </c>
      <c r="D3643" s="414">
        <f t="shared" ref="D3643:L3643" si="851">D3642/10</f>
        <v>1139.7565411999999</v>
      </c>
      <c r="E3643" s="414">
        <f t="shared" si="851"/>
        <v>1153.4769412000001</v>
      </c>
      <c r="F3643" s="414">
        <f t="shared" si="851"/>
        <v>1167.1983412000002</v>
      </c>
      <c r="G3643" s="414">
        <f t="shared" si="851"/>
        <v>1180.9187412000001</v>
      </c>
      <c r="H3643" s="414">
        <f t="shared" si="851"/>
        <v>1194.6391412</v>
      </c>
      <c r="I3643" s="414">
        <f t="shared" si="851"/>
        <v>1208.3595412</v>
      </c>
      <c r="J3643" s="638">
        <f t="shared" si="851"/>
        <v>1222.0799411999999</v>
      </c>
      <c r="K3643" s="636">
        <f t="shared" si="851"/>
        <v>1235.8013412</v>
      </c>
      <c r="L3643" s="636">
        <f t="shared" si="851"/>
        <v>1249.5217412</v>
      </c>
    </row>
    <row r="3644" spans="1:12" s="554" customFormat="1" ht="13">
      <c r="A3644" s="454"/>
      <c r="B3644" s="454"/>
      <c r="C3644" s="522" t="s">
        <v>726</v>
      </c>
      <c r="D3644" s="416">
        <f t="shared" ref="D3644:L3644" si="852">ROUND(D3643,0)</f>
        <v>1140</v>
      </c>
      <c r="E3644" s="416">
        <f t="shared" si="852"/>
        <v>1153</v>
      </c>
      <c r="F3644" s="416">
        <f t="shared" si="852"/>
        <v>1167</v>
      </c>
      <c r="G3644" s="416">
        <f t="shared" si="852"/>
        <v>1181</v>
      </c>
      <c r="H3644" s="416">
        <f t="shared" si="852"/>
        <v>1195</v>
      </c>
      <c r="I3644" s="416">
        <f t="shared" si="852"/>
        <v>1208</v>
      </c>
      <c r="J3644" s="533">
        <f t="shared" si="852"/>
        <v>1222</v>
      </c>
      <c r="K3644" s="534">
        <f t="shared" si="852"/>
        <v>1236</v>
      </c>
      <c r="L3644" s="534">
        <f t="shared" si="852"/>
        <v>1250</v>
      </c>
    </row>
    <row r="3645" spans="1:12" ht="13">
      <c r="A3645" s="454"/>
      <c r="B3645" s="454"/>
      <c r="C3645" s="433"/>
      <c r="D3645" s="408"/>
      <c r="E3645" s="454"/>
      <c r="F3645" s="408"/>
      <c r="G3645" s="430"/>
      <c r="H3645" s="454"/>
      <c r="I3645" s="409"/>
      <c r="J3645" s="400"/>
      <c r="K3645" s="401"/>
      <c r="L3645" s="401"/>
    </row>
    <row r="3646" spans="1:12" ht="13">
      <c r="A3646" s="454"/>
      <c r="B3646" s="454"/>
      <c r="C3646" s="427" t="s">
        <v>953</v>
      </c>
      <c r="D3646" s="415" t="s">
        <v>1118</v>
      </c>
      <c r="E3646" s="415" t="s">
        <v>1119</v>
      </c>
      <c r="F3646" s="415" t="s">
        <v>1120</v>
      </c>
      <c r="G3646" s="430"/>
      <c r="H3646" s="454"/>
      <c r="I3646" s="409"/>
      <c r="J3646" s="400"/>
      <c r="K3646" s="401"/>
      <c r="L3646" s="401"/>
    </row>
    <row r="3647" spans="1:12">
      <c r="A3647" s="454"/>
      <c r="B3647" s="454"/>
      <c r="C3647" s="417" t="s">
        <v>1064</v>
      </c>
      <c r="D3647" s="408">
        <f>$I$3632</f>
        <v>10031.745412</v>
      </c>
      <c r="E3647" s="408">
        <f>$I$3632</f>
        <v>10031.745412</v>
      </c>
      <c r="F3647" s="408">
        <f>$I$3632</f>
        <v>10031.745412</v>
      </c>
      <c r="G3647" s="430"/>
      <c r="H3647" s="454"/>
      <c r="I3647" s="409"/>
      <c r="J3647" s="400"/>
      <c r="K3647" s="401"/>
      <c r="L3647" s="401"/>
    </row>
    <row r="3648" spans="1:12">
      <c r="A3648" s="454"/>
      <c r="B3648" s="454"/>
      <c r="C3648" s="417" t="s">
        <v>994</v>
      </c>
      <c r="D3648" s="408">
        <f>ROUND($F$3630*60%,2)</f>
        <v>517.55999999999995</v>
      </c>
      <c r="E3648" s="408">
        <f>ROUND($F$3630*70%,2)</f>
        <v>603.82000000000005</v>
      </c>
      <c r="F3648" s="408">
        <f>ROUND($F$3630*80%,2)</f>
        <v>690.08</v>
      </c>
      <c r="G3648" s="430"/>
      <c r="H3648" s="454"/>
      <c r="I3648" s="409"/>
      <c r="J3648" s="400"/>
      <c r="K3648" s="401"/>
      <c r="L3648" s="401"/>
    </row>
    <row r="3649" spans="1:12">
      <c r="A3649" s="454"/>
      <c r="B3649" s="454"/>
      <c r="C3649" s="417" t="str">
        <f>[161]Input!$C$47</f>
        <v>Add for MA @ 40%</v>
      </c>
      <c r="D3649" s="408">
        <f>D3648*[161]Input!$D$47</f>
        <v>207.024</v>
      </c>
      <c r="E3649" s="408">
        <f>E3648*[161]Input!$D$47</f>
        <v>241.52800000000002</v>
      </c>
      <c r="F3649" s="408">
        <f>F3648*[161]Input!$D$47</f>
        <v>276.03200000000004</v>
      </c>
      <c r="G3649" s="430"/>
      <c r="H3649" s="454"/>
      <c r="I3649" s="409"/>
      <c r="J3649" s="400"/>
      <c r="K3649" s="401"/>
      <c r="L3649" s="401"/>
    </row>
    <row r="3650" spans="1:12">
      <c r="A3650" s="454"/>
      <c r="B3650" s="454"/>
      <c r="C3650" s="435"/>
      <c r="D3650" s="408">
        <f>SUM(D3647:D3649)</f>
        <v>10756.329411999999</v>
      </c>
      <c r="E3650" s="408">
        <f>SUM(E3647:E3649)</f>
        <v>10877.093412</v>
      </c>
      <c r="F3650" s="408">
        <f>SUM(F3647:F3649)</f>
        <v>10997.857411999999</v>
      </c>
      <c r="G3650" s="430"/>
      <c r="H3650" s="454"/>
      <c r="I3650" s="409"/>
      <c r="J3650" s="400"/>
      <c r="K3650" s="401"/>
      <c r="L3650" s="401"/>
    </row>
    <row r="3651" spans="1:12" ht="25">
      <c r="A3651" s="454"/>
      <c r="B3651" s="454"/>
      <c r="C3651" s="417" t="str">
        <f>[161]Input!$C$48</f>
        <v>Overheads &amp; Contractors Profit @ 13.615%</v>
      </c>
      <c r="D3651" s="408">
        <f>ROUND(D3650*[161]Input!$D$48,2)</f>
        <v>1464.47</v>
      </c>
      <c r="E3651" s="408">
        <f>ROUND(E3650*[161]Input!$D$48,2)</f>
        <v>1480.92</v>
      </c>
      <c r="F3651" s="408">
        <f>ROUND(F3650*[161]Input!$D$48,2)</f>
        <v>1497.36</v>
      </c>
      <c r="G3651" s="430"/>
      <c r="H3651" s="454"/>
      <c r="I3651" s="409"/>
      <c r="J3651" s="400"/>
      <c r="K3651" s="401"/>
      <c r="L3651" s="401"/>
    </row>
    <row r="3652" spans="1:12" ht="13">
      <c r="A3652" s="454"/>
      <c r="B3652" s="454"/>
      <c r="C3652" s="427" t="s">
        <v>1047</v>
      </c>
      <c r="D3652" s="408">
        <f>SUM(D3650:D3651)</f>
        <v>12220.799411999998</v>
      </c>
      <c r="E3652" s="408">
        <f>SUM(E3650:E3651)</f>
        <v>12358.013412</v>
      </c>
      <c r="F3652" s="408">
        <f>SUM(F3650:F3651)</f>
        <v>12495.217412</v>
      </c>
      <c r="G3652" s="430"/>
      <c r="H3652" s="454"/>
      <c r="I3652" s="409"/>
      <c r="J3652" s="400"/>
      <c r="K3652" s="401"/>
      <c r="L3652" s="401"/>
    </row>
    <row r="3653" spans="1:12" ht="13">
      <c r="A3653" s="454"/>
      <c r="B3653" s="454"/>
      <c r="C3653" s="427" t="s">
        <v>845</v>
      </c>
      <c r="D3653" s="414">
        <f>D3652/10</f>
        <v>1222.0799411999999</v>
      </c>
      <c r="E3653" s="414">
        <f>E3652/10</f>
        <v>1235.8013412</v>
      </c>
      <c r="F3653" s="414">
        <f>F3652/10</f>
        <v>1249.5217412</v>
      </c>
      <c r="G3653" s="430"/>
      <c r="H3653" s="454"/>
      <c r="I3653" s="409"/>
      <c r="J3653" s="400"/>
      <c r="K3653" s="401"/>
      <c r="L3653" s="401"/>
    </row>
    <row r="3654" spans="1:12" ht="13">
      <c r="A3654" s="454"/>
      <c r="B3654" s="454"/>
      <c r="C3654" s="514" t="s">
        <v>726</v>
      </c>
      <c r="D3654" s="416">
        <f>ROUND(D3653,0)</f>
        <v>1222</v>
      </c>
      <c r="E3654" s="416">
        <f>ROUND(E3653,0)</f>
        <v>1236</v>
      </c>
      <c r="F3654" s="416">
        <f>ROUND(F3653,0)</f>
        <v>1250</v>
      </c>
      <c r="G3654" s="430"/>
      <c r="H3654" s="454"/>
      <c r="I3654" s="409"/>
      <c r="J3654" s="400"/>
      <c r="K3654" s="401"/>
      <c r="L3654" s="401"/>
    </row>
    <row r="3655" spans="1:12" ht="13">
      <c r="A3655" s="454"/>
      <c r="B3655" s="454"/>
      <c r="C3655" s="433"/>
      <c r="D3655" s="408"/>
      <c r="E3655" s="454"/>
      <c r="F3655" s="408"/>
      <c r="G3655" s="430"/>
      <c r="H3655" s="454"/>
      <c r="I3655" s="409"/>
      <c r="J3655" s="400"/>
      <c r="K3655" s="401"/>
      <c r="L3655" s="401"/>
    </row>
    <row r="3656" spans="1:12" ht="106.75" customHeight="1">
      <c r="A3656" s="454">
        <f>A3618+1</f>
        <v>13</v>
      </c>
      <c r="B3656" s="454"/>
      <c r="C3656" s="1276" t="s">
        <v>1297</v>
      </c>
      <c r="D3656" s="1276"/>
      <c r="E3656" s="1276"/>
      <c r="F3656" s="1276"/>
      <c r="G3656" s="1276"/>
      <c r="H3656" s="1276"/>
      <c r="I3656" s="407"/>
      <c r="J3656" s="400"/>
      <c r="K3656" s="401"/>
      <c r="L3656" s="401"/>
    </row>
    <row r="3657" spans="1:12" ht="13">
      <c r="A3657" s="454"/>
      <c r="B3657" s="454"/>
      <c r="C3657" s="455" t="s">
        <v>1295</v>
      </c>
      <c r="D3657" s="408"/>
      <c r="E3657" s="408"/>
      <c r="F3657" s="408"/>
      <c r="G3657" s="430"/>
      <c r="H3657" s="415"/>
      <c r="I3657" s="414"/>
      <c r="J3657" s="400"/>
      <c r="K3657" s="401"/>
      <c r="L3657" s="401"/>
    </row>
    <row r="3658" spans="1:12" ht="13">
      <c r="A3658" s="454"/>
      <c r="B3658" s="454"/>
      <c r="C3658" s="417" t="s">
        <v>1259</v>
      </c>
      <c r="D3658" s="408"/>
      <c r="E3658" s="408"/>
      <c r="F3658" s="408"/>
      <c r="G3658" s="430"/>
      <c r="H3658" s="415"/>
      <c r="I3658" s="414"/>
      <c r="J3658" s="400"/>
      <c r="K3658" s="401"/>
      <c r="L3658" s="401"/>
    </row>
    <row r="3659" spans="1:12" ht="13">
      <c r="A3659" s="454"/>
      <c r="B3659" s="454"/>
      <c r="C3659" s="427" t="s">
        <v>873</v>
      </c>
      <c r="D3659" s="408"/>
      <c r="E3659" s="408"/>
      <c r="F3659" s="408"/>
      <c r="G3659" s="430"/>
      <c r="H3659" s="415"/>
      <c r="I3659" s="414"/>
      <c r="J3659" s="400"/>
      <c r="K3659" s="401"/>
      <c r="L3659" s="401"/>
    </row>
    <row r="3660" spans="1:12" ht="25">
      <c r="A3660" s="454"/>
      <c r="B3660" s="454"/>
      <c r="C3660" s="417" t="s">
        <v>1298</v>
      </c>
      <c r="D3660" s="408">
        <v>10.5</v>
      </c>
      <c r="E3660" s="408" t="s">
        <v>17</v>
      </c>
      <c r="F3660" s="408">
        <f>'[161]Civil-SOR'!$G$21</f>
        <v>504</v>
      </c>
      <c r="G3660" s="430">
        <v>1</v>
      </c>
      <c r="H3660" s="454" t="s">
        <v>17</v>
      </c>
      <c r="I3660" s="408">
        <f t="shared" ref="I3660:I3664" si="853">IF(G3660="",D3660*F3660,(D3660*F3660/G3660))</f>
        <v>5292</v>
      </c>
      <c r="J3660" s="717" t="s">
        <v>1299</v>
      </c>
      <c r="K3660" s="401"/>
      <c r="L3660" s="401"/>
    </row>
    <row r="3661" spans="1:12">
      <c r="A3661" s="454"/>
      <c r="B3661" s="454"/>
      <c r="C3661" s="417" t="s">
        <v>1261</v>
      </c>
      <c r="D3661" s="408">
        <v>0.12</v>
      </c>
      <c r="E3661" s="408" t="s">
        <v>666</v>
      </c>
      <c r="F3661" s="408">
        <f>[161]LEAD!$N$13</f>
        <v>2453.91</v>
      </c>
      <c r="G3661" s="430">
        <v>1</v>
      </c>
      <c r="H3661" s="454" t="s">
        <v>666</v>
      </c>
      <c r="I3661" s="408">
        <f t="shared" si="853"/>
        <v>294.46919999999994</v>
      </c>
      <c r="J3661" s="400"/>
      <c r="K3661" s="401"/>
      <c r="L3661" s="401"/>
    </row>
    <row r="3662" spans="1:12">
      <c r="A3662" s="454"/>
      <c r="B3662" s="454"/>
      <c r="C3662" s="417" t="s">
        <v>1262</v>
      </c>
      <c r="D3662" s="408">
        <v>34.56</v>
      </c>
      <c r="E3662" s="408" t="s">
        <v>833</v>
      </c>
      <c r="F3662" s="408">
        <f>[161]LEAD!$N$6</f>
        <v>5200</v>
      </c>
      <c r="G3662" s="430">
        <v>1000</v>
      </c>
      <c r="H3662" s="454" t="s">
        <v>833</v>
      </c>
      <c r="I3662" s="408">
        <f t="shared" si="853"/>
        <v>179.71199999999999</v>
      </c>
      <c r="J3662" s="400"/>
      <c r="K3662" s="401"/>
      <c r="L3662" s="401"/>
    </row>
    <row r="3663" spans="1:12">
      <c r="A3663" s="454"/>
      <c r="B3663" s="454"/>
      <c r="C3663" s="417" t="s">
        <v>1171</v>
      </c>
      <c r="D3663" s="408">
        <v>33</v>
      </c>
      <c r="E3663" s="408" t="s">
        <v>833</v>
      </c>
      <c r="F3663" s="408">
        <f>[161]LEAD!$N$6</f>
        <v>5200</v>
      </c>
      <c r="G3663" s="430">
        <v>1000</v>
      </c>
      <c r="H3663" s="454" t="s">
        <v>833</v>
      </c>
      <c r="I3663" s="408">
        <f t="shared" si="853"/>
        <v>171.6</v>
      </c>
      <c r="J3663" s="400"/>
      <c r="K3663" s="401"/>
      <c r="L3663" s="401"/>
    </row>
    <row r="3664" spans="1:12">
      <c r="A3664" s="454"/>
      <c r="B3664" s="454"/>
      <c r="C3664" s="417" t="s">
        <v>1283</v>
      </c>
      <c r="D3664" s="408">
        <v>6</v>
      </c>
      <c r="E3664" s="408" t="s">
        <v>833</v>
      </c>
      <c r="F3664" s="408">
        <f>'[161]Civil-SOR'!$G$185</f>
        <v>34</v>
      </c>
      <c r="G3664" s="430">
        <v>1</v>
      </c>
      <c r="H3664" s="454" t="s">
        <v>312</v>
      </c>
      <c r="I3664" s="408">
        <f t="shared" si="853"/>
        <v>204</v>
      </c>
      <c r="J3664" s="400"/>
      <c r="K3664" s="401"/>
      <c r="L3664" s="401"/>
    </row>
    <row r="3665" spans="1:12" ht="13">
      <c r="A3665" s="454"/>
      <c r="B3665" s="454"/>
      <c r="C3665" s="427" t="s">
        <v>1263</v>
      </c>
      <c r="D3665" s="408"/>
      <c r="E3665" s="408"/>
      <c r="F3665" s="408"/>
      <c r="G3665" s="430"/>
      <c r="H3665" s="415"/>
      <c r="I3665" s="414"/>
      <c r="J3665" s="400"/>
      <c r="K3665" s="401"/>
      <c r="L3665" s="401"/>
    </row>
    <row r="3666" spans="1:12">
      <c r="A3666" s="454"/>
      <c r="B3666" s="454"/>
      <c r="C3666" s="417" t="s">
        <v>1044</v>
      </c>
      <c r="D3666" s="408">
        <v>0.77</v>
      </c>
      <c r="E3666" s="408" t="s">
        <v>375</v>
      </c>
      <c r="F3666" s="408">
        <f>'[161]Civil-SOR'!$G$293</f>
        <v>580</v>
      </c>
      <c r="G3666" s="430">
        <v>1</v>
      </c>
      <c r="H3666" s="454" t="s">
        <v>572</v>
      </c>
      <c r="I3666" s="408">
        <f t="shared" ref="I3666:I3669" si="854">IF(G3666="",D3666*F3666,(D3666*F3666/G3666))</f>
        <v>446.6</v>
      </c>
      <c r="J3666" s="400"/>
      <c r="K3666" s="401"/>
      <c r="L3666" s="401"/>
    </row>
    <row r="3667" spans="1:12">
      <c r="A3667" s="454"/>
      <c r="B3667" s="454"/>
      <c r="C3667" s="417" t="s">
        <v>723</v>
      </c>
      <c r="D3667" s="408">
        <v>0.8</v>
      </c>
      <c r="E3667" s="408" t="s">
        <v>375</v>
      </c>
      <c r="F3667" s="408">
        <f>'[161]Civil-SOR'!$G$307</f>
        <v>520</v>
      </c>
      <c r="G3667" s="430">
        <v>1</v>
      </c>
      <c r="H3667" s="454" t="s">
        <v>572</v>
      </c>
      <c r="I3667" s="408">
        <f t="shared" si="854"/>
        <v>416</v>
      </c>
      <c r="J3667" s="400"/>
      <c r="K3667" s="401"/>
      <c r="L3667" s="401"/>
    </row>
    <row r="3668" spans="1:12">
      <c r="A3668" s="454"/>
      <c r="B3668" s="454"/>
      <c r="C3668" s="469" t="str">
        <f>[161]Input!$C$47</f>
        <v>Add for MA @ 40%</v>
      </c>
      <c r="D3668" s="621">
        <f>[161]Input!$D$47</f>
        <v>0.4</v>
      </c>
      <c r="E3668" s="454"/>
      <c r="F3668" s="408">
        <f>SUM(I3666:I3667)</f>
        <v>862.6</v>
      </c>
      <c r="G3668" s="410"/>
      <c r="H3668" s="426"/>
      <c r="I3668" s="408">
        <f t="shared" si="854"/>
        <v>345.04</v>
      </c>
      <c r="J3668" s="400"/>
      <c r="K3668" s="401"/>
      <c r="L3668" s="401"/>
    </row>
    <row r="3669" spans="1:12">
      <c r="A3669" s="454"/>
      <c r="B3669" s="454"/>
      <c r="C3669" s="483" t="s">
        <v>1046</v>
      </c>
      <c r="D3669" s="408">
        <v>0.01</v>
      </c>
      <c r="E3669" s="408"/>
      <c r="F3669" s="408">
        <f>SUM(I3660:I3668)</f>
        <v>7349.4211999999998</v>
      </c>
      <c r="G3669" s="430"/>
      <c r="H3669" s="454"/>
      <c r="I3669" s="408">
        <f t="shared" si="854"/>
        <v>73.494212000000005</v>
      </c>
      <c r="J3669" s="400"/>
      <c r="K3669" s="401"/>
      <c r="L3669" s="401"/>
    </row>
    <row r="3670" spans="1:12" ht="13">
      <c r="A3670" s="454"/>
      <c r="B3670" s="454"/>
      <c r="C3670" s="433" t="s">
        <v>1175</v>
      </c>
      <c r="D3670" s="408"/>
      <c r="E3670" s="454"/>
      <c r="F3670" s="408"/>
      <c r="G3670" s="430"/>
      <c r="H3670" s="454"/>
      <c r="I3670" s="434">
        <f>SUM(I3660:I3669)</f>
        <v>7422.9154119999994</v>
      </c>
      <c r="J3670" s="400"/>
      <c r="K3670" s="401"/>
      <c r="L3670" s="401"/>
    </row>
    <row r="3671" spans="1:12" ht="13">
      <c r="A3671" s="454"/>
      <c r="B3671" s="454"/>
      <c r="C3671" s="433"/>
      <c r="D3671" s="408"/>
      <c r="E3671" s="454"/>
      <c r="F3671" s="408"/>
      <c r="G3671" s="430"/>
      <c r="H3671" s="454"/>
      <c r="I3671" s="409"/>
      <c r="J3671" s="400"/>
      <c r="K3671" s="401"/>
      <c r="L3671" s="401"/>
    </row>
    <row r="3672" spans="1:12" s="554" customFormat="1" ht="13">
      <c r="A3672" s="454"/>
      <c r="B3672" s="454"/>
      <c r="C3672" s="481" t="s">
        <v>953</v>
      </c>
      <c r="D3672" s="414" t="s">
        <v>959</v>
      </c>
      <c r="E3672" s="416" t="s">
        <v>943</v>
      </c>
      <c r="F3672" s="415" t="s">
        <v>944</v>
      </c>
      <c r="G3672" s="414" t="s">
        <v>1036</v>
      </c>
      <c r="H3672" s="414" t="s">
        <v>1037</v>
      </c>
      <c r="I3672" s="414" t="s">
        <v>947</v>
      </c>
      <c r="J3672" s="638" t="s">
        <v>1118</v>
      </c>
      <c r="K3672" s="636" t="s">
        <v>1119</v>
      </c>
      <c r="L3672" s="636" t="s">
        <v>950</v>
      </c>
    </row>
    <row r="3673" spans="1:12">
      <c r="A3673" s="454"/>
      <c r="B3673" s="454"/>
      <c r="C3673" s="417" t="s">
        <v>1064</v>
      </c>
      <c r="D3673" s="408">
        <f t="shared" ref="D3673:L3673" si="855">$I$3670</f>
        <v>7422.9154119999994</v>
      </c>
      <c r="E3673" s="408">
        <f t="shared" si="855"/>
        <v>7422.9154119999994</v>
      </c>
      <c r="F3673" s="408">
        <f t="shared" si="855"/>
        <v>7422.9154119999994</v>
      </c>
      <c r="G3673" s="408">
        <f t="shared" si="855"/>
        <v>7422.9154119999994</v>
      </c>
      <c r="H3673" s="408">
        <f t="shared" si="855"/>
        <v>7422.9154119999994</v>
      </c>
      <c r="I3673" s="408">
        <f t="shared" si="855"/>
        <v>7422.9154119999994</v>
      </c>
      <c r="J3673" s="575">
        <f t="shared" si="855"/>
        <v>7422.9154119999994</v>
      </c>
      <c r="K3673" s="644">
        <f t="shared" si="855"/>
        <v>7422.9154119999994</v>
      </c>
      <c r="L3673" s="644">
        <f t="shared" si="855"/>
        <v>7422.9154119999994</v>
      </c>
    </row>
    <row r="3674" spans="1:12">
      <c r="A3674" s="454"/>
      <c r="B3674" s="454"/>
      <c r="C3674" s="417" t="s">
        <v>994</v>
      </c>
      <c r="D3674" s="408">
        <v>0</v>
      </c>
      <c r="E3674" s="408">
        <f>ROUND($F$3668*10%,2)</f>
        <v>86.26</v>
      </c>
      <c r="F3674" s="408">
        <f>ROUND($F$3668*20%,2)</f>
        <v>172.52</v>
      </c>
      <c r="G3674" s="408">
        <f>ROUND($F$3668*30%,2)</f>
        <v>258.77999999999997</v>
      </c>
      <c r="H3674" s="408">
        <f>ROUND($F$3668*40%,2)</f>
        <v>345.04</v>
      </c>
      <c r="I3674" s="408">
        <f>ROUND($F$3668*50%,2)</f>
        <v>431.3</v>
      </c>
      <c r="J3674" s="575">
        <f>ROUND($F$3668*60%,2)</f>
        <v>517.55999999999995</v>
      </c>
      <c r="K3674" s="644">
        <f>ROUND($F$3668*70%,2)</f>
        <v>603.82000000000005</v>
      </c>
      <c r="L3674" s="644">
        <f>ROUND($F$3668*80%,2)</f>
        <v>690.08</v>
      </c>
    </row>
    <row r="3675" spans="1:12">
      <c r="A3675" s="454"/>
      <c r="B3675" s="454"/>
      <c r="C3675" s="417" t="str">
        <f>[161]Input!$C$47</f>
        <v>Add for MA @ 40%</v>
      </c>
      <c r="D3675" s="408">
        <f>D3674*[161]Input!$D$47</f>
        <v>0</v>
      </c>
      <c r="E3675" s="408">
        <f>E3674*[161]Input!$D$47</f>
        <v>34.504000000000005</v>
      </c>
      <c r="F3675" s="408">
        <f>F3674*[161]Input!$D$47</f>
        <v>69.00800000000001</v>
      </c>
      <c r="G3675" s="408">
        <f>G3674*[161]Input!$D$47</f>
        <v>103.512</v>
      </c>
      <c r="H3675" s="408">
        <f>H3674*[161]Input!$D$47</f>
        <v>138.01600000000002</v>
      </c>
      <c r="I3675" s="408">
        <f>I3674*[161]Input!$D$47</f>
        <v>172.52</v>
      </c>
      <c r="J3675" s="575">
        <f>J3674*[161]Input!$D$47</f>
        <v>207.024</v>
      </c>
      <c r="K3675" s="644">
        <f>K3674*[161]Input!$D$47</f>
        <v>241.52800000000002</v>
      </c>
      <c r="L3675" s="644">
        <f>L3674*[161]Input!$D$47</f>
        <v>276.03200000000004</v>
      </c>
    </row>
    <row r="3676" spans="1:12">
      <c r="A3676" s="454"/>
      <c r="B3676" s="454"/>
      <c r="C3676" s="469"/>
      <c r="D3676" s="408">
        <f t="shared" ref="D3676:L3676" si="856">SUM(D3673:D3675)</f>
        <v>7422.9154119999994</v>
      </c>
      <c r="E3676" s="408">
        <f t="shared" si="856"/>
        <v>7543.6794119999995</v>
      </c>
      <c r="F3676" s="408">
        <f t="shared" si="856"/>
        <v>7664.4434119999996</v>
      </c>
      <c r="G3676" s="408">
        <f t="shared" si="856"/>
        <v>7785.2074119999988</v>
      </c>
      <c r="H3676" s="408">
        <f t="shared" si="856"/>
        <v>7905.971411999999</v>
      </c>
      <c r="I3676" s="408">
        <f t="shared" si="856"/>
        <v>8026.735412</v>
      </c>
      <c r="J3676" s="575">
        <f t="shared" si="856"/>
        <v>8147.4994120000001</v>
      </c>
      <c r="K3676" s="644">
        <f t="shared" si="856"/>
        <v>8268.2634119999984</v>
      </c>
      <c r="L3676" s="644">
        <f t="shared" si="856"/>
        <v>8389.0274119999995</v>
      </c>
    </row>
    <row r="3677" spans="1:12" ht="25">
      <c r="A3677" s="454"/>
      <c r="B3677" s="454"/>
      <c r="C3677" s="417" t="str">
        <f>[161]Input!$C$48</f>
        <v>Overheads &amp; Contractors Profit @ 13.615%</v>
      </c>
      <c r="D3677" s="408">
        <f>ROUND(D3676*[161]Input!$D$48,2)</f>
        <v>1010.63</v>
      </c>
      <c r="E3677" s="408">
        <f>ROUND(E3676*[161]Input!$D$48,2)</f>
        <v>1027.07</v>
      </c>
      <c r="F3677" s="408">
        <f>ROUND(F3676*[161]Input!$D$48,2)</f>
        <v>1043.51</v>
      </c>
      <c r="G3677" s="408">
        <f>ROUND(G3676*[161]Input!$D$48,2)</f>
        <v>1059.96</v>
      </c>
      <c r="H3677" s="408">
        <f>ROUND(H3676*[161]Input!$D$48,2)</f>
        <v>1076.4000000000001</v>
      </c>
      <c r="I3677" s="408">
        <f>ROUND(I3676*[161]Input!$D$48,2)</f>
        <v>1092.8399999999999</v>
      </c>
      <c r="J3677" s="575">
        <f>ROUND(J3676*[161]Input!$D$48,2)</f>
        <v>1109.28</v>
      </c>
      <c r="K3677" s="644">
        <f>ROUND(K3676*[161]Input!$D$48,2)</f>
        <v>1125.72</v>
      </c>
      <c r="L3677" s="644">
        <f>ROUND(L3676*[161]Input!$D$48,2)</f>
        <v>1142.17</v>
      </c>
    </row>
    <row r="3678" spans="1:12" ht="13">
      <c r="A3678" s="454"/>
      <c r="B3678" s="454"/>
      <c r="C3678" s="427" t="s">
        <v>1047</v>
      </c>
      <c r="D3678" s="414">
        <f t="shared" ref="D3678:L3678" si="857">SUM(D3676:D3677)</f>
        <v>8433.5454119999995</v>
      </c>
      <c r="E3678" s="414">
        <f t="shared" si="857"/>
        <v>8570.7494119999992</v>
      </c>
      <c r="F3678" s="414">
        <f t="shared" si="857"/>
        <v>8707.9534119999989</v>
      </c>
      <c r="G3678" s="414">
        <f t="shared" si="857"/>
        <v>8845.1674119999989</v>
      </c>
      <c r="H3678" s="414">
        <f t="shared" si="857"/>
        <v>8982.3714119999986</v>
      </c>
      <c r="I3678" s="414">
        <f t="shared" si="857"/>
        <v>9119.5754120000001</v>
      </c>
      <c r="J3678" s="657">
        <f t="shared" si="857"/>
        <v>9256.7794119999999</v>
      </c>
      <c r="K3678" s="631">
        <f t="shared" si="857"/>
        <v>9393.9834119999978</v>
      </c>
      <c r="L3678" s="631">
        <f t="shared" si="857"/>
        <v>9531.1974119999995</v>
      </c>
    </row>
    <row r="3679" spans="1:12" ht="13">
      <c r="A3679" s="454"/>
      <c r="B3679" s="454"/>
      <c r="C3679" s="427" t="s">
        <v>845</v>
      </c>
      <c r="D3679" s="414">
        <f t="shared" ref="D3679:L3679" si="858">D3678/10</f>
        <v>843.35454119999997</v>
      </c>
      <c r="E3679" s="414">
        <f t="shared" si="858"/>
        <v>857.0749411999999</v>
      </c>
      <c r="F3679" s="414">
        <f t="shared" si="858"/>
        <v>870.79534119999994</v>
      </c>
      <c r="G3679" s="414">
        <f t="shared" si="858"/>
        <v>884.51674119999984</v>
      </c>
      <c r="H3679" s="414">
        <f t="shared" si="858"/>
        <v>898.23714119999988</v>
      </c>
      <c r="I3679" s="414">
        <f t="shared" si="858"/>
        <v>911.95754120000004</v>
      </c>
      <c r="J3679" s="657">
        <f t="shared" si="858"/>
        <v>925.67794119999996</v>
      </c>
      <c r="K3679" s="631">
        <f t="shared" si="858"/>
        <v>939.39834119999978</v>
      </c>
      <c r="L3679" s="631">
        <f t="shared" si="858"/>
        <v>953.11974119999991</v>
      </c>
    </row>
    <row r="3680" spans="1:12" s="554" customFormat="1" ht="13">
      <c r="A3680" s="454"/>
      <c r="B3680" s="454"/>
      <c r="C3680" s="522" t="s">
        <v>726</v>
      </c>
      <c r="D3680" s="416">
        <f t="shared" ref="D3680:L3680" si="859">ROUND(D3679,0)</f>
        <v>843</v>
      </c>
      <c r="E3680" s="416">
        <f t="shared" si="859"/>
        <v>857</v>
      </c>
      <c r="F3680" s="416">
        <f t="shared" si="859"/>
        <v>871</v>
      </c>
      <c r="G3680" s="416">
        <f t="shared" si="859"/>
        <v>885</v>
      </c>
      <c r="H3680" s="416">
        <f t="shared" si="859"/>
        <v>898</v>
      </c>
      <c r="I3680" s="416">
        <f t="shared" si="859"/>
        <v>912</v>
      </c>
      <c r="J3680" s="533">
        <f t="shared" si="859"/>
        <v>926</v>
      </c>
      <c r="K3680" s="534">
        <f t="shared" si="859"/>
        <v>939</v>
      </c>
      <c r="L3680" s="534">
        <f t="shared" si="859"/>
        <v>953</v>
      </c>
    </row>
    <row r="3681" spans="1:64" ht="13">
      <c r="A3681" s="454"/>
      <c r="B3681" s="454"/>
      <c r="C3681" s="469"/>
      <c r="D3681" s="408"/>
      <c r="E3681" s="408"/>
      <c r="F3681" s="408"/>
      <c r="G3681" s="426"/>
      <c r="H3681" s="415"/>
      <c r="I3681" s="414"/>
      <c r="J3681" s="400"/>
      <c r="K3681" s="401"/>
      <c r="L3681" s="401"/>
    </row>
    <row r="3682" spans="1:64" ht="13">
      <c r="A3682" s="454"/>
      <c r="B3682" s="454"/>
      <c r="C3682" s="427" t="s">
        <v>953</v>
      </c>
      <c r="D3682" s="414" t="s">
        <v>1118</v>
      </c>
      <c r="E3682" s="414" t="s">
        <v>1119</v>
      </c>
      <c r="F3682" s="414" t="s">
        <v>950</v>
      </c>
      <c r="G3682" s="426"/>
      <c r="H3682" s="415"/>
      <c r="I3682" s="414"/>
      <c r="J3682" s="400"/>
      <c r="K3682" s="401"/>
      <c r="L3682" s="401"/>
    </row>
    <row r="3683" spans="1:64" ht="13">
      <c r="A3683" s="454"/>
      <c r="B3683" s="454"/>
      <c r="C3683" s="417" t="s">
        <v>1064</v>
      </c>
      <c r="D3683" s="408">
        <f>$I$3670</f>
        <v>7422.9154119999994</v>
      </c>
      <c r="E3683" s="408">
        <f>$I$3670</f>
        <v>7422.9154119999994</v>
      </c>
      <c r="F3683" s="408">
        <f>$I$3670</f>
        <v>7422.9154119999994</v>
      </c>
      <c r="G3683" s="426"/>
      <c r="H3683" s="415"/>
      <c r="I3683" s="414"/>
      <c r="J3683" s="400"/>
      <c r="K3683" s="401"/>
      <c r="L3683" s="401"/>
    </row>
    <row r="3684" spans="1:64" ht="13">
      <c r="A3684" s="454"/>
      <c r="B3684" s="454"/>
      <c r="C3684" s="417" t="s">
        <v>1300</v>
      </c>
      <c r="D3684" s="408">
        <f>ROUND($F$3668*60%,2)</f>
        <v>517.55999999999995</v>
      </c>
      <c r="E3684" s="408">
        <f>ROUND($F$3668*70%,2)</f>
        <v>603.82000000000005</v>
      </c>
      <c r="F3684" s="408">
        <f>ROUND($F$3668*80%,2)</f>
        <v>690.08</v>
      </c>
      <c r="G3684" s="426"/>
      <c r="H3684" s="415"/>
      <c r="I3684" s="414"/>
      <c r="J3684" s="400"/>
      <c r="K3684" s="401"/>
      <c r="L3684" s="401"/>
    </row>
    <row r="3685" spans="1:64" ht="13">
      <c r="A3685" s="454"/>
      <c r="B3685" s="454"/>
      <c r="C3685" s="417" t="str">
        <f>[161]Input!$C$47</f>
        <v>Add for MA @ 40%</v>
      </c>
      <c r="D3685" s="408">
        <f>D3684*[161]Input!$D$47</f>
        <v>207.024</v>
      </c>
      <c r="E3685" s="408">
        <f>E3684*[161]Input!$D$47</f>
        <v>241.52800000000002</v>
      </c>
      <c r="F3685" s="408">
        <f>F3684*[161]Input!$D$47</f>
        <v>276.03200000000004</v>
      </c>
      <c r="G3685" s="426"/>
      <c r="H3685" s="415"/>
      <c r="I3685" s="414"/>
      <c r="J3685" s="400"/>
      <c r="K3685" s="401"/>
      <c r="L3685" s="401"/>
    </row>
    <row r="3686" spans="1:64" ht="13">
      <c r="A3686" s="454"/>
      <c r="B3686" s="454"/>
      <c r="C3686" s="435"/>
      <c r="D3686" s="408">
        <f>SUM(D3683:D3685)</f>
        <v>8147.4994120000001</v>
      </c>
      <c r="E3686" s="408">
        <f>SUM(E3683:E3685)</f>
        <v>8268.2634119999984</v>
      </c>
      <c r="F3686" s="408">
        <f>SUM(F3683:F3685)</f>
        <v>8389.0274119999995</v>
      </c>
      <c r="G3686" s="426"/>
      <c r="H3686" s="415"/>
      <c r="I3686" s="414"/>
      <c r="J3686" s="400"/>
      <c r="K3686" s="401"/>
      <c r="L3686" s="401"/>
    </row>
    <row r="3687" spans="1:64" ht="25">
      <c r="A3687" s="454"/>
      <c r="B3687" s="454"/>
      <c r="C3687" s="417" t="str">
        <f>[161]Input!$C$48</f>
        <v>Overheads &amp; Contractors Profit @ 13.615%</v>
      </c>
      <c r="D3687" s="408">
        <f>ROUND(D3686*[161]Input!$D$48,2)</f>
        <v>1109.28</v>
      </c>
      <c r="E3687" s="408">
        <f>ROUND(E3686*[161]Input!$D$48,2)</f>
        <v>1125.72</v>
      </c>
      <c r="F3687" s="408">
        <f>ROUND(F3686*[161]Input!$D$48,2)</f>
        <v>1142.17</v>
      </c>
      <c r="G3687" s="426"/>
      <c r="H3687" s="415"/>
      <c r="I3687" s="414"/>
      <c r="J3687" s="400"/>
      <c r="K3687" s="401"/>
      <c r="L3687" s="401"/>
    </row>
    <row r="3688" spans="1:64" ht="13">
      <c r="A3688" s="454"/>
      <c r="B3688" s="454"/>
      <c r="C3688" s="427" t="s">
        <v>1047</v>
      </c>
      <c r="D3688" s="414">
        <f>SUM(D3686:D3687)</f>
        <v>9256.7794119999999</v>
      </c>
      <c r="E3688" s="414">
        <f>SUM(E3686:E3687)</f>
        <v>9393.9834119999978</v>
      </c>
      <c r="F3688" s="414">
        <f>SUM(F3686:F3687)</f>
        <v>9531.1974119999995</v>
      </c>
      <c r="G3688" s="426"/>
      <c r="H3688" s="415"/>
      <c r="I3688" s="414"/>
      <c r="J3688" s="400"/>
      <c r="K3688" s="401"/>
      <c r="L3688" s="401"/>
    </row>
    <row r="3689" spans="1:64" ht="13">
      <c r="A3689" s="454"/>
      <c r="B3689" s="454"/>
      <c r="C3689" s="427" t="s">
        <v>845</v>
      </c>
      <c r="D3689" s="414">
        <f>D3688/10</f>
        <v>925.67794119999996</v>
      </c>
      <c r="E3689" s="414">
        <f>E3688/10</f>
        <v>939.39834119999978</v>
      </c>
      <c r="F3689" s="414">
        <f>F3688/10</f>
        <v>953.11974119999991</v>
      </c>
      <c r="G3689" s="426"/>
      <c r="H3689" s="415"/>
      <c r="I3689" s="414"/>
      <c r="J3689" s="400"/>
      <c r="K3689" s="401"/>
      <c r="L3689" s="401"/>
    </row>
    <row r="3690" spans="1:64" ht="13">
      <c r="A3690" s="454"/>
      <c r="B3690" s="454"/>
      <c r="C3690" s="514" t="s">
        <v>726</v>
      </c>
      <c r="D3690" s="416">
        <f>ROUND(D3689,0)</f>
        <v>926</v>
      </c>
      <c r="E3690" s="416">
        <f>ROUND(E3689,0)</f>
        <v>939</v>
      </c>
      <c r="F3690" s="416">
        <f>ROUND(F3689,0)</f>
        <v>953</v>
      </c>
      <c r="G3690" s="426"/>
      <c r="H3690" s="415"/>
      <c r="I3690" s="414"/>
      <c r="J3690" s="400"/>
      <c r="K3690" s="401"/>
      <c r="L3690" s="401"/>
    </row>
    <row r="3691" spans="1:64" ht="13">
      <c r="A3691" s="454"/>
      <c r="B3691" s="454"/>
      <c r="C3691" s="469"/>
      <c r="D3691" s="408"/>
      <c r="E3691" s="408"/>
      <c r="F3691" s="408"/>
      <c r="G3691" s="426"/>
      <c r="H3691" s="415"/>
      <c r="I3691" s="414"/>
      <c r="J3691" s="400"/>
      <c r="K3691" s="401"/>
      <c r="L3691" s="401"/>
    </row>
    <row r="3692" spans="1:64" ht="76.150000000000006" customHeight="1">
      <c r="A3692" s="1277">
        <f>A3656+1</f>
        <v>14</v>
      </c>
      <c r="B3692" s="1277"/>
      <c r="C3692" s="1276" t="s">
        <v>1301</v>
      </c>
      <c r="D3692" s="1276"/>
      <c r="E3692" s="1276"/>
      <c r="F3692" s="1276"/>
      <c r="G3692" s="1276"/>
      <c r="H3692" s="1276"/>
      <c r="I3692" s="407"/>
      <c r="J3692" s="718"/>
      <c r="K3692" s="719"/>
      <c r="L3692" s="719"/>
      <c r="M3692" s="720"/>
      <c r="N3692" s="720"/>
      <c r="O3692" s="720"/>
      <c r="P3692" s="720"/>
      <c r="Q3692" s="720"/>
      <c r="R3692" s="720"/>
      <c r="S3692" s="720"/>
      <c r="T3692" s="720"/>
      <c r="U3692" s="720"/>
      <c r="V3692" s="720"/>
      <c r="W3692" s="720"/>
      <c r="X3692" s="720"/>
      <c r="Y3692" s="720"/>
      <c r="Z3692" s="720"/>
      <c r="AA3692" s="720"/>
      <c r="AB3692" s="720"/>
      <c r="AC3692" s="720"/>
      <c r="AD3692" s="720"/>
      <c r="AE3692" s="720"/>
      <c r="AF3692" s="720"/>
      <c r="AG3692" s="720"/>
      <c r="AH3692" s="720"/>
      <c r="AI3692" s="720"/>
      <c r="AJ3692" s="720"/>
      <c r="AK3692" s="720"/>
      <c r="AL3692" s="720"/>
      <c r="AM3692" s="720"/>
      <c r="AN3692" s="720"/>
      <c r="AO3692" s="720"/>
      <c r="AP3692" s="720"/>
      <c r="AQ3692" s="720"/>
      <c r="AR3692" s="720"/>
      <c r="AS3692" s="720"/>
      <c r="AT3692" s="720"/>
      <c r="AU3692" s="720"/>
      <c r="AV3692" s="720"/>
      <c r="AW3692" s="720"/>
      <c r="AX3692" s="720"/>
      <c r="AY3692" s="720"/>
      <c r="AZ3692" s="720"/>
      <c r="BA3692" s="720"/>
      <c r="BB3692" s="720"/>
      <c r="BC3692" s="720"/>
      <c r="BD3692" s="720"/>
      <c r="BE3692" s="720"/>
      <c r="BF3692" s="720"/>
      <c r="BG3692" s="720"/>
      <c r="BH3692" s="720"/>
      <c r="BI3692" s="720"/>
      <c r="BJ3692" s="720"/>
      <c r="BK3692" s="720"/>
      <c r="BL3692" s="720"/>
    </row>
    <row r="3693" spans="1:64" ht="13">
      <c r="A3693" s="406"/>
      <c r="B3693" s="426"/>
      <c r="C3693" s="427" t="s">
        <v>1302</v>
      </c>
      <c r="D3693" s="406"/>
      <c r="E3693" s="406"/>
      <c r="F3693" s="406"/>
      <c r="G3693" s="406"/>
      <c r="H3693" s="406"/>
      <c r="I3693" s="432"/>
      <c r="J3693" s="718"/>
      <c r="K3693" s="719"/>
      <c r="L3693" s="719"/>
      <c r="M3693" s="720"/>
      <c r="N3693" s="720"/>
      <c r="O3693" s="720"/>
      <c r="P3693" s="720"/>
      <c r="Q3693" s="720"/>
      <c r="R3693" s="720"/>
      <c r="S3693" s="720"/>
      <c r="T3693" s="720"/>
      <c r="U3693" s="720"/>
      <c r="V3693" s="720"/>
      <c r="W3693" s="720"/>
      <c r="X3693" s="720"/>
      <c r="Y3693" s="720"/>
      <c r="Z3693" s="720"/>
      <c r="AA3693" s="720"/>
      <c r="AB3693" s="720"/>
      <c r="AC3693" s="720"/>
      <c r="AD3693" s="720"/>
      <c r="AE3693" s="720"/>
      <c r="AF3693" s="720"/>
      <c r="AG3693" s="720"/>
      <c r="AH3693" s="720"/>
      <c r="AI3693" s="720"/>
      <c r="AJ3693" s="720"/>
      <c r="AK3693" s="720"/>
      <c r="AL3693" s="720"/>
      <c r="AM3693" s="720"/>
      <c r="AN3693" s="720"/>
      <c r="AO3693" s="720"/>
      <c r="AP3693" s="720"/>
      <c r="AQ3693" s="720"/>
      <c r="AR3693" s="720"/>
      <c r="AS3693" s="720"/>
      <c r="AT3693" s="720"/>
      <c r="AU3693" s="720"/>
      <c r="AV3693" s="720"/>
      <c r="AW3693" s="720"/>
      <c r="AX3693" s="720"/>
      <c r="AY3693" s="720"/>
      <c r="AZ3693" s="720"/>
      <c r="BA3693" s="720"/>
      <c r="BB3693" s="720"/>
      <c r="BC3693" s="720"/>
      <c r="BD3693" s="720"/>
      <c r="BE3693" s="720"/>
      <c r="BF3693" s="720"/>
      <c r="BG3693" s="720"/>
      <c r="BH3693" s="720"/>
      <c r="BI3693" s="720"/>
      <c r="BJ3693" s="720"/>
      <c r="BK3693" s="720"/>
      <c r="BL3693" s="720"/>
    </row>
    <row r="3694" spans="1:64">
      <c r="A3694" s="406"/>
      <c r="B3694" s="426"/>
      <c r="C3694" s="417" t="s">
        <v>1303</v>
      </c>
      <c r="D3694" s="406"/>
      <c r="E3694" s="406"/>
      <c r="F3694" s="406"/>
      <c r="G3694" s="406"/>
      <c r="H3694" s="406"/>
      <c r="I3694" s="432"/>
      <c r="J3694" s="718"/>
      <c r="K3694" s="719"/>
      <c r="L3694" s="719"/>
      <c r="M3694" s="720"/>
      <c r="N3694" s="720"/>
      <c r="O3694" s="720"/>
      <c r="P3694" s="720"/>
      <c r="Q3694" s="720"/>
      <c r="R3694" s="720"/>
      <c r="S3694" s="720"/>
      <c r="T3694" s="720"/>
      <c r="U3694" s="720"/>
      <c r="V3694" s="720"/>
      <c r="W3694" s="720"/>
      <c r="X3694" s="720"/>
      <c r="Y3694" s="720"/>
      <c r="Z3694" s="720"/>
      <c r="AA3694" s="720"/>
      <c r="AB3694" s="720"/>
      <c r="AC3694" s="720"/>
      <c r="AD3694" s="720"/>
      <c r="AE3694" s="720"/>
      <c r="AF3694" s="720"/>
      <c r="AG3694" s="720"/>
      <c r="AH3694" s="720"/>
      <c r="AI3694" s="720"/>
      <c r="AJ3694" s="720"/>
      <c r="AK3694" s="720"/>
      <c r="AL3694" s="720"/>
      <c r="AM3694" s="720"/>
      <c r="AN3694" s="720"/>
      <c r="AO3694" s="720"/>
      <c r="AP3694" s="720"/>
      <c r="AQ3694" s="720"/>
      <c r="AR3694" s="720"/>
      <c r="AS3694" s="720"/>
      <c r="AT3694" s="720"/>
      <c r="AU3694" s="720"/>
      <c r="AV3694" s="720"/>
      <c r="AW3694" s="720"/>
      <c r="AX3694" s="720"/>
      <c r="AY3694" s="720"/>
      <c r="AZ3694" s="720"/>
      <c r="BA3694" s="720"/>
      <c r="BB3694" s="720"/>
      <c r="BC3694" s="720"/>
      <c r="BD3694" s="720"/>
      <c r="BE3694" s="720"/>
      <c r="BF3694" s="720"/>
      <c r="BG3694" s="720"/>
      <c r="BH3694" s="720"/>
      <c r="BI3694" s="720"/>
      <c r="BJ3694" s="720"/>
      <c r="BK3694" s="720"/>
      <c r="BL3694" s="720"/>
    </row>
    <row r="3695" spans="1:64" ht="13">
      <c r="A3695" s="406"/>
      <c r="B3695" s="426"/>
      <c r="C3695" s="427" t="s">
        <v>1304</v>
      </c>
      <c r="D3695" s="406"/>
      <c r="E3695" s="406"/>
      <c r="F3695" s="406"/>
      <c r="G3695" s="406"/>
      <c r="H3695" s="406"/>
      <c r="I3695" s="432"/>
      <c r="J3695" s="718"/>
      <c r="K3695" s="719"/>
      <c r="L3695" s="719"/>
      <c r="M3695" s="720"/>
      <c r="N3695" s="720"/>
      <c r="O3695" s="720"/>
      <c r="P3695" s="720"/>
      <c r="Q3695" s="720"/>
      <c r="R3695" s="720"/>
      <c r="S3695" s="720"/>
      <c r="T3695" s="720"/>
      <c r="U3695" s="720"/>
      <c r="V3695" s="720"/>
      <c r="W3695" s="720"/>
      <c r="X3695" s="720"/>
      <c r="Y3695" s="720"/>
      <c r="Z3695" s="720"/>
      <c r="AA3695" s="720"/>
      <c r="AB3695" s="720"/>
      <c r="AC3695" s="720"/>
      <c r="AD3695" s="720"/>
      <c r="AE3695" s="720"/>
      <c r="AF3695" s="720"/>
      <c r="AG3695" s="720"/>
      <c r="AH3695" s="720"/>
      <c r="AI3695" s="720"/>
      <c r="AJ3695" s="720"/>
      <c r="AK3695" s="720"/>
      <c r="AL3695" s="720"/>
      <c r="AM3695" s="720"/>
      <c r="AN3695" s="720"/>
      <c r="AO3695" s="720"/>
      <c r="AP3695" s="720"/>
      <c r="AQ3695" s="720"/>
      <c r="AR3695" s="720"/>
      <c r="AS3695" s="720"/>
      <c r="AT3695" s="720"/>
      <c r="AU3695" s="720"/>
      <c r="AV3695" s="720"/>
      <c r="AW3695" s="720"/>
      <c r="AX3695" s="720"/>
      <c r="AY3695" s="720"/>
      <c r="AZ3695" s="720"/>
      <c r="BA3695" s="720"/>
      <c r="BB3695" s="720"/>
      <c r="BC3695" s="720"/>
      <c r="BD3695" s="720"/>
      <c r="BE3695" s="720"/>
      <c r="BF3695" s="720"/>
      <c r="BG3695" s="720"/>
      <c r="BH3695" s="720"/>
      <c r="BI3695" s="720"/>
      <c r="BJ3695" s="720"/>
      <c r="BK3695" s="720"/>
      <c r="BL3695" s="720"/>
    </row>
    <row r="3696" spans="1:64">
      <c r="A3696" s="406"/>
      <c r="B3696" s="406"/>
      <c r="C3696" s="417" t="s">
        <v>504</v>
      </c>
      <c r="D3696" s="459">
        <v>129.6</v>
      </c>
      <c r="E3696" s="459" t="s">
        <v>833</v>
      </c>
      <c r="F3696" s="459">
        <f>[161]LEAD!$N$6</f>
        <v>5200</v>
      </c>
      <c r="G3696" s="460">
        <v>1000</v>
      </c>
      <c r="H3696" s="599" t="str">
        <f>IF(E3696="","",IF(E3696="No.","Each",IF(E3696="Nos.","Each",E3696)))</f>
        <v>Kgs</v>
      </c>
      <c r="I3696" s="459">
        <f>IF(G3696="",D3696*F3696,(D3696*F3696/G3696))</f>
        <v>673.92</v>
      </c>
      <c r="J3696" s="718"/>
      <c r="K3696" s="719"/>
      <c r="L3696" s="719"/>
      <c r="M3696" s="720"/>
      <c r="N3696" s="720"/>
      <c r="O3696" s="720"/>
      <c r="P3696" s="720"/>
      <c r="Q3696" s="720"/>
      <c r="R3696" s="720"/>
      <c r="S3696" s="720"/>
      <c r="T3696" s="720"/>
      <c r="U3696" s="720"/>
      <c r="V3696" s="720"/>
      <c r="W3696" s="720"/>
      <c r="X3696" s="720"/>
      <c r="Y3696" s="720"/>
      <c r="Z3696" s="720"/>
      <c r="AA3696" s="720"/>
      <c r="AB3696" s="720"/>
      <c r="AC3696" s="720"/>
      <c r="AD3696" s="720"/>
      <c r="AE3696" s="720"/>
      <c r="AF3696" s="720"/>
      <c r="AG3696" s="720"/>
      <c r="AH3696" s="720"/>
      <c r="AI3696" s="720"/>
      <c r="AJ3696" s="720"/>
      <c r="AK3696" s="720"/>
      <c r="AL3696" s="720"/>
      <c r="AM3696" s="720"/>
      <c r="AN3696" s="720"/>
      <c r="AO3696" s="720"/>
      <c r="AP3696" s="720"/>
      <c r="AQ3696" s="720"/>
      <c r="AR3696" s="720"/>
      <c r="AS3696" s="720"/>
      <c r="AT3696" s="720"/>
      <c r="AU3696" s="720"/>
      <c r="AV3696" s="720"/>
      <c r="AW3696" s="720"/>
      <c r="AX3696" s="720"/>
      <c r="AY3696" s="720"/>
      <c r="AZ3696" s="720"/>
      <c r="BA3696" s="720"/>
      <c r="BB3696" s="720"/>
      <c r="BC3696" s="720"/>
      <c r="BD3696" s="720"/>
      <c r="BE3696" s="720"/>
      <c r="BF3696" s="720"/>
      <c r="BG3696" s="720"/>
      <c r="BH3696" s="720"/>
      <c r="BI3696" s="720"/>
      <c r="BJ3696" s="720"/>
      <c r="BK3696" s="720"/>
      <c r="BL3696" s="720"/>
    </row>
    <row r="3697" spans="1:64">
      <c r="A3697" s="406"/>
      <c r="B3697" s="406"/>
      <c r="C3697" s="417" t="s">
        <v>1305</v>
      </c>
      <c r="D3697" s="431">
        <v>460</v>
      </c>
      <c r="E3697" s="406" t="s">
        <v>375</v>
      </c>
      <c r="F3697" s="432">
        <f>[161]LEAD!$N$15</f>
        <v>9136.41</v>
      </c>
      <c r="G3697" s="431">
        <v>1000</v>
      </c>
      <c r="H3697" s="406" t="s">
        <v>375</v>
      </c>
      <c r="I3697" s="459">
        <f>IF(G3697="",D3697*F3697,(D3697*F3697/G3697))/3</f>
        <v>1400.9161999999999</v>
      </c>
      <c r="J3697" s="718"/>
      <c r="K3697" s="719"/>
      <c r="L3697" s="719"/>
      <c r="M3697" s="720"/>
      <c r="N3697" s="720"/>
      <c r="O3697" s="720"/>
      <c r="P3697" s="720"/>
      <c r="Q3697" s="720"/>
      <c r="R3697" s="720"/>
      <c r="S3697" s="720"/>
      <c r="T3697" s="720"/>
      <c r="U3697" s="720"/>
      <c r="V3697" s="720"/>
      <c r="W3697" s="720"/>
      <c r="X3697" s="720"/>
      <c r="Y3697" s="720"/>
      <c r="Z3697" s="720"/>
      <c r="AA3697" s="720"/>
      <c r="AB3697" s="720"/>
      <c r="AC3697" s="720"/>
      <c r="AD3697" s="720"/>
      <c r="AE3697" s="720"/>
      <c r="AF3697" s="720"/>
      <c r="AG3697" s="720"/>
      <c r="AH3697" s="720"/>
      <c r="AI3697" s="720"/>
      <c r="AJ3697" s="720"/>
      <c r="AK3697" s="720"/>
      <c r="AL3697" s="720"/>
      <c r="AM3697" s="720"/>
      <c r="AN3697" s="720"/>
      <c r="AO3697" s="720"/>
      <c r="AP3697" s="720"/>
      <c r="AQ3697" s="720"/>
      <c r="AR3697" s="720"/>
      <c r="AS3697" s="720"/>
      <c r="AT3697" s="720"/>
      <c r="AU3697" s="720"/>
      <c r="AV3697" s="720"/>
      <c r="AW3697" s="720"/>
      <c r="AX3697" s="720"/>
      <c r="AY3697" s="720"/>
      <c r="AZ3697" s="720"/>
      <c r="BA3697" s="720"/>
      <c r="BB3697" s="720"/>
      <c r="BC3697" s="720"/>
      <c r="BD3697" s="720"/>
      <c r="BE3697" s="720"/>
      <c r="BF3697" s="720"/>
      <c r="BG3697" s="720"/>
      <c r="BH3697" s="720"/>
      <c r="BI3697" s="720"/>
      <c r="BJ3697" s="720"/>
      <c r="BK3697" s="720"/>
      <c r="BL3697" s="720"/>
    </row>
    <row r="3698" spans="1:64">
      <c r="A3698" s="406"/>
      <c r="B3698" s="406"/>
      <c r="C3698" s="417" t="s">
        <v>875</v>
      </c>
      <c r="D3698" s="459">
        <v>0.45</v>
      </c>
      <c r="E3698" s="459" t="s">
        <v>57</v>
      </c>
      <c r="F3698" s="459">
        <f>[161]LEAD!$N$12</f>
        <v>2253.91</v>
      </c>
      <c r="G3698" s="460">
        <v>1</v>
      </c>
      <c r="H3698" s="599" t="str">
        <f t="shared" ref="H3698:H3699" si="860">IF(E3698="","",IF(E3698="No.","Each",IF(E3698="Nos.","Each",E3698)))</f>
        <v>Cum</v>
      </c>
      <c r="I3698" s="459">
        <f t="shared" ref="I3698:I3699" si="861">IF(G3698="",D3698*F3698,(D3698*F3698/G3698))</f>
        <v>1014.2595</v>
      </c>
      <c r="J3698" s="718"/>
      <c r="K3698" s="719"/>
      <c r="L3698" s="719"/>
      <c r="M3698" s="720"/>
      <c r="N3698" s="720"/>
      <c r="O3698" s="720"/>
      <c r="P3698" s="720"/>
      <c r="Q3698" s="720"/>
      <c r="R3698" s="720"/>
      <c r="S3698" s="720"/>
      <c r="T3698" s="720"/>
      <c r="U3698" s="720"/>
      <c r="V3698" s="720"/>
      <c r="W3698" s="720"/>
      <c r="X3698" s="720"/>
      <c r="Y3698" s="720"/>
      <c r="Z3698" s="720"/>
      <c r="AA3698" s="720"/>
      <c r="AB3698" s="720"/>
      <c r="AC3698" s="720"/>
      <c r="AD3698" s="720"/>
      <c r="AE3698" s="720"/>
      <c r="AF3698" s="720"/>
      <c r="AG3698" s="720"/>
      <c r="AH3698" s="720"/>
      <c r="AI3698" s="720"/>
      <c r="AJ3698" s="720"/>
      <c r="AK3698" s="720"/>
      <c r="AL3698" s="720"/>
      <c r="AM3698" s="720"/>
      <c r="AN3698" s="720"/>
      <c r="AO3698" s="720"/>
      <c r="AP3698" s="720"/>
      <c r="AQ3698" s="720"/>
      <c r="AR3698" s="720"/>
      <c r="AS3698" s="720"/>
      <c r="AT3698" s="720"/>
      <c r="AU3698" s="720"/>
      <c r="AV3698" s="720"/>
      <c r="AW3698" s="720"/>
      <c r="AX3698" s="720"/>
      <c r="AY3698" s="720"/>
      <c r="AZ3698" s="720"/>
      <c r="BA3698" s="720"/>
      <c r="BB3698" s="720"/>
      <c r="BC3698" s="720"/>
      <c r="BD3698" s="720"/>
      <c r="BE3698" s="720"/>
      <c r="BF3698" s="720"/>
      <c r="BG3698" s="720"/>
      <c r="BH3698" s="720"/>
      <c r="BI3698" s="720"/>
      <c r="BJ3698" s="720"/>
      <c r="BK3698" s="720"/>
      <c r="BL3698" s="720"/>
    </row>
    <row r="3699" spans="1:64">
      <c r="A3699" s="406"/>
      <c r="B3699" s="406"/>
      <c r="C3699" s="417" t="s">
        <v>876</v>
      </c>
      <c r="D3699" s="459">
        <v>1.2</v>
      </c>
      <c r="E3699" s="459" t="s">
        <v>877</v>
      </c>
      <c r="F3699" s="459">
        <f>[161]Input!$D$53</f>
        <v>108</v>
      </c>
      <c r="G3699" s="460">
        <v>1</v>
      </c>
      <c r="H3699" s="599" t="str">
        <f t="shared" si="860"/>
        <v>kl</v>
      </c>
      <c r="I3699" s="459">
        <f t="shared" si="861"/>
        <v>129.6</v>
      </c>
      <c r="J3699" s="718"/>
      <c r="K3699" s="719"/>
      <c r="L3699" s="719"/>
      <c r="M3699" s="720"/>
      <c r="N3699" s="720"/>
      <c r="O3699" s="720"/>
      <c r="P3699" s="720"/>
      <c r="Q3699" s="720"/>
      <c r="R3699" s="720"/>
      <c r="S3699" s="720"/>
      <c r="T3699" s="720"/>
      <c r="U3699" s="720"/>
      <c r="V3699" s="720"/>
      <c r="W3699" s="720"/>
      <c r="X3699" s="720"/>
      <c r="Y3699" s="720"/>
      <c r="Z3699" s="720"/>
      <c r="AA3699" s="720"/>
      <c r="AB3699" s="720"/>
      <c r="AC3699" s="720"/>
      <c r="AD3699" s="720"/>
      <c r="AE3699" s="720"/>
      <c r="AF3699" s="720"/>
      <c r="AG3699" s="720"/>
      <c r="AH3699" s="720"/>
      <c r="AI3699" s="720"/>
      <c r="AJ3699" s="720"/>
      <c r="AK3699" s="720"/>
      <c r="AL3699" s="720"/>
      <c r="AM3699" s="720"/>
      <c r="AN3699" s="720"/>
      <c r="AO3699" s="720"/>
      <c r="AP3699" s="720"/>
      <c r="AQ3699" s="720"/>
      <c r="AR3699" s="720"/>
      <c r="AS3699" s="720"/>
      <c r="AT3699" s="720"/>
      <c r="AU3699" s="720"/>
      <c r="AV3699" s="720"/>
      <c r="AW3699" s="720"/>
      <c r="AX3699" s="720"/>
      <c r="AY3699" s="720"/>
      <c r="AZ3699" s="720"/>
      <c r="BA3699" s="720"/>
      <c r="BB3699" s="720"/>
      <c r="BC3699" s="720"/>
      <c r="BD3699" s="720"/>
      <c r="BE3699" s="720"/>
      <c r="BF3699" s="720"/>
      <c r="BG3699" s="720"/>
      <c r="BH3699" s="720"/>
      <c r="BI3699" s="720"/>
      <c r="BJ3699" s="720"/>
      <c r="BK3699" s="720"/>
      <c r="BL3699" s="720"/>
    </row>
    <row r="3700" spans="1:64" ht="13">
      <c r="A3700" s="406"/>
      <c r="B3700" s="406"/>
      <c r="C3700" s="427" t="s">
        <v>878</v>
      </c>
      <c r="D3700" s="459"/>
      <c r="E3700" s="459"/>
      <c r="F3700" s="459"/>
      <c r="G3700" s="460"/>
      <c r="H3700" s="599"/>
      <c r="I3700" s="459"/>
      <c r="J3700" s="718"/>
      <c r="K3700" s="719"/>
      <c r="L3700" s="719"/>
      <c r="M3700" s="720"/>
      <c r="N3700" s="720"/>
      <c r="O3700" s="720"/>
      <c r="P3700" s="720"/>
      <c r="Q3700" s="720"/>
      <c r="R3700" s="720"/>
      <c r="S3700" s="720"/>
      <c r="T3700" s="720"/>
      <c r="U3700" s="720"/>
      <c r="V3700" s="720"/>
      <c r="W3700" s="720"/>
      <c r="X3700" s="720"/>
      <c r="Y3700" s="720"/>
      <c r="Z3700" s="720"/>
      <c r="AA3700" s="720"/>
      <c r="AB3700" s="720"/>
      <c r="AC3700" s="720"/>
      <c r="AD3700" s="720"/>
      <c r="AE3700" s="720"/>
      <c r="AF3700" s="720"/>
      <c r="AG3700" s="720"/>
      <c r="AH3700" s="720"/>
      <c r="AI3700" s="720"/>
      <c r="AJ3700" s="720"/>
      <c r="AK3700" s="720"/>
      <c r="AL3700" s="720"/>
      <c r="AM3700" s="720"/>
      <c r="AN3700" s="720"/>
      <c r="AO3700" s="720"/>
      <c r="AP3700" s="720"/>
      <c r="AQ3700" s="720"/>
      <c r="AR3700" s="720"/>
      <c r="AS3700" s="720"/>
      <c r="AT3700" s="720"/>
      <c r="AU3700" s="720"/>
      <c r="AV3700" s="720"/>
      <c r="AW3700" s="720"/>
      <c r="AX3700" s="720"/>
      <c r="AY3700" s="720"/>
      <c r="AZ3700" s="720"/>
      <c r="BA3700" s="720"/>
      <c r="BB3700" s="720"/>
      <c r="BC3700" s="720"/>
      <c r="BD3700" s="720"/>
      <c r="BE3700" s="720"/>
      <c r="BF3700" s="720"/>
      <c r="BG3700" s="720"/>
      <c r="BH3700" s="720"/>
      <c r="BI3700" s="720"/>
      <c r="BJ3700" s="720"/>
      <c r="BK3700" s="720"/>
      <c r="BL3700" s="720"/>
    </row>
    <row r="3701" spans="1:64" ht="25">
      <c r="A3701" s="406"/>
      <c r="B3701" s="406"/>
      <c r="C3701" s="417" t="s">
        <v>879</v>
      </c>
      <c r="D3701" s="459">
        <v>1</v>
      </c>
      <c r="E3701" s="459" t="s">
        <v>826</v>
      </c>
      <c r="F3701" s="459">
        <f>'[161]Civil-SOR'!$G$330</f>
        <v>192.9</v>
      </c>
      <c r="G3701" s="460">
        <v>1</v>
      </c>
      <c r="H3701" s="460" t="str">
        <f t="shared" ref="H3701:H3702" si="862">IF(E3701="","",IF(E3701="No.","Each",IF(E3701="Nos.","Each",E3701)))</f>
        <v>hour</v>
      </c>
      <c r="I3701" s="459">
        <f t="shared" ref="I3701:I3703" si="863">IF(G3701="",D3701*F3701,(D3701*F3701/G3701))</f>
        <v>192.9</v>
      </c>
      <c r="J3701" s="718"/>
      <c r="K3701" s="719"/>
      <c r="L3701" s="719"/>
      <c r="M3701" s="720"/>
      <c r="N3701" s="720"/>
      <c r="O3701" s="720"/>
      <c r="P3701" s="720"/>
      <c r="Q3701" s="720"/>
      <c r="R3701" s="720"/>
      <c r="S3701" s="720"/>
      <c r="T3701" s="720"/>
      <c r="U3701" s="720"/>
      <c r="V3701" s="720"/>
      <c r="W3701" s="720"/>
      <c r="X3701" s="720"/>
      <c r="Y3701" s="720"/>
      <c r="Z3701" s="720"/>
      <c r="AA3701" s="720"/>
      <c r="AB3701" s="720"/>
      <c r="AC3701" s="720"/>
      <c r="AD3701" s="720"/>
      <c r="AE3701" s="720"/>
      <c r="AF3701" s="720"/>
      <c r="AG3701" s="720"/>
      <c r="AH3701" s="720"/>
      <c r="AI3701" s="720"/>
      <c r="AJ3701" s="720"/>
      <c r="AK3701" s="720"/>
      <c r="AL3701" s="720"/>
      <c r="AM3701" s="720"/>
      <c r="AN3701" s="720"/>
      <c r="AO3701" s="720"/>
      <c r="AP3701" s="720"/>
      <c r="AQ3701" s="720"/>
      <c r="AR3701" s="720"/>
      <c r="AS3701" s="720"/>
      <c r="AT3701" s="720"/>
      <c r="AU3701" s="720"/>
      <c r="AV3701" s="720"/>
      <c r="AW3701" s="720"/>
      <c r="AX3701" s="720"/>
      <c r="AY3701" s="720"/>
      <c r="AZ3701" s="720"/>
      <c r="BA3701" s="720"/>
      <c r="BB3701" s="720"/>
      <c r="BC3701" s="720"/>
      <c r="BD3701" s="720"/>
      <c r="BE3701" s="720"/>
      <c r="BF3701" s="720"/>
      <c r="BG3701" s="720"/>
      <c r="BH3701" s="720"/>
      <c r="BI3701" s="720"/>
      <c r="BJ3701" s="720"/>
      <c r="BK3701" s="720"/>
      <c r="BL3701" s="720"/>
    </row>
    <row r="3702" spans="1:64">
      <c r="A3702" s="406"/>
      <c r="B3702" s="406"/>
      <c r="C3702" s="417" t="s">
        <v>902</v>
      </c>
      <c r="D3702" s="459">
        <v>1</v>
      </c>
      <c r="E3702" s="459" t="s">
        <v>826</v>
      </c>
      <c r="F3702" s="459">
        <f>'[161]Civil-SOR'!$J$330</f>
        <v>302.89999999999998</v>
      </c>
      <c r="G3702" s="460">
        <v>1</v>
      </c>
      <c r="H3702" s="460" t="str">
        <f t="shared" si="862"/>
        <v>hour</v>
      </c>
      <c r="I3702" s="459">
        <f t="shared" si="863"/>
        <v>302.89999999999998</v>
      </c>
      <c r="J3702" s="718"/>
      <c r="K3702" s="719"/>
      <c r="L3702" s="719"/>
      <c r="M3702" s="720"/>
      <c r="N3702" s="720"/>
      <c r="O3702" s="720"/>
      <c r="P3702" s="720"/>
      <c r="Q3702" s="720"/>
      <c r="R3702" s="720"/>
      <c r="S3702" s="720"/>
      <c r="T3702" s="720"/>
      <c r="U3702" s="720"/>
      <c r="V3702" s="720"/>
      <c r="W3702" s="720"/>
      <c r="X3702" s="720"/>
      <c r="Y3702" s="720"/>
      <c r="Z3702" s="720"/>
      <c r="AA3702" s="720"/>
      <c r="AB3702" s="720"/>
      <c r="AC3702" s="720"/>
      <c r="AD3702" s="720"/>
      <c r="AE3702" s="720"/>
      <c r="AF3702" s="720"/>
      <c r="AG3702" s="720"/>
      <c r="AH3702" s="720"/>
      <c r="AI3702" s="720"/>
      <c r="AJ3702" s="720"/>
      <c r="AK3702" s="720"/>
      <c r="AL3702" s="720"/>
      <c r="AM3702" s="720"/>
      <c r="AN3702" s="720"/>
      <c r="AO3702" s="720"/>
      <c r="AP3702" s="720"/>
      <c r="AQ3702" s="720"/>
      <c r="AR3702" s="720"/>
      <c r="AS3702" s="720"/>
      <c r="AT3702" s="720"/>
      <c r="AU3702" s="720"/>
      <c r="AV3702" s="720"/>
      <c r="AW3702" s="720"/>
      <c r="AX3702" s="720"/>
      <c r="AY3702" s="720"/>
      <c r="AZ3702" s="720"/>
      <c r="BA3702" s="720"/>
      <c r="BB3702" s="720"/>
      <c r="BC3702" s="720"/>
      <c r="BD3702" s="720"/>
      <c r="BE3702" s="720"/>
      <c r="BF3702" s="720"/>
      <c r="BG3702" s="720"/>
      <c r="BH3702" s="720"/>
      <c r="BI3702" s="720"/>
      <c r="BJ3702" s="720"/>
      <c r="BK3702" s="720"/>
      <c r="BL3702" s="720"/>
    </row>
    <row r="3703" spans="1:64">
      <c r="A3703" s="406"/>
      <c r="B3703" s="406"/>
      <c r="C3703" s="417" t="s">
        <v>799</v>
      </c>
      <c r="D3703" s="459">
        <f>[161]Input!$D$47</f>
        <v>0.4</v>
      </c>
      <c r="E3703" s="459"/>
      <c r="F3703" s="459">
        <f>'[161]Civil-SOR'!$J$330</f>
        <v>302.89999999999998</v>
      </c>
      <c r="G3703" s="460"/>
      <c r="H3703" s="459"/>
      <c r="I3703" s="459">
        <f t="shared" si="863"/>
        <v>121.16</v>
      </c>
      <c r="J3703" s="718"/>
      <c r="K3703" s="719"/>
      <c r="L3703" s="719"/>
      <c r="M3703" s="720"/>
      <c r="N3703" s="720"/>
      <c r="O3703" s="720"/>
      <c r="P3703" s="720"/>
      <c r="Q3703" s="720"/>
      <c r="R3703" s="720"/>
      <c r="S3703" s="720"/>
      <c r="T3703" s="720"/>
      <c r="U3703" s="720"/>
      <c r="V3703" s="720"/>
      <c r="W3703" s="720"/>
      <c r="X3703" s="720"/>
      <c r="Y3703" s="720"/>
      <c r="Z3703" s="720"/>
      <c r="AA3703" s="720"/>
      <c r="AB3703" s="720"/>
      <c r="AC3703" s="720"/>
      <c r="AD3703" s="720"/>
      <c r="AE3703" s="720"/>
      <c r="AF3703" s="720"/>
      <c r="AG3703" s="720"/>
      <c r="AH3703" s="720"/>
      <c r="AI3703" s="720"/>
      <c r="AJ3703" s="720"/>
      <c r="AK3703" s="720"/>
      <c r="AL3703" s="720"/>
      <c r="AM3703" s="720"/>
      <c r="AN3703" s="720"/>
      <c r="AO3703" s="720"/>
      <c r="AP3703" s="720"/>
      <c r="AQ3703" s="720"/>
      <c r="AR3703" s="720"/>
      <c r="AS3703" s="720"/>
      <c r="AT3703" s="720"/>
      <c r="AU3703" s="720"/>
      <c r="AV3703" s="720"/>
      <c r="AW3703" s="720"/>
      <c r="AX3703" s="720"/>
      <c r="AY3703" s="720"/>
      <c r="AZ3703" s="720"/>
      <c r="BA3703" s="720"/>
      <c r="BB3703" s="720"/>
      <c r="BC3703" s="720"/>
      <c r="BD3703" s="720"/>
      <c r="BE3703" s="720"/>
      <c r="BF3703" s="720"/>
      <c r="BG3703" s="720"/>
      <c r="BH3703" s="720"/>
      <c r="BI3703" s="720"/>
      <c r="BJ3703" s="720"/>
      <c r="BK3703" s="720"/>
      <c r="BL3703" s="720"/>
    </row>
    <row r="3704" spans="1:64" ht="13">
      <c r="A3704" s="406"/>
      <c r="B3704" s="406"/>
      <c r="C3704" s="427" t="s">
        <v>880</v>
      </c>
      <c r="D3704" s="459"/>
      <c r="E3704" s="459"/>
      <c r="F3704" s="459"/>
      <c r="G3704" s="460"/>
      <c r="H3704" s="599"/>
      <c r="I3704" s="459"/>
      <c r="J3704" s="718"/>
      <c r="K3704" s="719"/>
      <c r="L3704" s="719"/>
      <c r="M3704" s="720"/>
      <c r="N3704" s="720"/>
      <c r="O3704" s="720"/>
      <c r="P3704" s="720"/>
      <c r="Q3704" s="720"/>
      <c r="R3704" s="720"/>
      <c r="S3704" s="720"/>
      <c r="T3704" s="720"/>
      <c r="U3704" s="720"/>
      <c r="V3704" s="720"/>
      <c r="W3704" s="720"/>
      <c r="X3704" s="720"/>
      <c r="Y3704" s="720"/>
      <c r="Z3704" s="720"/>
      <c r="AA3704" s="720"/>
      <c r="AB3704" s="720"/>
      <c r="AC3704" s="720"/>
      <c r="AD3704" s="720"/>
      <c r="AE3704" s="720"/>
      <c r="AF3704" s="720"/>
      <c r="AG3704" s="720"/>
      <c r="AH3704" s="720"/>
      <c r="AI3704" s="720"/>
      <c r="AJ3704" s="720"/>
      <c r="AK3704" s="720"/>
      <c r="AL3704" s="720"/>
      <c r="AM3704" s="720"/>
      <c r="AN3704" s="720"/>
      <c r="AO3704" s="720"/>
      <c r="AP3704" s="720"/>
      <c r="AQ3704" s="720"/>
      <c r="AR3704" s="720"/>
      <c r="AS3704" s="720"/>
      <c r="AT3704" s="720"/>
      <c r="AU3704" s="720"/>
      <c r="AV3704" s="720"/>
      <c r="AW3704" s="720"/>
      <c r="AX3704" s="720"/>
      <c r="AY3704" s="720"/>
      <c r="AZ3704" s="720"/>
      <c r="BA3704" s="720"/>
      <c r="BB3704" s="720"/>
      <c r="BC3704" s="720"/>
      <c r="BD3704" s="720"/>
      <c r="BE3704" s="720"/>
      <c r="BF3704" s="720"/>
      <c r="BG3704" s="720"/>
      <c r="BH3704" s="720"/>
      <c r="BI3704" s="720"/>
      <c r="BJ3704" s="720"/>
      <c r="BK3704" s="720"/>
      <c r="BL3704" s="720"/>
    </row>
    <row r="3705" spans="1:64">
      <c r="A3705" s="406"/>
      <c r="B3705" s="406"/>
      <c r="C3705" s="417" t="s">
        <v>881</v>
      </c>
      <c r="D3705" s="459">
        <v>0.1</v>
      </c>
      <c r="E3705" s="459" t="s">
        <v>375</v>
      </c>
      <c r="F3705" s="459">
        <f>'[161]Civil-SOR'!$G$293</f>
        <v>580</v>
      </c>
      <c r="G3705" s="460">
        <v>1</v>
      </c>
      <c r="H3705" s="599" t="str">
        <f t="shared" ref="H3705:H3706" si="864">IF(E3705="","",IF(E3705="No.","Each",IF(E3705="Nos.","Each",E3705)))</f>
        <v>Each</v>
      </c>
      <c r="I3705" s="459">
        <f t="shared" ref="I3705:I3707" si="865">IF(G3705="",D3705*F3705,(D3705*F3705/G3705))</f>
        <v>58</v>
      </c>
      <c r="J3705" s="718"/>
      <c r="K3705" s="719"/>
      <c r="L3705" s="719"/>
      <c r="M3705" s="720"/>
      <c r="N3705" s="720"/>
      <c r="O3705" s="720"/>
      <c r="P3705" s="720"/>
      <c r="Q3705" s="720"/>
      <c r="R3705" s="720"/>
      <c r="S3705" s="720"/>
      <c r="T3705" s="720"/>
      <c r="U3705" s="720"/>
      <c r="V3705" s="720"/>
      <c r="W3705" s="720"/>
      <c r="X3705" s="720"/>
      <c r="Y3705" s="720"/>
      <c r="Z3705" s="720"/>
      <c r="AA3705" s="720"/>
      <c r="AB3705" s="720"/>
      <c r="AC3705" s="720"/>
      <c r="AD3705" s="720"/>
      <c r="AE3705" s="720"/>
      <c r="AF3705" s="720"/>
      <c r="AG3705" s="720"/>
      <c r="AH3705" s="720"/>
      <c r="AI3705" s="720"/>
      <c r="AJ3705" s="720"/>
      <c r="AK3705" s="720"/>
      <c r="AL3705" s="720"/>
      <c r="AM3705" s="720"/>
      <c r="AN3705" s="720"/>
      <c r="AO3705" s="720"/>
      <c r="AP3705" s="720"/>
      <c r="AQ3705" s="720"/>
      <c r="AR3705" s="720"/>
      <c r="AS3705" s="720"/>
      <c r="AT3705" s="720"/>
      <c r="AU3705" s="720"/>
      <c r="AV3705" s="720"/>
      <c r="AW3705" s="720"/>
      <c r="AX3705" s="720"/>
      <c r="AY3705" s="720"/>
      <c r="AZ3705" s="720"/>
      <c r="BA3705" s="720"/>
      <c r="BB3705" s="720"/>
      <c r="BC3705" s="720"/>
      <c r="BD3705" s="720"/>
      <c r="BE3705" s="720"/>
      <c r="BF3705" s="720"/>
      <c r="BG3705" s="720"/>
      <c r="BH3705" s="720"/>
      <c r="BI3705" s="720"/>
      <c r="BJ3705" s="720"/>
      <c r="BK3705" s="720"/>
      <c r="BL3705" s="720"/>
    </row>
    <row r="3706" spans="1:64">
      <c r="A3706" s="406"/>
      <c r="B3706" s="406"/>
      <c r="C3706" s="417" t="s">
        <v>882</v>
      </c>
      <c r="D3706" s="459">
        <v>1.39</v>
      </c>
      <c r="E3706" s="459" t="s">
        <v>375</v>
      </c>
      <c r="F3706" s="459">
        <f>'[161]Civil-SOR'!$G$307</f>
        <v>520</v>
      </c>
      <c r="G3706" s="460">
        <v>1</v>
      </c>
      <c r="H3706" s="599" t="str">
        <f t="shared" si="864"/>
        <v>Each</v>
      </c>
      <c r="I3706" s="459">
        <f t="shared" si="865"/>
        <v>722.8</v>
      </c>
      <c r="J3706" s="718"/>
      <c r="K3706" s="719"/>
      <c r="L3706" s="719"/>
      <c r="M3706" s="720"/>
      <c r="N3706" s="720"/>
      <c r="O3706" s="720"/>
      <c r="P3706" s="720"/>
      <c r="Q3706" s="720"/>
      <c r="R3706" s="720"/>
      <c r="S3706" s="720"/>
      <c r="T3706" s="720"/>
      <c r="U3706" s="720"/>
      <c r="V3706" s="720"/>
      <c r="W3706" s="720"/>
      <c r="X3706" s="720"/>
      <c r="Y3706" s="720"/>
      <c r="Z3706" s="720"/>
      <c r="AA3706" s="720"/>
      <c r="AB3706" s="720"/>
      <c r="AC3706" s="720"/>
      <c r="AD3706" s="720"/>
      <c r="AE3706" s="720"/>
      <c r="AF3706" s="720"/>
      <c r="AG3706" s="720"/>
      <c r="AH3706" s="720"/>
      <c r="AI3706" s="720"/>
      <c r="AJ3706" s="720"/>
      <c r="AK3706" s="720"/>
      <c r="AL3706" s="720"/>
      <c r="AM3706" s="720"/>
      <c r="AN3706" s="720"/>
      <c r="AO3706" s="720"/>
      <c r="AP3706" s="720"/>
      <c r="AQ3706" s="720"/>
      <c r="AR3706" s="720"/>
      <c r="AS3706" s="720"/>
      <c r="AT3706" s="720"/>
      <c r="AU3706" s="720"/>
      <c r="AV3706" s="720"/>
      <c r="AW3706" s="720"/>
      <c r="AX3706" s="720"/>
      <c r="AY3706" s="720"/>
      <c r="AZ3706" s="720"/>
      <c r="BA3706" s="720"/>
      <c r="BB3706" s="720"/>
      <c r="BC3706" s="720"/>
      <c r="BD3706" s="720"/>
      <c r="BE3706" s="720"/>
      <c r="BF3706" s="720"/>
      <c r="BG3706" s="720"/>
      <c r="BH3706" s="720"/>
      <c r="BI3706" s="720"/>
      <c r="BJ3706" s="720"/>
      <c r="BK3706" s="720"/>
      <c r="BL3706" s="720"/>
    </row>
    <row r="3707" spans="1:64">
      <c r="A3707" s="406"/>
      <c r="B3707" s="406"/>
      <c r="C3707" s="417" t="str">
        <f>[161]Input!$C$47</f>
        <v>Add for MA @ 40%</v>
      </c>
      <c r="D3707" s="459">
        <f>[161]Input!$D$47</f>
        <v>0.4</v>
      </c>
      <c r="E3707" s="459"/>
      <c r="F3707" s="459">
        <f>SUM(I3705:I3706)</f>
        <v>780.8</v>
      </c>
      <c r="G3707" s="460"/>
      <c r="H3707" s="599"/>
      <c r="I3707" s="459">
        <f t="shared" si="865"/>
        <v>312.32</v>
      </c>
      <c r="J3707" s="718"/>
      <c r="K3707" s="719"/>
      <c r="L3707" s="719"/>
      <c r="M3707" s="720"/>
      <c r="N3707" s="720"/>
      <c r="O3707" s="720"/>
      <c r="P3707" s="720"/>
      <c r="Q3707" s="720"/>
      <c r="R3707" s="720"/>
      <c r="S3707" s="720"/>
      <c r="T3707" s="720"/>
      <c r="U3707" s="720"/>
      <c r="V3707" s="720"/>
      <c r="W3707" s="720"/>
      <c r="X3707" s="720"/>
      <c r="Y3707" s="720"/>
      <c r="Z3707" s="720"/>
      <c r="AA3707" s="720"/>
      <c r="AB3707" s="720"/>
      <c r="AC3707" s="720"/>
      <c r="AD3707" s="720"/>
      <c r="AE3707" s="720"/>
      <c r="AF3707" s="720"/>
      <c r="AG3707" s="720"/>
      <c r="AH3707" s="720"/>
      <c r="AI3707" s="720"/>
      <c r="AJ3707" s="720"/>
      <c r="AK3707" s="720"/>
      <c r="AL3707" s="720"/>
      <c r="AM3707" s="720"/>
      <c r="AN3707" s="720"/>
      <c r="AO3707" s="720"/>
      <c r="AP3707" s="720"/>
      <c r="AQ3707" s="720"/>
      <c r="AR3707" s="720"/>
      <c r="AS3707" s="720"/>
      <c r="AT3707" s="720"/>
      <c r="AU3707" s="720"/>
      <c r="AV3707" s="720"/>
      <c r="AW3707" s="720"/>
      <c r="AX3707" s="720"/>
      <c r="AY3707" s="720"/>
      <c r="AZ3707" s="720"/>
      <c r="BA3707" s="720"/>
      <c r="BB3707" s="720"/>
      <c r="BC3707" s="720"/>
      <c r="BD3707" s="720"/>
      <c r="BE3707" s="720"/>
      <c r="BF3707" s="720"/>
      <c r="BG3707" s="720"/>
      <c r="BH3707" s="720"/>
      <c r="BI3707" s="720"/>
      <c r="BJ3707" s="720"/>
      <c r="BK3707" s="720"/>
      <c r="BL3707" s="720"/>
    </row>
    <row r="3708" spans="1:64" s="723" customFormat="1" ht="13">
      <c r="A3708" s="406"/>
      <c r="B3708" s="426"/>
      <c r="C3708" s="496"/>
      <c r="D3708" s="408"/>
      <c r="E3708" s="408"/>
      <c r="F3708" s="408"/>
      <c r="G3708" s="430"/>
      <c r="H3708" s="415"/>
      <c r="I3708" s="414">
        <f>SUM(I3696:I3707)</f>
        <v>4928.7756999999992</v>
      </c>
      <c r="J3708" s="721"/>
      <c r="K3708" s="722"/>
      <c r="L3708" s="722"/>
    </row>
    <row r="3709" spans="1:64" ht="13">
      <c r="A3709" s="406"/>
      <c r="B3709" s="426"/>
      <c r="C3709" s="417"/>
      <c r="D3709" s="408"/>
      <c r="E3709" s="408"/>
      <c r="F3709" s="408"/>
      <c r="G3709" s="430"/>
      <c r="H3709" s="415"/>
      <c r="I3709" s="414"/>
      <c r="J3709" s="718"/>
      <c r="K3709" s="719"/>
      <c r="L3709" s="719"/>
      <c r="M3709" s="720"/>
      <c r="N3709" s="720"/>
      <c r="O3709" s="720"/>
      <c r="P3709" s="720"/>
      <c r="Q3709" s="720"/>
      <c r="R3709" s="720"/>
      <c r="S3709" s="720"/>
      <c r="T3709" s="720"/>
      <c r="U3709" s="720"/>
      <c r="V3709" s="720"/>
      <c r="W3709" s="720"/>
      <c r="X3709" s="720"/>
      <c r="Y3709" s="720"/>
      <c r="Z3709" s="720"/>
      <c r="AA3709" s="720"/>
      <c r="AB3709" s="720"/>
      <c r="AC3709" s="720"/>
      <c r="AD3709" s="720"/>
      <c r="AE3709" s="720"/>
      <c r="AF3709" s="720"/>
      <c r="AG3709" s="720"/>
      <c r="AH3709" s="720"/>
      <c r="AI3709" s="720"/>
      <c r="AJ3709" s="720"/>
      <c r="AK3709" s="720"/>
      <c r="AL3709" s="720"/>
      <c r="AM3709" s="720"/>
      <c r="AN3709" s="720"/>
      <c r="AO3709" s="720"/>
      <c r="AP3709" s="720"/>
      <c r="AQ3709" s="720"/>
      <c r="AR3709" s="720"/>
      <c r="AS3709" s="720"/>
      <c r="AT3709" s="720"/>
      <c r="AU3709" s="720"/>
      <c r="AV3709" s="720"/>
      <c r="AW3709" s="720"/>
      <c r="AX3709" s="720"/>
      <c r="AY3709" s="720"/>
      <c r="AZ3709" s="720"/>
      <c r="BA3709" s="720"/>
      <c r="BB3709" s="720"/>
      <c r="BC3709" s="720"/>
      <c r="BD3709" s="720"/>
      <c r="BE3709" s="720"/>
      <c r="BF3709" s="720"/>
      <c r="BG3709" s="720"/>
      <c r="BH3709" s="720"/>
      <c r="BI3709" s="720"/>
      <c r="BJ3709" s="720"/>
      <c r="BK3709" s="720"/>
      <c r="BL3709" s="720"/>
    </row>
    <row r="3710" spans="1:64" s="723" customFormat="1" ht="13">
      <c r="A3710" s="406"/>
      <c r="B3710" s="426"/>
      <c r="C3710" s="481" t="s">
        <v>953</v>
      </c>
      <c r="D3710" s="414" t="s">
        <v>959</v>
      </c>
      <c r="E3710" s="474" t="s">
        <v>943</v>
      </c>
      <c r="F3710" s="492" t="s">
        <v>944</v>
      </c>
      <c r="G3710" s="474" t="s">
        <v>1036</v>
      </c>
      <c r="H3710" s="474" t="s">
        <v>1037</v>
      </c>
      <c r="I3710" s="474" t="s">
        <v>1038</v>
      </c>
      <c r="J3710" s="724" t="s">
        <v>1118</v>
      </c>
      <c r="K3710" s="725" t="s">
        <v>1119</v>
      </c>
      <c r="L3710" s="725" t="s">
        <v>1120</v>
      </c>
    </row>
    <row r="3711" spans="1:64">
      <c r="A3711" s="406"/>
      <c r="B3711" s="406"/>
      <c r="C3711" s="417" t="s">
        <v>954</v>
      </c>
      <c r="D3711" s="432">
        <f t="shared" ref="D3711:L3711" si="866">$I$3708</f>
        <v>4928.7756999999992</v>
      </c>
      <c r="E3711" s="432">
        <f t="shared" si="866"/>
        <v>4928.7756999999992</v>
      </c>
      <c r="F3711" s="432">
        <f t="shared" si="866"/>
        <v>4928.7756999999992</v>
      </c>
      <c r="G3711" s="432">
        <f t="shared" si="866"/>
        <v>4928.7756999999992</v>
      </c>
      <c r="H3711" s="432">
        <f t="shared" si="866"/>
        <v>4928.7756999999992</v>
      </c>
      <c r="I3711" s="432">
        <f t="shared" si="866"/>
        <v>4928.7756999999992</v>
      </c>
      <c r="J3711" s="537">
        <f t="shared" si="866"/>
        <v>4928.7756999999992</v>
      </c>
      <c r="K3711" s="538">
        <f t="shared" si="866"/>
        <v>4928.7756999999992</v>
      </c>
      <c r="L3711" s="538">
        <f t="shared" si="866"/>
        <v>4928.7756999999992</v>
      </c>
      <c r="M3711" s="720"/>
      <c r="N3711" s="720"/>
      <c r="O3711" s="720"/>
      <c r="P3711" s="720"/>
      <c r="Q3711" s="720"/>
      <c r="R3711" s="720"/>
      <c r="S3711" s="720"/>
      <c r="T3711" s="720"/>
      <c r="U3711" s="720"/>
      <c r="V3711" s="720"/>
      <c r="W3711" s="720"/>
      <c r="X3711" s="720"/>
      <c r="Y3711" s="720"/>
      <c r="Z3711" s="720"/>
      <c r="AA3711" s="720"/>
      <c r="AB3711" s="720"/>
      <c r="AC3711" s="720"/>
      <c r="AD3711" s="720"/>
      <c r="AE3711" s="720"/>
      <c r="AF3711" s="720"/>
      <c r="AG3711" s="720"/>
      <c r="AH3711" s="720"/>
      <c r="AI3711" s="720"/>
      <c r="AJ3711" s="720"/>
      <c r="AK3711" s="720"/>
      <c r="AL3711" s="720"/>
      <c r="AM3711" s="720"/>
      <c r="AN3711" s="720"/>
      <c r="AO3711" s="720"/>
      <c r="AP3711" s="720"/>
      <c r="AQ3711" s="720"/>
      <c r="AR3711" s="720"/>
      <c r="AS3711" s="720"/>
      <c r="AT3711" s="720"/>
      <c r="AU3711" s="720"/>
      <c r="AV3711" s="720"/>
      <c r="AW3711" s="720"/>
      <c r="AX3711" s="720"/>
      <c r="AY3711" s="720"/>
      <c r="AZ3711" s="720"/>
      <c r="BA3711" s="720"/>
      <c r="BB3711" s="720"/>
      <c r="BC3711" s="720"/>
      <c r="BD3711" s="720"/>
      <c r="BE3711" s="720"/>
      <c r="BF3711" s="720"/>
      <c r="BG3711" s="720"/>
      <c r="BH3711" s="720"/>
      <c r="BI3711" s="720"/>
      <c r="BJ3711" s="720"/>
      <c r="BK3711" s="720"/>
      <c r="BL3711" s="720"/>
    </row>
    <row r="3712" spans="1:64">
      <c r="A3712" s="406"/>
      <c r="B3712" s="406"/>
      <c r="C3712" s="417" t="s">
        <v>994</v>
      </c>
      <c r="D3712" s="432">
        <v>0</v>
      </c>
      <c r="E3712" s="432">
        <f>ROUND(($F$3707)*10%,2)</f>
        <v>78.08</v>
      </c>
      <c r="F3712" s="432">
        <f>ROUND(($F$3707)*20%,2)</f>
        <v>156.16</v>
      </c>
      <c r="G3712" s="432">
        <f>ROUND(($F$3707)*30%,2)</f>
        <v>234.24</v>
      </c>
      <c r="H3712" s="432">
        <f>ROUND(($F$3707)*40%,2)</f>
        <v>312.32</v>
      </c>
      <c r="I3712" s="432">
        <f>ROUND(($F$3707)*50%,2)</f>
        <v>390.4</v>
      </c>
      <c r="J3712" s="537">
        <f>ROUND(($F$3707)*60%,2)</f>
        <v>468.48</v>
      </c>
      <c r="K3712" s="538">
        <f>ROUND(($F$3707)*70%,2)</f>
        <v>546.55999999999995</v>
      </c>
      <c r="L3712" s="538">
        <f>ROUND(($F$3707)*80%,2)</f>
        <v>624.64</v>
      </c>
      <c r="M3712" s="720"/>
      <c r="N3712" s="720"/>
      <c r="O3712" s="720"/>
      <c r="P3712" s="720"/>
      <c r="Q3712" s="720"/>
      <c r="R3712" s="720"/>
      <c r="S3712" s="720"/>
      <c r="T3712" s="720"/>
      <c r="U3712" s="720"/>
      <c r="V3712" s="720"/>
      <c r="W3712" s="720"/>
      <c r="X3712" s="720"/>
      <c r="Y3712" s="720"/>
      <c r="Z3712" s="720"/>
      <c r="AA3712" s="720"/>
      <c r="AB3712" s="720"/>
      <c r="AC3712" s="720"/>
      <c r="AD3712" s="720"/>
      <c r="AE3712" s="720"/>
      <c r="AF3712" s="720"/>
      <c r="AG3712" s="720"/>
      <c r="AH3712" s="720"/>
      <c r="AI3712" s="720"/>
      <c r="AJ3712" s="720"/>
      <c r="AK3712" s="720"/>
      <c r="AL3712" s="720"/>
      <c r="AM3712" s="720"/>
      <c r="AN3712" s="720"/>
      <c r="AO3712" s="720"/>
      <c r="AP3712" s="720"/>
      <c r="AQ3712" s="720"/>
      <c r="AR3712" s="720"/>
      <c r="AS3712" s="720"/>
      <c r="AT3712" s="720"/>
      <c r="AU3712" s="720"/>
      <c r="AV3712" s="720"/>
      <c r="AW3712" s="720"/>
      <c r="AX3712" s="720"/>
      <c r="AY3712" s="720"/>
      <c r="AZ3712" s="720"/>
      <c r="BA3712" s="720"/>
      <c r="BB3712" s="720"/>
      <c r="BC3712" s="720"/>
      <c r="BD3712" s="720"/>
      <c r="BE3712" s="720"/>
      <c r="BF3712" s="720"/>
      <c r="BG3712" s="720"/>
      <c r="BH3712" s="720"/>
      <c r="BI3712" s="720"/>
      <c r="BJ3712" s="720"/>
      <c r="BK3712" s="720"/>
      <c r="BL3712" s="720"/>
    </row>
    <row r="3713" spans="1:64">
      <c r="A3713" s="406"/>
      <c r="B3713" s="406"/>
      <c r="C3713" s="417" t="str">
        <f>[161]Input!$C$47</f>
        <v>Add for MA @ 40%</v>
      </c>
      <c r="D3713" s="432">
        <f>D3712*[161]Input!$D$47</f>
        <v>0</v>
      </c>
      <c r="E3713" s="432">
        <f>E3712*[161]Input!$D$47</f>
        <v>31.231999999999999</v>
      </c>
      <c r="F3713" s="432">
        <f>F3712*[161]Input!$D$47</f>
        <v>62.463999999999999</v>
      </c>
      <c r="G3713" s="432">
        <f>G3712*[161]Input!$D$47</f>
        <v>93.696000000000012</v>
      </c>
      <c r="H3713" s="432">
        <f>H3712*[161]Input!$D$47</f>
        <v>124.928</v>
      </c>
      <c r="I3713" s="432">
        <f>I3712*[161]Input!$D$47</f>
        <v>156.16</v>
      </c>
      <c r="J3713" s="537">
        <f>J3712*[161]Input!$D$47</f>
        <v>187.39200000000002</v>
      </c>
      <c r="K3713" s="538">
        <f>K3712*[161]Input!$D$47</f>
        <v>218.624</v>
      </c>
      <c r="L3713" s="538">
        <f>L3712*[161]Input!$D$47</f>
        <v>249.85599999999999</v>
      </c>
      <c r="M3713" s="720"/>
      <c r="N3713" s="720"/>
      <c r="O3713" s="720"/>
      <c r="P3713" s="720"/>
      <c r="Q3713" s="720"/>
      <c r="R3713" s="720"/>
      <c r="S3713" s="720"/>
      <c r="T3713" s="720"/>
      <c r="U3713" s="720"/>
      <c r="V3713" s="720"/>
      <c r="W3713" s="720"/>
      <c r="X3713" s="720"/>
      <c r="Y3713" s="720"/>
      <c r="Z3713" s="720"/>
      <c r="AA3713" s="720"/>
      <c r="AB3713" s="720"/>
      <c r="AC3713" s="720"/>
      <c r="AD3713" s="720"/>
      <c r="AE3713" s="720"/>
      <c r="AF3713" s="720"/>
      <c r="AG3713" s="720"/>
      <c r="AH3713" s="720"/>
      <c r="AI3713" s="720"/>
      <c r="AJ3713" s="720"/>
      <c r="AK3713" s="720"/>
      <c r="AL3713" s="720"/>
      <c r="AM3713" s="720"/>
      <c r="AN3713" s="720"/>
      <c r="AO3713" s="720"/>
      <c r="AP3713" s="720"/>
      <c r="AQ3713" s="720"/>
      <c r="AR3713" s="720"/>
      <c r="AS3713" s="720"/>
      <c r="AT3713" s="720"/>
      <c r="AU3713" s="720"/>
      <c r="AV3713" s="720"/>
      <c r="AW3713" s="720"/>
      <c r="AX3713" s="720"/>
      <c r="AY3713" s="720"/>
      <c r="AZ3713" s="720"/>
      <c r="BA3713" s="720"/>
      <c r="BB3713" s="720"/>
      <c r="BC3713" s="720"/>
      <c r="BD3713" s="720"/>
      <c r="BE3713" s="720"/>
      <c r="BF3713" s="720"/>
      <c r="BG3713" s="720"/>
      <c r="BH3713" s="720"/>
      <c r="BI3713" s="720"/>
      <c r="BJ3713" s="720"/>
      <c r="BK3713" s="720"/>
      <c r="BL3713" s="720"/>
    </row>
    <row r="3714" spans="1:64" ht="13">
      <c r="A3714" s="406"/>
      <c r="B3714" s="406"/>
      <c r="C3714" s="427" t="s">
        <v>724</v>
      </c>
      <c r="D3714" s="432">
        <f t="shared" ref="D3714:L3714" si="867">SUM(D3711:D3713)</f>
        <v>4928.7756999999992</v>
      </c>
      <c r="E3714" s="432">
        <f t="shared" si="867"/>
        <v>5038.0876999999991</v>
      </c>
      <c r="F3714" s="432">
        <f t="shared" si="867"/>
        <v>5147.399699999999</v>
      </c>
      <c r="G3714" s="432">
        <f t="shared" si="867"/>
        <v>5256.7116999999989</v>
      </c>
      <c r="H3714" s="432">
        <f t="shared" si="867"/>
        <v>5366.0236999999988</v>
      </c>
      <c r="I3714" s="432">
        <f t="shared" si="867"/>
        <v>5475.3356999999987</v>
      </c>
      <c r="J3714" s="537">
        <f t="shared" si="867"/>
        <v>5584.6476999999995</v>
      </c>
      <c r="K3714" s="538">
        <f t="shared" si="867"/>
        <v>5693.9596999999994</v>
      </c>
      <c r="L3714" s="538">
        <f t="shared" si="867"/>
        <v>5803.2716999999993</v>
      </c>
      <c r="M3714" s="720"/>
      <c r="N3714" s="720"/>
      <c r="O3714" s="720"/>
      <c r="P3714" s="720"/>
      <c r="Q3714" s="720"/>
      <c r="R3714" s="720"/>
      <c r="S3714" s="720"/>
      <c r="T3714" s="720"/>
      <c r="U3714" s="720"/>
      <c r="V3714" s="720"/>
      <c r="W3714" s="720"/>
      <c r="X3714" s="720"/>
      <c r="Y3714" s="720"/>
      <c r="Z3714" s="720"/>
      <c r="AA3714" s="720"/>
      <c r="AB3714" s="720"/>
      <c r="AC3714" s="720"/>
      <c r="AD3714" s="720"/>
      <c r="AE3714" s="720"/>
      <c r="AF3714" s="720"/>
      <c r="AG3714" s="720"/>
      <c r="AH3714" s="720"/>
      <c r="AI3714" s="720"/>
      <c r="AJ3714" s="720"/>
      <c r="AK3714" s="720"/>
      <c r="AL3714" s="720"/>
      <c r="AM3714" s="720"/>
      <c r="AN3714" s="720"/>
      <c r="AO3714" s="720"/>
      <c r="AP3714" s="720"/>
      <c r="AQ3714" s="720"/>
      <c r="AR3714" s="720"/>
      <c r="AS3714" s="720"/>
      <c r="AT3714" s="720"/>
      <c r="AU3714" s="720"/>
      <c r="AV3714" s="720"/>
      <c r="AW3714" s="720"/>
      <c r="AX3714" s="720"/>
      <c r="AY3714" s="720"/>
      <c r="AZ3714" s="720"/>
      <c r="BA3714" s="720"/>
      <c r="BB3714" s="720"/>
      <c r="BC3714" s="720"/>
      <c r="BD3714" s="720"/>
      <c r="BE3714" s="720"/>
      <c r="BF3714" s="720"/>
      <c r="BG3714" s="720"/>
      <c r="BH3714" s="720"/>
      <c r="BI3714" s="720"/>
      <c r="BJ3714" s="720"/>
      <c r="BK3714" s="720"/>
      <c r="BL3714" s="720"/>
    </row>
    <row r="3715" spans="1:64" ht="25">
      <c r="A3715" s="406"/>
      <c r="B3715" s="406"/>
      <c r="C3715" s="417" t="str">
        <f>[161]Input!$C$48</f>
        <v>Overheads &amp; Contractors Profit @ 13.615%</v>
      </c>
      <c r="D3715" s="432">
        <f>ROUND(D3714*[161]Input!$D$48,2)</f>
        <v>671.05</v>
      </c>
      <c r="E3715" s="432">
        <f>ROUND(E3714*[161]Input!$D$48,2)</f>
        <v>685.94</v>
      </c>
      <c r="F3715" s="432">
        <f>ROUND(F3714*[161]Input!$D$48,2)</f>
        <v>700.82</v>
      </c>
      <c r="G3715" s="432">
        <f>ROUND(G3714*[161]Input!$D$48,2)</f>
        <v>715.7</v>
      </c>
      <c r="H3715" s="432">
        <f>ROUND(H3714*[161]Input!$D$48,2)</f>
        <v>730.58</v>
      </c>
      <c r="I3715" s="432">
        <f>ROUND(I3714*[161]Input!$D$48,2)</f>
        <v>745.47</v>
      </c>
      <c r="J3715" s="537">
        <f>ROUND(J3714*[161]Input!$D$48,2)</f>
        <v>760.35</v>
      </c>
      <c r="K3715" s="538">
        <f>ROUND(K3714*[161]Input!$D$48,2)</f>
        <v>775.23</v>
      </c>
      <c r="L3715" s="538">
        <f>ROUND(L3714*[161]Input!$D$48,2)</f>
        <v>790.12</v>
      </c>
      <c r="M3715" s="720"/>
      <c r="N3715" s="720"/>
      <c r="O3715" s="720"/>
      <c r="P3715" s="720"/>
      <c r="Q3715" s="720"/>
      <c r="R3715" s="720"/>
      <c r="S3715" s="720"/>
      <c r="T3715" s="720"/>
      <c r="U3715" s="720"/>
      <c r="V3715" s="720"/>
      <c r="W3715" s="720"/>
      <c r="X3715" s="720"/>
      <c r="Y3715" s="720"/>
      <c r="Z3715" s="720"/>
      <c r="AA3715" s="720"/>
      <c r="AB3715" s="720"/>
      <c r="AC3715" s="720"/>
      <c r="AD3715" s="720"/>
      <c r="AE3715" s="720"/>
      <c r="AF3715" s="720"/>
      <c r="AG3715" s="720"/>
      <c r="AH3715" s="720"/>
      <c r="AI3715" s="720"/>
      <c r="AJ3715" s="720"/>
      <c r="AK3715" s="720"/>
      <c r="AL3715" s="720"/>
      <c r="AM3715" s="720"/>
      <c r="AN3715" s="720"/>
      <c r="AO3715" s="720"/>
      <c r="AP3715" s="720"/>
      <c r="AQ3715" s="720"/>
      <c r="AR3715" s="720"/>
      <c r="AS3715" s="720"/>
      <c r="AT3715" s="720"/>
      <c r="AU3715" s="720"/>
      <c r="AV3715" s="720"/>
      <c r="AW3715" s="720"/>
      <c r="AX3715" s="720"/>
      <c r="AY3715" s="720"/>
      <c r="AZ3715" s="720"/>
      <c r="BA3715" s="720"/>
      <c r="BB3715" s="720"/>
      <c r="BC3715" s="720"/>
      <c r="BD3715" s="720"/>
      <c r="BE3715" s="720"/>
      <c r="BF3715" s="720"/>
      <c r="BG3715" s="720"/>
      <c r="BH3715" s="720"/>
      <c r="BI3715" s="720"/>
      <c r="BJ3715" s="720"/>
      <c r="BK3715" s="720"/>
      <c r="BL3715" s="720"/>
    </row>
    <row r="3716" spans="1:64" ht="13">
      <c r="A3716" s="406"/>
      <c r="B3716" s="406"/>
      <c r="C3716" s="427" t="s">
        <v>724</v>
      </c>
      <c r="D3716" s="432">
        <f t="shared" ref="D3716:L3716" si="868">SUM(D3714:D3715)</f>
        <v>5599.8256999999994</v>
      </c>
      <c r="E3716" s="432">
        <f t="shared" si="868"/>
        <v>5724.0276999999987</v>
      </c>
      <c r="F3716" s="432">
        <f t="shared" si="868"/>
        <v>5848.2196999999987</v>
      </c>
      <c r="G3716" s="432">
        <f t="shared" si="868"/>
        <v>5972.4116999999987</v>
      </c>
      <c r="H3716" s="432">
        <f t="shared" si="868"/>
        <v>6096.6036999999988</v>
      </c>
      <c r="I3716" s="432">
        <f t="shared" si="868"/>
        <v>6220.805699999999</v>
      </c>
      <c r="J3716" s="537">
        <f t="shared" si="868"/>
        <v>6344.9976999999999</v>
      </c>
      <c r="K3716" s="538">
        <f t="shared" si="868"/>
        <v>6469.189699999999</v>
      </c>
      <c r="L3716" s="538">
        <f t="shared" si="868"/>
        <v>6593.3916999999992</v>
      </c>
      <c r="M3716" s="720"/>
      <c r="N3716" s="720"/>
      <c r="O3716" s="720"/>
      <c r="P3716" s="720"/>
      <c r="Q3716" s="720"/>
      <c r="R3716" s="720"/>
      <c r="S3716" s="720"/>
      <c r="T3716" s="720"/>
      <c r="U3716" s="720"/>
      <c r="V3716" s="720"/>
      <c r="W3716" s="720"/>
      <c r="X3716" s="720"/>
      <c r="Y3716" s="720"/>
      <c r="Z3716" s="720"/>
      <c r="AA3716" s="720"/>
      <c r="AB3716" s="720"/>
      <c r="AC3716" s="720"/>
      <c r="AD3716" s="720"/>
      <c r="AE3716" s="720"/>
      <c r="AF3716" s="720"/>
      <c r="AG3716" s="720"/>
      <c r="AH3716" s="720"/>
      <c r="AI3716" s="720"/>
      <c r="AJ3716" s="720"/>
      <c r="AK3716" s="720"/>
      <c r="AL3716" s="720"/>
      <c r="AM3716" s="720"/>
      <c r="AN3716" s="720"/>
      <c r="AO3716" s="720"/>
      <c r="AP3716" s="720"/>
      <c r="AQ3716" s="720"/>
      <c r="AR3716" s="720"/>
      <c r="AS3716" s="720"/>
      <c r="AT3716" s="720"/>
      <c r="AU3716" s="720"/>
      <c r="AV3716" s="720"/>
      <c r="AW3716" s="720"/>
      <c r="AX3716" s="720"/>
      <c r="AY3716" s="720"/>
      <c r="AZ3716" s="720"/>
      <c r="BA3716" s="720"/>
      <c r="BB3716" s="720"/>
      <c r="BC3716" s="720"/>
      <c r="BD3716" s="720"/>
      <c r="BE3716" s="720"/>
      <c r="BF3716" s="720"/>
      <c r="BG3716" s="720"/>
      <c r="BH3716" s="720"/>
      <c r="BI3716" s="720"/>
      <c r="BJ3716" s="720"/>
      <c r="BK3716" s="720"/>
      <c r="BL3716" s="720"/>
    </row>
    <row r="3717" spans="1:64" s="723" customFormat="1" ht="13">
      <c r="A3717" s="406"/>
      <c r="B3717" s="426"/>
      <c r="C3717" s="522" t="s">
        <v>726</v>
      </c>
      <c r="D3717" s="416">
        <f t="shared" ref="D3717:L3717" si="869">ROUND(D3716,0)</f>
        <v>5600</v>
      </c>
      <c r="E3717" s="416">
        <f t="shared" si="869"/>
        <v>5724</v>
      </c>
      <c r="F3717" s="416">
        <f t="shared" si="869"/>
        <v>5848</v>
      </c>
      <c r="G3717" s="416">
        <f t="shared" si="869"/>
        <v>5972</v>
      </c>
      <c r="H3717" s="416">
        <f t="shared" si="869"/>
        <v>6097</v>
      </c>
      <c r="I3717" s="416">
        <f t="shared" si="869"/>
        <v>6221</v>
      </c>
      <c r="J3717" s="533">
        <f t="shared" si="869"/>
        <v>6345</v>
      </c>
      <c r="K3717" s="534">
        <f t="shared" si="869"/>
        <v>6469</v>
      </c>
      <c r="L3717" s="534">
        <f t="shared" si="869"/>
        <v>6593</v>
      </c>
    </row>
    <row r="3718" spans="1:64" ht="13">
      <c r="A3718" s="406"/>
      <c r="B3718" s="426"/>
      <c r="C3718" s="417"/>
      <c r="D3718" s="408"/>
      <c r="E3718" s="408"/>
      <c r="F3718" s="408"/>
      <c r="G3718" s="430"/>
      <c r="H3718" s="415"/>
      <c r="I3718" s="414"/>
      <c r="J3718" s="718"/>
      <c r="K3718" s="719"/>
      <c r="L3718" s="719"/>
      <c r="M3718" s="720"/>
      <c r="N3718" s="720"/>
      <c r="O3718" s="720"/>
      <c r="P3718" s="720"/>
      <c r="Q3718" s="720"/>
      <c r="R3718" s="720"/>
      <c r="S3718" s="720"/>
      <c r="T3718" s="720"/>
      <c r="U3718" s="720"/>
      <c r="V3718" s="720"/>
      <c r="W3718" s="720"/>
      <c r="X3718" s="720"/>
      <c r="Y3718" s="720"/>
      <c r="Z3718" s="720"/>
      <c r="AA3718" s="720"/>
      <c r="AB3718" s="720"/>
      <c r="AC3718" s="720"/>
      <c r="AD3718" s="720"/>
      <c r="AE3718" s="720"/>
      <c r="AF3718" s="720"/>
      <c r="AG3718" s="720"/>
      <c r="AH3718" s="720"/>
      <c r="AI3718" s="720"/>
      <c r="AJ3718" s="720"/>
      <c r="AK3718" s="720"/>
      <c r="AL3718" s="720"/>
      <c r="AM3718" s="720"/>
      <c r="AN3718" s="720"/>
      <c r="AO3718" s="720"/>
      <c r="AP3718" s="720"/>
      <c r="AQ3718" s="720"/>
      <c r="AR3718" s="720"/>
      <c r="AS3718" s="720"/>
      <c r="AT3718" s="720"/>
      <c r="AU3718" s="720"/>
      <c r="AV3718" s="720"/>
      <c r="AW3718" s="720"/>
      <c r="AX3718" s="720"/>
      <c r="AY3718" s="720"/>
      <c r="AZ3718" s="720"/>
      <c r="BA3718" s="720"/>
      <c r="BB3718" s="720"/>
      <c r="BC3718" s="720"/>
      <c r="BD3718" s="720"/>
      <c r="BE3718" s="720"/>
      <c r="BF3718" s="720"/>
      <c r="BG3718" s="720"/>
      <c r="BH3718" s="720"/>
      <c r="BI3718" s="720"/>
      <c r="BJ3718" s="720"/>
      <c r="BK3718" s="720"/>
      <c r="BL3718" s="720"/>
    </row>
    <row r="3719" spans="1:64" ht="13">
      <c r="A3719" s="406"/>
      <c r="B3719" s="426"/>
      <c r="C3719" s="481" t="s">
        <v>953</v>
      </c>
      <c r="D3719" s="474" t="s">
        <v>1118</v>
      </c>
      <c r="E3719" s="474" t="s">
        <v>1119</v>
      </c>
      <c r="F3719" s="474" t="s">
        <v>1120</v>
      </c>
      <c r="G3719" s="430"/>
      <c r="H3719" s="415"/>
      <c r="I3719" s="414"/>
      <c r="J3719" s="718"/>
      <c r="K3719" s="719"/>
      <c r="L3719" s="719"/>
      <c r="M3719" s="720"/>
      <c r="N3719" s="720"/>
      <c r="O3719" s="720"/>
      <c r="P3719" s="720"/>
      <c r="Q3719" s="720"/>
      <c r="R3719" s="720"/>
      <c r="S3719" s="720"/>
      <c r="T3719" s="720"/>
      <c r="U3719" s="720"/>
      <c r="V3719" s="720"/>
      <c r="W3719" s="720"/>
      <c r="X3719" s="720"/>
      <c r="Y3719" s="720"/>
      <c r="Z3719" s="720"/>
      <c r="AA3719" s="720"/>
      <c r="AB3719" s="720"/>
      <c r="AC3719" s="720"/>
      <c r="AD3719" s="720"/>
      <c r="AE3719" s="720"/>
      <c r="AF3719" s="720"/>
      <c r="AG3719" s="720"/>
      <c r="AH3719" s="720"/>
      <c r="AI3719" s="720"/>
      <c r="AJ3719" s="720"/>
      <c r="AK3719" s="720"/>
      <c r="AL3719" s="720"/>
      <c r="AM3719" s="720"/>
      <c r="AN3719" s="720"/>
      <c r="AO3719" s="720"/>
      <c r="AP3719" s="720"/>
      <c r="AQ3719" s="720"/>
      <c r="AR3719" s="720"/>
      <c r="AS3719" s="720"/>
      <c r="AT3719" s="720"/>
      <c r="AU3719" s="720"/>
      <c r="AV3719" s="720"/>
      <c r="AW3719" s="720"/>
      <c r="AX3719" s="720"/>
      <c r="AY3719" s="720"/>
      <c r="AZ3719" s="720"/>
      <c r="BA3719" s="720"/>
      <c r="BB3719" s="720"/>
      <c r="BC3719" s="720"/>
      <c r="BD3719" s="720"/>
      <c r="BE3719" s="720"/>
      <c r="BF3719" s="720"/>
      <c r="BG3719" s="720"/>
      <c r="BH3719" s="720"/>
      <c r="BI3719" s="720"/>
      <c r="BJ3719" s="720"/>
      <c r="BK3719" s="720"/>
      <c r="BL3719" s="720"/>
    </row>
    <row r="3720" spans="1:64" ht="13">
      <c r="A3720" s="406"/>
      <c r="B3720" s="426"/>
      <c r="C3720" s="417" t="s">
        <v>954</v>
      </c>
      <c r="D3720" s="432">
        <f>$I$3707</f>
        <v>312.32</v>
      </c>
      <c r="E3720" s="432">
        <f>$I$3708</f>
        <v>4928.7756999999992</v>
      </c>
      <c r="F3720" s="432">
        <f>$I$3708</f>
        <v>4928.7756999999992</v>
      </c>
      <c r="G3720" s="430"/>
      <c r="H3720" s="415"/>
      <c r="I3720" s="414"/>
      <c r="J3720" s="718"/>
      <c r="K3720" s="719"/>
      <c r="L3720" s="719"/>
      <c r="M3720" s="720"/>
      <c r="N3720" s="720"/>
      <c r="O3720" s="720"/>
      <c r="P3720" s="720"/>
      <c r="Q3720" s="720"/>
      <c r="R3720" s="720"/>
      <c r="S3720" s="720"/>
      <c r="T3720" s="720"/>
      <c r="U3720" s="720"/>
      <c r="V3720" s="720"/>
      <c r="W3720" s="720"/>
      <c r="X3720" s="720"/>
      <c r="Y3720" s="720"/>
      <c r="Z3720" s="720"/>
      <c r="AA3720" s="720"/>
      <c r="AB3720" s="720"/>
      <c r="AC3720" s="720"/>
      <c r="AD3720" s="720"/>
      <c r="AE3720" s="720"/>
      <c r="AF3720" s="720"/>
      <c r="AG3720" s="720"/>
      <c r="AH3720" s="720"/>
      <c r="AI3720" s="720"/>
      <c r="AJ3720" s="720"/>
      <c r="AK3720" s="720"/>
      <c r="AL3720" s="720"/>
      <c r="AM3720" s="720"/>
      <c r="AN3720" s="720"/>
      <c r="AO3720" s="720"/>
      <c r="AP3720" s="720"/>
      <c r="AQ3720" s="720"/>
      <c r="AR3720" s="720"/>
      <c r="AS3720" s="720"/>
      <c r="AT3720" s="720"/>
      <c r="AU3720" s="720"/>
      <c r="AV3720" s="720"/>
      <c r="AW3720" s="720"/>
      <c r="AX3720" s="720"/>
      <c r="AY3720" s="720"/>
      <c r="AZ3720" s="720"/>
      <c r="BA3720" s="720"/>
      <c r="BB3720" s="720"/>
      <c r="BC3720" s="720"/>
      <c r="BD3720" s="720"/>
      <c r="BE3720" s="720"/>
      <c r="BF3720" s="720"/>
      <c r="BG3720" s="720"/>
      <c r="BH3720" s="720"/>
      <c r="BI3720" s="720"/>
      <c r="BJ3720" s="720"/>
      <c r="BK3720" s="720"/>
      <c r="BL3720" s="720"/>
    </row>
    <row r="3721" spans="1:64" ht="13">
      <c r="A3721" s="406"/>
      <c r="B3721" s="426"/>
      <c r="C3721" s="417" t="s">
        <v>994</v>
      </c>
      <c r="D3721" s="432">
        <f>ROUND(($F$3707)*60%,2)</f>
        <v>468.48</v>
      </c>
      <c r="E3721" s="432">
        <f>ROUND(($F$3707)*70%,2)</f>
        <v>546.55999999999995</v>
      </c>
      <c r="F3721" s="432">
        <f>ROUND(($F$3707)*80%,2)</f>
        <v>624.64</v>
      </c>
      <c r="G3721" s="430"/>
      <c r="H3721" s="415"/>
      <c r="I3721" s="414"/>
      <c r="J3721" s="718"/>
      <c r="K3721" s="719"/>
      <c r="L3721" s="719"/>
      <c r="M3721" s="720"/>
      <c r="N3721" s="720"/>
      <c r="O3721" s="720"/>
      <c r="P3721" s="720"/>
      <c r="Q3721" s="720"/>
      <c r="R3721" s="720"/>
      <c r="S3721" s="720"/>
      <c r="T3721" s="720"/>
      <c r="U3721" s="720"/>
      <c r="V3721" s="720"/>
      <c r="W3721" s="720"/>
      <c r="X3721" s="720"/>
      <c r="Y3721" s="720"/>
      <c r="Z3721" s="720"/>
      <c r="AA3721" s="720"/>
      <c r="AB3721" s="720"/>
      <c r="AC3721" s="720"/>
      <c r="AD3721" s="720"/>
      <c r="AE3721" s="720"/>
      <c r="AF3721" s="720"/>
      <c r="AG3721" s="720"/>
      <c r="AH3721" s="720"/>
      <c r="AI3721" s="720"/>
      <c r="AJ3721" s="720"/>
      <c r="AK3721" s="720"/>
      <c r="AL3721" s="720"/>
      <c r="AM3721" s="720"/>
      <c r="AN3721" s="720"/>
      <c r="AO3721" s="720"/>
      <c r="AP3721" s="720"/>
      <c r="AQ3721" s="720"/>
      <c r="AR3721" s="720"/>
      <c r="AS3721" s="720"/>
      <c r="AT3721" s="720"/>
      <c r="AU3721" s="720"/>
      <c r="AV3721" s="720"/>
      <c r="AW3721" s="720"/>
      <c r="AX3721" s="720"/>
      <c r="AY3721" s="720"/>
      <c r="AZ3721" s="720"/>
      <c r="BA3721" s="720"/>
      <c r="BB3721" s="720"/>
      <c r="BC3721" s="720"/>
      <c r="BD3721" s="720"/>
      <c r="BE3721" s="720"/>
      <c r="BF3721" s="720"/>
      <c r="BG3721" s="720"/>
      <c r="BH3721" s="720"/>
      <c r="BI3721" s="720"/>
      <c r="BJ3721" s="720"/>
      <c r="BK3721" s="720"/>
      <c r="BL3721" s="720"/>
    </row>
    <row r="3722" spans="1:64" ht="13">
      <c r="A3722" s="406"/>
      <c r="B3722" s="426"/>
      <c r="C3722" s="417" t="str">
        <f>[161]Input!$C$47</f>
        <v>Add for MA @ 40%</v>
      </c>
      <c r="D3722" s="432">
        <f>D3721*[161]Input!$D$47</f>
        <v>187.39200000000002</v>
      </c>
      <c r="E3722" s="432">
        <f>E3721*[161]Input!$D$47</f>
        <v>218.624</v>
      </c>
      <c r="F3722" s="432">
        <f>F3721*[161]Input!$D$47</f>
        <v>249.85599999999999</v>
      </c>
      <c r="G3722" s="430"/>
      <c r="H3722" s="415"/>
      <c r="I3722" s="414"/>
      <c r="J3722" s="718"/>
      <c r="K3722" s="719"/>
      <c r="L3722" s="719"/>
      <c r="M3722" s="720"/>
      <c r="N3722" s="720"/>
      <c r="O3722" s="720"/>
      <c r="P3722" s="720"/>
      <c r="Q3722" s="720"/>
      <c r="R3722" s="720"/>
      <c r="S3722" s="720"/>
      <c r="T3722" s="720"/>
      <c r="U3722" s="720"/>
      <c r="V3722" s="720"/>
      <c r="W3722" s="720"/>
      <c r="X3722" s="720"/>
      <c r="Y3722" s="720"/>
      <c r="Z3722" s="720"/>
      <c r="AA3722" s="720"/>
      <c r="AB3722" s="720"/>
      <c r="AC3722" s="720"/>
      <c r="AD3722" s="720"/>
      <c r="AE3722" s="720"/>
      <c r="AF3722" s="720"/>
      <c r="AG3722" s="720"/>
      <c r="AH3722" s="720"/>
      <c r="AI3722" s="720"/>
      <c r="AJ3722" s="720"/>
      <c r="AK3722" s="720"/>
      <c r="AL3722" s="720"/>
      <c r="AM3722" s="720"/>
      <c r="AN3722" s="720"/>
      <c r="AO3722" s="720"/>
      <c r="AP3722" s="720"/>
      <c r="AQ3722" s="720"/>
      <c r="AR3722" s="720"/>
      <c r="AS3722" s="720"/>
      <c r="AT3722" s="720"/>
      <c r="AU3722" s="720"/>
      <c r="AV3722" s="720"/>
      <c r="AW3722" s="720"/>
      <c r="AX3722" s="720"/>
      <c r="AY3722" s="720"/>
      <c r="AZ3722" s="720"/>
      <c r="BA3722" s="720"/>
      <c r="BB3722" s="720"/>
      <c r="BC3722" s="720"/>
      <c r="BD3722" s="720"/>
      <c r="BE3722" s="720"/>
      <c r="BF3722" s="720"/>
      <c r="BG3722" s="720"/>
      <c r="BH3722" s="720"/>
      <c r="BI3722" s="720"/>
      <c r="BJ3722" s="720"/>
      <c r="BK3722" s="720"/>
      <c r="BL3722" s="720"/>
    </row>
    <row r="3723" spans="1:64" ht="13">
      <c r="A3723" s="406"/>
      <c r="B3723" s="426"/>
      <c r="C3723" s="427" t="s">
        <v>724</v>
      </c>
      <c r="D3723" s="432">
        <f>SUM(D3720:D3722)</f>
        <v>968.19200000000001</v>
      </c>
      <c r="E3723" s="432">
        <f>SUM(E3720:E3722)</f>
        <v>5693.9596999999994</v>
      </c>
      <c r="F3723" s="432">
        <f>SUM(F3720:F3722)</f>
        <v>5803.2716999999993</v>
      </c>
      <c r="G3723" s="430"/>
      <c r="H3723" s="415"/>
      <c r="I3723" s="414"/>
      <c r="J3723" s="718"/>
      <c r="K3723" s="719"/>
      <c r="L3723" s="719"/>
      <c r="M3723" s="720"/>
      <c r="N3723" s="720"/>
      <c r="O3723" s="720"/>
      <c r="P3723" s="720"/>
      <c r="Q3723" s="720"/>
      <c r="R3723" s="720"/>
      <c r="S3723" s="720"/>
      <c r="T3723" s="720"/>
      <c r="U3723" s="720"/>
      <c r="V3723" s="720"/>
      <c r="W3723" s="720"/>
      <c r="X3723" s="720"/>
      <c r="Y3723" s="720"/>
      <c r="Z3723" s="720"/>
      <c r="AA3723" s="720"/>
      <c r="AB3723" s="720"/>
      <c r="AC3723" s="720"/>
      <c r="AD3723" s="720"/>
      <c r="AE3723" s="720"/>
      <c r="AF3723" s="720"/>
      <c r="AG3723" s="720"/>
      <c r="AH3723" s="720"/>
      <c r="AI3723" s="720"/>
      <c r="AJ3723" s="720"/>
      <c r="AK3723" s="720"/>
      <c r="AL3723" s="720"/>
      <c r="AM3723" s="720"/>
      <c r="AN3723" s="720"/>
      <c r="AO3723" s="720"/>
      <c r="AP3723" s="720"/>
      <c r="AQ3723" s="720"/>
      <c r="AR3723" s="720"/>
      <c r="AS3723" s="720"/>
      <c r="AT3723" s="720"/>
      <c r="AU3723" s="720"/>
      <c r="AV3723" s="720"/>
      <c r="AW3723" s="720"/>
      <c r="AX3723" s="720"/>
      <c r="AY3723" s="720"/>
      <c r="AZ3723" s="720"/>
      <c r="BA3723" s="720"/>
      <c r="BB3723" s="720"/>
      <c r="BC3723" s="720"/>
      <c r="BD3723" s="720"/>
      <c r="BE3723" s="720"/>
      <c r="BF3723" s="720"/>
      <c r="BG3723" s="720"/>
      <c r="BH3723" s="720"/>
      <c r="BI3723" s="720"/>
      <c r="BJ3723" s="720"/>
      <c r="BK3723" s="720"/>
      <c r="BL3723" s="720"/>
    </row>
    <row r="3724" spans="1:64" ht="25">
      <c r="A3724" s="406"/>
      <c r="B3724" s="426"/>
      <c r="C3724" s="417" t="str">
        <f>[161]Input!$C$48</f>
        <v>Overheads &amp; Contractors Profit @ 13.615%</v>
      </c>
      <c r="D3724" s="432">
        <f>ROUND(D3723*[161]Input!$D$48,2)</f>
        <v>131.82</v>
      </c>
      <c r="E3724" s="432">
        <f>ROUND(E3723*[161]Input!$D$48,2)</f>
        <v>775.23</v>
      </c>
      <c r="F3724" s="432">
        <f>ROUND(F3723*[161]Input!$D$48,2)</f>
        <v>790.12</v>
      </c>
      <c r="G3724" s="430"/>
      <c r="H3724" s="415"/>
      <c r="I3724" s="414"/>
      <c r="J3724" s="718"/>
      <c r="K3724" s="719"/>
      <c r="L3724" s="719"/>
      <c r="M3724" s="720"/>
      <c r="N3724" s="720"/>
      <c r="O3724" s="720"/>
      <c r="P3724" s="720"/>
      <c r="Q3724" s="720"/>
      <c r="R3724" s="720"/>
      <c r="S3724" s="720"/>
      <c r="T3724" s="720"/>
      <c r="U3724" s="720"/>
      <c r="V3724" s="720"/>
      <c r="W3724" s="720"/>
      <c r="X3724" s="720"/>
      <c r="Y3724" s="720"/>
      <c r="Z3724" s="720"/>
      <c r="AA3724" s="720"/>
      <c r="AB3724" s="720"/>
      <c r="AC3724" s="720"/>
      <c r="AD3724" s="720"/>
      <c r="AE3724" s="720"/>
      <c r="AF3724" s="720"/>
      <c r="AG3724" s="720"/>
      <c r="AH3724" s="720"/>
      <c r="AI3724" s="720"/>
      <c r="AJ3724" s="720"/>
      <c r="AK3724" s="720"/>
      <c r="AL3724" s="720"/>
      <c r="AM3724" s="720"/>
      <c r="AN3724" s="720"/>
      <c r="AO3724" s="720"/>
      <c r="AP3724" s="720"/>
      <c r="AQ3724" s="720"/>
      <c r="AR3724" s="720"/>
      <c r="AS3724" s="720"/>
      <c r="AT3724" s="720"/>
      <c r="AU3724" s="720"/>
      <c r="AV3724" s="720"/>
      <c r="AW3724" s="720"/>
      <c r="AX3724" s="720"/>
      <c r="AY3724" s="720"/>
      <c r="AZ3724" s="720"/>
      <c r="BA3724" s="720"/>
      <c r="BB3724" s="720"/>
      <c r="BC3724" s="720"/>
      <c r="BD3724" s="720"/>
      <c r="BE3724" s="720"/>
      <c r="BF3724" s="720"/>
      <c r="BG3724" s="720"/>
      <c r="BH3724" s="720"/>
      <c r="BI3724" s="720"/>
      <c r="BJ3724" s="720"/>
      <c r="BK3724" s="720"/>
      <c r="BL3724" s="720"/>
    </row>
    <row r="3725" spans="1:64" ht="13">
      <c r="A3725" s="406"/>
      <c r="B3725" s="426"/>
      <c r="C3725" s="427" t="s">
        <v>724</v>
      </c>
      <c r="D3725" s="432">
        <f>SUM(D3723:D3724)</f>
        <v>1100.0119999999999</v>
      </c>
      <c r="E3725" s="432">
        <f>SUM(E3723:E3724)</f>
        <v>6469.189699999999</v>
      </c>
      <c r="F3725" s="432">
        <f>SUM(F3723:F3724)</f>
        <v>6593.3916999999992</v>
      </c>
      <c r="G3725" s="430"/>
      <c r="H3725" s="415"/>
      <c r="I3725" s="414"/>
      <c r="J3725" s="718"/>
      <c r="K3725" s="719"/>
      <c r="L3725" s="719"/>
      <c r="M3725" s="720"/>
      <c r="N3725" s="720"/>
      <c r="O3725" s="720"/>
      <c r="P3725" s="720"/>
      <c r="Q3725" s="720"/>
      <c r="R3725" s="720"/>
      <c r="S3725" s="720"/>
      <c r="T3725" s="720"/>
      <c r="U3725" s="720"/>
      <c r="V3725" s="720"/>
      <c r="W3725" s="720"/>
      <c r="X3725" s="720"/>
      <c r="Y3725" s="720"/>
      <c r="Z3725" s="720"/>
      <c r="AA3725" s="720"/>
      <c r="AB3725" s="720"/>
      <c r="AC3725" s="720"/>
      <c r="AD3725" s="720"/>
      <c r="AE3725" s="720"/>
      <c r="AF3725" s="720"/>
      <c r="AG3725" s="720"/>
      <c r="AH3725" s="720"/>
      <c r="AI3725" s="720"/>
      <c r="AJ3725" s="720"/>
      <c r="AK3725" s="720"/>
      <c r="AL3725" s="720"/>
      <c r="AM3725" s="720"/>
      <c r="AN3725" s="720"/>
      <c r="AO3725" s="720"/>
      <c r="AP3725" s="720"/>
      <c r="AQ3725" s="720"/>
      <c r="AR3725" s="720"/>
      <c r="AS3725" s="720"/>
      <c r="AT3725" s="720"/>
      <c r="AU3725" s="720"/>
      <c r="AV3725" s="720"/>
      <c r="AW3725" s="720"/>
      <c r="AX3725" s="720"/>
      <c r="AY3725" s="720"/>
      <c r="AZ3725" s="720"/>
      <c r="BA3725" s="720"/>
      <c r="BB3725" s="720"/>
      <c r="BC3725" s="720"/>
      <c r="BD3725" s="720"/>
      <c r="BE3725" s="720"/>
      <c r="BF3725" s="720"/>
      <c r="BG3725" s="720"/>
      <c r="BH3725" s="720"/>
      <c r="BI3725" s="720"/>
      <c r="BJ3725" s="720"/>
      <c r="BK3725" s="720"/>
      <c r="BL3725" s="720"/>
    </row>
    <row r="3726" spans="1:64" ht="13">
      <c r="A3726" s="406"/>
      <c r="B3726" s="426"/>
      <c r="C3726" s="522" t="s">
        <v>726</v>
      </c>
      <c r="D3726" s="416">
        <f>ROUND(D3725,0)</f>
        <v>1100</v>
      </c>
      <c r="E3726" s="416">
        <f>ROUND(E3725,0)</f>
        <v>6469</v>
      </c>
      <c r="F3726" s="416">
        <f>ROUND(F3725,0)</f>
        <v>6593</v>
      </c>
      <c r="G3726" s="430"/>
      <c r="H3726" s="415"/>
      <c r="I3726" s="414"/>
      <c r="J3726" s="718"/>
      <c r="K3726" s="719"/>
      <c r="L3726" s="719"/>
      <c r="M3726" s="720"/>
      <c r="N3726" s="720"/>
      <c r="O3726" s="720"/>
      <c r="P3726" s="720"/>
      <c r="Q3726" s="720"/>
      <c r="R3726" s="720"/>
      <c r="S3726" s="720"/>
      <c r="T3726" s="720"/>
      <c r="U3726" s="720"/>
      <c r="V3726" s="720"/>
      <c r="W3726" s="720"/>
      <c r="X3726" s="720"/>
      <c r="Y3726" s="720"/>
      <c r="Z3726" s="720"/>
      <c r="AA3726" s="720"/>
      <c r="AB3726" s="720"/>
      <c r="AC3726" s="720"/>
      <c r="AD3726" s="720"/>
      <c r="AE3726" s="720"/>
      <c r="AF3726" s="720"/>
      <c r="AG3726" s="720"/>
      <c r="AH3726" s="720"/>
      <c r="AI3726" s="720"/>
      <c r="AJ3726" s="720"/>
      <c r="AK3726" s="720"/>
      <c r="AL3726" s="720"/>
      <c r="AM3726" s="720"/>
      <c r="AN3726" s="720"/>
      <c r="AO3726" s="720"/>
      <c r="AP3726" s="720"/>
      <c r="AQ3726" s="720"/>
      <c r="AR3726" s="720"/>
      <c r="AS3726" s="720"/>
      <c r="AT3726" s="720"/>
      <c r="AU3726" s="720"/>
      <c r="AV3726" s="720"/>
      <c r="AW3726" s="720"/>
      <c r="AX3726" s="720"/>
      <c r="AY3726" s="720"/>
      <c r="AZ3726" s="720"/>
      <c r="BA3726" s="720"/>
      <c r="BB3726" s="720"/>
      <c r="BC3726" s="720"/>
      <c r="BD3726" s="720"/>
      <c r="BE3726" s="720"/>
      <c r="BF3726" s="720"/>
      <c r="BG3726" s="720"/>
      <c r="BH3726" s="720"/>
      <c r="BI3726" s="720"/>
      <c r="BJ3726" s="720"/>
      <c r="BK3726" s="720"/>
      <c r="BL3726" s="720"/>
    </row>
    <row r="3727" spans="1:64" ht="13">
      <c r="A3727" s="406"/>
      <c r="B3727" s="426"/>
      <c r="C3727" s="417"/>
      <c r="D3727" s="408"/>
      <c r="E3727" s="408"/>
      <c r="F3727" s="408"/>
      <c r="G3727" s="430"/>
      <c r="H3727" s="415"/>
      <c r="I3727" s="414"/>
      <c r="J3727" s="718"/>
      <c r="K3727" s="719"/>
      <c r="L3727" s="719"/>
      <c r="M3727" s="720"/>
      <c r="N3727" s="720"/>
      <c r="O3727" s="720"/>
      <c r="P3727" s="720"/>
      <c r="Q3727" s="720"/>
      <c r="R3727" s="720"/>
      <c r="S3727" s="720"/>
      <c r="T3727" s="720"/>
      <c r="U3727" s="720"/>
      <c r="V3727" s="720"/>
      <c r="W3727" s="720"/>
      <c r="X3727" s="720"/>
      <c r="Y3727" s="720"/>
      <c r="Z3727" s="720"/>
      <c r="AA3727" s="720"/>
      <c r="AB3727" s="720"/>
      <c r="AC3727" s="720"/>
      <c r="AD3727" s="720"/>
      <c r="AE3727" s="720"/>
      <c r="AF3727" s="720"/>
      <c r="AG3727" s="720"/>
      <c r="AH3727" s="720"/>
      <c r="AI3727" s="720"/>
      <c r="AJ3727" s="720"/>
      <c r="AK3727" s="720"/>
      <c r="AL3727" s="720"/>
      <c r="AM3727" s="720"/>
      <c r="AN3727" s="720"/>
      <c r="AO3727" s="720"/>
      <c r="AP3727" s="720"/>
      <c r="AQ3727" s="720"/>
      <c r="AR3727" s="720"/>
      <c r="AS3727" s="720"/>
      <c r="AT3727" s="720"/>
      <c r="AU3727" s="720"/>
      <c r="AV3727" s="720"/>
      <c r="AW3727" s="720"/>
      <c r="AX3727" s="720"/>
      <c r="AY3727" s="720"/>
      <c r="AZ3727" s="720"/>
      <c r="BA3727" s="720"/>
      <c r="BB3727" s="720"/>
      <c r="BC3727" s="720"/>
      <c r="BD3727" s="720"/>
      <c r="BE3727" s="720"/>
      <c r="BF3727" s="720"/>
      <c r="BG3727" s="720"/>
      <c r="BH3727" s="720"/>
      <c r="BI3727" s="720"/>
      <c r="BJ3727" s="720"/>
      <c r="BK3727" s="720"/>
      <c r="BL3727" s="720"/>
    </row>
    <row r="3728" spans="1:64" ht="81.400000000000006" customHeight="1">
      <c r="A3728" s="1277">
        <f>A3692+1</f>
        <v>15</v>
      </c>
      <c r="B3728" s="1277"/>
      <c r="C3728" s="1276" t="s">
        <v>1306</v>
      </c>
      <c r="D3728" s="1276"/>
      <c r="E3728" s="1276"/>
      <c r="F3728" s="1276"/>
      <c r="G3728" s="1276"/>
      <c r="H3728" s="1276"/>
      <c r="I3728" s="407"/>
      <c r="J3728" s="718"/>
      <c r="K3728" s="719"/>
      <c r="L3728" s="719"/>
      <c r="M3728" s="720"/>
      <c r="N3728" s="720"/>
      <c r="O3728" s="720"/>
      <c r="P3728" s="720"/>
      <c r="Q3728" s="720"/>
      <c r="R3728" s="720"/>
      <c r="S3728" s="720"/>
      <c r="T3728" s="720"/>
      <c r="U3728" s="720"/>
      <c r="V3728" s="720"/>
      <c r="W3728" s="720"/>
      <c r="X3728" s="720"/>
      <c r="Y3728" s="720"/>
      <c r="Z3728" s="720"/>
      <c r="AA3728" s="720"/>
      <c r="AB3728" s="720"/>
      <c r="AC3728" s="720"/>
      <c r="AD3728" s="720"/>
      <c r="AE3728" s="720"/>
      <c r="AF3728" s="720"/>
      <c r="AG3728" s="720"/>
      <c r="AH3728" s="720"/>
      <c r="AI3728" s="720"/>
      <c r="AJ3728" s="720"/>
      <c r="AK3728" s="720"/>
      <c r="AL3728" s="720"/>
      <c r="AM3728" s="720"/>
      <c r="AN3728" s="720"/>
      <c r="AO3728" s="720"/>
      <c r="AP3728" s="720"/>
      <c r="AQ3728" s="720"/>
      <c r="AR3728" s="720"/>
      <c r="AS3728" s="720"/>
      <c r="AT3728" s="720"/>
      <c r="AU3728" s="720"/>
      <c r="AV3728" s="720"/>
      <c r="AW3728" s="720"/>
      <c r="AX3728" s="720"/>
      <c r="AY3728" s="720"/>
      <c r="AZ3728" s="720"/>
      <c r="BA3728" s="720"/>
      <c r="BB3728" s="720"/>
      <c r="BC3728" s="720"/>
      <c r="BD3728" s="720"/>
      <c r="BE3728" s="720"/>
      <c r="BF3728" s="720"/>
      <c r="BG3728" s="720"/>
      <c r="BH3728" s="720"/>
      <c r="BI3728" s="720"/>
      <c r="BJ3728" s="720"/>
      <c r="BK3728" s="720"/>
      <c r="BL3728" s="720"/>
    </row>
    <row r="3729" spans="1:64" ht="13">
      <c r="A3729" s="406"/>
      <c r="B3729" s="426"/>
      <c r="C3729" s="427" t="s">
        <v>1307</v>
      </c>
      <c r="D3729" s="426"/>
      <c r="E3729" s="426"/>
      <c r="F3729" s="409"/>
      <c r="G3729" s="410"/>
      <c r="H3729" s="426"/>
      <c r="I3729" s="408"/>
      <c r="J3729" s="718"/>
      <c r="K3729" s="719"/>
      <c r="L3729" s="719"/>
      <c r="M3729" s="720"/>
      <c r="N3729" s="720"/>
      <c r="O3729" s="720"/>
      <c r="P3729" s="720"/>
      <c r="Q3729" s="720"/>
      <c r="R3729" s="720"/>
      <c r="S3729" s="720"/>
      <c r="T3729" s="720"/>
      <c r="U3729" s="720"/>
      <c r="V3729" s="720"/>
      <c r="W3729" s="720"/>
      <c r="X3729" s="720"/>
      <c r="Y3729" s="720"/>
      <c r="Z3729" s="720"/>
      <c r="AA3729" s="720"/>
      <c r="AB3729" s="720"/>
      <c r="AC3729" s="720"/>
      <c r="AD3729" s="720"/>
      <c r="AE3729" s="720"/>
      <c r="AF3729" s="720"/>
      <c r="AG3729" s="720"/>
      <c r="AH3729" s="720"/>
      <c r="AI3729" s="720"/>
      <c r="AJ3729" s="720"/>
      <c r="AK3729" s="720"/>
      <c r="AL3729" s="720"/>
      <c r="AM3729" s="720"/>
      <c r="AN3729" s="720"/>
      <c r="AO3729" s="720"/>
      <c r="AP3729" s="720"/>
      <c r="AQ3729" s="720"/>
      <c r="AR3729" s="720"/>
      <c r="AS3729" s="720"/>
      <c r="AT3729" s="720"/>
      <c r="AU3729" s="720"/>
      <c r="AV3729" s="720"/>
      <c r="AW3729" s="720"/>
      <c r="AX3729" s="720"/>
      <c r="AY3729" s="720"/>
      <c r="AZ3729" s="720"/>
      <c r="BA3729" s="720"/>
      <c r="BB3729" s="720"/>
      <c r="BC3729" s="720"/>
      <c r="BD3729" s="720"/>
      <c r="BE3729" s="720"/>
      <c r="BF3729" s="720"/>
      <c r="BG3729" s="720"/>
      <c r="BH3729" s="720"/>
      <c r="BI3729" s="720"/>
      <c r="BJ3729" s="720"/>
      <c r="BK3729" s="720"/>
      <c r="BL3729" s="720"/>
    </row>
    <row r="3730" spans="1:64">
      <c r="A3730" s="406"/>
      <c r="B3730" s="426"/>
      <c r="C3730" s="417" t="s">
        <v>1303</v>
      </c>
      <c r="D3730" s="426"/>
      <c r="E3730" s="426"/>
      <c r="F3730" s="409"/>
      <c r="G3730" s="410"/>
      <c r="H3730" s="426"/>
      <c r="I3730" s="408"/>
      <c r="J3730" s="718"/>
      <c r="K3730" s="719"/>
      <c r="L3730" s="719"/>
      <c r="M3730" s="720"/>
      <c r="N3730" s="720"/>
      <c r="O3730" s="720"/>
      <c r="P3730" s="720"/>
      <c r="Q3730" s="720"/>
      <c r="R3730" s="720"/>
      <c r="S3730" s="720"/>
      <c r="T3730" s="720"/>
      <c r="U3730" s="720"/>
      <c r="V3730" s="720"/>
      <c r="W3730" s="720"/>
      <c r="X3730" s="720"/>
      <c r="Y3730" s="720"/>
      <c r="Z3730" s="720"/>
      <c r="AA3730" s="720"/>
      <c r="AB3730" s="720"/>
      <c r="AC3730" s="720"/>
      <c r="AD3730" s="720"/>
      <c r="AE3730" s="720"/>
      <c r="AF3730" s="720"/>
      <c r="AG3730" s="720"/>
      <c r="AH3730" s="720"/>
      <c r="AI3730" s="720"/>
      <c r="AJ3730" s="720"/>
      <c r="AK3730" s="720"/>
      <c r="AL3730" s="720"/>
      <c r="AM3730" s="720"/>
      <c r="AN3730" s="720"/>
      <c r="AO3730" s="720"/>
      <c r="AP3730" s="720"/>
      <c r="AQ3730" s="720"/>
      <c r="AR3730" s="720"/>
      <c r="AS3730" s="720"/>
      <c r="AT3730" s="720"/>
      <c r="AU3730" s="720"/>
      <c r="AV3730" s="720"/>
      <c r="AW3730" s="720"/>
      <c r="AX3730" s="720"/>
      <c r="AY3730" s="720"/>
      <c r="AZ3730" s="720"/>
      <c r="BA3730" s="720"/>
      <c r="BB3730" s="720"/>
      <c r="BC3730" s="720"/>
      <c r="BD3730" s="720"/>
      <c r="BE3730" s="720"/>
      <c r="BF3730" s="720"/>
      <c r="BG3730" s="720"/>
      <c r="BH3730" s="720"/>
      <c r="BI3730" s="720"/>
      <c r="BJ3730" s="720"/>
      <c r="BK3730" s="720"/>
      <c r="BL3730" s="720"/>
    </row>
    <row r="3731" spans="1:64" ht="13">
      <c r="A3731" s="406"/>
      <c r="B3731" s="426"/>
      <c r="C3731" s="550" t="s">
        <v>873</v>
      </c>
      <c r="D3731" s="426"/>
      <c r="E3731" s="426"/>
      <c r="F3731" s="409"/>
      <c r="G3731" s="410"/>
      <c r="H3731" s="426"/>
      <c r="I3731" s="408"/>
      <c r="J3731" s="718"/>
      <c r="K3731" s="719"/>
      <c r="L3731" s="719"/>
      <c r="M3731" s="720"/>
      <c r="N3731" s="720"/>
      <c r="O3731" s="720"/>
      <c r="P3731" s="720"/>
      <c r="Q3731" s="720"/>
      <c r="R3731" s="720"/>
      <c r="S3731" s="720"/>
      <c r="T3731" s="720"/>
      <c r="U3731" s="720"/>
      <c r="V3731" s="720"/>
      <c r="W3731" s="720"/>
      <c r="X3731" s="720"/>
      <c r="Y3731" s="720"/>
      <c r="Z3731" s="720"/>
      <c r="AA3731" s="720"/>
      <c r="AB3731" s="720"/>
      <c r="AC3731" s="720"/>
      <c r="AD3731" s="720"/>
      <c r="AE3731" s="720"/>
      <c r="AF3731" s="720"/>
      <c r="AG3731" s="720"/>
      <c r="AH3731" s="720"/>
      <c r="AI3731" s="720"/>
      <c r="AJ3731" s="720"/>
      <c r="AK3731" s="720"/>
      <c r="AL3731" s="720"/>
      <c r="AM3731" s="720"/>
      <c r="AN3731" s="720"/>
      <c r="AO3731" s="720"/>
      <c r="AP3731" s="720"/>
      <c r="AQ3731" s="720"/>
      <c r="AR3731" s="720"/>
      <c r="AS3731" s="720"/>
      <c r="AT3731" s="720"/>
      <c r="AU3731" s="720"/>
      <c r="AV3731" s="720"/>
      <c r="AW3731" s="720"/>
      <c r="AX3731" s="720"/>
      <c r="AY3731" s="720"/>
      <c r="AZ3731" s="720"/>
      <c r="BA3731" s="720"/>
      <c r="BB3731" s="720"/>
      <c r="BC3731" s="720"/>
      <c r="BD3731" s="720"/>
      <c r="BE3731" s="720"/>
      <c r="BF3731" s="720"/>
      <c r="BG3731" s="720"/>
      <c r="BH3731" s="720"/>
      <c r="BI3731" s="720"/>
      <c r="BJ3731" s="720"/>
      <c r="BK3731" s="720"/>
      <c r="BL3731" s="720"/>
    </row>
    <row r="3732" spans="1:64">
      <c r="A3732" s="406"/>
      <c r="B3732" s="426"/>
      <c r="C3732" s="483" t="s">
        <v>504</v>
      </c>
      <c r="D3732" s="409">
        <v>129.6</v>
      </c>
      <c r="E3732" s="426" t="s">
        <v>833</v>
      </c>
      <c r="F3732" s="409">
        <f>[161]LEAD!$N$6</f>
        <v>5200</v>
      </c>
      <c r="G3732" s="410">
        <v>1000</v>
      </c>
      <c r="H3732" s="426" t="s">
        <v>833</v>
      </c>
      <c r="I3732" s="408">
        <f t="shared" ref="I3732:I3734" si="870">IF(G3732="",D3732*F3732,(D3732*F3732/G3732))</f>
        <v>673.92</v>
      </c>
      <c r="J3732" s="718"/>
      <c r="K3732" s="719"/>
      <c r="L3732" s="719"/>
      <c r="M3732" s="726"/>
      <c r="N3732" s="726"/>
      <c r="O3732" s="726"/>
      <c r="P3732" s="726"/>
      <c r="Q3732" s="726"/>
      <c r="R3732" s="726"/>
      <c r="S3732" s="726"/>
      <c r="T3732" s="726"/>
      <c r="U3732" s="726"/>
      <c r="V3732" s="726"/>
      <c r="W3732" s="726"/>
      <c r="X3732" s="726"/>
      <c r="Y3732" s="726"/>
      <c r="Z3732" s="726"/>
      <c r="AA3732" s="726"/>
      <c r="AB3732" s="726"/>
      <c r="AC3732" s="726"/>
      <c r="AD3732" s="726"/>
      <c r="AE3732" s="726"/>
      <c r="AF3732" s="726"/>
      <c r="AG3732" s="726"/>
      <c r="AH3732" s="726"/>
      <c r="AI3732" s="726"/>
      <c r="AJ3732" s="726"/>
      <c r="AK3732" s="726"/>
      <c r="AL3732" s="726"/>
      <c r="AM3732" s="726"/>
      <c r="AN3732" s="726"/>
      <c r="AO3732" s="726"/>
      <c r="AP3732" s="726"/>
      <c r="AQ3732" s="726"/>
      <c r="AR3732" s="726"/>
      <c r="AS3732" s="726"/>
      <c r="AT3732" s="726"/>
      <c r="AU3732" s="726"/>
      <c r="AV3732" s="726"/>
      <c r="AW3732" s="726"/>
      <c r="AX3732" s="726"/>
      <c r="AY3732" s="726"/>
      <c r="AZ3732" s="726"/>
      <c r="BA3732" s="726"/>
      <c r="BB3732" s="726"/>
      <c r="BC3732" s="726"/>
      <c r="BD3732" s="726"/>
      <c r="BE3732" s="726"/>
      <c r="BF3732" s="726"/>
      <c r="BG3732" s="726"/>
      <c r="BH3732" s="726"/>
      <c r="BI3732" s="726"/>
      <c r="BJ3732" s="726"/>
      <c r="BK3732" s="726"/>
      <c r="BL3732" s="726"/>
    </row>
    <row r="3733" spans="1:64">
      <c r="A3733" s="406"/>
      <c r="B3733" s="426"/>
      <c r="C3733" s="483" t="s">
        <v>1308</v>
      </c>
      <c r="D3733" s="409">
        <v>0.9</v>
      </c>
      <c r="E3733" s="426" t="s">
        <v>57</v>
      </c>
      <c r="F3733" s="409">
        <f>[161]LEAD!$N$18</f>
        <v>1310.96</v>
      </c>
      <c r="G3733" s="410">
        <v>1</v>
      </c>
      <c r="H3733" s="426" t="s">
        <v>57</v>
      </c>
      <c r="I3733" s="408">
        <f t="shared" si="870"/>
        <v>1179.864</v>
      </c>
      <c r="J3733" s="718"/>
      <c r="K3733" s="719"/>
      <c r="L3733" s="719"/>
      <c r="M3733" s="726"/>
      <c r="N3733" s="726"/>
      <c r="O3733" s="726"/>
      <c r="P3733" s="726"/>
      <c r="Q3733" s="726"/>
      <c r="R3733" s="726"/>
      <c r="S3733" s="726"/>
      <c r="T3733" s="726"/>
      <c r="U3733" s="726"/>
      <c r="V3733" s="726"/>
      <c r="W3733" s="726"/>
      <c r="X3733" s="726"/>
      <c r="Y3733" s="726"/>
      <c r="Z3733" s="726"/>
      <c r="AA3733" s="726"/>
      <c r="AB3733" s="726"/>
      <c r="AC3733" s="726"/>
      <c r="AD3733" s="726"/>
      <c r="AE3733" s="726"/>
      <c r="AF3733" s="726"/>
      <c r="AG3733" s="726"/>
      <c r="AH3733" s="726"/>
      <c r="AI3733" s="726"/>
      <c r="AJ3733" s="726"/>
      <c r="AK3733" s="726"/>
      <c r="AL3733" s="726"/>
      <c r="AM3733" s="726"/>
      <c r="AN3733" s="726"/>
      <c r="AO3733" s="726"/>
      <c r="AP3733" s="726"/>
      <c r="AQ3733" s="726"/>
      <c r="AR3733" s="726"/>
      <c r="AS3733" s="726"/>
      <c r="AT3733" s="726"/>
      <c r="AU3733" s="726"/>
      <c r="AV3733" s="726"/>
      <c r="AW3733" s="726"/>
      <c r="AX3733" s="726"/>
      <c r="AY3733" s="726"/>
      <c r="AZ3733" s="726"/>
      <c r="BA3733" s="726"/>
      <c r="BB3733" s="726"/>
      <c r="BC3733" s="726"/>
      <c r="BD3733" s="726"/>
      <c r="BE3733" s="726"/>
      <c r="BF3733" s="726"/>
      <c r="BG3733" s="726"/>
      <c r="BH3733" s="726"/>
      <c r="BI3733" s="726"/>
      <c r="BJ3733" s="726"/>
      <c r="BK3733" s="726"/>
      <c r="BL3733" s="726"/>
    </row>
    <row r="3734" spans="1:64">
      <c r="A3734" s="406"/>
      <c r="B3734" s="426"/>
      <c r="C3734" s="483" t="s">
        <v>481</v>
      </c>
      <c r="D3734" s="409">
        <v>0.45</v>
      </c>
      <c r="E3734" s="426" t="s">
        <v>57</v>
      </c>
      <c r="F3734" s="409">
        <f>[161]LEAD!$N$12</f>
        <v>2253.91</v>
      </c>
      <c r="G3734" s="410">
        <v>1</v>
      </c>
      <c r="H3734" s="426" t="s">
        <v>57</v>
      </c>
      <c r="I3734" s="408">
        <f t="shared" si="870"/>
        <v>1014.2595</v>
      </c>
      <c r="J3734" s="718"/>
      <c r="K3734" s="719"/>
      <c r="L3734" s="719"/>
      <c r="M3734" s="726"/>
      <c r="N3734" s="726"/>
      <c r="O3734" s="726"/>
      <c r="P3734" s="726"/>
      <c r="Q3734" s="726"/>
      <c r="R3734" s="726"/>
      <c r="S3734" s="726"/>
      <c r="T3734" s="726"/>
      <c r="U3734" s="726"/>
      <c r="V3734" s="726"/>
      <c r="W3734" s="726"/>
      <c r="X3734" s="726"/>
      <c r="Y3734" s="726"/>
      <c r="Z3734" s="726"/>
      <c r="AA3734" s="726"/>
      <c r="AB3734" s="726"/>
      <c r="AC3734" s="726"/>
      <c r="AD3734" s="726"/>
      <c r="AE3734" s="726"/>
      <c r="AF3734" s="726"/>
      <c r="AG3734" s="726"/>
      <c r="AH3734" s="726"/>
      <c r="AI3734" s="726"/>
      <c r="AJ3734" s="726"/>
      <c r="AK3734" s="726"/>
      <c r="AL3734" s="726"/>
      <c r="AM3734" s="726"/>
      <c r="AN3734" s="726"/>
      <c r="AO3734" s="726"/>
      <c r="AP3734" s="726"/>
      <c r="AQ3734" s="726"/>
      <c r="AR3734" s="726"/>
      <c r="AS3734" s="726"/>
      <c r="AT3734" s="726"/>
      <c r="AU3734" s="726"/>
      <c r="AV3734" s="726"/>
      <c r="AW3734" s="726"/>
      <c r="AX3734" s="726"/>
      <c r="AY3734" s="726"/>
      <c r="AZ3734" s="726"/>
      <c r="BA3734" s="726"/>
      <c r="BB3734" s="726"/>
      <c r="BC3734" s="726"/>
      <c r="BD3734" s="726"/>
      <c r="BE3734" s="726"/>
      <c r="BF3734" s="726"/>
      <c r="BG3734" s="726"/>
      <c r="BH3734" s="726"/>
      <c r="BI3734" s="726"/>
      <c r="BJ3734" s="726"/>
      <c r="BK3734" s="726"/>
      <c r="BL3734" s="726"/>
    </row>
    <row r="3735" spans="1:64" ht="13">
      <c r="A3735" s="406"/>
      <c r="B3735" s="426"/>
      <c r="C3735" s="433" t="s">
        <v>911</v>
      </c>
      <c r="D3735" s="426"/>
      <c r="E3735" s="426"/>
      <c r="F3735" s="426"/>
      <c r="G3735" s="426"/>
      <c r="H3735" s="426"/>
      <c r="I3735" s="409"/>
      <c r="J3735" s="718"/>
      <c r="K3735" s="719"/>
      <c r="L3735" s="719"/>
      <c r="M3735" s="726"/>
      <c r="N3735" s="726"/>
      <c r="O3735" s="726"/>
      <c r="P3735" s="726"/>
      <c r="Q3735" s="726"/>
      <c r="R3735" s="726"/>
      <c r="S3735" s="726"/>
      <c r="T3735" s="726"/>
      <c r="U3735" s="726"/>
      <c r="V3735" s="726"/>
      <c r="W3735" s="726"/>
      <c r="X3735" s="726"/>
      <c r="Y3735" s="726"/>
      <c r="Z3735" s="726"/>
      <c r="AA3735" s="726"/>
      <c r="AB3735" s="726"/>
      <c r="AC3735" s="726"/>
      <c r="AD3735" s="726"/>
      <c r="AE3735" s="726"/>
      <c r="AF3735" s="726"/>
      <c r="AG3735" s="726"/>
      <c r="AH3735" s="726"/>
      <c r="AI3735" s="726"/>
      <c r="AJ3735" s="726"/>
      <c r="AK3735" s="726"/>
      <c r="AL3735" s="726"/>
      <c r="AM3735" s="726"/>
      <c r="AN3735" s="726"/>
      <c r="AO3735" s="726"/>
      <c r="AP3735" s="726"/>
      <c r="AQ3735" s="726"/>
      <c r="AR3735" s="726"/>
      <c r="AS3735" s="726"/>
      <c r="AT3735" s="726"/>
      <c r="AU3735" s="726"/>
      <c r="AV3735" s="726"/>
      <c r="AW3735" s="726"/>
      <c r="AX3735" s="726"/>
      <c r="AY3735" s="726"/>
      <c r="AZ3735" s="726"/>
      <c r="BA3735" s="726"/>
      <c r="BB3735" s="726"/>
      <c r="BC3735" s="726"/>
      <c r="BD3735" s="726"/>
      <c r="BE3735" s="726"/>
      <c r="BF3735" s="726"/>
      <c r="BG3735" s="726"/>
      <c r="BH3735" s="726"/>
      <c r="BI3735" s="726"/>
      <c r="BJ3735" s="726"/>
      <c r="BK3735" s="726"/>
      <c r="BL3735" s="726"/>
    </row>
    <row r="3736" spans="1:64">
      <c r="A3736" s="406"/>
      <c r="B3736" s="426"/>
      <c r="C3736" s="483" t="s">
        <v>912</v>
      </c>
      <c r="D3736" s="491">
        <v>0.16700000000000001</v>
      </c>
      <c r="E3736" s="426" t="s">
        <v>14</v>
      </c>
      <c r="F3736" s="409">
        <f>'[161]Civil-SOR'!$G$293</f>
        <v>580</v>
      </c>
      <c r="G3736" s="410">
        <v>1</v>
      </c>
      <c r="H3736" s="426" t="s">
        <v>572</v>
      </c>
      <c r="I3736" s="408">
        <f t="shared" ref="I3736:I3738" si="871">IF(G3736="",D3736*F3736,(D3736*F3736/G3736))</f>
        <v>96.86</v>
      </c>
      <c r="J3736" s="718"/>
      <c r="K3736" s="719"/>
      <c r="L3736" s="719"/>
      <c r="M3736" s="726"/>
      <c r="N3736" s="726"/>
      <c r="O3736" s="726"/>
      <c r="P3736" s="726"/>
      <c r="Q3736" s="726"/>
      <c r="R3736" s="726"/>
      <c r="S3736" s="726"/>
      <c r="T3736" s="726"/>
      <c r="U3736" s="726"/>
      <c r="V3736" s="726"/>
      <c r="W3736" s="726"/>
      <c r="X3736" s="726"/>
      <c r="Y3736" s="726"/>
      <c r="Z3736" s="726"/>
      <c r="AA3736" s="726"/>
      <c r="AB3736" s="726"/>
      <c r="AC3736" s="726"/>
      <c r="AD3736" s="726"/>
      <c r="AE3736" s="726"/>
      <c r="AF3736" s="726"/>
      <c r="AG3736" s="726"/>
      <c r="AH3736" s="726"/>
      <c r="AI3736" s="726"/>
      <c r="AJ3736" s="726"/>
      <c r="AK3736" s="726"/>
      <c r="AL3736" s="726"/>
      <c r="AM3736" s="726"/>
      <c r="AN3736" s="726"/>
      <c r="AO3736" s="726"/>
      <c r="AP3736" s="726"/>
      <c r="AQ3736" s="726"/>
      <c r="AR3736" s="726"/>
      <c r="AS3736" s="726"/>
      <c r="AT3736" s="726"/>
      <c r="AU3736" s="726"/>
      <c r="AV3736" s="726"/>
      <c r="AW3736" s="726"/>
      <c r="AX3736" s="726"/>
      <c r="AY3736" s="726"/>
      <c r="AZ3736" s="726"/>
      <c r="BA3736" s="726"/>
      <c r="BB3736" s="726"/>
      <c r="BC3736" s="726"/>
      <c r="BD3736" s="726"/>
      <c r="BE3736" s="726"/>
      <c r="BF3736" s="726"/>
      <c r="BG3736" s="726"/>
      <c r="BH3736" s="726"/>
      <c r="BI3736" s="726"/>
      <c r="BJ3736" s="726"/>
      <c r="BK3736" s="726"/>
      <c r="BL3736" s="726"/>
    </row>
    <row r="3737" spans="1:64">
      <c r="A3737" s="406"/>
      <c r="B3737" s="426"/>
      <c r="C3737" s="483" t="s">
        <v>913</v>
      </c>
      <c r="D3737" s="491">
        <v>0.16700000000000001</v>
      </c>
      <c r="E3737" s="426" t="s">
        <v>14</v>
      </c>
      <c r="F3737" s="409">
        <f>'[161]Civil-SOR'!$G$302</f>
        <v>550</v>
      </c>
      <c r="G3737" s="410">
        <v>1</v>
      </c>
      <c r="H3737" s="426" t="s">
        <v>572</v>
      </c>
      <c r="I3737" s="408">
        <f t="shared" si="871"/>
        <v>91.850000000000009</v>
      </c>
      <c r="J3737" s="718"/>
      <c r="K3737" s="719"/>
      <c r="L3737" s="719"/>
      <c r="M3737" s="726"/>
      <c r="N3737" s="726"/>
      <c r="O3737" s="726"/>
      <c r="P3737" s="726"/>
      <c r="Q3737" s="726"/>
      <c r="R3737" s="726"/>
      <c r="S3737" s="726"/>
      <c r="T3737" s="726"/>
      <c r="U3737" s="726"/>
      <c r="V3737" s="726"/>
      <c r="W3737" s="726"/>
      <c r="X3737" s="726"/>
      <c r="Y3737" s="726"/>
      <c r="Z3737" s="726"/>
      <c r="AA3737" s="726"/>
      <c r="AB3737" s="726"/>
      <c r="AC3737" s="726"/>
      <c r="AD3737" s="726"/>
      <c r="AE3737" s="726"/>
      <c r="AF3737" s="726"/>
      <c r="AG3737" s="726"/>
      <c r="AH3737" s="726"/>
      <c r="AI3737" s="726"/>
      <c r="AJ3737" s="726"/>
      <c r="AK3737" s="726"/>
      <c r="AL3737" s="726"/>
      <c r="AM3737" s="726"/>
      <c r="AN3737" s="726"/>
      <c r="AO3737" s="726"/>
      <c r="AP3737" s="726"/>
      <c r="AQ3737" s="726"/>
      <c r="AR3737" s="726"/>
      <c r="AS3737" s="726"/>
      <c r="AT3737" s="726"/>
      <c r="AU3737" s="726"/>
      <c r="AV3737" s="726"/>
      <c r="AW3737" s="726"/>
      <c r="AX3737" s="726"/>
      <c r="AY3737" s="726"/>
      <c r="AZ3737" s="726"/>
      <c r="BA3737" s="726"/>
      <c r="BB3737" s="726"/>
      <c r="BC3737" s="726"/>
      <c r="BD3737" s="726"/>
      <c r="BE3737" s="726"/>
      <c r="BF3737" s="726"/>
      <c r="BG3737" s="726"/>
      <c r="BH3737" s="726"/>
      <c r="BI3737" s="726"/>
      <c r="BJ3737" s="726"/>
      <c r="BK3737" s="726"/>
      <c r="BL3737" s="726"/>
    </row>
    <row r="3738" spans="1:64">
      <c r="A3738" s="406"/>
      <c r="B3738" s="426"/>
      <c r="C3738" s="483" t="s">
        <v>882</v>
      </c>
      <c r="D3738" s="409">
        <v>4.7</v>
      </c>
      <c r="E3738" s="426" t="s">
        <v>14</v>
      </c>
      <c r="F3738" s="409">
        <f>'[161]Civil-SOR'!$G$307</f>
        <v>520</v>
      </c>
      <c r="G3738" s="410">
        <v>1</v>
      </c>
      <c r="H3738" s="426" t="str">
        <f>H3736</f>
        <v>Each</v>
      </c>
      <c r="I3738" s="408">
        <f t="shared" si="871"/>
        <v>2444</v>
      </c>
      <c r="J3738" s="718"/>
      <c r="K3738" s="719"/>
      <c r="L3738" s="719"/>
      <c r="M3738" s="726"/>
      <c r="N3738" s="726"/>
      <c r="O3738" s="726"/>
      <c r="P3738" s="726"/>
      <c r="Q3738" s="726"/>
      <c r="R3738" s="726"/>
      <c r="S3738" s="726"/>
      <c r="T3738" s="726"/>
      <c r="U3738" s="726"/>
      <c r="V3738" s="726"/>
      <c r="W3738" s="726"/>
      <c r="X3738" s="726"/>
      <c r="Y3738" s="726"/>
      <c r="Z3738" s="726"/>
      <c r="AA3738" s="726"/>
      <c r="AB3738" s="726"/>
      <c r="AC3738" s="726"/>
      <c r="AD3738" s="726"/>
      <c r="AE3738" s="726"/>
      <c r="AF3738" s="726"/>
      <c r="AG3738" s="726"/>
      <c r="AH3738" s="726"/>
      <c r="AI3738" s="726"/>
      <c r="AJ3738" s="726"/>
      <c r="AK3738" s="726"/>
      <c r="AL3738" s="726"/>
      <c r="AM3738" s="726"/>
      <c r="AN3738" s="726"/>
      <c r="AO3738" s="726"/>
      <c r="AP3738" s="726"/>
      <c r="AQ3738" s="726"/>
      <c r="AR3738" s="726"/>
      <c r="AS3738" s="726"/>
      <c r="AT3738" s="726"/>
      <c r="AU3738" s="726"/>
      <c r="AV3738" s="726"/>
      <c r="AW3738" s="726"/>
      <c r="AX3738" s="726"/>
      <c r="AY3738" s="726"/>
      <c r="AZ3738" s="726"/>
      <c r="BA3738" s="726"/>
      <c r="BB3738" s="726"/>
      <c r="BC3738" s="726"/>
      <c r="BD3738" s="726"/>
      <c r="BE3738" s="726"/>
      <c r="BF3738" s="726"/>
      <c r="BG3738" s="726"/>
      <c r="BH3738" s="726"/>
      <c r="BI3738" s="726"/>
      <c r="BJ3738" s="726"/>
      <c r="BK3738" s="726"/>
      <c r="BL3738" s="726"/>
    </row>
    <row r="3739" spans="1:64">
      <c r="A3739" s="406"/>
      <c r="B3739" s="426"/>
      <c r="C3739" s="483" t="str">
        <f>[161]Input!$C$47</f>
        <v>Add for MA @ 40%</v>
      </c>
      <c r="D3739" s="409">
        <f>[161]Input!$D$47</f>
        <v>0.4</v>
      </c>
      <c r="E3739" s="426"/>
      <c r="F3739" s="409">
        <f>SUM(I3736:I3738)</f>
        <v>2632.71</v>
      </c>
      <c r="G3739" s="410"/>
      <c r="H3739" s="426"/>
      <c r="I3739" s="408">
        <f>ROUND(F3739*D3739,2)</f>
        <v>1053.08</v>
      </c>
      <c r="J3739" s="718"/>
      <c r="K3739" s="719"/>
      <c r="L3739" s="719"/>
      <c r="M3739" s="726"/>
      <c r="N3739" s="726"/>
      <c r="O3739" s="726"/>
      <c r="P3739" s="726"/>
      <c r="Q3739" s="726"/>
      <c r="R3739" s="726"/>
      <c r="S3739" s="726"/>
      <c r="T3739" s="726"/>
      <c r="U3739" s="726"/>
      <c r="V3739" s="726"/>
      <c r="W3739" s="726"/>
      <c r="X3739" s="726"/>
      <c r="Y3739" s="726"/>
      <c r="Z3739" s="726"/>
      <c r="AA3739" s="726"/>
      <c r="AB3739" s="726"/>
      <c r="AC3739" s="726"/>
      <c r="AD3739" s="726"/>
      <c r="AE3739" s="726"/>
      <c r="AF3739" s="726"/>
      <c r="AG3739" s="726"/>
      <c r="AH3739" s="726"/>
      <c r="AI3739" s="726"/>
      <c r="AJ3739" s="726"/>
      <c r="AK3739" s="726"/>
      <c r="AL3739" s="726"/>
      <c r="AM3739" s="726"/>
      <c r="AN3739" s="726"/>
      <c r="AO3739" s="726"/>
      <c r="AP3739" s="726"/>
      <c r="AQ3739" s="726"/>
      <c r="AR3739" s="726"/>
      <c r="AS3739" s="726"/>
      <c r="AT3739" s="726"/>
      <c r="AU3739" s="726"/>
      <c r="AV3739" s="726"/>
      <c r="AW3739" s="726"/>
      <c r="AX3739" s="726"/>
      <c r="AY3739" s="726"/>
      <c r="AZ3739" s="726"/>
      <c r="BA3739" s="726"/>
      <c r="BB3739" s="726"/>
      <c r="BC3739" s="726"/>
      <c r="BD3739" s="726"/>
      <c r="BE3739" s="726"/>
      <c r="BF3739" s="726"/>
      <c r="BG3739" s="726"/>
      <c r="BH3739" s="726"/>
      <c r="BI3739" s="726"/>
      <c r="BJ3739" s="726"/>
      <c r="BK3739" s="726"/>
      <c r="BL3739" s="726"/>
    </row>
    <row r="3740" spans="1:64" ht="13">
      <c r="A3740" s="406"/>
      <c r="B3740" s="426"/>
      <c r="C3740" s="433" t="s">
        <v>915</v>
      </c>
      <c r="D3740" s="409"/>
      <c r="E3740" s="426"/>
      <c r="F3740" s="409"/>
      <c r="G3740" s="410"/>
      <c r="H3740" s="426"/>
      <c r="I3740" s="408"/>
      <c r="J3740" s="718"/>
      <c r="K3740" s="719"/>
      <c r="L3740" s="719"/>
      <c r="M3740" s="726"/>
      <c r="N3740" s="726"/>
      <c r="O3740" s="726"/>
      <c r="P3740" s="726"/>
      <c r="Q3740" s="726"/>
      <c r="R3740" s="726"/>
      <c r="S3740" s="726"/>
      <c r="T3740" s="726"/>
      <c r="U3740" s="726"/>
      <c r="V3740" s="726"/>
      <c r="W3740" s="726"/>
      <c r="X3740" s="726"/>
      <c r="Y3740" s="726"/>
      <c r="Z3740" s="726"/>
      <c r="AA3740" s="726"/>
      <c r="AB3740" s="726"/>
      <c r="AC3740" s="726"/>
      <c r="AD3740" s="726"/>
      <c r="AE3740" s="726"/>
      <c r="AF3740" s="726"/>
      <c r="AG3740" s="726"/>
      <c r="AH3740" s="726"/>
      <c r="AI3740" s="726"/>
      <c r="AJ3740" s="726"/>
      <c r="AK3740" s="726"/>
      <c r="AL3740" s="726"/>
      <c r="AM3740" s="726"/>
      <c r="AN3740" s="726"/>
      <c r="AO3740" s="726"/>
      <c r="AP3740" s="726"/>
      <c r="AQ3740" s="726"/>
      <c r="AR3740" s="726"/>
      <c r="AS3740" s="726"/>
      <c r="AT3740" s="726"/>
      <c r="AU3740" s="726"/>
      <c r="AV3740" s="726"/>
      <c r="AW3740" s="726"/>
      <c r="AX3740" s="726"/>
      <c r="AY3740" s="726"/>
      <c r="AZ3740" s="726"/>
      <c r="BA3740" s="726"/>
      <c r="BB3740" s="726"/>
      <c r="BC3740" s="726"/>
      <c r="BD3740" s="726"/>
      <c r="BE3740" s="726"/>
      <c r="BF3740" s="726"/>
      <c r="BG3740" s="726"/>
      <c r="BH3740" s="726"/>
      <c r="BI3740" s="726"/>
      <c r="BJ3740" s="726"/>
      <c r="BK3740" s="726"/>
      <c r="BL3740" s="726"/>
    </row>
    <row r="3741" spans="1:64" ht="25">
      <c r="A3741" s="406"/>
      <c r="B3741" s="426"/>
      <c r="C3741" s="417" t="s">
        <v>1200</v>
      </c>
      <c r="D3741" s="408">
        <v>1</v>
      </c>
      <c r="E3741" s="408" t="s">
        <v>826</v>
      </c>
      <c r="F3741" s="408">
        <f>'[161]Civil-SOR'!$G$330</f>
        <v>192.9</v>
      </c>
      <c r="G3741" s="430">
        <v>1</v>
      </c>
      <c r="H3741" s="430" t="str">
        <f t="shared" ref="H3741:H3744" si="872">IF(E3741="","",IF(E3741="No.","Each",IF(E3741="Nos.","Each",E3741)))</f>
        <v>hour</v>
      </c>
      <c r="I3741" s="408">
        <f t="shared" ref="I3741:I3746" si="873">IF(G3741="",D3741*F3741,(D3741*F3741/G3741))</f>
        <v>192.9</v>
      </c>
      <c r="J3741" s="718"/>
      <c r="K3741" s="719"/>
      <c r="L3741" s="719"/>
      <c r="M3741" s="726"/>
      <c r="N3741" s="726"/>
      <c r="O3741" s="726"/>
      <c r="P3741" s="726"/>
      <c r="Q3741" s="726"/>
      <c r="R3741" s="726"/>
      <c r="S3741" s="726"/>
      <c r="T3741" s="726"/>
      <c r="U3741" s="726"/>
      <c r="V3741" s="726"/>
      <c r="W3741" s="726"/>
      <c r="X3741" s="726"/>
      <c r="Y3741" s="726"/>
      <c r="Z3741" s="726"/>
      <c r="AA3741" s="726"/>
      <c r="AB3741" s="726"/>
      <c r="AC3741" s="726"/>
      <c r="AD3741" s="726"/>
      <c r="AE3741" s="726"/>
      <c r="AF3741" s="726"/>
      <c r="AG3741" s="726"/>
      <c r="AH3741" s="726"/>
      <c r="AI3741" s="726"/>
      <c r="AJ3741" s="726"/>
      <c r="AK3741" s="726"/>
      <c r="AL3741" s="726"/>
      <c r="AM3741" s="726"/>
      <c r="AN3741" s="726"/>
      <c r="AO3741" s="726"/>
      <c r="AP3741" s="726"/>
      <c r="AQ3741" s="726"/>
      <c r="AR3741" s="726"/>
      <c r="AS3741" s="726"/>
      <c r="AT3741" s="726"/>
      <c r="AU3741" s="726"/>
      <c r="AV3741" s="726"/>
      <c r="AW3741" s="726"/>
      <c r="AX3741" s="726"/>
      <c r="AY3741" s="726"/>
      <c r="AZ3741" s="726"/>
      <c r="BA3741" s="726"/>
      <c r="BB3741" s="726"/>
      <c r="BC3741" s="726"/>
      <c r="BD3741" s="726"/>
      <c r="BE3741" s="726"/>
      <c r="BF3741" s="726"/>
      <c r="BG3741" s="726"/>
      <c r="BH3741" s="726"/>
      <c r="BI3741" s="726"/>
      <c r="BJ3741" s="726"/>
      <c r="BK3741" s="726"/>
      <c r="BL3741" s="726"/>
    </row>
    <row r="3742" spans="1:64">
      <c r="A3742" s="406"/>
      <c r="B3742" s="426"/>
      <c r="C3742" s="417" t="s">
        <v>828</v>
      </c>
      <c r="D3742" s="408">
        <v>1</v>
      </c>
      <c r="E3742" s="408" t="s">
        <v>826</v>
      </c>
      <c r="F3742" s="408">
        <f>'[161]Civil-SOR'!$J$330</f>
        <v>302.89999999999998</v>
      </c>
      <c r="G3742" s="430">
        <v>1</v>
      </c>
      <c r="H3742" s="430" t="str">
        <f t="shared" si="872"/>
        <v>hour</v>
      </c>
      <c r="I3742" s="408">
        <f t="shared" si="873"/>
        <v>302.89999999999998</v>
      </c>
      <c r="J3742" s="718"/>
      <c r="K3742" s="719"/>
      <c r="L3742" s="719"/>
      <c r="M3742" s="726"/>
      <c r="N3742" s="726"/>
      <c r="O3742" s="726"/>
      <c r="P3742" s="726"/>
      <c r="Q3742" s="726"/>
      <c r="R3742" s="726"/>
      <c r="S3742" s="726"/>
      <c r="T3742" s="726"/>
      <c r="U3742" s="726"/>
      <c r="V3742" s="726"/>
      <c r="W3742" s="726"/>
      <c r="X3742" s="726"/>
      <c r="Y3742" s="726"/>
      <c r="Z3742" s="726"/>
      <c r="AA3742" s="726"/>
      <c r="AB3742" s="726"/>
      <c r="AC3742" s="726"/>
      <c r="AD3742" s="726"/>
      <c r="AE3742" s="726"/>
      <c r="AF3742" s="726"/>
      <c r="AG3742" s="726"/>
      <c r="AH3742" s="726"/>
      <c r="AI3742" s="726"/>
      <c r="AJ3742" s="726"/>
      <c r="AK3742" s="726"/>
      <c r="AL3742" s="726"/>
      <c r="AM3742" s="726"/>
      <c r="AN3742" s="726"/>
      <c r="AO3742" s="726"/>
      <c r="AP3742" s="726"/>
      <c r="AQ3742" s="726"/>
      <c r="AR3742" s="726"/>
      <c r="AS3742" s="726"/>
      <c r="AT3742" s="726"/>
      <c r="AU3742" s="726"/>
      <c r="AV3742" s="726"/>
      <c r="AW3742" s="726"/>
      <c r="AX3742" s="726"/>
      <c r="AY3742" s="726"/>
      <c r="AZ3742" s="726"/>
      <c r="BA3742" s="726"/>
      <c r="BB3742" s="726"/>
      <c r="BC3742" s="726"/>
      <c r="BD3742" s="726"/>
      <c r="BE3742" s="726"/>
      <c r="BF3742" s="726"/>
      <c r="BG3742" s="726"/>
      <c r="BH3742" s="726"/>
      <c r="BI3742" s="726"/>
      <c r="BJ3742" s="726"/>
      <c r="BK3742" s="726"/>
      <c r="BL3742" s="726"/>
    </row>
    <row r="3743" spans="1:64">
      <c r="A3743" s="406"/>
      <c r="B3743" s="426"/>
      <c r="C3743" s="483" t="s">
        <v>917</v>
      </c>
      <c r="D3743" s="408">
        <v>1</v>
      </c>
      <c r="E3743" s="408" t="s">
        <v>826</v>
      </c>
      <c r="F3743" s="408">
        <f>'[161]Civil-SOR'!$G$332</f>
        <v>36.5</v>
      </c>
      <c r="G3743" s="430">
        <v>1</v>
      </c>
      <c r="H3743" s="430" t="str">
        <f t="shared" si="872"/>
        <v>hour</v>
      </c>
      <c r="I3743" s="408">
        <f t="shared" si="873"/>
        <v>36.5</v>
      </c>
      <c r="J3743" s="718"/>
      <c r="K3743" s="719"/>
      <c r="L3743" s="719"/>
      <c r="M3743" s="726"/>
      <c r="N3743" s="726"/>
      <c r="O3743" s="726"/>
      <c r="P3743" s="726"/>
      <c r="Q3743" s="726"/>
      <c r="R3743" s="726"/>
      <c r="S3743" s="726"/>
      <c r="T3743" s="726"/>
      <c r="U3743" s="726"/>
      <c r="V3743" s="726"/>
      <c r="W3743" s="726"/>
      <c r="X3743" s="726"/>
      <c r="Y3743" s="726"/>
      <c r="Z3743" s="726"/>
      <c r="AA3743" s="726"/>
      <c r="AB3743" s="726"/>
      <c r="AC3743" s="726"/>
      <c r="AD3743" s="726"/>
      <c r="AE3743" s="726"/>
      <c r="AF3743" s="726"/>
      <c r="AG3743" s="726"/>
      <c r="AH3743" s="726"/>
      <c r="AI3743" s="726"/>
      <c r="AJ3743" s="726"/>
      <c r="AK3743" s="726"/>
      <c r="AL3743" s="726"/>
      <c r="AM3743" s="726"/>
      <c r="AN3743" s="726"/>
      <c r="AO3743" s="726"/>
      <c r="AP3743" s="726"/>
      <c r="AQ3743" s="726"/>
      <c r="AR3743" s="726"/>
      <c r="AS3743" s="726"/>
      <c r="AT3743" s="726"/>
      <c r="AU3743" s="726"/>
      <c r="AV3743" s="726"/>
      <c r="AW3743" s="726"/>
      <c r="AX3743" s="726"/>
      <c r="AY3743" s="726"/>
      <c r="AZ3743" s="726"/>
      <c r="BA3743" s="726"/>
      <c r="BB3743" s="726"/>
      <c r="BC3743" s="726"/>
      <c r="BD3743" s="726"/>
      <c r="BE3743" s="726"/>
      <c r="BF3743" s="726"/>
      <c r="BG3743" s="726"/>
      <c r="BH3743" s="726"/>
      <c r="BI3743" s="726"/>
      <c r="BJ3743" s="726"/>
      <c r="BK3743" s="726"/>
      <c r="BL3743" s="726"/>
    </row>
    <row r="3744" spans="1:64">
      <c r="A3744" s="406"/>
      <c r="B3744" s="426"/>
      <c r="C3744" s="417" t="s">
        <v>828</v>
      </c>
      <c r="D3744" s="408">
        <v>1</v>
      </c>
      <c r="E3744" s="408" t="s">
        <v>826</v>
      </c>
      <c r="F3744" s="408">
        <f>'[161]Civil-SOR'!$J$332</f>
        <v>218</v>
      </c>
      <c r="G3744" s="430">
        <v>1</v>
      </c>
      <c r="H3744" s="430" t="str">
        <f t="shared" si="872"/>
        <v>hour</v>
      </c>
      <c r="I3744" s="408">
        <f t="shared" si="873"/>
        <v>218</v>
      </c>
      <c r="J3744" s="718"/>
      <c r="K3744" s="719"/>
      <c r="L3744" s="719"/>
      <c r="M3744" s="726"/>
      <c r="N3744" s="726"/>
      <c r="O3744" s="726"/>
      <c r="P3744" s="726"/>
      <c r="Q3744" s="726"/>
      <c r="R3744" s="726"/>
      <c r="S3744" s="726"/>
      <c r="T3744" s="726"/>
      <c r="U3744" s="726"/>
      <c r="V3744" s="726"/>
      <c r="W3744" s="726"/>
      <c r="X3744" s="726"/>
      <c r="Y3744" s="726"/>
      <c r="Z3744" s="726"/>
      <c r="AA3744" s="726"/>
      <c r="AB3744" s="726"/>
      <c r="AC3744" s="726"/>
      <c r="AD3744" s="726"/>
      <c r="AE3744" s="726"/>
      <c r="AF3744" s="726"/>
      <c r="AG3744" s="726"/>
      <c r="AH3744" s="726"/>
      <c r="AI3744" s="726"/>
      <c r="AJ3744" s="726"/>
      <c r="AK3744" s="726"/>
      <c r="AL3744" s="726"/>
      <c r="AM3744" s="726"/>
      <c r="AN3744" s="726"/>
      <c r="AO3744" s="726"/>
      <c r="AP3744" s="726"/>
      <c r="AQ3744" s="726"/>
      <c r="AR3744" s="726"/>
      <c r="AS3744" s="726"/>
      <c r="AT3744" s="726"/>
      <c r="AU3744" s="726"/>
      <c r="AV3744" s="726"/>
      <c r="AW3744" s="726"/>
      <c r="AX3744" s="726"/>
      <c r="AY3744" s="726"/>
      <c r="AZ3744" s="726"/>
      <c r="BA3744" s="726"/>
      <c r="BB3744" s="726"/>
      <c r="BC3744" s="726"/>
      <c r="BD3744" s="726"/>
      <c r="BE3744" s="726"/>
      <c r="BF3744" s="726"/>
      <c r="BG3744" s="726"/>
      <c r="BH3744" s="726"/>
      <c r="BI3744" s="726"/>
      <c r="BJ3744" s="726"/>
      <c r="BK3744" s="726"/>
      <c r="BL3744" s="726"/>
    </row>
    <row r="3745" spans="1:64">
      <c r="A3745" s="406"/>
      <c r="B3745" s="426"/>
      <c r="C3745" s="417" t="s">
        <v>799</v>
      </c>
      <c r="D3745" s="408">
        <f>[161]Input!$D$47</f>
        <v>0.4</v>
      </c>
      <c r="E3745" s="408"/>
      <c r="F3745" s="408">
        <f>'[161]Civil-SOR'!$J$330+'[161]Civil-SOR'!$J$332</f>
        <v>520.9</v>
      </c>
      <c r="G3745" s="430"/>
      <c r="H3745" s="408"/>
      <c r="I3745" s="408">
        <f t="shared" si="873"/>
        <v>208.36</v>
      </c>
      <c r="J3745" s="718"/>
      <c r="K3745" s="719"/>
      <c r="L3745" s="719"/>
      <c r="M3745" s="726"/>
      <c r="N3745" s="726"/>
      <c r="O3745" s="726"/>
      <c r="P3745" s="726"/>
      <c r="Q3745" s="726"/>
      <c r="R3745" s="726"/>
      <c r="S3745" s="726"/>
      <c r="T3745" s="726"/>
      <c r="U3745" s="726"/>
      <c r="V3745" s="726"/>
      <c r="W3745" s="726"/>
      <c r="X3745" s="726"/>
      <c r="Y3745" s="726"/>
      <c r="Z3745" s="726"/>
      <c r="AA3745" s="726"/>
      <c r="AB3745" s="726"/>
      <c r="AC3745" s="726"/>
      <c r="AD3745" s="726"/>
      <c r="AE3745" s="726"/>
      <c r="AF3745" s="726"/>
      <c r="AG3745" s="726"/>
      <c r="AH3745" s="726"/>
      <c r="AI3745" s="726"/>
      <c r="AJ3745" s="726"/>
      <c r="AK3745" s="726"/>
      <c r="AL3745" s="726"/>
      <c r="AM3745" s="726"/>
      <c r="AN3745" s="726"/>
      <c r="AO3745" s="726"/>
      <c r="AP3745" s="726"/>
      <c r="AQ3745" s="726"/>
      <c r="AR3745" s="726"/>
      <c r="AS3745" s="726"/>
      <c r="AT3745" s="726"/>
      <c r="AU3745" s="726"/>
      <c r="AV3745" s="726"/>
      <c r="AW3745" s="726"/>
      <c r="AX3745" s="726"/>
      <c r="AY3745" s="726"/>
      <c r="AZ3745" s="726"/>
      <c r="BA3745" s="726"/>
      <c r="BB3745" s="726"/>
      <c r="BC3745" s="726"/>
      <c r="BD3745" s="726"/>
      <c r="BE3745" s="726"/>
      <c r="BF3745" s="726"/>
      <c r="BG3745" s="726"/>
      <c r="BH3745" s="726"/>
      <c r="BI3745" s="726"/>
      <c r="BJ3745" s="726"/>
      <c r="BK3745" s="726"/>
      <c r="BL3745" s="726"/>
    </row>
    <row r="3746" spans="1:64">
      <c r="A3746" s="406"/>
      <c r="B3746" s="426"/>
      <c r="C3746" s="483" t="s">
        <v>918</v>
      </c>
      <c r="D3746" s="408">
        <v>1.2</v>
      </c>
      <c r="E3746" s="408" t="s">
        <v>877</v>
      </c>
      <c r="F3746" s="408">
        <f>[161]Input!$D$53</f>
        <v>108</v>
      </c>
      <c r="G3746" s="430">
        <v>1</v>
      </c>
      <c r="H3746" s="456" t="str">
        <f>IF(E3746="","",IF(E3746="No.","Each",IF(E3746="Nos.","Each",E3746)))</f>
        <v>kl</v>
      </c>
      <c r="I3746" s="408">
        <f t="shared" si="873"/>
        <v>129.6</v>
      </c>
      <c r="J3746" s="718"/>
      <c r="K3746" s="719"/>
      <c r="L3746" s="719"/>
      <c r="M3746" s="726"/>
      <c r="N3746" s="726"/>
      <c r="O3746" s="726"/>
      <c r="P3746" s="726"/>
      <c r="Q3746" s="726"/>
      <c r="R3746" s="726"/>
      <c r="S3746" s="726"/>
      <c r="T3746" s="726"/>
      <c r="U3746" s="726"/>
      <c r="V3746" s="726"/>
      <c r="W3746" s="726"/>
      <c r="X3746" s="726"/>
      <c r="Y3746" s="726"/>
      <c r="Z3746" s="726"/>
      <c r="AA3746" s="726"/>
      <c r="AB3746" s="726"/>
      <c r="AC3746" s="726"/>
      <c r="AD3746" s="726"/>
      <c r="AE3746" s="726"/>
      <c r="AF3746" s="726"/>
      <c r="AG3746" s="726"/>
      <c r="AH3746" s="726"/>
      <c r="AI3746" s="726"/>
      <c r="AJ3746" s="726"/>
      <c r="AK3746" s="726"/>
      <c r="AL3746" s="726"/>
      <c r="AM3746" s="726"/>
      <c r="AN3746" s="726"/>
      <c r="AO3746" s="726"/>
      <c r="AP3746" s="726"/>
      <c r="AQ3746" s="726"/>
      <c r="AR3746" s="726"/>
      <c r="AS3746" s="726"/>
      <c r="AT3746" s="726"/>
      <c r="AU3746" s="726"/>
      <c r="AV3746" s="726"/>
      <c r="AW3746" s="726"/>
      <c r="AX3746" s="726"/>
      <c r="AY3746" s="726"/>
      <c r="AZ3746" s="726"/>
      <c r="BA3746" s="726"/>
      <c r="BB3746" s="726"/>
      <c r="BC3746" s="726"/>
      <c r="BD3746" s="726"/>
      <c r="BE3746" s="726"/>
      <c r="BF3746" s="726"/>
      <c r="BG3746" s="726"/>
      <c r="BH3746" s="726"/>
      <c r="BI3746" s="726"/>
      <c r="BJ3746" s="726"/>
      <c r="BK3746" s="726"/>
      <c r="BL3746" s="726"/>
    </row>
    <row r="3747" spans="1:64" s="727" customFormat="1" ht="13">
      <c r="A3747" s="406"/>
      <c r="B3747" s="426"/>
      <c r="C3747" s="481" t="s">
        <v>1098</v>
      </c>
      <c r="D3747" s="426"/>
      <c r="E3747" s="426"/>
      <c r="F3747" s="426"/>
      <c r="G3747" s="492"/>
      <c r="H3747" s="426"/>
      <c r="I3747" s="434">
        <f>SUM(I3732:I3746)</f>
        <v>7642.0934999999999</v>
      </c>
      <c r="J3747" s="721"/>
      <c r="K3747" s="722"/>
      <c r="L3747" s="722"/>
    </row>
    <row r="3748" spans="1:64" ht="13">
      <c r="A3748" s="406"/>
      <c r="B3748" s="426"/>
      <c r="C3748" s="521"/>
      <c r="D3748" s="426"/>
      <c r="E3748" s="426"/>
      <c r="F3748" s="426"/>
      <c r="G3748" s="410"/>
      <c r="H3748" s="474"/>
      <c r="I3748" s="434"/>
      <c r="J3748" s="718"/>
      <c r="K3748" s="719"/>
      <c r="L3748" s="719"/>
      <c r="M3748" s="726"/>
      <c r="N3748" s="726"/>
      <c r="O3748" s="726"/>
      <c r="P3748" s="726"/>
      <c r="Q3748" s="726"/>
      <c r="R3748" s="726"/>
      <c r="S3748" s="726"/>
      <c r="T3748" s="726"/>
      <c r="U3748" s="726"/>
      <c r="V3748" s="726"/>
      <c r="W3748" s="726"/>
      <c r="X3748" s="726"/>
      <c r="Y3748" s="726"/>
      <c r="Z3748" s="726"/>
      <c r="AA3748" s="726"/>
      <c r="AB3748" s="726"/>
      <c r="AC3748" s="726"/>
      <c r="AD3748" s="726"/>
      <c r="AE3748" s="726"/>
      <c r="AF3748" s="726"/>
      <c r="AG3748" s="726"/>
      <c r="AH3748" s="726"/>
      <c r="AI3748" s="726"/>
      <c r="AJ3748" s="726"/>
      <c r="AK3748" s="726"/>
      <c r="AL3748" s="726"/>
      <c r="AM3748" s="726"/>
      <c r="AN3748" s="726"/>
      <c r="AO3748" s="726"/>
      <c r="AP3748" s="726"/>
      <c r="AQ3748" s="726"/>
      <c r="AR3748" s="726"/>
      <c r="AS3748" s="726"/>
      <c r="AT3748" s="726"/>
      <c r="AU3748" s="726"/>
      <c r="AV3748" s="726"/>
      <c r="AW3748" s="726"/>
      <c r="AX3748" s="726"/>
      <c r="AY3748" s="726"/>
      <c r="AZ3748" s="726"/>
      <c r="BA3748" s="726"/>
      <c r="BB3748" s="726"/>
      <c r="BC3748" s="726"/>
      <c r="BD3748" s="726"/>
      <c r="BE3748" s="726"/>
      <c r="BF3748" s="726"/>
      <c r="BG3748" s="726"/>
      <c r="BH3748" s="726"/>
      <c r="BI3748" s="726"/>
      <c r="BJ3748" s="726"/>
      <c r="BK3748" s="726"/>
      <c r="BL3748" s="726"/>
    </row>
    <row r="3749" spans="1:64" s="727" customFormat="1" ht="13">
      <c r="A3749" s="406"/>
      <c r="B3749" s="426"/>
      <c r="C3749" s="481" t="s">
        <v>953</v>
      </c>
      <c r="D3749" s="474" t="s">
        <v>943</v>
      </c>
      <c r="E3749" s="492" t="s">
        <v>944</v>
      </c>
      <c r="F3749" s="474" t="s">
        <v>945</v>
      </c>
      <c r="G3749" s="474" t="s">
        <v>946</v>
      </c>
      <c r="H3749" s="474" t="s">
        <v>947</v>
      </c>
      <c r="I3749" s="474" t="s">
        <v>948</v>
      </c>
      <c r="J3749" s="724" t="s">
        <v>949</v>
      </c>
      <c r="K3749" s="725" t="s">
        <v>950</v>
      </c>
      <c r="L3749" s="722"/>
    </row>
    <row r="3750" spans="1:64">
      <c r="A3750" s="406"/>
      <c r="B3750" s="426"/>
      <c r="C3750" s="417" t="s">
        <v>954</v>
      </c>
      <c r="D3750" s="409">
        <f t="shared" ref="D3750:K3750" si="874">$I$3747</f>
        <v>7642.0934999999999</v>
      </c>
      <c r="E3750" s="409">
        <f t="shared" si="874"/>
        <v>7642.0934999999999</v>
      </c>
      <c r="F3750" s="409">
        <f t="shared" si="874"/>
        <v>7642.0934999999999</v>
      </c>
      <c r="G3750" s="409">
        <f t="shared" si="874"/>
        <v>7642.0934999999999</v>
      </c>
      <c r="H3750" s="409">
        <f t="shared" si="874"/>
        <v>7642.0934999999999</v>
      </c>
      <c r="I3750" s="409">
        <f t="shared" si="874"/>
        <v>7642.0934999999999</v>
      </c>
      <c r="J3750" s="662">
        <f t="shared" si="874"/>
        <v>7642.0934999999999</v>
      </c>
      <c r="K3750" s="663">
        <f t="shared" si="874"/>
        <v>7642.0934999999999</v>
      </c>
      <c r="L3750" s="719"/>
      <c r="M3750" s="726"/>
      <c r="N3750" s="726"/>
      <c r="O3750" s="726"/>
      <c r="P3750" s="726"/>
      <c r="Q3750" s="726"/>
      <c r="R3750" s="726"/>
      <c r="S3750" s="726"/>
      <c r="T3750" s="726"/>
      <c r="U3750" s="726"/>
      <c r="V3750" s="726"/>
      <c r="W3750" s="726"/>
      <c r="X3750" s="726"/>
      <c r="Y3750" s="726"/>
      <c r="Z3750" s="726"/>
      <c r="AA3750" s="726"/>
      <c r="AB3750" s="726"/>
      <c r="AC3750" s="726"/>
      <c r="AD3750" s="726"/>
      <c r="AE3750" s="726"/>
      <c r="AF3750" s="726"/>
      <c r="AG3750" s="726"/>
      <c r="AH3750" s="726"/>
      <c r="AI3750" s="726"/>
      <c r="AJ3750" s="726"/>
      <c r="AK3750" s="726"/>
      <c r="AL3750" s="726"/>
      <c r="AM3750" s="726"/>
      <c r="AN3750" s="726"/>
      <c r="AO3750" s="726"/>
      <c r="AP3750" s="726"/>
      <c r="AQ3750" s="726"/>
      <c r="AR3750" s="726"/>
      <c r="AS3750" s="726"/>
      <c r="AT3750" s="726"/>
      <c r="AU3750" s="726"/>
      <c r="AV3750" s="726"/>
      <c r="AW3750" s="726"/>
      <c r="AX3750" s="726"/>
      <c r="AY3750" s="726"/>
      <c r="AZ3750" s="726"/>
      <c r="BA3750" s="726"/>
      <c r="BB3750" s="726"/>
      <c r="BC3750" s="726"/>
      <c r="BD3750" s="726"/>
      <c r="BE3750" s="726"/>
      <c r="BF3750" s="726"/>
      <c r="BG3750" s="726"/>
      <c r="BH3750" s="726"/>
      <c r="BI3750" s="726"/>
      <c r="BJ3750" s="726"/>
      <c r="BK3750" s="726"/>
      <c r="BL3750" s="726"/>
    </row>
    <row r="3751" spans="1:64">
      <c r="A3751" s="406"/>
      <c r="B3751" s="426"/>
      <c r="C3751" s="483" t="s">
        <v>980</v>
      </c>
      <c r="D3751" s="409">
        <f>'[161]Civil-SOR'!$F$278</f>
        <v>267</v>
      </c>
      <c r="E3751" s="409">
        <f>'[161]Civil-SOR'!$F$278</f>
        <v>267</v>
      </c>
      <c r="F3751" s="409">
        <f>'[161]Civil-SOR'!$F$278</f>
        <v>267</v>
      </c>
      <c r="G3751" s="409">
        <f>'[161]Civil-SOR'!$F$278</f>
        <v>267</v>
      </c>
      <c r="H3751" s="409">
        <f>'[161]Civil-SOR'!$F$278</f>
        <v>267</v>
      </c>
      <c r="I3751" s="409">
        <f>'[161]Civil-SOR'!$F$278</f>
        <v>267</v>
      </c>
      <c r="J3751" s="662">
        <f>'[161]Civil-SOR'!$F$278</f>
        <v>267</v>
      </c>
      <c r="K3751" s="663">
        <f>'[161]Civil-SOR'!$F$278</f>
        <v>267</v>
      </c>
      <c r="L3751" s="719"/>
      <c r="M3751" s="726"/>
      <c r="N3751" s="726"/>
      <c r="O3751" s="726"/>
      <c r="P3751" s="726"/>
      <c r="Q3751" s="726"/>
      <c r="R3751" s="726"/>
      <c r="S3751" s="726"/>
      <c r="T3751" s="726"/>
      <c r="U3751" s="726"/>
      <c r="V3751" s="726"/>
      <c r="W3751" s="726"/>
      <c r="X3751" s="726"/>
      <c r="Y3751" s="726"/>
      <c r="Z3751" s="726"/>
      <c r="AA3751" s="726"/>
      <c r="AB3751" s="726"/>
      <c r="AC3751" s="726"/>
      <c r="AD3751" s="726"/>
      <c r="AE3751" s="726"/>
      <c r="AF3751" s="726"/>
      <c r="AG3751" s="726"/>
      <c r="AH3751" s="726"/>
      <c r="AI3751" s="726"/>
      <c r="AJ3751" s="726"/>
      <c r="AK3751" s="726"/>
      <c r="AL3751" s="726"/>
      <c r="AM3751" s="726"/>
      <c r="AN3751" s="726"/>
      <c r="AO3751" s="726"/>
      <c r="AP3751" s="726"/>
      <c r="AQ3751" s="726"/>
      <c r="AR3751" s="726"/>
      <c r="AS3751" s="726"/>
      <c r="AT3751" s="726"/>
      <c r="AU3751" s="726"/>
      <c r="AV3751" s="726"/>
      <c r="AW3751" s="726"/>
      <c r="AX3751" s="726"/>
      <c r="AY3751" s="726"/>
      <c r="AZ3751" s="726"/>
      <c r="BA3751" s="726"/>
      <c r="BB3751" s="726"/>
      <c r="BC3751" s="726"/>
      <c r="BD3751" s="726"/>
      <c r="BE3751" s="726"/>
      <c r="BF3751" s="726"/>
      <c r="BG3751" s="726"/>
      <c r="BH3751" s="726"/>
      <c r="BI3751" s="726"/>
      <c r="BJ3751" s="726"/>
      <c r="BK3751" s="726"/>
      <c r="BL3751" s="726"/>
    </row>
    <row r="3752" spans="1:64">
      <c r="A3752" s="406"/>
      <c r="B3752" s="426"/>
      <c r="C3752" s="445" t="s">
        <v>993</v>
      </c>
      <c r="D3752" s="408">
        <f>'[161]Civil-SOR'!$H$278</f>
        <v>2300</v>
      </c>
      <c r="E3752" s="408">
        <f>'[161]Civil-SOR'!$I$278</f>
        <v>2509</v>
      </c>
      <c r="F3752" s="408">
        <f>'[161]Civil-SOR'!$J$278</f>
        <v>2718</v>
      </c>
      <c r="G3752" s="408">
        <f>'[161]Civil-SOR'!$K$278</f>
        <v>2927</v>
      </c>
      <c r="H3752" s="408">
        <f>'[161]Civil-SOR'!$L$278</f>
        <v>3137</v>
      </c>
      <c r="I3752" s="408">
        <f>'[161]Civil-SOR'!$M$278</f>
        <v>3346</v>
      </c>
      <c r="J3752" s="658">
        <f>'[161]Civil-SOR'!$N$278</f>
        <v>3555</v>
      </c>
      <c r="K3752" s="659">
        <f>'[161]Civil-SOR'!$O$278</f>
        <v>3764</v>
      </c>
      <c r="L3752" s="719"/>
      <c r="M3752" s="726"/>
      <c r="N3752" s="726"/>
      <c r="O3752" s="726"/>
      <c r="P3752" s="726"/>
      <c r="Q3752" s="726"/>
      <c r="R3752" s="726"/>
      <c r="S3752" s="726"/>
      <c r="T3752" s="726"/>
      <c r="U3752" s="726"/>
      <c r="V3752" s="726"/>
      <c r="W3752" s="726"/>
      <c r="X3752" s="726"/>
      <c r="Y3752" s="726"/>
      <c r="Z3752" s="726"/>
      <c r="AA3752" s="726"/>
      <c r="AB3752" s="726"/>
      <c r="AC3752" s="726"/>
      <c r="AD3752" s="726"/>
      <c r="AE3752" s="726"/>
      <c r="AF3752" s="726"/>
      <c r="AG3752" s="726"/>
      <c r="AH3752" s="726"/>
      <c r="AI3752" s="726"/>
      <c r="AJ3752" s="726"/>
      <c r="AK3752" s="726"/>
      <c r="AL3752" s="726"/>
      <c r="AM3752" s="726"/>
      <c r="AN3752" s="726"/>
      <c r="AO3752" s="726"/>
      <c r="AP3752" s="726"/>
      <c r="AQ3752" s="726"/>
      <c r="AR3752" s="726"/>
      <c r="AS3752" s="726"/>
      <c r="AT3752" s="726"/>
      <c r="AU3752" s="726"/>
      <c r="AV3752" s="726"/>
      <c r="AW3752" s="726"/>
      <c r="AX3752" s="726"/>
      <c r="AY3752" s="726"/>
      <c r="AZ3752" s="726"/>
      <c r="BA3752" s="726"/>
      <c r="BB3752" s="726"/>
      <c r="BC3752" s="726"/>
      <c r="BD3752" s="726"/>
      <c r="BE3752" s="726"/>
      <c r="BF3752" s="726"/>
      <c r="BG3752" s="726"/>
      <c r="BH3752" s="726"/>
      <c r="BI3752" s="726"/>
      <c r="BJ3752" s="726"/>
      <c r="BK3752" s="726"/>
      <c r="BL3752" s="726"/>
    </row>
    <row r="3753" spans="1:64">
      <c r="A3753" s="406"/>
      <c r="B3753" s="426"/>
      <c r="C3753" s="417" t="str">
        <f>[161]Input!$C$47</f>
        <v>Add for MA @ 40%</v>
      </c>
      <c r="D3753" s="408">
        <f>D3752*[161]Input!$D$47</f>
        <v>920</v>
      </c>
      <c r="E3753" s="408">
        <f>E3752*[161]Input!$D$47</f>
        <v>1003.6</v>
      </c>
      <c r="F3753" s="408">
        <f>F3752*[161]Input!$D$47</f>
        <v>1087.2</v>
      </c>
      <c r="G3753" s="408">
        <f>G3752*[161]Input!$D$47</f>
        <v>1170.8</v>
      </c>
      <c r="H3753" s="408">
        <f>H3752*[161]Input!$D$47</f>
        <v>1254.8000000000002</v>
      </c>
      <c r="I3753" s="408">
        <f>I3752*[161]Input!$D$47</f>
        <v>1338.4</v>
      </c>
      <c r="J3753" s="575">
        <f>J3752*[161]Input!$D$47</f>
        <v>1422</v>
      </c>
      <c r="K3753" s="644">
        <f>K3752*[161]Input!$D$47</f>
        <v>1505.6000000000001</v>
      </c>
      <c r="L3753" s="719"/>
      <c r="M3753" s="726"/>
      <c r="N3753" s="726"/>
      <c r="O3753" s="726"/>
      <c r="P3753" s="726"/>
      <c r="Q3753" s="726"/>
      <c r="R3753" s="726"/>
      <c r="S3753" s="726"/>
      <c r="T3753" s="726"/>
      <c r="U3753" s="726"/>
      <c r="V3753" s="726"/>
      <c r="W3753" s="726"/>
      <c r="X3753" s="726"/>
      <c r="Y3753" s="726"/>
      <c r="Z3753" s="726"/>
      <c r="AA3753" s="726"/>
      <c r="AB3753" s="726"/>
      <c r="AC3753" s="726"/>
      <c r="AD3753" s="726"/>
      <c r="AE3753" s="726"/>
      <c r="AF3753" s="726"/>
      <c r="AG3753" s="726"/>
      <c r="AH3753" s="726"/>
      <c r="AI3753" s="726"/>
      <c r="AJ3753" s="726"/>
      <c r="AK3753" s="726"/>
      <c r="AL3753" s="726"/>
      <c r="AM3753" s="726"/>
      <c r="AN3753" s="726"/>
      <c r="AO3753" s="726"/>
      <c r="AP3753" s="726"/>
      <c r="AQ3753" s="726"/>
      <c r="AR3753" s="726"/>
      <c r="AS3753" s="726"/>
      <c r="AT3753" s="726"/>
      <c r="AU3753" s="726"/>
      <c r="AV3753" s="726"/>
      <c r="AW3753" s="726"/>
      <c r="AX3753" s="726"/>
      <c r="AY3753" s="726"/>
      <c r="AZ3753" s="726"/>
      <c r="BA3753" s="726"/>
      <c r="BB3753" s="726"/>
      <c r="BC3753" s="726"/>
      <c r="BD3753" s="726"/>
      <c r="BE3753" s="726"/>
      <c r="BF3753" s="726"/>
      <c r="BG3753" s="726"/>
      <c r="BH3753" s="726"/>
      <c r="BI3753" s="726"/>
      <c r="BJ3753" s="726"/>
      <c r="BK3753" s="726"/>
      <c r="BL3753" s="726"/>
    </row>
    <row r="3754" spans="1:64">
      <c r="A3754" s="406"/>
      <c r="B3754" s="426"/>
      <c r="C3754" s="417" t="s">
        <v>1309</v>
      </c>
      <c r="D3754" s="409">
        <f>ROUND($F$3739*10%,2)</f>
        <v>263.27</v>
      </c>
      <c r="E3754" s="409">
        <f>ROUND($F$3739*20%,2)</f>
        <v>526.54</v>
      </c>
      <c r="F3754" s="409">
        <f>ROUND($F$3739*30%,2)</f>
        <v>789.81</v>
      </c>
      <c r="G3754" s="409">
        <f>ROUND($F$3739*40%,2)</f>
        <v>1053.08</v>
      </c>
      <c r="H3754" s="409">
        <f>ROUND($F$3739*50%,2)</f>
        <v>1316.36</v>
      </c>
      <c r="I3754" s="409">
        <f>ROUND($F$3739*30%,2)</f>
        <v>789.81</v>
      </c>
      <c r="J3754" s="662">
        <f>ROUND($F$3739*40%,2)</f>
        <v>1053.08</v>
      </c>
      <c r="K3754" s="663">
        <f>ROUND($F$3739*50%,2)</f>
        <v>1316.36</v>
      </c>
      <c r="L3754" s="719"/>
      <c r="M3754" s="726"/>
      <c r="N3754" s="726"/>
      <c r="O3754" s="726"/>
      <c r="P3754" s="726"/>
      <c r="Q3754" s="726"/>
      <c r="R3754" s="726"/>
      <c r="S3754" s="726"/>
      <c r="T3754" s="726"/>
      <c r="U3754" s="726"/>
      <c r="V3754" s="726"/>
      <c r="W3754" s="726"/>
      <c r="X3754" s="726"/>
      <c r="Y3754" s="726"/>
      <c r="Z3754" s="726"/>
      <c r="AA3754" s="726"/>
      <c r="AB3754" s="726"/>
      <c r="AC3754" s="726"/>
      <c r="AD3754" s="726"/>
      <c r="AE3754" s="726"/>
      <c r="AF3754" s="726"/>
      <c r="AG3754" s="726"/>
      <c r="AH3754" s="726"/>
      <c r="AI3754" s="726"/>
      <c r="AJ3754" s="726"/>
      <c r="AK3754" s="726"/>
      <c r="AL3754" s="726"/>
      <c r="AM3754" s="726"/>
      <c r="AN3754" s="726"/>
      <c r="AO3754" s="726"/>
      <c r="AP3754" s="726"/>
      <c r="AQ3754" s="726"/>
      <c r="AR3754" s="726"/>
      <c r="AS3754" s="726"/>
      <c r="AT3754" s="726"/>
      <c r="AU3754" s="726"/>
      <c r="AV3754" s="726"/>
      <c r="AW3754" s="726"/>
      <c r="AX3754" s="726"/>
      <c r="AY3754" s="726"/>
      <c r="AZ3754" s="726"/>
      <c r="BA3754" s="726"/>
      <c r="BB3754" s="726"/>
      <c r="BC3754" s="726"/>
      <c r="BD3754" s="726"/>
      <c r="BE3754" s="726"/>
      <c r="BF3754" s="726"/>
      <c r="BG3754" s="726"/>
      <c r="BH3754" s="726"/>
      <c r="BI3754" s="726"/>
      <c r="BJ3754" s="726"/>
      <c r="BK3754" s="726"/>
      <c r="BL3754" s="726"/>
    </row>
    <row r="3755" spans="1:64">
      <c r="A3755" s="406"/>
      <c r="B3755" s="426"/>
      <c r="C3755" s="483" t="str">
        <f>[161]Input!$C$47</f>
        <v>Add for MA @ 40%</v>
      </c>
      <c r="D3755" s="409">
        <f>D3754*[161]Input!$D$47</f>
        <v>105.30799999999999</v>
      </c>
      <c r="E3755" s="409">
        <f>E3754*[161]Input!$D$47</f>
        <v>210.61599999999999</v>
      </c>
      <c r="F3755" s="409">
        <f>F3754*[161]Input!$D$47</f>
        <v>315.92399999999998</v>
      </c>
      <c r="G3755" s="409">
        <f>G3754*[161]Input!$D$47</f>
        <v>421.23199999999997</v>
      </c>
      <c r="H3755" s="409">
        <f>H3754*[161]Input!$D$47</f>
        <v>526.54399999999998</v>
      </c>
      <c r="I3755" s="409">
        <f>I3754*[161]Input!$D$47</f>
        <v>315.92399999999998</v>
      </c>
      <c r="J3755" s="662">
        <f>J3754*[161]Input!$D$47</f>
        <v>421.23199999999997</v>
      </c>
      <c r="K3755" s="663">
        <f>K3754*[161]Input!$D$47</f>
        <v>526.54399999999998</v>
      </c>
      <c r="L3755" s="719"/>
      <c r="M3755" s="726"/>
      <c r="N3755" s="726"/>
      <c r="O3755" s="726"/>
      <c r="P3755" s="726"/>
      <c r="Q3755" s="726"/>
      <c r="R3755" s="726"/>
      <c r="S3755" s="726"/>
      <c r="T3755" s="726"/>
      <c r="U3755" s="726"/>
      <c r="V3755" s="726"/>
      <c r="W3755" s="726"/>
      <c r="X3755" s="726"/>
      <c r="Y3755" s="726"/>
      <c r="Z3755" s="726"/>
      <c r="AA3755" s="726"/>
      <c r="AB3755" s="726"/>
      <c r="AC3755" s="726"/>
      <c r="AD3755" s="726"/>
      <c r="AE3755" s="726"/>
      <c r="AF3755" s="726"/>
      <c r="AG3755" s="726"/>
      <c r="AH3755" s="726"/>
      <c r="AI3755" s="726"/>
      <c r="AJ3755" s="726"/>
      <c r="AK3755" s="726"/>
      <c r="AL3755" s="726"/>
      <c r="AM3755" s="726"/>
      <c r="AN3755" s="726"/>
      <c r="AO3755" s="726"/>
      <c r="AP3755" s="726"/>
      <c r="AQ3755" s="726"/>
      <c r="AR3755" s="726"/>
      <c r="AS3755" s="726"/>
      <c r="AT3755" s="726"/>
      <c r="AU3755" s="726"/>
      <c r="AV3755" s="726"/>
      <c r="AW3755" s="726"/>
      <c r="AX3755" s="726"/>
      <c r="AY3755" s="726"/>
      <c r="AZ3755" s="726"/>
      <c r="BA3755" s="726"/>
      <c r="BB3755" s="726"/>
      <c r="BC3755" s="726"/>
      <c r="BD3755" s="726"/>
      <c r="BE3755" s="726"/>
      <c r="BF3755" s="726"/>
      <c r="BG3755" s="726"/>
      <c r="BH3755" s="726"/>
      <c r="BI3755" s="726"/>
      <c r="BJ3755" s="726"/>
      <c r="BK3755" s="726"/>
      <c r="BL3755" s="726"/>
    </row>
    <row r="3756" spans="1:64" ht="13">
      <c r="A3756" s="406"/>
      <c r="B3756" s="426"/>
      <c r="C3756" s="427" t="s">
        <v>724</v>
      </c>
      <c r="D3756" s="409">
        <f t="shared" ref="D3756:K3756" si="875">SUM(D3750:D3755)</f>
        <v>11497.6715</v>
      </c>
      <c r="E3756" s="409">
        <f t="shared" si="875"/>
        <v>12158.849499999998</v>
      </c>
      <c r="F3756" s="409">
        <f t="shared" si="875"/>
        <v>12820.0275</v>
      </c>
      <c r="G3756" s="409">
        <f t="shared" si="875"/>
        <v>13481.205499999998</v>
      </c>
      <c r="H3756" s="409">
        <f t="shared" si="875"/>
        <v>14143.797499999999</v>
      </c>
      <c r="I3756" s="409">
        <f t="shared" si="875"/>
        <v>13699.227499999997</v>
      </c>
      <c r="J3756" s="662">
        <f t="shared" si="875"/>
        <v>14360.405499999999</v>
      </c>
      <c r="K3756" s="663">
        <f t="shared" si="875"/>
        <v>15021.5975</v>
      </c>
      <c r="L3756" s="719"/>
      <c r="M3756" s="726"/>
      <c r="N3756" s="726"/>
      <c r="O3756" s="726"/>
      <c r="P3756" s="726"/>
      <c r="Q3756" s="726"/>
      <c r="R3756" s="726"/>
      <c r="S3756" s="726"/>
      <c r="T3756" s="726"/>
      <c r="U3756" s="726"/>
      <c r="V3756" s="726"/>
      <c r="W3756" s="726"/>
      <c r="X3756" s="726"/>
      <c r="Y3756" s="726"/>
      <c r="Z3756" s="726"/>
      <c r="AA3756" s="726"/>
      <c r="AB3756" s="726"/>
      <c r="AC3756" s="726"/>
      <c r="AD3756" s="726"/>
      <c r="AE3756" s="726"/>
      <c r="AF3756" s="726"/>
      <c r="AG3756" s="726"/>
      <c r="AH3756" s="726"/>
      <c r="AI3756" s="726"/>
      <c r="AJ3756" s="726"/>
      <c r="AK3756" s="726"/>
      <c r="AL3756" s="726"/>
      <c r="AM3756" s="726"/>
      <c r="AN3756" s="726"/>
      <c r="AO3756" s="726"/>
      <c r="AP3756" s="726"/>
      <c r="AQ3756" s="726"/>
      <c r="AR3756" s="726"/>
      <c r="AS3756" s="726"/>
      <c r="AT3756" s="726"/>
      <c r="AU3756" s="726"/>
      <c r="AV3756" s="726"/>
      <c r="AW3756" s="726"/>
      <c r="AX3756" s="726"/>
      <c r="AY3756" s="726"/>
      <c r="AZ3756" s="726"/>
      <c r="BA3756" s="726"/>
      <c r="BB3756" s="726"/>
      <c r="BC3756" s="726"/>
      <c r="BD3756" s="726"/>
      <c r="BE3756" s="726"/>
      <c r="BF3756" s="726"/>
      <c r="BG3756" s="726"/>
      <c r="BH3756" s="726"/>
      <c r="BI3756" s="726"/>
      <c r="BJ3756" s="726"/>
      <c r="BK3756" s="726"/>
      <c r="BL3756" s="726"/>
    </row>
    <row r="3757" spans="1:64" ht="25">
      <c r="A3757" s="406"/>
      <c r="B3757" s="426"/>
      <c r="C3757" s="417" t="str">
        <f>[161]Input!$C$48</f>
        <v>Overheads &amp; Contractors Profit @ 13.615%</v>
      </c>
      <c r="D3757" s="426">
        <f>ROUND(D3756*[161]Input!$D$48,2)</f>
        <v>1565.41</v>
      </c>
      <c r="E3757" s="426">
        <f>ROUND(E3756*[161]Input!$D$48,2)</f>
        <v>1655.43</v>
      </c>
      <c r="F3757" s="426">
        <f>ROUND(F3756*[161]Input!$D$48,2)</f>
        <v>1745.45</v>
      </c>
      <c r="G3757" s="426">
        <f>ROUND(G3756*[161]Input!$D$48,2)</f>
        <v>1835.47</v>
      </c>
      <c r="H3757" s="426">
        <f>ROUND(H3756*[161]Input!$D$48,2)</f>
        <v>1925.68</v>
      </c>
      <c r="I3757" s="426">
        <f>ROUND(I3756*[161]Input!$D$48,2)</f>
        <v>1865.15</v>
      </c>
      <c r="J3757" s="728">
        <f>ROUND(J3756*[161]Input!$D$48,2)</f>
        <v>1955.17</v>
      </c>
      <c r="K3757" s="729">
        <f>ROUND(K3756*[161]Input!$D$48,2)</f>
        <v>2045.19</v>
      </c>
      <c r="L3757" s="719"/>
      <c r="M3757" s="726"/>
      <c r="N3757" s="726"/>
      <c r="O3757" s="726"/>
      <c r="P3757" s="726"/>
      <c r="Q3757" s="726"/>
      <c r="R3757" s="726"/>
      <c r="S3757" s="726"/>
      <c r="T3757" s="726"/>
      <c r="U3757" s="726"/>
      <c r="V3757" s="726"/>
      <c r="W3757" s="726"/>
      <c r="X3757" s="726"/>
      <c r="Y3757" s="726"/>
      <c r="Z3757" s="726"/>
      <c r="AA3757" s="726"/>
      <c r="AB3757" s="726"/>
      <c r="AC3757" s="726"/>
      <c r="AD3757" s="726"/>
      <c r="AE3757" s="726"/>
      <c r="AF3757" s="726"/>
      <c r="AG3757" s="726"/>
      <c r="AH3757" s="726"/>
      <c r="AI3757" s="726"/>
      <c r="AJ3757" s="726"/>
      <c r="AK3757" s="726"/>
      <c r="AL3757" s="726"/>
      <c r="AM3757" s="726"/>
      <c r="AN3757" s="726"/>
      <c r="AO3757" s="726"/>
      <c r="AP3757" s="726"/>
      <c r="AQ3757" s="726"/>
      <c r="AR3757" s="726"/>
      <c r="AS3757" s="726"/>
      <c r="AT3757" s="726"/>
      <c r="AU3757" s="726"/>
      <c r="AV3757" s="726"/>
      <c r="AW3757" s="726"/>
      <c r="AX3757" s="726"/>
      <c r="AY3757" s="726"/>
      <c r="AZ3757" s="726"/>
      <c r="BA3757" s="726"/>
      <c r="BB3757" s="726"/>
      <c r="BC3757" s="726"/>
      <c r="BD3757" s="726"/>
      <c r="BE3757" s="726"/>
      <c r="BF3757" s="726"/>
      <c r="BG3757" s="726"/>
      <c r="BH3757" s="726"/>
      <c r="BI3757" s="726"/>
      <c r="BJ3757" s="726"/>
      <c r="BK3757" s="726"/>
      <c r="BL3757" s="726"/>
    </row>
    <row r="3758" spans="1:64" ht="13">
      <c r="A3758" s="406"/>
      <c r="B3758" s="426"/>
      <c r="C3758" s="427"/>
      <c r="D3758" s="409">
        <f t="shared" ref="D3758:K3758" si="876">SUM(D3756:D3757)</f>
        <v>13063.0815</v>
      </c>
      <c r="E3758" s="409">
        <f t="shared" si="876"/>
        <v>13814.279499999999</v>
      </c>
      <c r="F3758" s="409">
        <f t="shared" si="876"/>
        <v>14565.477500000001</v>
      </c>
      <c r="G3758" s="409">
        <f t="shared" si="876"/>
        <v>15316.675499999998</v>
      </c>
      <c r="H3758" s="409">
        <f t="shared" si="876"/>
        <v>16069.477499999999</v>
      </c>
      <c r="I3758" s="409">
        <f t="shared" si="876"/>
        <v>15564.377499999997</v>
      </c>
      <c r="J3758" s="662">
        <f t="shared" si="876"/>
        <v>16315.575499999999</v>
      </c>
      <c r="K3758" s="663">
        <f t="shared" si="876"/>
        <v>17066.787499999999</v>
      </c>
      <c r="L3758" s="719"/>
      <c r="M3758" s="726"/>
      <c r="N3758" s="726"/>
      <c r="O3758" s="726"/>
      <c r="P3758" s="726"/>
      <c r="Q3758" s="726"/>
      <c r="R3758" s="726"/>
      <c r="S3758" s="726"/>
      <c r="T3758" s="726"/>
      <c r="U3758" s="726"/>
      <c r="V3758" s="726"/>
      <c r="W3758" s="726"/>
      <c r="X3758" s="726"/>
      <c r="Y3758" s="726"/>
      <c r="Z3758" s="726"/>
      <c r="AA3758" s="726"/>
      <c r="AB3758" s="726"/>
      <c r="AC3758" s="726"/>
      <c r="AD3758" s="726"/>
      <c r="AE3758" s="726"/>
      <c r="AF3758" s="726"/>
      <c r="AG3758" s="726"/>
      <c r="AH3758" s="726"/>
      <c r="AI3758" s="726"/>
      <c r="AJ3758" s="726"/>
      <c r="AK3758" s="726"/>
      <c r="AL3758" s="726"/>
      <c r="AM3758" s="726"/>
      <c r="AN3758" s="726"/>
      <c r="AO3758" s="726"/>
      <c r="AP3758" s="726"/>
      <c r="AQ3758" s="726"/>
      <c r="AR3758" s="726"/>
      <c r="AS3758" s="726"/>
      <c r="AT3758" s="726"/>
      <c r="AU3758" s="726"/>
      <c r="AV3758" s="726"/>
      <c r="AW3758" s="726"/>
      <c r="AX3758" s="726"/>
      <c r="AY3758" s="726"/>
      <c r="AZ3758" s="726"/>
      <c r="BA3758" s="726"/>
      <c r="BB3758" s="726"/>
      <c r="BC3758" s="726"/>
      <c r="BD3758" s="726"/>
      <c r="BE3758" s="726"/>
      <c r="BF3758" s="726"/>
      <c r="BG3758" s="726"/>
      <c r="BH3758" s="726"/>
      <c r="BI3758" s="726"/>
      <c r="BJ3758" s="726"/>
      <c r="BK3758" s="726"/>
      <c r="BL3758" s="726"/>
    </row>
    <row r="3759" spans="1:64" s="727" customFormat="1" ht="13">
      <c r="A3759" s="406"/>
      <c r="B3759" s="426"/>
      <c r="C3759" s="522" t="s">
        <v>726</v>
      </c>
      <c r="D3759" s="416">
        <f t="shared" ref="D3759:K3759" si="877">ROUND(D3758,0)</f>
        <v>13063</v>
      </c>
      <c r="E3759" s="416">
        <f t="shared" si="877"/>
        <v>13814</v>
      </c>
      <c r="F3759" s="416">
        <f t="shared" si="877"/>
        <v>14565</v>
      </c>
      <c r="G3759" s="416">
        <f t="shared" si="877"/>
        <v>15317</v>
      </c>
      <c r="H3759" s="416">
        <f t="shared" si="877"/>
        <v>16069</v>
      </c>
      <c r="I3759" s="416">
        <f t="shared" si="877"/>
        <v>15564</v>
      </c>
      <c r="J3759" s="533">
        <f t="shared" si="877"/>
        <v>16316</v>
      </c>
      <c r="K3759" s="534">
        <f t="shared" si="877"/>
        <v>17067</v>
      </c>
      <c r="L3759" s="722"/>
    </row>
    <row r="3760" spans="1:64">
      <c r="A3760" s="406"/>
      <c r="B3760" s="426"/>
      <c r="C3760" s="620"/>
      <c r="D3760" s="426"/>
      <c r="E3760" s="426"/>
      <c r="F3760" s="409"/>
      <c r="G3760" s="410"/>
      <c r="H3760" s="426"/>
      <c r="I3760" s="408"/>
      <c r="J3760" s="718"/>
      <c r="K3760" s="719"/>
      <c r="L3760" s="719"/>
      <c r="M3760" s="726"/>
      <c r="N3760" s="726"/>
      <c r="O3760" s="726"/>
      <c r="P3760" s="726"/>
      <c r="Q3760" s="726"/>
      <c r="R3760" s="726"/>
      <c r="S3760" s="726"/>
      <c r="T3760" s="726"/>
      <c r="U3760" s="726"/>
      <c r="V3760" s="726"/>
      <c r="W3760" s="726"/>
      <c r="X3760" s="726"/>
      <c r="Y3760" s="726"/>
      <c r="Z3760" s="726"/>
      <c r="AA3760" s="726"/>
      <c r="AB3760" s="726"/>
      <c r="AC3760" s="726"/>
      <c r="AD3760" s="726"/>
      <c r="AE3760" s="726"/>
      <c r="AF3760" s="726"/>
      <c r="AG3760" s="726"/>
      <c r="AH3760" s="726"/>
      <c r="AI3760" s="726"/>
      <c r="AJ3760" s="726"/>
      <c r="AK3760" s="726"/>
      <c r="AL3760" s="726"/>
      <c r="AM3760" s="726"/>
      <c r="AN3760" s="726"/>
      <c r="AO3760" s="726"/>
      <c r="AP3760" s="726"/>
      <c r="AQ3760" s="726"/>
      <c r="AR3760" s="726"/>
      <c r="AS3760" s="726"/>
      <c r="AT3760" s="726"/>
      <c r="AU3760" s="726"/>
      <c r="AV3760" s="726"/>
      <c r="AW3760" s="726"/>
      <c r="AX3760" s="726"/>
      <c r="AY3760" s="726"/>
      <c r="AZ3760" s="726"/>
      <c r="BA3760" s="726"/>
      <c r="BB3760" s="726"/>
      <c r="BC3760" s="726"/>
      <c r="BD3760" s="726"/>
      <c r="BE3760" s="726"/>
      <c r="BF3760" s="726"/>
      <c r="BG3760" s="726"/>
      <c r="BH3760" s="726"/>
      <c r="BI3760" s="726"/>
      <c r="BJ3760" s="726"/>
      <c r="BK3760" s="726"/>
      <c r="BL3760" s="726"/>
    </row>
    <row r="3761" spans="1:64">
      <c r="A3761" s="406"/>
      <c r="B3761" s="426"/>
      <c r="C3761" s="417" t="s">
        <v>953</v>
      </c>
      <c r="D3761" s="426" t="s">
        <v>949</v>
      </c>
      <c r="E3761" s="426" t="s">
        <v>950</v>
      </c>
      <c r="F3761" s="409"/>
      <c r="G3761" s="410"/>
      <c r="H3761" s="426"/>
      <c r="I3761" s="408"/>
      <c r="J3761" s="718"/>
      <c r="K3761" s="719"/>
      <c r="L3761" s="719"/>
      <c r="M3761" s="726"/>
      <c r="N3761" s="726"/>
      <c r="O3761" s="726"/>
      <c r="P3761" s="726"/>
      <c r="Q3761" s="726"/>
      <c r="R3761" s="726"/>
      <c r="S3761" s="726"/>
      <c r="T3761" s="726"/>
      <c r="U3761" s="726"/>
      <c r="V3761" s="726"/>
      <c r="W3761" s="726"/>
      <c r="X3761" s="726"/>
      <c r="Y3761" s="726"/>
      <c r="Z3761" s="726"/>
      <c r="AA3761" s="726"/>
      <c r="AB3761" s="726"/>
      <c r="AC3761" s="726"/>
      <c r="AD3761" s="726"/>
      <c r="AE3761" s="726"/>
      <c r="AF3761" s="726"/>
      <c r="AG3761" s="726"/>
      <c r="AH3761" s="726"/>
      <c r="AI3761" s="726"/>
      <c r="AJ3761" s="726"/>
      <c r="AK3761" s="726"/>
      <c r="AL3761" s="726"/>
      <c r="AM3761" s="726"/>
      <c r="AN3761" s="726"/>
      <c r="AO3761" s="726"/>
      <c r="AP3761" s="726"/>
      <c r="AQ3761" s="726"/>
      <c r="AR3761" s="726"/>
      <c r="AS3761" s="726"/>
      <c r="AT3761" s="726"/>
      <c r="AU3761" s="726"/>
      <c r="AV3761" s="726"/>
      <c r="AW3761" s="726"/>
      <c r="AX3761" s="726"/>
      <c r="AY3761" s="726"/>
      <c r="AZ3761" s="726"/>
      <c r="BA3761" s="726"/>
      <c r="BB3761" s="726"/>
      <c r="BC3761" s="726"/>
      <c r="BD3761" s="726"/>
      <c r="BE3761" s="726"/>
      <c r="BF3761" s="726"/>
      <c r="BG3761" s="726"/>
      <c r="BH3761" s="726"/>
      <c r="BI3761" s="726"/>
      <c r="BJ3761" s="726"/>
      <c r="BK3761" s="726"/>
      <c r="BL3761" s="726"/>
    </row>
    <row r="3762" spans="1:64">
      <c r="A3762" s="406"/>
      <c r="B3762" s="426"/>
      <c r="C3762" s="417" t="s">
        <v>954</v>
      </c>
      <c r="D3762" s="409">
        <f>$I$3747</f>
        <v>7642.0934999999999</v>
      </c>
      <c r="E3762" s="409">
        <f>$I$3747</f>
        <v>7642.0934999999999</v>
      </c>
      <c r="F3762" s="409"/>
      <c r="G3762" s="410"/>
      <c r="H3762" s="426"/>
      <c r="I3762" s="408"/>
      <c r="J3762" s="718"/>
      <c r="K3762" s="719"/>
      <c r="L3762" s="719"/>
      <c r="M3762" s="726"/>
      <c r="N3762" s="726"/>
      <c r="O3762" s="726"/>
      <c r="P3762" s="726"/>
      <c r="Q3762" s="726"/>
      <c r="R3762" s="726"/>
      <c r="S3762" s="726"/>
      <c r="T3762" s="726"/>
      <c r="U3762" s="726"/>
      <c r="V3762" s="726"/>
      <c r="W3762" s="726"/>
      <c r="X3762" s="726"/>
      <c r="Y3762" s="726"/>
      <c r="Z3762" s="726"/>
      <c r="AA3762" s="726"/>
      <c r="AB3762" s="726"/>
      <c r="AC3762" s="726"/>
      <c r="AD3762" s="726"/>
      <c r="AE3762" s="726"/>
      <c r="AF3762" s="726"/>
      <c r="AG3762" s="726"/>
      <c r="AH3762" s="726"/>
      <c r="AI3762" s="726"/>
      <c r="AJ3762" s="726"/>
      <c r="AK3762" s="726"/>
      <c r="AL3762" s="726"/>
      <c r="AM3762" s="726"/>
      <c r="AN3762" s="726"/>
      <c r="AO3762" s="726"/>
      <c r="AP3762" s="726"/>
      <c r="AQ3762" s="726"/>
      <c r="AR3762" s="726"/>
      <c r="AS3762" s="726"/>
      <c r="AT3762" s="726"/>
      <c r="AU3762" s="726"/>
      <c r="AV3762" s="726"/>
      <c r="AW3762" s="726"/>
      <c r="AX3762" s="726"/>
      <c r="AY3762" s="726"/>
      <c r="AZ3762" s="726"/>
      <c r="BA3762" s="726"/>
      <c r="BB3762" s="726"/>
      <c r="BC3762" s="726"/>
      <c r="BD3762" s="726"/>
      <c r="BE3762" s="726"/>
      <c r="BF3762" s="726"/>
      <c r="BG3762" s="726"/>
      <c r="BH3762" s="726"/>
      <c r="BI3762" s="726"/>
      <c r="BJ3762" s="726"/>
      <c r="BK3762" s="726"/>
      <c r="BL3762" s="726"/>
    </row>
    <row r="3763" spans="1:64">
      <c r="A3763" s="406"/>
      <c r="B3763" s="426"/>
      <c r="C3763" s="417" t="s">
        <v>921</v>
      </c>
      <c r="D3763" s="409">
        <f>'[161]Civil-SOR'!$F$278</f>
        <v>267</v>
      </c>
      <c r="E3763" s="409">
        <f>'[161]Civil-SOR'!$F$278</f>
        <v>267</v>
      </c>
      <c r="F3763" s="409"/>
      <c r="G3763" s="410"/>
      <c r="H3763" s="426"/>
      <c r="I3763" s="408"/>
      <c r="J3763" s="718"/>
      <c r="K3763" s="719"/>
      <c r="L3763" s="719"/>
      <c r="M3763" s="726"/>
      <c r="N3763" s="726"/>
      <c r="O3763" s="726"/>
      <c r="P3763" s="726"/>
      <c r="Q3763" s="726"/>
      <c r="R3763" s="726"/>
      <c r="S3763" s="726"/>
      <c r="T3763" s="726"/>
      <c r="U3763" s="726"/>
      <c r="V3763" s="726"/>
      <c r="W3763" s="726"/>
      <c r="X3763" s="726"/>
      <c r="Y3763" s="726"/>
      <c r="Z3763" s="726"/>
      <c r="AA3763" s="726"/>
      <c r="AB3763" s="726"/>
      <c r="AC3763" s="726"/>
      <c r="AD3763" s="726"/>
      <c r="AE3763" s="726"/>
      <c r="AF3763" s="726"/>
      <c r="AG3763" s="726"/>
      <c r="AH3763" s="726"/>
      <c r="AI3763" s="726"/>
      <c r="AJ3763" s="726"/>
      <c r="AK3763" s="726"/>
      <c r="AL3763" s="726"/>
      <c r="AM3763" s="726"/>
      <c r="AN3763" s="726"/>
      <c r="AO3763" s="726"/>
      <c r="AP3763" s="726"/>
      <c r="AQ3763" s="726"/>
      <c r="AR3763" s="726"/>
      <c r="AS3763" s="726"/>
      <c r="AT3763" s="726"/>
      <c r="AU3763" s="726"/>
      <c r="AV3763" s="726"/>
      <c r="AW3763" s="726"/>
      <c r="AX3763" s="726"/>
      <c r="AY3763" s="726"/>
      <c r="AZ3763" s="726"/>
      <c r="BA3763" s="726"/>
      <c r="BB3763" s="726"/>
      <c r="BC3763" s="726"/>
      <c r="BD3763" s="726"/>
      <c r="BE3763" s="726"/>
      <c r="BF3763" s="726"/>
      <c r="BG3763" s="726"/>
      <c r="BH3763" s="726"/>
      <c r="BI3763" s="726"/>
      <c r="BJ3763" s="726"/>
      <c r="BK3763" s="726"/>
      <c r="BL3763" s="726"/>
    </row>
    <row r="3764" spans="1:64">
      <c r="A3764" s="406"/>
      <c r="B3764" s="426"/>
      <c r="C3764" s="445" t="s">
        <v>993</v>
      </c>
      <c r="D3764" s="408">
        <f>'[161]Civil-SOR'!$N$278</f>
        <v>3555</v>
      </c>
      <c r="E3764" s="408">
        <f>'[161]Civil-SOR'!$O$278</f>
        <v>3764</v>
      </c>
      <c r="F3764" s="409"/>
      <c r="G3764" s="410"/>
      <c r="H3764" s="426"/>
      <c r="I3764" s="408"/>
      <c r="J3764" s="718"/>
      <c r="K3764" s="719"/>
      <c r="L3764" s="719"/>
      <c r="M3764" s="726"/>
      <c r="N3764" s="726"/>
      <c r="O3764" s="726"/>
      <c r="P3764" s="726"/>
      <c r="Q3764" s="726"/>
      <c r="R3764" s="726"/>
      <c r="S3764" s="726"/>
      <c r="T3764" s="726"/>
      <c r="U3764" s="726"/>
      <c r="V3764" s="726"/>
      <c r="W3764" s="726"/>
      <c r="X3764" s="726"/>
      <c r="Y3764" s="726"/>
      <c r="Z3764" s="726"/>
      <c r="AA3764" s="726"/>
      <c r="AB3764" s="726"/>
      <c r="AC3764" s="726"/>
      <c r="AD3764" s="726"/>
      <c r="AE3764" s="726"/>
      <c r="AF3764" s="726"/>
      <c r="AG3764" s="726"/>
      <c r="AH3764" s="726"/>
      <c r="AI3764" s="726"/>
      <c r="AJ3764" s="726"/>
      <c r="AK3764" s="726"/>
      <c r="AL3764" s="726"/>
      <c r="AM3764" s="726"/>
      <c r="AN3764" s="726"/>
      <c r="AO3764" s="726"/>
      <c r="AP3764" s="726"/>
      <c r="AQ3764" s="726"/>
      <c r="AR3764" s="726"/>
      <c r="AS3764" s="726"/>
      <c r="AT3764" s="726"/>
      <c r="AU3764" s="726"/>
      <c r="AV3764" s="726"/>
      <c r="AW3764" s="726"/>
      <c r="AX3764" s="726"/>
      <c r="AY3764" s="726"/>
      <c r="AZ3764" s="726"/>
      <c r="BA3764" s="726"/>
      <c r="BB3764" s="726"/>
      <c r="BC3764" s="726"/>
      <c r="BD3764" s="726"/>
      <c r="BE3764" s="726"/>
      <c r="BF3764" s="726"/>
      <c r="BG3764" s="726"/>
      <c r="BH3764" s="726"/>
      <c r="BI3764" s="726"/>
      <c r="BJ3764" s="726"/>
      <c r="BK3764" s="726"/>
      <c r="BL3764" s="726"/>
    </row>
    <row r="3765" spans="1:64">
      <c r="A3765" s="406"/>
      <c r="B3765" s="426"/>
      <c r="C3765" s="417" t="str">
        <f>[161]Input!$C$47</f>
        <v>Add for MA @ 40%</v>
      </c>
      <c r="D3765" s="408">
        <f>D3764*[161]Input!$D$47</f>
        <v>1422</v>
      </c>
      <c r="E3765" s="408">
        <f>E3764*[161]Input!$D$47</f>
        <v>1505.6000000000001</v>
      </c>
      <c r="F3765" s="409"/>
      <c r="G3765" s="410"/>
      <c r="H3765" s="426"/>
      <c r="I3765" s="408"/>
      <c r="J3765" s="718"/>
      <c r="K3765" s="719"/>
      <c r="L3765" s="719"/>
      <c r="M3765" s="726"/>
      <c r="N3765" s="726"/>
      <c r="O3765" s="726"/>
      <c r="P3765" s="726"/>
      <c r="Q3765" s="726"/>
      <c r="R3765" s="726"/>
      <c r="S3765" s="726"/>
      <c r="T3765" s="726"/>
      <c r="U3765" s="726"/>
      <c r="V3765" s="726"/>
      <c r="W3765" s="726"/>
      <c r="X3765" s="726"/>
      <c r="Y3765" s="726"/>
      <c r="Z3765" s="726"/>
      <c r="AA3765" s="726"/>
      <c r="AB3765" s="726"/>
      <c r="AC3765" s="726"/>
      <c r="AD3765" s="726"/>
      <c r="AE3765" s="726"/>
      <c r="AF3765" s="726"/>
      <c r="AG3765" s="726"/>
      <c r="AH3765" s="726"/>
      <c r="AI3765" s="726"/>
      <c r="AJ3765" s="726"/>
      <c r="AK3765" s="726"/>
      <c r="AL3765" s="726"/>
      <c r="AM3765" s="726"/>
      <c r="AN3765" s="726"/>
      <c r="AO3765" s="726"/>
      <c r="AP3765" s="726"/>
      <c r="AQ3765" s="726"/>
      <c r="AR3765" s="726"/>
      <c r="AS3765" s="726"/>
      <c r="AT3765" s="726"/>
      <c r="AU3765" s="726"/>
      <c r="AV3765" s="726"/>
      <c r="AW3765" s="726"/>
      <c r="AX3765" s="726"/>
      <c r="AY3765" s="726"/>
      <c r="AZ3765" s="726"/>
      <c r="BA3765" s="726"/>
      <c r="BB3765" s="726"/>
      <c r="BC3765" s="726"/>
      <c r="BD3765" s="726"/>
      <c r="BE3765" s="726"/>
      <c r="BF3765" s="726"/>
      <c r="BG3765" s="726"/>
      <c r="BH3765" s="726"/>
      <c r="BI3765" s="726"/>
      <c r="BJ3765" s="726"/>
      <c r="BK3765" s="726"/>
      <c r="BL3765" s="726"/>
    </row>
    <row r="3766" spans="1:64">
      <c r="A3766" s="406"/>
      <c r="B3766" s="426"/>
      <c r="C3766" s="417" t="s">
        <v>1309</v>
      </c>
      <c r="D3766" s="409">
        <f>ROUND($F$3739*40%,2)</f>
        <v>1053.08</v>
      </c>
      <c r="E3766" s="409">
        <f>ROUND($F$3739*50%,2)</f>
        <v>1316.36</v>
      </c>
      <c r="F3766" s="409"/>
      <c r="G3766" s="410"/>
      <c r="H3766" s="426"/>
      <c r="I3766" s="408"/>
      <c r="J3766" s="718"/>
      <c r="K3766" s="719"/>
      <c r="L3766" s="719"/>
      <c r="M3766" s="726"/>
      <c r="N3766" s="726"/>
      <c r="O3766" s="726"/>
      <c r="P3766" s="726"/>
      <c r="Q3766" s="726"/>
      <c r="R3766" s="726"/>
      <c r="S3766" s="726"/>
      <c r="T3766" s="726"/>
      <c r="U3766" s="726"/>
      <c r="V3766" s="726"/>
      <c r="W3766" s="726"/>
      <c r="X3766" s="726"/>
      <c r="Y3766" s="726"/>
      <c r="Z3766" s="726"/>
      <c r="AA3766" s="726"/>
      <c r="AB3766" s="726"/>
      <c r="AC3766" s="726"/>
      <c r="AD3766" s="726"/>
      <c r="AE3766" s="726"/>
      <c r="AF3766" s="726"/>
      <c r="AG3766" s="726"/>
      <c r="AH3766" s="726"/>
      <c r="AI3766" s="726"/>
      <c r="AJ3766" s="726"/>
      <c r="AK3766" s="726"/>
      <c r="AL3766" s="726"/>
      <c r="AM3766" s="726"/>
      <c r="AN3766" s="726"/>
      <c r="AO3766" s="726"/>
      <c r="AP3766" s="726"/>
      <c r="AQ3766" s="726"/>
      <c r="AR3766" s="726"/>
      <c r="AS3766" s="726"/>
      <c r="AT3766" s="726"/>
      <c r="AU3766" s="726"/>
      <c r="AV3766" s="726"/>
      <c r="AW3766" s="726"/>
      <c r="AX3766" s="726"/>
      <c r="AY3766" s="726"/>
      <c r="AZ3766" s="726"/>
      <c r="BA3766" s="726"/>
      <c r="BB3766" s="726"/>
      <c r="BC3766" s="726"/>
      <c r="BD3766" s="726"/>
      <c r="BE3766" s="726"/>
      <c r="BF3766" s="726"/>
      <c r="BG3766" s="726"/>
      <c r="BH3766" s="726"/>
      <c r="BI3766" s="726"/>
      <c r="BJ3766" s="726"/>
      <c r="BK3766" s="726"/>
      <c r="BL3766" s="726"/>
    </row>
    <row r="3767" spans="1:64">
      <c r="A3767" s="406"/>
      <c r="B3767" s="426"/>
      <c r="C3767" s="417" t="str">
        <f>[161]Input!$C$47</f>
        <v>Add for MA @ 40%</v>
      </c>
      <c r="D3767" s="409">
        <f>D3766*[161]Input!$D$47</f>
        <v>421.23199999999997</v>
      </c>
      <c r="E3767" s="409">
        <f>E3766*[161]Input!$D$47</f>
        <v>526.54399999999998</v>
      </c>
      <c r="F3767" s="409"/>
      <c r="G3767" s="410"/>
      <c r="H3767" s="426"/>
      <c r="I3767" s="408"/>
      <c r="J3767" s="718"/>
      <c r="K3767" s="719"/>
      <c r="L3767" s="719"/>
      <c r="M3767" s="726"/>
      <c r="N3767" s="726"/>
      <c r="O3767" s="726"/>
      <c r="P3767" s="726"/>
      <c r="Q3767" s="726"/>
      <c r="R3767" s="726"/>
      <c r="S3767" s="726"/>
      <c r="T3767" s="726"/>
      <c r="U3767" s="726"/>
      <c r="V3767" s="726"/>
      <c r="W3767" s="726"/>
      <c r="X3767" s="726"/>
      <c r="Y3767" s="726"/>
      <c r="Z3767" s="726"/>
      <c r="AA3767" s="726"/>
      <c r="AB3767" s="726"/>
      <c r="AC3767" s="726"/>
      <c r="AD3767" s="726"/>
      <c r="AE3767" s="726"/>
      <c r="AF3767" s="726"/>
      <c r="AG3767" s="726"/>
      <c r="AH3767" s="726"/>
      <c r="AI3767" s="726"/>
      <c r="AJ3767" s="726"/>
      <c r="AK3767" s="726"/>
      <c r="AL3767" s="726"/>
      <c r="AM3767" s="726"/>
      <c r="AN3767" s="726"/>
      <c r="AO3767" s="726"/>
      <c r="AP3767" s="726"/>
      <c r="AQ3767" s="726"/>
      <c r="AR3767" s="726"/>
      <c r="AS3767" s="726"/>
      <c r="AT3767" s="726"/>
      <c r="AU3767" s="726"/>
      <c r="AV3767" s="726"/>
      <c r="AW3767" s="726"/>
      <c r="AX3767" s="726"/>
      <c r="AY3767" s="726"/>
      <c r="AZ3767" s="726"/>
      <c r="BA3767" s="726"/>
      <c r="BB3767" s="726"/>
      <c r="BC3767" s="726"/>
      <c r="BD3767" s="726"/>
      <c r="BE3767" s="726"/>
      <c r="BF3767" s="726"/>
      <c r="BG3767" s="726"/>
      <c r="BH3767" s="726"/>
      <c r="BI3767" s="726"/>
      <c r="BJ3767" s="726"/>
      <c r="BK3767" s="726"/>
      <c r="BL3767" s="726"/>
    </row>
    <row r="3768" spans="1:64">
      <c r="A3768" s="406"/>
      <c r="B3768" s="426"/>
      <c r="C3768" s="417" t="s">
        <v>724</v>
      </c>
      <c r="D3768" s="409">
        <f>SUM(D3762:D3767)</f>
        <v>14360.405499999999</v>
      </c>
      <c r="E3768" s="409">
        <f>SUM(E3762:E3767)</f>
        <v>15021.5975</v>
      </c>
      <c r="F3768" s="409"/>
      <c r="G3768" s="410"/>
      <c r="H3768" s="426"/>
      <c r="I3768" s="408"/>
      <c r="J3768" s="718"/>
      <c r="K3768" s="719"/>
      <c r="L3768" s="719"/>
      <c r="M3768" s="726"/>
      <c r="N3768" s="726"/>
      <c r="O3768" s="726"/>
      <c r="P3768" s="726"/>
      <c r="Q3768" s="726"/>
      <c r="R3768" s="726"/>
      <c r="S3768" s="726"/>
      <c r="T3768" s="726"/>
      <c r="U3768" s="726"/>
      <c r="V3768" s="726"/>
      <c r="W3768" s="726"/>
      <c r="X3768" s="726"/>
      <c r="Y3768" s="726"/>
      <c r="Z3768" s="726"/>
      <c r="AA3768" s="726"/>
      <c r="AB3768" s="726"/>
      <c r="AC3768" s="726"/>
      <c r="AD3768" s="726"/>
      <c r="AE3768" s="726"/>
      <c r="AF3768" s="726"/>
      <c r="AG3768" s="726"/>
      <c r="AH3768" s="726"/>
      <c r="AI3768" s="726"/>
      <c r="AJ3768" s="726"/>
      <c r="AK3768" s="726"/>
      <c r="AL3768" s="726"/>
      <c r="AM3768" s="726"/>
      <c r="AN3768" s="726"/>
      <c r="AO3768" s="726"/>
      <c r="AP3768" s="726"/>
      <c r="AQ3768" s="726"/>
      <c r="AR3768" s="726"/>
      <c r="AS3768" s="726"/>
      <c r="AT3768" s="726"/>
      <c r="AU3768" s="726"/>
      <c r="AV3768" s="726"/>
      <c r="AW3768" s="726"/>
      <c r="AX3768" s="726"/>
      <c r="AY3768" s="726"/>
      <c r="AZ3768" s="726"/>
      <c r="BA3768" s="726"/>
      <c r="BB3768" s="726"/>
      <c r="BC3768" s="726"/>
      <c r="BD3768" s="726"/>
      <c r="BE3768" s="726"/>
      <c r="BF3768" s="726"/>
      <c r="BG3768" s="726"/>
      <c r="BH3768" s="726"/>
      <c r="BI3768" s="726"/>
      <c r="BJ3768" s="726"/>
      <c r="BK3768" s="726"/>
      <c r="BL3768" s="726"/>
    </row>
    <row r="3769" spans="1:64" ht="25">
      <c r="A3769" s="406"/>
      <c r="B3769" s="426"/>
      <c r="C3769" s="417" t="str">
        <f>[161]Input!$C$48</f>
        <v>Overheads &amp; Contractors Profit @ 13.615%</v>
      </c>
      <c r="D3769" s="426">
        <f>ROUND(D3768*[161]Input!$D$48,2)</f>
        <v>1955.17</v>
      </c>
      <c r="E3769" s="426">
        <f>ROUND(E3768*[161]Input!$D$48,2)</f>
        <v>2045.19</v>
      </c>
      <c r="F3769" s="409"/>
      <c r="G3769" s="410"/>
      <c r="H3769" s="426"/>
      <c r="I3769" s="408"/>
      <c r="J3769" s="718"/>
      <c r="K3769" s="719"/>
      <c r="L3769" s="719"/>
      <c r="M3769" s="726"/>
      <c r="N3769" s="726"/>
      <c r="O3769" s="726"/>
      <c r="P3769" s="726"/>
      <c r="Q3769" s="726"/>
      <c r="R3769" s="726"/>
      <c r="S3769" s="726"/>
      <c r="T3769" s="726"/>
      <c r="U3769" s="726"/>
      <c r="V3769" s="726"/>
      <c r="W3769" s="726"/>
      <c r="X3769" s="726"/>
      <c r="Y3769" s="726"/>
      <c r="Z3769" s="726"/>
      <c r="AA3769" s="726"/>
      <c r="AB3769" s="726"/>
      <c r="AC3769" s="726"/>
      <c r="AD3769" s="726"/>
      <c r="AE3769" s="726"/>
      <c r="AF3769" s="726"/>
      <c r="AG3769" s="726"/>
      <c r="AH3769" s="726"/>
      <c r="AI3769" s="726"/>
      <c r="AJ3769" s="726"/>
      <c r="AK3769" s="726"/>
      <c r="AL3769" s="726"/>
      <c r="AM3769" s="726"/>
      <c r="AN3769" s="726"/>
      <c r="AO3769" s="726"/>
      <c r="AP3769" s="726"/>
      <c r="AQ3769" s="726"/>
      <c r="AR3769" s="726"/>
      <c r="AS3769" s="726"/>
      <c r="AT3769" s="726"/>
      <c r="AU3769" s="726"/>
      <c r="AV3769" s="726"/>
      <c r="AW3769" s="726"/>
      <c r="AX3769" s="726"/>
      <c r="AY3769" s="726"/>
      <c r="AZ3769" s="726"/>
      <c r="BA3769" s="726"/>
      <c r="BB3769" s="726"/>
      <c r="BC3769" s="726"/>
      <c r="BD3769" s="726"/>
      <c r="BE3769" s="726"/>
      <c r="BF3769" s="726"/>
      <c r="BG3769" s="726"/>
      <c r="BH3769" s="726"/>
      <c r="BI3769" s="726"/>
      <c r="BJ3769" s="726"/>
      <c r="BK3769" s="726"/>
      <c r="BL3769" s="726"/>
    </row>
    <row r="3770" spans="1:64">
      <c r="A3770" s="406"/>
      <c r="B3770" s="426"/>
      <c r="C3770" s="417"/>
      <c r="D3770" s="409">
        <f>SUM(D3768:D3769)</f>
        <v>16315.575499999999</v>
      </c>
      <c r="E3770" s="409">
        <f>SUM(E3768:E3769)</f>
        <v>17066.787499999999</v>
      </c>
      <c r="F3770" s="409"/>
      <c r="G3770" s="410"/>
      <c r="H3770" s="426"/>
      <c r="I3770" s="408"/>
      <c r="J3770" s="718"/>
      <c r="K3770" s="719"/>
      <c r="L3770" s="719"/>
      <c r="M3770" s="726"/>
      <c r="N3770" s="726"/>
      <c r="O3770" s="726"/>
      <c r="P3770" s="726"/>
      <c r="Q3770" s="726"/>
      <c r="R3770" s="726"/>
      <c r="S3770" s="726"/>
      <c r="T3770" s="726"/>
      <c r="U3770" s="726"/>
      <c r="V3770" s="726"/>
      <c r="W3770" s="726"/>
      <c r="X3770" s="726"/>
      <c r="Y3770" s="726"/>
      <c r="Z3770" s="726"/>
      <c r="AA3770" s="726"/>
      <c r="AB3770" s="726"/>
      <c r="AC3770" s="726"/>
      <c r="AD3770" s="726"/>
      <c r="AE3770" s="726"/>
      <c r="AF3770" s="726"/>
      <c r="AG3770" s="726"/>
      <c r="AH3770" s="726"/>
      <c r="AI3770" s="726"/>
      <c r="AJ3770" s="726"/>
      <c r="AK3770" s="726"/>
      <c r="AL3770" s="726"/>
      <c r="AM3770" s="726"/>
      <c r="AN3770" s="726"/>
      <c r="AO3770" s="726"/>
      <c r="AP3770" s="726"/>
      <c r="AQ3770" s="726"/>
      <c r="AR3770" s="726"/>
      <c r="AS3770" s="726"/>
      <c r="AT3770" s="726"/>
      <c r="AU3770" s="726"/>
      <c r="AV3770" s="726"/>
      <c r="AW3770" s="726"/>
      <c r="AX3770" s="726"/>
      <c r="AY3770" s="726"/>
      <c r="AZ3770" s="726"/>
      <c r="BA3770" s="726"/>
      <c r="BB3770" s="726"/>
      <c r="BC3770" s="726"/>
      <c r="BD3770" s="726"/>
      <c r="BE3770" s="726"/>
      <c r="BF3770" s="726"/>
      <c r="BG3770" s="726"/>
      <c r="BH3770" s="726"/>
      <c r="BI3770" s="726"/>
      <c r="BJ3770" s="726"/>
      <c r="BK3770" s="726"/>
      <c r="BL3770" s="726"/>
    </row>
    <row r="3771" spans="1:64" ht="13">
      <c r="A3771" s="406"/>
      <c r="B3771" s="426"/>
      <c r="C3771" s="730" t="s">
        <v>726</v>
      </c>
      <c r="D3771" s="416">
        <f>ROUND(D3770,0)</f>
        <v>16316</v>
      </c>
      <c r="E3771" s="416">
        <f>ROUND(E3770,0)</f>
        <v>17067</v>
      </c>
      <c r="F3771" s="409"/>
      <c r="G3771" s="410"/>
      <c r="H3771" s="426"/>
      <c r="I3771" s="408"/>
      <c r="J3771" s="718"/>
      <c r="K3771" s="719"/>
      <c r="L3771" s="719"/>
      <c r="M3771" s="726"/>
      <c r="N3771" s="726"/>
      <c r="O3771" s="726"/>
      <c r="P3771" s="726"/>
      <c r="Q3771" s="726"/>
      <c r="R3771" s="726"/>
      <c r="S3771" s="726"/>
      <c r="T3771" s="726"/>
      <c r="U3771" s="726"/>
      <c r="V3771" s="726"/>
      <c r="W3771" s="726"/>
      <c r="X3771" s="726"/>
      <c r="Y3771" s="726"/>
      <c r="Z3771" s="726"/>
      <c r="AA3771" s="726"/>
      <c r="AB3771" s="726"/>
      <c r="AC3771" s="726"/>
      <c r="AD3771" s="726"/>
      <c r="AE3771" s="726"/>
      <c r="AF3771" s="726"/>
      <c r="AG3771" s="726"/>
      <c r="AH3771" s="726"/>
      <c r="AI3771" s="726"/>
      <c r="AJ3771" s="726"/>
      <c r="AK3771" s="726"/>
      <c r="AL3771" s="726"/>
      <c r="AM3771" s="726"/>
      <c r="AN3771" s="726"/>
      <c r="AO3771" s="726"/>
      <c r="AP3771" s="726"/>
      <c r="AQ3771" s="726"/>
      <c r="AR3771" s="726"/>
      <c r="AS3771" s="726"/>
      <c r="AT3771" s="726"/>
      <c r="AU3771" s="726"/>
      <c r="AV3771" s="726"/>
      <c r="AW3771" s="726"/>
      <c r="AX3771" s="726"/>
      <c r="AY3771" s="726"/>
      <c r="AZ3771" s="726"/>
      <c r="BA3771" s="726"/>
      <c r="BB3771" s="726"/>
      <c r="BC3771" s="726"/>
      <c r="BD3771" s="726"/>
      <c r="BE3771" s="726"/>
      <c r="BF3771" s="726"/>
      <c r="BG3771" s="726"/>
      <c r="BH3771" s="726"/>
      <c r="BI3771" s="726"/>
      <c r="BJ3771" s="726"/>
      <c r="BK3771" s="726"/>
      <c r="BL3771" s="726"/>
    </row>
    <row r="3772" spans="1:64">
      <c r="A3772" s="406"/>
      <c r="B3772" s="426"/>
      <c r="C3772" s="620"/>
      <c r="D3772" s="426"/>
      <c r="E3772" s="426"/>
      <c r="F3772" s="409"/>
      <c r="G3772" s="410"/>
      <c r="H3772" s="426"/>
      <c r="I3772" s="408"/>
      <c r="J3772" s="718"/>
      <c r="K3772" s="719"/>
      <c r="L3772" s="719"/>
      <c r="M3772" s="726"/>
      <c r="N3772" s="726"/>
      <c r="O3772" s="726"/>
      <c r="P3772" s="726"/>
      <c r="Q3772" s="726"/>
      <c r="R3772" s="726"/>
      <c r="S3772" s="726"/>
      <c r="T3772" s="726"/>
      <c r="U3772" s="726"/>
      <c r="V3772" s="726"/>
      <c r="W3772" s="726"/>
      <c r="X3772" s="726"/>
      <c r="Y3772" s="726"/>
      <c r="Z3772" s="726"/>
      <c r="AA3772" s="726"/>
      <c r="AB3772" s="726"/>
      <c r="AC3772" s="726"/>
      <c r="AD3772" s="726"/>
      <c r="AE3772" s="726"/>
      <c r="AF3772" s="726"/>
      <c r="AG3772" s="726"/>
      <c r="AH3772" s="726"/>
      <c r="AI3772" s="726"/>
      <c r="AJ3772" s="726"/>
      <c r="AK3772" s="726"/>
      <c r="AL3772" s="726"/>
      <c r="AM3772" s="726"/>
      <c r="AN3772" s="726"/>
      <c r="AO3772" s="726"/>
      <c r="AP3772" s="726"/>
      <c r="AQ3772" s="726"/>
      <c r="AR3772" s="726"/>
      <c r="AS3772" s="726"/>
      <c r="AT3772" s="726"/>
      <c r="AU3772" s="726"/>
      <c r="AV3772" s="726"/>
      <c r="AW3772" s="726"/>
      <c r="AX3772" s="726"/>
      <c r="AY3772" s="726"/>
      <c r="AZ3772" s="726"/>
      <c r="BA3772" s="726"/>
      <c r="BB3772" s="726"/>
      <c r="BC3772" s="726"/>
      <c r="BD3772" s="726"/>
      <c r="BE3772" s="726"/>
      <c r="BF3772" s="726"/>
      <c r="BG3772" s="726"/>
      <c r="BH3772" s="726"/>
      <c r="BI3772" s="726"/>
      <c r="BJ3772" s="726"/>
      <c r="BK3772" s="726"/>
      <c r="BL3772" s="726"/>
    </row>
    <row r="3773" spans="1:64" ht="103" customHeight="1">
      <c r="A3773" s="1277">
        <f>1+A3692</f>
        <v>15</v>
      </c>
      <c r="B3773" s="1277"/>
      <c r="C3773" s="1291" t="s">
        <v>1310</v>
      </c>
      <c r="D3773" s="1291"/>
      <c r="E3773" s="1291"/>
      <c r="F3773" s="1291"/>
      <c r="G3773" s="1291"/>
      <c r="H3773" s="1291"/>
      <c r="I3773" s="407"/>
      <c r="J3773" s="718"/>
      <c r="K3773" s="719"/>
      <c r="L3773" s="719"/>
      <c r="M3773" s="726"/>
      <c r="N3773" s="726"/>
      <c r="O3773" s="726"/>
      <c r="P3773" s="726"/>
      <c r="Q3773" s="726"/>
      <c r="R3773" s="726"/>
      <c r="S3773" s="726"/>
      <c r="T3773" s="726"/>
      <c r="U3773" s="726"/>
      <c r="V3773" s="726"/>
      <c r="W3773" s="726"/>
      <c r="X3773" s="726"/>
      <c r="Y3773" s="726"/>
      <c r="Z3773" s="726"/>
      <c r="AA3773" s="726"/>
      <c r="AB3773" s="726"/>
      <c r="AC3773" s="726"/>
      <c r="AD3773" s="726"/>
      <c r="AE3773" s="726"/>
      <c r="AF3773" s="726"/>
      <c r="AG3773" s="726"/>
      <c r="AH3773" s="726"/>
      <c r="AI3773" s="726"/>
      <c r="AJ3773" s="726"/>
      <c r="AK3773" s="726"/>
      <c r="AL3773" s="726"/>
      <c r="AM3773" s="726"/>
      <c r="AN3773" s="726"/>
      <c r="AO3773" s="726"/>
      <c r="AP3773" s="726"/>
      <c r="AQ3773" s="726"/>
      <c r="AR3773" s="726"/>
      <c r="AS3773" s="726"/>
      <c r="AT3773" s="726"/>
      <c r="AU3773" s="726"/>
      <c r="AV3773" s="726"/>
      <c r="AW3773" s="726"/>
      <c r="AX3773" s="726"/>
      <c r="AY3773" s="726"/>
      <c r="AZ3773" s="726"/>
      <c r="BA3773" s="726"/>
      <c r="BB3773" s="726"/>
      <c r="BC3773" s="726"/>
      <c r="BD3773" s="726"/>
      <c r="BE3773" s="726"/>
      <c r="BF3773" s="726"/>
      <c r="BG3773" s="726"/>
      <c r="BH3773" s="726"/>
      <c r="BI3773" s="726"/>
      <c r="BJ3773" s="726"/>
      <c r="BK3773" s="726"/>
      <c r="BL3773" s="726"/>
    </row>
    <row r="3774" spans="1:64" ht="13">
      <c r="A3774" s="406"/>
      <c r="B3774" s="426"/>
      <c r="C3774" s="427" t="s">
        <v>1311</v>
      </c>
      <c r="D3774" s="422">
        <v>4.5999999999999996</v>
      </c>
      <c r="E3774" s="407" t="s">
        <v>1052</v>
      </c>
      <c r="F3774" s="406"/>
      <c r="G3774" s="406"/>
      <c r="H3774" s="406"/>
      <c r="I3774" s="432"/>
      <c r="J3774" s="718"/>
      <c r="K3774" s="719"/>
      <c r="L3774" s="719"/>
      <c r="M3774" s="726"/>
      <c r="N3774" s="726"/>
      <c r="O3774" s="726"/>
      <c r="P3774" s="726"/>
      <c r="Q3774" s="726"/>
      <c r="R3774" s="726"/>
      <c r="S3774" s="726"/>
      <c r="T3774" s="726"/>
      <c r="U3774" s="726"/>
      <c r="V3774" s="726"/>
      <c r="W3774" s="726"/>
      <c r="X3774" s="726"/>
      <c r="Y3774" s="726"/>
      <c r="Z3774" s="726"/>
      <c r="AA3774" s="726"/>
      <c r="AB3774" s="726"/>
      <c r="AC3774" s="726"/>
      <c r="AD3774" s="726"/>
      <c r="AE3774" s="726"/>
      <c r="AF3774" s="726"/>
      <c r="AG3774" s="726"/>
      <c r="AH3774" s="726"/>
      <c r="AI3774" s="726"/>
      <c r="AJ3774" s="726"/>
      <c r="AK3774" s="726"/>
      <c r="AL3774" s="726"/>
      <c r="AM3774" s="726"/>
      <c r="AN3774" s="726"/>
      <c r="AO3774" s="726"/>
      <c r="AP3774" s="726"/>
      <c r="AQ3774" s="726"/>
      <c r="AR3774" s="726"/>
      <c r="AS3774" s="726"/>
      <c r="AT3774" s="726"/>
      <c r="AU3774" s="726"/>
      <c r="AV3774" s="726"/>
      <c r="AW3774" s="726"/>
      <c r="AX3774" s="726"/>
      <c r="AY3774" s="726"/>
      <c r="AZ3774" s="726"/>
      <c r="BA3774" s="726"/>
      <c r="BB3774" s="726"/>
      <c r="BC3774" s="726"/>
      <c r="BD3774" s="726"/>
      <c r="BE3774" s="726"/>
      <c r="BF3774" s="726"/>
      <c r="BG3774" s="726"/>
      <c r="BH3774" s="726"/>
      <c r="BI3774" s="726"/>
      <c r="BJ3774" s="726"/>
      <c r="BK3774" s="726"/>
      <c r="BL3774" s="726"/>
    </row>
    <row r="3775" spans="1:64">
      <c r="A3775" s="406"/>
      <c r="B3775" s="426"/>
      <c r="C3775" s="417" t="s">
        <v>1312</v>
      </c>
      <c r="D3775" s="409">
        <f>1*4.6</f>
        <v>4.5999999999999996</v>
      </c>
      <c r="E3775" s="426" t="s">
        <v>1052</v>
      </c>
      <c r="F3775" s="409"/>
      <c r="G3775" s="410"/>
      <c r="H3775" s="426"/>
      <c r="I3775" s="408"/>
      <c r="J3775" s="718"/>
      <c r="K3775" s="719"/>
      <c r="L3775" s="719"/>
      <c r="M3775" s="726"/>
      <c r="N3775" s="726"/>
      <c r="O3775" s="726"/>
      <c r="P3775" s="726"/>
      <c r="Q3775" s="726"/>
      <c r="R3775" s="726"/>
      <c r="S3775" s="726"/>
      <c r="T3775" s="726"/>
      <c r="U3775" s="726"/>
      <c r="V3775" s="726"/>
      <c r="W3775" s="726"/>
      <c r="X3775" s="726"/>
      <c r="Y3775" s="726"/>
      <c r="Z3775" s="726"/>
      <c r="AA3775" s="726"/>
      <c r="AB3775" s="726"/>
      <c r="AC3775" s="726"/>
      <c r="AD3775" s="726"/>
      <c r="AE3775" s="726"/>
      <c r="AF3775" s="726"/>
      <c r="AG3775" s="726"/>
      <c r="AH3775" s="726"/>
      <c r="AI3775" s="726"/>
      <c r="AJ3775" s="726"/>
      <c r="AK3775" s="726"/>
      <c r="AL3775" s="726"/>
      <c r="AM3775" s="726"/>
      <c r="AN3775" s="726"/>
      <c r="AO3775" s="726"/>
      <c r="AP3775" s="726"/>
      <c r="AQ3775" s="726"/>
      <c r="AR3775" s="726"/>
      <c r="AS3775" s="726"/>
      <c r="AT3775" s="726"/>
      <c r="AU3775" s="726"/>
      <c r="AV3775" s="726"/>
      <c r="AW3775" s="726"/>
      <c r="AX3775" s="726"/>
      <c r="AY3775" s="726"/>
      <c r="AZ3775" s="726"/>
      <c r="BA3775" s="726"/>
      <c r="BB3775" s="726"/>
      <c r="BC3775" s="726"/>
      <c r="BD3775" s="726"/>
      <c r="BE3775" s="726"/>
      <c r="BF3775" s="726"/>
      <c r="BG3775" s="726"/>
      <c r="BH3775" s="726"/>
      <c r="BI3775" s="726"/>
      <c r="BJ3775" s="726"/>
      <c r="BK3775" s="726"/>
      <c r="BL3775" s="726"/>
    </row>
    <row r="3776" spans="1:64">
      <c r="A3776" s="406"/>
      <c r="B3776" s="426"/>
      <c r="C3776" s="417" t="s">
        <v>1313</v>
      </c>
      <c r="D3776" s="409">
        <f>26*0.9</f>
        <v>23.400000000000002</v>
      </c>
      <c r="E3776" s="426" t="s">
        <v>1052</v>
      </c>
      <c r="F3776" s="409"/>
      <c r="G3776" s="410"/>
      <c r="H3776" s="426"/>
      <c r="I3776" s="408"/>
      <c r="J3776" s="718"/>
      <c r="K3776" s="719"/>
      <c r="L3776" s="719"/>
      <c r="M3776" s="726"/>
      <c r="N3776" s="726"/>
      <c r="O3776" s="726"/>
      <c r="P3776" s="726"/>
      <c r="Q3776" s="726"/>
      <c r="R3776" s="726"/>
      <c r="S3776" s="726"/>
      <c r="T3776" s="726"/>
      <c r="U3776" s="726"/>
      <c r="V3776" s="726"/>
      <c r="W3776" s="726"/>
      <c r="X3776" s="726"/>
      <c r="Y3776" s="726"/>
      <c r="Z3776" s="726"/>
      <c r="AA3776" s="726"/>
      <c r="AB3776" s="726"/>
      <c r="AC3776" s="726"/>
      <c r="AD3776" s="726"/>
      <c r="AE3776" s="726"/>
      <c r="AF3776" s="726"/>
      <c r="AG3776" s="726"/>
      <c r="AH3776" s="726"/>
      <c r="AI3776" s="726"/>
      <c r="AJ3776" s="726"/>
      <c r="AK3776" s="726"/>
      <c r="AL3776" s="726"/>
      <c r="AM3776" s="726"/>
      <c r="AN3776" s="726"/>
      <c r="AO3776" s="726"/>
      <c r="AP3776" s="726"/>
      <c r="AQ3776" s="726"/>
      <c r="AR3776" s="726"/>
      <c r="AS3776" s="726"/>
      <c r="AT3776" s="726"/>
      <c r="AU3776" s="726"/>
      <c r="AV3776" s="726"/>
      <c r="AW3776" s="726"/>
      <c r="AX3776" s="726"/>
      <c r="AY3776" s="726"/>
      <c r="AZ3776" s="726"/>
      <c r="BA3776" s="726"/>
      <c r="BB3776" s="726"/>
      <c r="BC3776" s="726"/>
      <c r="BD3776" s="726"/>
      <c r="BE3776" s="726"/>
      <c r="BF3776" s="726"/>
      <c r="BG3776" s="726"/>
      <c r="BH3776" s="726"/>
      <c r="BI3776" s="726"/>
      <c r="BJ3776" s="726"/>
      <c r="BK3776" s="726"/>
      <c r="BL3776" s="726"/>
    </row>
    <row r="3777" spans="1:64">
      <c r="A3777" s="406"/>
      <c r="B3777" s="426"/>
      <c r="C3777" s="445" t="s">
        <v>1314</v>
      </c>
      <c r="D3777" s="408">
        <f>ROUND(4.6*2.39,2)</f>
        <v>10.99</v>
      </c>
      <c r="E3777" s="454" t="s">
        <v>833</v>
      </c>
      <c r="F3777" s="408"/>
      <c r="G3777" s="430"/>
      <c r="H3777" s="454"/>
      <c r="I3777" s="408"/>
      <c r="J3777" s="718"/>
      <c r="K3777" s="719"/>
      <c r="L3777" s="719"/>
      <c r="M3777" s="726"/>
      <c r="N3777" s="726"/>
      <c r="O3777" s="726"/>
      <c r="P3777" s="726"/>
      <c r="Q3777" s="726"/>
      <c r="R3777" s="726"/>
      <c r="S3777" s="726"/>
      <c r="T3777" s="726"/>
      <c r="U3777" s="726"/>
      <c r="V3777" s="726"/>
      <c r="W3777" s="726"/>
      <c r="X3777" s="726"/>
      <c r="Y3777" s="726"/>
      <c r="Z3777" s="726"/>
      <c r="AA3777" s="726"/>
      <c r="AB3777" s="726"/>
      <c r="AC3777" s="726"/>
      <c r="AD3777" s="726"/>
      <c r="AE3777" s="726"/>
      <c r="AF3777" s="726"/>
      <c r="AG3777" s="726"/>
      <c r="AH3777" s="726"/>
      <c r="AI3777" s="726"/>
      <c r="AJ3777" s="726"/>
      <c r="AK3777" s="726"/>
      <c r="AL3777" s="726"/>
      <c r="AM3777" s="726"/>
      <c r="AN3777" s="726"/>
      <c r="AO3777" s="726"/>
      <c r="AP3777" s="726"/>
      <c r="AQ3777" s="726"/>
      <c r="AR3777" s="726"/>
      <c r="AS3777" s="726"/>
      <c r="AT3777" s="726"/>
      <c r="AU3777" s="726"/>
      <c r="AV3777" s="726"/>
      <c r="AW3777" s="726"/>
      <c r="AX3777" s="726"/>
      <c r="AY3777" s="726"/>
      <c r="AZ3777" s="726"/>
      <c r="BA3777" s="726"/>
      <c r="BB3777" s="726"/>
      <c r="BC3777" s="726"/>
      <c r="BD3777" s="726"/>
      <c r="BE3777" s="726"/>
      <c r="BF3777" s="726"/>
      <c r="BG3777" s="726"/>
      <c r="BH3777" s="726"/>
      <c r="BI3777" s="726"/>
      <c r="BJ3777" s="726"/>
      <c r="BK3777" s="726"/>
      <c r="BL3777" s="726"/>
    </row>
    <row r="3778" spans="1:64">
      <c r="A3778" s="406"/>
      <c r="B3778" s="426"/>
      <c r="C3778" s="445" t="s">
        <v>1315</v>
      </c>
      <c r="D3778" s="408">
        <f>ROUND(23.4*0.89,2)</f>
        <v>20.83</v>
      </c>
      <c r="E3778" s="454" t="s">
        <v>833</v>
      </c>
      <c r="F3778" s="409"/>
      <c r="G3778" s="410"/>
      <c r="H3778" s="426"/>
      <c r="I3778" s="408"/>
      <c r="J3778" s="718"/>
      <c r="K3778" s="719"/>
      <c r="L3778" s="719"/>
      <c r="M3778" s="726"/>
      <c r="N3778" s="726"/>
      <c r="O3778" s="726"/>
      <c r="P3778" s="726"/>
      <c r="Q3778" s="726"/>
      <c r="R3778" s="726"/>
      <c r="S3778" s="726"/>
      <c r="T3778" s="726"/>
      <c r="U3778" s="726"/>
      <c r="V3778" s="726"/>
      <c r="W3778" s="726"/>
      <c r="X3778" s="726"/>
      <c r="Y3778" s="726"/>
      <c r="Z3778" s="726"/>
      <c r="AA3778" s="726"/>
      <c r="AB3778" s="726"/>
      <c r="AC3778" s="726"/>
      <c r="AD3778" s="726"/>
      <c r="AE3778" s="726"/>
      <c r="AF3778" s="726"/>
      <c r="AG3778" s="726"/>
      <c r="AH3778" s="726"/>
      <c r="AI3778" s="726"/>
      <c r="AJ3778" s="726"/>
      <c r="AK3778" s="726"/>
      <c r="AL3778" s="726"/>
      <c r="AM3778" s="726"/>
      <c r="AN3778" s="726"/>
      <c r="AO3778" s="726"/>
      <c r="AP3778" s="726"/>
      <c r="AQ3778" s="726"/>
      <c r="AR3778" s="726"/>
      <c r="AS3778" s="726"/>
      <c r="AT3778" s="726"/>
      <c r="AU3778" s="726"/>
      <c r="AV3778" s="726"/>
      <c r="AW3778" s="726"/>
      <c r="AX3778" s="726"/>
      <c r="AY3778" s="726"/>
      <c r="AZ3778" s="726"/>
      <c r="BA3778" s="726"/>
      <c r="BB3778" s="726"/>
      <c r="BC3778" s="726"/>
      <c r="BD3778" s="726"/>
      <c r="BE3778" s="726"/>
      <c r="BF3778" s="726"/>
      <c r="BG3778" s="726"/>
      <c r="BH3778" s="726"/>
      <c r="BI3778" s="726"/>
      <c r="BJ3778" s="726"/>
      <c r="BK3778" s="726"/>
      <c r="BL3778" s="726"/>
    </row>
    <row r="3779" spans="1:64" ht="25">
      <c r="A3779" s="406"/>
      <c r="B3779" s="406"/>
      <c r="C3779" s="417" t="s">
        <v>1316</v>
      </c>
      <c r="D3779" s="459">
        <f>ROUND(SUM(D3777:D3778),2)</f>
        <v>31.82</v>
      </c>
      <c r="E3779" s="458" t="s">
        <v>833</v>
      </c>
      <c r="F3779" s="459">
        <f>'[161]Civil-SOR'!$G$47</f>
        <v>434</v>
      </c>
      <c r="G3779" s="460">
        <v>1</v>
      </c>
      <c r="H3779" s="458" t="s">
        <v>312</v>
      </c>
      <c r="I3779" s="459">
        <f t="shared" ref="I3779:I3784" si="878">IF(G3779="",D3779*F3779,(D3779*F3779/G3779))</f>
        <v>13809.880000000001</v>
      </c>
      <c r="J3779" s="718"/>
      <c r="K3779" s="719"/>
      <c r="L3779" s="719"/>
      <c r="M3779" s="726"/>
      <c r="N3779" s="726"/>
      <c r="O3779" s="726"/>
      <c r="P3779" s="726"/>
      <c r="Q3779" s="726"/>
      <c r="R3779" s="726"/>
      <c r="S3779" s="726"/>
      <c r="T3779" s="726"/>
      <c r="U3779" s="726"/>
      <c r="V3779" s="726"/>
      <c r="W3779" s="726"/>
      <c r="X3779" s="726"/>
      <c r="Y3779" s="726"/>
      <c r="Z3779" s="726"/>
      <c r="AA3779" s="726"/>
      <c r="AB3779" s="726"/>
      <c r="AC3779" s="726"/>
      <c r="AD3779" s="726"/>
      <c r="AE3779" s="726"/>
      <c r="AF3779" s="726"/>
      <c r="AG3779" s="726"/>
      <c r="AH3779" s="726"/>
      <c r="AI3779" s="726"/>
      <c r="AJ3779" s="726"/>
      <c r="AK3779" s="726"/>
      <c r="AL3779" s="726"/>
      <c r="AM3779" s="726"/>
      <c r="AN3779" s="726"/>
      <c r="AO3779" s="726"/>
      <c r="AP3779" s="726"/>
      <c r="AQ3779" s="726"/>
      <c r="AR3779" s="726"/>
      <c r="AS3779" s="726"/>
      <c r="AT3779" s="726"/>
      <c r="AU3779" s="726"/>
      <c r="AV3779" s="726"/>
      <c r="AW3779" s="726"/>
      <c r="AX3779" s="726"/>
      <c r="AY3779" s="726"/>
      <c r="AZ3779" s="726"/>
      <c r="BA3779" s="726"/>
      <c r="BB3779" s="726"/>
      <c r="BC3779" s="726"/>
      <c r="BD3779" s="726"/>
      <c r="BE3779" s="726"/>
      <c r="BF3779" s="726"/>
      <c r="BG3779" s="726"/>
      <c r="BH3779" s="726"/>
      <c r="BI3779" s="726"/>
      <c r="BJ3779" s="726"/>
      <c r="BK3779" s="726"/>
      <c r="BL3779" s="726"/>
    </row>
    <row r="3780" spans="1:64" ht="25">
      <c r="A3780" s="406"/>
      <c r="B3780" s="406"/>
      <c r="C3780" s="417" t="s">
        <v>1317</v>
      </c>
      <c r="D3780" s="459">
        <f>D3779</f>
        <v>31.82</v>
      </c>
      <c r="E3780" s="458" t="s">
        <v>833</v>
      </c>
      <c r="F3780" s="459">
        <f>'[161]Civil-SOR'!$G$204</f>
        <v>188</v>
      </c>
      <c r="G3780" s="460">
        <v>1</v>
      </c>
      <c r="H3780" s="458" t="s">
        <v>312</v>
      </c>
      <c r="I3780" s="459">
        <f t="shared" si="878"/>
        <v>5982.16</v>
      </c>
      <c r="J3780" s="718"/>
      <c r="K3780" s="719"/>
      <c r="L3780" s="719"/>
      <c r="M3780" s="726"/>
      <c r="N3780" s="726"/>
      <c r="O3780" s="726"/>
      <c r="P3780" s="726"/>
      <c r="Q3780" s="726"/>
      <c r="R3780" s="726"/>
      <c r="S3780" s="726"/>
      <c r="T3780" s="726"/>
      <c r="U3780" s="726"/>
      <c r="V3780" s="726"/>
      <c r="W3780" s="726"/>
      <c r="X3780" s="726"/>
      <c r="Y3780" s="726"/>
      <c r="Z3780" s="726"/>
      <c r="AA3780" s="726"/>
      <c r="AB3780" s="726"/>
      <c r="AC3780" s="726"/>
      <c r="AD3780" s="726"/>
      <c r="AE3780" s="726"/>
      <c r="AF3780" s="726"/>
      <c r="AG3780" s="726"/>
      <c r="AH3780" s="726"/>
      <c r="AI3780" s="726"/>
      <c r="AJ3780" s="726"/>
      <c r="AK3780" s="726"/>
      <c r="AL3780" s="726"/>
      <c r="AM3780" s="726"/>
      <c r="AN3780" s="726"/>
      <c r="AO3780" s="726"/>
      <c r="AP3780" s="726"/>
      <c r="AQ3780" s="726"/>
      <c r="AR3780" s="726"/>
      <c r="AS3780" s="726"/>
      <c r="AT3780" s="726"/>
      <c r="AU3780" s="726"/>
      <c r="AV3780" s="726"/>
      <c r="AW3780" s="726"/>
      <c r="AX3780" s="726"/>
      <c r="AY3780" s="726"/>
      <c r="AZ3780" s="726"/>
      <c r="BA3780" s="726"/>
      <c r="BB3780" s="726"/>
      <c r="BC3780" s="726"/>
      <c r="BD3780" s="726"/>
      <c r="BE3780" s="726"/>
      <c r="BF3780" s="726"/>
      <c r="BG3780" s="726"/>
      <c r="BH3780" s="726"/>
      <c r="BI3780" s="726"/>
      <c r="BJ3780" s="726"/>
      <c r="BK3780" s="726"/>
      <c r="BL3780" s="726"/>
    </row>
    <row r="3781" spans="1:64" ht="25">
      <c r="A3781" s="406"/>
      <c r="B3781" s="406"/>
      <c r="C3781" s="417" t="s">
        <v>1318</v>
      </c>
      <c r="D3781" s="459">
        <v>1.3</v>
      </c>
      <c r="E3781" s="458" t="s">
        <v>1052</v>
      </c>
      <c r="F3781" s="459">
        <f>'[161]Civil-SOR'!$G$348</f>
        <v>136</v>
      </c>
      <c r="G3781" s="460">
        <v>1</v>
      </c>
      <c r="H3781" s="458" t="s">
        <v>1052</v>
      </c>
      <c r="I3781" s="459">
        <f t="shared" si="878"/>
        <v>176.8</v>
      </c>
      <c r="J3781" s="718"/>
      <c r="K3781" s="719"/>
      <c r="L3781" s="719"/>
      <c r="M3781" s="726"/>
      <c r="N3781" s="726"/>
      <c r="O3781" s="726"/>
      <c r="P3781" s="726"/>
      <c r="Q3781" s="726"/>
      <c r="R3781" s="726"/>
      <c r="S3781" s="726"/>
      <c r="T3781" s="726"/>
      <c r="U3781" s="726"/>
      <c r="V3781" s="726"/>
      <c r="W3781" s="726"/>
      <c r="X3781" s="726"/>
      <c r="Y3781" s="726"/>
      <c r="Z3781" s="726"/>
      <c r="AA3781" s="726"/>
      <c r="AB3781" s="726"/>
      <c r="AC3781" s="726"/>
      <c r="AD3781" s="726"/>
      <c r="AE3781" s="726"/>
      <c r="AF3781" s="726"/>
      <c r="AG3781" s="726"/>
      <c r="AH3781" s="726"/>
      <c r="AI3781" s="726"/>
      <c r="AJ3781" s="726"/>
      <c r="AK3781" s="726"/>
      <c r="AL3781" s="726"/>
      <c r="AM3781" s="726"/>
      <c r="AN3781" s="726"/>
      <c r="AO3781" s="726"/>
      <c r="AP3781" s="726"/>
      <c r="AQ3781" s="726"/>
      <c r="AR3781" s="726"/>
      <c r="AS3781" s="726"/>
      <c r="AT3781" s="726"/>
      <c r="AU3781" s="726"/>
      <c r="AV3781" s="726"/>
      <c r="AW3781" s="726"/>
      <c r="AX3781" s="726"/>
      <c r="AY3781" s="726"/>
      <c r="AZ3781" s="726"/>
      <c r="BA3781" s="726"/>
      <c r="BB3781" s="726"/>
      <c r="BC3781" s="726"/>
      <c r="BD3781" s="726"/>
      <c r="BE3781" s="726"/>
      <c r="BF3781" s="726"/>
      <c r="BG3781" s="726"/>
      <c r="BH3781" s="726"/>
      <c r="BI3781" s="726"/>
      <c r="BJ3781" s="726"/>
      <c r="BK3781" s="726"/>
      <c r="BL3781" s="726"/>
    </row>
    <row r="3782" spans="1:64">
      <c r="A3782" s="406"/>
      <c r="B3782" s="406"/>
      <c r="C3782" s="417" t="s">
        <v>1319</v>
      </c>
      <c r="D3782" s="431">
        <v>13</v>
      </c>
      <c r="E3782" s="406" t="s">
        <v>375</v>
      </c>
      <c r="F3782" s="432">
        <f>'[161]Civil-SOR'!$G$379</f>
        <v>100</v>
      </c>
      <c r="G3782" s="431">
        <v>1</v>
      </c>
      <c r="H3782" s="406" t="s">
        <v>572</v>
      </c>
      <c r="I3782" s="459">
        <f t="shared" si="878"/>
        <v>1300</v>
      </c>
      <c r="J3782" s="718"/>
      <c r="K3782" s="719"/>
      <c r="L3782" s="719"/>
      <c r="M3782" s="726"/>
      <c r="N3782" s="726"/>
      <c r="O3782" s="726"/>
      <c r="P3782" s="726"/>
      <c r="Q3782" s="726"/>
      <c r="R3782" s="726"/>
      <c r="S3782" s="726"/>
      <c r="T3782" s="726"/>
      <c r="U3782" s="726"/>
      <c r="V3782" s="726"/>
      <c r="W3782" s="726"/>
      <c r="X3782" s="726"/>
      <c r="Y3782" s="726"/>
      <c r="Z3782" s="726"/>
      <c r="AA3782" s="726"/>
      <c r="AB3782" s="726"/>
      <c r="AC3782" s="726"/>
      <c r="AD3782" s="726"/>
      <c r="AE3782" s="726"/>
      <c r="AF3782" s="726"/>
      <c r="AG3782" s="726"/>
      <c r="AH3782" s="726"/>
      <c r="AI3782" s="726"/>
      <c r="AJ3782" s="726"/>
      <c r="AK3782" s="726"/>
      <c r="AL3782" s="726"/>
      <c r="AM3782" s="726"/>
      <c r="AN3782" s="726"/>
      <c r="AO3782" s="726"/>
      <c r="AP3782" s="726"/>
      <c r="AQ3782" s="726"/>
      <c r="AR3782" s="726"/>
      <c r="AS3782" s="726"/>
      <c r="AT3782" s="726"/>
      <c r="AU3782" s="726"/>
      <c r="AV3782" s="726"/>
      <c r="AW3782" s="726"/>
      <c r="AX3782" s="726"/>
      <c r="AY3782" s="726"/>
      <c r="AZ3782" s="726"/>
      <c r="BA3782" s="726"/>
      <c r="BB3782" s="726"/>
      <c r="BC3782" s="726"/>
      <c r="BD3782" s="726"/>
      <c r="BE3782" s="726"/>
      <c r="BF3782" s="726"/>
      <c r="BG3782" s="726"/>
      <c r="BH3782" s="726"/>
      <c r="BI3782" s="726"/>
      <c r="BJ3782" s="726"/>
      <c r="BK3782" s="726"/>
      <c r="BL3782" s="726"/>
    </row>
    <row r="3783" spans="1:64">
      <c r="A3783" s="406"/>
      <c r="B3783" s="406"/>
      <c r="C3783" s="417" t="s">
        <v>1320</v>
      </c>
      <c r="D3783" s="460">
        <v>13</v>
      </c>
      <c r="E3783" s="458" t="s">
        <v>375</v>
      </c>
      <c r="F3783" s="432">
        <f>'[161]Civil-SOR'!$G$380</f>
        <v>40</v>
      </c>
      <c r="G3783" s="460">
        <v>1</v>
      </c>
      <c r="H3783" s="458" t="s">
        <v>66</v>
      </c>
      <c r="I3783" s="459">
        <f t="shared" si="878"/>
        <v>520</v>
      </c>
      <c r="J3783" s="718"/>
      <c r="K3783" s="719"/>
      <c r="L3783" s="719"/>
      <c r="M3783" s="726"/>
      <c r="N3783" s="726"/>
      <c r="O3783" s="726"/>
      <c r="P3783" s="726"/>
      <c r="Q3783" s="726"/>
      <c r="R3783" s="726"/>
      <c r="S3783" s="726"/>
      <c r="T3783" s="726"/>
      <c r="U3783" s="726"/>
      <c r="V3783" s="726"/>
      <c r="W3783" s="726"/>
      <c r="X3783" s="726"/>
      <c r="Y3783" s="726"/>
      <c r="Z3783" s="726"/>
      <c r="AA3783" s="726"/>
      <c r="AB3783" s="726"/>
      <c r="AC3783" s="726"/>
      <c r="AD3783" s="726"/>
      <c r="AE3783" s="726"/>
      <c r="AF3783" s="726"/>
      <c r="AG3783" s="726"/>
      <c r="AH3783" s="726"/>
      <c r="AI3783" s="726"/>
      <c r="AJ3783" s="726"/>
      <c r="AK3783" s="726"/>
      <c r="AL3783" s="726"/>
      <c r="AM3783" s="726"/>
      <c r="AN3783" s="726"/>
      <c r="AO3783" s="726"/>
      <c r="AP3783" s="726"/>
      <c r="AQ3783" s="726"/>
      <c r="AR3783" s="726"/>
      <c r="AS3783" s="726"/>
      <c r="AT3783" s="726"/>
      <c r="AU3783" s="726"/>
      <c r="AV3783" s="726"/>
      <c r="AW3783" s="726"/>
      <c r="AX3783" s="726"/>
      <c r="AY3783" s="726"/>
      <c r="AZ3783" s="726"/>
      <c r="BA3783" s="726"/>
      <c r="BB3783" s="726"/>
      <c r="BC3783" s="726"/>
      <c r="BD3783" s="726"/>
      <c r="BE3783" s="726"/>
      <c r="BF3783" s="726"/>
      <c r="BG3783" s="726"/>
      <c r="BH3783" s="726"/>
      <c r="BI3783" s="726"/>
      <c r="BJ3783" s="726"/>
      <c r="BK3783" s="726"/>
      <c r="BL3783" s="726"/>
    </row>
    <row r="3784" spans="1:64">
      <c r="A3784" s="406"/>
      <c r="B3784" s="406"/>
      <c r="C3784" s="417" t="s">
        <v>1321</v>
      </c>
      <c r="D3784" s="460">
        <v>13</v>
      </c>
      <c r="E3784" s="458" t="s">
        <v>375</v>
      </c>
      <c r="F3784" s="432">
        <f>'[161]Civil-SOR'!$G$381</f>
        <v>20</v>
      </c>
      <c r="G3784" s="460">
        <v>1</v>
      </c>
      <c r="H3784" s="458" t="s">
        <v>66</v>
      </c>
      <c r="I3784" s="459">
        <f t="shared" si="878"/>
        <v>260</v>
      </c>
      <c r="J3784" s="718"/>
      <c r="K3784" s="719"/>
      <c r="L3784" s="719"/>
      <c r="M3784" s="726"/>
      <c r="N3784" s="726"/>
      <c r="O3784" s="726"/>
      <c r="P3784" s="726"/>
      <c r="Q3784" s="726"/>
      <c r="R3784" s="726"/>
      <c r="S3784" s="726"/>
      <c r="T3784" s="726"/>
      <c r="U3784" s="726"/>
      <c r="V3784" s="726"/>
      <c r="W3784" s="726"/>
      <c r="X3784" s="726"/>
      <c r="Y3784" s="726"/>
      <c r="Z3784" s="726"/>
      <c r="AA3784" s="726"/>
      <c r="AB3784" s="726"/>
      <c r="AC3784" s="726"/>
      <c r="AD3784" s="726"/>
      <c r="AE3784" s="726"/>
      <c r="AF3784" s="726"/>
      <c r="AG3784" s="726"/>
      <c r="AH3784" s="726"/>
      <c r="AI3784" s="726"/>
      <c r="AJ3784" s="726"/>
      <c r="AK3784" s="726"/>
      <c r="AL3784" s="726"/>
      <c r="AM3784" s="726"/>
      <c r="AN3784" s="726"/>
      <c r="AO3784" s="726"/>
      <c r="AP3784" s="726"/>
      <c r="AQ3784" s="726"/>
      <c r="AR3784" s="726"/>
      <c r="AS3784" s="726"/>
      <c r="AT3784" s="726"/>
      <c r="AU3784" s="726"/>
      <c r="AV3784" s="726"/>
      <c r="AW3784" s="726"/>
      <c r="AX3784" s="726"/>
      <c r="AY3784" s="726"/>
      <c r="AZ3784" s="726"/>
      <c r="BA3784" s="726"/>
      <c r="BB3784" s="726"/>
      <c r="BC3784" s="726"/>
      <c r="BD3784" s="726"/>
      <c r="BE3784" s="726"/>
      <c r="BF3784" s="726"/>
      <c r="BG3784" s="726"/>
      <c r="BH3784" s="726"/>
      <c r="BI3784" s="726"/>
      <c r="BJ3784" s="726"/>
      <c r="BK3784" s="726"/>
      <c r="BL3784" s="726"/>
    </row>
    <row r="3785" spans="1:64" ht="13">
      <c r="A3785" s="406"/>
      <c r="B3785" s="426"/>
      <c r="C3785" s="469"/>
      <c r="D3785" s="409"/>
      <c r="E3785" s="426"/>
      <c r="F3785" s="409"/>
      <c r="G3785" s="410"/>
      <c r="H3785" s="426"/>
      <c r="I3785" s="434">
        <f>SUM(I3779:I3784)</f>
        <v>22048.84</v>
      </c>
      <c r="J3785" s="718"/>
      <c r="K3785" s="719"/>
      <c r="L3785" s="719"/>
      <c r="M3785" s="726"/>
      <c r="N3785" s="726"/>
      <c r="O3785" s="726"/>
      <c r="P3785" s="726"/>
      <c r="Q3785" s="726"/>
      <c r="R3785" s="726"/>
      <c r="S3785" s="726"/>
      <c r="T3785" s="726"/>
      <c r="U3785" s="726"/>
      <c r="V3785" s="726"/>
      <c r="W3785" s="726"/>
      <c r="X3785" s="726"/>
      <c r="Y3785" s="726"/>
      <c r="Z3785" s="726"/>
      <c r="AA3785" s="726"/>
      <c r="AB3785" s="726"/>
      <c r="AC3785" s="726"/>
      <c r="AD3785" s="726"/>
      <c r="AE3785" s="726"/>
      <c r="AF3785" s="726"/>
      <c r="AG3785" s="726"/>
      <c r="AH3785" s="726"/>
      <c r="AI3785" s="726"/>
      <c r="AJ3785" s="726"/>
      <c r="AK3785" s="726"/>
      <c r="AL3785" s="726"/>
      <c r="AM3785" s="726"/>
      <c r="AN3785" s="726"/>
      <c r="AO3785" s="726"/>
      <c r="AP3785" s="726"/>
      <c r="AQ3785" s="726"/>
      <c r="AR3785" s="726"/>
      <c r="AS3785" s="726"/>
      <c r="AT3785" s="726"/>
      <c r="AU3785" s="726"/>
      <c r="AV3785" s="726"/>
      <c r="AW3785" s="726"/>
      <c r="AX3785" s="726"/>
      <c r="AY3785" s="726"/>
      <c r="AZ3785" s="726"/>
      <c r="BA3785" s="726"/>
      <c r="BB3785" s="726"/>
      <c r="BC3785" s="726"/>
      <c r="BD3785" s="726"/>
      <c r="BE3785" s="726"/>
      <c r="BF3785" s="726"/>
      <c r="BG3785" s="726"/>
      <c r="BH3785" s="726"/>
      <c r="BI3785" s="726"/>
      <c r="BJ3785" s="726"/>
      <c r="BK3785" s="726"/>
      <c r="BL3785" s="726"/>
    </row>
    <row r="3786" spans="1:64" ht="13">
      <c r="A3786" s="406"/>
      <c r="B3786" s="426"/>
      <c r="C3786" s="417" t="s">
        <v>1032</v>
      </c>
      <c r="D3786" s="409"/>
      <c r="E3786" s="426"/>
      <c r="F3786" s="409"/>
      <c r="G3786" s="410"/>
      <c r="H3786" s="426"/>
      <c r="I3786" s="434">
        <f>I3785/D3774</f>
        <v>4793.2260869565225</v>
      </c>
      <c r="J3786" s="718"/>
      <c r="K3786" s="719"/>
      <c r="L3786" s="719"/>
      <c r="M3786" s="726"/>
      <c r="N3786" s="726"/>
      <c r="O3786" s="726"/>
      <c r="P3786" s="726"/>
      <c r="Q3786" s="726"/>
      <c r="R3786" s="726"/>
      <c r="S3786" s="726"/>
      <c r="T3786" s="726"/>
      <c r="U3786" s="726"/>
      <c r="V3786" s="726"/>
      <c r="W3786" s="726"/>
      <c r="X3786" s="726"/>
      <c r="Y3786" s="726"/>
      <c r="Z3786" s="726"/>
      <c r="AA3786" s="726"/>
      <c r="AB3786" s="726"/>
      <c r="AC3786" s="726"/>
      <c r="AD3786" s="726"/>
      <c r="AE3786" s="726"/>
      <c r="AF3786" s="726"/>
      <c r="AG3786" s="726"/>
      <c r="AH3786" s="726"/>
      <c r="AI3786" s="726"/>
      <c r="AJ3786" s="726"/>
      <c r="AK3786" s="726"/>
      <c r="AL3786" s="726"/>
      <c r="AM3786" s="726"/>
      <c r="AN3786" s="726"/>
      <c r="AO3786" s="726"/>
      <c r="AP3786" s="726"/>
      <c r="AQ3786" s="726"/>
      <c r="AR3786" s="726"/>
      <c r="AS3786" s="726"/>
      <c r="AT3786" s="726"/>
      <c r="AU3786" s="726"/>
      <c r="AV3786" s="726"/>
      <c r="AW3786" s="726"/>
      <c r="AX3786" s="726"/>
      <c r="AY3786" s="726"/>
      <c r="AZ3786" s="726"/>
      <c r="BA3786" s="726"/>
      <c r="BB3786" s="726"/>
      <c r="BC3786" s="726"/>
      <c r="BD3786" s="726"/>
      <c r="BE3786" s="726"/>
      <c r="BF3786" s="726"/>
      <c r="BG3786" s="726"/>
      <c r="BH3786" s="726"/>
      <c r="BI3786" s="726"/>
      <c r="BJ3786" s="726"/>
      <c r="BK3786" s="726"/>
      <c r="BL3786" s="726"/>
    </row>
    <row r="3787" spans="1:64" ht="13">
      <c r="A3787" s="406"/>
      <c r="B3787" s="426"/>
      <c r="C3787" s="731" t="s">
        <v>845</v>
      </c>
      <c r="D3787" s="409"/>
      <c r="E3787" s="426"/>
      <c r="F3787" s="409"/>
      <c r="G3787" s="410"/>
      <c r="H3787" s="474"/>
      <c r="I3787" s="434">
        <f>(I3786)/0.9</f>
        <v>5325.8067632850252</v>
      </c>
      <c r="J3787" s="718"/>
      <c r="K3787" s="719"/>
      <c r="L3787" s="719"/>
      <c r="M3787" s="726"/>
      <c r="N3787" s="726"/>
      <c r="O3787" s="726"/>
      <c r="P3787" s="726"/>
      <c r="Q3787" s="726"/>
      <c r="R3787" s="726"/>
      <c r="S3787" s="726"/>
      <c r="T3787" s="726"/>
      <c r="U3787" s="726"/>
      <c r="V3787" s="726"/>
      <c r="W3787" s="726"/>
      <c r="X3787" s="726"/>
      <c r="Y3787" s="726"/>
      <c r="Z3787" s="726"/>
      <c r="AA3787" s="726"/>
      <c r="AB3787" s="726"/>
      <c r="AC3787" s="726"/>
      <c r="AD3787" s="726"/>
      <c r="AE3787" s="726"/>
      <c r="AF3787" s="726"/>
      <c r="AG3787" s="726"/>
      <c r="AH3787" s="726"/>
      <c r="AI3787" s="726"/>
      <c r="AJ3787" s="726"/>
      <c r="AK3787" s="726"/>
      <c r="AL3787" s="726"/>
      <c r="AM3787" s="726"/>
      <c r="AN3787" s="726"/>
      <c r="AO3787" s="726"/>
      <c r="AP3787" s="726"/>
      <c r="AQ3787" s="726"/>
      <c r="AR3787" s="726"/>
      <c r="AS3787" s="726"/>
      <c r="AT3787" s="726"/>
      <c r="AU3787" s="726"/>
      <c r="AV3787" s="726"/>
      <c r="AW3787" s="726"/>
      <c r="AX3787" s="726"/>
      <c r="AY3787" s="726"/>
      <c r="AZ3787" s="726"/>
      <c r="BA3787" s="726"/>
      <c r="BB3787" s="726"/>
      <c r="BC3787" s="726"/>
      <c r="BD3787" s="726"/>
      <c r="BE3787" s="726"/>
      <c r="BF3787" s="726"/>
      <c r="BG3787" s="726"/>
      <c r="BH3787" s="726"/>
      <c r="BI3787" s="726"/>
      <c r="BJ3787" s="726"/>
      <c r="BK3787" s="726"/>
      <c r="BL3787" s="726"/>
    </row>
    <row r="3788" spans="1:64" ht="13">
      <c r="A3788" s="406"/>
      <c r="B3788" s="426"/>
      <c r="C3788" s="732" t="str">
        <f>[161]Input!$C$48</f>
        <v>Overheads &amp; Contractors Profit @ 13.615%</v>
      </c>
      <c r="D3788" s="494">
        <f>[161]Input!$D$48</f>
        <v>0.13614999999999999</v>
      </c>
      <c r="E3788" s="426"/>
      <c r="F3788" s="409">
        <f>I3787</f>
        <v>5325.8067632850252</v>
      </c>
      <c r="G3788" s="410"/>
      <c r="H3788" s="474"/>
      <c r="I3788" s="408">
        <f>IF(G3788="",D3788*F3788,(D3788*F3788/G3788))</f>
        <v>725.10859082125614</v>
      </c>
      <c r="J3788" s="718"/>
      <c r="K3788" s="719"/>
      <c r="L3788" s="719"/>
      <c r="M3788" s="726"/>
      <c r="N3788" s="726"/>
      <c r="O3788" s="726"/>
      <c r="P3788" s="726"/>
      <c r="Q3788" s="726"/>
      <c r="R3788" s="726"/>
      <c r="S3788" s="726"/>
      <c r="T3788" s="726"/>
      <c r="U3788" s="726"/>
      <c r="V3788" s="726"/>
      <c r="W3788" s="726"/>
      <c r="X3788" s="726"/>
      <c r="Y3788" s="726"/>
      <c r="Z3788" s="726"/>
      <c r="AA3788" s="726"/>
      <c r="AB3788" s="726"/>
      <c r="AC3788" s="726"/>
      <c r="AD3788" s="726"/>
      <c r="AE3788" s="726"/>
      <c r="AF3788" s="726"/>
      <c r="AG3788" s="726"/>
      <c r="AH3788" s="726"/>
      <c r="AI3788" s="726"/>
      <c r="AJ3788" s="726"/>
      <c r="AK3788" s="726"/>
      <c r="AL3788" s="726"/>
      <c r="AM3788" s="726"/>
      <c r="AN3788" s="726"/>
      <c r="AO3788" s="726"/>
      <c r="AP3788" s="726"/>
      <c r="AQ3788" s="726"/>
      <c r="AR3788" s="726"/>
      <c r="AS3788" s="726"/>
      <c r="AT3788" s="726"/>
      <c r="AU3788" s="726"/>
      <c r="AV3788" s="726"/>
      <c r="AW3788" s="726"/>
      <c r="AX3788" s="726"/>
      <c r="AY3788" s="726"/>
      <c r="AZ3788" s="726"/>
      <c r="BA3788" s="726"/>
      <c r="BB3788" s="726"/>
      <c r="BC3788" s="726"/>
      <c r="BD3788" s="726"/>
      <c r="BE3788" s="726"/>
      <c r="BF3788" s="726"/>
      <c r="BG3788" s="726"/>
      <c r="BH3788" s="726"/>
      <c r="BI3788" s="726"/>
      <c r="BJ3788" s="726"/>
      <c r="BK3788" s="726"/>
      <c r="BL3788" s="726"/>
    </row>
    <row r="3789" spans="1:64" ht="13">
      <c r="A3789" s="406"/>
      <c r="B3789" s="426"/>
      <c r="C3789" s="731"/>
      <c r="D3789" s="409"/>
      <c r="E3789" s="426"/>
      <c r="F3789" s="409"/>
      <c r="G3789" s="410"/>
      <c r="H3789" s="474"/>
      <c r="I3789" s="434">
        <f>SUM(I3787:I3788)</f>
        <v>6050.9153541062815</v>
      </c>
      <c r="J3789" s="718"/>
      <c r="K3789" s="719"/>
      <c r="L3789" s="719"/>
      <c r="M3789" s="726"/>
      <c r="N3789" s="726"/>
      <c r="O3789" s="726"/>
      <c r="P3789" s="726"/>
      <c r="Q3789" s="726"/>
      <c r="R3789" s="726"/>
      <c r="S3789" s="726"/>
      <c r="T3789" s="726"/>
      <c r="U3789" s="726"/>
      <c r="V3789" s="726"/>
      <c r="W3789" s="726"/>
      <c r="X3789" s="726"/>
      <c r="Y3789" s="726"/>
      <c r="Z3789" s="726"/>
      <c r="AA3789" s="726"/>
      <c r="AB3789" s="726"/>
      <c r="AC3789" s="726"/>
      <c r="AD3789" s="726"/>
      <c r="AE3789" s="726"/>
      <c r="AF3789" s="726"/>
      <c r="AG3789" s="726"/>
      <c r="AH3789" s="726"/>
      <c r="AI3789" s="726"/>
      <c r="AJ3789" s="726"/>
      <c r="AK3789" s="726"/>
      <c r="AL3789" s="726"/>
      <c r="AM3789" s="726"/>
      <c r="AN3789" s="726"/>
      <c r="AO3789" s="726"/>
      <c r="AP3789" s="726"/>
      <c r="AQ3789" s="726"/>
      <c r="AR3789" s="726"/>
      <c r="AS3789" s="726"/>
      <c r="AT3789" s="726"/>
      <c r="AU3789" s="726"/>
      <c r="AV3789" s="726"/>
      <c r="AW3789" s="726"/>
      <c r="AX3789" s="726"/>
      <c r="AY3789" s="726"/>
      <c r="AZ3789" s="726"/>
      <c r="BA3789" s="726"/>
      <c r="BB3789" s="726"/>
      <c r="BC3789" s="726"/>
      <c r="BD3789" s="726"/>
      <c r="BE3789" s="726"/>
      <c r="BF3789" s="726"/>
      <c r="BG3789" s="726"/>
      <c r="BH3789" s="726"/>
      <c r="BI3789" s="726"/>
      <c r="BJ3789" s="726"/>
      <c r="BK3789" s="726"/>
      <c r="BL3789" s="726"/>
    </row>
    <row r="3790" spans="1:64" ht="13">
      <c r="A3790" s="406"/>
      <c r="B3790" s="426"/>
      <c r="C3790" s="731"/>
      <c r="D3790" s="409"/>
      <c r="E3790" s="426"/>
      <c r="F3790" s="409"/>
      <c r="G3790" s="410"/>
      <c r="H3790" s="474" t="s">
        <v>1322</v>
      </c>
      <c r="I3790" s="414">
        <f>ROUND(I3789,0)</f>
        <v>6051</v>
      </c>
      <c r="J3790" s="718"/>
      <c r="K3790" s="719"/>
      <c r="L3790" s="719"/>
      <c r="M3790" s="726"/>
      <c r="N3790" s="726"/>
      <c r="O3790" s="726"/>
      <c r="P3790" s="726"/>
      <c r="Q3790" s="726"/>
      <c r="R3790" s="726"/>
      <c r="S3790" s="726"/>
      <c r="T3790" s="726"/>
      <c r="U3790" s="726"/>
      <c r="V3790" s="726"/>
      <c r="W3790" s="726"/>
      <c r="X3790" s="726"/>
      <c r="Y3790" s="726"/>
      <c r="Z3790" s="726"/>
      <c r="AA3790" s="726"/>
      <c r="AB3790" s="726"/>
      <c r="AC3790" s="726"/>
      <c r="AD3790" s="726"/>
      <c r="AE3790" s="726"/>
      <c r="AF3790" s="726"/>
      <c r="AG3790" s="726"/>
      <c r="AH3790" s="726"/>
      <c r="AI3790" s="726"/>
      <c r="AJ3790" s="726"/>
      <c r="AK3790" s="726"/>
      <c r="AL3790" s="726"/>
      <c r="AM3790" s="726"/>
      <c r="AN3790" s="726"/>
      <c r="AO3790" s="726"/>
      <c r="AP3790" s="726"/>
      <c r="AQ3790" s="726"/>
      <c r="AR3790" s="726"/>
      <c r="AS3790" s="726"/>
      <c r="AT3790" s="726"/>
      <c r="AU3790" s="726"/>
      <c r="AV3790" s="726"/>
      <c r="AW3790" s="726"/>
      <c r="AX3790" s="726"/>
      <c r="AY3790" s="726"/>
      <c r="AZ3790" s="726"/>
      <c r="BA3790" s="726"/>
      <c r="BB3790" s="726"/>
      <c r="BC3790" s="726"/>
      <c r="BD3790" s="726"/>
      <c r="BE3790" s="726"/>
      <c r="BF3790" s="726"/>
      <c r="BG3790" s="726"/>
      <c r="BH3790" s="726"/>
      <c r="BI3790" s="726"/>
      <c r="BJ3790" s="726"/>
      <c r="BK3790" s="726"/>
      <c r="BL3790" s="726"/>
    </row>
    <row r="3791" spans="1:64" ht="13">
      <c r="A3791" s="406"/>
      <c r="B3791" s="426"/>
      <c r="C3791" s="417"/>
      <c r="D3791" s="416"/>
      <c r="E3791" s="416"/>
      <c r="F3791" s="416"/>
      <c r="G3791" s="416"/>
      <c r="H3791" s="406"/>
      <c r="I3791" s="432"/>
      <c r="J3791" s="718"/>
      <c r="K3791" s="719"/>
      <c r="L3791" s="719"/>
      <c r="M3791" s="726"/>
      <c r="N3791" s="726"/>
      <c r="O3791" s="726"/>
      <c r="P3791" s="726"/>
      <c r="Q3791" s="726"/>
      <c r="R3791" s="726"/>
      <c r="S3791" s="726"/>
      <c r="T3791" s="726"/>
      <c r="U3791" s="726"/>
      <c r="V3791" s="726"/>
      <c r="W3791" s="726"/>
      <c r="X3791" s="726"/>
      <c r="Y3791" s="726"/>
      <c r="Z3791" s="726"/>
      <c r="AA3791" s="726"/>
      <c r="AB3791" s="726"/>
      <c r="AC3791" s="726"/>
      <c r="AD3791" s="726"/>
      <c r="AE3791" s="726"/>
      <c r="AF3791" s="726"/>
      <c r="AG3791" s="726"/>
      <c r="AH3791" s="726"/>
      <c r="AI3791" s="726"/>
      <c r="AJ3791" s="726"/>
      <c r="AK3791" s="726"/>
      <c r="AL3791" s="726"/>
      <c r="AM3791" s="726"/>
      <c r="AN3791" s="726"/>
      <c r="AO3791" s="726"/>
      <c r="AP3791" s="726"/>
      <c r="AQ3791" s="726"/>
      <c r="AR3791" s="726"/>
      <c r="AS3791" s="726"/>
      <c r="AT3791" s="726"/>
      <c r="AU3791" s="726"/>
      <c r="AV3791" s="726"/>
      <c r="AW3791" s="726"/>
      <c r="AX3791" s="726"/>
      <c r="AY3791" s="726"/>
      <c r="AZ3791" s="726"/>
      <c r="BA3791" s="726"/>
      <c r="BB3791" s="726"/>
      <c r="BC3791" s="726"/>
      <c r="BD3791" s="726"/>
      <c r="BE3791" s="726"/>
      <c r="BF3791" s="726"/>
      <c r="BG3791" s="726"/>
      <c r="BH3791" s="726"/>
      <c r="BI3791" s="726"/>
      <c r="BJ3791" s="726"/>
      <c r="BK3791" s="726"/>
      <c r="BL3791" s="726"/>
    </row>
    <row r="3792" spans="1:64" ht="81.400000000000006" customHeight="1">
      <c r="A3792" s="430">
        <f>A3773+1</f>
        <v>16</v>
      </c>
      <c r="B3792" s="454"/>
      <c r="C3792" s="1291" t="s">
        <v>1323</v>
      </c>
      <c r="D3792" s="1291"/>
      <c r="E3792" s="1291"/>
      <c r="F3792" s="1291"/>
      <c r="G3792" s="1291"/>
      <c r="H3792" s="1291"/>
      <c r="I3792" s="1291"/>
      <c r="J3792" s="718"/>
      <c r="K3792" s="719"/>
      <c r="L3792" s="719"/>
      <c r="M3792" s="726"/>
      <c r="N3792" s="726"/>
      <c r="O3792" s="726"/>
      <c r="P3792" s="726"/>
      <c r="Q3792" s="726"/>
      <c r="R3792" s="726"/>
      <c r="S3792" s="726"/>
      <c r="T3792" s="726"/>
      <c r="U3792" s="726"/>
      <c r="V3792" s="726"/>
      <c r="W3792" s="726"/>
      <c r="X3792" s="726"/>
      <c r="Y3792" s="726"/>
      <c r="Z3792" s="726"/>
      <c r="AA3792" s="726"/>
      <c r="AB3792" s="726"/>
      <c r="AC3792" s="726"/>
      <c r="AD3792" s="726"/>
      <c r="AE3792" s="726"/>
      <c r="AF3792" s="726"/>
      <c r="AG3792" s="726"/>
      <c r="AH3792" s="726"/>
      <c r="AI3792" s="726"/>
      <c r="AJ3792" s="726"/>
      <c r="AK3792" s="726"/>
      <c r="AL3792" s="726"/>
      <c r="AM3792" s="726"/>
      <c r="AN3792" s="726"/>
      <c r="AO3792" s="726"/>
      <c r="AP3792" s="726"/>
      <c r="AQ3792" s="726"/>
      <c r="AR3792" s="726"/>
      <c r="AS3792" s="726"/>
      <c r="AT3792" s="726"/>
      <c r="AU3792" s="726"/>
      <c r="AV3792" s="726"/>
      <c r="AW3792" s="726"/>
      <c r="AX3792" s="726"/>
      <c r="AY3792" s="726"/>
      <c r="AZ3792" s="726"/>
      <c r="BA3792" s="726"/>
      <c r="BB3792" s="726"/>
      <c r="BC3792" s="726"/>
      <c r="BD3792" s="726"/>
      <c r="BE3792" s="726"/>
      <c r="BF3792" s="726"/>
      <c r="BG3792" s="726"/>
      <c r="BH3792" s="726"/>
      <c r="BI3792" s="726"/>
      <c r="BJ3792" s="726"/>
      <c r="BK3792" s="726"/>
      <c r="BL3792" s="726"/>
    </row>
    <row r="3793" spans="1:64" ht="13">
      <c r="A3793" s="406"/>
      <c r="B3793" s="426"/>
      <c r="C3793" s="427" t="s">
        <v>1311</v>
      </c>
      <c r="D3793" s="422">
        <v>4.5999999999999996</v>
      </c>
      <c r="E3793" s="407" t="s">
        <v>1052</v>
      </c>
      <c r="F3793" s="406"/>
      <c r="G3793" s="406"/>
      <c r="H3793" s="406"/>
      <c r="I3793" s="432"/>
      <c r="J3793" s="718"/>
      <c r="K3793" s="719"/>
      <c r="L3793" s="719"/>
      <c r="M3793" s="726"/>
      <c r="N3793" s="726"/>
      <c r="O3793" s="726"/>
      <c r="P3793" s="726"/>
      <c r="Q3793" s="726"/>
      <c r="R3793" s="726"/>
      <c r="S3793" s="726"/>
      <c r="T3793" s="726"/>
      <c r="U3793" s="726"/>
      <c r="V3793" s="726"/>
      <c r="W3793" s="726"/>
      <c r="X3793" s="726"/>
      <c r="Y3793" s="726"/>
      <c r="Z3793" s="726"/>
      <c r="AA3793" s="726"/>
      <c r="AB3793" s="726"/>
      <c r="AC3793" s="726"/>
      <c r="AD3793" s="726"/>
      <c r="AE3793" s="726"/>
      <c r="AF3793" s="726"/>
      <c r="AG3793" s="726"/>
      <c r="AH3793" s="726"/>
      <c r="AI3793" s="726"/>
      <c r="AJ3793" s="726"/>
      <c r="AK3793" s="726"/>
      <c r="AL3793" s="726"/>
      <c r="AM3793" s="726"/>
      <c r="AN3793" s="726"/>
      <c r="AO3793" s="726"/>
      <c r="AP3793" s="726"/>
      <c r="AQ3793" s="726"/>
      <c r="AR3793" s="726"/>
      <c r="AS3793" s="726"/>
      <c r="AT3793" s="726"/>
      <c r="AU3793" s="726"/>
      <c r="AV3793" s="726"/>
      <c r="AW3793" s="726"/>
      <c r="AX3793" s="726"/>
      <c r="AY3793" s="726"/>
      <c r="AZ3793" s="726"/>
      <c r="BA3793" s="726"/>
      <c r="BB3793" s="726"/>
      <c r="BC3793" s="726"/>
      <c r="BD3793" s="726"/>
      <c r="BE3793" s="726"/>
      <c r="BF3793" s="726"/>
      <c r="BG3793" s="726"/>
      <c r="BH3793" s="726"/>
      <c r="BI3793" s="726"/>
      <c r="BJ3793" s="726"/>
      <c r="BK3793" s="726"/>
      <c r="BL3793" s="726"/>
    </row>
    <row r="3794" spans="1:64">
      <c r="A3794" s="406"/>
      <c r="B3794" s="426"/>
      <c r="C3794" s="417" t="s">
        <v>1312</v>
      </c>
      <c r="D3794" s="409">
        <f>1*4.6</f>
        <v>4.5999999999999996</v>
      </c>
      <c r="E3794" s="426" t="s">
        <v>1052</v>
      </c>
      <c r="F3794" s="409"/>
      <c r="G3794" s="410"/>
      <c r="H3794" s="426"/>
      <c r="I3794" s="408"/>
      <c r="J3794" s="718"/>
      <c r="K3794" s="719"/>
      <c r="L3794" s="719"/>
      <c r="M3794" s="726"/>
      <c r="N3794" s="726"/>
      <c r="O3794" s="726"/>
      <c r="P3794" s="726"/>
      <c r="Q3794" s="726"/>
      <c r="R3794" s="726"/>
      <c r="S3794" s="726"/>
      <c r="T3794" s="726"/>
      <c r="U3794" s="726"/>
      <c r="V3794" s="726"/>
      <c r="W3794" s="726"/>
      <c r="X3794" s="726"/>
      <c r="Y3794" s="726"/>
      <c r="Z3794" s="726"/>
      <c r="AA3794" s="726"/>
      <c r="AB3794" s="726"/>
      <c r="AC3794" s="726"/>
      <c r="AD3794" s="726"/>
      <c r="AE3794" s="726"/>
      <c r="AF3794" s="726"/>
      <c r="AG3794" s="726"/>
      <c r="AH3794" s="726"/>
      <c r="AI3794" s="726"/>
      <c r="AJ3794" s="726"/>
      <c r="AK3794" s="726"/>
      <c r="AL3794" s="726"/>
      <c r="AM3794" s="726"/>
      <c r="AN3794" s="726"/>
      <c r="AO3794" s="726"/>
      <c r="AP3794" s="726"/>
      <c r="AQ3794" s="726"/>
      <c r="AR3794" s="726"/>
      <c r="AS3794" s="726"/>
      <c r="AT3794" s="726"/>
      <c r="AU3794" s="726"/>
      <c r="AV3794" s="726"/>
      <c r="AW3794" s="726"/>
      <c r="AX3794" s="726"/>
      <c r="AY3794" s="726"/>
      <c r="AZ3794" s="726"/>
      <c r="BA3794" s="726"/>
      <c r="BB3794" s="726"/>
      <c r="BC3794" s="726"/>
      <c r="BD3794" s="726"/>
      <c r="BE3794" s="726"/>
      <c r="BF3794" s="726"/>
      <c r="BG3794" s="726"/>
      <c r="BH3794" s="726"/>
      <c r="BI3794" s="726"/>
      <c r="BJ3794" s="726"/>
      <c r="BK3794" s="726"/>
      <c r="BL3794" s="726"/>
    </row>
    <row r="3795" spans="1:64">
      <c r="A3795" s="406"/>
      <c r="B3795" s="426"/>
      <c r="C3795" s="417" t="s">
        <v>1324</v>
      </c>
      <c r="D3795" s="409">
        <f>5*0.1</f>
        <v>0.5</v>
      </c>
      <c r="E3795" s="426" t="s">
        <v>1052</v>
      </c>
      <c r="F3795" s="409"/>
      <c r="G3795" s="410"/>
      <c r="H3795" s="426"/>
      <c r="I3795" s="408"/>
      <c r="J3795" s="718"/>
      <c r="K3795" s="719"/>
      <c r="L3795" s="719"/>
      <c r="M3795" s="726"/>
      <c r="N3795" s="726"/>
      <c r="O3795" s="726"/>
      <c r="P3795" s="726"/>
      <c r="Q3795" s="726"/>
      <c r="R3795" s="726"/>
      <c r="S3795" s="726"/>
      <c r="T3795" s="726"/>
      <c r="U3795" s="726"/>
      <c r="V3795" s="726"/>
      <c r="W3795" s="726"/>
      <c r="X3795" s="726"/>
      <c r="Y3795" s="726"/>
      <c r="Z3795" s="726"/>
      <c r="AA3795" s="726"/>
      <c r="AB3795" s="726"/>
      <c r="AC3795" s="726"/>
      <c r="AD3795" s="726"/>
      <c r="AE3795" s="726"/>
      <c r="AF3795" s="726"/>
      <c r="AG3795" s="726"/>
      <c r="AH3795" s="726"/>
      <c r="AI3795" s="726"/>
      <c r="AJ3795" s="726"/>
      <c r="AK3795" s="726"/>
      <c r="AL3795" s="726"/>
      <c r="AM3795" s="726"/>
      <c r="AN3795" s="726"/>
      <c r="AO3795" s="726"/>
      <c r="AP3795" s="726"/>
      <c r="AQ3795" s="726"/>
      <c r="AR3795" s="726"/>
      <c r="AS3795" s="726"/>
      <c r="AT3795" s="726"/>
      <c r="AU3795" s="726"/>
      <c r="AV3795" s="726"/>
      <c r="AW3795" s="726"/>
      <c r="AX3795" s="726"/>
      <c r="AY3795" s="726"/>
      <c r="AZ3795" s="726"/>
      <c r="BA3795" s="726"/>
      <c r="BB3795" s="726"/>
      <c r="BC3795" s="726"/>
      <c r="BD3795" s="726"/>
      <c r="BE3795" s="726"/>
      <c r="BF3795" s="726"/>
      <c r="BG3795" s="726"/>
      <c r="BH3795" s="726"/>
      <c r="BI3795" s="726"/>
      <c r="BJ3795" s="726"/>
      <c r="BK3795" s="726"/>
      <c r="BL3795" s="726"/>
    </row>
    <row r="3796" spans="1:64">
      <c r="A3796" s="406"/>
      <c r="B3796" s="426"/>
      <c r="C3796" s="445" t="s">
        <v>1314</v>
      </c>
      <c r="D3796" s="408">
        <f>ROUND(4.6*2.39,2)</f>
        <v>10.99</v>
      </c>
      <c r="E3796" s="454" t="s">
        <v>833</v>
      </c>
      <c r="F3796" s="408"/>
      <c r="G3796" s="430"/>
      <c r="H3796" s="454"/>
      <c r="I3796" s="408"/>
      <c r="J3796" s="718"/>
      <c r="K3796" s="719"/>
      <c r="L3796" s="719"/>
      <c r="M3796" s="726"/>
      <c r="N3796" s="726"/>
      <c r="O3796" s="726"/>
      <c r="P3796" s="726"/>
      <c r="Q3796" s="726"/>
      <c r="R3796" s="726"/>
      <c r="S3796" s="726"/>
      <c r="T3796" s="726"/>
      <c r="U3796" s="726"/>
      <c r="V3796" s="726"/>
      <c r="W3796" s="726"/>
      <c r="X3796" s="726"/>
      <c r="Y3796" s="726"/>
      <c r="Z3796" s="726"/>
      <c r="AA3796" s="726"/>
      <c r="AB3796" s="726"/>
      <c r="AC3796" s="726"/>
      <c r="AD3796" s="726"/>
      <c r="AE3796" s="726"/>
      <c r="AF3796" s="726"/>
      <c r="AG3796" s="726"/>
      <c r="AH3796" s="726"/>
      <c r="AI3796" s="726"/>
      <c r="AJ3796" s="726"/>
      <c r="AK3796" s="726"/>
      <c r="AL3796" s="726"/>
      <c r="AM3796" s="726"/>
      <c r="AN3796" s="726"/>
      <c r="AO3796" s="726"/>
      <c r="AP3796" s="726"/>
      <c r="AQ3796" s="726"/>
      <c r="AR3796" s="726"/>
      <c r="AS3796" s="726"/>
      <c r="AT3796" s="726"/>
      <c r="AU3796" s="726"/>
      <c r="AV3796" s="726"/>
      <c r="AW3796" s="726"/>
      <c r="AX3796" s="726"/>
      <c r="AY3796" s="726"/>
      <c r="AZ3796" s="726"/>
      <c r="BA3796" s="726"/>
      <c r="BB3796" s="726"/>
      <c r="BC3796" s="726"/>
      <c r="BD3796" s="726"/>
      <c r="BE3796" s="726"/>
      <c r="BF3796" s="726"/>
      <c r="BG3796" s="726"/>
      <c r="BH3796" s="726"/>
      <c r="BI3796" s="726"/>
      <c r="BJ3796" s="726"/>
      <c r="BK3796" s="726"/>
      <c r="BL3796" s="726"/>
    </row>
    <row r="3797" spans="1:64">
      <c r="A3797" s="406"/>
      <c r="B3797" s="426"/>
      <c r="C3797" s="445" t="s">
        <v>1325</v>
      </c>
      <c r="D3797" s="408">
        <f>ROUND(D3795*0.89,2)</f>
        <v>0.45</v>
      </c>
      <c r="E3797" s="454" t="s">
        <v>833</v>
      </c>
      <c r="F3797" s="409"/>
      <c r="G3797" s="410"/>
      <c r="H3797" s="426"/>
      <c r="I3797" s="408"/>
      <c r="J3797" s="718"/>
      <c r="K3797" s="719"/>
      <c r="L3797" s="719"/>
      <c r="M3797" s="726"/>
      <c r="N3797" s="726"/>
      <c r="O3797" s="726"/>
      <c r="P3797" s="726"/>
      <c r="Q3797" s="726"/>
      <c r="R3797" s="726"/>
      <c r="S3797" s="726"/>
      <c r="T3797" s="726"/>
      <c r="U3797" s="726"/>
      <c r="V3797" s="726"/>
      <c r="W3797" s="726"/>
      <c r="X3797" s="726"/>
      <c r="Y3797" s="726"/>
      <c r="Z3797" s="726"/>
      <c r="AA3797" s="726"/>
      <c r="AB3797" s="726"/>
      <c r="AC3797" s="726"/>
      <c r="AD3797" s="726"/>
      <c r="AE3797" s="726"/>
      <c r="AF3797" s="726"/>
      <c r="AG3797" s="726"/>
      <c r="AH3797" s="726"/>
      <c r="AI3797" s="726"/>
      <c r="AJ3797" s="726"/>
      <c r="AK3797" s="726"/>
      <c r="AL3797" s="726"/>
      <c r="AM3797" s="726"/>
      <c r="AN3797" s="726"/>
      <c r="AO3797" s="726"/>
      <c r="AP3797" s="726"/>
      <c r="AQ3797" s="726"/>
      <c r="AR3797" s="726"/>
      <c r="AS3797" s="726"/>
      <c r="AT3797" s="726"/>
      <c r="AU3797" s="726"/>
      <c r="AV3797" s="726"/>
      <c r="AW3797" s="726"/>
      <c r="AX3797" s="726"/>
      <c r="AY3797" s="726"/>
      <c r="AZ3797" s="726"/>
      <c r="BA3797" s="726"/>
      <c r="BB3797" s="726"/>
      <c r="BC3797" s="726"/>
      <c r="BD3797" s="726"/>
      <c r="BE3797" s="726"/>
      <c r="BF3797" s="726"/>
      <c r="BG3797" s="726"/>
      <c r="BH3797" s="726"/>
      <c r="BI3797" s="726"/>
      <c r="BJ3797" s="726"/>
      <c r="BK3797" s="726"/>
      <c r="BL3797" s="726"/>
    </row>
    <row r="3798" spans="1:64" ht="25">
      <c r="A3798" s="406"/>
      <c r="B3798" s="406"/>
      <c r="C3798" s="417" t="s">
        <v>1326</v>
      </c>
      <c r="D3798" s="459">
        <f>ROUND(SUM(D3796:D3797),2)</f>
        <v>11.44</v>
      </c>
      <c r="E3798" s="458" t="s">
        <v>833</v>
      </c>
      <c r="F3798" s="459">
        <f>'[161]Civil-SOR'!$G$47</f>
        <v>434</v>
      </c>
      <c r="G3798" s="460">
        <v>1</v>
      </c>
      <c r="H3798" s="458" t="s">
        <v>312</v>
      </c>
      <c r="I3798" s="459">
        <f t="shared" ref="I3798:I3803" si="879">IF(G3798="",D3798*F3798,(D3798*F3798/G3798))</f>
        <v>4964.96</v>
      </c>
      <c r="J3798" s="718"/>
      <c r="K3798" s="719"/>
      <c r="L3798" s="719"/>
      <c r="M3798" s="726"/>
      <c r="N3798" s="726"/>
      <c r="O3798" s="726"/>
      <c r="P3798" s="726"/>
      <c r="Q3798" s="726"/>
      <c r="R3798" s="726"/>
      <c r="S3798" s="726"/>
      <c r="T3798" s="726"/>
      <c r="U3798" s="726"/>
      <c r="V3798" s="726"/>
      <c r="W3798" s="726"/>
      <c r="X3798" s="726"/>
      <c r="Y3798" s="726"/>
      <c r="Z3798" s="726"/>
      <c r="AA3798" s="726"/>
      <c r="AB3798" s="726"/>
      <c r="AC3798" s="726"/>
      <c r="AD3798" s="726"/>
      <c r="AE3798" s="726"/>
      <c r="AF3798" s="726"/>
      <c r="AG3798" s="726"/>
      <c r="AH3798" s="726"/>
      <c r="AI3798" s="726"/>
      <c r="AJ3798" s="726"/>
      <c r="AK3798" s="726"/>
      <c r="AL3798" s="726"/>
      <c r="AM3798" s="726"/>
      <c r="AN3798" s="726"/>
      <c r="AO3798" s="726"/>
      <c r="AP3798" s="726"/>
      <c r="AQ3798" s="726"/>
      <c r="AR3798" s="726"/>
      <c r="AS3798" s="726"/>
      <c r="AT3798" s="726"/>
      <c r="AU3798" s="726"/>
      <c r="AV3798" s="726"/>
      <c r="AW3798" s="726"/>
      <c r="AX3798" s="726"/>
      <c r="AY3798" s="726"/>
      <c r="AZ3798" s="726"/>
      <c r="BA3798" s="726"/>
      <c r="BB3798" s="726"/>
      <c r="BC3798" s="726"/>
      <c r="BD3798" s="726"/>
      <c r="BE3798" s="726"/>
      <c r="BF3798" s="726"/>
      <c r="BG3798" s="726"/>
      <c r="BH3798" s="726"/>
      <c r="BI3798" s="726"/>
      <c r="BJ3798" s="726"/>
      <c r="BK3798" s="726"/>
      <c r="BL3798" s="726"/>
    </row>
    <row r="3799" spans="1:64" ht="25">
      <c r="A3799" s="406"/>
      <c r="B3799" s="406"/>
      <c r="C3799" s="417" t="s">
        <v>1317</v>
      </c>
      <c r="D3799" s="459">
        <f>D3798</f>
        <v>11.44</v>
      </c>
      <c r="E3799" s="458" t="s">
        <v>833</v>
      </c>
      <c r="F3799" s="459">
        <f>'[161]Civil-SOR'!$G$204</f>
        <v>188</v>
      </c>
      <c r="G3799" s="460">
        <v>1</v>
      </c>
      <c r="H3799" s="458" t="s">
        <v>312</v>
      </c>
      <c r="I3799" s="459">
        <f t="shared" si="879"/>
        <v>2150.7199999999998</v>
      </c>
      <c r="J3799" s="718"/>
      <c r="K3799" s="719"/>
      <c r="L3799" s="719"/>
      <c r="M3799" s="726"/>
      <c r="N3799" s="726"/>
      <c r="O3799" s="726"/>
      <c r="P3799" s="726"/>
      <c r="Q3799" s="726"/>
      <c r="R3799" s="726"/>
      <c r="S3799" s="726"/>
      <c r="T3799" s="726"/>
      <c r="U3799" s="726"/>
      <c r="V3799" s="726"/>
      <c r="W3799" s="726"/>
      <c r="X3799" s="726"/>
      <c r="Y3799" s="726"/>
      <c r="Z3799" s="726"/>
      <c r="AA3799" s="726"/>
      <c r="AB3799" s="726"/>
      <c r="AC3799" s="726"/>
      <c r="AD3799" s="726"/>
      <c r="AE3799" s="726"/>
      <c r="AF3799" s="726"/>
      <c r="AG3799" s="726"/>
      <c r="AH3799" s="726"/>
      <c r="AI3799" s="726"/>
      <c r="AJ3799" s="726"/>
      <c r="AK3799" s="726"/>
      <c r="AL3799" s="726"/>
      <c r="AM3799" s="726"/>
      <c r="AN3799" s="726"/>
      <c r="AO3799" s="726"/>
      <c r="AP3799" s="726"/>
      <c r="AQ3799" s="726"/>
      <c r="AR3799" s="726"/>
      <c r="AS3799" s="726"/>
      <c r="AT3799" s="726"/>
      <c r="AU3799" s="726"/>
      <c r="AV3799" s="726"/>
      <c r="AW3799" s="726"/>
      <c r="AX3799" s="726"/>
      <c r="AY3799" s="726"/>
      <c r="AZ3799" s="726"/>
      <c r="BA3799" s="726"/>
      <c r="BB3799" s="726"/>
      <c r="BC3799" s="726"/>
      <c r="BD3799" s="726"/>
      <c r="BE3799" s="726"/>
      <c r="BF3799" s="726"/>
      <c r="BG3799" s="726"/>
      <c r="BH3799" s="726"/>
      <c r="BI3799" s="726"/>
      <c r="BJ3799" s="726"/>
      <c r="BK3799" s="726"/>
      <c r="BL3799" s="726"/>
    </row>
    <row r="3800" spans="1:64">
      <c r="A3800" s="406"/>
      <c r="B3800" s="406"/>
      <c r="C3800" s="667" t="s">
        <v>1327</v>
      </c>
      <c r="D3800" s="408">
        <v>0.5</v>
      </c>
      <c r="E3800" s="458" t="s">
        <v>1052</v>
      </c>
      <c r="F3800" s="459">
        <f>'[161]Civil-SOR'!$G$348</f>
        <v>136</v>
      </c>
      <c r="G3800" s="460">
        <v>1</v>
      </c>
      <c r="H3800" s="458" t="s">
        <v>1052</v>
      </c>
      <c r="I3800" s="459">
        <f t="shared" si="879"/>
        <v>68</v>
      </c>
      <c r="J3800" s="718"/>
      <c r="K3800" s="719"/>
      <c r="L3800" s="719"/>
      <c r="M3800" s="726"/>
      <c r="N3800" s="726"/>
      <c r="O3800" s="726"/>
      <c r="P3800" s="726"/>
      <c r="Q3800" s="726"/>
      <c r="R3800" s="726"/>
      <c r="S3800" s="726"/>
      <c r="T3800" s="726"/>
      <c r="U3800" s="726"/>
      <c r="V3800" s="726"/>
      <c r="W3800" s="726"/>
      <c r="X3800" s="726"/>
      <c r="Y3800" s="726"/>
      <c r="Z3800" s="726"/>
      <c r="AA3800" s="726"/>
      <c r="AB3800" s="726"/>
      <c r="AC3800" s="726"/>
      <c r="AD3800" s="726"/>
      <c r="AE3800" s="726"/>
      <c r="AF3800" s="726"/>
      <c r="AG3800" s="726"/>
      <c r="AH3800" s="726"/>
      <c r="AI3800" s="726"/>
      <c r="AJ3800" s="726"/>
      <c r="AK3800" s="726"/>
      <c r="AL3800" s="726"/>
      <c r="AM3800" s="726"/>
      <c r="AN3800" s="726"/>
      <c r="AO3800" s="726"/>
      <c r="AP3800" s="726"/>
      <c r="AQ3800" s="726"/>
      <c r="AR3800" s="726"/>
      <c r="AS3800" s="726"/>
      <c r="AT3800" s="726"/>
      <c r="AU3800" s="726"/>
      <c r="AV3800" s="726"/>
      <c r="AW3800" s="726"/>
      <c r="AX3800" s="726"/>
      <c r="AY3800" s="726"/>
      <c r="AZ3800" s="726"/>
      <c r="BA3800" s="726"/>
      <c r="BB3800" s="726"/>
      <c r="BC3800" s="726"/>
      <c r="BD3800" s="726"/>
      <c r="BE3800" s="726"/>
      <c r="BF3800" s="726"/>
      <c r="BG3800" s="726"/>
      <c r="BH3800" s="726"/>
      <c r="BI3800" s="726"/>
      <c r="BJ3800" s="726"/>
      <c r="BK3800" s="726"/>
      <c r="BL3800" s="726"/>
    </row>
    <row r="3801" spans="1:64">
      <c r="A3801" s="406"/>
      <c r="B3801" s="406"/>
      <c r="C3801" s="417" t="s">
        <v>1319</v>
      </c>
      <c r="D3801" s="431">
        <v>5</v>
      </c>
      <c r="E3801" s="406" t="s">
        <v>375</v>
      </c>
      <c r="F3801" s="432">
        <f>'[161]Civil-SOR'!$G$379</f>
        <v>100</v>
      </c>
      <c r="G3801" s="431">
        <v>1</v>
      </c>
      <c r="H3801" s="406" t="s">
        <v>572</v>
      </c>
      <c r="I3801" s="459">
        <f t="shared" si="879"/>
        <v>500</v>
      </c>
      <c r="J3801" s="718"/>
      <c r="K3801" s="719"/>
      <c r="L3801" s="719"/>
      <c r="M3801" s="726"/>
      <c r="N3801" s="726"/>
      <c r="O3801" s="726"/>
      <c r="P3801" s="726"/>
      <c r="Q3801" s="726"/>
      <c r="R3801" s="726"/>
      <c r="S3801" s="726"/>
      <c r="T3801" s="726"/>
      <c r="U3801" s="726"/>
      <c r="V3801" s="726"/>
      <c r="W3801" s="726"/>
      <c r="X3801" s="726"/>
      <c r="Y3801" s="726"/>
      <c r="Z3801" s="726"/>
      <c r="AA3801" s="726"/>
      <c r="AB3801" s="726"/>
      <c r="AC3801" s="726"/>
      <c r="AD3801" s="726"/>
      <c r="AE3801" s="726"/>
      <c r="AF3801" s="726"/>
      <c r="AG3801" s="726"/>
      <c r="AH3801" s="726"/>
      <c r="AI3801" s="726"/>
      <c r="AJ3801" s="726"/>
      <c r="AK3801" s="726"/>
      <c r="AL3801" s="726"/>
      <c r="AM3801" s="726"/>
      <c r="AN3801" s="726"/>
      <c r="AO3801" s="726"/>
      <c r="AP3801" s="726"/>
      <c r="AQ3801" s="726"/>
      <c r="AR3801" s="726"/>
      <c r="AS3801" s="726"/>
      <c r="AT3801" s="726"/>
      <c r="AU3801" s="726"/>
      <c r="AV3801" s="726"/>
      <c r="AW3801" s="726"/>
      <c r="AX3801" s="726"/>
      <c r="AY3801" s="726"/>
      <c r="AZ3801" s="726"/>
      <c r="BA3801" s="726"/>
      <c r="BB3801" s="726"/>
      <c r="BC3801" s="726"/>
      <c r="BD3801" s="726"/>
      <c r="BE3801" s="726"/>
      <c r="BF3801" s="726"/>
      <c r="BG3801" s="726"/>
      <c r="BH3801" s="726"/>
      <c r="BI3801" s="726"/>
      <c r="BJ3801" s="726"/>
      <c r="BK3801" s="726"/>
      <c r="BL3801" s="726"/>
    </row>
    <row r="3802" spans="1:64">
      <c r="A3802" s="406"/>
      <c r="B3802" s="406"/>
      <c r="C3802" s="417" t="s">
        <v>1320</v>
      </c>
      <c r="D3802" s="460">
        <v>5</v>
      </c>
      <c r="E3802" s="458" t="s">
        <v>375</v>
      </c>
      <c r="F3802" s="432">
        <f>'[161]Civil-SOR'!$G$380</f>
        <v>40</v>
      </c>
      <c r="G3802" s="460">
        <v>1</v>
      </c>
      <c r="H3802" s="458" t="s">
        <v>66</v>
      </c>
      <c r="I3802" s="459">
        <f t="shared" si="879"/>
        <v>200</v>
      </c>
      <c r="J3802" s="718"/>
      <c r="K3802" s="719"/>
      <c r="L3802" s="719"/>
      <c r="M3802" s="726"/>
      <c r="N3802" s="726"/>
      <c r="O3802" s="726"/>
      <c r="P3802" s="726"/>
      <c r="Q3802" s="726"/>
      <c r="R3802" s="726"/>
      <c r="S3802" s="726"/>
      <c r="T3802" s="726"/>
      <c r="U3802" s="726"/>
      <c r="V3802" s="726"/>
      <c r="W3802" s="726"/>
      <c r="X3802" s="726"/>
      <c r="Y3802" s="726"/>
      <c r="Z3802" s="726"/>
      <c r="AA3802" s="726"/>
      <c r="AB3802" s="726"/>
      <c r="AC3802" s="726"/>
      <c r="AD3802" s="726"/>
      <c r="AE3802" s="726"/>
      <c r="AF3802" s="726"/>
      <c r="AG3802" s="726"/>
      <c r="AH3802" s="726"/>
      <c r="AI3802" s="726"/>
      <c r="AJ3802" s="726"/>
      <c r="AK3802" s="726"/>
      <c r="AL3802" s="726"/>
      <c r="AM3802" s="726"/>
      <c r="AN3802" s="726"/>
      <c r="AO3802" s="726"/>
      <c r="AP3802" s="726"/>
      <c r="AQ3802" s="726"/>
      <c r="AR3802" s="726"/>
      <c r="AS3802" s="726"/>
      <c r="AT3802" s="726"/>
      <c r="AU3802" s="726"/>
      <c r="AV3802" s="726"/>
      <c r="AW3802" s="726"/>
      <c r="AX3802" s="726"/>
      <c r="AY3802" s="726"/>
      <c r="AZ3802" s="726"/>
      <c r="BA3802" s="726"/>
      <c r="BB3802" s="726"/>
      <c r="BC3802" s="726"/>
      <c r="BD3802" s="726"/>
      <c r="BE3802" s="726"/>
      <c r="BF3802" s="726"/>
      <c r="BG3802" s="726"/>
      <c r="BH3802" s="726"/>
      <c r="BI3802" s="726"/>
      <c r="BJ3802" s="726"/>
      <c r="BK3802" s="726"/>
      <c r="BL3802" s="726"/>
    </row>
    <row r="3803" spans="1:64">
      <c r="A3803" s="406"/>
      <c r="B3803" s="406"/>
      <c r="C3803" s="417" t="s">
        <v>1321</v>
      </c>
      <c r="D3803" s="460">
        <v>5</v>
      </c>
      <c r="E3803" s="458" t="s">
        <v>375</v>
      </c>
      <c r="F3803" s="432">
        <f>'[161]Civil-SOR'!$G$381</f>
        <v>20</v>
      </c>
      <c r="G3803" s="460">
        <v>1</v>
      </c>
      <c r="H3803" s="458" t="s">
        <v>66</v>
      </c>
      <c r="I3803" s="459">
        <f t="shared" si="879"/>
        <v>100</v>
      </c>
      <c r="J3803" s="718"/>
      <c r="K3803" s="719"/>
      <c r="L3803" s="719"/>
      <c r="M3803" s="726"/>
      <c r="N3803" s="726"/>
      <c r="O3803" s="726"/>
      <c r="P3803" s="726"/>
      <c r="Q3803" s="726"/>
      <c r="R3803" s="726"/>
      <c r="S3803" s="726"/>
      <c r="T3803" s="726"/>
      <c r="U3803" s="726"/>
      <c r="V3803" s="726"/>
      <c r="W3803" s="726"/>
      <c r="X3803" s="726"/>
      <c r="Y3803" s="726"/>
      <c r="Z3803" s="726"/>
      <c r="AA3803" s="726"/>
      <c r="AB3803" s="726"/>
      <c r="AC3803" s="726"/>
      <c r="AD3803" s="726"/>
      <c r="AE3803" s="726"/>
      <c r="AF3803" s="726"/>
      <c r="AG3803" s="726"/>
      <c r="AH3803" s="726"/>
      <c r="AI3803" s="726"/>
      <c r="AJ3803" s="726"/>
      <c r="AK3803" s="726"/>
      <c r="AL3803" s="726"/>
      <c r="AM3803" s="726"/>
      <c r="AN3803" s="726"/>
      <c r="AO3803" s="726"/>
      <c r="AP3803" s="726"/>
      <c r="AQ3803" s="726"/>
      <c r="AR3803" s="726"/>
      <c r="AS3803" s="726"/>
      <c r="AT3803" s="726"/>
      <c r="AU3803" s="726"/>
      <c r="AV3803" s="726"/>
      <c r="AW3803" s="726"/>
      <c r="AX3803" s="726"/>
      <c r="AY3803" s="726"/>
      <c r="AZ3803" s="726"/>
      <c r="BA3803" s="726"/>
      <c r="BB3803" s="726"/>
      <c r="BC3803" s="726"/>
      <c r="BD3803" s="726"/>
      <c r="BE3803" s="726"/>
      <c r="BF3803" s="726"/>
      <c r="BG3803" s="726"/>
      <c r="BH3803" s="726"/>
      <c r="BI3803" s="726"/>
      <c r="BJ3803" s="726"/>
      <c r="BK3803" s="726"/>
      <c r="BL3803" s="726"/>
    </row>
    <row r="3804" spans="1:64" ht="13">
      <c r="A3804" s="406"/>
      <c r="B3804" s="426"/>
      <c r="C3804" s="435"/>
      <c r="D3804" s="409"/>
      <c r="E3804" s="426"/>
      <c r="F3804" s="409"/>
      <c r="G3804" s="410"/>
      <c r="H3804" s="426"/>
      <c r="I3804" s="434">
        <f>SUM(I3798:I3803)</f>
        <v>7983.68</v>
      </c>
      <c r="J3804" s="718"/>
      <c r="K3804" s="719"/>
      <c r="L3804" s="719"/>
      <c r="M3804" s="726"/>
      <c r="N3804" s="726"/>
      <c r="O3804" s="726"/>
      <c r="P3804" s="726"/>
      <c r="Q3804" s="726"/>
      <c r="R3804" s="726"/>
      <c r="S3804" s="726"/>
      <c r="T3804" s="726"/>
      <c r="U3804" s="726"/>
      <c r="V3804" s="726"/>
      <c r="W3804" s="726"/>
      <c r="X3804" s="726"/>
      <c r="Y3804" s="726"/>
      <c r="Z3804" s="726"/>
      <c r="AA3804" s="726"/>
      <c r="AB3804" s="726"/>
      <c r="AC3804" s="726"/>
      <c r="AD3804" s="726"/>
      <c r="AE3804" s="726"/>
      <c r="AF3804" s="726"/>
      <c r="AG3804" s="726"/>
      <c r="AH3804" s="726"/>
      <c r="AI3804" s="726"/>
      <c r="AJ3804" s="726"/>
      <c r="AK3804" s="726"/>
      <c r="AL3804" s="726"/>
      <c r="AM3804" s="726"/>
      <c r="AN3804" s="726"/>
      <c r="AO3804" s="726"/>
      <c r="AP3804" s="726"/>
      <c r="AQ3804" s="726"/>
      <c r="AR3804" s="726"/>
      <c r="AS3804" s="726"/>
      <c r="AT3804" s="726"/>
      <c r="AU3804" s="726"/>
      <c r="AV3804" s="726"/>
      <c r="AW3804" s="726"/>
      <c r="AX3804" s="726"/>
      <c r="AY3804" s="726"/>
      <c r="AZ3804" s="726"/>
      <c r="BA3804" s="726"/>
      <c r="BB3804" s="726"/>
      <c r="BC3804" s="726"/>
      <c r="BD3804" s="726"/>
      <c r="BE3804" s="726"/>
      <c r="BF3804" s="726"/>
      <c r="BG3804" s="726"/>
      <c r="BH3804" s="726"/>
      <c r="BI3804" s="726"/>
      <c r="BJ3804" s="726"/>
      <c r="BK3804" s="726"/>
      <c r="BL3804" s="726"/>
    </row>
    <row r="3805" spans="1:64" ht="13">
      <c r="A3805" s="406"/>
      <c r="B3805" s="426"/>
      <c r="C3805" s="417" t="s">
        <v>1032</v>
      </c>
      <c r="D3805" s="409"/>
      <c r="E3805" s="426"/>
      <c r="F3805" s="409"/>
      <c r="G3805" s="410"/>
      <c r="H3805" s="426"/>
      <c r="I3805" s="434">
        <f>I3804/D3793</f>
        <v>1735.5826086956524</v>
      </c>
      <c r="J3805" s="718"/>
      <c r="K3805" s="719"/>
      <c r="L3805" s="719"/>
      <c r="M3805" s="726"/>
      <c r="N3805" s="726"/>
      <c r="O3805" s="726"/>
      <c r="P3805" s="726"/>
      <c r="Q3805" s="726"/>
      <c r="R3805" s="726"/>
      <c r="S3805" s="726"/>
      <c r="T3805" s="726"/>
      <c r="U3805" s="726"/>
      <c r="V3805" s="726"/>
      <c r="W3805" s="726"/>
      <c r="X3805" s="726"/>
      <c r="Y3805" s="726"/>
      <c r="Z3805" s="726"/>
      <c r="AA3805" s="726"/>
      <c r="AB3805" s="726"/>
      <c r="AC3805" s="726"/>
      <c r="AD3805" s="726"/>
      <c r="AE3805" s="726"/>
      <c r="AF3805" s="726"/>
      <c r="AG3805" s="726"/>
      <c r="AH3805" s="726"/>
      <c r="AI3805" s="726"/>
      <c r="AJ3805" s="726"/>
      <c r="AK3805" s="726"/>
      <c r="AL3805" s="726"/>
      <c r="AM3805" s="726"/>
      <c r="AN3805" s="726"/>
      <c r="AO3805" s="726"/>
      <c r="AP3805" s="726"/>
      <c r="AQ3805" s="726"/>
      <c r="AR3805" s="726"/>
      <c r="AS3805" s="726"/>
      <c r="AT3805" s="726"/>
      <c r="AU3805" s="726"/>
      <c r="AV3805" s="726"/>
      <c r="AW3805" s="726"/>
      <c r="AX3805" s="726"/>
      <c r="AY3805" s="726"/>
      <c r="AZ3805" s="726"/>
      <c r="BA3805" s="726"/>
      <c r="BB3805" s="726"/>
      <c r="BC3805" s="726"/>
      <c r="BD3805" s="726"/>
      <c r="BE3805" s="726"/>
      <c r="BF3805" s="726"/>
      <c r="BG3805" s="726"/>
      <c r="BH3805" s="726"/>
      <c r="BI3805" s="726"/>
      <c r="BJ3805" s="726"/>
      <c r="BK3805" s="726"/>
      <c r="BL3805" s="726"/>
    </row>
    <row r="3806" spans="1:64" ht="25">
      <c r="A3806" s="406"/>
      <c r="B3806" s="426"/>
      <c r="C3806" s="445" t="str">
        <f>[161]Input!$C$48</f>
        <v>Overheads &amp; Contractors Profit @ 13.615%</v>
      </c>
      <c r="D3806" s="494">
        <f>[161]Input!$D$48</f>
        <v>0.13614999999999999</v>
      </c>
      <c r="E3806" s="426"/>
      <c r="F3806" s="409">
        <f>I3805</f>
        <v>1735.5826086956524</v>
      </c>
      <c r="G3806" s="410"/>
      <c r="H3806" s="474"/>
      <c r="I3806" s="408">
        <f>IF(G3806="",D3806*F3806,(D3806*F3806/G3806))</f>
        <v>236.29957217391308</v>
      </c>
      <c r="J3806" s="718"/>
      <c r="K3806" s="719"/>
      <c r="L3806" s="719"/>
      <c r="M3806" s="726"/>
      <c r="N3806" s="726"/>
      <c r="O3806" s="726"/>
      <c r="P3806" s="726"/>
      <c r="Q3806" s="726"/>
      <c r="R3806" s="726"/>
      <c r="S3806" s="726"/>
      <c r="T3806" s="726"/>
      <c r="U3806" s="726"/>
      <c r="V3806" s="726"/>
      <c r="W3806" s="726"/>
      <c r="X3806" s="726"/>
      <c r="Y3806" s="726"/>
      <c r="Z3806" s="726"/>
      <c r="AA3806" s="726"/>
      <c r="AB3806" s="726"/>
      <c r="AC3806" s="726"/>
      <c r="AD3806" s="726"/>
      <c r="AE3806" s="726"/>
      <c r="AF3806" s="726"/>
      <c r="AG3806" s="726"/>
      <c r="AH3806" s="726"/>
      <c r="AI3806" s="726"/>
      <c r="AJ3806" s="726"/>
      <c r="AK3806" s="726"/>
      <c r="AL3806" s="726"/>
      <c r="AM3806" s="726"/>
      <c r="AN3806" s="726"/>
      <c r="AO3806" s="726"/>
      <c r="AP3806" s="726"/>
      <c r="AQ3806" s="726"/>
      <c r="AR3806" s="726"/>
      <c r="AS3806" s="726"/>
      <c r="AT3806" s="726"/>
      <c r="AU3806" s="726"/>
      <c r="AV3806" s="726"/>
      <c r="AW3806" s="726"/>
      <c r="AX3806" s="726"/>
      <c r="AY3806" s="726"/>
      <c r="AZ3806" s="726"/>
      <c r="BA3806" s="726"/>
      <c r="BB3806" s="726"/>
      <c r="BC3806" s="726"/>
      <c r="BD3806" s="726"/>
      <c r="BE3806" s="726"/>
      <c r="BF3806" s="726"/>
      <c r="BG3806" s="726"/>
      <c r="BH3806" s="726"/>
      <c r="BI3806" s="726"/>
      <c r="BJ3806" s="726"/>
      <c r="BK3806" s="726"/>
      <c r="BL3806" s="726"/>
    </row>
    <row r="3807" spans="1:64" ht="13">
      <c r="A3807" s="406"/>
      <c r="B3807" s="426"/>
      <c r="C3807" s="451"/>
      <c r="D3807" s="409"/>
      <c r="E3807" s="426"/>
      <c r="F3807" s="409"/>
      <c r="G3807" s="410"/>
      <c r="H3807" s="474"/>
      <c r="I3807" s="434">
        <f>SUM(I3805:I3806)</f>
        <v>1971.8821808695654</v>
      </c>
      <c r="J3807" s="718"/>
      <c r="K3807" s="719"/>
      <c r="L3807" s="719"/>
      <c r="M3807" s="726"/>
      <c r="N3807" s="726"/>
      <c r="O3807" s="726"/>
      <c r="P3807" s="726"/>
      <c r="Q3807" s="726"/>
      <c r="R3807" s="726"/>
      <c r="S3807" s="726"/>
      <c r="T3807" s="726"/>
      <c r="U3807" s="726"/>
      <c r="V3807" s="726"/>
      <c r="W3807" s="726"/>
      <c r="X3807" s="726"/>
      <c r="Y3807" s="726"/>
      <c r="Z3807" s="726"/>
      <c r="AA3807" s="726"/>
      <c r="AB3807" s="726"/>
      <c r="AC3807" s="726"/>
      <c r="AD3807" s="726"/>
      <c r="AE3807" s="726"/>
      <c r="AF3807" s="726"/>
      <c r="AG3807" s="726"/>
      <c r="AH3807" s="726"/>
      <c r="AI3807" s="726"/>
      <c r="AJ3807" s="726"/>
      <c r="AK3807" s="726"/>
      <c r="AL3807" s="726"/>
      <c r="AM3807" s="726"/>
      <c r="AN3807" s="726"/>
      <c r="AO3807" s="726"/>
      <c r="AP3807" s="726"/>
      <c r="AQ3807" s="726"/>
      <c r="AR3807" s="726"/>
      <c r="AS3807" s="726"/>
      <c r="AT3807" s="726"/>
      <c r="AU3807" s="726"/>
      <c r="AV3807" s="726"/>
      <c r="AW3807" s="726"/>
      <c r="AX3807" s="726"/>
      <c r="AY3807" s="726"/>
      <c r="AZ3807" s="726"/>
      <c r="BA3807" s="726"/>
      <c r="BB3807" s="726"/>
      <c r="BC3807" s="726"/>
      <c r="BD3807" s="726"/>
      <c r="BE3807" s="726"/>
      <c r="BF3807" s="726"/>
      <c r="BG3807" s="726"/>
      <c r="BH3807" s="726"/>
      <c r="BI3807" s="726"/>
      <c r="BJ3807" s="726"/>
      <c r="BK3807" s="726"/>
      <c r="BL3807" s="726"/>
    </row>
    <row r="3808" spans="1:64" ht="13">
      <c r="A3808" s="406"/>
      <c r="B3808" s="426"/>
      <c r="C3808" s="451"/>
      <c r="D3808" s="409"/>
      <c r="E3808" s="426"/>
      <c r="F3808" s="409"/>
      <c r="G3808" s="410"/>
      <c r="H3808" s="474" t="s">
        <v>1322</v>
      </c>
      <c r="I3808" s="414">
        <f>ROUND(I3807,0)</f>
        <v>1972</v>
      </c>
      <c r="J3808" s="718"/>
      <c r="K3808" s="719"/>
      <c r="L3808" s="719"/>
      <c r="M3808" s="726"/>
      <c r="N3808" s="726"/>
      <c r="O3808" s="726"/>
      <c r="P3808" s="726"/>
      <c r="Q3808" s="726"/>
      <c r="R3808" s="726"/>
      <c r="S3808" s="726"/>
      <c r="T3808" s="726"/>
      <c r="U3808" s="726"/>
      <c r="V3808" s="726"/>
      <c r="W3808" s="726"/>
      <c r="X3808" s="726"/>
      <c r="Y3808" s="726"/>
      <c r="Z3808" s="726"/>
      <c r="AA3808" s="726"/>
      <c r="AB3808" s="726"/>
      <c r="AC3808" s="726"/>
      <c r="AD3808" s="726"/>
      <c r="AE3808" s="726"/>
      <c r="AF3808" s="726"/>
      <c r="AG3808" s="726"/>
      <c r="AH3808" s="726"/>
      <c r="AI3808" s="726"/>
      <c r="AJ3808" s="726"/>
      <c r="AK3808" s="726"/>
      <c r="AL3808" s="726"/>
      <c r="AM3808" s="726"/>
      <c r="AN3808" s="726"/>
      <c r="AO3808" s="726"/>
      <c r="AP3808" s="726"/>
      <c r="AQ3808" s="726"/>
      <c r="AR3808" s="726"/>
      <c r="AS3808" s="726"/>
      <c r="AT3808" s="726"/>
      <c r="AU3808" s="726"/>
      <c r="AV3808" s="726"/>
      <c r="AW3808" s="726"/>
      <c r="AX3808" s="726"/>
      <c r="AY3808" s="726"/>
      <c r="AZ3808" s="726"/>
      <c r="BA3808" s="726"/>
      <c r="BB3808" s="726"/>
      <c r="BC3808" s="726"/>
      <c r="BD3808" s="726"/>
      <c r="BE3808" s="726"/>
      <c r="BF3808" s="726"/>
      <c r="BG3808" s="726"/>
      <c r="BH3808" s="726"/>
      <c r="BI3808" s="726"/>
      <c r="BJ3808" s="726"/>
      <c r="BK3808" s="726"/>
      <c r="BL3808" s="726"/>
    </row>
    <row r="3809" spans="1:64" ht="13">
      <c r="A3809" s="406"/>
      <c r="B3809" s="426"/>
      <c r="C3809" s="451"/>
      <c r="D3809" s="409"/>
      <c r="E3809" s="426"/>
      <c r="F3809" s="409"/>
      <c r="G3809" s="410"/>
      <c r="H3809" s="474"/>
      <c r="I3809" s="414"/>
      <c r="J3809" s="718"/>
      <c r="K3809" s="719"/>
      <c r="L3809" s="719"/>
      <c r="M3809" s="726"/>
      <c r="N3809" s="726"/>
      <c r="O3809" s="726"/>
      <c r="P3809" s="726"/>
      <c r="Q3809" s="726"/>
      <c r="R3809" s="726"/>
      <c r="S3809" s="726"/>
      <c r="T3809" s="726"/>
      <c r="U3809" s="726"/>
      <c r="V3809" s="726"/>
      <c r="W3809" s="726"/>
      <c r="X3809" s="726"/>
      <c r="Y3809" s="726"/>
      <c r="Z3809" s="726"/>
      <c r="AA3809" s="726"/>
      <c r="AB3809" s="726"/>
      <c r="AC3809" s="726"/>
      <c r="AD3809" s="726"/>
      <c r="AE3809" s="726"/>
      <c r="AF3809" s="726"/>
      <c r="AG3809" s="726"/>
      <c r="AH3809" s="726"/>
      <c r="AI3809" s="726"/>
      <c r="AJ3809" s="726"/>
      <c r="AK3809" s="726"/>
      <c r="AL3809" s="726"/>
      <c r="AM3809" s="726"/>
      <c r="AN3809" s="726"/>
      <c r="AO3809" s="726"/>
      <c r="AP3809" s="726"/>
      <c r="AQ3809" s="726"/>
      <c r="AR3809" s="726"/>
      <c r="AS3809" s="726"/>
      <c r="AT3809" s="726"/>
      <c r="AU3809" s="726"/>
      <c r="AV3809" s="726"/>
      <c r="AW3809" s="726"/>
      <c r="AX3809" s="726"/>
      <c r="AY3809" s="726"/>
      <c r="AZ3809" s="726"/>
      <c r="BA3809" s="726"/>
      <c r="BB3809" s="726"/>
      <c r="BC3809" s="726"/>
      <c r="BD3809" s="726"/>
      <c r="BE3809" s="726"/>
      <c r="BF3809" s="726"/>
      <c r="BG3809" s="726"/>
      <c r="BH3809" s="726"/>
      <c r="BI3809" s="726"/>
      <c r="BJ3809" s="726"/>
      <c r="BK3809" s="726"/>
      <c r="BL3809" s="726"/>
    </row>
    <row r="3810" spans="1:64" ht="47.9" customHeight="1">
      <c r="A3810" s="406"/>
      <c r="B3810" s="426"/>
      <c r="C3810" s="1298" t="s">
        <v>1328</v>
      </c>
      <c r="D3810" s="1298"/>
      <c r="E3810" s="1298"/>
      <c r="F3810" s="1298"/>
      <c r="G3810" s="1298"/>
      <c r="H3810" s="1298"/>
      <c r="I3810" s="1298"/>
      <c r="J3810" s="718"/>
      <c r="K3810" s="719"/>
      <c r="L3810" s="719"/>
      <c r="M3810" s="726"/>
      <c r="N3810" s="726"/>
      <c r="O3810" s="726"/>
      <c r="P3810" s="726"/>
      <c r="Q3810" s="726"/>
      <c r="R3810" s="726"/>
      <c r="S3810" s="726"/>
      <c r="T3810" s="726"/>
      <c r="U3810" s="726"/>
      <c r="V3810" s="726"/>
      <c r="W3810" s="726"/>
      <c r="X3810" s="726"/>
      <c r="Y3810" s="726"/>
      <c r="Z3810" s="726"/>
      <c r="AA3810" s="726"/>
      <c r="AB3810" s="726"/>
      <c r="AC3810" s="726"/>
      <c r="AD3810" s="726"/>
      <c r="AE3810" s="726"/>
      <c r="AF3810" s="726"/>
      <c r="AG3810" s="726"/>
      <c r="AH3810" s="726"/>
      <c r="AI3810" s="726"/>
      <c r="AJ3810" s="726"/>
      <c r="AK3810" s="726"/>
      <c r="AL3810" s="726"/>
      <c r="AM3810" s="726"/>
      <c r="AN3810" s="726"/>
      <c r="AO3810" s="726"/>
      <c r="AP3810" s="726"/>
      <c r="AQ3810" s="726"/>
      <c r="AR3810" s="726"/>
      <c r="AS3810" s="726"/>
      <c r="AT3810" s="726"/>
      <c r="AU3810" s="726"/>
      <c r="AV3810" s="726"/>
      <c r="AW3810" s="726"/>
      <c r="AX3810" s="726"/>
      <c r="AY3810" s="726"/>
      <c r="AZ3810" s="726"/>
      <c r="BA3810" s="726"/>
      <c r="BB3810" s="726"/>
      <c r="BC3810" s="726"/>
      <c r="BD3810" s="726"/>
      <c r="BE3810" s="726"/>
      <c r="BF3810" s="726"/>
      <c r="BG3810" s="726"/>
      <c r="BH3810" s="726"/>
      <c r="BI3810" s="726"/>
      <c r="BJ3810" s="726"/>
      <c r="BK3810" s="726"/>
      <c r="BL3810" s="726"/>
    </row>
    <row r="3811" spans="1:64" ht="25">
      <c r="A3811" s="406"/>
      <c r="B3811" s="406"/>
      <c r="C3811" s="417" t="s">
        <v>1329</v>
      </c>
      <c r="D3811" s="459">
        <v>2.39</v>
      </c>
      <c r="E3811" s="458" t="s">
        <v>833</v>
      </c>
      <c r="F3811" s="459">
        <f>'[161]Civil-SOR'!$G$47</f>
        <v>434</v>
      </c>
      <c r="G3811" s="460">
        <v>1</v>
      </c>
      <c r="H3811" s="458" t="s">
        <v>312</v>
      </c>
      <c r="I3811" s="459">
        <f t="shared" ref="I3811:I3812" si="880">IF(G3811="",D3811*F3811,(D3811*F3811/G3811))</f>
        <v>1037.26</v>
      </c>
      <c r="J3811" s="718"/>
      <c r="K3811" s="719"/>
      <c r="L3811" s="719"/>
      <c r="M3811" s="726"/>
      <c r="N3811" s="726"/>
      <c r="O3811" s="726"/>
      <c r="P3811" s="726"/>
      <c r="Q3811" s="726"/>
      <c r="R3811" s="726"/>
      <c r="S3811" s="726"/>
      <c r="T3811" s="726"/>
      <c r="U3811" s="726"/>
      <c r="V3811" s="726"/>
      <c r="W3811" s="726"/>
      <c r="X3811" s="726"/>
      <c r="Y3811" s="726"/>
      <c r="Z3811" s="726"/>
      <c r="AA3811" s="726"/>
      <c r="AB3811" s="726"/>
      <c r="AC3811" s="726"/>
      <c r="AD3811" s="726"/>
      <c r="AE3811" s="726"/>
      <c r="AF3811" s="726"/>
      <c r="AG3811" s="726"/>
      <c r="AH3811" s="726"/>
      <c r="AI3811" s="726"/>
      <c r="AJ3811" s="726"/>
      <c r="AK3811" s="726"/>
      <c r="AL3811" s="726"/>
      <c r="AM3811" s="726"/>
      <c r="AN3811" s="726"/>
      <c r="AO3811" s="726"/>
      <c r="AP3811" s="726"/>
      <c r="AQ3811" s="726"/>
      <c r="AR3811" s="726"/>
      <c r="AS3811" s="726"/>
      <c r="AT3811" s="726"/>
      <c r="AU3811" s="726"/>
      <c r="AV3811" s="726"/>
      <c r="AW3811" s="726"/>
      <c r="AX3811" s="726"/>
      <c r="AY3811" s="726"/>
      <c r="AZ3811" s="726"/>
      <c r="BA3811" s="726"/>
      <c r="BB3811" s="726"/>
      <c r="BC3811" s="726"/>
      <c r="BD3811" s="726"/>
      <c r="BE3811" s="726"/>
      <c r="BF3811" s="726"/>
      <c r="BG3811" s="726"/>
      <c r="BH3811" s="726"/>
      <c r="BI3811" s="726"/>
      <c r="BJ3811" s="726"/>
      <c r="BK3811" s="726"/>
      <c r="BL3811" s="726"/>
    </row>
    <row r="3812" spans="1:64">
      <c r="A3812" s="406"/>
      <c r="B3812" s="406"/>
      <c r="C3812" s="417" t="s">
        <v>1330</v>
      </c>
      <c r="D3812" s="459">
        <f>D3811</f>
        <v>2.39</v>
      </c>
      <c r="E3812" s="458" t="s">
        <v>833</v>
      </c>
      <c r="F3812" s="459">
        <f>'[161]Civil-SOR'!$G$204</f>
        <v>188</v>
      </c>
      <c r="G3812" s="460">
        <v>1</v>
      </c>
      <c r="H3812" s="458" t="s">
        <v>312</v>
      </c>
      <c r="I3812" s="459">
        <f t="shared" si="880"/>
        <v>449.32000000000005</v>
      </c>
      <c r="J3812" s="718"/>
      <c r="K3812" s="719"/>
      <c r="L3812" s="719"/>
      <c r="M3812" s="726"/>
      <c r="N3812" s="726"/>
      <c r="O3812" s="726"/>
      <c r="P3812" s="726"/>
      <c r="Q3812" s="726"/>
      <c r="R3812" s="726"/>
      <c r="S3812" s="726"/>
      <c r="T3812" s="726"/>
      <c r="U3812" s="726"/>
      <c r="V3812" s="726"/>
      <c r="W3812" s="726"/>
      <c r="X3812" s="726"/>
      <c r="Y3812" s="726"/>
      <c r="Z3812" s="726"/>
      <c r="AA3812" s="726"/>
      <c r="AB3812" s="726"/>
      <c r="AC3812" s="726"/>
      <c r="AD3812" s="726"/>
      <c r="AE3812" s="726"/>
      <c r="AF3812" s="726"/>
      <c r="AG3812" s="726"/>
      <c r="AH3812" s="726"/>
      <c r="AI3812" s="726"/>
      <c r="AJ3812" s="726"/>
      <c r="AK3812" s="726"/>
      <c r="AL3812" s="726"/>
      <c r="AM3812" s="726"/>
      <c r="AN3812" s="726"/>
      <c r="AO3812" s="726"/>
      <c r="AP3812" s="726"/>
      <c r="AQ3812" s="726"/>
      <c r="AR3812" s="726"/>
      <c r="AS3812" s="726"/>
      <c r="AT3812" s="726"/>
      <c r="AU3812" s="726"/>
      <c r="AV3812" s="726"/>
      <c r="AW3812" s="726"/>
      <c r="AX3812" s="726"/>
      <c r="AY3812" s="726"/>
      <c r="AZ3812" s="726"/>
      <c r="BA3812" s="726"/>
      <c r="BB3812" s="726"/>
      <c r="BC3812" s="726"/>
      <c r="BD3812" s="726"/>
      <c r="BE3812" s="726"/>
      <c r="BF3812" s="726"/>
      <c r="BG3812" s="726"/>
      <c r="BH3812" s="726"/>
      <c r="BI3812" s="726"/>
      <c r="BJ3812" s="726"/>
      <c r="BK3812" s="726"/>
      <c r="BL3812" s="726"/>
    </row>
    <row r="3813" spans="1:64" ht="13">
      <c r="A3813" s="406"/>
      <c r="B3813" s="426"/>
      <c r="C3813" s="417" t="s">
        <v>1032</v>
      </c>
      <c r="D3813" s="409"/>
      <c r="E3813" s="426"/>
      <c r="F3813" s="409"/>
      <c r="G3813" s="410"/>
      <c r="H3813" s="426"/>
      <c r="I3813" s="434">
        <f>SUM(I3811:I3812)</f>
        <v>1486.58</v>
      </c>
      <c r="J3813" s="718"/>
      <c r="K3813" s="719"/>
      <c r="L3813" s="719"/>
      <c r="M3813" s="726"/>
      <c r="N3813" s="726"/>
      <c r="O3813" s="726"/>
      <c r="P3813" s="726"/>
      <c r="Q3813" s="726"/>
      <c r="R3813" s="726"/>
      <c r="S3813" s="726"/>
      <c r="T3813" s="726"/>
      <c r="U3813" s="726"/>
      <c r="V3813" s="726"/>
      <c r="W3813" s="726"/>
      <c r="X3813" s="726"/>
      <c r="Y3813" s="726"/>
      <c r="Z3813" s="726"/>
      <c r="AA3813" s="726"/>
      <c r="AB3813" s="726"/>
      <c r="AC3813" s="726"/>
      <c r="AD3813" s="726"/>
      <c r="AE3813" s="726"/>
      <c r="AF3813" s="726"/>
      <c r="AG3813" s="726"/>
      <c r="AH3813" s="726"/>
      <c r="AI3813" s="726"/>
      <c r="AJ3813" s="726"/>
      <c r="AK3813" s="726"/>
      <c r="AL3813" s="726"/>
      <c r="AM3813" s="726"/>
      <c r="AN3813" s="726"/>
      <c r="AO3813" s="726"/>
      <c r="AP3813" s="726"/>
      <c r="AQ3813" s="726"/>
      <c r="AR3813" s="726"/>
      <c r="AS3813" s="726"/>
      <c r="AT3813" s="726"/>
      <c r="AU3813" s="726"/>
      <c r="AV3813" s="726"/>
      <c r="AW3813" s="726"/>
      <c r="AX3813" s="726"/>
      <c r="AY3813" s="726"/>
      <c r="AZ3813" s="726"/>
      <c r="BA3813" s="726"/>
      <c r="BB3813" s="726"/>
      <c r="BC3813" s="726"/>
      <c r="BD3813" s="726"/>
      <c r="BE3813" s="726"/>
      <c r="BF3813" s="726"/>
      <c r="BG3813" s="726"/>
      <c r="BH3813" s="726"/>
      <c r="BI3813" s="726"/>
      <c r="BJ3813" s="726"/>
      <c r="BK3813" s="726"/>
      <c r="BL3813" s="726"/>
    </row>
    <row r="3814" spans="1:64" ht="25">
      <c r="A3814" s="406"/>
      <c r="B3814" s="426"/>
      <c r="C3814" s="445" t="str">
        <f>[161]Input!$C$48</f>
        <v>Overheads &amp; Contractors Profit @ 13.615%</v>
      </c>
      <c r="D3814" s="494">
        <f>[161]Input!$D$48</f>
        <v>0.13614999999999999</v>
      </c>
      <c r="E3814" s="426"/>
      <c r="F3814" s="409">
        <f>I3813</f>
        <v>1486.58</v>
      </c>
      <c r="G3814" s="410"/>
      <c r="H3814" s="474"/>
      <c r="I3814" s="408">
        <f>IF(G3814="",D3814*F3814,(D3814*F3814/G3814))</f>
        <v>202.39786699999999</v>
      </c>
      <c r="J3814" s="718"/>
      <c r="K3814" s="719"/>
      <c r="L3814" s="719"/>
      <c r="M3814" s="726"/>
      <c r="N3814" s="726"/>
      <c r="O3814" s="726"/>
      <c r="P3814" s="726"/>
      <c r="Q3814" s="726"/>
      <c r="R3814" s="726"/>
      <c r="S3814" s="726"/>
      <c r="T3814" s="726"/>
      <c r="U3814" s="726"/>
      <c r="V3814" s="726"/>
      <c r="W3814" s="726"/>
      <c r="X3814" s="726"/>
      <c r="Y3814" s="726"/>
      <c r="Z3814" s="726"/>
      <c r="AA3814" s="726"/>
      <c r="AB3814" s="726"/>
      <c r="AC3814" s="726"/>
      <c r="AD3814" s="726"/>
      <c r="AE3814" s="726"/>
      <c r="AF3814" s="726"/>
      <c r="AG3814" s="726"/>
      <c r="AH3814" s="726"/>
      <c r="AI3814" s="726"/>
      <c r="AJ3814" s="726"/>
      <c r="AK3814" s="726"/>
      <c r="AL3814" s="726"/>
      <c r="AM3814" s="726"/>
      <c r="AN3814" s="726"/>
      <c r="AO3814" s="726"/>
      <c r="AP3814" s="726"/>
      <c r="AQ3814" s="726"/>
      <c r="AR3814" s="726"/>
      <c r="AS3814" s="726"/>
      <c r="AT3814" s="726"/>
      <c r="AU3814" s="726"/>
      <c r="AV3814" s="726"/>
      <c r="AW3814" s="726"/>
      <c r="AX3814" s="726"/>
      <c r="AY3814" s="726"/>
      <c r="AZ3814" s="726"/>
      <c r="BA3814" s="726"/>
      <c r="BB3814" s="726"/>
      <c r="BC3814" s="726"/>
      <c r="BD3814" s="726"/>
      <c r="BE3814" s="726"/>
      <c r="BF3814" s="726"/>
      <c r="BG3814" s="726"/>
      <c r="BH3814" s="726"/>
      <c r="BI3814" s="726"/>
      <c r="BJ3814" s="726"/>
      <c r="BK3814" s="726"/>
      <c r="BL3814" s="726"/>
    </row>
    <row r="3815" spans="1:64" ht="13">
      <c r="A3815" s="406"/>
      <c r="B3815" s="426"/>
      <c r="C3815" s="451"/>
      <c r="D3815" s="409"/>
      <c r="E3815" s="426"/>
      <c r="F3815" s="409"/>
      <c r="G3815" s="410"/>
      <c r="H3815" s="474"/>
      <c r="I3815" s="434">
        <f>SUM(I3813:I3814)</f>
        <v>1688.9778669999998</v>
      </c>
      <c r="J3815" s="718"/>
      <c r="K3815" s="719"/>
      <c r="L3815" s="719"/>
      <c r="M3815" s="726"/>
      <c r="N3815" s="726"/>
      <c r="O3815" s="726"/>
      <c r="P3815" s="726"/>
      <c r="Q3815" s="726"/>
      <c r="R3815" s="726"/>
      <c r="S3815" s="726"/>
      <c r="T3815" s="726"/>
      <c r="U3815" s="726"/>
      <c r="V3815" s="726"/>
      <c r="W3815" s="726"/>
      <c r="X3815" s="726"/>
      <c r="Y3815" s="726"/>
      <c r="Z3815" s="726"/>
      <c r="AA3815" s="726"/>
      <c r="AB3815" s="726"/>
      <c r="AC3815" s="726"/>
      <c r="AD3815" s="726"/>
      <c r="AE3815" s="726"/>
      <c r="AF3815" s="726"/>
      <c r="AG3815" s="726"/>
      <c r="AH3815" s="726"/>
      <c r="AI3815" s="726"/>
      <c r="AJ3815" s="726"/>
      <c r="AK3815" s="726"/>
      <c r="AL3815" s="726"/>
      <c r="AM3815" s="726"/>
      <c r="AN3815" s="726"/>
      <c r="AO3815" s="726"/>
      <c r="AP3815" s="726"/>
      <c r="AQ3815" s="726"/>
      <c r="AR3815" s="726"/>
      <c r="AS3815" s="726"/>
      <c r="AT3815" s="726"/>
      <c r="AU3815" s="726"/>
      <c r="AV3815" s="726"/>
      <c r="AW3815" s="726"/>
      <c r="AX3815" s="726"/>
      <c r="AY3815" s="726"/>
      <c r="AZ3815" s="726"/>
      <c r="BA3815" s="726"/>
      <c r="BB3815" s="726"/>
      <c r="BC3815" s="726"/>
      <c r="BD3815" s="726"/>
      <c r="BE3815" s="726"/>
      <c r="BF3815" s="726"/>
      <c r="BG3815" s="726"/>
      <c r="BH3815" s="726"/>
      <c r="BI3815" s="726"/>
      <c r="BJ3815" s="726"/>
      <c r="BK3815" s="726"/>
      <c r="BL3815" s="726"/>
    </row>
    <row r="3816" spans="1:64" ht="13">
      <c r="A3816" s="406"/>
      <c r="B3816" s="426"/>
      <c r="C3816" s="451"/>
      <c r="D3816" s="409"/>
      <c r="E3816" s="426"/>
      <c r="F3816" s="409"/>
      <c r="G3816" s="410"/>
      <c r="H3816" s="474" t="s">
        <v>1322</v>
      </c>
      <c r="I3816" s="414">
        <f>ROUND(I3815,0)</f>
        <v>1689</v>
      </c>
      <c r="J3816" s="718"/>
      <c r="K3816" s="719"/>
      <c r="L3816" s="719"/>
      <c r="M3816" s="726"/>
      <c r="N3816" s="726"/>
      <c r="O3816" s="726"/>
      <c r="P3816" s="726"/>
      <c r="Q3816" s="726"/>
      <c r="R3816" s="726"/>
      <c r="S3816" s="726"/>
      <c r="T3816" s="726"/>
      <c r="U3816" s="726"/>
      <c r="V3816" s="726"/>
      <c r="W3816" s="726"/>
      <c r="X3816" s="726"/>
      <c r="Y3816" s="726"/>
      <c r="Z3816" s="726"/>
      <c r="AA3816" s="726"/>
      <c r="AB3816" s="726"/>
      <c r="AC3816" s="726"/>
      <c r="AD3816" s="726"/>
      <c r="AE3816" s="726"/>
      <c r="AF3816" s="726"/>
      <c r="AG3816" s="726"/>
      <c r="AH3816" s="726"/>
      <c r="AI3816" s="726"/>
      <c r="AJ3816" s="726"/>
      <c r="AK3816" s="726"/>
      <c r="AL3816" s="726"/>
      <c r="AM3816" s="726"/>
      <c r="AN3816" s="726"/>
      <c r="AO3816" s="726"/>
      <c r="AP3816" s="726"/>
      <c r="AQ3816" s="726"/>
      <c r="AR3816" s="726"/>
      <c r="AS3816" s="726"/>
      <c r="AT3816" s="726"/>
      <c r="AU3816" s="726"/>
      <c r="AV3816" s="726"/>
      <c r="AW3816" s="726"/>
      <c r="AX3816" s="726"/>
      <c r="AY3816" s="726"/>
      <c r="AZ3816" s="726"/>
      <c r="BA3816" s="726"/>
      <c r="BB3816" s="726"/>
      <c r="BC3816" s="726"/>
      <c r="BD3816" s="726"/>
      <c r="BE3816" s="726"/>
      <c r="BF3816" s="726"/>
      <c r="BG3816" s="726"/>
      <c r="BH3816" s="726"/>
      <c r="BI3816" s="726"/>
      <c r="BJ3816" s="726"/>
      <c r="BK3816" s="726"/>
      <c r="BL3816" s="726"/>
    </row>
    <row r="3817" spans="1:64" ht="58.9" customHeight="1">
      <c r="A3817" s="1277">
        <f>1+A3792</f>
        <v>17</v>
      </c>
      <c r="B3817" s="1277"/>
      <c r="C3817" s="1299" t="s">
        <v>1331</v>
      </c>
      <c r="D3817" s="1299"/>
      <c r="E3817" s="1299"/>
      <c r="F3817" s="1299"/>
      <c r="G3817" s="1299"/>
      <c r="H3817" s="1299"/>
      <c r="I3817" s="1299"/>
      <c r="J3817" s="718"/>
      <c r="K3817" s="719"/>
      <c r="L3817" s="719"/>
      <c r="M3817" s="726"/>
      <c r="N3817" s="726"/>
      <c r="O3817" s="726"/>
      <c r="P3817" s="726"/>
      <c r="Q3817" s="726"/>
      <c r="R3817" s="726"/>
      <c r="S3817" s="726"/>
      <c r="T3817" s="726"/>
      <c r="U3817" s="726"/>
      <c r="V3817" s="726"/>
      <c r="W3817" s="726"/>
      <c r="X3817" s="726"/>
      <c r="Y3817" s="726"/>
      <c r="Z3817" s="726"/>
      <c r="AA3817" s="726"/>
      <c r="AB3817" s="726"/>
      <c r="AC3817" s="726"/>
      <c r="AD3817" s="726"/>
      <c r="AE3817" s="726"/>
      <c r="AF3817" s="726"/>
      <c r="AG3817" s="726"/>
      <c r="AH3817" s="726"/>
      <c r="AI3817" s="726"/>
      <c r="AJ3817" s="726"/>
      <c r="AK3817" s="726"/>
      <c r="AL3817" s="726"/>
      <c r="AM3817" s="726"/>
      <c r="AN3817" s="726"/>
      <c r="AO3817" s="726"/>
      <c r="AP3817" s="726"/>
      <c r="AQ3817" s="726"/>
      <c r="AR3817" s="726"/>
      <c r="AS3817" s="726"/>
      <c r="AT3817" s="726"/>
      <c r="AU3817" s="726"/>
      <c r="AV3817" s="726"/>
      <c r="AW3817" s="726"/>
      <c r="AX3817" s="726"/>
      <c r="AY3817" s="726"/>
      <c r="AZ3817" s="726"/>
      <c r="BA3817" s="726"/>
      <c r="BB3817" s="726"/>
      <c r="BC3817" s="726"/>
      <c r="BD3817" s="726"/>
      <c r="BE3817" s="726"/>
      <c r="BF3817" s="726"/>
      <c r="BG3817" s="726"/>
      <c r="BH3817" s="726"/>
      <c r="BI3817" s="726"/>
      <c r="BJ3817" s="726"/>
      <c r="BK3817" s="726"/>
      <c r="BL3817" s="726"/>
    </row>
    <row r="3818" spans="1:64">
      <c r="A3818" s="406"/>
      <c r="B3818" s="426"/>
      <c r="C3818" s="483" t="s">
        <v>1332</v>
      </c>
      <c r="D3818" s="408">
        <v>6</v>
      </c>
      <c r="E3818" s="454" t="s">
        <v>1052</v>
      </c>
      <c r="F3818" s="408">
        <f>'[161]Civil-SOR'!$G$324</f>
        <v>227</v>
      </c>
      <c r="G3818" s="430">
        <f>'[161]Civil-SOR'!$H$324</f>
        <v>1</v>
      </c>
      <c r="H3818" s="456" t="str">
        <f t="shared" ref="H3818:H3820" si="881">IF(E3818="","",IF(E3818="No.","Each",IF(E3818="Nos.","Each",E3818)))</f>
        <v>RM</v>
      </c>
      <c r="I3818" s="408">
        <f t="shared" ref="I3818:I3820" si="882">IF(G3818="",D3818*F3818,(D3818*F3818/G3818))</f>
        <v>1362</v>
      </c>
      <c r="J3818" s="718"/>
      <c r="K3818" s="719"/>
      <c r="L3818" s="719"/>
      <c r="M3818" s="726"/>
      <c r="N3818" s="726"/>
      <c r="O3818" s="726"/>
      <c r="P3818" s="726"/>
      <c r="Q3818" s="726"/>
      <c r="R3818" s="726"/>
      <c r="S3818" s="726"/>
      <c r="T3818" s="726"/>
      <c r="U3818" s="726"/>
      <c r="V3818" s="726"/>
      <c r="W3818" s="726"/>
      <c r="X3818" s="726"/>
      <c r="Y3818" s="726"/>
      <c r="Z3818" s="726"/>
      <c r="AA3818" s="726"/>
      <c r="AB3818" s="726"/>
      <c r="AC3818" s="726"/>
      <c r="AD3818" s="726"/>
      <c r="AE3818" s="726"/>
      <c r="AF3818" s="726"/>
      <c r="AG3818" s="726"/>
      <c r="AH3818" s="726"/>
      <c r="AI3818" s="726"/>
      <c r="AJ3818" s="726"/>
      <c r="AK3818" s="726"/>
      <c r="AL3818" s="726"/>
      <c r="AM3818" s="726"/>
      <c r="AN3818" s="726"/>
      <c r="AO3818" s="726"/>
      <c r="AP3818" s="726"/>
      <c r="AQ3818" s="726"/>
      <c r="AR3818" s="726"/>
      <c r="AS3818" s="726"/>
      <c r="AT3818" s="726"/>
      <c r="AU3818" s="726"/>
      <c r="AV3818" s="726"/>
      <c r="AW3818" s="726"/>
      <c r="AX3818" s="726"/>
      <c r="AY3818" s="726"/>
      <c r="AZ3818" s="726"/>
      <c r="BA3818" s="726"/>
      <c r="BB3818" s="726"/>
      <c r="BC3818" s="726"/>
      <c r="BD3818" s="726"/>
      <c r="BE3818" s="726"/>
      <c r="BF3818" s="726"/>
      <c r="BG3818" s="726"/>
      <c r="BH3818" s="726"/>
      <c r="BI3818" s="726"/>
      <c r="BJ3818" s="726"/>
      <c r="BK3818" s="726"/>
      <c r="BL3818" s="726"/>
    </row>
    <row r="3819" spans="1:64">
      <c r="A3819" s="406"/>
      <c r="B3819" s="426"/>
      <c r="C3819" s="483" t="s">
        <v>1333</v>
      </c>
      <c r="D3819" s="430">
        <v>3</v>
      </c>
      <c r="E3819" s="454" t="s">
        <v>375</v>
      </c>
      <c r="F3819" s="408">
        <f>'[161]Civil-SOR'!$G$283</f>
        <v>21</v>
      </c>
      <c r="G3819" s="430">
        <v>1</v>
      </c>
      <c r="H3819" s="456" t="str">
        <f t="shared" si="881"/>
        <v>Each</v>
      </c>
      <c r="I3819" s="408">
        <f t="shared" si="882"/>
        <v>63</v>
      </c>
      <c r="J3819" s="718"/>
      <c r="K3819" s="719"/>
      <c r="L3819" s="719"/>
      <c r="M3819" s="726"/>
      <c r="N3819" s="726"/>
      <c r="O3819" s="726"/>
      <c r="P3819" s="726"/>
      <c r="Q3819" s="726"/>
      <c r="R3819" s="726"/>
      <c r="S3819" s="726"/>
      <c r="T3819" s="726"/>
      <c r="U3819" s="726"/>
      <c r="V3819" s="726"/>
      <c r="W3819" s="726"/>
      <c r="X3819" s="726"/>
      <c r="Y3819" s="726"/>
      <c r="Z3819" s="726"/>
      <c r="AA3819" s="726"/>
      <c r="AB3819" s="726"/>
      <c r="AC3819" s="726"/>
      <c r="AD3819" s="726"/>
      <c r="AE3819" s="726"/>
      <c r="AF3819" s="726"/>
      <c r="AG3819" s="726"/>
      <c r="AH3819" s="726"/>
      <c r="AI3819" s="726"/>
      <c r="AJ3819" s="726"/>
      <c r="AK3819" s="726"/>
      <c r="AL3819" s="726"/>
      <c r="AM3819" s="726"/>
      <c r="AN3819" s="726"/>
      <c r="AO3819" s="726"/>
      <c r="AP3819" s="726"/>
      <c r="AQ3819" s="726"/>
      <c r="AR3819" s="726"/>
      <c r="AS3819" s="726"/>
      <c r="AT3819" s="726"/>
      <c r="AU3819" s="726"/>
      <c r="AV3819" s="726"/>
      <c r="AW3819" s="726"/>
      <c r="AX3819" s="726"/>
      <c r="AY3819" s="726"/>
      <c r="AZ3819" s="726"/>
      <c r="BA3819" s="726"/>
      <c r="BB3819" s="726"/>
      <c r="BC3819" s="726"/>
      <c r="BD3819" s="726"/>
      <c r="BE3819" s="726"/>
      <c r="BF3819" s="726"/>
      <c r="BG3819" s="726"/>
      <c r="BH3819" s="726"/>
      <c r="BI3819" s="726"/>
      <c r="BJ3819" s="726"/>
      <c r="BK3819" s="726"/>
      <c r="BL3819" s="726"/>
    </row>
    <row r="3820" spans="1:64">
      <c r="A3820" s="406"/>
      <c r="B3820" s="426"/>
      <c r="C3820" s="483" t="s">
        <v>1334</v>
      </c>
      <c r="D3820" s="408">
        <v>6</v>
      </c>
      <c r="E3820" s="454" t="s">
        <v>1052</v>
      </c>
      <c r="F3820" s="408">
        <f>'[161]WS-SOR'!$H$83</f>
        <v>99</v>
      </c>
      <c r="G3820" s="430">
        <v>1</v>
      </c>
      <c r="H3820" s="456" t="str">
        <f t="shared" si="881"/>
        <v>RM</v>
      </c>
      <c r="I3820" s="408">
        <f t="shared" si="882"/>
        <v>594</v>
      </c>
      <c r="J3820" s="718"/>
      <c r="K3820" s="719"/>
      <c r="L3820" s="719"/>
      <c r="M3820" s="726"/>
      <c r="N3820" s="726"/>
      <c r="O3820" s="726"/>
      <c r="P3820" s="726"/>
      <c r="Q3820" s="726"/>
      <c r="R3820" s="726"/>
      <c r="S3820" s="726"/>
      <c r="T3820" s="726"/>
      <c r="U3820" s="726"/>
      <c r="V3820" s="726"/>
      <c r="W3820" s="726"/>
      <c r="X3820" s="726"/>
      <c r="Y3820" s="726"/>
      <c r="Z3820" s="726"/>
      <c r="AA3820" s="726"/>
      <c r="AB3820" s="726"/>
      <c r="AC3820" s="726"/>
      <c r="AD3820" s="726"/>
      <c r="AE3820" s="726"/>
      <c r="AF3820" s="726"/>
      <c r="AG3820" s="726"/>
      <c r="AH3820" s="726"/>
      <c r="AI3820" s="726"/>
      <c r="AJ3820" s="726"/>
      <c r="AK3820" s="726"/>
      <c r="AL3820" s="726"/>
      <c r="AM3820" s="726"/>
      <c r="AN3820" s="726"/>
      <c r="AO3820" s="726"/>
      <c r="AP3820" s="726"/>
      <c r="AQ3820" s="726"/>
      <c r="AR3820" s="726"/>
      <c r="AS3820" s="726"/>
      <c r="AT3820" s="726"/>
      <c r="AU3820" s="726"/>
      <c r="AV3820" s="726"/>
      <c r="AW3820" s="726"/>
      <c r="AX3820" s="726"/>
      <c r="AY3820" s="726"/>
      <c r="AZ3820" s="726"/>
      <c r="BA3820" s="726"/>
      <c r="BB3820" s="726"/>
      <c r="BC3820" s="726"/>
      <c r="BD3820" s="726"/>
      <c r="BE3820" s="726"/>
      <c r="BF3820" s="726"/>
      <c r="BG3820" s="726"/>
      <c r="BH3820" s="726"/>
      <c r="BI3820" s="726"/>
      <c r="BJ3820" s="726"/>
      <c r="BK3820" s="726"/>
      <c r="BL3820" s="726"/>
    </row>
    <row r="3821" spans="1:64" ht="13">
      <c r="A3821" s="406"/>
      <c r="B3821" s="426"/>
      <c r="C3821" s="433" t="s">
        <v>1335</v>
      </c>
      <c r="D3821" s="408"/>
      <c r="E3821" s="454"/>
      <c r="F3821" s="408"/>
      <c r="G3821" s="430"/>
      <c r="H3821" s="456"/>
      <c r="I3821" s="414">
        <f>SUM(I3818:I3820)</f>
        <v>2019</v>
      </c>
      <c r="J3821" s="718"/>
      <c r="K3821" s="719"/>
      <c r="L3821" s="719"/>
      <c r="M3821" s="726"/>
      <c r="N3821" s="726"/>
      <c r="O3821" s="726"/>
      <c r="P3821" s="726"/>
      <c r="Q3821" s="726"/>
      <c r="R3821" s="726"/>
      <c r="S3821" s="726"/>
      <c r="T3821" s="726"/>
      <c r="U3821" s="726"/>
      <c r="V3821" s="726"/>
      <c r="W3821" s="726"/>
      <c r="X3821" s="726"/>
      <c r="Y3821" s="726"/>
      <c r="Z3821" s="726"/>
      <c r="AA3821" s="726"/>
      <c r="AB3821" s="726"/>
      <c r="AC3821" s="726"/>
      <c r="AD3821" s="726"/>
      <c r="AE3821" s="726"/>
      <c r="AF3821" s="726"/>
      <c r="AG3821" s="726"/>
      <c r="AH3821" s="726"/>
      <c r="AI3821" s="726"/>
      <c r="AJ3821" s="726"/>
      <c r="AK3821" s="726"/>
      <c r="AL3821" s="726"/>
      <c r="AM3821" s="726"/>
      <c r="AN3821" s="726"/>
      <c r="AO3821" s="726"/>
      <c r="AP3821" s="726"/>
      <c r="AQ3821" s="726"/>
      <c r="AR3821" s="726"/>
      <c r="AS3821" s="726"/>
      <c r="AT3821" s="726"/>
      <c r="AU3821" s="726"/>
      <c r="AV3821" s="726"/>
      <c r="AW3821" s="726"/>
      <c r="AX3821" s="726"/>
      <c r="AY3821" s="726"/>
      <c r="AZ3821" s="726"/>
      <c r="BA3821" s="726"/>
      <c r="BB3821" s="726"/>
      <c r="BC3821" s="726"/>
      <c r="BD3821" s="726"/>
      <c r="BE3821" s="726"/>
      <c r="BF3821" s="726"/>
      <c r="BG3821" s="726"/>
      <c r="BH3821" s="726"/>
      <c r="BI3821" s="726"/>
      <c r="BJ3821" s="726"/>
      <c r="BK3821" s="726"/>
      <c r="BL3821" s="726"/>
    </row>
    <row r="3822" spans="1:64" ht="13">
      <c r="A3822" s="406"/>
      <c r="B3822" s="426"/>
      <c r="C3822" s="417"/>
      <c r="D3822" s="408"/>
      <c r="E3822" s="454"/>
      <c r="F3822" s="408"/>
      <c r="G3822" s="430"/>
      <c r="H3822" s="456"/>
      <c r="I3822" s="414">
        <f>I3821/D3818</f>
        <v>336.5</v>
      </c>
      <c r="J3822" s="718"/>
      <c r="K3822" s="719"/>
      <c r="L3822" s="719"/>
      <c r="M3822" s="726"/>
      <c r="N3822" s="726"/>
      <c r="O3822" s="726"/>
      <c r="P3822" s="726"/>
      <c r="Q3822" s="726"/>
      <c r="R3822" s="726"/>
      <c r="S3822" s="726"/>
      <c r="T3822" s="726"/>
      <c r="U3822" s="726"/>
      <c r="V3822" s="726"/>
      <c r="W3822" s="726"/>
      <c r="X3822" s="726"/>
      <c r="Y3822" s="726"/>
      <c r="Z3822" s="726"/>
      <c r="AA3822" s="726"/>
      <c r="AB3822" s="726"/>
      <c r="AC3822" s="726"/>
      <c r="AD3822" s="726"/>
      <c r="AE3822" s="726"/>
      <c r="AF3822" s="726"/>
      <c r="AG3822" s="726"/>
      <c r="AH3822" s="726"/>
      <c r="AI3822" s="726"/>
      <c r="AJ3822" s="726"/>
      <c r="AK3822" s="726"/>
      <c r="AL3822" s="726"/>
      <c r="AM3822" s="726"/>
      <c r="AN3822" s="726"/>
      <c r="AO3822" s="726"/>
      <c r="AP3822" s="726"/>
      <c r="AQ3822" s="726"/>
      <c r="AR3822" s="726"/>
      <c r="AS3822" s="726"/>
      <c r="AT3822" s="726"/>
      <c r="AU3822" s="726"/>
      <c r="AV3822" s="726"/>
      <c r="AW3822" s="726"/>
      <c r="AX3822" s="726"/>
      <c r="AY3822" s="726"/>
      <c r="AZ3822" s="726"/>
      <c r="BA3822" s="726"/>
      <c r="BB3822" s="726"/>
      <c r="BC3822" s="726"/>
      <c r="BD3822" s="726"/>
      <c r="BE3822" s="726"/>
      <c r="BF3822" s="726"/>
      <c r="BG3822" s="726"/>
      <c r="BH3822" s="726"/>
      <c r="BI3822" s="726"/>
      <c r="BJ3822" s="726"/>
      <c r="BK3822" s="726"/>
      <c r="BL3822" s="726"/>
    </row>
    <row r="3823" spans="1:64" ht="25">
      <c r="A3823" s="406"/>
      <c r="B3823" s="426"/>
      <c r="C3823" s="417" t="str">
        <f>[161]Input!$C$48</f>
        <v>Overheads &amp; Contractors Profit @ 13.615%</v>
      </c>
      <c r="D3823" s="467">
        <f>[161]Input!$D$48</f>
        <v>0.13614999999999999</v>
      </c>
      <c r="E3823" s="408"/>
      <c r="F3823" s="408">
        <f>I3822</f>
        <v>336.5</v>
      </c>
      <c r="G3823" s="430"/>
      <c r="H3823" s="426"/>
      <c r="I3823" s="408">
        <f>IF(G3823="",D3823*F3823,(D3823*F3823/G3823))</f>
        <v>45.814474999999995</v>
      </c>
      <c r="J3823" s="718"/>
      <c r="K3823" s="719"/>
      <c r="L3823" s="719"/>
      <c r="M3823" s="726"/>
      <c r="N3823" s="726"/>
      <c r="O3823" s="726"/>
      <c r="P3823" s="726"/>
      <c r="Q3823" s="726"/>
      <c r="R3823" s="726"/>
      <c r="S3823" s="726"/>
      <c r="T3823" s="726"/>
      <c r="U3823" s="726"/>
      <c r="V3823" s="726"/>
      <c r="W3823" s="726"/>
      <c r="X3823" s="726"/>
      <c r="Y3823" s="726"/>
      <c r="Z3823" s="726"/>
      <c r="AA3823" s="726"/>
      <c r="AB3823" s="726"/>
      <c r="AC3823" s="726"/>
      <c r="AD3823" s="726"/>
      <c r="AE3823" s="726"/>
      <c r="AF3823" s="726"/>
      <c r="AG3823" s="726"/>
      <c r="AH3823" s="726"/>
      <c r="AI3823" s="726"/>
      <c r="AJ3823" s="726"/>
      <c r="AK3823" s="726"/>
      <c r="AL3823" s="726"/>
      <c r="AM3823" s="726"/>
      <c r="AN3823" s="726"/>
      <c r="AO3823" s="726"/>
      <c r="AP3823" s="726"/>
      <c r="AQ3823" s="726"/>
      <c r="AR3823" s="726"/>
      <c r="AS3823" s="726"/>
      <c r="AT3823" s="726"/>
      <c r="AU3823" s="726"/>
      <c r="AV3823" s="726"/>
      <c r="AW3823" s="726"/>
      <c r="AX3823" s="726"/>
      <c r="AY3823" s="726"/>
      <c r="AZ3823" s="726"/>
      <c r="BA3823" s="726"/>
      <c r="BB3823" s="726"/>
      <c r="BC3823" s="726"/>
      <c r="BD3823" s="726"/>
      <c r="BE3823" s="726"/>
      <c r="BF3823" s="726"/>
      <c r="BG3823" s="726"/>
      <c r="BH3823" s="726"/>
      <c r="BI3823" s="726"/>
      <c r="BJ3823" s="726"/>
      <c r="BK3823" s="726"/>
      <c r="BL3823" s="726"/>
    </row>
    <row r="3824" spans="1:64" ht="13">
      <c r="A3824" s="406"/>
      <c r="B3824" s="426"/>
      <c r="C3824" s="427" t="s">
        <v>1032</v>
      </c>
      <c r="D3824" s="408"/>
      <c r="E3824" s="454"/>
      <c r="F3824" s="408"/>
      <c r="G3824" s="430"/>
      <c r="H3824" s="406"/>
      <c r="I3824" s="408">
        <f>SUM(I3822:I3823)</f>
        <v>382.31447500000002</v>
      </c>
      <c r="J3824" s="718"/>
      <c r="K3824" s="719"/>
      <c r="L3824" s="719"/>
      <c r="M3824" s="726"/>
      <c r="N3824" s="726"/>
      <c r="O3824" s="726"/>
      <c r="P3824" s="726"/>
      <c r="Q3824" s="726"/>
      <c r="R3824" s="726"/>
      <c r="S3824" s="726"/>
      <c r="T3824" s="726"/>
      <c r="U3824" s="726"/>
      <c r="V3824" s="726"/>
      <c r="W3824" s="726"/>
      <c r="X3824" s="726"/>
      <c r="Y3824" s="726"/>
      <c r="Z3824" s="726"/>
      <c r="AA3824" s="726"/>
      <c r="AB3824" s="726"/>
      <c r="AC3824" s="726"/>
      <c r="AD3824" s="726"/>
      <c r="AE3824" s="726"/>
      <c r="AF3824" s="726"/>
      <c r="AG3824" s="726"/>
      <c r="AH3824" s="726"/>
      <c r="AI3824" s="726"/>
      <c r="AJ3824" s="726"/>
      <c r="AK3824" s="726"/>
      <c r="AL3824" s="726"/>
      <c r="AM3824" s="726"/>
      <c r="AN3824" s="726"/>
      <c r="AO3824" s="726"/>
      <c r="AP3824" s="726"/>
      <c r="AQ3824" s="726"/>
      <c r="AR3824" s="726"/>
      <c r="AS3824" s="726"/>
      <c r="AT3824" s="726"/>
      <c r="AU3824" s="726"/>
      <c r="AV3824" s="726"/>
      <c r="AW3824" s="726"/>
      <c r="AX3824" s="726"/>
      <c r="AY3824" s="726"/>
      <c r="AZ3824" s="726"/>
      <c r="BA3824" s="726"/>
      <c r="BB3824" s="726"/>
      <c r="BC3824" s="726"/>
      <c r="BD3824" s="726"/>
      <c r="BE3824" s="726"/>
      <c r="BF3824" s="726"/>
      <c r="BG3824" s="726"/>
      <c r="BH3824" s="726"/>
      <c r="BI3824" s="726"/>
      <c r="BJ3824" s="726"/>
      <c r="BK3824" s="726"/>
      <c r="BL3824" s="726"/>
    </row>
    <row r="3825" spans="1:64" ht="13">
      <c r="A3825" s="406"/>
      <c r="B3825" s="426"/>
      <c r="C3825" s="427"/>
      <c r="D3825" s="408"/>
      <c r="E3825" s="454"/>
      <c r="F3825" s="408"/>
      <c r="G3825" s="430"/>
      <c r="H3825" s="415" t="s">
        <v>774</v>
      </c>
      <c r="I3825" s="414">
        <f>ROUND(I3824,0)</f>
        <v>382</v>
      </c>
      <c r="J3825" s="718"/>
      <c r="K3825" s="719"/>
      <c r="L3825" s="719"/>
      <c r="M3825" s="726"/>
      <c r="N3825" s="726"/>
      <c r="O3825" s="726"/>
      <c r="P3825" s="726"/>
      <c r="Q3825" s="726"/>
      <c r="R3825" s="726"/>
      <c r="S3825" s="726"/>
      <c r="T3825" s="726"/>
      <c r="U3825" s="726"/>
      <c r="V3825" s="726"/>
      <c r="W3825" s="726"/>
      <c r="X3825" s="726"/>
      <c r="Y3825" s="726"/>
      <c r="Z3825" s="726"/>
      <c r="AA3825" s="726"/>
      <c r="AB3825" s="726"/>
      <c r="AC3825" s="726"/>
      <c r="AD3825" s="726"/>
      <c r="AE3825" s="726"/>
      <c r="AF3825" s="726"/>
      <c r="AG3825" s="726"/>
      <c r="AH3825" s="726"/>
      <c r="AI3825" s="726"/>
      <c r="AJ3825" s="726"/>
      <c r="AK3825" s="726"/>
      <c r="AL3825" s="726"/>
      <c r="AM3825" s="726"/>
      <c r="AN3825" s="726"/>
      <c r="AO3825" s="726"/>
      <c r="AP3825" s="726"/>
      <c r="AQ3825" s="726"/>
      <c r="AR3825" s="726"/>
      <c r="AS3825" s="726"/>
      <c r="AT3825" s="726"/>
      <c r="AU3825" s="726"/>
      <c r="AV3825" s="726"/>
      <c r="AW3825" s="726"/>
      <c r="AX3825" s="726"/>
      <c r="AY3825" s="726"/>
      <c r="AZ3825" s="726"/>
      <c r="BA3825" s="726"/>
      <c r="BB3825" s="726"/>
      <c r="BC3825" s="726"/>
      <c r="BD3825" s="726"/>
      <c r="BE3825" s="726"/>
      <c r="BF3825" s="726"/>
      <c r="BG3825" s="726"/>
      <c r="BH3825" s="726"/>
      <c r="BI3825" s="726"/>
      <c r="BJ3825" s="726"/>
      <c r="BK3825" s="726"/>
      <c r="BL3825" s="726"/>
    </row>
    <row r="3826" spans="1:64" ht="13">
      <c r="A3826" s="406"/>
      <c r="B3826" s="426"/>
      <c r="C3826" s="427"/>
      <c r="D3826" s="408"/>
      <c r="E3826" s="454"/>
      <c r="F3826" s="408"/>
      <c r="G3826" s="430"/>
      <c r="H3826" s="415"/>
      <c r="I3826" s="414"/>
      <c r="J3826" s="718"/>
      <c r="K3826" s="719"/>
      <c r="L3826" s="719"/>
      <c r="M3826" s="720"/>
      <c r="N3826" s="720"/>
      <c r="O3826" s="720"/>
      <c r="P3826" s="720"/>
      <c r="Q3826" s="720"/>
      <c r="R3826" s="720"/>
      <c r="S3826" s="720"/>
      <c r="T3826" s="720"/>
      <c r="U3826" s="720"/>
      <c r="V3826" s="720"/>
      <c r="W3826" s="720"/>
      <c r="X3826" s="720"/>
      <c r="Y3826" s="720"/>
      <c r="Z3826" s="720"/>
      <c r="AA3826" s="720"/>
      <c r="AB3826" s="720"/>
      <c r="AC3826" s="720"/>
      <c r="AD3826" s="720"/>
      <c r="AE3826" s="720"/>
      <c r="AF3826" s="720"/>
      <c r="AG3826" s="720"/>
      <c r="AH3826" s="720"/>
      <c r="AI3826" s="720"/>
      <c r="AJ3826" s="720"/>
      <c r="AK3826" s="720"/>
      <c r="AL3826" s="720"/>
      <c r="AM3826" s="720"/>
      <c r="AN3826" s="720"/>
      <c r="AO3826" s="720"/>
      <c r="AP3826" s="720"/>
      <c r="AQ3826" s="720"/>
      <c r="AR3826" s="720"/>
      <c r="AS3826" s="720"/>
      <c r="AT3826" s="720"/>
      <c r="AU3826" s="720"/>
      <c r="AV3826" s="720"/>
      <c r="AW3826" s="720"/>
      <c r="AX3826" s="720"/>
      <c r="AY3826" s="720"/>
      <c r="AZ3826" s="720"/>
      <c r="BA3826" s="720"/>
      <c r="BB3826" s="720"/>
      <c r="BC3826" s="720"/>
      <c r="BD3826" s="720"/>
      <c r="BE3826" s="720"/>
      <c r="BF3826" s="720"/>
      <c r="BG3826" s="720"/>
      <c r="BH3826" s="720"/>
      <c r="BI3826" s="720"/>
      <c r="BJ3826" s="720"/>
      <c r="BK3826" s="720"/>
      <c r="BL3826" s="720"/>
    </row>
    <row r="3827" spans="1:64" ht="13">
      <c r="A3827" s="406"/>
      <c r="B3827" s="426"/>
      <c r="C3827" s="427"/>
      <c r="D3827" s="408"/>
      <c r="E3827" s="454"/>
      <c r="F3827" s="408"/>
      <c r="G3827" s="430"/>
      <c r="H3827" s="415"/>
      <c r="I3827" s="414"/>
      <c r="J3827" s="718"/>
      <c r="K3827" s="719"/>
      <c r="L3827" s="719"/>
      <c r="M3827" s="720"/>
      <c r="N3827" s="720"/>
      <c r="O3827" s="720"/>
      <c r="P3827" s="720"/>
      <c r="Q3827" s="720"/>
      <c r="R3827" s="720"/>
      <c r="S3827" s="720"/>
      <c r="T3827" s="720"/>
      <c r="U3827" s="720"/>
      <c r="V3827" s="720"/>
      <c r="W3827" s="720"/>
      <c r="X3827" s="720"/>
      <c r="Y3827" s="720"/>
      <c r="Z3827" s="720"/>
      <c r="AA3827" s="720"/>
      <c r="AB3827" s="720"/>
      <c r="AC3827" s="720"/>
      <c r="AD3827" s="720"/>
      <c r="AE3827" s="720"/>
      <c r="AF3827" s="720"/>
      <c r="AG3827" s="720"/>
      <c r="AH3827" s="720"/>
      <c r="AI3827" s="720"/>
      <c r="AJ3827" s="720"/>
      <c r="AK3827" s="720"/>
      <c r="AL3827" s="720"/>
      <c r="AM3827" s="720"/>
      <c r="AN3827" s="720"/>
      <c r="AO3827" s="720"/>
      <c r="AP3827" s="720"/>
      <c r="AQ3827" s="720"/>
      <c r="AR3827" s="720"/>
      <c r="AS3827" s="720"/>
      <c r="AT3827" s="720"/>
      <c r="AU3827" s="720"/>
      <c r="AV3827" s="720"/>
      <c r="AW3827" s="720"/>
      <c r="AX3827" s="720"/>
      <c r="AY3827" s="720"/>
      <c r="AZ3827" s="720"/>
      <c r="BA3827" s="720"/>
      <c r="BB3827" s="720"/>
      <c r="BC3827" s="720"/>
      <c r="BD3827" s="720"/>
      <c r="BE3827" s="720"/>
      <c r="BF3827" s="720"/>
      <c r="BG3827" s="720"/>
      <c r="BH3827" s="720"/>
      <c r="BI3827" s="720"/>
      <c r="BJ3827" s="720"/>
      <c r="BK3827" s="720"/>
      <c r="BL3827" s="720"/>
    </row>
    <row r="3828" spans="1:64" ht="58.9" customHeight="1">
      <c r="A3828" s="406"/>
      <c r="B3828" s="426"/>
      <c r="C3828" s="1291" t="s">
        <v>1336</v>
      </c>
      <c r="D3828" s="1291"/>
      <c r="E3828" s="1291"/>
      <c r="F3828" s="1291"/>
      <c r="G3828" s="1291"/>
      <c r="H3828" s="1291"/>
      <c r="I3828" s="1291"/>
      <c r="J3828" s="718"/>
      <c r="K3828" s="719"/>
      <c r="L3828" s="719"/>
      <c r="M3828" s="720"/>
      <c r="N3828" s="720"/>
      <c r="O3828" s="720"/>
      <c r="P3828" s="720"/>
      <c r="Q3828" s="720"/>
      <c r="R3828" s="720"/>
      <c r="S3828" s="720"/>
      <c r="T3828" s="720"/>
      <c r="U3828" s="720"/>
      <c r="V3828" s="720"/>
      <c r="W3828" s="720"/>
      <c r="X3828" s="720"/>
      <c r="Y3828" s="720"/>
      <c r="Z3828" s="720"/>
      <c r="AA3828" s="720"/>
      <c r="AB3828" s="720"/>
      <c r="AC3828" s="720"/>
      <c r="AD3828" s="720"/>
      <c r="AE3828" s="720"/>
      <c r="AF3828" s="720"/>
      <c r="AG3828" s="720"/>
      <c r="AH3828" s="720"/>
      <c r="AI3828" s="720"/>
      <c r="AJ3828" s="720"/>
      <c r="AK3828" s="720"/>
      <c r="AL3828" s="720"/>
      <c r="AM3828" s="720"/>
      <c r="AN3828" s="720"/>
      <c r="AO3828" s="720"/>
      <c r="AP3828" s="720"/>
      <c r="AQ3828" s="720"/>
      <c r="AR3828" s="720"/>
      <c r="AS3828" s="720"/>
      <c r="AT3828" s="720"/>
      <c r="AU3828" s="720"/>
      <c r="AV3828" s="720"/>
      <c r="AW3828" s="720"/>
      <c r="AX3828" s="720"/>
      <c r="AY3828" s="720"/>
      <c r="AZ3828" s="720"/>
      <c r="BA3828" s="720"/>
      <c r="BB3828" s="720"/>
      <c r="BC3828" s="720"/>
      <c r="BD3828" s="720"/>
      <c r="BE3828" s="720"/>
      <c r="BF3828" s="720"/>
      <c r="BG3828" s="720"/>
      <c r="BH3828" s="720"/>
      <c r="BI3828" s="720"/>
      <c r="BJ3828" s="720"/>
      <c r="BK3828" s="720"/>
      <c r="BL3828" s="720"/>
    </row>
    <row r="3829" spans="1:64">
      <c r="A3829" s="406"/>
      <c r="B3829" s="426"/>
      <c r="C3829" s="417" t="s">
        <v>1332</v>
      </c>
      <c r="D3829" s="408">
        <v>6</v>
      </c>
      <c r="E3829" s="454" t="s">
        <v>1052</v>
      </c>
      <c r="F3829" s="408">
        <f>'[161]Civil-SOR'!G325</f>
        <v>483</v>
      </c>
      <c r="G3829" s="430">
        <f>'[161]Civil-SOR'!$H$324</f>
        <v>1</v>
      </c>
      <c r="H3829" s="456" t="str">
        <f t="shared" ref="H3829:H3831" si="883">IF(E3829="","",IF(E3829="No.","Each",IF(E3829="Nos.","Each",E3829)))</f>
        <v>RM</v>
      </c>
      <c r="I3829" s="408">
        <f t="shared" ref="I3829:I3831" si="884">IF(G3829="",D3829*F3829,(D3829*F3829/G3829))</f>
        <v>2898</v>
      </c>
      <c r="J3829" s="718"/>
      <c r="K3829" s="719"/>
      <c r="L3829" s="719"/>
      <c r="M3829" s="720"/>
      <c r="N3829" s="720"/>
      <c r="O3829" s="720"/>
      <c r="P3829" s="720"/>
      <c r="Q3829" s="720"/>
      <c r="R3829" s="720"/>
      <c r="S3829" s="720"/>
      <c r="T3829" s="720"/>
      <c r="U3829" s="720"/>
      <c r="V3829" s="720"/>
      <c r="W3829" s="720"/>
      <c r="X3829" s="720"/>
      <c r="Y3829" s="720"/>
      <c r="Z3829" s="720"/>
      <c r="AA3829" s="720"/>
      <c r="AB3829" s="720"/>
      <c r="AC3829" s="720"/>
      <c r="AD3829" s="720"/>
      <c r="AE3829" s="720"/>
      <c r="AF3829" s="720"/>
      <c r="AG3829" s="720"/>
      <c r="AH3829" s="720"/>
      <c r="AI3829" s="720"/>
      <c r="AJ3829" s="720"/>
      <c r="AK3829" s="720"/>
      <c r="AL3829" s="720"/>
      <c r="AM3829" s="720"/>
      <c r="AN3829" s="720"/>
      <c r="AO3829" s="720"/>
      <c r="AP3829" s="720"/>
      <c r="AQ3829" s="720"/>
      <c r="AR3829" s="720"/>
      <c r="AS3829" s="720"/>
      <c r="AT3829" s="720"/>
      <c r="AU3829" s="720"/>
      <c r="AV3829" s="720"/>
      <c r="AW3829" s="720"/>
      <c r="AX3829" s="720"/>
      <c r="AY3829" s="720"/>
      <c r="AZ3829" s="720"/>
      <c r="BA3829" s="720"/>
      <c r="BB3829" s="720"/>
      <c r="BC3829" s="720"/>
      <c r="BD3829" s="720"/>
      <c r="BE3829" s="720"/>
      <c r="BF3829" s="720"/>
      <c r="BG3829" s="720"/>
      <c r="BH3829" s="720"/>
      <c r="BI3829" s="720"/>
      <c r="BJ3829" s="720"/>
      <c r="BK3829" s="720"/>
      <c r="BL3829" s="720"/>
    </row>
    <row r="3830" spans="1:64">
      <c r="A3830" s="406"/>
      <c r="B3830" s="426"/>
      <c r="C3830" s="417" t="s">
        <v>1333</v>
      </c>
      <c r="D3830" s="430">
        <v>3</v>
      </c>
      <c r="E3830" s="454" t="s">
        <v>375</v>
      </c>
      <c r="F3830" s="408">
        <f>'[161]Civil-SOR'!G284</f>
        <v>41</v>
      </c>
      <c r="G3830" s="430">
        <v>1</v>
      </c>
      <c r="H3830" s="456" t="str">
        <f t="shared" si="883"/>
        <v>Each</v>
      </c>
      <c r="I3830" s="408">
        <f t="shared" si="884"/>
        <v>123</v>
      </c>
      <c r="J3830" s="718"/>
      <c r="K3830" s="719"/>
      <c r="L3830" s="719"/>
      <c r="M3830" s="720"/>
      <c r="N3830" s="720"/>
      <c r="O3830" s="720"/>
      <c r="P3830" s="720"/>
      <c r="Q3830" s="720"/>
      <c r="R3830" s="720"/>
      <c r="S3830" s="720"/>
      <c r="T3830" s="720"/>
      <c r="U3830" s="720"/>
      <c r="V3830" s="720"/>
      <c r="W3830" s="720"/>
      <c r="X3830" s="720"/>
      <c r="Y3830" s="720"/>
      <c r="Z3830" s="720"/>
      <c r="AA3830" s="720"/>
      <c r="AB3830" s="720"/>
      <c r="AC3830" s="720"/>
      <c r="AD3830" s="720"/>
      <c r="AE3830" s="720"/>
      <c r="AF3830" s="720"/>
      <c r="AG3830" s="720"/>
      <c r="AH3830" s="720"/>
      <c r="AI3830" s="720"/>
      <c r="AJ3830" s="720"/>
      <c r="AK3830" s="720"/>
      <c r="AL3830" s="720"/>
      <c r="AM3830" s="720"/>
      <c r="AN3830" s="720"/>
      <c r="AO3830" s="720"/>
      <c r="AP3830" s="720"/>
      <c r="AQ3830" s="720"/>
      <c r="AR3830" s="720"/>
      <c r="AS3830" s="720"/>
      <c r="AT3830" s="720"/>
      <c r="AU3830" s="720"/>
      <c r="AV3830" s="720"/>
      <c r="AW3830" s="720"/>
      <c r="AX3830" s="720"/>
      <c r="AY3830" s="720"/>
      <c r="AZ3830" s="720"/>
      <c r="BA3830" s="720"/>
      <c r="BB3830" s="720"/>
      <c r="BC3830" s="720"/>
      <c r="BD3830" s="720"/>
      <c r="BE3830" s="720"/>
      <c r="BF3830" s="720"/>
      <c r="BG3830" s="720"/>
      <c r="BH3830" s="720"/>
      <c r="BI3830" s="720"/>
      <c r="BJ3830" s="720"/>
      <c r="BK3830" s="720"/>
      <c r="BL3830" s="720"/>
    </row>
    <row r="3831" spans="1:64">
      <c r="A3831" s="406"/>
      <c r="B3831" s="426"/>
      <c r="C3831" s="417" t="s">
        <v>1334</v>
      </c>
      <c r="D3831" s="408">
        <v>6</v>
      </c>
      <c r="E3831" s="454" t="s">
        <v>1052</v>
      </c>
      <c r="F3831" s="408">
        <f>'[161]WS-SOR'!$H$83</f>
        <v>99</v>
      </c>
      <c r="G3831" s="430">
        <v>1</v>
      </c>
      <c r="H3831" s="456" t="str">
        <f t="shared" si="883"/>
        <v>RM</v>
      </c>
      <c r="I3831" s="408">
        <f t="shared" si="884"/>
        <v>594</v>
      </c>
      <c r="J3831" s="718"/>
      <c r="K3831" s="719"/>
      <c r="L3831" s="719"/>
      <c r="M3831" s="720"/>
      <c r="N3831" s="720"/>
      <c r="O3831" s="720"/>
      <c r="P3831" s="720"/>
      <c r="Q3831" s="720"/>
      <c r="R3831" s="720"/>
      <c r="S3831" s="720"/>
      <c r="T3831" s="720"/>
      <c r="U3831" s="720"/>
      <c r="V3831" s="720"/>
      <c r="W3831" s="720"/>
      <c r="X3831" s="720"/>
      <c r="Y3831" s="720"/>
      <c r="Z3831" s="720"/>
      <c r="AA3831" s="720"/>
      <c r="AB3831" s="720"/>
      <c r="AC3831" s="720"/>
      <c r="AD3831" s="720"/>
      <c r="AE3831" s="720"/>
      <c r="AF3831" s="720"/>
      <c r="AG3831" s="720"/>
      <c r="AH3831" s="720"/>
      <c r="AI3831" s="720"/>
      <c r="AJ3831" s="720"/>
      <c r="AK3831" s="720"/>
      <c r="AL3831" s="720"/>
      <c r="AM3831" s="720"/>
      <c r="AN3831" s="720"/>
      <c r="AO3831" s="720"/>
      <c r="AP3831" s="720"/>
      <c r="AQ3831" s="720"/>
      <c r="AR3831" s="720"/>
      <c r="AS3831" s="720"/>
      <c r="AT3831" s="720"/>
      <c r="AU3831" s="720"/>
      <c r="AV3831" s="720"/>
      <c r="AW3831" s="720"/>
      <c r="AX3831" s="720"/>
      <c r="AY3831" s="720"/>
      <c r="AZ3831" s="720"/>
      <c r="BA3831" s="720"/>
      <c r="BB3831" s="720"/>
      <c r="BC3831" s="720"/>
      <c r="BD3831" s="720"/>
      <c r="BE3831" s="720"/>
      <c r="BF3831" s="720"/>
      <c r="BG3831" s="720"/>
      <c r="BH3831" s="720"/>
      <c r="BI3831" s="720"/>
      <c r="BJ3831" s="720"/>
      <c r="BK3831" s="720"/>
      <c r="BL3831" s="720"/>
    </row>
    <row r="3832" spans="1:64" ht="13">
      <c r="A3832" s="406"/>
      <c r="B3832" s="426"/>
      <c r="C3832" s="427" t="s">
        <v>1335</v>
      </c>
      <c r="D3832" s="408"/>
      <c r="E3832" s="454"/>
      <c r="F3832" s="408"/>
      <c r="G3832" s="430"/>
      <c r="H3832" s="456"/>
      <c r="I3832" s="414">
        <f>SUM(I3829:I3831)</f>
        <v>3615</v>
      </c>
      <c r="J3832" s="718"/>
      <c r="K3832" s="719"/>
      <c r="L3832" s="719"/>
      <c r="M3832" s="720"/>
      <c r="N3832" s="720"/>
      <c r="O3832" s="720"/>
      <c r="P3832" s="720"/>
      <c r="Q3832" s="720"/>
      <c r="R3832" s="720"/>
      <c r="S3832" s="720"/>
      <c r="T3832" s="720"/>
      <c r="U3832" s="720"/>
      <c r="V3832" s="720"/>
      <c r="W3832" s="720"/>
      <c r="X3832" s="720"/>
      <c r="Y3832" s="720"/>
      <c r="Z3832" s="720"/>
      <c r="AA3832" s="720"/>
      <c r="AB3832" s="720"/>
      <c r="AC3832" s="720"/>
      <c r="AD3832" s="720"/>
      <c r="AE3832" s="720"/>
      <c r="AF3832" s="720"/>
      <c r="AG3832" s="720"/>
      <c r="AH3832" s="720"/>
      <c r="AI3832" s="720"/>
      <c r="AJ3832" s="720"/>
      <c r="AK3832" s="720"/>
      <c r="AL3832" s="720"/>
      <c r="AM3832" s="720"/>
      <c r="AN3832" s="720"/>
      <c r="AO3832" s="720"/>
      <c r="AP3832" s="720"/>
      <c r="AQ3832" s="720"/>
      <c r="AR3832" s="720"/>
      <c r="AS3832" s="720"/>
      <c r="AT3832" s="720"/>
      <c r="AU3832" s="720"/>
      <c r="AV3832" s="720"/>
      <c r="AW3832" s="720"/>
      <c r="AX3832" s="720"/>
      <c r="AY3832" s="720"/>
      <c r="AZ3832" s="720"/>
      <c r="BA3832" s="720"/>
      <c r="BB3832" s="720"/>
      <c r="BC3832" s="720"/>
      <c r="BD3832" s="720"/>
      <c r="BE3832" s="720"/>
      <c r="BF3832" s="720"/>
      <c r="BG3832" s="720"/>
      <c r="BH3832" s="720"/>
      <c r="BI3832" s="720"/>
      <c r="BJ3832" s="720"/>
      <c r="BK3832" s="720"/>
      <c r="BL3832" s="720"/>
    </row>
    <row r="3833" spans="1:64" ht="13">
      <c r="A3833" s="406"/>
      <c r="B3833" s="426"/>
      <c r="C3833" s="417"/>
      <c r="D3833" s="408"/>
      <c r="E3833" s="454"/>
      <c r="F3833" s="408"/>
      <c r="G3833" s="430"/>
      <c r="H3833" s="456"/>
      <c r="I3833" s="414">
        <f>I3832/D3829</f>
        <v>602.5</v>
      </c>
      <c r="J3833" s="718"/>
      <c r="K3833" s="719"/>
      <c r="L3833" s="719"/>
      <c r="M3833" s="720"/>
      <c r="N3833" s="720"/>
      <c r="O3833" s="720"/>
      <c r="P3833" s="720"/>
      <c r="Q3833" s="720"/>
      <c r="R3833" s="720"/>
      <c r="S3833" s="720"/>
      <c r="T3833" s="720"/>
      <c r="U3833" s="720"/>
      <c r="V3833" s="720"/>
      <c r="W3833" s="720"/>
      <c r="X3833" s="720"/>
      <c r="Y3833" s="720"/>
      <c r="Z3833" s="720"/>
      <c r="AA3833" s="720"/>
      <c r="AB3833" s="720"/>
      <c r="AC3833" s="720"/>
      <c r="AD3833" s="720"/>
      <c r="AE3833" s="720"/>
      <c r="AF3833" s="720"/>
      <c r="AG3833" s="720"/>
      <c r="AH3833" s="720"/>
      <c r="AI3833" s="720"/>
      <c r="AJ3833" s="720"/>
      <c r="AK3833" s="720"/>
      <c r="AL3833" s="720"/>
      <c r="AM3833" s="720"/>
      <c r="AN3833" s="720"/>
      <c r="AO3833" s="720"/>
      <c r="AP3833" s="720"/>
      <c r="AQ3833" s="720"/>
      <c r="AR3833" s="720"/>
      <c r="AS3833" s="720"/>
      <c r="AT3833" s="720"/>
      <c r="AU3833" s="720"/>
      <c r="AV3833" s="720"/>
      <c r="AW3833" s="720"/>
      <c r="AX3833" s="720"/>
      <c r="AY3833" s="720"/>
      <c r="AZ3833" s="720"/>
      <c r="BA3833" s="720"/>
      <c r="BB3833" s="720"/>
      <c r="BC3833" s="720"/>
      <c r="BD3833" s="720"/>
      <c r="BE3833" s="720"/>
      <c r="BF3833" s="720"/>
      <c r="BG3833" s="720"/>
      <c r="BH3833" s="720"/>
      <c r="BI3833" s="720"/>
      <c r="BJ3833" s="720"/>
      <c r="BK3833" s="720"/>
      <c r="BL3833" s="720"/>
    </row>
    <row r="3834" spans="1:64" ht="25">
      <c r="A3834" s="406"/>
      <c r="B3834" s="426"/>
      <c r="C3834" s="417" t="str">
        <f>[161]Input!$C$48</f>
        <v>Overheads &amp; Contractors Profit @ 13.615%</v>
      </c>
      <c r="D3834" s="467">
        <f>[161]Input!$D$48</f>
        <v>0.13614999999999999</v>
      </c>
      <c r="E3834" s="408"/>
      <c r="F3834" s="408">
        <f>I3833</f>
        <v>602.5</v>
      </c>
      <c r="G3834" s="430"/>
      <c r="H3834" s="426"/>
      <c r="I3834" s="408">
        <f>IF(G3834="",D3834*F3834,(D3834*F3834/G3834))</f>
        <v>82.030374999999992</v>
      </c>
      <c r="J3834" s="718"/>
      <c r="K3834" s="719"/>
      <c r="L3834" s="719"/>
      <c r="M3834" s="720"/>
      <c r="N3834" s="720"/>
      <c r="O3834" s="720"/>
      <c r="P3834" s="720"/>
      <c r="Q3834" s="720"/>
      <c r="R3834" s="720"/>
      <c r="S3834" s="720"/>
      <c r="T3834" s="720"/>
      <c r="U3834" s="720"/>
      <c r="V3834" s="720"/>
      <c r="W3834" s="720"/>
      <c r="X3834" s="720"/>
      <c r="Y3834" s="720"/>
      <c r="Z3834" s="720"/>
      <c r="AA3834" s="720"/>
      <c r="AB3834" s="720"/>
      <c r="AC3834" s="720"/>
      <c r="AD3834" s="720"/>
      <c r="AE3834" s="720"/>
      <c r="AF3834" s="720"/>
      <c r="AG3834" s="720"/>
      <c r="AH3834" s="720"/>
      <c r="AI3834" s="720"/>
      <c r="AJ3834" s="720"/>
      <c r="AK3834" s="720"/>
      <c r="AL3834" s="720"/>
      <c r="AM3834" s="720"/>
      <c r="AN3834" s="720"/>
      <c r="AO3834" s="720"/>
      <c r="AP3834" s="720"/>
      <c r="AQ3834" s="720"/>
      <c r="AR3834" s="720"/>
      <c r="AS3834" s="720"/>
      <c r="AT3834" s="720"/>
      <c r="AU3834" s="720"/>
      <c r="AV3834" s="720"/>
      <c r="AW3834" s="720"/>
      <c r="AX3834" s="720"/>
      <c r="AY3834" s="720"/>
      <c r="AZ3834" s="720"/>
      <c r="BA3834" s="720"/>
      <c r="BB3834" s="720"/>
      <c r="BC3834" s="720"/>
      <c r="BD3834" s="720"/>
      <c r="BE3834" s="720"/>
      <c r="BF3834" s="720"/>
      <c r="BG3834" s="720"/>
      <c r="BH3834" s="720"/>
      <c r="BI3834" s="720"/>
      <c r="BJ3834" s="720"/>
      <c r="BK3834" s="720"/>
      <c r="BL3834" s="720"/>
    </row>
    <row r="3835" spans="1:64" ht="13">
      <c r="A3835" s="406"/>
      <c r="B3835" s="426"/>
      <c r="C3835" s="427" t="s">
        <v>1032</v>
      </c>
      <c r="D3835" s="408"/>
      <c r="E3835" s="454"/>
      <c r="F3835" s="408"/>
      <c r="G3835" s="430"/>
      <c r="H3835" s="406"/>
      <c r="I3835" s="408">
        <f>SUM(I3833:I3834)</f>
        <v>684.53037500000005</v>
      </c>
      <c r="J3835" s="718"/>
      <c r="K3835" s="719"/>
      <c r="L3835" s="719"/>
      <c r="M3835" s="720"/>
      <c r="N3835" s="720"/>
      <c r="O3835" s="720"/>
      <c r="P3835" s="720"/>
      <c r="Q3835" s="720"/>
      <c r="R3835" s="720"/>
      <c r="S3835" s="720"/>
      <c r="T3835" s="720"/>
      <c r="U3835" s="720"/>
      <c r="V3835" s="720"/>
      <c r="W3835" s="720"/>
      <c r="X3835" s="720"/>
      <c r="Y3835" s="720"/>
      <c r="Z3835" s="720"/>
      <c r="AA3835" s="720"/>
      <c r="AB3835" s="720"/>
      <c r="AC3835" s="720"/>
      <c r="AD3835" s="720"/>
      <c r="AE3835" s="720"/>
      <c r="AF3835" s="720"/>
      <c r="AG3835" s="720"/>
      <c r="AH3835" s="720"/>
      <c r="AI3835" s="720"/>
      <c r="AJ3835" s="720"/>
      <c r="AK3835" s="720"/>
      <c r="AL3835" s="720"/>
      <c r="AM3835" s="720"/>
      <c r="AN3835" s="720"/>
      <c r="AO3835" s="720"/>
      <c r="AP3835" s="720"/>
      <c r="AQ3835" s="720"/>
      <c r="AR3835" s="720"/>
      <c r="AS3835" s="720"/>
      <c r="AT3835" s="720"/>
      <c r="AU3835" s="720"/>
      <c r="AV3835" s="720"/>
      <c r="AW3835" s="720"/>
      <c r="AX3835" s="720"/>
      <c r="AY3835" s="720"/>
      <c r="AZ3835" s="720"/>
      <c r="BA3835" s="720"/>
      <c r="BB3835" s="720"/>
      <c r="BC3835" s="720"/>
      <c r="BD3835" s="720"/>
      <c r="BE3835" s="720"/>
      <c r="BF3835" s="720"/>
      <c r="BG3835" s="720"/>
      <c r="BH3835" s="720"/>
      <c r="BI3835" s="720"/>
      <c r="BJ3835" s="720"/>
      <c r="BK3835" s="720"/>
      <c r="BL3835" s="720"/>
    </row>
    <row r="3836" spans="1:64" ht="13">
      <c r="A3836" s="406"/>
      <c r="B3836" s="426"/>
      <c r="C3836" s="427"/>
      <c r="D3836" s="408"/>
      <c r="E3836" s="454"/>
      <c r="F3836" s="408"/>
      <c r="G3836" s="430"/>
      <c r="H3836" s="415" t="s">
        <v>774</v>
      </c>
      <c r="I3836" s="414">
        <f>ROUND(I3835,0)</f>
        <v>685</v>
      </c>
      <c r="J3836" s="718"/>
      <c r="K3836" s="719"/>
      <c r="L3836" s="719"/>
      <c r="M3836" s="720"/>
      <c r="N3836" s="720"/>
      <c r="O3836" s="720"/>
      <c r="P3836" s="720"/>
      <c r="Q3836" s="720"/>
      <c r="R3836" s="720"/>
      <c r="S3836" s="720"/>
      <c r="T3836" s="720"/>
      <c r="U3836" s="720"/>
      <c r="V3836" s="720"/>
      <c r="W3836" s="720"/>
      <c r="X3836" s="720"/>
      <c r="Y3836" s="720"/>
      <c r="Z3836" s="720"/>
      <c r="AA3836" s="720"/>
      <c r="AB3836" s="720"/>
      <c r="AC3836" s="720"/>
      <c r="AD3836" s="720"/>
      <c r="AE3836" s="720"/>
      <c r="AF3836" s="720"/>
      <c r="AG3836" s="720"/>
      <c r="AH3836" s="720"/>
      <c r="AI3836" s="720"/>
      <c r="AJ3836" s="720"/>
      <c r="AK3836" s="720"/>
      <c r="AL3836" s="720"/>
      <c r="AM3836" s="720"/>
      <c r="AN3836" s="720"/>
      <c r="AO3836" s="720"/>
      <c r="AP3836" s="720"/>
      <c r="AQ3836" s="720"/>
      <c r="AR3836" s="720"/>
      <c r="AS3836" s="720"/>
      <c r="AT3836" s="720"/>
      <c r="AU3836" s="720"/>
      <c r="AV3836" s="720"/>
      <c r="AW3836" s="720"/>
      <c r="AX3836" s="720"/>
      <c r="AY3836" s="720"/>
      <c r="AZ3836" s="720"/>
      <c r="BA3836" s="720"/>
      <c r="BB3836" s="720"/>
      <c r="BC3836" s="720"/>
      <c r="BD3836" s="720"/>
      <c r="BE3836" s="720"/>
      <c r="BF3836" s="720"/>
      <c r="BG3836" s="720"/>
      <c r="BH3836" s="720"/>
      <c r="BI3836" s="720"/>
      <c r="BJ3836" s="720"/>
      <c r="BK3836" s="720"/>
      <c r="BL3836" s="720"/>
    </row>
    <row r="3837" spans="1:64" ht="13">
      <c r="A3837" s="406"/>
      <c r="B3837" s="426"/>
      <c r="C3837" s="427"/>
      <c r="D3837" s="408"/>
      <c r="E3837" s="454"/>
      <c r="F3837" s="408"/>
      <c r="G3837" s="430"/>
      <c r="H3837" s="415"/>
      <c r="I3837" s="414"/>
      <c r="J3837" s="718"/>
      <c r="K3837" s="719"/>
      <c r="L3837" s="719"/>
      <c r="M3837" s="720"/>
      <c r="N3837" s="720"/>
      <c r="O3837" s="720"/>
      <c r="P3837" s="720"/>
      <c r="Q3837" s="720"/>
      <c r="R3837" s="720"/>
      <c r="S3837" s="720"/>
      <c r="T3837" s="720"/>
      <c r="U3837" s="720"/>
      <c r="V3837" s="720"/>
      <c r="W3837" s="720"/>
      <c r="X3837" s="720"/>
      <c r="Y3837" s="720"/>
      <c r="Z3837" s="720"/>
      <c r="AA3837" s="720"/>
      <c r="AB3837" s="720"/>
      <c r="AC3837" s="720"/>
      <c r="AD3837" s="720"/>
      <c r="AE3837" s="720"/>
      <c r="AF3837" s="720"/>
      <c r="AG3837" s="720"/>
      <c r="AH3837" s="720"/>
      <c r="AI3837" s="720"/>
      <c r="AJ3837" s="720"/>
      <c r="AK3837" s="720"/>
      <c r="AL3837" s="720"/>
      <c r="AM3837" s="720"/>
      <c r="AN3837" s="720"/>
      <c r="AO3837" s="720"/>
      <c r="AP3837" s="720"/>
      <c r="AQ3837" s="720"/>
      <c r="AR3837" s="720"/>
      <c r="AS3837" s="720"/>
      <c r="AT3837" s="720"/>
      <c r="AU3837" s="720"/>
      <c r="AV3837" s="720"/>
      <c r="AW3837" s="720"/>
      <c r="AX3837" s="720"/>
      <c r="AY3837" s="720"/>
      <c r="AZ3837" s="720"/>
      <c r="BA3837" s="720"/>
      <c r="BB3837" s="720"/>
      <c r="BC3837" s="720"/>
      <c r="BD3837" s="720"/>
      <c r="BE3837" s="720"/>
      <c r="BF3837" s="720"/>
      <c r="BG3837" s="720"/>
      <c r="BH3837" s="720"/>
      <c r="BI3837" s="720"/>
      <c r="BJ3837" s="720"/>
      <c r="BK3837" s="720"/>
      <c r="BL3837" s="720"/>
    </row>
    <row r="3838" spans="1:64" ht="60.4" customHeight="1">
      <c r="A3838" s="1277">
        <f>1+A3817</f>
        <v>18</v>
      </c>
      <c r="B3838" s="1277"/>
      <c r="C3838" s="1276" t="s">
        <v>1337</v>
      </c>
      <c r="D3838" s="1276"/>
      <c r="E3838" s="1276"/>
      <c r="F3838" s="1276"/>
      <c r="G3838" s="1276"/>
      <c r="H3838" s="1276"/>
      <c r="I3838" s="407"/>
      <c r="J3838" s="718"/>
      <c r="K3838" s="719"/>
      <c r="L3838" s="719"/>
      <c r="M3838" s="720"/>
      <c r="N3838" s="720"/>
      <c r="O3838" s="720"/>
      <c r="P3838" s="720"/>
      <c r="Q3838" s="720"/>
      <c r="R3838" s="720"/>
      <c r="S3838" s="720"/>
      <c r="T3838" s="720"/>
      <c r="U3838" s="720"/>
      <c r="V3838" s="720"/>
      <c r="W3838" s="720"/>
      <c r="X3838" s="720"/>
      <c r="Y3838" s="720"/>
      <c r="Z3838" s="720"/>
      <c r="AA3838" s="720"/>
      <c r="AB3838" s="720"/>
      <c r="AC3838" s="720"/>
      <c r="AD3838" s="720"/>
      <c r="AE3838" s="720"/>
      <c r="AF3838" s="720"/>
      <c r="AG3838" s="720"/>
      <c r="AH3838" s="720"/>
      <c r="AI3838" s="720"/>
      <c r="AJ3838" s="720"/>
      <c r="AK3838" s="720"/>
      <c r="AL3838" s="720"/>
      <c r="AM3838" s="720"/>
      <c r="AN3838" s="720"/>
      <c r="AO3838" s="720"/>
      <c r="AP3838" s="720"/>
      <c r="AQ3838" s="720"/>
      <c r="AR3838" s="720"/>
      <c r="AS3838" s="720"/>
      <c r="AT3838" s="720"/>
      <c r="AU3838" s="720"/>
      <c r="AV3838" s="720"/>
      <c r="AW3838" s="720"/>
      <c r="AX3838" s="720"/>
      <c r="AY3838" s="720"/>
      <c r="AZ3838" s="720"/>
      <c r="BA3838" s="720"/>
      <c r="BB3838" s="720"/>
      <c r="BC3838" s="720"/>
      <c r="BD3838" s="720"/>
      <c r="BE3838" s="720"/>
      <c r="BF3838" s="720"/>
      <c r="BG3838" s="720"/>
      <c r="BH3838" s="720"/>
      <c r="BI3838" s="720"/>
      <c r="BJ3838" s="720"/>
      <c r="BK3838" s="720"/>
      <c r="BL3838" s="720"/>
    </row>
    <row r="3839" spans="1:64">
      <c r="A3839" s="406"/>
      <c r="B3839" s="406"/>
      <c r="C3839" s="417" t="s">
        <v>1338</v>
      </c>
      <c r="D3839" s="459">
        <v>1</v>
      </c>
      <c r="E3839" s="406" t="s">
        <v>17</v>
      </c>
      <c r="F3839" s="459">
        <f>'[161]Civil-SOR'!$G$190</f>
        <v>641</v>
      </c>
      <c r="G3839" s="458">
        <v>1</v>
      </c>
      <c r="H3839" s="406" t="s">
        <v>17</v>
      </c>
      <c r="I3839" s="459">
        <f>IF(G3839="",D3839*F3839,(D3839*F3839/G3839))</f>
        <v>641</v>
      </c>
      <c r="J3839" s="718"/>
      <c r="K3839" s="719"/>
      <c r="L3839" s="719"/>
      <c r="M3839" s="720"/>
      <c r="N3839" s="720"/>
      <c r="O3839" s="720"/>
      <c r="P3839" s="720"/>
      <c r="Q3839" s="720"/>
      <c r="R3839" s="720"/>
      <c r="S3839" s="720"/>
      <c r="T3839" s="720"/>
      <c r="U3839" s="720"/>
      <c r="V3839" s="720"/>
      <c r="W3839" s="720"/>
      <c r="X3839" s="720"/>
      <c r="Y3839" s="720"/>
      <c r="Z3839" s="720"/>
      <c r="AA3839" s="720"/>
      <c r="AB3839" s="720"/>
      <c r="AC3839" s="720"/>
      <c r="AD3839" s="720"/>
      <c r="AE3839" s="720"/>
      <c r="AF3839" s="720"/>
      <c r="AG3839" s="720"/>
      <c r="AH3839" s="720"/>
      <c r="AI3839" s="720"/>
      <c r="AJ3839" s="720"/>
      <c r="AK3839" s="720"/>
      <c r="AL3839" s="720"/>
      <c r="AM3839" s="720"/>
      <c r="AN3839" s="720"/>
      <c r="AO3839" s="720"/>
      <c r="AP3839" s="720"/>
      <c r="AQ3839" s="720"/>
      <c r="AR3839" s="720"/>
      <c r="AS3839" s="720"/>
      <c r="AT3839" s="720"/>
      <c r="AU3839" s="720"/>
      <c r="AV3839" s="720"/>
      <c r="AW3839" s="720"/>
      <c r="AX3839" s="720"/>
      <c r="AY3839" s="720"/>
      <c r="AZ3839" s="720"/>
      <c r="BA3839" s="720"/>
      <c r="BB3839" s="720"/>
      <c r="BC3839" s="720"/>
      <c r="BD3839" s="720"/>
      <c r="BE3839" s="720"/>
      <c r="BF3839" s="720"/>
      <c r="BG3839" s="720"/>
      <c r="BH3839" s="720"/>
      <c r="BI3839" s="720"/>
      <c r="BJ3839" s="720"/>
      <c r="BK3839" s="720"/>
      <c r="BL3839" s="720"/>
    </row>
    <row r="3840" spans="1:64" ht="13">
      <c r="A3840" s="406"/>
      <c r="B3840" s="426"/>
      <c r="C3840" s="417"/>
      <c r="D3840" s="621"/>
      <c r="E3840" s="454"/>
      <c r="F3840" s="408"/>
      <c r="G3840" s="426"/>
      <c r="H3840" s="426"/>
      <c r="I3840" s="434">
        <f>SUM(I3839:I3839)</f>
        <v>641</v>
      </c>
      <c r="J3840" s="733"/>
      <c r="K3840" s="719"/>
      <c r="L3840" s="719"/>
      <c r="M3840" s="720"/>
      <c r="N3840" s="720"/>
      <c r="O3840" s="720"/>
      <c r="P3840" s="720"/>
      <c r="Q3840" s="720"/>
      <c r="R3840" s="720"/>
      <c r="S3840" s="720"/>
      <c r="T3840" s="720"/>
      <c r="U3840" s="720"/>
      <c r="V3840" s="720"/>
      <c r="W3840" s="720"/>
      <c r="X3840" s="720"/>
      <c r="Y3840" s="720"/>
      <c r="Z3840" s="720"/>
      <c r="AA3840" s="720"/>
      <c r="AB3840" s="720"/>
      <c r="AC3840" s="720"/>
      <c r="AD3840" s="720"/>
      <c r="AE3840" s="720"/>
      <c r="AF3840" s="720"/>
      <c r="AG3840" s="720"/>
      <c r="AH3840" s="720"/>
      <c r="AI3840" s="720"/>
      <c r="AJ3840" s="720"/>
      <c r="AK3840" s="720"/>
      <c r="AL3840" s="720"/>
      <c r="AM3840" s="720"/>
      <c r="AN3840" s="720"/>
      <c r="AO3840" s="720"/>
      <c r="AP3840" s="720"/>
      <c r="AQ3840" s="720"/>
      <c r="AR3840" s="720"/>
      <c r="AS3840" s="720"/>
      <c r="AT3840" s="720"/>
      <c r="AU3840" s="720"/>
      <c r="AV3840" s="720"/>
      <c r="AW3840" s="720"/>
      <c r="AX3840" s="720"/>
      <c r="AY3840" s="720"/>
      <c r="AZ3840" s="720"/>
      <c r="BA3840" s="720"/>
      <c r="BB3840" s="720"/>
      <c r="BC3840" s="720"/>
      <c r="BD3840" s="720"/>
      <c r="BE3840" s="720"/>
      <c r="BF3840" s="720"/>
      <c r="BG3840" s="720"/>
      <c r="BH3840" s="720"/>
      <c r="BI3840" s="720"/>
      <c r="BJ3840" s="720"/>
      <c r="BK3840" s="720"/>
      <c r="BL3840" s="720"/>
    </row>
    <row r="3841" spans="1:64" ht="13">
      <c r="A3841" s="406"/>
      <c r="B3841" s="426"/>
      <c r="C3841" s="417"/>
      <c r="D3841" s="621"/>
      <c r="E3841" s="454"/>
      <c r="F3841" s="408"/>
      <c r="G3841" s="426"/>
      <c r="H3841" s="426"/>
      <c r="I3841" s="434"/>
      <c r="J3841" s="733"/>
      <c r="K3841" s="719"/>
      <c r="L3841" s="719"/>
      <c r="M3841" s="720"/>
      <c r="N3841" s="720"/>
      <c r="O3841" s="720"/>
      <c r="P3841" s="720"/>
      <c r="Q3841" s="720"/>
      <c r="R3841" s="720"/>
      <c r="S3841" s="720"/>
      <c r="T3841" s="720"/>
      <c r="U3841" s="720"/>
      <c r="V3841" s="720"/>
      <c r="W3841" s="720"/>
      <c r="X3841" s="720"/>
      <c r="Y3841" s="720"/>
      <c r="Z3841" s="720"/>
      <c r="AA3841" s="720"/>
      <c r="AB3841" s="720"/>
      <c r="AC3841" s="720"/>
      <c r="AD3841" s="720"/>
      <c r="AE3841" s="720"/>
      <c r="AF3841" s="720"/>
      <c r="AG3841" s="720"/>
      <c r="AH3841" s="720"/>
      <c r="AI3841" s="720"/>
      <c r="AJ3841" s="720"/>
      <c r="AK3841" s="720"/>
      <c r="AL3841" s="720"/>
      <c r="AM3841" s="720"/>
      <c r="AN3841" s="720"/>
      <c r="AO3841" s="720"/>
      <c r="AP3841" s="720"/>
      <c r="AQ3841" s="720"/>
      <c r="AR3841" s="720"/>
      <c r="AS3841" s="720"/>
      <c r="AT3841" s="720"/>
      <c r="AU3841" s="720"/>
      <c r="AV3841" s="720"/>
      <c r="AW3841" s="720"/>
      <c r="AX3841" s="720"/>
      <c r="AY3841" s="720"/>
      <c r="AZ3841" s="720"/>
      <c r="BA3841" s="720"/>
      <c r="BB3841" s="720"/>
      <c r="BC3841" s="720"/>
      <c r="BD3841" s="720"/>
      <c r="BE3841" s="720"/>
      <c r="BF3841" s="720"/>
      <c r="BG3841" s="720"/>
      <c r="BH3841" s="720"/>
      <c r="BI3841" s="720"/>
      <c r="BJ3841" s="720"/>
      <c r="BK3841" s="720"/>
      <c r="BL3841" s="720"/>
    </row>
    <row r="3842" spans="1:64" s="723" customFormat="1" ht="13">
      <c r="A3842" s="406"/>
      <c r="B3842" s="426"/>
      <c r="C3842" s="481" t="s">
        <v>953</v>
      </c>
      <c r="D3842" s="414" t="s">
        <v>416</v>
      </c>
      <c r="E3842" s="416" t="s">
        <v>943</v>
      </c>
      <c r="F3842" s="415" t="s">
        <v>944</v>
      </c>
      <c r="G3842" s="414" t="s">
        <v>1036</v>
      </c>
      <c r="H3842" s="414" t="s">
        <v>1037</v>
      </c>
      <c r="I3842" s="414" t="s">
        <v>1038</v>
      </c>
      <c r="J3842" s="733"/>
      <c r="K3842" s="719"/>
      <c r="L3842" s="719"/>
    </row>
    <row r="3843" spans="1:64">
      <c r="A3843" s="406"/>
      <c r="B3843" s="426"/>
      <c r="C3843" s="417" t="s">
        <v>1064</v>
      </c>
      <c r="D3843" s="408">
        <f t="shared" ref="D3843:I3843" si="885">$I$3840</f>
        <v>641</v>
      </c>
      <c r="E3843" s="408">
        <f t="shared" si="885"/>
        <v>641</v>
      </c>
      <c r="F3843" s="408">
        <f t="shared" si="885"/>
        <v>641</v>
      </c>
      <c r="G3843" s="408">
        <f t="shared" si="885"/>
        <v>641</v>
      </c>
      <c r="H3843" s="408">
        <f t="shared" si="885"/>
        <v>641</v>
      </c>
      <c r="I3843" s="408">
        <f t="shared" si="885"/>
        <v>641</v>
      </c>
      <c r="J3843" s="733"/>
      <c r="K3843" s="719"/>
      <c r="L3843" s="719"/>
      <c r="M3843" s="720"/>
      <c r="N3843" s="720"/>
      <c r="O3843" s="720"/>
      <c r="P3843" s="720"/>
      <c r="Q3843" s="720"/>
      <c r="R3843" s="720"/>
      <c r="S3843" s="720"/>
      <c r="T3843" s="720"/>
      <c r="U3843" s="720"/>
      <c r="V3843" s="720"/>
      <c r="W3843" s="720"/>
      <c r="X3843" s="720"/>
      <c r="Y3843" s="720"/>
      <c r="Z3843" s="720"/>
      <c r="AA3843" s="720"/>
      <c r="AB3843" s="720"/>
      <c r="AC3843" s="720"/>
      <c r="AD3843" s="720"/>
      <c r="AE3843" s="720"/>
      <c r="AF3843" s="720"/>
      <c r="AG3843" s="720"/>
      <c r="AH3843" s="720"/>
      <c r="AI3843" s="720"/>
      <c r="AJ3843" s="720"/>
      <c r="AK3843" s="720"/>
      <c r="AL3843" s="720"/>
      <c r="AM3843" s="720"/>
      <c r="AN3843" s="720"/>
      <c r="AO3843" s="720"/>
      <c r="AP3843" s="720"/>
      <c r="AQ3843" s="720"/>
      <c r="AR3843" s="720"/>
      <c r="AS3843" s="720"/>
      <c r="AT3843" s="720"/>
      <c r="AU3843" s="720"/>
      <c r="AV3843" s="720"/>
      <c r="AW3843" s="720"/>
      <c r="AX3843" s="720"/>
      <c r="AY3843" s="720"/>
      <c r="AZ3843" s="720"/>
      <c r="BA3843" s="720"/>
      <c r="BB3843" s="720"/>
      <c r="BC3843" s="720"/>
      <c r="BD3843" s="720"/>
      <c r="BE3843" s="720"/>
      <c r="BF3843" s="720"/>
      <c r="BG3843" s="720"/>
      <c r="BH3843" s="720"/>
      <c r="BI3843" s="720"/>
      <c r="BJ3843" s="720"/>
      <c r="BK3843" s="720"/>
      <c r="BL3843" s="720"/>
    </row>
    <row r="3844" spans="1:64">
      <c r="A3844" s="406"/>
      <c r="B3844" s="426"/>
      <c r="C3844" s="417" t="s">
        <v>1059</v>
      </c>
      <c r="D3844" s="408">
        <f>'[161]Civil-SOR'!$F$222</f>
        <v>11.66</v>
      </c>
      <c r="E3844" s="408">
        <f>'[161]Civil-SOR'!$F$223</f>
        <v>11.66</v>
      </c>
      <c r="F3844" s="408">
        <f>'[161]Civil-SOR'!$F$224</f>
        <v>11.66</v>
      </c>
      <c r="G3844" s="408">
        <f>'[161]Civil-SOR'!$F$225</f>
        <v>11.66</v>
      </c>
      <c r="H3844" s="408">
        <f>'[161]Civil-SOR'!$F$225</f>
        <v>11.66</v>
      </c>
      <c r="I3844" s="408">
        <f>'[161]Civil-SOR'!$F$225</f>
        <v>11.66</v>
      </c>
      <c r="J3844" s="733"/>
      <c r="K3844" s="719"/>
      <c r="L3844" s="719"/>
      <c r="M3844" s="720"/>
      <c r="N3844" s="720"/>
      <c r="O3844" s="720"/>
      <c r="P3844" s="720"/>
      <c r="Q3844" s="720"/>
      <c r="R3844" s="720"/>
      <c r="S3844" s="720"/>
      <c r="T3844" s="720"/>
      <c r="U3844" s="720"/>
      <c r="V3844" s="720"/>
      <c r="W3844" s="720"/>
      <c r="X3844" s="720"/>
      <c r="Y3844" s="720"/>
      <c r="Z3844" s="720"/>
      <c r="AA3844" s="720"/>
      <c r="AB3844" s="720"/>
      <c r="AC3844" s="720"/>
      <c r="AD3844" s="720"/>
      <c r="AE3844" s="720"/>
      <c r="AF3844" s="720"/>
      <c r="AG3844" s="720"/>
      <c r="AH3844" s="720"/>
      <c r="AI3844" s="720"/>
      <c r="AJ3844" s="720"/>
      <c r="AK3844" s="720"/>
      <c r="AL3844" s="720"/>
      <c r="AM3844" s="720"/>
      <c r="AN3844" s="720"/>
      <c r="AO3844" s="720"/>
      <c r="AP3844" s="720"/>
      <c r="AQ3844" s="720"/>
      <c r="AR3844" s="720"/>
      <c r="AS3844" s="720"/>
      <c r="AT3844" s="720"/>
      <c r="AU3844" s="720"/>
      <c r="AV3844" s="720"/>
      <c r="AW3844" s="720"/>
      <c r="AX3844" s="720"/>
      <c r="AY3844" s="720"/>
      <c r="AZ3844" s="720"/>
      <c r="BA3844" s="720"/>
      <c r="BB3844" s="720"/>
      <c r="BC3844" s="720"/>
      <c r="BD3844" s="720"/>
      <c r="BE3844" s="720"/>
      <c r="BF3844" s="720"/>
      <c r="BG3844" s="720"/>
      <c r="BH3844" s="720"/>
      <c r="BI3844" s="720"/>
      <c r="BJ3844" s="720"/>
      <c r="BK3844" s="720"/>
      <c r="BL3844" s="720"/>
    </row>
    <row r="3845" spans="1:64">
      <c r="A3845" s="406"/>
      <c r="B3845" s="426"/>
      <c r="C3845" s="417" t="s">
        <v>1060</v>
      </c>
      <c r="D3845" s="408">
        <f>'[161]Civil-SOR'!$G$222</f>
        <v>94.29</v>
      </c>
      <c r="E3845" s="408">
        <f>'[161]Civil-SOR'!$G$223</f>
        <v>135.61000000000001</v>
      </c>
      <c r="F3845" s="408">
        <f>'[161]Civil-SOR'!$G$224</f>
        <v>176.93</v>
      </c>
      <c r="G3845" s="408">
        <f>'[161]Civil-SOR'!$G$225</f>
        <v>218.25</v>
      </c>
      <c r="H3845" s="408">
        <f>'[161]Civil-SOR'!$G$226</f>
        <v>259.57</v>
      </c>
      <c r="I3845" s="408">
        <f>'[161]Civil-SOR'!$G$227</f>
        <v>300.89</v>
      </c>
      <c r="J3845" s="733"/>
      <c r="K3845" s="719"/>
      <c r="L3845" s="719"/>
      <c r="M3845" s="720"/>
      <c r="N3845" s="720"/>
      <c r="O3845" s="720"/>
      <c r="P3845" s="720"/>
      <c r="Q3845" s="720"/>
      <c r="R3845" s="720"/>
      <c r="S3845" s="720"/>
      <c r="T3845" s="720"/>
      <c r="U3845" s="720"/>
      <c r="V3845" s="720"/>
      <c r="W3845" s="720"/>
      <c r="X3845" s="720"/>
      <c r="Y3845" s="720"/>
      <c r="Z3845" s="720"/>
      <c r="AA3845" s="720"/>
      <c r="AB3845" s="720"/>
      <c r="AC3845" s="720"/>
      <c r="AD3845" s="720"/>
      <c r="AE3845" s="720"/>
      <c r="AF3845" s="720"/>
      <c r="AG3845" s="720"/>
      <c r="AH3845" s="720"/>
      <c r="AI3845" s="720"/>
      <c r="AJ3845" s="720"/>
      <c r="AK3845" s="720"/>
      <c r="AL3845" s="720"/>
      <c r="AM3845" s="720"/>
      <c r="AN3845" s="720"/>
      <c r="AO3845" s="720"/>
      <c r="AP3845" s="720"/>
      <c r="AQ3845" s="720"/>
      <c r="AR3845" s="720"/>
      <c r="AS3845" s="720"/>
      <c r="AT3845" s="720"/>
      <c r="AU3845" s="720"/>
      <c r="AV3845" s="720"/>
      <c r="AW3845" s="720"/>
      <c r="AX3845" s="720"/>
      <c r="AY3845" s="720"/>
      <c r="AZ3845" s="720"/>
      <c r="BA3845" s="720"/>
      <c r="BB3845" s="720"/>
      <c r="BC3845" s="720"/>
      <c r="BD3845" s="720"/>
      <c r="BE3845" s="720"/>
      <c r="BF3845" s="720"/>
      <c r="BG3845" s="720"/>
      <c r="BH3845" s="720"/>
      <c r="BI3845" s="720"/>
      <c r="BJ3845" s="720"/>
      <c r="BK3845" s="720"/>
      <c r="BL3845" s="720"/>
    </row>
    <row r="3846" spans="1:64">
      <c r="A3846" s="406"/>
      <c r="B3846" s="426"/>
      <c r="C3846" s="417" t="str">
        <f>[161]Input!$C$47</f>
        <v>Add for MA @ 40%</v>
      </c>
      <c r="D3846" s="408">
        <f>D3845*[161]Input!$D$47</f>
        <v>37.716000000000001</v>
      </c>
      <c r="E3846" s="408">
        <f>E3845*[161]Input!$D$47</f>
        <v>54.244000000000007</v>
      </c>
      <c r="F3846" s="408">
        <f>F3845*[161]Input!$D$47</f>
        <v>70.772000000000006</v>
      </c>
      <c r="G3846" s="408">
        <f>G3845*[161]Input!$D$47</f>
        <v>87.300000000000011</v>
      </c>
      <c r="H3846" s="408">
        <f>H3845*[161]Input!$D$47</f>
        <v>103.828</v>
      </c>
      <c r="I3846" s="408">
        <f>I3845*[161]Input!$D$47</f>
        <v>120.35599999999999</v>
      </c>
      <c r="J3846" s="733"/>
      <c r="K3846" s="719"/>
      <c r="L3846" s="719"/>
      <c r="M3846" s="720"/>
      <c r="N3846" s="720"/>
      <c r="O3846" s="720"/>
      <c r="P3846" s="720"/>
      <c r="Q3846" s="720"/>
      <c r="R3846" s="720"/>
      <c r="S3846" s="720"/>
      <c r="T3846" s="720"/>
      <c r="U3846" s="720"/>
      <c r="V3846" s="720"/>
      <c r="W3846" s="720"/>
      <c r="X3846" s="720"/>
      <c r="Y3846" s="720"/>
      <c r="Z3846" s="720"/>
      <c r="AA3846" s="720"/>
      <c r="AB3846" s="720"/>
      <c r="AC3846" s="720"/>
      <c r="AD3846" s="720"/>
      <c r="AE3846" s="720"/>
      <c r="AF3846" s="720"/>
      <c r="AG3846" s="720"/>
      <c r="AH3846" s="720"/>
      <c r="AI3846" s="720"/>
      <c r="AJ3846" s="720"/>
      <c r="AK3846" s="720"/>
      <c r="AL3846" s="720"/>
      <c r="AM3846" s="720"/>
      <c r="AN3846" s="720"/>
      <c r="AO3846" s="720"/>
      <c r="AP3846" s="720"/>
      <c r="AQ3846" s="720"/>
      <c r="AR3846" s="720"/>
      <c r="AS3846" s="720"/>
      <c r="AT3846" s="720"/>
      <c r="AU3846" s="720"/>
      <c r="AV3846" s="720"/>
      <c r="AW3846" s="720"/>
      <c r="AX3846" s="720"/>
      <c r="AY3846" s="720"/>
      <c r="AZ3846" s="720"/>
      <c r="BA3846" s="720"/>
      <c r="BB3846" s="720"/>
      <c r="BC3846" s="720"/>
      <c r="BD3846" s="720"/>
      <c r="BE3846" s="720"/>
      <c r="BF3846" s="720"/>
      <c r="BG3846" s="720"/>
      <c r="BH3846" s="720"/>
      <c r="BI3846" s="720"/>
      <c r="BJ3846" s="720"/>
      <c r="BK3846" s="720"/>
      <c r="BL3846" s="720"/>
    </row>
    <row r="3847" spans="1:64" ht="13">
      <c r="A3847" s="406"/>
      <c r="B3847" s="426"/>
      <c r="C3847" s="427" t="s">
        <v>686</v>
      </c>
      <c r="D3847" s="414">
        <f t="shared" ref="D3847:I3847" si="886">SUM(D3843:D3846)</f>
        <v>784.66599999999994</v>
      </c>
      <c r="E3847" s="414">
        <f t="shared" si="886"/>
        <v>842.51400000000001</v>
      </c>
      <c r="F3847" s="414">
        <f t="shared" si="886"/>
        <v>900.36199999999997</v>
      </c>
      <c r="G3847" s="414">
        <f t="shared" si="886"/>
        <v>958.21</v>
      </c>
      <c r="H3847" s="414">
        <f t="shared" si="886"/>
        <v>1016.058</v>
      </c>
      <c r="I3847" s="414">
        <f t="shared" si="886"/>
        <v>1073.9059999999999</v>
      </c>
      <c r="J3847" s="733"/>
      <c r="K3847" s="719"/>
      <c r="L3847" s="719"/>
      <c r="M3847" s="720"/>
      <c r="N3847" s="720"/>
      <c r="O3847" s="720"/>
      <c r="P3847" s="720"/>
      <c r="Q3847" s="720"/>
      <c r="R3847" s="720"/>
      <c r="S3847" s="720"/>
      <c r="T3847" s="720"/>
      <c r="U3847" s="720"/>
      <c r="V3847" s="720"/>
      <c r="W3847" s="720"/>
      <c r="X3847" s="720"/>
      <c r="Y3847" s="720"/>
      <c r="Z3847" s="720"/>
      <c r="AA3847" s="720"/>
      <c r="AB3847" s="720"/>
      <c r="AC3847" s="720"/>
      <c r="AD3847" s="720"/>
      <c r="AE3847" s="720"/>
      <c r="AF3847" s="720"/>
      <c r="AG3847" s="720"/>
      <c r="AH3847" s="720"/>
      <c r="AI3847" s="720"/>
      <c r="AJ3847" s="720"/>
      <c r="AK3847" s="720"/>
      <c r="AL3847" s="720"/>
      <c r="AM3847" s="720"/>
      <c r="AN3847" s="720"/>
      <c r="AO3847" s="720"/>
      <c r="AP3847" s="720"/>
      <c r="AQ3847" s="720"/>
      <c r="AR3847" s="720"/>
      <c r="AS3847" s="720"/>
      <c r="AT3847" s="720"/>
      <c r="AU3847" s="720"/>
      <c r="AV3847" s="720"/>
      <c r="AW3847" s="720"/>
      <c r="AX3847" s="720"/>
      <c r="AY3847" s="720"/>
      <c r="AZ3847" s="720"/>
      <c r="BA3847" s="720"/>
      <c r="BB3847" s="720"/>
      <c r="BC3847" s="720"/>
      <c r="BD3847" s="720"/>
      <c r="BE3847" s="720"/>
      <c r="BF3847" s="720"/>
      <c r="BG3847" s="720"/>
      <c r="BH3847" s="720"/>
      <c r="BI3847" s="720"/>
      <c r="BJ3847" s="720"/>
      <c r="BK3847" s="720"/>
      <c r="BL3847" s="720"/>
    </row>
    <row r="3848" spans="1:64" ht="25">
      <c r="A3848" s="406"/>
      <c r="B3848" s="426"/>
      <c r="C3848" s="417" t="str">
        <f>[161]Input!$C$48</f>
        <v>Overheads &amp; Contractors Profit @ 13.615%</v>
      </c>
      <c r="D3848" s="409">
        <f>ROUND(D3847*[161]Input!$D$48,2)</f>
        <v>106.83</v>
      </c>
      <c r="E3848" s="426">
        <f>ROUND(E3847*[161]Input!$D$48,2)</f>
        <v>114.71</v>
      </c>
      <c r="F3848" s="426">
        <f>ROUND(F3847*[161]Input!$D$48,2)</f>
        <v>122.58</v>
      </c>
      <c r="G3848" s="426">
        <f>ROUND(G3847*[161]Input!$D$48,2)</f>
        <v>130.46</v>
      </c>
      <c r="H3848" s="426">
        <f>ROUND(H3847*[161]Input!$D$48,2)</f>
        <v>138.34</v>
      </c>
      <c r="I3848" s="426">
        <f>ROUND(I3847*[161]Input!$D$48,2)</f>
        <v>146.21</v>
      </c>
      <c r="J3848" s="733"/>
      <c r="K3848" s="719"/>
      <c r="L3848" s="719"/>
      <c r="M3848" s="720"/>
      <c r="N3848" s="720"/>
      <c r="O3848" s="720"/>
      <c r="P3848" s="720"/>
      <c r="Q3848" s="720"/>
      <c r="R3848" s="720"/>
      <c r="S3848" s="720"/>
      <c r="T3848" s="720"/>
      <c r="U3848" s="720"/>
      <c r="V3848" s="720"/>
      <c r="W3848" s="720"/>
      <c r="X3848" s="720"/>
      <c r="Y3848" s="720"/>
      <c r="Z3848" s="720"/>
      <c r="AA3848" s="720"/>
      <c r="AB3848" s="720"/>
      <c r="AC3848" s="720"/>
      <c r="AD3848" s="720"/>
      <c r="AE3848" s="720"/>
      <c r="AF3848" s="720"/>
      <c r="AG3848" s="720"/>
      <c r="AH3848" s="720"/>
      <c r="AI3848" s="720"/>
      <c r="AJ3848" s="720"/>
      <c r="AK3848" s="720"/>
      <c r="AL3848" s="720"/>
      <c r="AM3848" s="720"/>
      <c r="AN3848" s="720"/>
      <c r="AO3848" s="720"/>
      <c r="AP3848" s="720"/>
      <c r="AQ3848" s="720"/>
      <c r="AR3848" s="720"/>
      <c r="AS3848" s="720"/>
      <c r="AT3848" s="720"/>
      <c r="AU3848" s="720"/>
      <c r="AV3848" s="720"/>
      <c r="AW3848" s="720"/>
      <c r="AX3848" s="720"/>
      <c r="AY3848" s="720"/>
      <c r="AZ3848" s="720"/>
      <c r="BA3848" s="720"/>
      <c r="BB3848" s="720"/>
      <c r="BC3848" s="720"/>
      <c r="BD3848" s="720"/>
      <c r="BE3848" s="720"/>
      <c r="BF3848" s="720"/>
      <c r="BG3848" s="720"/>
      <c r="BH3848" s="720"/>
      <c r="BI3848" s="720"/>
      <c r="BJ3848" s="720"/>
      <c r="BK3848" s="720"/>
      <c r="BL3848" s="720"/>
    </row>
    <row r="3849" spans="1:64" ht="13">
      <c r="A3849" s="406"/>
      <c r="B3849" s="426"/>
      <c r="C3849" s="427" t="s">
        <v>742</v>
      </c>
      <c r="D3849" s="409">
        <f t="shared" ref="D3849:I3849" si="887">SUM(D3847:D3848)</f>
        <v>891.49599999999998</v>
      </c>
      <c r="E3849" s="409">
        <f t="shared" si="887"/>
        <v>957.22400000000005</v>
      </c>
      <c r="F3849" s="409">
        <f t="shared" si="887"/>
        <v>1022.942</v>
      </c>
      <c r="G3849" s="409">
        <f t="shared" si="887"/>
        <v>1088.67</v>
      </c>
      <c r="H3849" s="409">
        <f t="shared" si="887"/>
        <v>1154.3979999999999</v>
      </c>
      <c r="I3849" s="409">
        <f t="shared" si="887"/>
        <v>1220.116</v>
      </c>
      <c r="J3849" s="733"/>
      <c r="K3849" s="719"/>
      <c r="L3849" s="719"/>
      <c r="M3849" s="720"/>
      <c r="N3849" s="720"/>
      <c r="O3849" s="720"/>
      <c r="P3849" s="720"/>
      <c r="Q3849" s="720"/>
      <c r="R3849" s="720"/>
      <c r="S3849" s="720"/>
      <c r="T3849" s="720"/>
      <c r="U3849" s="720"/>
      <c r="V3849" s="720"/>
      <c r="W3849" s="720"/>
      <c r="X3849" s="720"/>
      <c r="Y3849" s="720"/>
      <c r="Z3849" s="720"/>
      <c r="AA3849" s="720"/>
      <c r="AB3849" s="720"/>
      <c r="AC3849" s="720"/>
      <c r="AD3849" s="720"/>
      <c r="AE3849" s="720"/>
      <c r="AF3849" s="720"/>
      <c r="AG3849" s="720"/>
      <c r="AH3849" s="720"/>
      <c r="AI3849" s="720"/>
      <c r="AJ3849" s="720"/>
      <c r="AK3849" s="720"/>
      <c r="AL3849" s="720"/>
      <c r="AM3849" s="720"/>
      <c r="AN3849" s="720"/>
      <c r="AO3849" s="720"/>
      <c r="AP3849" s="720"/>
      <c r="AQ3849" s="720"/>
      <c r="AR3849" s="720"/>
      <c r="AS3849" s="720"/>
      <c r="AT3849" s="720"/>
      <c r="AU3849" s="720"/>
      <c r="AV3849" s="720"/>
      <c r="AW3849" s="720"/>
      <c r="AX3849" s="720"/>
      <c r="AY3849" s="720"/>
      <c r="AZ3849" s="720"/>
      <c r="BA3849" s="720"/>
      <c r="BB3849" s="720"/>
      <c r="BC3849" s="720"/>
      <c r="BD3849" s="720"/>
      <c r="BE3849" s="720"/>
      <c r="BF3849" s="720"/>
      <c r="BG3849" s="720"/>
      <c r="BH3849" s="720"/>
      <c r="BI3849" s="720"/>
      <c r="BJ3849" s="720"/>
      <c r="BK3849" s="720"/>
      <c r="BL3849" s="720"/>
    </row>
    <row r="3850" spans="1:64" s="723" customFormat="1" ht="13">
      <c r="A3850" s="406"/>
      <c r="B3850" s="426"/>
      <c r="C3850" s="522" t="s">
        <v>726</v>
      </c>
      <c r="D3850" s="416">
        <f t="shared" ref="D3850:I3850" si="888">ROUND(D3849,0)</f>
        <v>891</v>
      </c>
      <c r="E3850" s="416">
        <f t="shared" si="888"/>
        <v>957</v>
      </c>
      <c r="F3850" s="416">
        <f t="shared" si="888"/>
        <v>1023</v>
      </c>
      <c r="G3850" s="416">
        <f t="shared" si="888"/>
        <v>1089</v>
      </c>
      <c r="H3850" s="416">
        <f t="shared" si="888"/>
        <v>1154</v>
      </c>
      <c r="I3850" s="416">
        <f t="shared" si="888"/>
        <v>1220</v>
      </c>
      <c r="J3850" s="733"/>
      <c r="K3850" s="719"/>
      <c r="L3850" s="719"/>
    </row>
    <row r="3851" spans="1:64" ht="13">
      <c r="A3851" s="406"/>
      <c r="B3851" s="426"/>
      <c r="C3851" s="427"/>
      <c r="D3851" s="408"/>
      <c r="E3851" s="454"/>
      <c r="F3851" s="408"/>
      <c r="G3851" s="430"/>
      <c r="H3851" s="415"/>
      <c r="I3851" s="414"/>
      <c r="J3851" s="733"/>
      <c r="K3851" s="719"/>
      <c r="L3851" s="719"/>
      <c r="M3851" s="720"/>
      <c r="N3851" s="720"/>
      <c r="O3851" s="720"/>
      <c r="P3851" s="720"/>
      <c r="Q3851" s="720"/>
      <c r="R3851" s="720"/>
      <c r="S3851" s="720"/>
      <c r="T3851" s="720"/>
      <c r="U3851" s="720"/>
      <c r="V3851" s="720"/>
      <c r="W3851" s="720"/>
      <c r="X3851" s="720"/>
      <c r="Y3851" s="720"/>
      <c r="Z3851" s="720"/>
      <c r="AA3851" s="720"/>
      <c r="AB3851" s="720"/>
      <c r="AC3851" s="720"/>
      <c r="AD3851" s="720"/>
      <c r="AE3851" s="720"/>
      <c r="AF3851" s="720"/>
      <c r="AG3851" s="720"/>
      <c r="AH3851" s="720"/>
      <c r="AI3851" s="720"/>
      <c r="AJ3851" s="720"/>
      <c r="AK3851" s="720"/>
      <c r="AL3851" s="720"/>
      <c r="AM3851" s="720"/>
      <c r="AN3851" s="720"/>
      <c r="AO3851" s="720"/>
      <c r="AP3851" s="720"/>
      <c r="AQ3851" s="720"/>
      <c r="AR3851" s="720"/>
      <c r="AS3851" s="720"/>
      <c r="AT3851" s="720"/>
      <c r="AU3851" s="720"/>
      <c r="AV3851" s="720"/>
      <c r="AW3851" s="720"/>
      <c r="AX3851" s="720"/>
      <c r="AY3851" s="720"/>
      <c r="AZ3851" s="720"/>
      <c r="BA3851" s="720"/>
      <c r="BB3851" s="720"/>
      <c r="BC3851" s="720"/>
      <c r="BD3851" s="720"/>
      <c r="BE3851" s="720"/>
      <c r="BF3851" s="720"/>
      <c r="BG3851" s="720"/>
      <c r="BH3851" s="720"/>
      <c r="BI3851" s="720"/>
      <c r="BJ3851" s="720"/>
      <c r="BK3851" s="720"/>
      <c r="BL3851" s="720"/>
    </row>
    <row r="3852" spans="1:64" ht="13">
      <c r="A3852" s="406"/>
      <c r="B3852" s="426"/>
      <c r="C3852" s="427" t="s">
        <v>953</v>
      </c>
      <c r="D3852" s="414" t="s">
        <v>1118</v>
      </c>
      <c r="E3852" s="414" t="s">
        <v>1119</v>
      </c>
      <c r="F3852" s="414" t="s">
        <v>1120</v>
      </c>
      <c r="G3852" s="430"/>
      <c r="H3852" s="415"/>
      <c r="I3852" s="414"/>
      <c r="J3852" s="718"/>
      <c r="K3852" s="719"/>
      <c r="L3852" s="719"/>
      <c r="M3852" s="720"/>
      <c r="N3852" s="720"/>
      <c r="O3852" s="720"/>
      <c r="P3852" s="720"/>
      <c r="Q3852" s="720"/>
      <c r="R3852" s="720"/>
      <c r="S3852" s="720"/>
      <c r="T3852" s="720"/>
      <c r="U3852" s="720"/>
      <c r="V3852" s="720"/>
      <c r="W3852" s="720"/>
      <c r="X3852" s="720"/>
      <c r="Y3852" s="720"/>
      <c r="Z3852" s="720"/>
      <c r="AA3852" s="720"/>
      <c r="AB3852" s="720"/>
      <c r="AC3852" s="720"/>
      <c r="AD3852" s="720"/>
      <c r="AE3852" s="720"/>
      <c r="AF3852" s="720"/>
      <c r="AG3852" s="720"/>
      <c r="AH3852" s="720"/>
      <c r="AI3852" s="720"/>
      <c r="AJ3852" s="720"/>
      <c r="AK3852" s="720"/>
      <c r="AL3852" s="720"/>
      <c r="AM3852" s="720"/>
      <c r="AN3852" s="720"/>
      <c r="AO3852" s="720"/>
      <c r="AP3852" s="720"/>
      <c r="AQ3852" s="720"/>
      <c r="AR3852" s="720"/>
      <c r="AS3852" s="720"/>
      <c r="AT3852" s="720"/>
      <c r="AU3852" s="720"/>
      <c r="AV3852" s="720"/>
      <c r="AW3852" s="720"/>
      <c r="AX3852" s="720"/>
      <c r="AY3852" s="720"/>
      <c r="AZ3852" s="720"/>
      <c r="BA3852" s="720"/>
      <c r="BB3852" s="720"/>
      <c r="BC3852" s="720"/>
      <c r="BD3852" s="720"/>
      <c r="BE3852" s="720"/>
      <c r="BF3852" s="720"/>
      <c r="BG3852" s="720"/>
      <c r="BH3852" s="720"/>
      <c r="BI3852" s="720"/>
      <c r="BJ3852" s="720"/>
      <c r="BK3852" s="720"/>
      <c r="BL3852" s="720"/>
    </row>
    <row r="3853" spans="1:64" ht="13">
      <c r="A3853" s="406"/>
      <c r="B3853" s="426"/>
      <c r="C3853" s="417" t="s">
        <v>1064</v>
      </c>
      <c r="D3853" s="408">
        <f>$I$3840</f>
        <v>641</v>
      </c>
      <c r="E3853" s="408">
        <f>$I$3840</f>
        <v>641</v>
      </c>
      <c r="F3853" s="408">
        <f>$I$3840</f>
        <v>641</v>
      </c>
      <c r="G3853" s="430"/>
      <c r="H3853" s="415"/>
      <c r="I3853" s="414"/>
      <c r="J3853" s="718"/>
      <c r="K3853" s="719"/>
      <c r="L3853" s="719"/>
      <c r="M3853" s="720"/>
      <c r="N3853" s="720"/>
      <c r="O3853" s="720"/>
      <c r="P3853" s="720"/>
      <c r="Q3853" s="720"/>
      <c r="R3853" s="720"/>
      <c r="S3853" s="720"/>
      <c r="T3853" s="720"/>
      <c r="U3853" s="720"/>
      <c r="V3853" s="720"/>
      <c r="W3853" s="720"/>
      <c r="X3853" s="720"/>
      <c r="Y3853" s="720"/>
      <c r="Z3853" s="720"/>
      <c r="AA3853" s="720"/>
      <c r="AB3853" s="720"/>
      <c r="AC3853" s="720"/>
      <c r="AD3853" s="720"/>
      <c r="AE3853" s="720"/>
      <c r="AF3853" s="720"/>
      <c r="AG3853" s="720"/>
      <c r="AH3853" s="720"/>
      <c r="AI3853" s="720"/>
      <c r="AJ3853" s="720"/>
      <c r="AK3853" s="720"/>
      <c r="AL3853" s="720"/>
      <c r="AM3853" s="720"/>
      <c r="AN3853" s="720"/>
      <c r="AO3853" s="720"/>
      <c r="AP3853" s="720"/>
      <c r="AQ3853" s="720"/>
      <c r="AR3853" s="720"/>
      <c r="AS3853" s="720"/>
      <c r="AT3853" s="720"/>
      <c r="AU3853" s="720"/>
      <c r="AV3853" s="720"/>
      <c r="AW3853" s="720"/>
      <c r="AX3853" s="720"/>
      <c r="AY3853" s="720"/>
      <c r="AZ3853" s="720"/>
      <c r="BA3853" s="720"/>
      <c r="BB3853" s="720"/>
      <c r="BC3853" s="720"/>
      <c r="BD3853" s="720"/>
      <c r="BE3853" s="720"/>
      <c r="BF3853" s="720"/>
      <c r="BG3853" s="720"/>
      <c r="BH3853" s="720"/>
      <c r="BI3853" s="720"/>
      <c r="BJ3853" s="720"/>
      <c r="BK3853" s="720"/>
      <c r="BL3853" s="720"/>
    </row>
    <row r="3854" spans="1:64" ht="13">
      <c r="A3854" s="406"/>
      <c r="B3854" s="426"/>
      <c r="C3854" s="417" t="s">
        <v>1059</v>
      </c>
      <c r="D3854" s="408">
        <f>'[161]Civil-SOR'!$F$225</f>
        <v>11.66</v>
      </c>
      <c r="E3854" s="408">
        <f>'[161]Civil-SOR'!$F$225</f>
        <v>11.66</v>
      </c>
      <c r="F3854" s="408">
        <f>'[161]Civil-SOR'!$F$225</f>
        <v>11.66</v>
      </c>
      <c r="G3854" s="430"/>
      <c r="H3854" s="415"/>
      <c r="I3854" s="414"/>
      <c r="J3854" s="718"/>
      <c r="K3854" s="719"/>
      <c r="L3854" s="719"/>
      <c r="M3854" s="720"/>
      <c r="N3854" s="720"/>
      <c r="O3854" s="720"/>
      <c r="P3854" s="720"/>
      <c r="Q3854" s="720"/>
      <c r="R3854" s="720"/>
      <c r="S3854" s="720"/>
      <c r="T3854" s="720"/>
      <c r="U3854" s="720"/>
      <c r="V3854" s="720"/>
      <c r="W3854" s="720"/>
      <c r="X3854" s="720"/>
      <c r="Y3854" s="720"/>
      <c r="Z3854" s="720"/>
      <c r="AA3854" s="720"/>
      <c r="AB3854" s="720"/>
      <c r="AC3854" s="720"/>
      <c r="AD3854" s="720"/>
      <c r="AE3854" s="720"/>
      <c r="AF3854" s="720"/>
      <c r="AG3854" s="720"/>
      <c r="AH3854" s="720"/>
      <c r="AI3854" s="720"/>
      <c r="AJ3854" s="720"/>
      <c r="AK3854" s="720"/>
      <c r="AL3854" s="720"/>
      <c r="AM3854" s="720"/>
      <c r="AN3854" s="720"/>
      <c r="AO3854" s="720"/>
      <c r="AP3854" s="720"/>
      <c r="AQ3854" s="720"/>
      <c r="AR3854" s="720"/>
      <c r="AS3854" s="720"/>
      <c r="AT3854" s="720"/>
      <c r="AU3854" s="720"/>
      <c r="AV3854" s="720"/>
      <c r="AW3854" s="720"/>
      <c r="AX3854" s="720"/>
      <c r="AY3854" s="720"/>
      <c r="AZ3854" s="720"/>
      <c r="BA3854" s="720"/>
      <c r="BB3854" s="720"/>
      <c r="BC3854" s="720"/>
      <c r="BD3854" s="720"/>
      <c r="BE3854" s="720"/>
      <c r="BF3854" s="720"/>
      <c r="BG3854" s="720"/>
      <c r="BH3854" s="720"/>
      <c r="BI3854" s="720"/>
      <c r="BJ3854" s="720"/>
      <c r="BK3854" s="720"/>
      <c r="BL3854" s="720"/>
    </row>
    <row r="3855" spans="1:64" ht="13">
      <c r="A3855" s="406"/>
      <c r="B3855" s="426"/>
      <c r="C3855" s="417" t="s">
        <v>1060</v>
      </c>
      <c r="D3855" s="408">
        <f>'[161]Civil-SOR'!$G$228</f>
        <v>342.42</v>
      </c>
      <c r="E3855" s="408">
        <f>'[161]Civil-SOR'!$G$229</f>
        <v>383.52</v>
      </c>
      <c r="F3855" s="408">
        <f>'[161]Civil-SOR'!$G$230</f>
        <v>424.84</v>
      </c>
      <c r="G3855" s="430"/>
      <c r="H3855" s="415"/>
      <c r="I3855" s="414"/>
      <c r="J3855" s="718"/>
      <c r="K3855" s="719"/>
      <c r="L3855" s="719"/>
      <c r="M3855" s="720"/>
      <c r="N3855" s="720"/>
      <c r="O3855" s="720"/>
      <c r="P3855" s="720"/>
      <c r="Q3855" s="720"/>
      <c r="R3855" s="720"/>
      <c r="S3855" s="720"/>
      <c r="T3855" s="720"/>
      <c r="U3855" s="720"/>
      <c r="V3855" s="720"/>
      <c r="W3855" s="720"/>
      <c r="X3855" s="720"/>
      <c r="Y3855" s="720"/>
      <c r="Z3855" s="720"/>
      <c r="AA3855" s="720"/>
      <c r="AB3855" s="720"/>
      <c r="AC3855" s="720"/>
      <c r="AD3855" s="720"/>
      <c r="AE3855" s="720"/>
      <c r="AF3855" s="720"/>
      <c r="AG3855" s="720"/>
      <c r="AH3855" s="720"/>
      <c r="AI3855" s="720"/>
      <c r="AJ3855" s="720"/>
      <c r="AK3855" s="720"/>
      <c r="AL3855" s="720"/>
      <c r="AM3855" s="720"/>
      <c r="AN3855" s="720"/>
      <c r="AO3855" s="720"/>
      <c r="AP3855" s="720"/>
      <c r="AQ3855" s="720"/>
      <c r="AR3855" s="720"/>
      <c r="AS3855" s="720"/>
      <c r="AT3855" s="720"/>
      <c r="AU3855" s="720"/>
      <c r="AV3855" s="720"/>
      <c r="AW3855" s="720"/>
      <c r="AX3855" s="720"/>
      <c r="AY3855" s="720"/>
      <c r="AZ3855" s="720"/>
      <c r="BA3855" s="720"/>
      <c r="BB3855" s="720"/>
      <c r="BC3855" s="720"/>
      <c r="BD3855" s="720"/>
      <c r="BE3855" s="720"/>
      <c r="BF3855" s="720"/>
      <c r="BG3855" s="720"/>
      <c r="BH3855" s="720"/>
      <c r="BI3855" s="720"/>
      <c r="BJ3855" s="720"/>
      <c r="BK3855" s="720"/>
      <c r="BL3855" s="720"/>
    </row>
    <row r="3856" spans="1:64" ht="13">
      <c r="A3856" s="406"/>
      <c r="B3856" s="426"/>
      <c r="C3856" s="417" t="str">
        <f>[161]Input!$C$47</f>
        <v>Add for MA @ 40%</v>
      </c>
      <c r="D3856" s="408">
        <f>D3855*[161]Input!$D$47</f>
        <v>136.96800000000002</v>
      </c>
      <c r="E3856" s="408">
        <f>E3855*[161]Input!$D$47</f>
        <v>153.40799999999999</v>
      </c>
      <c r="F3856" s="408">
        <f>F3855*[161]Input!$D$47</f>
        <v>169.93600000000001</v>
      </c>
      <c r="G3856" s="430"/>
      <c r="H3856" s="415"/>
      <c r="I3856" s="414"/>
      <c r="J3856" s="718"/>
      <c r="K3856" s="719"/>
      <c r="L3856" s="719"/>
      <c r="M3856" s="720"/>
      <c r="N3856" s="720"/>
      <c r="O3856" s="720"/>
      <c r="P3856" s="720"/>
      <c r="Q3856" s="720"/>
      <c r="R3856" s="720"/>
      <c r="S3856" s="720"/>
      <c r="T3856" s="720"/>
      <c r="U3856" s="720"/>
      <c r="V3856" s="720"/>
      <c r="W3856" s="720"/>
      <c r="X3856" s="720"/>
      <c r="Y3856" s="720"/>
      <c r="Z3856" s="720"/>
      <c r="AA3856" s="720"/>
      <c r="AB3856" s="720"/>
      <c r="AC3856" s="720"/>
      <c r="AD3856" s="720"/>
      <c r="AE3856" s="720"/>
      <c r="AF3856" s="720"/>
      <c r="AG3856" s="720"/>
      <c r="AH3856" s="720"/>
      <c r="AI3856" s="720"/>
      <c r="AJ3856" s="720"/>
      <c r="AK3856" s="720"/>
      <c r="AL3856" s="720"/>
      <c r="AM3856" s="720"/>
      <c r="AN3856" s="720"/>
      <c r="AO3856" s="720"/>
      <c r="AP3856" s="720"/>
      <c r="AQ3856" s="720"/>
      <c r="AR3856" s="720"/>
      <c r="AS3856" s="720"/>
      <c r="AT3856" s="720"/>
      <c r="AU3856" s="720"/>
      <c r="AV3856" s="720"/>
      <c r="AW3856" s="720"/>
      <c r="AX3856" s="720"/>
      <c r="AY3856" s="720"/>
      <c r="AZ3856" s="720"/>
      <c r="BA3856" s="720"/>
      <c r="BB3856" s="720"/>
      <c r="BC3856" s="720"/>
      <c r="BD3856" s="720"/>
      <c r="BE3856" s="720"/>
      <c r="BF3856" s="720"/>
      <c r="BG3856" s="720"/>
      <c r="BH3856" s="720"/>
      <c r="BI3856" s="720"/>
      <c r="BJ3856" s="720"/>
      <c r="BK3856" s="720"/>
      <c r="BL3856" s="720"/>
    </row>
    <row r="3857" spans="1:64" ht="13">
      <c r="A3857" s="406"/>
      <c r="B3857" s="426"/>
      <c r="C3857" s="427" t="s">
        <v>686</v>
      </c>
      <c r="D3857" s="414">
        <f>SUM(D3853:D3856)</f>
        <v>1132.048</v>
      </c>
      <c r="E3857" s="414">
        <f>SUM(E3853:E3856)</f>
        <v>1189.5879999999997</v>
      </c>
      <c r="F3857" s="414">
        <f>SUM(F3853:F3856)</f>
        <v>1247.4359999999999</v>
      </c>
      <c r="G3857" s="430"/>
      <c r="H3857" s="415"/>
      <c r="I3857" s="414"/>
      <c r="J3857" s="718"/>
      <c r="K3857" s="719"/>
      <c r="L3857" s="719"/>
      <c r="M3857" s="720"/>
      <c r="N3857" s="720"/>
      <c r="O3857" s="720"/>
      <c r="P3857" s="720"/>
      <c r="Q3857" s="720"/>
      <c r="R3857" s="720"/>
      <c r="S3857" s="720"/>
      <c r="T3857" s="720"/>
      <c r="U3857" s="720"/>
      <c r="V3857" s="720"/>
      <c r="W3857" s="720"/>
      <c r="X3857" s="720"/>
      <c r="Y3857" s="720"/>
      <c r="Z3857" s="720"/>
      <c r="AA3857" s="720"/>
      <c r="AB3857" s="720"/>
      <c r="AC3857" s="720"/>
      <c r="AD3857" s="720"/>
      <c r="AE3857" s="720"/>
      <c r="AF3857" s="720"/>
      <c r="AG3857" s="720"/>
      <c r="AH3857" s="720"/>
      <c r="AI3857" s="720"/>
      <c r="AJ3857" s="720"/>
      <c r="AK3857" s="720"/>
      <c r="AL3857" s="720"/>
      <c r="AM3857" s="720"/>
      <c r="AN3857" s="720"/>
      <c r="AO3857" s="720"/>
      <c r="AP3857" s="720"/>
      <c r="AQ3857" s="720"/>
      <c r="AR3857" s="720"/>
      <c r="AS3857" s="720"/>
      <c r="AT3857" s="720"/>
      <c r="AU3857" s="720"/>
      <c r="AV3857" s="720"/>
      <c r="AW3857" s="720"/>
      <c r="AX3857" s="720"/>
      <c r="AY3857" s="720"/>
      <c r="AZ3857" s="720"/>
      <c r="BA3857" s="720"/>
      <c r="BB3857" s="720"/>
      <c r="BC3857" s="720"/>
      <c r="BD3857" s="720"/>
      <c r="BE3857" s="720"/>
      <c r="BF3857" s="720"/>
      <c r="BG3857" s="720"/>
      <c r="BH3857" s="720"/>
      <c r="BI3857" s="720"/>
      <c r="BJ3857" s="720"/>
      <c r="BK3857" s="720"/>
      <c r="BL3857" s="720"/>
    </row>
    <row r="3858" spans="1:64" ht="25">
      <c r="A3858" s="406"/>
      <c r="B3858" s="426"/>
      <c r="C3858" s="417" t="str">
        <f>[161]Input!$C$48</f>
        <v>Overheads &amp; Contractors Profit @ 13.615%</v>
      </c>
      <c r="D3858" s="426">
        <f>ROUND(D3857*[161]Input!$D$48,2)</f>
        <v>154.13</v>
      </c>
      <c r="E3858" s="426">
        <f>ROUND(E3857*[161]Input!$D$48,2)</f>
        <v>161.96</v>
      </c>
      <c r="F3858" s="426">
        <f>ROUND(F3857*[161]Input!$D$48,2)</f>
        <v>169.84</v>
      </c>
      <c r="G3858" s="430"/>
      <c r="H3858" s="415"/>
      <c r="I3858" s="414"/>
      <c r="J3858" s="718"/>
      <c r="K3858" s="719"/>
      <c r="L3858" s="719"/>
      <c r="M3858" s="720"/>
      <c r="N3858" s="720"/>
      <c r="O3858" s="720"/>
      <c r="P3858" s="720"/>
      <c r="Q3858" s="720"/>
      <c r="R3858" s="720"/>
      <c r="S3858" s="720"/>
      <c r="T3858" s="720"/>
      <c r="U3858" s="720"/>
      <c r="V3858" s="720"/>
      <c r="W3858" s="720"/>
      <c r="X3858" s="720"/>
      <c r="Y3858" s="720"/>
      <c r="Z3858" s="720"/>
      <c r="AA3858" s="720"/>
      <c r="AB3858" s="720"/>
      <c r="AC3858" s="720"/>
      <c r="AD3858" s="720"/>
      <c r="AE3858" s="720"/>
      <c r="AF3858" s="720"/>
      <c r="AG3858" s="720"/>
      <c r="AH3858" s="720"/>
      <c r="AI3858" s="720"/>
      <c r="AJ3858" s="720"/>
      <c r="AK3858" s="720"/>
      <c r="AL3858" s="720"/>
      <c r="AM3858" s="720"/>
      <c r="AN3858" s="720"/>
      <c r="AO3858" s="720"/>
      <c r="AP3858" s="720"/>
      <c r="AQ3858" s="720"/>
      <c r="AR3858" s="720"/>
      <c r="AS3858" s="720"/>
      <c r="AT3858" s="720"/>
      <c r="AU3858" s="720"/>
      <c r="AV3858" s="720"/>
      <c r="AW3858" s="720"/>
      <c r="AX3858" s="720"/>
      <c r="AY3858" s="720"/>
      <c r="AZ3858" s="720"/>
      <c r="BA3858" s="720"/>
      <c r="BB3858" s="720"/>
      <c r="BC3858" s="720"/>
      <c r="BD3858" s="720"/>
      <c r="BE3858" s="720"/>
      <c r="BF3858" s="720"/>
      <c r="BG3858" s="720"/>
      <c r="BH3858" s="720"/>
      <c r="BI3858" s="720"/>
      <c r="BJ3858" s="720"/>
      <c r="BK3858" s="720"/>
      <c r="BL3858" s="720"/>
    </row>
    <row r="3859" spans="1:64" ht="13">
      <c r="A3859" s="406"/>
      <c r="B3859" s="426"/>
      <c r="C3859" s="427" t="s">
        <v>742</v>
      </c>
      <c r="D3859" s="409">
        <f>SUM(D3857:D3858)</f>
        <v>1286.1779999999999</v>
      </c>
      <c r="E3859" s="409">
        <f>SUM(E3857:E3858)</f>
        <v>1351.5479999999998</v>
      </c>
      <c r="F3859" s="409">
        <f>SUM(F3857:F3858)</f>
        <v>1417.2759999999998</v>
      </c>
      <c r="G3859" s="430"/>
      <c r="H3859" s="415"/>
      <c r="I3859" s="414"/>
      <c r="J3859" s="718"/>
      <c r="K3859" s="719"/>
      <c r="L3859" s="719"/>
      <c r="M3859" s="720"/>
      <c r="N3859" s="720"/>
      <c r="O3859" s="720"/>
      <c r="P3859" s="720"/>
      <c r="Q3859" s="720"/>
      <c r="R3859" s="720"/>
      <c r="S3859" s="720"/>
      <c r="T3859" s="720"/>
      <c r="U3859" s="720"/>
      <c r="V3859" s="720"/>
      <c r="W3859" s="720"/>
      <c r="X3859" s="720"/>
      <c r="Y3859" s="720"/>
      <c r="Z3859" s="720"/>
      <c r="AA3859" s="720"/>
      <c r="AB3859" s="720"/>
      <c r="AC3859" s="720"/>
      <c r="AD3859" s="720"/>
      <c r="AE3859" s="720"/>
      <c r="AF3859" s="720"/>
      <c r="AG3859" s="720"/>
      <c r="AH3859" s="720"/>
      <c r="AI3859" s="720"/>
      <c r="AJ3859" s="720"/>
      <c r="AK3859" s="720"/>
      <c r="AL3859" s="720"/>
      <c r="AM3859" s="720"/>
      <c r="AN3859" s="720"/>
      <c r="AO3859" s="720"/>
      <c r="AP3859" s="720"/>
      <c r="AQ3859" s="720"/>
      <c r="AR3859" s="720"/>
      <c r="AS3859" s="720"/>
      <c r="AT3859" s="720"/>
      <c r="AU3859" s="720"/>
      <c r="AV3859" s="720"/>
      <c r="AW3859" s="720"/>
      <c r="AX3859" s="720"/>
      <c r="AY3859" s="720"/>
      <c r="AZ3859" s="720"/>
      <c r="BA3859" s="720"/>
      <c r="BB3859" s="720"/>
      <c r="BC3859" s="720"/>
      <c r="BD3859" s="720"/>
      <c r="BE3859" s="720"/>
      <c r="BF3859" s="720"/>
      <c r="BG3859" s="720"/>
      <c r="BH3859" s="720"/>
      <c r="BI3859" s="720"/>
      <c r="BJ3859" s="720"/>
      <c r="BK3859" s="720"/>
      <c r="BL3859" s="720"/>
    </row>
    <row r="3860" spans="1:64" ht="13">
      <c r="A3860" s="406"/>
      <c r="B3860" s="426"/>
      <c r="C3860" s="514" t="s">
        <v>726</v>
      </c>
      <c r="D3860" s="416">
        <f>ROUND(D3859,0)</f>
        <v>1286</v>
      </c>
      <c r="E3860" s="416">
        <f>ROUND(E3859,0)</f>
        <v>1352</v>
      </c>
      <c r="F3860" s="416">
        <f>ROUND(F3859,0)</f>
        <v>1417</v>
      </c>
      <c r="G3860" s="430"/>
      <c r="H3860" s="415"/>
      <c r="I3860" s="414"/>
      <c r="J3860" s="718"/>
      <c r="K3860" s="719"/>
      <c r="L3860" s="719"/>
      <c r="M3860" s="720"/>
      <c r="N3860" s="720"/>
      <c r="O3860" s="720"/>
      <c r="P3860" s="720"/>
      <c r="Q3860" s="720"/>
      <c r="R3860" s="720"/>
      <c r="S3860" s="720"/>
      <c r="T3860" s="720"/>
      <c r="U3860" s="720"/>
      <c r="V3860" s="720"/>
      <c r="W3860" s="720"/>
      <c r="X3860" s="720"/>
      <c r="Y3860" s="720"/>
      <c r="Z3860" s="720"/>
      <c r="AA3860" s="720"/>
      <c r="AB3860" s="720"/>
      <c r="AC3860" s="720"/>
      <c r="AD3860" s="720"/>
      <c r="AE3860" s="720"/>
      <c r="AF3860" s="720"/>
      <c r="AG3860" s="720"/>
      <c r="AH3860" s="720"/>
      <c r="AI3860" s="720"/>
      <c r="AJ3860" s="720"/>
      <c r="AK3860" s="720"/>
      <c r="AL3860" s="720"/>
      <c r="AM3860" s="720"/>
      <c r="AN3860" s="720"/>
      <c r="AO3860" s="720"/>
      <c r="AP3860" s="720"/>
      <c r="AQ3860" s="720"/>
      <c r="AR3860" s="720"/>
      <c r="AS3860" s="720"/>
      <c r="AT3860" s="720"/>
      <c r="AU3860" s="720"/>
      <c r="AV3860" s="720"/>
      <c r="AW3860" s="720"/>
      <c r="AX3860" s="720"/>
      <c r="AY3860" s="720"/>
      <c r="AZ3860" s="720"/>
      <c r="BA3860" s="720"/>
      <c r="BB3860" s="720"/>
      <c r="BC3860" s="720"/>
      <c r="BD3860" s="720"/>
      <c r="BE3860" s="720"/>
      <c r="BF3860" s="720"/>
      <c r="BG3860" s="720"/>
      <c r="BH3860" s="720"/>
      <c r="BI3860" s="720"/>
      <c r="BJ3860" s="720"/>
      <c r="BK3860" s="720"/>
      <c r="BL3860" s="720"/>
    </row>
    <row r="3861" spans="1:64" ht="13">
      <c r="A3861" s="406"/>
      <c r="B3861" s="426"/>
      <c r="C3861" s="427"/>
      <c r="D3861" s="408"/>
      <c r="E3861" s="454"/>
      <c r="F3861" s="408"/>
      <c r="G3861" s="430"/>
      <c r="H3861" s="415"/>
      <c r="I3861" s="414"/>
      <c r="J3861" s="718"/>
      <c r="K3861" s="719"/>
      <c r="L3861" s="719"/>
      <c r="M3861" s="720"/>
      <c r="N3861" s="720"/>
      <c r="O3861" s="720"/>
      <c r="P3861" s="720"/>
      <c r="Q3861" s="720"/>
      <c r="R3861" s="720"/>
      <c r="S3861" s="720"/>
      <c r="T3861" s="720"/>
      <c r="U3861" s="720"/>
      <c r="V3861" s="720"/>
      <c r="W3861" s="720"/>
      <c r="X3861" s="720"/>
      <c r="Y3861" s="720"/>
      <c r="Z3861" s="720"/>
      <c r="AA3861" s="720"/>
      <c r="AB3861" s="720"/>
      <c r="AC3861" s="720"/>
      <c r="AD3861" s="720"/>
      <c r="AE3861" s="720"/>
      <c r="AF3861" s="720"/>
      <c r="AG3861" s="720"/>
      <c r="AH3861" s="720"/>
      <c r="AI3861" s="720"/>
      <c r="AJ3861" s="720"/>
      <c r="AK3861" s="720"/>
      <c r="AL3861" s="720"/>
      <c r="AM3861" s="720"/>
      <c r="AN3861" s="720"/>
      <c r="AO3861" s="720"/>
      <c r="AP3861" s="720"/>
      <c r="AQ3861" s="720"/>
      <c r="AR3861" s="720"/>
      <c r="AS3861" s="720"/>
      <c r="AT3861" s="720"/>
      <c r="AU3861" s="720"/>
      <c r="AV3861" s="720"/>
      <c r="AW3861" s="720"/>
      <c r="AX3861" s="720"/>
      <c r="AY3861" s="720"/>
      <c r="AZ3861" s="720"/>
      <c r="BA3861" s="720"/>
      <c r="BB3861" s="720"/>
      <c r="BC3861" s="720"/>
      <c r="BD3861" s="720"/>
      <c r="BE3861" s="720"/>
      <c r="BF3861" s="720"/>
      <c r="BG3861" s="720"/>
      <c r="BH3861" s="720"/>
      <c r="BI3861" s="720"/>
      <c r="BJ3861" s="720"/>
      <c r="BK3861" s="720"/>
      <c r="BL3861" s="720"/>
    </row>
    <row r="3862" spans="1:64" ht="47.9" customHeight="1">
      <c r="A3862" s="454">
        <f>A3838+1</f>
        <v>19</v>
      </c>
      <c r="B3862" s="454"/>
      <c r="C3862" s="1276" t="s">
        <v>1339</v>
      </c>
      <c r="D3862" s="1276"/>
      <c r="E3862" s="1276"/>
      <c r="F3862" s="1276"/>
      <c r="G3862" s="1276"/>
      <c r="H3862" s="1276"/>
      <c r="I3862" s="407"/>
      <c r="J3862" s="400"/>
      <c r="K3862" s="401"/>
      <c r="L3862" s="401"/>
    </row>
    <row r="3863" spans="1:64" ht="13">
      <c r="A3863" s="454"/>
      <c r="B3863" s="454"/>
      <c r="C3863" s="455" t="s">
        <v>1340</v>
      </c>
      <c r="D3863" s="408"/>
      <c r="E3863" s="454"/>
      <c r="F3863" s="408"/>
      <c r="G3863" s="454"/>
      <c r="H3863" s="456" t="str">
        <f>IF(E3863="","",IF(E3863="No.","Each",IF(E3863="Nos.","Each",E3863)))</f>
        <v/>
      </c>
      <c r="I3863" s="408"/>
      <c r="J3863" s="400"/>
      <c r="K3863" s="401"/>
      <c r="L3863" s="401"/>
    </row>
    <row r="3864" spans="1:64">
      <c r="A3864" s="454"/>
      <c r="B3864" s="454"/>
      <c r="C3864" s="417" t="s">
        <v>1127</v>
      </c>
      <c r="D3864" s="408"/>
      <c r="E3864" s="454"/>
      <c r="F3864" s="408"/>
      <c r="G3864" s="454"/>
      <c r="H3864" s="456"/>
      <c r="I3864" s="408"/>
      <c r="J3864" s="400"/>
      <c r="K3864" s="401"/>
      <c r="L3864" s="401"/>
    </row>
    <row r="3865" spans="1:64" ht="13">
      <c r="A3865" s="454"/>
      <c r="B3865" s="454"/>
      <c r="C3865" s="427" t="s">
        <v>873</v>
      </c>
      <c r="D3865" s="408"/>
      <c r="E3865" s="454"/>
      <c r="F3865" s="408"/>
      <c r="G3865" s="454"/>
      <c r="H3865" s="456"/>
      <c r="I3865" s="408"/>
      <c r="J3865" s="418"/>
      <c r="K3865" s="419"/>
      <c r="L3865" s="419"/>
      <c r="M3865" s="475"/>
      <c r="N3865" s="475"/>
      <c r="O3865" s="475"/>
      <c r="P3865" s="475"/>
      <c r="Q3865" s="475"/>
      <c r="R3865" s="475"/>
      <c r="S3865" s="475"/>
      <c r="T3865" s="475"/>
      <c r="U3865" s="475"/>
      <c r="V3865" s="475"/>
      <c r="W3865" s="475"/>
      <c r="X3865" s="475"/>
      <c r="Y3865" s="475"/>
      <c r="Z3865" s="475"/>
      <c r="AA3865" s="475"/>
      <c r="AB3865" s="475"/>
      <c r="AC3865" s="475"/>
      <c r="AD3865" s="475"/>
      <c r="AE3865" s="475"/>
      <c r="AF3865" s="475"/>
      <c r="AG3865" s="475"/>
      <c r="AH3865" s="475"/>
      <c r="AI3865" s="475"/>
      <c r="AJ3865" s="475"/>
      <c r="AK3865" s="475"/>
      <c r="AL3865" s="475"/>
      <c r="AM3865" s="475"/>
      <c r="AN3865" s="475"/>
      <c r="AO3865" s="475"/>
      <c r="AP3865" s="475"/>
      <c r="AQ3865" s="475"/>
      <c r="AR3865" s="475"/>
      <c r="AS3865" s="475"/>
      <c r="AT3865" s="475"/>
      <c r="AU3865" s="475"/>
      <c r="AV3865" s="475"/>
      <c r="AW3865" s="475"/>
      <c r="AX3865" s="475"/>
      <c r="AY3865" s="475"/>
      <c r="AZ3865" s="475"/>
      <c r="BA3865" s="475"/>
      <c r="BB3865" s="475"/>
      <c r="BC3865" s="475"/>
      <c r="BD3865" s="475"/>
      <c r="BE3865" s="475"/>
      <c r="BF3865" s="475"/>
      <c r="BG3865" s="475"/>
      <c r="BH3865" s="475"/>
      <c r="BI3865" s="475"/>
      <c r="BJ3865" s="475"/>
      <c r="BK3865" s="475"/>
      <c r="BL3865" s="475"/>
    </row>
    <row r="3866" spans="1:64">
      <c r="A3866" s="454"/>
      <c r="B3866" s="454"/>
      <c r="C3866" s="417" t="s">
        <v>1341</v>
      </c>
      <c r="D3866" s="408">
        <v>2</v>
      </c>
      <c r="E3866" s="454" t="s">
        <v>1342</v>
      </c>
      <c r="F3866" s="408">
        <f>'[161]Civil-SOR'!$G$185</f>
        <v>34</v>
      </c>
      <c r="G3866" s="430">
        <f>'[161]Civil-SOR'!$H$185</f>
        <v>1</v>
      </c>
      <c r="H3866" s="456" t="str">
        <f>IF(E3866="","",IF(E3866="No.","Each",IF(E3866="Nos.","Each",E3866)))</f>
        <v>kgs</v>
      </c>
      <c r="I3866" s="408">
        <f>IF(G3866="",D3866*F3866,(D3866*F3866/G3866))</f>
        <v>68</v>
      </c>
      <c r="J3866" s="418"/>
      <c r="K3866" s="419"/>
      <c r="L3866" s="419"/>
      <c r="M3866" s="475"/>
      <c r="N3866" s="475"/>
      <c r="O3866" s="475"/>
      <c r="P3866" s="475"/>
      <c r="Q3866" s="475"/>
      <c r="R3866" s="475"/>
      <c r="S3866" s="475"/>
      <c r="T3866" s="475"/>
      <c r="U3866" s="475"/>
      <c r="V3866" s="475"/>
      <c r="W3866" s="475"/>
      <c r="X3866" s="475"/>
      <c r="Y3866" s="475"/>
      <c r="Z3866" s="475"/>
      <c r="AA3866" s="475"/>
      <c r="AB3866" s="475"/>
      <c r="AC3866" s="475"/>
      <c r="AD3866" s="475"/>
      <c r="AE3866" s="475"/>
      <c r="AF3866" s="475"/>
      <c r="AG3866" s="475"/>
      <c r="AH3866" s="475"/>
      <c r="AI3866" s="475"/>
      <c r="AJ3866" s="475"/>
      <c r="AK3866" s="475"/>
      <c r="AL3866" s="475"/>
      <c r="AM3866" s="475"/>
      <c r="AN3866" s="475"/>
      <c r="AO3866" s="475"/>
      <c r="AP3866" s="475"/>
      <c r="AQ3866" s="475"/>
      <c r="AR3866" s="475"/>
      <c r="AS3866" s="475"/>
      <c r="AT3866" s="475"/>
      <c r="AU3866" s="475"/>
      <c r="AV3866" s="475"/>
      <c r="AW3866" s="475"/>
      <c r="AX3866" s="475"/>
      <c r="AY3866" s="475"/>
      <c r="AZ3866" s="475"/>
      <c r="BA3866" s="475"/>
      <c r="BB3866" s="475"/>
      <c r="BC3866" s="475"/>
      <c r="BD3866" s="475"/>
      <c r="BE3866" s="475"/>
      <c r="BF3866" s="475"/>
      <c r="BG3866" s="475"/>
      <c r="BH3866" s="475"/>
      <c r="BI3866" s="475"/>
      <c r="BJ3866" s="475"/>
      <c r="BK3866" s="475"/>
      <c r="BL3866" s="475"/>
    </row>
    <row r="3867" spans="1:64" ht="13">
      <c r="A3867" s="454"/>
      <c r="B3867" s="454"/>
      <c r="C3867" s="427" t="s">
        <v>911</v>
      </c>
      <c r="D3867" s="408"/>
      <c r="E3867" s="454"/>
      <c r="F3867" s="408"/>
      <c r="G3867" s="454"/>
      <c r="H3867" s="456"/>
      <c r="I3867" s="408"/>
      <c r="J3867" s="418"/>
      <c r="K3867" s="419"/>
      <c r="L3867" s="419"/>
      <c r="M3867" s="475"/>
      <c r="N3867" s="475"/>
      <c r="O3867" s="475"/>
      <c r="P3867" s="475"/>
      <c r="Q3867" s="475"/>
      <c r="R3867" s="475"/>
      <c r="S3867" s="475"/>
      <c r="T3867" s="475"/>
      <c r="U3867" s="475"/>
      <c r="V3867" s="475"/>
      <c r="W3867" s="475"/>
      <c r="X3867" s="475"/>
      <c r="Y3867" s="475"/>
      <c r="Z3867" s="475"/>
      <c r="AA3867" s="475"/>
      <c r="AB3867" s="475"/>
      <c r="AC3867" s="475"/>
      <c r="AD3867" s="475"/>
      <c r="AE3867" s="475"/>
      <c r="AF3867" s="475"/>
      <c r="AG3867" s="475"/>
      <c r="AH3867" s="475"/>
      <c r="AI3867" s="475"/>
      <c r="AJ3867" s="475"/>
      <c r="AK3867" s="475"/>
      <c r="AL3867" s="475"/>
      <c r="AM3867" s="475"/>
      <c r="AN3867" s="475"/>
      <c r="AO3867" s="475"/>
      <c r="AP3867" s="475"/>
      <c r="AQ3867" s="475"/>
      <c r="AR3867" s="475"/>
      <c r="AS3867" s="475"/>
      <c r="AT3867" s="475"/>
      <c r="AU3867" s="475"/>
      <c r="AV3867" s="475"/>
      <c r="AW3867" s="475"/>
      <c r="AX3867" s="475"/>
      <c r="AY3867" s="475"/>
      <c r="AZ3867" s="475"/>
      <c r="BA3867" s="475"/>
      <c r="BB3867" s="475"/>
      <c r="BC3867" s="475"/>
      <c r="BD3867" s="475"/>
      <c r="BE3867" s="475"/>
      <c r="BF3867" s="475"/>
      <c r="BG3867" s="475"/>
      <c r="BH3867" s="475"/>
      <c r="BI3867" s="475"/>
      <c r="BJ3867" s="475"/>
      <c r="BK3867" s="475"/>
      <c r="BL3867" s="475"/>
    </row>
    <row r="3868" spans="1:64">
      <c r="A3868" s="454"/>
      <c r="B3868" s="454"/>
      <c r="C3868" s="417" t="s">
        <v>1343</v>
      </c>
      <c r="D3868" s="454">
        <v>6.3E-2</v>
      </c>
      <c r="E3868" s="454" t="s">
        <v>375</v>
      </c>
      <c r="F3868" s="408">
        <f>'[161]Civil-SOR'!$G$296</f>
        <v>665</v>
      </c>
      <c r="G3868" s="454">
        <v>1</v>
      </c>
      <c r="H3868" s="456" t="str">
        <f t="shared" ref="H3868:H3872" si="889">IF(E3868="","",IF(E3868="No.","Each",IF(E3868="Nos.","Each",E3868)))</f>
        <v>Each</v>
      </c>
      <c r="I3868" s="408">
        <f t="shared" ref="I3868:I3871" si="890">IF(G3868="",D3868*F3868,(D3868*F3868/G3868))</f>
        <v>41.895000000000003</v>
      </c>
      <c r="J3868" s="418"/>
      <c r="K3868" s="419"/>
      <c r="L3868" s="419"/>
      <c r="M3868" s="475"/>
      <c r="N3868" s="475"/>
      <c r="O3868" s="475"/>
      <c r="P3868" s="475"/>
      <c r="Q3868" s="475"/>
      <c r="R3868" s="475"/>
      <c r="S3868" s="475"/>
      <c r="T3868" s="475"/>
      <c r="U3868" s="475"/>
      <c r="V3868" s="475"/>
      <c r="W3868" s="475"/>
      <c r="X3868" s="475"/>
      <c r="Y3868" s="475"/>
      <c r="Z3868" s="475"/>
      <c r="AA3868" s="475"/>
      <c r="AB3868" s="475"/>
      <c r="AC3868" s="475"/>
      <c r="AD3868" s="475"/>
      <c r="AE3868" s="475"/>
      <c r="AF3868" s="475"/>
      <c r="AG3868" s="475"/>
      <c r="AH3868" s="475"/>
      <c r="AI3868" s="475"/>
      <c r="AJ3868" s="475"/>
      <c r="AK3868" s="475"/>
      <c r="AL3868" s="475"/>
      <c r="AM3868" s="475"/>
      <c r="AN3868" s="475"/>
      <c r="AO3868" s="475"/>
      <c r="AP3868" s="475"/>
      <c r="AQ3868" s="475"/>
      <c r="AR3868" s="475"/>
      <c r="AS3868" s="475"/>
      <c r="AT3868" s="475"/>
      <c r="AU3868" s="475"/>
      <c r="AV3868" s="475"/>
      <c r="AW3868" s="475"/>
      <c r="AX3868" s="475"/>
      <c r="AY3868" s="475"/>
      <c r="AZ3868" s="475"/>
      <c r="BA3868" s="475"/>
      <c r="BB3868" s="475"/>
      <c r="BC3868" s="475"/>
      <c r="BD3868" s="475"/>
      <c r="BE3868" s="475"/>
      <c r="BF3868" s="475"/>
      <c r="BG3868" s="475"/>
      <c r="BH3868" s="475"/>
      <c r="BI3868" s="475"/>
      <c r="BJ3868" s="475"/>
      <c r="BK3868" s="475"/>
      <c r="BL3868" s="475"/>
    </row>
    <row r="3869" spans="1:64">
      <c r="A3869" s="454"/>
      <c r="B3869" s="454"/>
      <c r="C3869" s="417" t="s">
        <v>1344</v>
      </c>
      <c r="D3869" s="454">
        <v>0.14699999999999999</v>
      </c>
      <c r="E3869" s="454" t="s">
        <v>375</v>
      </c>
      <c r="F3869" s="408">
        <f>'[161]Civil-SOR'!$G$303</f>
        <v>550</v>
      </c>
      <c r="G3869" s="454">
        <v>1</v>
      </c>
      <c r="H3869" s="456" t="str">
        <f t="shared" si="889"/>
        <v>Each</v>
      </c>
      <c r="I3869" s="408">
        <f t="shared" si="890"/>
        <v>80.849999999999994</v>
      </c>
      <c r="J3869" s="418"/>
      <c r="K3869" s="419"/>
      <c r="L3869" s="419"/>
      <c r="M3869" s="475"/>
      <c r="N3869" s="475"/>
      <c r="O3869" s="475"/>
      <c r="P3869" s="475"/>
      <c r="Q3869" s="475"/>
      <c r="R3869" s="475"/>
      <c r="S3869" s="475"/>
      <c r="T3869" s="475"/>
      <c r="U3869" s="475"/>
      <c r="V3869" s="475"/>
      <c r="W3869" s="475"/>
      <c r="X3869" s="475"/>
      <c r="Y3869" s="475"/>
      <c r="Z3869" s="475"/>
      <c r="AA3869" s="475"/>
      <c r="AB3869" s="475"/>
      <c r="AC3869" s="475"/>
      <c r="AD3869" s="475"/>
      <c r="AE3869" s="475"/>
      <c r="AF3869" s="475"/>
      <c r="AG3869" s="475"/>
      <c r="AH3869" s="475"/>
      <c r="AI3869" s="475"/>
      <c r="AJ3869" s="475"/>
      <c r="AK3869" s="475"/>
      <c r="AL3869" s="475"/>
      <c r="AM3869" s="475"/>
      <c r="AN3869" s="475"/>
      <c r="AO3869" s="475"/>
      <c r="AP3869" s="475"/>
      <c r="AQ3869" s="475"/>
      <c r="AR3869" s="475"/>
      <c r="AS3869" s="475"/>
      <c r="AT3869" s="475"/>
      <c r="AU3869" s="475"/>
      <c r="AV3869" s="475"/>
      <c r="AW3869" s="475"/>
      <c r="AX3869" s="475"/>
      <c r="AY3869" s="475"/>
      <c r="AZ3869" s="475"/>
      <c r="BA3869" s="475"/>
      <c r="BB3869" s="475"/>
      <c r="BC3869" s="475"/>
      <c r="BD3869" s="475"/>
      <c r="BE3869" s="475"/>
      <c r="BF3869" s="475"/>
      <c r="BG3869" s="475"/>
      <c r="BH3869" s="475"/>
      <c r="BI3869" s="475"/>
      <c r="BJ3869" s="475"/>
      <c r="BK3869" s="475"/>
      <c r="BL3869" s="475"/>
    </row>
    <row r="3870" spans="1:64">
      <c r="A3870" s="454"/>
      <c r="B3870" s="454"/>
      <c r="C3870" s="417" t="s">
        <v>723</v>
      </c>
      <c r="D3870" s="454">
        <v>0.32</v>
      </c>
      <c r="E3870" s="454" t="s">
        <v>375</v>
      </c>
      <c r="F3870" s="408">
        <f>'[161]Civil-SOR'!$G$307</f>
        <v>520</v>
      </c>
      <c r="G3870" s="454">
        <v>1</v>
      </c>
      <c r="H3870" s="456" t="str">
        <f t="shared" si="889"/>
        <v>Each</v>
      </c>
      <c r="I3870" s="408">
        <f t="shared" si="890"/>
        <v>166.4</v>
      </c>
      <c r="J3870" s="418"/>
      <c r="K3870" s="419"/>
      <c r="L3870" s="419"/>
      <c r="M3870" s="475"/>
      <c r="N3870" s="475"/>
      <c r="O3870" s="475"/>
      <c r="P3870" s="475"/>
      <c r="Q3870" s="475"/>
      <c r="R3870" s="475"/>
      <c r="S3870" s="475"/>
      <c r="T3870" s="475"/>
      <c r="U3870" s="475"/>
      <c r="V3870" s="475"/>
      <c r="W3870" s="475"/>
      <c r="X3870" s="475"/>
      <c r="Y3870" s="475"/>
      <c r="Z3870" s="475"/>
      <c r="AA3870" s="475"/>
      <c r="AB3870" s="475"/>
      <c r="AC3870" s="475"/>
      <c r="AD3870" s="475"/>
      <c r="AE3870" s="475"/>
      <c r="AF3870" s="475"/>
      <c r="AG3870" s="475"/>
      <c r="AH3870" s="475"/>
      <c r="AI3870" s="475"/>
      <c r="AJ3870" s="475"/>
      <c r="AK3870" s="475"/>
      <c r="AL3870" s="475"/>
      <c r="AM3870" s="475"/>
      <c r="AN3870" s="475"/>
      <c r="AO3870" s="475"/>
      <c r="AP3870" s="475"/>
      <c r="AQ3870" s="475"/>
      <c r="AR3870" s="475"/>
      <c r="AS3870" s="475"/>
      <c r="AT3870" s="475"/>
      <c r="AU3870" s="475"/>
      <c r="AV3870" s="475"/>
      <c r="AW3870" s="475"/>
      <c r="AX3870" s="475"/>
      <c r="AY3870" s="475"/>
      <c r="AZ3870" s="475"/>
      <c r="BA3870" s="475"/>
      <c r="BB3870" s="475"/>
      <c r="BC3870" s="475"/>
      <c r="BD3870" s="475"/>
      <c r="BE3870" s="475"/>
      <c r="BF3870" s="475"/>
      <c r="BG3870" s="475"/>
      <c r="BH3870" s="475"/>
      <c r="BI3870" s="475"/>
      <c r="BJ3870" s="475"/>
      <c r="BK3870" s="475"/>
      <c r="BL3870" s="475"/>
    </row>
    <row r="3871" spans="1:64">
      <c r="A3871" s="454"/>
      <c r="B3871" s="454"/>
      <c r="C3871" s="417" t="str">
        <f>[161]Input!$C$47</f>
        <v>Add for MA @ 40%</v>
      </c>
      <c r="D3871" s="621">
        <f>[161]Input!$D$47</f>
        <v>0.4</v>
      </c>
      <c r="E3871" s="454"/>
      <c r="F3871" s="408">
        <f>SUM(I3868:I3870)</f>
        <v>289.14499999999998</v>
      </c>
      <c r="G3871" s="426"/>
      <c r="H3871" s="426" t="str">
        <f t="shared" si="889"/>
        <v/>
      </c>
      <c r="I3871" s="408">
        <f t="shared" si="890"/>
        <v>115.658</v>
      </c>
      <c r="J3871" s="418"/>
      <c r="K3871" s="419"/>
      <c r="L3871" s="419"/>
      <c r="M3871" s="475"/>
      <c r="N3871" s="475"/>
      <c r="O3871" s="475"/>
      <c r="P3871" s="475"/>
      <c r="Q3871" s="475"/>
      <c r="R3871" s="475"/>
      <c r="S3871" s="475"/>
      <c r="T3871" s="475"/>
      <c r="U3871" s="475"/>
      <c r="V3871" s="475"/>
      <c r="W3871" s="475"/>
      <c r="X3871" s="475"/>
      <c r="Y3871" s="475"/>
      <c r="Z3871" s="475"/>
      <c r="AA3871" s="475"/>
      <c r="AB3871" s="475"/>
      <c r="AC3871" s="475"/>
      <c r="AD3871" s="475"/>
      <c r="AE3871" s="475"/>
      <c r="AF3871" s="475"/>
      <c r="AG3871" s="475"/>
      <c r="AH3871" s="475"/>
      <c r="AI3871" s="475"/>
      <c r="AJ3871" s="475"/>
      <c r="AK3871" s="475"/>
      <c r="AL3871" s="475"/>
      <c r="AM3871" s="475"/>
      <c r="AN3871" s="475"/>
      <c r="AO3871" s="475"/>
      <c r="AP3871" s="475"/>
      <c r="AQ3871" s="475"/>
      <c r="AR3871" s="475"/>
      <c r="AS3871" s="475"/>
      <c r="AT3871" s="475"/>
      <c r="AU3871" s="475"/>
      <c r="AV3871" s="475"/>
      <c r="AW3871" s="475"/>
      <c r="AX3871" s="475"/>
      <c r="AY3871" s="475"/>
      <c r="AZ3871" s="475"/>
      <c r="BA3871" s="475"/>
      <c r="BB3871" s="475"/>
      <c r="BC3871" s="475"/>
      <c r="BD3871" s="475"/>
      <c r="BE3871" s="475"/>
      <c r="BF3871" s="475"/>
      <c r="BG3871" s="475"/>
      <c r="BH3871" s="475"/>
      <c r="BI3871" s="475"/>
      <c r="BJ3871" s="475"/>
      <c r="BK3871" s="475"/>
      <c r="BL3871" s="475"/>
    </row>
    <row r="3872" spans="1:64" ht="25">
      <c r="A3872" s="454"/>
      <c r="B3872" s="454"/>
      <c r="C3872" s="417" t="s">
        <v>1345</v>
      </c>
      <c r="D3872" s="734">
        <v>0.01</v>
      </c>
      <c r="E3872" s="454"/>
      <c r="F3872" s="408">
        <f>SUM(I3866:I3871)</f>
        <v>472.803</v>
      </c>
      <c r="G3872" s="454"/>
      <c r="H3872" s="456" t="str">
        <f t="shared" si="889"/>
        <v/>
      </c>
      <c r="I3872" s="408"/>
      <c r="J3872" s="418"/>
      <c r="K3872" s="419"/>
      <c r="L3872" s="419"/>
      <c r="M3872" s="475"/>
      <c r="N3872" s="475"/>
      <c r="O3872" s="475"/>
      <c r="P3872" s="475"/>
      <c r="Q3872" s="475"/>
      <c r="R3872" s="475"/>
      <c r="S3872" s="475"/>
      <c r="T3872" s="475"/>
      <c r="U3872" s="475"/>
      <c r="V3872" s="475"/>
      <c r="W3872" s="475"/>
      <c r="X3872" s="475"/>
      <c r="Y3872" s="475"/>
      <c r="Z3872" s="475"/>
      <c r="AA3872" s="475"/>
      <c r="AB3872" s="475"/>
      <c r="AC3872" s="475"/>
      <c r="AD3872" s="475"/>
      <c r="AE3872" s="475"/>
      <c r="AF3872" s="475"/>
      <c r="AG3872" s="475"/>
      <c r="AH3872" s="475"/>
      <c r="AI3872" s="475"/>
      <c r="AJ3872" s="475"/>
      <c r="AK3872" s="475"/>
      <c r="AL3872" s="475"/>
      <c r="AM3872" s="475"/>
      <c r="AN3872" s="475"/>
      <c r="AO3872" s="475"/>
      <c r="AP3872" s="475"/>
      <c r="AQ3872" s="475"/>
      <c r="AR3872" s="475"/>
      <c r="AS3872" s="475"/>
      <c r="AT3872" s="475"/>
      <c r="AU3872" s="475"/>
      <c r="AV3872" s="475"/>
      <c r="AW3872" s="475"/>
      <c r="AX3872" s="475"/>
      <c r="AY3872" s="475"/>
      <c r="AZ3872" s="475"/>
      <c r="BA3872" s="475"/>
      <c r="BB3872" s="475"/>
      <c r="BC3872" s="475"/>
      <c r="BD3872" s="475"/>
      <c r="BE3872" s="475"/>
      <c r="BF3872" s="475"/>
      <c r="BG3872" s="475"/>
      <c r="BH3872" s="475"/>
      <c r="BI3872" s="475"/>
      <c r="BJ3872" s="475"/>
      <c r="BK3872" s="475"/>
      <c r="BL3872" s="475"/>
    </row>
    <row r="3873" spans="1:64" ht="13">
      <c r="A3873" s="454"/>
      <c r="B3873" s="454"/>
      <c r="C3873" s="427" t="s">
        <v>741</v>
      </c>
      <c r="D3873" s="454"/>
      <c r="E3873" s="454"/>
      <c r="F3873" s="408"/>
      <c r="G3873" s="454"/>
      <c r="H3873" s="415"/>
      <c r="I3873" s="414">
        <f>SUM(I3866:I3872)</f>
        <v>472.803</v>
      </c>
      <c r="J3873" s="418"/>
      <c r="K3873" s="419"/>
      <c r="L3873" s="419"/>
      <c r="M3873" s="475"/>
      <c r="N3873" s="475"/>
      <c r="O3873" s="475"/>
      <c r="P3873" s="475"/>
      <c r="Q3873" s="475"/>
      <c r="R3873" s="475"/>
      <c r="S3873" s="475"/>
      <c r="T3873" s="475"/>
      <c r="U3873" s="475"/>
      <c r="V3873" s="475"/>
      <c r="W3873" s="475"/>
      <c r="X3873" s="475"/>
      <c r="Y3873" s="475"/>
      <c r="Z3873" s="475"/>
      <c r="AA3873" s="475"/>
      <c r="AB3873" s="475"/>
      <c r="AC3873" s="475"/>
      <c r="AD3873" s="475"/>
      <c r="AE3873" s="475"/>
      <c r="AF3873" s="475"/>
      <c r="AG3873" s="475"/>
      <c r="AH3873" s="475"/>
      <c r="AI3873" s="475"/>
      <c r="AJ3873" s="475"/>
      <c r="AK3873" s="475"/>
      <c r="AL3873" s="475"/>
      <c r="AM3873" s="475"/>
      <c r="AN3873" s="475"/>
      <c r="AO3873" s="475"/>
      <c r="AP3873" s="475"/>
      <c r="AQ3873" s="475"/>
      <c r="AR3873" s="475"/>
      <c r="AS3873" s="475"/>
      <c r="AT3873" s="475"/>
      <c r="AU3873" s="475"/>
      <c r="AV3873" s="475"/>
      <c r="AW3873" s="475"/>
      <c r="AX3873" s="475"/>
      <c r="AY3873" s="475"/>
      <c r="AZ3873" s="475"/>
      <c r="BA3873" s="475"/>
      <c r="BB3873" s="475"/>
      <c r="BC3873" s="475"/>
      <c r="BD3873" s="475"/>
      <c r="BE3873" s="475"/>
      <c r="BF3873" s="475"/>
      <c r="BG3873" s="475"/>
      <c r="BH3873" s="475"/>
      <c r="BI3873" s="475"/>
      <c r="BJ3873" s="475"/>
      <c r="BK3873" s="475"/>
      <c r="BL3873" s="475"/>
    </row>
    <row r="3874" spans="1:64" ht="25">
      <c r="A3874" s="454"/>
      <c r="B3874" s="454"/>
      <c r="C3874" s="417" t="str">
        <f>[161]Input!$C$48</f>
        <v>Overheads &amp; Contractors Profit @ 13.615%</v>
      </c>
      <c r="D3874" s="467">
        <f>[161]Input!$D$48</f>
        <v>0.13614999999999999</v>
      </c>
      <c r="E3874" s="408"/>
      <c r="F3874" s="408">
        <f>I3873</f>
        <v>472.803</v>
      </c>
      <c r="G3874" s="430"/>
      <c r="H3874" s="426"/>
      <c r="I3874" s="408">
        <f>IF(G3874="",D3874*F3874,(D3874*F3874/G3874))</f>
        <v>64.372128449999991</v>
      </c>
      <c r="J3874" s="418"/>
      <c r="K3874" s="419"/>
      <c r="L3874" s="419"/>
      <c r="M3874" s="475"/>
      <c r="N3874" s="475"/>
      <c r="O3874" s="475"/>
      <c r="P3874" s="475"/>
      <c r="Q3874" s="475"/>
      <c r="R3874" s="475"/>
      <c r="S3874" s="475"/>
      <c r="T3874" s="475"/>
      <c r="U3874" s="475"/>
      <c r="V3874" s="475"/>
      <c r="W3874" s="475"/>
      <c r="X3874" s="475"/>
      <c r="Y3874" s="475"/>
      <c r="Z3874" s="475"/>
      <c r="AA3874" s="475"/>
      <c r="AB3874" s="475"/>
      <c r="AC3874" s="475"/>
      <c r="AD3874" s="475"/>
      <c r="AE3874" s="475"/>
      <c r="AF3874" s="475"/>
      <c r="AG3874" s="475"/>
      <c r="AH3874" s="475"/>
      <c r="AI3874" s="475"/>
      <c r="AJ3874" s="475"/>
      <c r="AK3874" s="475"/>
      <c r="AL3874" s="475"/>
      <c r="AM3874" s="475"/>
      <c r="AN3874" s="475"/>
      <c r="AO3874" s="475"/>
      <c r="AP3874" s="475"/>
      <c r="AQ3874" s="475"/>
      <c r="AR3874" s="475"/>
      <c r="AS3874" s="475"/>
      <c r="AT3874" s="475"/>
      <c r="AU3874" s="475"/>
      <c r="AV3874" s="475"/>
      <c r="AW3874" s="475"/>
      <c r="AX3874" s="475"/>
      <c r="AY3874" s="475"/>
      <c r="AZ3874" s="475"/>
      <c r="BA3874" s="475"/>
      <c r="BB3874" s="475"/>
      <c r="BC3874" s="475"/>
      <c r="BD3874" s="475"/>
      <c r="BE3874" s="475"/>
      <c r="BF3874" s="475"/>
      <c r="BG3874" s="475"/>
      <c r="BH3874" s="475"/>
      <c r="BI3874" s="475"/>
      <c r="BJ3874" s="475"/>
      <c r="BK3874" s="475"/>
      <c r="BL3874" s="475"/>
    </row>
    <row r="3875" spans="1:64" ht="13">
      <c r="A3875" s="454"/>
      <c r="B3875" s="454"/>
      <c r="C3875" s="427" t="s">
        <v>741</v>
      </c>
      <c r="D3875" s="426"/>
      <c r="E3875" s="426"/>
      <c r="F3875" s="426"/>
      <c r="G3875" s="426"/>
      <c r="H3875" s="426"/>
      <c r="I3875" s="409">
        <f>SUM(I3873:I3874)</f>
        <v>537.17512844999999</v>
      </c>
      <c r="J3875" s="418"/>
      <c r="K3875" s="419"/>
      <c r="L3875" s="419"/>
      <c r="M3875" s="475"/>
      <c r="N3875" s="475"/>
      <c r="O3875" s="475"/>
      <c r="P3875" s="475"/>
      <c r="Q3875" s="475"/>
      <c r="R3875" s="475"/>
      <c r="S3875" s="475"/>
      <c r="T3875" s="475"/>
      <c r="U3875" s="475"/>
      <c r="V3875" s="475"/>
      <c r="W3875" s="475"/>
      <c r="X3875" s="475"/>
      <c r="Y3875" s="475"/>
      <c r="Z3875" s="475"/>
      <c r="AA3875" s="475"/>
      <c r="AB3875" s="475"/>
      <c r="AC3875" s="475"/>
      <c r="AD3875" s="475"/>
      <c r="AE3875" s="475"/>
      <c r="AF3875" s="475"/>
      <c r="AG3875" s="475"/>
      <c r="AH3875" s="475"/>
      <c r="AI3875" s="475"/>
      <c r="AJ3875" s="475"/>
      <c r="AK3875" s="475"/>
      <c r="AL3875" s="475"/>
      <c r="AM3875" s="475"/>
      <c r="AN3875" s="475"/>
      <c r="AO3875" s="475"/>
      <c r="AP3875" s="475"/>
      <c r="AQ3875" s="475"/>
      <c r="AR3875" s="475"/>
      <c r="AS3875" s="475"/>
      <c r="AT3875" s="475"/>
      <c r="AU3875" s="475"/>
      <c r="AV3875" s="475"/>
      <c r="AW3875" s="475"/>
      <c r="AX3875" s="475"/>
      <c r="AY3875" s="475"/>
      <c r="AZ3875" s="475"/>
      <c r="BA3875" s="475"/>
      <c r="BB3875" s="475"/>
      <c r="BC3875" s="475"/>
      <c r="BD3875" s="475"/>
      <c r="BE3875" s="475"/>
      <c r="BF3875" s="475"/>
      <c r="BG3875" s="475"/>
      <c r="BH3875" s="475"/>
      <c r="BI3875" s="475"/>
      <c r="BJ3875" s="475"/>
      <c r="BK3875" s="475"/>
      <c r="BL3875" s="475"/>
    </row>
    <row r="3876" spans="1:64" ht="13">
      <c r="A3876" s="454"/>
      <c r="B3876" s="454"/>
      <c r="C3876" s="427" t="s">
        <v>742</v>
      </c>
      <c r="D3876" s="426"/>
      <c r="E3876" s="426"/>
      <c r="F3876" s="426"/>
      <c r="G3876" s="426"/>
      <c r="H3876" s="426"/>
      <c r="I3876" s="409">
        <f>I3875/10</f>
        <v>53.717512845000002</v>
      </c>
      <c r="J3876" s="418"/>
      <c r="K3876" s="419"/>
      <c r="L3876" s="419"/>
      <c r="M3876" s="475"/>
      <c r="N3876" s="475"/>
      <c r="O3876" s="475"/>
      <c r="P3876" s="475"/>
      <c r="Q3876" s="475"/>
      <c r="R3876" s="475"/>
      <c r="S3876" s="475"/>
      <c r="T3876" s="475"/>
      <c r="U3876" s="475"/>
      <c r="V3876" s="475"/>
      <c r="W3876" s="475"/>
      <c r="X3876" s="475"/>
      <c r="Y3876" s="475"/>
      <c r="Z3876" s="475"/>
      <c r="AA3876" s="475"/>
      <c r="AB3876" s="475"/>
      <c r="AC3876" s="475"/>
      <c r="AD3876" s="475"/>
      <c r="AE3876" s="475"/>
      <c r="AF3876" s="475"/>
      <c r="AG3876" s="475"/>
      <c r="AH3876" s="475"/>
      <c r="AI3876" s="475"/>
      <c r="AJ3876" s="475"/>
      <c r="AK3876" s="475"/>
      <c r="AL3876" s="475"/>
      <c r="AM3876" s="475"/>
      <c r="AN3876" s="475"/>
      <c r="AO3876" s="475"/>
      <c r="AP3876" s="475"/>
      <c r="AQ3876" s="475"/>
      <c r="AR3876" s="475"/>
      <c r="AS3876" s="475"/>
      <c r="AT3876" s="475"/>
      <c r="AU3876" s="475"/>
      <c r="AV3876" s="475"/>
      <c r="AW3876" s="475"/>
      <c r="AX3876" s="475"/>
      <c r="AY3876" s="475"/>
      <c r="AZ3876" s="475"/>
      <c r="BA3876" s="475"/>
      <c r="BB3876" s="475"/>
      <c r="BC3876" s="475"/>
      <c r="BD3876" s="475"/>
      <c r="BE3876" s="475"/>
      <c r="BF3876" s="475"/>
      <c r="BG3876" s="475"/>
      <c r="BH3876" s="475"/>
      <c r="BI3876" s="475"/>
      <c r="BJ3876" s="475"/>
      <c r="BK3876" s="475"/>
      <c r="BL3876" s="475"/>
    </row>
    <row r="3877" spans="1:64" ht="13">
      <c r="A3877" s="454"/>
      <c r="B3877" s="454"/>
      <c r="C3877" s="496"/>
      <c r="D3877" s="454"/>
      <c r="E3877" s="454"/>
      <c r="F3877" s="408"/>
      <c r="G3877" s="454"/>
      <c r="H3877" s="415" t="s">
        <v>1346</v>
      </c>
      <c r="I3877" s="414">
        <f>ROUND(I3876,0)</f>
        <v>54</v>
      </c>
      <c r="J3877" s="411"/>
      <c r="K3877" s="412"/>
      <c r="L3877" s="412"/>
      <c r="M3877" s="554"/>
      <c r="N3877" s="554"/>
      <c r="O3877" s="554"/>
      <c r="P3877" s="554"/>
      <c r="Q3877" s="554"/>
      <c r="R3877" s="554"/>
      <c r="S3877" s="554"/>
      <c r="T3877" s="554"/>
      <c r="U3877" s="554"/>
      <c r="V3877" s="554"/>
      <c r="W3877" s="554"/>
      <c r="X3877" s="554"/>
      <c r="Y3877" s="554"/>
      <c r="Z3877" s="554"/>
      <c r="AA3877" s="554"/>
      <c r="AB3877" s="554"/>
      <c r="AC3877" s="554"/>
      <c r="AD3877" s="554"/>
      <c r="AE3877" s="554"/>
      <c r="AF3877" s="554"/>
      <c r="AG3877" s="554"/>
      <c r="AH3877" s="554"/>
      <c r="AI3877" s="554"/>
      <c r="AJ3877" s="554"/>
      <c r="AK3877" s="554"/>
      <c r="AL3877" s="554"/>
      <c r="AM3877" s="554"/>
      <c r="AN3877" s="554"/>
      <c r="AO3877" s="554"/>
      <c r="AP3877" s="554"/>
      <c r="AQ3877" s="554"/>
      <c r="AR3877" s="554"/>
      <c r="AS3877" s="554"/>
      <c r="AT3877" s="554"/>
      <c r="AU3877" s="554"/>
      <c r="AV3877" s="554"/>
      <c r="AW3877" s="554"/>
      <c r="AX3877" s="554"/>
      <c r="AY3877" s="554"/>
      <c r="AZ3877" s="554"/>
      <c r="BA3877" s="554"/>
      <c r="BB3877" s="554"/>
      <c r="BC3877" s="554"/>
      <c r="BD3877" s="554"/>
      <c r="BE3877" s="554"/>
      <c r="BF3877" s="554"/>
      <c r="BG3877" s="554"/>
      <c r="BH3877" s="554"/>
      <c r="BI3877" s="554"/>
      <c r="BJ3877" s="554"/>
      <c r="BK3877" s="554"/>
      <c r="BL3877" s="554"/>
    </row>
    <row r="3878" spans="1:64">
      <c r="A3878" s="426"/>
      <c r="B3878" s="426"/>
      <c r="C3878" s="417"/>
      <c r="D3878" s="432"/>
      <c r="E3878" s="676"/>
      <c r="F3878" s="408"/>
      <c r="G3878" s="432"/>
      <c r="H3878" s="676"/>
      <c r="I3878" s="408"/>
      <c r="J3878" s="400"/>
      <c r="K3878" s="401"/>
      <c r="L3878" s="401"/>
    </row>
    <row r="3879" spans="1:64" ht="81.400000000000006" customHeight="1">
      <c r="A3879" s="426">
        <f>1+A3862</f>
        <v>20</v>
      </c>
      <c r="B3879" s="426"/>
      <c r="C3879" s="1291" t="s">
        <v>1347</v>
      </c>
      <c r="D3879" s="1291"/>
      <c r="E3879" s="1291"/>
      <c r="F3879" s="1291"/>
      <c r="G3879" s="1291"/>
      <c r="H3879" s="1291"/>
      <c r="I3879" s="1291"/>
      <c r="J3879" s="400"/>
      <c r="K3879" s="401"/>
      <c r="L3879" s="401"/>
    </row>
    <row r="3880" spans="1:64">
      <c r="A3880" s="426"/>
      <c r="B3880" s="426"/>
      <c r="C3880" s="417" t="s">
        <v>1348</v>
      </c>
      <c r="D3880" s="409">
        <v>1</v>
      </c>
      <c r="E3880" s="426" t="s">
        <v>62</v>
      </c>
      <c r="F3880" s="409">
        <v>1595</v>
      </c>
      <c r="G3880" s="409">
        <v>1</v>
      </c>
      <c r="H3880" s="426" t="s">
        <v>62</v>
      </c>
      <c r="I3880" s="408">
        <f t="shared" ref="I3880:I3881" si="891">IF(G3880="",D3880*F3880,(D3880*F3880/G3880))</f>
        <v>1595</v>
      </c>
      <c r="J3880" s="400"/>
      <c r="K3880" s="401"/>
      <c r="L3880" s="401"/>
    </row>
    <row r="3881" spans="1:64" ht="25">
      <c r="A3881" s="426"/>
      <c r="B3881" s="426"/>
      <c r="C3881" s="417" t="str">
        <f>[161]Input!$C$48</f>
        <v>Overheads &amp; Contractors Profit @ 13.615%</v>
      </c>
      <c r="D3881" s="467">
        <f>[161]Input!$D$48</f>
        <v>0.13614999999999999</v>
      </c>
      <c r="E3881" s="408"/>
      <c r="F3881" s="408">
        <f>I3880</f>
        <v>1595</v>
      </c>
      <c r="G3881" s="430"/>
      <c r="H3881" s="426"/>
      <c r="I3881" s="408">
        <f t="shared" si="891"/>
        <v>217.15924999999999</v>
      </c>
      <c r="J3881" s="400"/>
      <c r="K3881" s="401"/>
      <c r="L3881" s="401"/>
    </row>
    <row r="3882" spans="1:64" ht="13">
      <c r="A3882" s="426"/>
      <c r="B3882" s="426"/>
      <c r="C3882" s="427" t="s">
        <v>742</v>
      </c>
      <c r="D3882" s="426"/>
      <c r="E3882" s="426"/>
      <c r="F3882" s="426"/>
      <c r="G3882" s="426"/>
      <c r="H3882" s="426"/>
      <c r="I3882" s="409">
        <f>SUM(I3880:I3881)</f>
        <v>1812.1592499999999</v>
      </c>
      <c r="J3882" s="400"/>
      <c r="K3882" s="401"/>
      <c r="L3882" s="401"/>
    </row>
    <row r="3883" spans="1:64" ht="13">
      <c r="A3883" s="426"/>
      <c r="B3883" s="426"/>
      <c r="C3883" s="417"/>
      <c r="D3883" s="454"/>
      <c r="E3883" s="454"/>
      <c r="F3883" s="408"/>
      <c r="G3883" s="454"/>
      <c r="H3883" s="415" t="s">
        <v>1346</v>
      </c>
      <c r="I3883" s="414">
        <f>ROUND(I3882,0)</f>
        <v>1812</v>
      </c>
      <c r="J3883" s="400"/>
      <c r="K3883" s="401"/>
      <c r="L3883" s="401"/>
    </row>
    <row r="3884" spans="1:64">
      <c r="A3884" s="426"/>
      <c r="B3884" s="426"/>
      <c r="C3884" s="417"/>
      <c r="D3884" s="432"/>
      <c r="E3884" s="676"/>
      <c r="F3884" s="408"/>
      <c r="G3884" s="432"/>
      <c r="H3884" s="676"/>
      <c r="I3884" s="408"/>
      <c r="J3884" s="400"/>
      <c r="K3884" s="401"/>
      <c r="L3884" s="401"/>
    </row>
    <row r="3885" spans="1:64" ht="81.400000000000006" customHeight="1">
      <c r="A3885" s="1280">
        <f>1+A3879</f>
        <v>21</v>
      </c>
      <c r="B3885" s="1280"/>
      <c r="C3885" s="1276" t="s">
        <v>1349</v>
      </c>
      <c r="D3885" s="1276"/>
      <c r="E3885" s="1276"/>
      <c r="F3885" s="1276"/>
      <c r="G3885" s="1276"/>
      <c r="H3885" s="1276"/>
      <c r="I3885" s="407"/>
      <c r="J3885" s="400"/>
      <c r="K3885" s="401"/>
      <c r="L3885" s="401"/>
    </row>
    <row r="3886" spans="1:64" ht="12.75" customHeight="1">
      <c r="A3886" s="426"/>
      <c r="B3886" s="426"/>
      <c r="C3886" s="1294" t="s">
        <v>1350</v>
      </c>
      <c r="D3886" s="1294"/>
      <c r="E3886" s="676"/>
      <c r="F3886" s="408"/>
      <c r="G3886" s="432"/>
      <c r="H3886" s="676"/>
      <c r="I3886" s="408"/>
      <c r="J3886" s="400"/>
      <c r="K3886" s="401"/>
      <c r="L3886" s="401"/>
    </row>
    <row r="3887" spans="1:64" ht="13">
      <c r="A3887" s="426"/>
      <c r="B3887" s="426"/>
      <c r="C3887" s="427" t="s">
        <v>1351</v>
      </c>
      <c r="D3887" s="406"/>
      <c r="E3887" s="406"/>
      <c r="F3887" s="406"/>
      <c r="G3887" s="406"/>
      <c r="H3887" s="406"/>
      <c r="I3887" s="432"/>
      <c r="J3887" s="400"/>
      <c r="K3887" s="401"/>
      <c r="L3887" s="401"/>
    </row>
    <row r="3888" spans="1:64">
      <c r="A3888" s="426"/>
      <c r="B3888" s="426"/>
      <c r="C3888" s="417" t="s">
        <v>1352</v>
      </c>
      <c r="D3888" s="432">
        <v>23</v>
      </c>
      <c r="E3888" s="406" t="s">
        <v>833</v>
      </c>
      <c r="F3888" s="432">
        <f>'[161]Civil-SOR'!G57</f>
        <v>41</v>
      </c>
      <c r="G3888" s="431">
        <f>'[161]Civil-SOR'!H57</f>
        <v>1</v>
      </c>
      <c r="H3888" s="406" t="s">
        <v>312</v>
      </c>
      <c r="I3888" s="408">
        <f t="shared" ref="I3888:I3892" si="892">IF(G3888="",D3888*F3888,(D3888*F3888/G3888))</f>
        <v>943</v>
      </c>
      <c r="J3888" s="400"/>
      <c r="K3888" s="401"/>
      <c r="L3888" s="401"/>
    </row>
    <row r="3889" spans="1:64">
      <c r="A3889" s="426"/>
      <c r="B3889" s="426"/>
      <c r="C3889" s="417" t="s">
        <v>1343</v>
      </c>
      <c r="D3889" s="441">
        <v>0.27300000000000002</v>
      </c>
      <c r="E3889" s="406" t="s">
        <v>375</v>
      </c>
      <c r="F3889" s="432">
        <f>'[161]Civil-SOR'!$G$296</f>
        <v>665</v>
      </c>
      <c r="G3889" s="406">
        <v>1</v>
      </c>
      <c r="H3889" s="406" t="s">
        <v>572</v>
      </c>
      <c r="I3889" s="408">
        <f t="shared" si="892"/>
        <v>181.54500000000002</v>
      </c>
      <c r="J3889" s="400"/>
      <c r="K3889" s="401"/>
      <c r="L3889" s="401"/>
    </row>
    <row r="3890" spans="1:64">
      <c r="A3890" s="426"/>
      <c r="B3890" s="426"/>
      <c r="C3890" s="417" t="s">
        <v>1344</v>
      </c>
      <c r="D3890" s="441">
        <v>0.63700000000000001</v>
      </c>
      <c r="E3890" s="406" t="s">
        <v>375</v>
      </c>
      <c r="F3890" s="432">
        <f>'[161]Civil-SOR'!$G$303</f>
        <v>550</v>
      </c>
      <c r="G3890" s="406">
        <v>1</v>
      </c>
      <c r="H3890" s="406" t="s">
        <v>572</v>
      </c>
      <c r="I3890" s="408">
        <f t="shared" si="892"/>
        <v>350.35</v>
      </c>
      <c r="J3890" s="400"/>
      <c r="K3890" s="401"/>
      <c r="L3890" s="401"/>
    </row>
    <row r="3891" spans="1:64">
      <c r="A3891" s="426"/>
      <c r="B3891" s="426"/>
      <c r="C3891" s="417" t="s">
        <v>1353</v>
      </c>
      <c r="D3891" s="432">
        <v>0.91</v>
      </c>
      <c r="E3891" s="406" t="s">
        <v>375</v>
      </c>
      <c r="F3891" s="408">
        <f>'[161]Civil-SOR'!$G$307</f>
        <v>520</v>
      </c>
      <c r="G3891" s="406">
        <v>1</v>
      </c>
      <c r="H3891" s="406" t="s">
        <v>572</v>
      </c>
      <c r="I3891" s="408">
        <f t="shared" si="892"/>
        <v>473.2</v>
      </c>
      <c r="J3891" s="400"/>
      <c r="K3891" s="401"/>
      <c r="L3891" s="401"/>
    </row>
    <row r="3892" spans="1:64">
      <c r="A3892" s="426"/>
      <c r="B3892" s="426"/>
      <c r="C3892" s="417" t="str">
        <f>[161]Input!$C$47</f>
        <v>Add for MA @ 40%</v>
      </c>
      <c r="D3892" s="432">
        <f>[161]Input!$D$47</f>
        <v>0.4</v>
      </c>
      <c r="E3892" s="406"/>
      <c r="F3892" s="432">
        <f>SUM(I3889:I3891)</f>
        <v>1005.095</v>
      </c>
      <c r="G3892" s="406"/>
      <c r="H3892" s="406"/>
      <c r="I3892" s="408">
        <f t="shared" si="892"/>
        <v>402.03800000000001</v>
      </c>
      <c r="J3892" s="400"/>
      <c r="K3892" s="401"/>
      <c r="L3892" s="401"/>
    </row>
    <row r="3893" spans="1:64" ht="25">
      <c r="A3893" s="406"/>
      <c r="B3893" s="406"/>
      <c r="C3893" s="417" t="s">
        <v>1354</v>
      </c>
      <c r="D3893" s="406">
        <v>0.01</v>
      </c>
      <c r="E3893" s="406"/>
      <c r="F3893" s="432">
        <f>SUM(I3888:I3892)</f>
        <v>2350.1329999999998</v>
      </c>
      <c r="G3893" s="406"/>
      <c r="H3893" s="406"/>
      <c r="I3893" s="459"/>
      <c r="J3893" s="462"/>
      <c r="K3893" s="463"/>
      <c r="L3893" s="463"/>
      <c r="M3893" s="559"/>
      <c r="N3893" s="559"/>
      <c r="O3893" s="559"/>
      <c r="P3893" s="559"/>
      <c r="Q3893" s="559"/>
      <c r="R3893" s="559"/>
      <c r="S3893" s="559"/>
      <c r="T3893" s="559"/>
      <c r="U3893" s="559"/>
      <c r="V3893" s="559"/>
      <c r="W3893" s="559"/>
      <c r="X3893" s="559"/>
      <c r="Y3893" s="559"/>
      <c r="Z3893" s="559"/>
      <c r="AA3893" s="559"/>
      <c r="AB3893" s="559"/>
      <c r="AC3893" s="559"/>
      <c r="AD3893" s="559"/>
      <c r="AE3893" s="559"/>
      <c r="AF3893" s="559"/>
      <c r="AG3893" s="559"/>
      <c r="AH3893" s="559"/>
      <c r="AI3893" s="559"/>
      <c r="AJ3893" s="559"/>
      <c r="AK3893" s="559"/>
      <c r="AL3893" s="559"/>
      <c r="AM3893" s="559"/>
      <c r="AN3893" s="559"/>
      <c r="AO3893" s="559"/>
      <c r="AP3893" s="559"/>
      <c r="AQ3893" s="559"/>
      <c r="AR3893" s="559"/>
      <c r="AS3893" s="559"/>
      <c r="AT3893" s="559"/>
      <c r="AU3893" s="559"/>
      <c r="AV3893" s="559"/>
      <c r="AW3893" s="559"/>
      <c r="AX3893" s="559"/>
      <c r="AY3893" s="559"/>
      <c r="AZ3893" s="559"/>
      <c r="BA3893" s="559"/>
      <c r="BB3893" s="559"/>
      <c r="BC3893" s="559"/>
      <c r="BD3893" s="559"/>
      <c r="BE3893" s="559"/>
      <c r="BF3893" s="559"/>
      <c r="BG3893" s="559"/>
      <c r="BH3893" s="559"/>
      <c r="BI3893" s="559"/>
      <c r="BJ3893" s="559"/>
      <c r="BK3893" s="559"/>
      <c r="BL3893" s="559"/>
    </row>
    <row r="3894" spans="1:64" ht="13">
      <c r="A3894" s="426"/>
      <c r="B3894" s="426"/>
      <c r="C3894" s="417"/>
      <c r="D3894" s="406"/>
      <c r="E3894" s="406"/>
      <c r="F3894" s="409"/>
      <c r="G3894" s="406"/>
      <c r="H3894" s="406"/>
      <c r="I3894" s="414">
        <f>SUM(I3888:I3893)</f>
        <v>2350.1329999999998</v>
      </c>
      <c r="J3894" s="400"/>
      <c r="K3894" s="401"/>
      <c r="L3894" s="401"/>
    </row>
    <row r="3895" spans="1:64" ht="25">
      <c r="A3895" s="426"/>
      <c r="B3895" s="426"/>
      <c r="C3895" s="417" t="str">
        <f>[161]Input!$C$48</f>
        <v>Overheads &amp; Contractors Profit @ 13.615%</v>
      </c>
      <c r="D3895" s="467">
        <f>[161]Input!$D$48</f>
        <v>0.13614999999999999</v>
      </c>
      <c r="E3895" s="408"/>
      <c r="F3895" s="408">
        <f>I3894</f>
        <v>2350.1329999999998</v>
      </c>
      <c r="G3895" s="430"/>
      <c r="H3895" s="426"/>
      <c r="I3895" s="408">
        <f>IF(G3895="",D3895*F3895,(D3895*F3895/G3895))</f>
        <v>319.97060794999993</v>
      </c>
      <c r="J3895" s="400"/>
      <c r="K3895" s="401"/>
      <c r="L3895" s="401"/>
    </row>
    <row r="3896" spans="1:64" ht="13">
      <c r="A3896" s="426"/>
      <c r="B3896" s="426"/>
      <c r="C3896" s="427" t="s">
        <v>741</v>
      </c>
      <c r="D3896" s="406"/>
      <c r="E3896" s="406"/>
      <c r="F3896" s="406"/>
      <c r="G3896" s="406"/>
      <c r="H3896" s="406"/>
      <c r="I3896" s="432">
        <f>SUM(I3894:I3895)</f>
        <v>2670.10360795</v>
      </c>
      <c r="J3896" s="400"/>
      <c r="K3896" s="401"/>
      <c r="L3896" s="401"/>
    </row>
    <row r="3897" spans="1:64" ht="13">
      <c r="A3897" s="426"/>
      <c r="B3897" s="426"/>
      <c r="C3897" s="427" t="s">
        <v>742</v>
      </c>
      <c r="D3897" s="406"/>
      <c r="E3897" s="406"/>
      <c r="F3897" s="406"/>
      <c r="G3897" s="406"/>
      <c r="H3897" s="406"/>
      <c r="I3897" s="432">
        <f>I3896/10</f>
        <v>267.010360795</v>
      </c>
      <c r="J3897" s="400"/>
      <c r="K3897" s="401"/>
      <c r="L3897" s="401"/>
    </row>
    <row r="3898" spans="1:64" ht="13">
      <c r="A3898" s="426"/>
      <c r="B3898" s="426"/>
      <c r="C3898" s="710"/>
      <c r="D3898" s="406"/>
      <c r="E3898" s="406"/>
      <c r="F3898" s="406"/>
      <c r="G3898" s="406"/>
      <c r="H3898" s="415" t="s">
        <v>774</v>
      </c>
      <c r="I3898" s="414">
        <f>ROUND(I3897,0)</f>
        <v>267</v>
      </c>
      <c r="J3898" s="411"/>
      <c r="K3898" s="412"/>
      <c r="L3898" s="412"/>
      <c r="M3898" s="554"/>
      <c r="N3898" s="554"/>
      <c r="O3898" s="554"/>
      <c r="P3898" s="554"/>
      <c r="Q3898" s="554"/>
      <c r="R3898" s="554"/>
      <c r="S3898" s="554"/>
      <c r="T3898" s="554"/>
      <c r="U3898" s="554"/>
      <c r="V3898" s="554"/>
      <c r="W3898" s="554"/>
      <c r="X3898" s="554"/>
      <c r="Y3898" s="554"/>
      <c r="Z3898" s="554"/>
      <c r="AA3898" s="554"/>
      <c r="AB3898" s="554"/>
      <c r="AC3898" s="554"/>
      <c r="AD3898" s="554"/>
      <c r="AE3898" s="554"/>
      <c r="AF3898" s="554"/>
      <c r="AG3898" s="554"/>
      <c r="AH3898" s="554"/>
      <c r="AI3898" s="554"/>
      <c r="AJ3898" s="554"/>
      <c r="AK3898" s="554"/>
      <c r="AL3898" s="554"/>
      <c r="AM3898" s="554"/>
      <c r="AN3898" s="554"/>
      <c r="AO3898" s="554"/>
      <c r="AP3898" s="554"/>
      <c r="AQ3898" s="554"/>
      <c r="AR3898" s="554"/>
      <c r="AS3898" s="554"/>
      <c r="AT3898" s="554"/>
      <c r="AU3898" s="554"/>
      <c r="AV3898" s="554"/>
      <c r="AW3898" s="554"/>
      <c r="AX3898" s="554"/>
      <c r="AY3898" s="554"/>
      <c r="AZ3898" s="554"/>
      <c r="BA3898" s="554"/>
      <c r="BB3898" s="554"/>
      <c r="BC3898" s="554"/>
      <c r="BD3898" s="554"/>
      <c r="BE3898" s="554"/>
      <c r="BF3898" s="554"/>
      <c r="BG3898" s="554"/>
      <c r="BH3898" s="554"/>
      <c r="BI3898" s="554"/>
      <c r="BJ3898" s="554"/>
      <c r="BK3898" s="554"/>
      <c r="BL3898" s="554"/>
    </row>
    <row r="3899" spans="1:64" ht="13">
      <c r="A3899" s="426"/>
      <c r="B3899" s="426"/>
      <c r="C3899" s="469"/>
      <c r="D3899" s="406"/>
      <c r="E3899" s="406"/>
      <c r="F3899" s="406"/>
      <c r="G3899" s="406"/>
      <c r="H3899" s="415"/>
      <c r="I3899" s="414"/>
      <c r="J3899" s="400"/>
      <c r="K3899" s="401"/>
      <c r="L3899" s="401"/>
    </row>
    <row r="3900" spans="1:64" ht="92.5" customHeight="1">
      <c r="A3900" s="1280">
        <f>A3885+1</f>
        <v>22</v>
      </c>
      <c r="B3900" s="1280"/>
      <c r="C3900" s="1276" t="s">
        <v>1355</v>
      </c>
      <c r="D3900" s="1276"/>
      <c r="E3900" s="1276"/>
      <c r="F3900" s="1276"/>
      <c r="G3900" s="1276"/>
      <c r="H3900" s="1276"/>
      <c r="I3900" s="407"/>
      <c r="J3900" s="400"/>
      <c r="K3900" s="401"/>
      <c r="L3900" s="401"/>
    </row>
    <row r="3901" spans="1:64" ht="12.75" customHeight="1">
      <c r="A3901" s="426"/>
      <c r="B3901" s="426"/>
      <c r="C3901" s="1294" t="s">
        <v>1350</v>
      </c>
      <c r="D3901" s="1294"/>
      <c r="E3901" s="676"/>
      <c r="F3901" s="408"/>
      <c r="G3901" s="432"/>
      <c r="H3901" s="676"/>
      <c r="I3901" s="408"/>
      <c r="J3901" s="400"/>
      <c r="K3901" s="401"/>
      <c r="L3901" s="401"/>
    </row>
    <row r="3902" spans="1:64" ht="13">
      <c r="A3902" s="426"/>
      <c r="B3902" s="426"/>
      <c r="C3902" s="427" t="s">
        <v>1351</v>
      </c>
      <c r="D3902" s="406"/>
      <c r="E3902" s="406"/>
      <c r="F3902" s="406"/>
      <c r="G3902" s="406"/>
      <c r="H3902" s="406"/>
      <c r="I3902" s="432"/>
      <c r="J3902" s="400"/>
      <c r="K3902" s="401"/>
      <c r="L3902" s="401"/>
    </row>
    <row r="3903" spans="1:64">
      <c r="A3903" s="406"/>
      <c r="B3903" s="406"/>
      <c r="C3903" s="417" t="s">
        <v>1356</v>
      </c>
      <c r="D3903" s="432">
        <v>34.5</v>
      </c>
      <c r="E3903" s="406" t="s">
        <v>833</v>
      </c>
      <c r="F3903" s="432">
        <f>'[161]Civil-SOR'!G72</f>
        <v>43</v>
      </c>
      <c r="G3903" s="431">
        <f>'[161]Civil-SOR'!$H$72</f>
        <v>1</v>
      </c>
      <c r="H3903" s="406" t="s">
        <v>312</v>
      </c>
      <c r="I3903" s="459">
        <f t="shared" ref="I3903:I3907" si="893">IF(G3903="",D3903*F3903,(D3903*F3903/G3903))</f>
        <v>1483.5</v>
      </c>
      <c r="J3903" s="462"/>
      <c r="K3903" s="463"/>
      <c r="L3903" s="463"/>
      <c r="M3903" s="559"/>
      <c r="N3903" s="559"/>
      <c r="O3903" s="559"/>
      <c r="P3903" s="559"/>
      <c r="Q3903" s="559"/>
      <c r="R3903" s="559"/>
      <c r="S3903" s="559"/>
      <c r="T3903" s="559"/>
      <c r="U3903" s="559"/>
      <c r="V3903" s="559"/>
      <c r="W3903" s="559"/>
      <c r="X3903" s="559"/>
      <c r="Y3903" s="559"/>
      <c r="Z3903" s="559"/>
      <c r="AA3903" s="559"/>
      <c r="AB3903" s="559"/>
      <c r="AC3903" s="559"/>
      <c r="AD3903" s="559"/>
      <c r="AE3903" s="559"/>
      <c r="AF3903" s="559"/>
      <c r="AG3903" s="559"/>
      <c r="AH3903" s="559"/>
      <c r="AI3903" s="559"/>
      <c r="AJ3903" s="559"/>
      <c r="AK3903" s="559"/>
      <c r="AL3903" s="559"/>
      <c r="AM3903" s="559"/>
      <c r="AN3903" s="559"/>
      <c r="AO3903" s="559"/>
      <c r="AP3903" s="559"/>
      <c r="AQ3903" s="559"/>
      <c r="AR3903" s="559"/>
      <c r="AS3903" s="559"/>
      <c r="AT3903" s="559"/>
      <c r="AU3903" s="559"/>
      <c r="AV3903" s="559"/>
      <c r="AW3903" s="559"/>
      <c r="AX3903" s="559"/>
      <c r="AY3903" s="559"/>
      <c r="AZ3903" s="559"/>
      <c r="BA3903" s="559"/>
      <c r="BB3903" s="559"/>
      <c r="BC3903" s="559"/>
      <c r="BD3903" s="559"/>
      <c r="BE3903" s="559"/>
      <c r="BF3903" s="559"/>
      <c r="BG3903" s="559"/>
      <c r="BH3903" s="559"/>
      <c r="BI3903" s="559"/>
      <c r="BJ3903" s="559"/>
      <c r="BK3903" s="559"/>
      <c r="BL3903" s="559"/>
    </row>
    <row r="3904" spans="1:64">
      <c r="A3904" s="406"/>
      <c r="B3904" s="406"/>
      <c r="C3904" s="417" t="s">
        <v>1343</v>
      </c>
      <c r="D3904" s="441">
        <v>0.27300000000000002</v>
      </c>
      <c r="E3904" s="406" t="s">
        <v>375</v>
      </c>
      <c r="F3904" s="432">
        <f>'[161]Civil-SOR'!$G$296</f>
        <v>665</v>
      </c>
      <c r="G3904" s="406">
        <v>1</v>
      </c>
      <c r="H3904" s="406" t="s">
        <v>572</v>
      </c>
      <c r="I3904" s="459">
        <f t="shared" si="893"/>
        <v>181.54500000000002</v>
      </c>
      <c r="J3904" s="462"/>
      <c r="K3904" s="463"/>
      <c r="L3904" s="463"/>
      <c r="M3904" s="559"/>
      <c r="N3904" s="559"/>
      <c r="O3904" s="559"/>
      <c r="P3904" s="559"/>
      <c r="Q3904" s="559"/>
      <c r="R3904" s="559"/>
      <c r="S3904" s="559"/>
      <c r="T3904" s="559"/>
      <c r="U3904" s="559"/>
      <c r="V3904" s="559"/>
      <c r="W3904" s="559"/>
      <c r="X3904" s="559"/>
      <c r="Y3904" s="559"/>
      <c r="Z3904" s="559"/>
      <c r="AA3904" s="559"/>
      <c r="AB3904" s="559"/>
      <c r="AC3904" s="559"/>
      <c r="AD3904" s="559"/>
      <c r="AE3904" s="559"/>
      <c r="AF3904" s="559"/>
      <c r="AG3904" s="559"/>
      <c r="AH3904" s="559"/>
      <c r="AI3904" s="559"/>
      <c r="AJ3904" s="559"/>
      <c r="AK3904" s="559"/>
      <c r="AL3904" s="559"/>
      <c r="AM3904" s="559"/>
      <c r="AN3904" s="559"/>
      <c r="AO3904" s="559"/>
      <c r="AP3904" s="559"/>
      <c r="AQ3904" s="559"/>
      <c r="AR3904" s="559"/>
      <c r="AS3904" s="559"/>
      <c r="AT3904" s="559"/>
      <c r="AU3904" s="559"/>
      <c r="AV3904" s="559"/>
      <c r="AW3904" s="559"/>
      <c r="AX3904" s="559"/>
      <c r="AY3904" s="559"/>
      <c r="AZ3904" s="559"/>
      <c r="BA3904" s="559"/>
      <c r="BB3904" s="559"/>
      <c r="BC3904" s="559"/>
      <c r="BD3904" s="559"/>
      <c r="BE3904" s="559"/>
      <c r="BF3904" s="559"/>
      <c r="BG3904" s="559"/>
      <c r="BH3904" s="559"/>
      <c r="BI3904" s="559"/>
      <c r="BJ3904" s="559"/>
      <c r="BK3904" s="559"/>
      <c r="BL3904" s="559"/>
    </row>
    <row r="3905" spans="1:64">
      <c r="A3905" s="406"/>
      <c r="B3905" s="406"/>
      <c r="C3905" s="417" t="s">
        <v>1344</v>
      </c>
      <c r="D3905" s="441">
        <v>0.63700000000000001</v>
      </c>
      <c r="E3905" s="406" t="s">
        <v>375</v>
      </c>
      <c r="F3905" s="432">
        <f>'[161]Civil-SOR'!$G$303</f>
        <v>550</v>
      </c>
      <c r="G3905" s="406">
        <v>1</v>
      </c>
      <c r="H3905" s="406" t="s">
        <v>572</v>
      </c>
      <c r="I3905" s="459">
        <f t="shared" si="893"/>
        <v>350.35</v>
      </c>
      <c r="J3905" s="462"/>
      <c r="K3905" s="463"/>
      <c r="L3905" s="463"/>
      <c r="M3905" s="559"/>
      <c r="N3905" s="559"/>
      <c r="O3905" s="559"/>
      <c r="P3905" s="559"/>
      <c r="Q3905" s="559"/>
      <c r="R3905" s="559"/>
      <c r="S3905" s="559"/>
      <c r="T3905" s="559"/>
      <c r="U3905" s="559"/>
      <c r="V3905" s="559"/>
      <c r="W3905" s="559"/>
      <c r="X3905" s="559"/>
      <c r="Y3905" s="559"/>
      <c r="Z3905" s="559"/>
      <c r="AA3905" s="559"/>
      <c r="AB3905" s="559"/>
      <c r="AC3905" s="559"/>
      <c r="AD3905" s="559"/>
      <c r="AE3905" s="559"/>
      <c r="AF3905" s="559"/>
      <c r="AG3905" s="559"/>
      <c r="AH3905" s="559"/>
      <c r="AI3905" s="559"/>
      <c r="AJ3905" s="559"/>
      <c r="AK3905" s="559"/>
      <c r="AL3905" s="559"/>
      <c r="AM3905" s="559"/>
      <c r="AN3905" s="559"/>
      <c r="AO3905" s="559"/>
      <c r="AP3905" s="559"/>
      <c r="AQ3905" s="559"/>
      <c r="AR3905" s="559"/>
      <c r="AS3905" s="559"/>
      <c r="AT3905" s="559"/>
      <c r="AU3905" s="559"/>
      <c r="AV3905" s="559"/>
      <c r="AW3905" s="559"/>
      <c r="AX3905" s="559"/>
      <c r="AY3905" s="559"/>
      <c r="AZ3905" s="559"/>
      <c r="BA3905" s="559"/>
      <c r="BB3905" s="559"/>
      <c r="BC3905" s="559"/>
      <c r="BD3905" s="559"/>
      <c r="BE3905" s="559"/>
      <c r="BF3905" s="559"/>
      <c r="BG3905" s="559"/>
      <c r="BH3905" s="559"/>
      <c r="BI3905" s="559"/>
      <c r="BJ3905" s="559"/>
      <c r="BK3905" s="559"/>
      <c r="BL3905" s="559"/>
    </row>
    <row r="3906" spans="1:64">
      <c r="A3906" s="406"/>
      <c r="B3906" s="406"/>
      <c r="C3906" s="417" t="s">
        <v>1353</v>
      </c>
      <c r="D3906" s="432">
        <v>0.91</v>
      </c>
      <c r="E3906" s="406" t="s">
        <v>375</v>
      </c>
      <c r="F3906" s="432">
        <f>'[161]Civil-SOR'!$G$307</f>
        <v>520</v>
      </c>
      <c r="G3906" s="406">
        <v>1</v>
      </c>
      <c r="H3906" s="406" t="s">
        <v>572</v>
      </c>
      <c r="I3906" s="459">
        <f t="shared" si="893"/>
        <v>473.2</v>
      </c>
      <c r="J3906" s="462"/>
      <c r="K3906" s="463"/>
      <c r="L3906" s="463"/>
      <c r="M3906" s="559"/>
      <c r="N3906" s="559"/>
      <c r="O3906" s="559"/>
      <c r="P3906" s="559"/>
      <c r="Q3906" s="559"/>
      <c r="R3906" s="559"/>
      <c r="S3906" s="559"/>
      <c r="T3906" s="559"/>
      <c r="U3906" s="559"/>
      <c r="V3906" s="559"/>
      <c r="W3906" s="559"/>
      <c r="X3906" s="559"/>
      <c r="Y3906" s="559"/>
      <c r="Z3906" s="559"/>
      <c r="AA3906" s="559"/>
      <c r="AB3906" s="559"/>
      <c r="AC3906" s="559"/>
      <c r="AD3906" s="559"/>
      <c r="AE3906" s="559"/>
      <c r="AF3906" s="559"/>
      <c r="AG3906" s="559"/>
      <c r="AH3906" s="559"/>
      <c r="AI3906" s="559"/>
      <c r="AJ3906" s="559"/>
      <c r="AK3906" s="559"/>
      <c r="AL3906" s="559"/>
      <c r="AM3906" s="559"/>
      <c r="AN3906" s="559"/>
      <c r="AO3906" s="559"/>
      <c r="AP3906" s="559"/>
      <c r="AQ3906" s="559"/>
      <c r="AR3906" s="559"/>
      <c r="AS3906" s="559"/>
      <c r="AT3906" s="559"/>
      <c r="AU3906" s="559"/>
      <c r="AV3906" s="559"/>
      <c r="AW3906" s="559"/>
      <c r="AX3906" s="559"/>
      <c r="AY3906" s="559"/>
      <c r="AZ3906" s="559"/>
      <c r="BA3906" s="559"/>
      <c r="BB3906" s="559"/>
      <c r="BC3906" s="559"/>
      <c r="BD3906" s="559"/>
      <c r="BE3906" s="559"/>
      <c r="BF3906" s="559"/>
      <c r="BG3906" s="559"/>
      <c r="BH3906" s="559"/>
      <c r="BI3906" s="559"/>
      <c r="BJ3906" s="559"/>
      <c r="BK3906" s="559"/>
      <c r="BL3906" s="559"/>
    </row>
    <row r="3907" spans="1:64">
      <c r="A3907" s="406"/>
      <c r="B3907" s="406"/>
      <c r="C3907" s="417" t="str">
        <f>[161]Input!$C$47</f>
        <v>Add for MA @ 40%</v>
      </c>
      <c r="D3907" s="432">
        <f>[161]Input!$D$47</f>
        <v>0.4</v>
      </c>
      <c r="E3907" s="406"/>
      <c r="F3907" s="432">
        <f>SUM(I3904:I3906)</f>
        <v>1005.095</v>
      </c>
      <c r="G3907" s="406"/>
      <c r="H3907" s="406"/>
      <c r="I3907" s="459">
        <f t="shared" si="893"/>
        <v>402.03800000000001</v>
      </c>
      <c r="J3907" s="462"/>
      <c r="K3907" s="463"/>
      <c r="L3907" s="463"/>
      <c r="M3907" s="559"/>
      <c r="N3907" s="559"/>
      <c r="O3907" s="559"/>
      <c r="P3907" s="559"/>
      <c r="Q3907" s="559"/>
      <c r="R3907" s="559"/>
      <c r="S3907" s="559"/>
      <c r="T3907" s="559"/>
      <c r="U3907" s="559"/>
      <c r="V3907" s="559"/>
      <c r="W3907" s="559"/>
      <c r="X3907" s="559"/>
      <c r="Y3907" s="559"/>
      <c r="Z3907" s="559"/>
      <c r="AA3907" s="559"/>
      <c r="AB3907" s="559"/>
      <c r="AC3907" s="559"/>
      <c r="AD3907" s="559"/>
      <c r="AE3907" s="559"/>
      <c r="AF3907" s="559"/>
      <c r="AG3907" s="559"/>
      <c r="AH3907" s="559"/>
      <c r="AI3907" s="559"/>
      <c r="AJ3907" s="559"/>
      <c r="AK3907" s="559"/>
      <c r="AL3907" s="559"/>
      <c r="AM3907" s="559"/>
      <c r="AN3907" s="559"/>
      <c r="AO3907" s="559"/>
      <c r="AP3907" s="559"/>
      <c r="AQ3907" s="559"/>
      <c r="AR3907" s="559"/>
      <c r="AS3907" s="559"/>
      <c r="AT3907" s="559"/>
      <c r="AU3907" s="559"/>
      <c r="AV3907" s="559"/>
      <c r="AW3907" s="559"/>
      <c r="AX3907" s="559"/>
      <c r="AY3907" s="559"/>
      <c r="AZ3907" s="559"/>
      <c r="BA3907" s="559"/>
      <c r="BB3907" s="559"/>
      <c r="BC3907" s="559"/>
      <c r="BD3907" s="559"/>
      <c r="BE3907" s="559"/>
      <c r="BF3907" s="559"/>
      <c r="BG3907" s="559"/>
      <c r="BH3907" s="559"/>
      <c r="BI3907" s="559"/>
      <c r="BJ3907" s="559"/>
      <c r="BK3907" s="559"/>
      <c r="BL3907" s="559"/>
    </row>
    <row r="3908" spans="1:64" ht="25">
      <c r="A3908" s="406"/>
      <c r="B3908" s="406"/>
      <c r="C3908" s="417" t="s">
        <v>1354</v>
      </c>
      <c r="D3908" s="406">
        <v>0.01</v>
      </c>
      <c r="E3908" s="406"/>
      <c r="F3908" s="432">
        <f>SUM(I3903:I3907)</f>
        <v>2890.6329999999998</v>
      </c>
      <c r="G3908" s="406"/>
      <c r="H3908" s="406"/>
      <c r="I3908" s="459"/>
      <c r="J3908" s="462"/>
      <c r="K3908" s="463"/>
      <c r="L3908" s="463"/>
      <c r="M3908" s="559"/>
      <c r="N3908" s="559"/>
      <c r="O3908" s="559"/>
      <c r="P3908" s="559"/>
      <c r="Q3908" s="559"/>
      <c r="R3908" s="559"/>
      <c r="S3908" s="559"/>
      <c r="T3908" s="559"/>
      <c r="U3908" s="559"/>
      <c r="V3908" s="559"/>
      <c r="W3908" s="559"/>
      <c r="X3908" s="559"/>
      <c r="Y3908" s="559"/>
      <c r="Z3908" s="559"/>
      <c r="AA3908" s="559"/>
      <c r="AB3908" s="559"/>
      <c r="AC3908" s="559"/>
      <c r="AD3908" s="559"/>
      <c r="AE3908" s="559"/>
      <c r="AF3908" s="559"/>
      <c r="AG3908" s="559"/>
      <c r="AH3908" s="559"/>
      <c r="AI3908" s="559"/>
      <c r="AJ3908" s="559"/>
      <c r="AK3908" s="559"/>
      <c r="AL3908" s="559"/>
      <c r="AM3908" s="559"/>
      <c r="AN3908" s="559"/>
      <c r="AO3908" s="559"/>
      <c r="AP3908" s="559"/>
      <c r="AQ3908" s="559"/>
      <c r="AR3908" s="559"/>
      <c r="AS3908" s="559"/>
      <c r="AT3908" s="559"/>
      <c r="AU3908" s="559"/>
      <c r="AV3908" s="559"/>
      <c r="AW3908" s="559"/>
      <c r="AX3908" s="559"/>
      <c r="AY3908" s="559"/>
      <c r="AZ3908" s="559"/>
      <c r="BA3908" s="559"/>
      <c r="BB3908" s="559"/>
      <c r="BC3908" s="559"/>
      <c r="BD3908" s="559"/>
      <c r="BE3908" s="559"/>
      <c r="BF3908" s="559"/>
      <c r="BG3908" s="559"/>
      <c r="BH3908" s="559"/>
      <c r="BI3908" s="559"/>
      <c r="BJ3908" s="559"/>
      <c r="BK3908" s="559"/>
      <c r="BL3908" s="559"/>
    </row>
    <row r="3909" spans="1:64">
      <c r="A3909" s="406"/>
      <c r="B3909" s="406"/>
      <c r="C3909" s="417" t="s">
        <v>1134</v>
      </c>
      <c r="D3909" s="406">
        <v>10</v>
      </c>
      <c r="E3909" s="406" t="s">
        <v>17</v>
      </c>
      <c r="F3909" s="432">
        <f>'[161]Civil-SOR'!$F$233</f>
        <v>1.17</v>
      </c>
      <c r="G3909" s="406">
        <v>1</v>
      </c>
      <c r="H3909" s="406" t="s">
        <v>17</v>
      </c>
      <c r="I3909" s="459">
        <f t="shared" ref="I3909:I3911" si="894">IF(G3909="",D3909*F3909,(D3909*F3909/G3909))</f>
        <v>11.7</v>
      </c>
      <c r="J3909" s="462"/>
      <c r="K3909" s="463"/>
      <c r="L3909" s="463"/>
      <c r="M3909" s="559"/>
      <c r="N3909" s="559"/>
      <c r="O3909" s="559"/>
      <c r="P3909" s="559"/>
      <c r="Q3909" s="559"/>
      <c r="R3909" s="559"/>
      <c r="S3909" s="559"/>
      <c r="T3909" s="559"/>
      <c r="U3909" s="559"/>
      <c r="V3909" s="559"/>
      <c r="W3909" s="559"/>
      <c r="X3909" s="559"/>
      <c r="Y3909" s="559"/>
      <c r="Z3909" s="559"/>
      <c r="AA3909" s="559"/>
      <c r="AB3909" s="559"/>
      <c r="AC3909" s="559"/>
      <c r="AD3909" s="559"/>
      <c r="AE3909" s="559"/>
      <c r="AF3909" s="559"/>
      <c r="AG3909" s="559"/>
      <c r="AH3909" s="559"/>
      <c r="AI3909" s="559"/>
      <c r="AJ3909" s="559"/>
      <c r="AK3909" s="559"/>
      <c r="AL3909" s="559"/>
      <c r="AM3909" s="559"/>
      <c r="AN3909" s="559"/>
      <c r="AO3909" s="559"/>
      <c r="AP3909" s="559"/>
      <c r="AQ3909" s="559"/>
      <c r="AR3909" s="559"/>
      <c r="AS3909" s="559"/>
      <c r="AT3909" s="559"/>
      <c r="AU3909" s="559"/>
      <c r="AV3909" s="559"/>
      <c r="AW3909" s="559"/>
      <c r="AX3909" s="559"/>
      <c r="AY3909" s="559"/>
      <c r="AZ3909" s="559"/>
      <c r="BA3909" s="559"/>
      <c r="BB3909" s="559"/>
      <c r="BC3909" s="559"/>
      <c r="BD3909" s="559"/>
      <c r="BE3909" s="559"/>
      <c r="BF3909" s="559"/>
      <c r="BG3909" s="559"/>
      <c r="BH3909" s="559"/>
      <c r="BI3909" s="559"/>
      <c r="BJ3909" s="559"/>
      <c r="BK3909" s="559"/>
      <c r="BL3909" s="559"/>
    </row>
    <row r="3910" spans="1:64">
      <c r="A3910" s="406"/>
      <c r="B3910" s="406"/>
      <c r="C3910" s="417" t="s">
        <v>1060</v>
      </c>
      <c r="D3910" s="406">
        <v>10</v>
      </c>
      <c r="E3910" s="406" t="s">
        <v>17</v>
      </c>
      <c r="F3910" s="432">
        <f>'[161]Civil-SOR'!$G$233</f>
        <v>9.43</v>
      </c>
      <c r="G3910" s="406">
        <v>1</v>
      </c>
      <c r="H3910" s="406" t="s">
        <v>17</v>
      </c>
      <c r="I3910" s="459">
        <f t="shared" si="894"/>
        <v>94.3</v>
      </c>
      <c r="J3910" s="462"/>
      <c r="K3910" s="463"/>
      <c r="L3910" s="463"/>
      <c r="M3910" s="559"/>
      <c r="N3910" s="559"/>
      <c r="O3910" s="559"/>
      <c r="P3910" s="559"/>
      <c r="Q3910" s="559"/>
      <c r="R3910" s="559"/>
      <c r="S3910" s="559"/>
      <c r="T3910" s="559"/>
      <c r="U3910" s="559"/>
      <c r="V3910" s="559"/>
      <c r="W3910" s="559"/>
      <c r="X3910" s="559"/>
      <c r="Y3910" s="559"/>
      <c r="Z3910" s="559"/>
      <c r="AA3910" s="559"/>
      <c r="AB3910" s="559"/>
      <c r="AC3910" s="559"/>
      <c r="AD3910" s="559"/>
      <c r="AE3910" s="559"/>
      <c r="AF3910" s="559"/>
      <c r="AG3910" s="559"/>
      <c r="AH3910" s="559"/>
      <c r="AI3910" s="559"/>
      <c r="AJ3910" s="559"/>
      <c r="AK3910" s="559"/>
      <c r="AL3910" s="559"/>
      <c r="AM3910" s="559"/>
      <c r="AN3910" s="559"/>
      <c r="AO3910" s="559"/>
      <c r="AP3910" s="559"/>
      <c r="AQ3910" s="559"/>
      <c r="AR3910" s="559"/>
      <c r="AS3910" s="559"/>
      <c r="AT3910" s="559"/>
      <c r="AU3910" s="559"/>
      <c r="AV3910" s="559"/>
      <c r="AW3910" s="559"/>
      <c r="AX3910" s="559"/>
      <c r="AY3910" s="559"/>
      <c r="AZ3910" s="559"/>
      <c r="BA3910" s="559"/>
      <c r="BB3910" s="559"/>
      <c r="BC3910" s="559"/>
      <c r="BD3910" s="559"/>
      <c r="BE3910" s="559"/>
      <c r="BF3910" s="559"/>
      <c r="BG3910" s="559"/>
      <c r="BH3910" s="559"/>
      <c r="BI3910" s="559"/>
      <c r="BJ3910" s="559"/>
      <c r="BK3910" s="559"/>
      <c r="BL3910" s="559"/>
    </row>
    <row r="3911" spans="1:64">
      <c r="A3911" s="406"/>
      <c r="B3911" s="406"/>
      <c r="C3911" s="417" t="str">
        <f>[161]Input!$C$47</f>
        <v>Add for MA @ 40%</v>
      </c>
      <c r="D3911" s="432">
        <f>[161]Input!$D$47</f>
        <v>0.4</v>
      </c>
      <c r="E3911" s="406"/>
      <c r="F3911" s="432">
        <f>I3910</f>
        <v>94.3</v>
      </c>
      <c r="G3911" s="406"/>
      <c r="H3911" s="406"/>
      <c r="I3911" s="459">
        <f t="shared" si="894"/>
        <v>37.72</v>
      </c>
      <c r="J3911" s="735"/>
      <c r="K3911" s="736"/>
      <c r="L3911" s="736"/>
      <c r="M3911" s="703"/>
      <c r="N3911" s="703"/>
      <c r="O3911" s="703"/>
      <c r="P3911" s="703"/>
      <c r="Q3911" s="703"/>
      <c r="R3911" s="703"/>
      <c r="S3911" s="559"/>
      <c r="T3911" s="559"/>
      <c r="U3911" s="559"/>
      <c r="V3911" s="559"/>
      <c r="W3911" s="559"/>
      <c r="X3911" s="559"/>
      <c r="Y3911" s="559"/>
      <c r="Z3911" s="559"/>
      <c r="AA3911" s="559"/>
      <c r="AB3911" s="559"/>
      <c r="AC3911" s="559"/>
      <c r="AD3911" s="559"/>
      <c r="AE3911" s="559"/>
      <c r="AF3911" s="559"/>
      <c r="AG3911" s="559"/>
      <c r="AH3911" s="559"/>
      <c r="AI3911" s="559"/>
      <c r="AJ3911" s="559"/>
      <c r="AK3911" s="559"/>
      <c r="AL3911" s="559"/>
      <c r="AM3911" s="559"/>
      <c r="AN3911" s="559"/>
      <c r="AO3911" s="559"/>
      <c r="AP3911" s="559"/>
      <c r="AQ3911" s="559"/>
      <c r="AR3911" s="559"/>
      <c r="AS3911" s="559"/>
      <c r="AT3911" s="559"/>
      <c r="AU3911" s="559"/>
      <c r="AV3911" s="559"/>
      <c r="AW3911" s="559"/>
      <c r="AX3911" s="559"/>
      <c r="AY3911" s="559"/>
      <c r="AZ3911" s="559"/>
      <c r="BA3911" s="559"/>
      <c r="BB3911" s="559"/>
      <c r="BC3911" s="559"/>
      <c r="BD3911" s="559"/>
      <c r="BE3911" s="559"/>
      <c r="BF3911" s="559"/>
      <c r="BG3911" s="559"/>
      <c r="BH3911" s="559"/>
      <c r="BI3911" s="559"/>
      <c r="BJ3911" s="559"/>
      <c r="BK3911" s="559"/>
      <c r="BL3911" s="559"/>
    </row>
    <row r="3912" spans="1:64" ht="13">
      <c r="A3912" s="426"/>
      <c r="B3912" s="426"/>
      <c r="C3912" s="417"/>
      <c r="D3912" s="406"/>
      <c r="E3912" s="406"/>
      <c r="F3912" s="409"/>
      <c r="G3912" s="406"/>
      <c r="H3912" s="406"/>
      <c r="I3912" s="414">
        <f>SUM(I3903:I3911)</f>
        <v>3034.3529999999996</v>
      </c>
      <c r="J3912" s="400"/>
      <c r="K3912" s="401"/>
      <c r="L3912" s="401"/>
    </row>
    <row r="3913" spans="1:64" ht="25">
      <c r="A3913" s="426"/>
      <c r="B3913" s="426"/>
      <c r="C3913" s="417" t="str">
        <f>[161]Input!$C$48</f>
        <v>Overheads &amp; Contractors Profit @ 13.615%</v>
      </c>
      <c r="D3913" s="467">
        <f>[161]Input!$D$48</f>
        <v>0.13614999999999999</v>
      </c>
      <c r="E3913" s="408"/>
      <c r="F3913" s="408">
        <f>I3912</f>
        <v>3034.3529999999996</v>
      </c>
      <c r="G3913" s="430"/>
      <c r="H3913" s="426"/>
      <c r="I3913" s="408">
        <f>IF(G3913="",D3913*F3913,(D3913*F3913/G3913))</f>
        <v>413.1271609499999</v>
      </c>
      <c r="J3913" s="400"/>
      <c r="K3913" s="401"/>
      <c r="L3913" s="401"/>
    </row>
    <row r="3914" spans="1:64" ht="13">
      <c r="A3914" s="426"/>
      <c r="B3914" s="426"/>
      <c r="C3914" s="427" t="s">
        <v>741</v>
      </c>
      <c r="D3914" s="406"/>
      <c r="E3914" s="406"/>
      <c r="F3914" s="406"/>
      <c r="G3914" s="406"/>
      <c r="H3914" s="406"/>
      <c r="I3914" s="432">
        <f>SUM(I3912:I3913)</f>
        <v>3447.4801609499996</v>
      </c>
      <c r="J3914" s="400"/>
      <c r="K3914" s="401"/>
      <c r="L3914" s="401"/>
    </row>
    <row r="3915" spans="1:64" ht="13">
      <c r="A3915" s="426"/>
      <c r="B3915" s="426"/>
      <c r="C3915" s="427" t="s">
        <v>742</v>
      </c>
      <c r="D3915" s="406"/>
      <c r="E3915" s="406"/>
      <c r="F3915" s="406"/>
      <c r="G3915" s="406"/>
      <c r="H3915" s="406"/>
      <c r="I3915" s="432">
        <f>I3914/10</f>
        <v>344.74801609499997</v>
      </c>
      <c r="J3915" s="400"/>
      <c r="K3915" s="401"/>
      <c r="L3915" s="401"/>
    </row>
    <row r="3916" spans="1:64" ht="13">
      <c r="A3916" s="426"/>
      <c r="B3916" s="426"/>
      <c r="C3916" s="469"/>
      <c r="D3916" s="406"/>
      <c r="E3916" s="406"/>
      <c r="F3916" s="406"/>
      <c r="G3916" s="406"/>
      <c r="H3916" s="415" t="s">
        <v>774</v>
      </c>
      <c r="I3916" s="414">
        <f>ROUND(I3915,0)</f>
        <v>345</v>
      </c>
      <c r="J3916" s="400"/>
      <c r="K3916" s="401"/>
      <c r="L3916" s="401"/>
    </row>
    <row r="3917" spans="1:64" ht="13">
      <c r="A3917" s="426"/>
      <c r="B3917" s="426"/>
      <c r="C3917" s="469"/>
      <c r="D3917" s="406"/>
      <c r="E3917" s="406"/>
      <c r="F3917" s="406"/>
      <c r="G3917" s="406"/>
      <c r="H3917" s="415"/>
      <c r="I3917" s="414"/>
      <c r="J3917" s="400"/>
      <c r="K3917" s="401"/>
      <c r="L3917" s="401"/>
    </row>
    <row r="3918" spans="1:64" ht="70.150000000000006" customHeight="1">
      <c r="A3918" s="1280">
        <f>A3900+1</f>
        <v>23</v>
      </c>
      <c r="B3918" s="1280"/>
      <c r="C3918" s="1276" t="s">
        <v>1357</v>
      </c>
      <c r="D3918" s="1276"/>
      <c r="E3918" s="1276"/>
      <c r="F3918" s="1276"/>
      <c r="G3918" s="1276"/>
      <c r="H3918" s="1276"/>
      <c r="I3918" s="407"/>
      <c r="J3918" s="400"/>
      <c r="K3918" s="401"/>
      <c r="L3918" s="401"/>
    </row>
    <row r="3919" spans="1:64" ht="13">
      <c r="A3919" s="426"/>
      <c r="B3919" s="426"/>
      <c r="C3919" s="455" t="s">
        <v>1358</v>
      </c>
      <c r="D3919" s="406"/>
      <c r="E3919" s="406"/>
      <c r="F3919" s="406"/>
      <c r="G3919" s="406"/>
      <c r="H3919" s="406"/>
      <c r="I3919" s="432"/>
      <c r="J3919" s="400"/>
      <c r="K3919" s="401"/>
      <c r="L3919" s="401"/>
    </row>
    <row r="3920" spans="1:64" ht="13">
      <c r="A3920" s="426"/>
      <c r="B3920" s="426"/>
      <c r="C3920" s="427" t="s">
        <v>1351</v>
      </c>
      <c r="D3920" s="406"/>
      <c r="E3920" s="406"/>
      <c r="F3920" s="406"/>
      <c r="G3920" s="406"/>
      <c r="H3920" s="406"/>
      <c r="I3920" s="432"/>
      <c r="J3920" s="400"/>
      <c r="K3920" s="401"/>
      <c r="L3920" s="401"/>
    </row>
    <row r="3921" spans="1:64">
      <c r="A3921" s="406"/>
      <c r="B3921" s="406"/>
      <c r="C3921" s="417" t="s">
        <v>1359</v>
      </c>
      <c r="D3921" s="459">
        <v>0.5</v>
      </c>
      <c r="E3921" s="458" t="s">
        <v>312</v>
      </c>
      <c r="F3921" s="459">
        <f>'[161]Civil-SOR'!$G$185</f>
        <v>34</v>
      </c>
      <c r="G3921" s="460">
        <f>'[161]Civil-SOR'!$H$185</f>
        <v>1</v>
      </c>
      <c r="H3921" s="599" t="str">
        <f>IF(E3921="","",IF(E3921="No.","Each",IF(E3921="Nos.","Each",E3921)))</f>
        <v>Kg</v>
      </c>
      <c r="I3921" s="459">
        <f t="shared" ref="I3921:I3927" si="895">IF(G3921="",D3921*F3921,(D3921*F3921/G3921))</f>
        <v>17</v>
      </c>
      <c r="J3921" s="462"/>
      <c r="K3921" s="463"/>
      <c r="L3921" s="463"/>
      <c r="M3921" s="559"/>
      <c r="N3921" s="559"/>
      <c r="O3921" s="559"/>
      <c r="P3921" s="559"/>
      <c r="Q3921" s="559"/>
      <c r="R3921" s="559"/>
      <c r="S3921" s="559"/>
      <c r="T3921" s="559"/>
      <c r="U3921" s="559"/>
      <c r="V3921" s="559"/>
      <c r="W3921" s="559"/>
      <c r="X3921" s="559"/>
      <c r="Y3921" s="559"/>
      <c r="Z3921" s="559"/>
      <c r="AA3921" s="559"/>
      <c r="AB3921" s="559"/>
      <c r="AC3921" s="559"/>
      <c r="AD3921" s="559"/>
      <c r="AE3921" s="559"/>
      <c r="AF3921" s="559"/>
      <c r="AG3921" s="559"/>
      <c r="AH3921" s="559"/>
      <c r="AI3921" s="559"/>
      <c r="AJ3921" s="559"/>
      <c r="AK3921" s="559"/>
      <c r="AL3921" s="559"/>
      <c r="AM3921" s="559"/>
      <c r="AN3921" s="559"/>
      <c r="AO3921" s="559"/>
      <c r="AP3921" s="559"/>
      <c r="AQ3921" s="559"/>
      <c r="AR3921" s="559"/>
      <c r="AS3921" s="559"/>
      <c r="AT3921" s="559"/>
      <c r="AU3921" s="559"/>
      <c r="AV3921" s="559"/>
      <c r="AW3921" s="559"/>
      <c r="AX3921" s="559"/>
      <c r="AY3921" s="559"/>
      <c r="AZ3921" s="559"/>
      <c r="BA3921" s="559"/>
      <c r="BB3921" s="559"/>
      <c r="BC3921" s="559"/>
      <c r="BD3921" s="559"/>
      <c r="BE3921" s="559"/>
      <c r="BF3921" s="559"/>
      <c r="BG3921" s="559"/>
      <c r="BH3921" s="559"/>
      <c r="BI3921" s="559"/>
      <c r="BJ3921" s="559"/>
      <c r="BK3921" s="559"/>
      <c r="BL3921" s="559"/>
    </row>
    <row r="3922" spans="1:64">
      <c r="A3922" s="406"/>
      <c r="B3922" s="406"/>
      <c r="C3922" s="417" t="s">
        <v>1343</v>
      </c>
      <c r="D3922" s="432">
        <v>0.08</v>
      </c>
      <c r="E3922" s="406" t="s">
        <v>375</v>
      </c>
      <c r="F3922" s="432">
        <f>'[161]Civil-SOR'!$G$296</f>
        <v>665</v>
      </c>
      <c r="G3922" s="406">
        <v>1</v>
      </c>
      <c r="H3922" s="406" t="s">
        <v>572</v>
      </c>
      <c r="I3922" s="459">
        <f t="shared" si="895"/>
        <v>53.2</v>
      </c>
      <c r="J3922" s="462"/>
      <c r="K3922" s="463"/>
      <c r="L3922" s="463"/>
      <c r="M3922" s="559"/>
      <c r="N3922" s="559"/>
      <c r="O3922" s="559"/>
      <c r="P3922" s="559"/>
      <c r="Q3922" s="559"/>
      <c r="R3922" s="559"/>
      <c r="S3922" s="559"/>
      <c r="T3922" s="559"/>
      <c r="U3922" s="559"/>
      <c r="V3922" s="559"/>
      <c r="W3922" s="559"/>
      <c r="X3922" s="559"/>
      <c r="Y3922" s="559"/>
      <c r="Z3922" s="559"/>
      <c r="AA3922" s="559"/>
      <c r="AB3922" s="559"/>
      <c r="AC3922" s="559"/>
      <c r="AD3922" s="559"/>
      <c r="AE3922" s="559"/>
      <c r="AF3922" s="559"/>
      <c r="AG3922" s="559"/>
      <c r="AH3922" s="559"/>
      <c r="AI3922" s="559"/>
      <c r="AJ3922" s="559"/>
      <c r="AK3922" s="559"/>
      <c r="AL3922" s="559"/>
      <c r="AM3922" s="559"/>
      <c r="AN3922" s="559"/>
      <c r="AO3922" s="559"/>
      <c r="AP3922" s="559"/>
      <c r="AQ3922" s="559"/>
      <c r="AR3922" s="559"/>
      <c r="AS3922" s="559"/>
      <c r="AT3922" s="559"/>
      <c r="AU3922" s="559"/>
      <c r="AV3922" s="559"/>
      <c r="AW3922" s="559"/>
      <c r="AX3922" s="559"/>
      <c r="AY3922" s="559"/>
      <c r="AZ3922" s="559"/>
      <c r="BA3922" s="559"/>
      <c r="BB3922" s="559"/>
      <c r="BC3922" s="559"/>
      <c r="BD3922" s="559"/>
      <c r="BE3922" s="559"/>
      <c r="BF3922" s="559"/>
      <c r="BG3922" s="559"/>
      <c r="BH3922" s="559"/>
      <c r="BI3922" s="559"/>
      <c r="BJ3922" s="559"/>
      <c r="BK3922" s="559"/>
      <c r="BL3922" s="559"/>
    </row>
    <row r="3923" spans="1:64">
      <c r="A3923" s="406"/>
      <c r="B3923" s="406"/>
      <c r="C3923" s="417" t="s">
        <v>1344</v>
      </c>
      <c r="D3923" s="432">
        <v>0.19</v>
      </c>
      <c r="E3923" s="406" t="s">
        <v>375</v>
      </c>
      <c r="F3923" s="432">
        <f>'[161]Civil-SOR'!$G$303</f>
        <v>550</v>
      </c>
      <c r="G3923" s="406">
        <v>1</v>
      </c>
      <c r="H3923" s="406" t="s">
        <v>572</v>
      </c>
      <c r="I3923" s="459">
        <f t="shared" si="895"/>
        <v>104.5</v>
      </c>
      <c r="J3923" s="462"/>
      <c r="K3923" s="463"/>
      <c r="L3923" s="463"/>
      <c r="M3923" s="559"/>
      <c r="N3923" s="559"/>
      <c r="O3923" s="559"/>
      <c r="P3923" s="559"/>
      <c r="Q3923" s="559"/>
      <c r="R3923" s="559"/>
      <c r="S3923" s="559"/>
      <c r="T3923" s="559"/>
      <c r="U3923" s="559"/>
      <c r="V3923" s="559"/>
      <c r="W3923" s="559"/>
      <c r="X3923" s="559"/>
      <c r="Y3923" s="559"/>
      <c r="Z3923" s="559"/>
      <c r="AA3923" s="559"/>
      <c r="AB3923" s="559"/>
      <c r="AC3923" s="559"/>
      <c r="AD3923" s="559"/>
      <c r="AE3923" s="559"/>
      <c r="AF3923" s="559"/>
      <c r="AG3923" s="559"/>
      <c r="AH3923" s="559"/>
      <c r="AI3923" s="559"/>
      <c r="AJ3923" s="559"/>
      <c r="AK3923" s="559"/>
      <c r="AL3923" s="559"/>
      <c r="AM3923" s="559"/>
      <c r="AN3923" s="559"/>
      <c r="AO3923" s="559"/>
      <c r="AP3923" s="559"/>
      <c r="AQ3923" s="559"/>
      <c r="AR3923" s="559"/>
      <c r="AS3923" s="559"/>
      <c r="AT3923" s="559"/>
      <c r="AU3923" s="559"/>
      <c r="AV3923" s="559"/>
      <c r="AW3923" s="559"/>
      <c r="AX3923" s="559"/>
      <c r="AY3923" s="559"/>
      <c r="AZ3923" s="559"/>
      <c r="BA3923" s="559"/>
      <c r="BB3923" s="559"/>
      <c r="BC3923" s="559"/>
      <c r="BD3923" s="559"/>
      <c r="BE3923" s="559"/>
      <c r="BF3923" s="559"/>
      <c r="BG3923" s="559"/>
      <c r="BH3923" s="559"/>
      <c r="BI3923" s="559"/>
      <c r="BJ3923" s="559"/>
      <c r="BK3923" s="559"/>
      <c r="BL3923" s="559"/>
    </row>
    <row r="3924" spans="1:64">
      <c r="A3924" s="406"/>
      <c r="B3924" s="406"/>
      <c r="C3924" s="417" t="s">
        <v>1360</v>
      </c>
      <c r="D3924" s="432">
        <v>1.7</v>
      </c>
      <c r="E3924" s="406" t="s">
        <v>1149</v>
      </c>
      <c r="F3924" s="432">
        <f>'[161]Civil-SOR'!$G$66</f>
        <v>63</v>
      </c>
      <c r="G3924" s="406">
        <v>1</v>
      </c>
      <c r="H3924" s="406" t="s">
        <v>1361</v>
      </c>
      <c r="I3924" s="459">
        <f t="shared" si="895"/>
        <v>107.1</v>
      </c>
      <c r="J3924" s="462"/>
      <c r="K3924" s="463"/>
      <c r="L3924" s="463"/>
      <c r="M3924" s="559"/>
      <c r="N3924" s="559"/>
      <c r="O3924" s="559"/>
      <c r="P3924" s="559"/>
      <c r="Q3924" s="559"/>
      <c r="R3924" s="559"/>
      <c r="S3924" s="559"/>
      <c r="T3924" s="559"/>
      <c r="U3924" s="559"/>
      <c r="V3924" s="559"/>
      <c r="W3924" s="559"/>
      <c r="X3924" s="559"/>
      <c r="Y3924" s="559"/>
      <c r="Z3924" s="559"/>
      <c r="AA3924" s="559"/>
      <c r="AB3924" s="559"/>
      <c r="AC3924" s="559"/>
      <c r="AD3924" s="559"/>
      <c r="AE3924" s="559"/>
      <c r="AF3924" s="559"/>
      <c r="AG3924" s="559"/>
      <c r="AH3924" s="559"/>
      <c r="AI3924" s="559"/>
      <c r="AJ3924" s="559"/>
      <c r="AK3924" s="559"/>
      <c r="AL3924" s="559"/>
      <c r="AM3924" s="559"/>
      <c r="AN3924" s="559"/>
      <c r="AO3924" s="559"/>
      <c r="AP3924" s="559"/>
      <c r="AQ3924" s="559"/>
      <c r="AR3924" s="559"/>
      <c r="AS3924" s="559"/>
      <c r="AT3924" s="559"/>
      <c r="AU3924" s="559"/>
      <c r="AV3924" s="559"/>
      <c r="AW3924" s="559"/>
      <c r="AX3924" s="559"/>
      <c r="AY3924" s="559"/>
      <c r="AZ3924" s="559"/>
      <c r="BA3924" s="559"/>
      <c r="BB3924" s="559"/>
      <c r="BC3924" s="559"/>
      <c r="BD3924" s="559"/>
      <c r="BE3924" s="559"/>
      <c r="BF3924" s="559"/>
      <c r="BG3924" s="559"/>
      <c r="BH3924" s="559"/>
      <c r="BI3924" s="559"/>
      <c r="BJ3924" s="559"/>
      <c r="BK3924" s="559"/>
      <c r="BL3924" s="559"/>
    </row>
    <row r="3925" spans="1:64">
      <c r="A3925" s="406"/>
      <c r="B3925" s="406"/>
      <c r="C3925" s="417" t="s">
        <v>1343</v>
      </c>
      <c r="D3925" s="432">
        <v>0.36</v>
      </c>
      <c r="E3925" s="406" t="s">
        <v>375</v>
      </c>
      <c r="F3925" s="432">
        <f>'[161]Civil-SOR'!$G$296</f>
        <v>665</v>
      </c>
      <c r="G3925" s="406">
        <v>1</v>
      </c>
      <c r="H3925" s="406" t="s">
        <v>572</v>
      </c>
      <c r="I3925" s="459">
        <f t="shared" si="895"/>
        <v>239.39999999999998</v>
      </c>
      <c r="J3925" s="462"/>
      <c r="K3925" s="463"/>
      <c r="L3925" s="463"/>
      <c r="M3925" s="559"/>
      <c r="N3925" s="559"/>
      <c r="O3925" s="559"/>
      <c r="P3925" s="559"/>
      <c r="Q3925" s="559"/>
      <c r="R3925" s="559"/>
      <c r="S3925" s="559"/>
      <c r="T3925" s="559"/>
      <c r="U3925" s="559"/>
      <c r="V3925" s="559"/>
      <c r="W3925" s="559"/>
      <c r="X3925" s="559"/>
      <c r="Y3925" s="559"/>
      <c r="Z3925" s="559"/>
      <c r="AA3925" s="559"/>
      <c r="AB3925" s="559"/>
      <c r="AC3925" s="559"/>
      <c r="AD3925" s="559"/>
      <c r="AE3925" s="559"/>
      <c r="AF3925" s="559"/>
      <c r="AG3925" s="559"/>
      <c r="AH3925" s="559"/>
      <c r="AI3925" s="559"/>
      <c r="AJ3925" s="559"/>
      <c r="AK3925" s="559"/>
      <c r="AL3925" s="559"/>
      <c r="AM3925" s="559"/>
      <c r="AN3925" s="559"/>
      <c r="AO3925" s="559"/>
      <c r="AP3925" s="559"/>
      <c r="AQ3925" s="559"/>
      <c r="AR3925" s="559"/>
      <c r="AS3925" s="559"/>
      <c r="AT3925" s="559"/>
      <c r="AU3925" s="559"/>
      <c r="AV3925" s="559"/>
      <c r="AW3925" s="559"/>
      <c r="AX3925" s="559"/>
      <c r="AY3925" s="559"/>
      <c r="AZ3925" s="559"/>
      <c r="BA3925" s="559"/>
      <c r="BB3925" s="559"/>
      <c r="BC3925" s="559"/>
      <c r="BD3925" s="559"/>
      <c r="BE3925" s="559"/>
      <c r="BF3925" s="559"/>
      <c r="BG3925" s="559"/>
      <c r="BH3925" s="559"/>
      <c r="BI3925" s="559"/>
      <c r="BJ3925" s="559"/>
      <c r="BK3925" s="559"/>
      <c r="BL3925" s="559"/>
    </row>
    <row r="3926" spans="1:64">
      <c r="A3926" s="406"/>
      <c r="B3926" s="406"/>
      <c r="C3926" s="417" t="s">
        <v>1344</v>
      </c>
      <c r="D3926" s="432">
        <v>0.84</v>
      </c>
      <c r="E3926" s="406" t="s">
        <v>375</v>
      </c>
      <c r="F3926" s="432">
        <f>'[161]Civil-SOR'!$G$303</f>
        <v>550</v>
      </c>
      <c r="G3926" s="406">
        <v>1</v>
      </c>
      <c r="H3926" s="406" t="s">
        <v>572</v>
      </c>
      <c r="I3926" s="459">
        <f t="shared" si="895"/>
        <v>462</v>
      </c>
      <c r="J3926" s="462"/>
      <c r="K3926" s="463"/>
      <c r="L3926" s="463"/>
      <c r="M3926" s="559"/>
      <c r="N3926" s="559"/>
      <c r="O3926" s="559"/>
      <c r="P3926" s="559"/>
      <c r="Q3926" s="559"/>
      <c r="R3926" s="559"/>
      <c r="S3926" s="559"/>
      <c r="T3926" s="559"/>
      <c r="U3926" s="559"/>
      <c r="V3926" s="559"/>
      <c r="W3926" s="559"/>
      <c r="X3926" s="559"/>
      <c r="Y3926" s="559"/>
      <c r="Z3926" s="559"/>
      <c r="AA3926" s="559"/>
      <c r="AB3926" s="559"/>
      <c r="AC3926" s="559"/>
      <c r="AD3926" s="559"/>
      <c r="AE3926" s="559"/>
      <c r="AF3926" s="559"/>
      <c r="AG3926" s="559"/>
      <c r="AH3926" s="559"/>
      <c r="AI3926" s="559"/>
      <c r="AJ3926" s="559"/>
      <c r="AK3926" s="559"/>
      <c r="AL3926" s="559"/>
      <c r="AM3926" s="559"/>
      <c r="AN3926" s="559"/>
      <c r="AO3926" s="559"/>
      <c r="AP3926" s="559"/>
      <c r="AQ3926" s="559"/>
      <c r="AR3926" s="559"/>
      <c r="AS3926" s="559"/>
      <c r="AT3926" s="559"/>
      <c r="AU3926" s="559"/>
      <c r="AV3926" s="559"/>
      <c r="AW3926" s="559"/>
      <c r="AX3926" s="559"/>
      <c r="AY3926" s="559"/>
      <c r="AZ3926" s="559"/>
      <c r="BA3926" s="559"/>
      <c r="BB3926" s="559"/>
      <c r="BC3926" s="559"/>
      <c r="BD3926" s="559"/>
      <c r="BE3926" s="559"/>
      <c r="BF3926" s="559"/>
      <c r="BG3926" s="559"/>
      <c r="BH3926" s="559"/>
      <c r="BI3926" s="559"/>
      <c r="BJ3926" s="559"/>
      <c r="BK3926" s="559"/>
      <c r="BL3926" s="559"/>
    </row>
    <row r="3927" spans="1:64">
      <c r="A3927" s="406"/>
      <c r="B3927" s="406"/>
      <c r="C3927" s="417" t="str">
        <f>[161]Input!$C$47</f>
        <v>Add for MA @ 40%</v>
      </c>
      <c r="D3927" s="432">
        <f>[161]Input!$D$47</f>
        <v>0.4</v>
      </c>
      <c r="E3927" s="406"/>
      <c r="F3927" s="432">
        <f>I3922+I3923+I3925+I3926</f>
        <v>859.09999999999991</v>
      </c>
      <c r="G3927" s="406"/>
      <c r="H3927" s="406"/>
      <c r="I3927" s="459">
        <f t="shared" si="895"/>
        <v>343.64</v>
      </c>
      <c r="J3927" s="462"/>
      <c r="K3927" s="463"/>
      <c r="L3927" s="463"/>
      <c r="M3927" s="559"/>
      <c r="N3927" s="559"/>
      <c r="O3927" s="559"/>
      <c r="P3927" s="559"/>
      <c r="Q3927" s="559"/>
      <c r="R3927" s="559"/>
      <c r="S3927" s="559"/>
      <c r="T3927" s="559"/>
      <c r="U3927" s="559"/>
      <c r="V3927" s="559"/>
      <c r="W3927" s="559"/>
      <c r="X3927" s="559"/>
      <c r="Y3927" s="559"/>
      <c r="Z3927" s="559"/>
      <c r="AA3927" s="559"/>
      <c r="AB3927" s="559"/>
      <c r="AC3927" s="559"/>
      <c r="AD3927" s="559"/>
      <c r="AE3927" s="559"/>
      <c r="AF3927" s="559"/>
      <c r="AG3927" s="559"/>
      <c r="AH3927" s="559"/>
      <c r="AI3927" s="559"/>
      <c r="AJ3927" s="559"/>
      <c r="AK3927" s="559"/>
      <c r="AL3927" s="559"/>
      <c r="AM3927" s="559"/>
      <c r="AN3927" s="559"/>
      <c r="AO3927" s="559"/>
      <c r="AP3927" s="559"/>
      <c r="AQ3927" s="559"/>
      <c r="AR3927" s="559"/>
      <c r="AS3927" s="559"/>
      <c r="AT3927" s="559"/>
      <c r="AU3927" s="559"/>
      <c r="AV3927" s="559"/>
      <c r="AW3927" s="559"/>
      <c r="AX3927" s="559"/>
      <c r="AY3927" s="559"/>
      <c r="AZ3927" s="559"/>
      <c r="BA3927" s="559"/>
      <c r="BB3927" s="559"/>
      <c r="BC3927" s="559"/>
      <c r="BD3927" s="559"/>
      <c r="BE3927" s="559"/>
      <c r="BF3927" s="559"/>
      <c r="BG3927" s="559"/>
      <c r="BH3927" s="559"/>
      <c r="BI3927" s="559"/>
      <c r="BJ3927" s="559"/>
      <c r="BK3927" s="559"/>
      <c r="BL3927" s="559"/>
    </row>
    <row r="3928" spans="1:64" ht="25">
      <c r="A3928" s="406"/>
      <c r="B3928" s="406"/>
      <c r="C3928" s="417" t="s">
        <v>1345</v>
      </c>
      <c r="D3928" s="406">
        <v>0.01</v>
      </c>
      <c r="E3928" s="406"/>
      <c r="F3928" s="432">
        <f>SUM(I3921:I3927)</f>
        <v>1326.84</v>
      </c>
      <c r="G3928" s="406"/>
      <c r="H3928" s="406"/>
      <c r="I3928" s="459"/>
      <c r="J3928" s="462"/>
      <c r="K3928" s="463"/>
      <c r="L3928" s="463"/>
      <c r="M3928" s="559"/>
      <c r="N3928" s="559"/>
      <c r="O3928" s="559"/>
      <c r="P3928" s="559"/>
      <c r="Q3928" s="559"/>
      <c r="R3928" s="559"/>
      <c r="S3928" s="559"/>
      <c r="T3928" s="559"/>
      <c r="U3928" s="559"/>
      <c r="V3928" s="559"/>
      <c r="W3928" s="559"/>
      <c r="X3928" s="559"/>
      <c r="Y3928" s="559"/>
      <c r="Z3928" s="559"/>
      <c r="AA3928" s="559"/>
      <c r="AB3928" s="559"/>
      <c r="AC3928" s="559"/>
      <c r="AD3928" s="559"/>
      <c r="AE3928" s="559"/>
      <c r="AF3928" s="559"/>
      <c r="AG3928" s="559"/>
      <c r="AH3928" s="559"/>
      <c r="AI3928" s="559"/>
      <c r="AJ3928" s="559"/>
      <c r="AK3928" s="559"/>
      <c r="AL3928" s="559"/>
      <c r="AM3928" s="559"/>
      <c r="AN3928" s="559"/>
      <c r="AO3928" s="559"/>
      <c r="AP3928" s="559"/>
      <c r="AQ3928" s="559"/>
      <c r="AR3928" s="559"/>
      <c r="AS3928" s="559"/>
      <c r="AT3928" s="559"/>
      <c r="AU3928" s="559"/>
      <c r="AV3928" s="559"/>
      <c r="AW3928" s="559"/>
      <c r="AX3928" s="559"/>
      <c r="AY3928" s="559"/>
      <c r="AZ3928" s="559"/>
      <c r="BA3928" s="559"/>
      <c r="BB3928" s="559"/>
      <c r="BC3928" s="559"/>
      <c r="BD3928" s="559"/>
      <c r="BE3928" s="559"/>
      <c r="BF3928" s="559"/>
      <c r="BG3928" s="559"/>
      <c r="BH3928" s="559"/>
      <c r="BI3928" s="559"/>
      <c r="BJ3928" s="559"/>
      <c r="BK3928" s="559"/>
      <c r="BL3928" s="559"/>
    </row>
    <row r="3929" spans="1:64" ht="13">
      <c r="A3929" s="406"/>
      <c r="B3929" s="406"/>
      <c r="C3929" s="417"/>
      <c r="D3929" s="406"/>
      <c r="E3929" s="406"/>
      <c r="F3929" s="432"/>
      <c r="G3929" s="406"/>
      <c r="H3929" s="406"/>
      <c r="I3929" s="461">
        <f>SUM(I3921:I3928)</f>
        <v>1326.84</v>
      </c>
      <c r="J3929" s="462"/>
      <c r="K3929" s="463"/>
      <c r="L3929" s="463"/>
      <c r="M3929" s="559"/>
      <c r="N3929" s="559"/>
      <c r="O3929" s="559"/>
      <c r="P3929" s="559"/>
      <c r="Q3929" s="559"/>
      <c r="R3929" s="559"/>
      <c r="S3929" s="559"/>
      <c r="T3929" s="559"/>
      <c r="U3929" s="559"/>
      <c r="V3929" s="559"/>
      <c r="W3929" s="559"/>
      <c r="X3929" s="559"/>
      <c r="Y3929" s="559"/>
      <c r="Z3929" s="559"/>
      <c r="AA3929" s="559"/>
      <c r="AB3929" s="559"/>
      <c r="AC3929" s="559"/>
      <c r="AD3929" s="559"/>
      <c r="AE3929" s="559"/>
      <c r="AF3929" s="559"/>
      <c r="AG3929" s="559"/>
      <c r="AH3929" s="559"/>
      <c r="AI3929" s="559"/>
      <c r="AJ3929" s="559"/>
      <c r="AK3929" s="559"/>
      <c r="AL3929" s="559"/>
      <c r="AM3929" s="559"/>
      <c r="AN3929" s="559"/>
      <c r="AO3929" s="559"/>
      <c r="AP3929" s="559"/>
      <c r="AQ3929" s="559"/>
      <c r="AR3929" s="559"/>
      <c r="AS3929" s="559"/>
      <c r="AT3929" s="559"/>
      <c r="AU3929" s="559"/>
      <c r="AV3929" s="559"/>
      <c r="AW3929" s="559"/>
      <c r="AX3929" s="559"/>
      <c r="AY3929" s="559"/>
      <c r="AZ3929" s="559"/>
      <c r="BA3929" s="559"/>
      <c r="BB3929" s="559"/>
      <c r="BC3929" s="559"/>
      <c r="BD3929" s="559"/>
      <c r="BE3929" s="559"/>
      <c r="BF3929" s="559"/>
      <c r="BG3929" s="559"/>
      <c r="BH3929" s="559"/>
      <c r="BI3929" s="559"/>
      <c r="BJ3929" s="559"/>
      <c r="BK3929" s="559"/>
      <c r="BL3929" s="559"/>
    </row>
    <row r="3930" spans="1:64" ht="25">
      <c r="A3930" s="406"/>
      <c r="B3930" s="406"/>
      <c r="C3930" s="417" t="str">
        <f>[161]Input!$C$48</f>
        <v>Overheads &amp; Contractors Profit @ 13.615%</v>
      </c>
      <c r="D3930" s="465">
        <f>[161]Input!$D$48</f>
        <v>0.13614999999999999</v>
      </c>
      <c r="E3930" s="459"/>
      <c r="F3930" s="459">
        <f>I3929</f>
        <v>1326.84</v>
      </c>
      <c r="G3930" s="460"/>
      <c r="H3930" s="406"/>
      <c r="I3930" s="459">
        <f>IF(G3930="",D3930*F3930,(D3930*F3930/G3930))</f>
        <v>180.64926599999998</v>
      </c>
      <c r="J3930" s="462"/>
      <c r="K3930" s="463"/>
      <c r="L3930" s="463"/>
      <c r="M3930" s="559"/>
      <c r="N3930" s="559"/>
      <c r="O3930" s="559"/>
      <c r="P3930" s="559"/>
      <c r="Q3930" s="559"/>
      <c r="R3930" s="559"/>
      <c r="S3930" s="559"/>
      <c r="T3930" s="559"/>
      <c r="U3930" s="559"/>
      <c r="V3930" s="559"/>
      <c r="W3930" s="559"/>
      <c r="X3930" s="559"/>
      <c r="Y3930" s="559"/>
      <c r="Z3930" s="559"/>
      <c r="AA3930" s="559"/>
      <c r="AB3930" s="559"/>
      <c r="AC3930" s="559"/>
      <c r="AD3930" s="559"/>
      <c r="AE3930" s="559"/>
      <c r="AF3930" s="559"/>
      <c r="AG3930" s="559"/>
      <c r="AH3930" s="559"/>
      <c r="AI3930" s="559"/>
      <c r="AJ3930" s="559"/>
      <c r="AK3930" s="559"/>
      <c r="AL3930" s="559"/>
      <c r="AM3930" s="559"/>
      <c r="AN3930" s="559"/>
      <c r="AO3930" s="559"/>
      <c r="AP3930" s="559"/>
      <c r="AQ3930" s="559"/>
      <c r="AR3930" s="559"/>
      <c r="AS3930" s="559"/>
      <c r="AT3930" s="559"/>
      <c r="AU3930" s="559"/>
      <c r="AV3930" s="559"/>
      <c r="AW3930" s="559"/>
      <c r="AX3930" s="559"/>
      <c r="AY3930" s="559"/>
      <c r="AZ3930" s="559"/>
      <c r="BA3930" s="559"/>
      <c r="BB3930" s="559"/>
      <c r="BC3930" s="559"/>
      <c r="BD3930" s="559"/>
      <c r="BE3930" s="559"/>
      <c r="BF3930" s="559"/>
      <c r="BG3930" s="559"/>
      <c r="BH3930" s="559"/>
      <c r="BI3930" s="559"/>
      <c r="BJ3930" s="559"/>
      <c r="BK3930" s="559"/>
      <c r="BL3930" s="559"/>
    </row>
    <row r="3931" spans="1:64" ht="13">
      <c r="A3931" s="426"/>
      <c r="B3931" s="426"/>
      <c r="C3931" s="427" t="s">
        <v>741</v>
      </c>
      <c r="D3931" s="406"/>
      <c r="E3931" s="406"/>
      <c r="F3931" s="406"/>
      <c r="G3931" s="406"/>
      <c r="H3931" s="406"/>
      <c r="I3931" s="432">
        <f>SUM(I3929:I3930)</f>
        <v>1507.4892659999998</v>
      </c>
      <c r="J3931" s="400"/>
      <c r="K3931" s="401"/>
      <c r="L3931" s="401"/>
    </row>
    <row r="3932" spans="1:64" ht="13">
      <c r="A3932" s="426"/>
      <c r="B3932" s="426"/>
      <c r="C3932" s="427" t="s">
        <v>742</v>
      </c>
      <c r="D3932" s="406"/>
      <c r="E3932" s="406"/>
      <c r="F3932" s="406"/>
      <c r="G3932" s="406"/>
      <c r="H3932" s="406"/>
      <c r="I3932" s="432">
        <f>I3931/10</f>
        <v>150.74892659999998</v>
      </c>
      <c r="J3932" s="400"/>
      <c r="K3932" s="401"/>
      <c r="L3932" s="401"/>
    </row>
    <row r="3933" spans="1:64" ht="13">
      <c r="A3933" s="426"/>
      <c r="B3933" s="426"/>
      <c r="C3933" s="469"/>
      <c r="D3933" s="406"/>
      <c r="E3933" s="406"/>
      <c r="F3933" s="406"/>
      <c r="G3933" s="406"/>
      <c r="H3933" s="415" t="s">
        <v>774</v>
      </c>
      <c r="I3933" s="414">
        <f>ROUND(I3932,0)</f>
        <v>151</v>
      </c>
      <c r="J3933" s="400"/>
      <c r="K3933" s="401"/>
      <c r="L3933" s="401"/>
    </row>
    <row r="3934" spans="1:64" ht="13">
      <c r="A3934" s="426"/>
      <c r="B3934" s="426"/>
      <c r="C3934" s="427"/>
      <c r="D3934" s="406"/>
      <c r="E3934" s="406"/>
      <c r="F3934" s="406"/>
      <c r="G3934" s="406"/>
      <c r="H3934" s="415"/>
      <c r="I3934" s="414"/>
      <c r="J3934" s="400"/>
      <c r="K3934" s="401"/>
      <c r="L3934" s="401"/>
    </row>
    <row r="3935" spans="1:64" ht="73.900000000000006" customHeight="1">
      <c r="A3935" s="1280">
        <f>A3918+1</f>
        <v>24</v>
      </c>
      <c r="B3935" s="1280"/>
      <c r="C3935" s="1276" t="s">
        <v>1362</v>
      </c>
      <c r="D3935" s="1276"/>
      <c r="E3935" s="1276"/>
      <c r="F3935" s="1276"/>
      <c r="G3935" s="1276"/>
      <c r="H3935" s="1276"/>
      <c r="I3935" s="407"/>
      <c r="J3935" s="400"/>
      <c r="K3935" s="401"/>
      <c r="L3935" s="401"/>
    </row>
    <row r="3936" spans="1:64" ht="13">
      <c r="A3936" s="426"/>
      <c r="B3936" s="426"/>
      <c r="C3936" s="455" t="s">
        <v>1363</v>
      </c>
      <c r="D3936" s="406"/>
      <c r="E3936" s="406"/>
      <c r="F3936" s="406"/>
      <c r="G3936" s="406"/>
      <c r="H3936" s="406"/>
      <c r="I3936" s="432"/>
      <c r="J3936" s="400"/>
      <c r="K3936" s="401"/>
      <c r="L3936" s="401"/>
    </row>
    <row r="3937" spans="1:64" ht="13">
      <c r="A3937" s="406"/>
      <c r="B3937" s="406"/>
      <c r="C3937" s="427" t="s">
        <v>1351</v>
      </c>
      <c r="D3937" s="406"/>
      <c r="E3937" s="406"/>
      <c r="F3937" s="406"/>
      <c r="G3937" s="406"/>
      <c r="H3937" s="406"/>
      <c r="I3937" s="432"/>
      <c r="J3937" s="462"/>
      <c r="K3937" s="463"/>
      <c r="L3937" s="463"/>
      <c r="M3937" s="559"/>
      <c r="N3937" s="559"/>
      <c r="O3937" s="559"/>
      <c r="P3937" s="559"/>
      <c r="Q3937" s="559"/>
      <c r="R3937" s="559"/>
      <c r="S3937" s="559"/>
      <c r="T3937" s="559"/>
      <c r="U3937" s="559"/>
      <c r="V3937" s="559"/>
      <c r="W3937" s="559"/>
      <c r="X3937" s="559"/>
      <c r="Y3937" s="559"/>
      <c r="Z3937" s="559"/>
      <c r="AA3937" s="559"/>
      <c r="AB3937" s="559"/>
      <c r="AC3937" s="559"/>
      <c r="AD3937" s="559"/>
      <c r="AE3937" s="559"/>
      <c r="AF3937" s="559"/>
      <c r="AG3937" s="559"/>
      <c r="AH3937" s="559"/>
      <c r="AI3937" s="559"/>
      <c r="AJ3937" s="559"/>
      <c r="AK3937" s="559"/>
      <c r="AL3937" s="559"/>
      <c r="AM3937" s="559"/>
      <c r="AN3937" s="559"/>
      <c r="AO3937" s="559"/>
      <c r="AP3937" s="559"/>
      <c r="AQ3937" s="559"/>
      <c r="AR3937" s="559"/>
      <c r="AS3937" s="559"/>
      <c r="AT3937" s="559"/>
      <c r="AU3937" s="559"/>
      <c r="AV3937" s="559"/>
      <c r="AW3937" s="559"/>
      <c r="AX3937" s="559"/>
      <c r="AY3937" s="559"/>
      <c r="AZ3937" s="559"/>
      <c r="BA3937" s="559"/>
      <c r="BB3937" s="559"/>
      <c r="BC3937" s="559"/>
      <c r="BD3937" s="559"/>
      <c r="BE3937" s="559"/>
      <c r="BF3937" s="559"/>
      <c r="BG3937" s="559"/>
      <c r="BH3937" s="559"/>
      <c r="BI3937" s="559"/>
      <c r="BJ3937" s="559"/>
      <c r="BK3937" s="559"/>
      <c r="BL3937" s="559"/>
    </row>
    <row r="3938" spans="1:64">
      <c r="A3938" s="406"/>
      <c r="B3938" s="406"/>
      <c r="C3938" s="417" t="s">
        <v>1360</v>
      </c>
      <c r="D3938" s="432">
        <v>1.7</v>
      </c>
      <c r="E3938" s="406" t="s">
        <v>1149</v>
      </c>
      <c r="F3938" s="432">
        <f>'[161]Civil-SOR'!$G$66</f>
        <v>63</v>
      </c>
      <c r="G3938" s="406">
        <v>1</v>
      </c>
      <c r="H3938" s="406" t="s">
        <v>1361</v>
      </c>
      <c r="I3938" s="459">
        <f t="shared" ref="I3938:I3941" si="896">IF(G3938="",D3938*F3938,(D3938*F3938/G3938))</f>
        <v>107.1</v>
      </c>
      <c r="J3938" s="462"/>
      <c r="K3938" s="463"/>
      <c r="L3938" s="463"/>
      <c r="M3938" s="559"/>
      <c r="N3938" s="559"/>
      <c r="O3938" s="559"/>
      <c r="P3938" s="559"/>
      <c r="Q3938" s="559"/>
      <c r="R3938" s="559"/>
      <c r="S3938" s="559"/>
      <c r="T3938" s="559"/>
      <c r="U3938" s="559"/>
      <c r="V3938" s="559"/>
      <c r="W3938" s="559"/>
      <c r="X3938" s="559"/>
      <c r="Y3938" s="559"/>
      <c r="Z3938" s="559"/>
      <c r="AA3938" s="559"/>
      <c r="AB3938" s="559"/>
      <c r="AC3938" s="559"/>
      <c r="AD3938" s="559"/>
      <c r="AE3938" s="559"/>
      <c r="AF3938" s="559"/>
      <c r="AG3938" s="559"/>
      <c r="AH3938" s="559"/>
      <c r="AI3938" s="559"/>
      <c r="AJ3938" s="559"/>
      <c r="AK3938" s="559"/>
      <c r="AL3938" s="559"/>
      <c r="AM3938" s="559"/>
      <c r="AN3938" s="559"/>
      <c r="AO3938" s="559"/>
      <c r="AP3938" s="559"/>
      <c r="AQ3938" s="559"/>
      <c r="AR3938" s="559"/>
      <c r="AS3938" s="559"/>
      <c r="AT3938" s="559"/>
      <c r="AU3938" s="559"/>
      <c r="AV3938" s="559"/>
      <c r="AW3938" s="559"/>
      <c r="AX3938" s="559"/>
      <c r="AY3938" s="559"/>
      <c r="AZ3938" s="559"/>
      <c r="BA3938" s="559"/>
      <c r="BB3938" s="559"/>
      <c r="BC3938" s="559"/>
      <c r="BD3938" s="559"/>
      <c r="BE3938" s="559"/>
      <c r="BF3938" s="559"/>
      <c r="BG3938" s="559"/>
      <c r="BH3938" s="559"/>
      <c r="BI3938" s="559"/>
      <c r="BJ3938" s="559"/>
      <c r="BK3938" s="559"/>
      <c r="BL3938" s="559"/>
    </row>
    <row r="3939" spans="1:64">
      <c r="A3939" s="406"/>
      <c r="B3939" s="406"/>
      <c r="C3939" s="417" t="s">
        <v>1343</v>
      </c>
      <c r="D3939" s="432">
        <v>0.36</v>
      </c>
      <c r="E3939" s="406" t="s">
        <v>375</v>
      </c>
      <c r="F3939" s="432">
        <f>'[161]Civil-SOR'!$G$296</f>
        <v>665</v>
      </c>
      <c r="G3939" s="406">
        <v>1</v>
      </c>
      <c r="H3939" s="406" t="s">
        <v>572</v>
      </c>
      <c r="I3939" s="459">
        <f t="shared" si="896"/>
        <v>239.39999999999998</v>
      </c>
      <c r="J3939" s="462"/>
      <c r="K3939" s="463"/>
      <c r="L3939" s="463"/>
      <c r="M3939" s="559"/>
      <c r="N3939" s="559"/>
      <c r="O3939" s="559"/>
      <c r="P3939" s="559"/>
      <c r="Q3939" s="559"/>
      <c r="R3939" s="559"/>
      <c r="S3939" s="559"/>
      <c r="T3939" s="559"/>
      <c r="U3939" s="559"/>
      <c r="V3939" s="559"/>
      <c r="W3939" s="559"/>
      <c r="X3939" s="559"/>
      <c r="Y3939" s="559"/>
      <c r="Z3939" s="559"/>
      <c r="AA3939" s="559"/>
      <c r="AB3939" s="559"/>
      <c r="AC3939" s="559"/>
      <c r="AD3939" s="559"/>
      <c r="AE3939" s="559"/>
      <c r="AF3939" s="559"/>
      <c r="AG3939" s="559"/>
      <c r="AH3939" s="559"/>
      <c r="AI3939" s="559"/>
      <c r="AJ3939" s="559"/>
      <c r="AK3939" s="559"/>
      <c r="AL3939" s="559"/>
      <c r="AM3939" s="559"/>
      <c r="AN3939" s="559"/>
      <c r="AO3939" s="559"/>
      <c r="AP3939" s="559"/>
      <c r="AQ3939" s="559"/>
      <c r="AR3939" s="559"/>
      <c r="AS3939" s="559"/>
      <c r="AT3939" s="559"/>
      <c r="AU3939" s="559"/>
      <c r="AV3939" s="559"/>
      <c r="AW3939" s="559"/>
      <c r="AX3939" s="559"/>
      <c r="AY3939" s="559"/>
      <c r="AZ3939" s="559"/>
      <c r="BA3939" s="559"/>
      <c r="BB3939" s="559"/>
      <c r="BC3939" s="559"/>
      <c r="BD3939" s="559"/>
      <c r="BE3939" s="559"/>
      <c r="BF3939" s="559"/>
      <c r="BG3939" s="559"/>
      <c r="BH3939" s="559"/>
      <c r="BI3939" s="559"/>
      <c r="BJ3939" s="559"/>
      <c r="BK3939" s="559"/>
      <c r="BL3939" s="559"/>
    </row>
    <row r="3940" spans="1:64">
      <c r="A3940" s="406"/>
      <c r="B3940" s="406"/>
      <c r="C3940" s="417" t="s">
        <v>1344</v>
      </c>
      <c r="D3940" s="432">
        <v>0.84</v>
      </c>
      <c r="E3940" s="406" t="s">
        <v>375</v>
      </c>
      <c r="F3940" s="432">
        <f>'[161]Civil-SOR'!$G$303</f>
        <v>550</v>
      </c>
      <c r="G3940" s="406">
        <v>1</v>
      </c>
      <c r="H3940" s="406" t="s">
        <v>572</v>
      </c>
      <c r="I3940" s="459">
        <f t="shared" si="896"/>
        <v>462</v>
      </c>
      <c r="J3940" s="462"/>
      <c r="K3940" s="463"/>
      <c r="L3940" s="463"/>
      <c r="M3940" s="559"/>
      <c r="N3940" s="559"/>
      <c r="O3940" s="559"/>
      <c r="P3940" s="559"/>
      <c r="Q3940" s="559"/>
      <c r="R3940" s="559"/>
      <c r="S3940" s="559"/>
      <c r="T3940" s="559"/>
      <c r="U3940" s="559"/>
      <c r="V3940" s="559"/>
      <c r="W3940" s="559"/>
      <c r="X3940" s="559"/>
      <c r="Y3940" s="559"/>
      <c r="Z3940" s="559"/>
      <c r="AA3940" s="559"/>
      <c r="AB3940" s="559"/>
      <c r="AC3940" s="559"/>
      <c r="AD3940" s="559"/>
      <c r="AE3940" s="559"/>
      <c r="AF3940" s="559"/>
      <c r="AG3940" s="559"/>
      <c r="AH3940" s="559"/>
      <c r="AI3940" s="559"/>
      <c r="AJ3940" s="559"/>
      <c r="AK3940" s="559"/>
      <c r="AL3940" s="559"/>
      <c r="AM3940" s="559"/>
      <c r="AN3940" s="559"/>
      <c r="AO3940" s="559"/>
      <c r="AP3940" s="559"/>
      <c r="AQ3940" s="559"/>
      <c r="AR3940" s="559"/>
      <c r="AS3940" s="559"/>
      <c r="AT3940" s="559"/>
      <c r="AU3940" s="559"/>
      <c r="AV3940" s="559"/>
      <c r="AW3940" s="559"/>
      <c r="AX3940" s="559"/>
      <c r="AY3940" s="559"/>
      <c r="AZ3940" s="559"/>
      <c r="BA3940" s="559"/>
      <c r="BB3940" s="559"/>
      <c r="BC3940" s="559"/>
      <c r="BD3940" s="559"/>
      <c r="BE3940" s="559"/>
      <c r="BF3940" s="559"/>
      <c r="BG3940" s="559"/>
      <c r="BH3940" s="559"/>
      <c r="BI3940" s="559"/>
      <c r="BJ3940" s="559"/>
      <c r="BK3940" s="559"/>
      <c r="BL3940" s="559"/>
    </row>
    <row r="3941" spans="1:64">
      <c r="A3941" s="406"/>
      <c r="B3941" s="406"/>
      <c r="C3941" s="417" t="str">
        <f>[161]Input!$C$47</f>
        <v>Add for MA @ 40%</v>
      </c>
      <c r="D3941" s="432">
        <f>[161]Input!$D$47</f>
        <v>0.4</v>
      </c>
      <c r="E3941" s="406"/>
      <c r="F3941" s="432">
        <f>I3939+I3940</f>
        <v>701.4</v>
      </c>
      <c r="G3941" s="406"/>
      <c r="H3941" s="406"/>
      <c r="I3941" s="459">
        <f t="shared" si="896"/>
        <v>280.56</v>
      </c>
      <c r="J3941" s="462"/>
      <c r="K3941" s="463"/>
      <c r="L3941" s="463"/>
      <c r="M3941" s="559"/>
      <c r="N3941" s="559"/>
      <c r="O3941" s="559"/>
      <c r="P3941" s="559"/>
      <c r="Q3941" s="559"/>
      <c r="R3941" s="559"/>
      <c r="S3941" s="559"/>
      <c r="T3941" s="559"/>
      <c r="U3941" s="559"/>
      <c r="V3941" s="559"/>
      <c r="W3941" s="559"/>
      <c r="X3941" s="559"/>
      <c r="Y3941" s="559"/>
      <c r="Z3941" s="559"/>
      <c r="AA3941" s="559"/>
      <c r="AB3941" s="559"/>
      <c r="AC3941" s="559"/>
      <c r="AD3941" s="559"/>
      <c r="AE3941" s="559"/>
      <c r="AF3941" s="559"/>
      <c r="AG3941" s="559"/>
      <c r="AH3941" s="559"/>
      <c r="AI3941" s="559"/>
      <c r="AJ3941" s="559"/>
      <c r="AK3941" s="559"/>
      <c r="AL3941" s="559"/>
      <c r="AM3941" s="559"/>
      <c r="AN3941" s="559"/>
      <c r="AO3941" s="559"/>
      <c r="AP3941" s="559"/>
      <c r="AQ3941" s="559"/>
      <c r="AR3941" s="559"/>
      <c r="AS3941" s="559"/>
      <c r="AT3941" s="559"/>
      <c r="AU3941" s="559"/>
      <c r="AV3941" s="559"/>
      <c r="AW3941" s="559"/>
      <c r="AX3941" s="559"/>
      <c r="AY3941" s="559"/>
      <c r="AZ3941" s="559"/>
      <c r="BA3941" s="559"/>
      <c r="BB3941" s="559"/>
      <c r="BC3941" s="559"/>
      <c r="BD3941" s="559"/>
      <c r="BE3941" s="559"/>
      <c r="BF3941" s="559"/>
      <c r="BG3941" s="559"/>
      <c r="BH3941" s="559"/>
      <c r="BI3941" s="559"/>
      <c r="BJ3941" s="559"/>
      <c r="BK3941" s="559"/>
      <c r="BL3941" s="559"/>
    </row>
    <row r="3942" spans="1:64" ht="25">
      <c r="A3942" s="406"/>
      <c r="B3942" s="406"/>
      <c r="C3942" s="417" t="s">
        <v>1345</v>
      </c>
      <c r="D3942" s="406">
        <v>0.01</v>
      </c>
      <c r="E3942" s="406"/>
      <c r="F3942" s="432">
        <f>SUM(I3938:I3941)</f>
        <v>1089.06</v>
      </c>
      <c r="G3942" s="406"/>
      <c r="H3942" s="406"/>
      <c r="I3942" s="459"/>
      <c r="J3942" s="462"/>
      <c r="K3942" s="463"/>
      <c r="L3942" s="463"/>
      <c r="M3942" s="559"/>
      <c r="N3942" s="559"/>
      <c r="O3942" s="559"/>
      <c r="P3942" s="559"/>
      <c r="Q3942" s="559"/>
      <c r="R3942" s="559"/>
      <c r="S3942" s="559"/>
      <c r="T3942" s="559"/>
      <c r="U3942" s="559"/>
      <c r="V3942" s="559"/>
      <c r="W3942" s="559"/>
      <c r="X3942" s="559"/>
      <c r="Y3942" s="559"/>
      <c r="Z3942" s="559"/>
      <c r="AA3942" s="559"/>
      <c r="AB3942" s="559"/>
      <c r="AC3942" s="559"/>
      <c r="AD3942" s="559"/>
      <c r="AE3942" s="559"/>
      <c r="AF3942" s="559"/>
      <c r="AG3942" s="559"/>
      <c r="AH3942" s="559"/>
      <c r="AI3942" s="559"/>
      <c r="AJ3942" s="559"/>
      <c r="AK3942" s="559"/>
      <c r="AL3942" s="559"/>
      <c r="AM3942" s="559"/>
      <c r="AN3942" s="559"/>
      <c r="AO3942" s="559"/>
      <c r="AP3942" s="559"/>
      <c r="AQ3942" s="559"/>
      <c r="AR3942" s="559"/>
      <c r="AS3942" s="559"/>
      <c r="AT3942" s="559"/>
      <c r="AU3942" s="559"/>
      <c r="AV3942" s="559"/>
      <c r="AW3942" s="559"/>
      <c r="AX3942" s="559"/>
      <c r="AY3942" s="559"/>
      <c r="AZ3942" s="559"/>
      <c r="BA3942" s="559"/>
      <c r="BB3942" s="559"/>
      <c r="BC3942" s="559"/>
      <c r="BD3942" s="559"/>
      <c r="BE3942" s="559"/>
      <c r="BF3942" s="559"/>
      <c r="BG3942" s="559"/>
      <c r="BH3942" s="559"/>
      <c r="BI3942" s="559"/>
      <c r="BJ3942" s="559"/>
      <c r="BK3942" s="559"/>
      <c r="BL3942" s="559"/>
    </row>
    <row r="3943" spans="1:64" ht="13">
      <c r="A3943" s="406"/>
      <c r="B3943" s="406"/>
      <c r="C3943" s="417"/>
      <c r="D3943" s="406"/>
      <c r="E3943" s="406"/>
      <c r="F3943" s="432"/>
      <c r="G3943" s="406"/>
      <c r="H3943" s="406"/>
      <c r="I3943" s="461">
        <f>SUM(I3938:I3942)</f>
        <v>1089.06</v>
      </c>
      <c r="J3943" s="462"/>
      <c r="K3943" s="463"/>
      <c r="L3943" s="463"/>
      <c r="M3943" s="559"/>
      <c r="N3943" s="559"/>
      <c r="O3943" s="559"/>
      <c r="P3943" s="559"/>
      <c r="Q3943" s="559"/>
      <c r="R3943" s="559"/>
      <c r="S3943" s="559"/>
      <c r="T3943" s="559"/>
      <c r="U3943" s="559"/>
      <c r="V3943" s="559"/>
      <c r="W3943" s="559"/>
      <c r="X3943" s="559"/>
      <c r="Y3943" s="559"/>
      <c r="Z3943" s="559"/>
      <c r="AA3943" s="559"/>
      <c r="AB3943" s="559"/>
      <c r="AC3943" s="559"/>
      <c r="AD3943" s="559"/>
      <c r="AE3943" s="559"/>
      <c r="AF3943" s="559"/>
      <c r="AG3943" s="559"/>
      <c r="AH3943" s="559"/>
      <c r="AI3943" s="559"/>
      <c r="AJ3943" s="559"/>
      <c r="AK3943" s="559"/>
      <c r="AL3943" s="559"/>
      <c r="AM3943" s="559"/>
      <c r="AN3943" s="559"/>
      <c r="AO3943" s="559"/>
      <c r="AP3943" s="559"/>
      <c r="AQ3943" s="559"/>
      <c r="AR3943" s="559"/>
      <c r="AS3943" s="559"/>
      <c r="AT3943" s="559"/>
      <c r="AU3943" s="559"/>
      <c r="AV3943" s="559"/>
      <c r="AW3943" s="559"/>
      <c r="AX3943" s="559"/>
      <c r="AY3943" s="559"/>
      <c r="AZ3943" s="559"/>
      <c r="BA3943" s="559"/>
      <c r="BB3943" s="559"/>
      <c r="BC3943" s="559"/>
      <c r="BD3943" s="559"/>
      <c r="BE3943" s="559"/>
      <c r="BF3943" s="559"/>
      <c r="BG3943" s="559"/>
      <c r="BH3943" s="559"/>
      <c r="BI3943" s="559"/>
      <c r="BJ3943" s="559"/>
      <c r="BK3943" s="559"/>
      <c r="BL3943" s="559"/>
    </row>
    <row r="3944" spans="1:64" ht="25">
      <c r="A3944" s="406"/>
      <c r="B3944" s="406"/>
      <c r="C3944" s="417" t="str">
        <f>[161]Input!$C$48</f>
        <v>Overheads &amp; Contractors Profit @ 13.615%</v>
      </c>
      <c r="D3944" s="465">
        <f>[161]Input!$D$48</f>
        <v>0.13614999999999999</v>
      </c>
      <c r="E3944" s="459"/>
      <c r="F3944" s="459">
        <f>I3943</f>
        <v>1089.06</v>
      </c>
      <c r="G3944" s="460"/>
      <c r="H3944" s="406"/>
      <c r="I3944" s="459">
        <f>IF(G3944="",D3944*F3944,(D3944*F3944/G3944))</f>
        <v>148.27551899999997</v>
      </c>
      <c r="J3944" s="462"/>
      <c r="K3944" s="463"/>
      <c r="L3944" s="463"/>
      <c r="M3944" s="559"/>
      <c r="N3944" s="559"/>
      <c r="O3944" s="559"/>
      <c r="P3944" s="559"/>
      <c r="Q3944" s="559"/>
      <c r="R3944" s="559"/>
      <c r="S3944" s="559"/>
      <c r="T3944" s="559"/>
      <c r="U3944" s="559"/>
      <c r="V3944" s="559"/>
      <c r="W3944" s="559"/>
      <c r="X3944" s="559"/>
      <c r="Y3944" s="559"/>
      <c r="Z3944" s="559"/>
      <c r="AA3944" s="559"/>
      <c r="AB3944" s="559"/>
      <c r="AC3944" s="559"/>
      <c r="AD3944" s="559"/>
      <c r="AE3944" s="559"/>
      <c r="AF3944" s="559"/>
      <c r="AG3944" s="559"/>
      <c r="AH3944" s="559"/>
      <c r="AI3944" s="559"/>
      <c r="AJ3944" s="559"/>
      <c r="AK3944" s="559"/>
      <c r="AL3944" s="559"/>
      <c r="AM3944" s="559"/>
      <c r="AN3944" s="559"/>
      <c r="AO3944" s="559"/>
      <c r="AP3944" s="559"/>
      <c r="AQ3944" s="559"/>
      <c r="AR3944" s="559"/>
      <c r="AS3944" s="559"/>
      <c r="AT3944" s="559"/>
      <c r="AU3944" s="559"/>
      <c r="AV3944" s="559"/>
      <c r="AW3944" s="559"/>
      <c r="AX3944" s="559"/>
      <c r="AY3944" s="559"/>
      <c r="AZ3944" s="559"/>
      <c r="BA3944" s="559"/>
      <c r="BB3944" s="559"/>
      <c r="BC3944" s="559"/>
      <c r="BD3944" s="559"/>
      <c r="BE3944" s="559"/>
      <c r="BF3944" s="559"/>
      <c r="BG3944" s="559"/>
      <c r="BH3944" s="559"/>
      <c r="BI3944" s="559"/>
      <c r="BJ3944" s="559"/>
      <c r="BK3944" s="559"/>
      <c r="BL3944" s="559"/>
    </row>
    <row r="3945" spans="1:64" ht="13">
      <c r="A3945" s="406"/>
      <c r="B3945" s="406"/>
      <c r="C3945" s="427" t="s">
        <v>741</v>
      </c>
      <c r="D3945" s="406"/>
      <c r="E3945" s="406"/>
      <c r="F3945" s="406"/>
      <c r="G3945" s="406"/>
      <c r="H3945" s="406"/>
      <c r="I3945" s="432">
        <f>SUM(I3943:I3944)</f>
        <v>1237.335519</v>
      </c>
      <c r="J3945" s="462"/>
      <c r="K3945" s="463"/>
      <c r="L3945" s="463"/>
      <c r="M3945" s="559"/>
      <c r="N3945" s="559"/>
      <c r="O3945" s="559"/>
      <c r="P3945" s="559"/>
      <c r="Q3945" s="559"/>
      <c r="R3945" s="559"/>
      <c r="S3945" s="559"/>
      <c r="T3945" s="559"/>
      <c r="U3945" s="559"/>
      <c r="V3945" s="559"/>
      <c r="W3945" s="559"/>
      <c r="X3945" s="559"/>
      <c r="Y3945" s="559"/>
      <c r="Z3945" s="559"/>
      <c r="AA3945" s="559"/>
      <c r="AB3945" s="559"/>
      <c r="AC3945" s="559"/>
      <c r="AD3945" s="559"/>
      <c r="AE3945" s="559"/>
      <c r="AF3945" s="559"/>
      <c r="AG3945" s="559"/>
      <c r="AH3945" s="559"/>
      <c r="AI3945" s="559"/>
      <c r="AJ3945" s="559"/>
      <c r="AK3945" s="559"/>
      <c r="AL3945" s="559"/>
      <c r="AM3945" s="559"/>
      <c r="AN3945" s="559"/>
      <c r="AO3945" s="559"/>
      <c r="AP3945" s="559"/>
      <c r="AQ3945" s="559"/>
      <c r="AR3945" s="559"/>
      <c r="AS3945" s="559"/>
      <c r="AT3945" s="559"/>
      <c r="AU3945" s="559"/>
      <c r="AV3945" s="559"/>
      <c r="AW3945" s="559"/>
      <c r="AX3945" s="559"/>
      <c r="AY3945" s="559"/>
      <c r="AZ3945" s="559"/>
      <c r="BA3945" s="559"/>
      <c r="BB3945" s="559"/>
      <c r="BC3945" s="559"/>
      <c r="BD3945" s="559"/>
      <c r="BE3945" s="559"/>
      <c r="BF3945" s="559"/>
      <c r="BG3945" s="559"/>
      <c r="BH3945" s="559"/>
      <c r="BI3945" s="559"/>
      <c r="BJ3945" s="559"/>
      <c r="BK3945" s="559"/>
      <c r="BL3945" s="559"/>
    </row>
    <row r="3946" spans="1:64" ht="13">
      <c r="A3946" s="406"/>
      <c r="B3946" s="406"/>
      <c r="C3946" s="427" t="s">
        <v>742</v>
      </c>
      <c r="D3946" s="406"/>
      <c r="E3946" s="406"/>
      <c r="F3946" s="406"/>
      <c r="G3946" s="406"/>
      <c r="H3946" s="406"/>
      <c r="I3946" s="432">
        <f>I3945/10</f>
        <v>123.73355189999999</v>
      </c>
      <c r="J3946" s="462"/>
      <c r="K3946" s="463"/>
      <c r="L3946" s="463"/>
      <c r="M3946" s="559"/>
      <c r="N3946" s="559"/>
      <c r="O3946" s="559"/>
      <c r="P3946" s="559"/>
      <c r="Q3946" s="559"/>
      <c r="R3946" s="559"/>
      <c r="S3946" s="559"/>
      <c r="T3946" s="559"/>
      <c r="U3946" s="559"/>
      <c r="V3946" s="559"/>
      <c r="W3946" s="559"/>
      <c r="X3946" s="559"/>
      <c r="Y3946" s="559"/>
      <c r="Z3946" s="559"/>
      <c r="AA3946" s="559"/>
      <c r="AB3946" s="559"/>
      <c r="AC3946" s="559"/>
      <c r="AD3946" s="559"/>
      <c r="AE3946" s="559"/>
      <c r="AF3946" s="559"/>
      <c r="AG3946" s="559"/>
      <c r="AH3946" s="559"/>
      <c r="AI3946" s="559"/>
      <c r="AJ3946" s="559"/>
      <c r="AK3946" s="559"/>
      <c r="AL3946" s="559"/>
      <c r="AM3946" s="559"/>
      <c r="AN3946" s="559"/>
      <c r="AO3946" s="559"/>
      <c r="AP3946" s="559"/>
      <c r="AQ3946" s="559"/>
      <c r="AR3946" s="559"/>
      <c r="AS3946" s="559"/>
      <c r="AT3946" s="559"/>
      <c r="AU3946" s="559"/>
      <c r="AV3946" s="559"/>
      <c r="AW3946" s="559"/>
      <c r="AX3946" s="559"/>
      <c r="AY3946" s="559"/>
      <c r="AZ3946" s="559"/>
      <c r="BA3946" s="559"/>
      <c r="BB3946" s="559"/>
      <c r="BC3946" s="559"/>
      <c r="BD3946" s="559"/>
      <c r="BE3946" s="559"/>
      <c r="BF3946" s="559"/>
      <c r="BG3946" s="559"/>
      <c r="BH3946" s="559"/>
      <c r="BI3946" s="559"/>
      <c r="BJ3946" s="559"/>
      <c r="BK3946" s="559"/>
      <c r="BL3946" s="559"/>
    </row>
    <row r="3947" spans="1:64" ht="13">
      <c r="A3947" s="426"/>
      <c r="B3947" s="426"/>
      <c r="C3947" s="469"/>
      <c r="D3947" s="406"/>
      <c r="E3947" s="406"/>
      <c r="F3947" s="406"/>
      <c r="G3947" s="406"/>
      <c r="H3947" s="415" t="s">
        <v>774</v>
      </c>
      <c r="I3947" s="414">
        <f>ROUND(I3946,0)</f>
        <v>124</v>
      </c>
      <c r="J3947" s="400"/>
      <c r="K3947" s="401"/>
      <c r="L3947" s="401"/>
    </row>
    <row r="3948" spans="1:64" ht="13">
      <c r="A3948" s="426"/>
      <c r="B3948" s="426"/>
      <c r="C3948" s="469"/>
      <c r="D3948" s="406"/>
      <c r="E3948" s="406"/>
      <c r="F3948" s="406"/>
      <c r="G3948" s="406"/>
      <c r="H3948" s="415"/>
      <c r="I3948" s="414"/>
      <c r="J3948" s="400"/>
      <c r="K3948" s="401"/>
      <c r="L3948" s="401"/>
    </row>
    <row r="3949" spans="1:64" ht="70.900000000000006" customHeight="1">
      <c r="A3949" s="1280">
        <f>A3935+1</f>
        <v>25</v>
      </c>
      <c r="B3949" s="1280"/>
      <c r="C3949" s="1276" t="s">
        <v>1364</v>
      </c>
      <c r="D3949" s="1276"/>
      <c r="E3949" s="1276"/>
      <c r="F3949" s="1276"/>
      <c r="G3949" s="1276"/>
      <c r="H3949" s="1276"/>
      <c r="I3949" s="407"/>
      <c r="J3949" s="400"/>
      <c r="K3949" s="401"/>
      <c r="L3949" s="401"/>
    </row>
    <row r="3950" spans="1:64" ht="13">
      <c r="A3950" s="426"/>
      <c r="B3950" s="426"/>
      <c r="C3950" s="455" t="s">
        <v>1365</v>
      </c>
      <c r="D3950" s="426"/>
      <c r="E3950" s="426"/>
      <c r="F3950" s="426"/>
      <c r="G3950" s="426"/>
      <c r="H3950" s="426"/>
      <c r="I3950" s="409"/>
      <c r="J3950" s="400"/>
      <c r="K3950" s="401"/>
      <c r="L3950" s="401"/>
    </row>
    <row r="3951" spans="1:64">
      <c r="A3951" s="426"/>
      <c r="B3951" s="426"/>
      <c r="C3951" s="417" t="s">
        <v>1366</v>
      </c>
      <c r="D3951" s="408">
        <v>1</v>
      </c>
      <c r="E3951" s="454" t="s">
        <v>833</v>
      </c>
      <c r="F3951" s="408">
        <f>'[161]Civil-SOR'!$G$185</f>
        <v>34</v>
      </c>
      <c r="G3951" s="430">
        <v>1</v>
      </c>
      <c r="H3951" s="456" t="str">
        <f t="shared" ref="H3951:H3957" si="897">IF(E3951="","",IF(E3951="No.","Each",IF(E3951="Nos.","Each",E3951)))</f>
        <v>Kgs</v>
      </c>
      <c r="I3951" s="408">
        <f t="shared" ref="I3951:I3958" si="898">IF(G3951="",D3951*F3951,(D3951*F3951/G3951))</f>
        <v>34</v>
      </c>
      <c r="J3951" s="400"/>
      <c r="K3951" s="401"/>
      <c r="L3951" s="401"/>
    </row>
    <row r="3952" spans="1:64">
      <c r="A3952" s="426"/>
      <c r="B3952" s="426"/>
      <c r="C3952" s="417" t="s">
        <v>1343</v>
      </c>
      <c r="D3952" s="408">
        <v>0.21</v>
      </c>
      <c r="E3952" s="454" t="s">
        <v>375</v>
      </c>
      <c r="F3952" s="408">
        <f>'[161]Civil-SOR'!$G$296</f>
        <v>665</v>
      </c>
      <c r="G3952" s="430">
        <v>1</v>
      </c>
      <c r="H3952" s="456" t="str">
        <f t="shared" si="897"/>
        <v>Each</v>
      </c>
      <c r="I3952" s="408">
        <f t="shared" si="898"/>
        <v>139.65</v>
      </c>
      <c r="J3952" s="400"/>
      <c r="K3952" s="401"/>
      <c r="L3952" s="401"/>
    </row>
    <row r="3953" spans="1:64">
      <c r="A3953" s="426"/>
      <c r="B3953" s="426"/>
      <c r="C3953" s="417" t="s">
        <v>1344</v>
      </c>
      <c r="D3953" s="408">
        <v>0.49</v>
      </c>
      <c r="E3953" s="454" t="s">
        <v>375</v>
      </c>
      <c r="F3953" s="408">
        <f>'[161]Civil-SOR'!$G$303</f>
        <v>550</v>
      </c>
      <c r="G3953" s="430">
        <v>1</v>
      </c>
      <c r="H3953" s="456" t="str">
        <f t="shared" si="897"/>
        <v>Each</v>
      </c>
      <c r="I3953" s="408">
        <f t="shared" si="898"/>
        <v>269.5</v>
      </c>
      <c r="J3953" s="400"/>
      <c r="K3953" s="401"/>
      <c r="L3953" s="401"/>
    </row>
    <row r="3954" spans="1:64">
      <c r="A3954" s="426"/>
      <c r="B3954" s="426"/>
      <c r="C3954" s="417" t="s">
        <v>1367</v>
      </c>
      <c r="D3954" s="408">
        <v>3.5</v>
      </c>
      <c r="E3954" s="454" t="s">
        <v>833</v>
      </c>
      <c r="F3954" s="408">
        <f>'[161]Civil-SOR'!$G$67</f>
        <v>60</v>
      </c>
      <c r="G3954" s="430">
        <v>1</v>
      </c>
      <c r="H3954" s="456" t="str">
        <f t="shared" si="897"/>
        <v>Kgs</v>
      </c>
      <c r="I3954" s="408">
        <f t="shared" si="898"/>
        <v>210</v>
      </c>
      <c r="J3954" s="400"/>
      <c r="K3954" s="401"/>
      <c r="L3954" s="401"/>
    </row>
    <row r="3955" spans="1:64">
      <c r="A3955" s="426"/>
      <c r="B3955" s="426"/>
      <c r="C3955" s="417" t="s">
        <v>1343</v>
      </c>
      <c r="D3955" s="408">
        <v>0.15</v>
      </c>
      <c r="E3955" s="454" t="s">
        <v>375</v>
      </c>
      <c r="F3955" s="408">
        <f>'[161]Civil-SOR'!$G$296</f>
        <v>665</v>
      </c>
      <c r="G3955" s="430">
        <v>1</v>
      </c>
      <c r="H3955" s="456" t="str">
        <f t="shared" si="897"/>
        <v>Each</v>
      </c>
      <c r="I3955" s="408">
        <f t="shared" si="898"/>
        <v>99.75</v>
      </c>
      <c r="J3955" s="400"/>
      <c r="K3955" s="401"/>
      <c r="L3955" s="401"/>
    </row>
    <row r="3956" spans="1:64">
      <c r="A3956" s="426"/>
      <c r="B3956" s="426"/>
      <c r="C3956" s="417" t="s">
        <v>1344</v>
      </c>
      <c r="D3956" s="408">
        <v>0.35</v>
      </c>
      <c r="E3956" s="454" t="s">
        <v>375</v>
      </c>
      <c r="F3956" s="408">
        <f>'[161]Civil-SOR'!$G$303</f>
        <v>550</v>
      </c>
      <c r="G3956" s="430">
        <v>1</v>
      </c>
      <c r="H3956" s="456" t="str">
        <f t="shared" si="897"/>
        <v>Each</v>
      </c>
      <c r="I3956" s="408">
        <f t="shared" si="898"/>
        <v>192.5</v>
      </c>
      <c r="J3956" s="400"/>
      <c r="K3956" s="401"/>
      <c r="L3956" s="401"/>
    </row>
    <row r="3957" spans="1:64">
      <c r="A3957" s="426"/>
      <c r="B3957" s="426"/>
      <c r="C3957" s="417" t="s">
        <v>723</v>
      </c>
      <c r="D3957" s="408">
        <v>1.5</v>
      </c>
      <c r="E3957" s="454" t="s">
        <v>375</v>
      </c>
      <c r="F3957" s="408">
        <f>'[161]Civil-SOR'!$G$307</f>
        <v>520</v>
      </c>
      <c r="G3957" s="430">
        <v>1</v>
      </c>
      <c r="H3957" s="456" t="str">
        <f t="shared" si="897"/>
        <v>Each</v>
      </c>
      <c r="I3957" s="408">
        <f t="shared" si="898"/>
        <v>780</v>
      </c>
      <c r="J3957" s="400"/>
      <c r="K3957" s="401"/>
      <c r="L3957" s="401"/>
    </row>
    <row r="3958" spans="1:64">
      <c r="A3958" s="426"/>
      <c r="B3958" s="426"/>
      <c r="C3958" s="417" t="str">
        <f>[161]Input!$C$47</f>
        <v>Add for MA @ 40%</v>
      </c>
      <c r="D3958" s="621">
        <f>[161]Input!$D$47</f>
        <v>0.4</v>
      </c>
      <c r="E3958" s="454"/>
      <c r="F3958" s="408">
        <f>SUM(I3952:I3953)+SUM(I3955:I3957)</f>
        <v>1481.4</v>
      </c>
      <c r="G3958" s="410"/>
      <c r="H3958" s="426"/>
      <c r="I3958" s="408">
        <f t="shared" si="898"/>
        <v>592.56000000000006</v>
      </c>
      <c r="J3958" s="400"/>
      <c r="K3958" s="401"/>
      <c r="L3958" s="401"/>
    </row>
    <row r="3959" spans="1:64" ht="25">
      <c r="A3959" s="406"/>
      <c r="B3959" s="406"/>
      <c r="C3959" s="417" t="s">
        <v>1345</v>
      </c>
      <c r="D3959" s="406">
        <v>0.01</v>
      </c>
      <c r="E3959" s="406"/>
      <c r="F3959" s="432">
        <f>SUM(I3951:I3958)</f>
        <v>2317.96</v>
      </c>
      <c r="G3959" s="406"/>
      <c r="H3959" s="406"/>
      <c r="I3959" s="459"/>
      <c r="J3959" s="462"/>
      <c r="K3959" s="463"/>
      <c r="L3959" s="463"/>
      <c r="M3959" s="559"/>
      <c r="N3959" s="559"/>
      <c r="O3959" s="559"/>
      <c r="P3959" s="559"/>
      <c r="Q3959" s="559"/>
      <c r="R3959" s="559"/>
      <c r="S3959" s="559"/>
      <c r="T3959" s="559"/>
      <c r="U3959" s="559"/>
      <c r="V3959" s="559"/>
      <c r="W3959" s="559"/>
      <c r="X3959" s="559"/>
      <c r="Y3959" s="559"/>
      <c r="Z3959" s="559"/>
      <c r="AA3959" s="559"/>
      <c r="AB3959" s="559"/>
      <c r="AC3959" s="559"/>
      <c r="AD3959" s="559"/>
      <c r="AE3959" s="559"/>
      <c r="AF3959" s="559"/>
      <c r="AG3959" s="559"/>
      <c r="AH3959" s="559"/>
      <c r="AI3959" s="559"/>
      <c r="AJ3959" s="559"/>
      <c r="AK3959" s="559"/>
      <c r="AL3959" s="559"/>
      <c r="AM3959" s="559"/>
      <c r="AN3959" s="559"/>
      <c r="AO3959" s="559"/>
      <c r="AP3959" s="559"/>
      <c r="AQ3959" s="559"/>
      <c r="AR3959" s="559"/>
      <c r="AS3959" s="559"/>
      <c r="AT3959" s="559"/>
      <c r="AU3959" s="559"/>
      <c r="AV3959" s="559"/>
      <c r="AW3959" s="559"/>
      <c r="AX3959" s="559"/>
      <c r="AY3959" s="559"/>
      <c r="AZ3959" s="559"/>
      <c r="BA3959" s="559"/>
      <c r="BB3959" s="559"/>
      <c r="BC3959" s="559"/>
      <c r="BD3959" s="559"/>
      <c r="BE3959" s="559"/>
      <c r="BF3959" s="559"/>
      <c r="BG3959" s="559"/>
      <c r="BH3959" s="559"/>
      <c r="BI3959" s="559"/>
      <c r="BJ3959" s="559"/>
      <c r="BK3959" s="559"/>
      <c r="BL3959" s="559"/>
    </row>
    <row r="3960" spans="1:64" ht="13">
      <c r="A3960" s="426"/>
      <c r="B3960" s="426"/>
      <c r="C3960" s="417"/>
      <c r="D3960" s="406"/>
      <c r="E3960" s="406"/>
      <c r="F3960" s="432"/>
      <c r="G3960" s="406"/>
      <c r="H3960" s="406"/>
      <c r="I3960" s="414">
        <f>SUM(I3951:I3959)</f>
        <v>2317.96</v>
      </c>
      <c r="J3960" s="400"/>
      <c r="K3960" s="401"/>
      <c r="L3960" s="401"/>
    </row>
    <row r="3961" spans="1:64" ht="25">
      <c r="A3961" s="426"/>
      <c r="B3961" s="426"/>
      <c r="C3961" s="417" t="str">
        <f>[161]Input!$C$48</f>
        <v>Overheads &amp; Contractors Profit @ 13.615%</v>
      </c>
      <c r="D3961" s="467">
        <f>[161]Input!$D$48</f>
        <v>0.13614999999999999</v>
      </c>
      <c r="E3961" s="408"/>
      <c r="F3961" s="408">
        <f>I3960</f>
        <v>2317.96</v>
      </c>
      <c r="G3961" s="430"/>
      <c r="H3961" s="426"/>
      <c r="I3961" s="408">
        <f>IF(G3961="",D3961*F3961,(D3961*F3961/G3961))</f>
        <v>315.59025400000002</v>
      </c>
      <c r="J3961" s="400"/>
      <c r="K3961" s="401"/>
      <c r="L3961" s="401"/>
    </row>
    <row r="3962" spans="1:64" ht="13">
      <c r="A3962" s="426"/>
      <c r="B3962" s="426"/>
      <c r="C3962" s="427" t="s">
        <v>741</v>
      </c>
      <c r="D3962" s="406"/>
      <c r="E3962" s="406"/>
      <c r="F3962" s="432"/>
      <c r="G3962" s="406"/>
      <c r="H3962" s="406"/>
      <c r="I3962" s="408">
        <f>SUM(I3960:I3961)</f>
        <v>2633.5502540000002</v>
      </c>
      <c r="J3962" s="400"/>
      <c r="K3962" s="401"/>
      <c r="L3962" s="401"/>
    </row>
    <row r="3963" spans="1:64" ht="13">
      <c r="A3963" s="426"/>
      <c r="B3963" s="426"/>
      <c r="C3963" s="427" t="s">
        <v>742</v>
      </c>
      <c r="D3963" s="406"/>
      <c r="E3963" s="406"/>
      <c r="F3963" s="432"/>
      <c r="G3963" s="406"/>
      <c r="H3963" s="406"/>
      <c r="I3963" s="432">
        <f>I3962/10</f>
        <v>263.35502540000005</v>
      </c>
      <c r="J3963" s="400"/>
      <c r="K3963" s="401"/>
      <c r="L3963" s="401"/>
    </row>
    <row r="3964" spans="1:64" ht="13">
      <c r="A3964" s="426"/>
      <c r="B3964" s="426"/>
      <c r="C3964" s="522" t="s">
        <v>726</v>
      </c>
      <c r="D3964" s="408"/>
      <c r="E3964" s="454"/>
      <c r="F3964" s="408"/>
      <c r="G3964" s="430"/>
      <c r="H3964" s="415" t="s">
        <v>774</v>
      </c>
      <c r="I3964" s="414">
        <f>ROUND(I3963,0)</f>
        <v>263</v>
      </c>
      <c r="J3964" s="400"/>
      <c r="K3964" s="401"/>
      <c r="L3964" s="401"/>
    </row>
    <row r="3965" spans="1:64" ht="13">
      <c r="A3965" s="426"/>
      <c r="B3965" s="426"/>
      <c r="C3965" s="427"/>
      <c r="D3965" s="406"/>
      <c r="E3965" s="406"/>
      <c r="F3965" s="406"/>
      <c r="G3965" s="406"/>
      <c r="H3965" s="415"/>
      <c r="I3965" s="414"/>
      <c r="J3965" s="400"/>
      <c r="K3965" s="401"/>
      <c r="L3965" s="401"/>
    </row>
    <row r="3966" spans="1:64" ht="75.400000000000006" customHeight="1">
      <c r="A3966" s="1280">
        <f>A3949+1</f>
        <v>26</v>
      </c>
      <c r="B3966" s="1280"/>
      <c r="C3966" s="1276" t="s">
        <v>1368</v>
      </c>
      <c r="D3966" s="1276"/>
      <c r="E3966" s="1276"/>
      <c r="F3966" s="1276"/>
      <c r="G3966" s="1276"/>
      <c r="H3966" s="1276"/>
      <c r="I3966" s="407"/>
      <c r="J3966" s="400"/>
      <c r="K3966" s="401"/>
      <c r="L3966" s="401"/>
    </row>
    <row r="3967" spans="1:64" ht="13">
      <c r="A3967" s="426"/>
      <c r="B3967" s="426"/>
      <c r="C3967" s="455" t="s">
        <v>1369</v>
      </c>
      <c r="D3967" s="426"/>
      <c r="E3967" s="426"/>
      <c r="F3967" s="426"/>
      <c r="G3967" s="426"/>
      <c r="H3967" s="426"/>
      <c r="I3967" s="409"/>
      <c r="J3967" s="400"/>
      <c r="K3967" s="401"/>
      <c r="L3967" s="401"/>
    </row>
    <row r="3968" spans="1:64" ht="25">
      <c r="A3968" s="426"/>
      <c r="B3968" s="426"/>
      <c r="C3968" s="417" t="s">
        <v>1370</v>
      </c>
      <c r="D3968" s="408">
        <v>3.5</v>
      </c>
      <c r="E3968" s="454" t="s">
        <v>833</v>
      </c>
      <c r="F3968" s="408">
        <f>'[161]Civil-SOR'!$G$67</f>
        <v>60</v>
      </c>
      <c r="G3968" s="430">
        <v>1</v>
      </c>
      <c r="H3968" s="456" t="str">
        <f t="shared" ref="H3968:H3971" si="899">IF(E3968="","",IF(E3968="No.","Each",IF(E3968="Nos.","Each",E3968)))</f>
        <v>Kgs</v>
      </c>
      <c r="I3968" s="408">
        <f t="shared" ref="I3968:I3972" si="900">IF(G3968="",D3968*F3968,(D3968*F3968/G3968))</f>
        <v>210</v>
      </c>
      <c r="J3968" s="400"/>
      <c r="K3968" s="401"/>
      <c r="L3968" s="401"/>
    </row>
    <row r="3969" spans="1:64">
      <c r="A3969" s="426"/>
      <c r="B3969" s="426"/>
      <c r="C3969" s="417" t="s">
        <v>1343</v>
      </c>
      <c r="D3969" s="408">
        <v>0.15</v>
      </c>
      <c r="E3969" s="454" t="s">
        <v>375</v>
      </c>
      <c r="F3969" s="408">
        <f>'[161]Civil-SOR'!$G$296</f>
        <v>665</v>
      </c>
      <c r="G3969" s="430">
        <v>1</v>
      </c>
      <c r="H3969" s="456" t="str">
        <f t="shared" si="899"/>
        <v>Each</v>
      </c>
      <c r="I3969" s="408">
        <f t="shared" si="900"/>
        <v>99.75</v>
      </c>
      <c r="J3969" s="400"/>
      <c r="K3969" s="401"/>
      <c r="L3969" s="401"/>
    </row>
    <row r="3970" spans="1:64">
      <c r="A3970" s="426"/>
      <c r="B3970" s="426"/>
      <c r="C3970" s="417" t="s">
        <v>1344</v>
      </c>
      <c r="D3970" s="408">
        <v>0.35</v>
      </c>
      <c r="E3970" s="454" t="s">
        <v>375</v>
      </c>
      <c r="F3970" s="408">
        <f>'[161]Civil-SOR'!$G$303</f>
        <v>550</v>
      </c>
      <c r="G3970" s="430">
        <v>1</v>
      </c>
      <c r="H3970" s="456" t="str">
        <f t="shared" si="899"/>
        <v>Each</v>
      </c>
      <c r="I3970" s="408">
        <f t="shared" si="900"/>
        <v>192.5</v>
      </c>
      <c r="J3970" s="400"/>
      <c r="K3970" s="401"/>
      <c r="L3970" s="401"/>
    </row>
    <row r="3971" spans="1:64">
      <c r="A3971" s="426"/>
      <c r="B3971" s="426"/>
      <c r="C3971" s="417" t="s">
        <v>723</v>
      </c>
      <c r="D3971" s="408">
        <v>1.5</v>
      </c>
      <c r="E3971" s="454" t="s">
        <v>375</v>
      </c>
      <c r="F3971" s="408">
        <f>'[161]Civil-SOR'!$G$307</f>
        <v>520</v>
      </c>
      <c r="G3971" s="430">
        <v>1</v>
      </c>
      <c r="H3971" s="456" t="str">
        <f t="shared" si="899"/>
        <v>Each</v>
      </c>
      <c r="I3971" s="408">
        <f t="shared" si="900"/>
        <v>780</v>
      </c>
      <c r="J3971" s="400"/>
      <c r="K3971" s="401"/>
      <c r="L3971" s="401"/>
    </row>
    <row r="3972" spans="1:64">
      <c r="A3972" s="426"/>
      <c r="B3972" s="426"/>
      <c r="C3972" s="417" t="str">
        <f>[161]Input!$C$47</f>
        <v>Add for MA @ 40%</v>
      </c>
      <c r="D3972" s="621">
        <f>[161]Input!$D$47</f>
        <v>0.4</v>
      </c>
      <c r="E3972" s="454"/>
      <c r="F3972" s="408">
        <f>SUM(I3969:I3971)</f>
        <v>1072.25</v>
      </c>
      <c r="G3972" s="410"/>
      <c r="H3972" s="426"/>
      <c r="I3972" s="408">
        <f t="shared" si="900"/>
        <v>428.90000000000003</v>
      </c>
      <c r="J3972" s="400"/>
      <c r="K3972" s="401"/>
      <c r="L3972" s="401"/>
    </row>
    <row r="3973" spans="1:64" ht="25">
      <c r="A3973" s="426"/>
      <c r="B3973" s="426"/>
      <c r="C3973" s="417" t="s">
        <v>1345</v>
      </c>
      <c r="D3973" s="406">
        <v>0.01</v>
      </c>
      <c r="E3973" s="406"/>
      <c r="F3973" s="432">
        <f>SUM(I3968:I3972)</f>
        <v>1711.15</v>
      </c>
      <c r="G3973" s="406"/>
      <c r="H3973" s="406"/>
      <c r="I3973" s="408"/>
      <c r="J3973" s="400"/>
      <c r="K3973" s="401"/>
      <c r="L3973" s="401"/>
    </row>
    <row r="3974" spans="1:64" ht="13">
      <c r="A3974" s="426"/>
      <c r="B3974" s="426"/>
      <c r="C3974" s="417"/>
      <c r="D3974" s="406"/>
      <c r="E3974" s="406"/>
      <c r="F3974" s="432"/>
      <c r="G3974" s="406"/>
      <c r="H3974" s="406"/>
      <c r="I3974" s="414">
        <f>SUM(I3968:I3973)</f>
        <v>1711.15</v>
      </c>
      <c r="J3974" s="400"/>
      <c r="K3974" s="401"/>
      <c r="L3974" s="401"/>
    </row>
    <row r="3975" spans="1:64" ht="25">
      <c r="A3975" s="426"/>
      <c r="B3975" s="426"/>
      <c r="C3975" s="417" t="str">
        <f>[161]Input!$C$48</f>
        <v>Overheads &amp; Contractors Profit @ 13.615%</v>
      </c>
      <c r="D3975" s="467">
        <f>[161]Input!$D$48</f>
        <v>0.13614999999999999</v>
      </c>
      <c r="E3975" s="408"/>
      <c r="F3975" s="408">
        <f>I3974</f>
        <v>1711.15</v>
      </c>
      <c r="G3975" s="430"/>
      <c r="H3975" s="426"/>
      <c r="I3975" s="408">
        <f>IF(G3975="",D3975*F3975,(D3975*F3975/G3975))</f>
        <v>232.9730725</v>
      </c>
      <c r="J3975" s="400"/>
      <c r="K3975" s="401"/>
      <c r="L3975" s="401"/>
    </row>
    <row r="3976" spans="1:64" ht="13">
      <c r="A3976" s="426"/>
      <c r="B3976" s="426"/>
      <c r="C3976" s="427" t="s">
        <v>741</v>
      </c>
      <c r="D3976" s="406"/>
      <c r="E3976" s="406"/>
      <c r="F3976" s="432"/>
      <c r="G3976" s="406"/>
      <c r="H3976" s="406"/>
      <c r="I3976" s="408">
        <f>SUM(I3974:I3975)</f>
        <v>1944.1230725</v>
      </c>
      <c r="J3976" s="400"/>
      <c r="K3976" s="401"/>
      <c r="L3976" s="401"/>
    </row>
    <row r="3977" spans="1:64" ht="13">
      <c r="A3977" s="426"/>
      <c r="B3977" s="426"/>
      <c r="C3977" s="427" t="s">
        <v>742</v>
      </c>
      <c r="D3977" s="406"/>
      <c r="E3977" s="406"/>
      <c r="F3977" s="432"/>
      <c r="G3977" s="406"/>
      <c r="H3977" s="406"/>
      <c r="I3977" s="432">
        <f>I3976/10</f>
        <v>194.41230725</v>
      </c>
      <c r="J3977" s="400"/>
      <c r="K3977" s="401"/>
      <c r="L3977" s="401"/>
    </row>
    <row r="3978" spans="1:64" ht="13">
      <c r="A3978" s="426"/>
      <c r="B3978" s="426"/>
      <c r="C3978" s="522" t="s">
        <v>726</v>
      </c>
      <c r="D3978" s="408"/>
      <c r="E3978" s="454"/>
      <c r="F3978" s="408"/>
      <c r="G3978" s="430"/>
      <c r="H3978" s="415" t="s">
        <v>774</v>
      </c>
      <c r="I3978" s="414">
        <f>ROUND(I3977,0)</f>
        <v>194</v>
      </c>
      <c r="J3978" s="400"/>
      <c r="K3978" s="401"/>
      <c r="L3978" s="401"/>
    </row>
    <row r="3979" spans="1:64" ht="13">
      <c r="A3979" s="426"/>
      <c r="B3979" s="426"/>
      <c r="C3979" s="469"/>
      <c r="D3979" s="408"/>
      <c r="E3979" s="454"/>
      <c r="F3979" s="408"/>
      <c r="G3979" s="430"/>
      <c r="H3979" s="415"/>
      <c r="I3979" s="414"/>
      <c r="J3979" s="400"/>
      <c r="K3979" s="401"/>
      <c r="L3979" s="401"/>
    </row>
    <row r="3980" spans="1:64" ht="76.900000000000006" customHeight="1">
      <c r="A3980" s="1280">
        <v>11</v>
      </c>
      <c r="B3980" s="1280"/>
      <c r="C3980" s="1276" t="s">
        <v>1371</v>
      </c>
      <c r="D3980" s="1276"/>
      <c r="E3980" s="1276"/>
      <c r="F3980" s="1276"/>
      <c r="G3980" s="1276"/>
      <c r="H3980" s="1276"/>
      <c r="I3980" s="407"/>
      <c r="J3980" s="462"/>
      <c r="K3980" s="463"/>
      <c r="L3980" s="463"/>
      <c r="M3980" s="559"/>
      <c r="N3980" s="559"/>
      <c r="O3980" s="559"/>
      <c r="P3980" s="559"/>
      <c r="Q3980" s="559"/>
      <c r="R3980" s="559"/>
    </row>
    <row r="3981" spans="1:64" ht="12.75" customHeight="1">
      <c r="A3981" s="426"/>
      <c r="B3981" s="426"/>
      <c r="C3981" s="1294" t="s">
        <v>1372</v>
      </c>
      <c r="D3981" s="1294"/>
      <c r="E3981" s="1294"/>
      <c r="F3981" s="406"/>
      <c r="G3981" s="406"/>
      <c r="H3981" s="406"/>
      <c r="I3981" s="432"/>
      <c r="J3981" s="462"/>
      <c r="K3981" s="463"/>
      <c r="L3981" s="463"/>
      <c r="M3981" s="559"/>
      <c r="N3981" s="559"/>
      <c r="O3981" s="559"/>
      <c r="P3981" s="559"/>
      <c r="Q3981" s="559"/>
      <c r="R3981" s="559"/>
    </row>
    <row r="3982" spans="1:64" ht="13">
      <c r="A3982" s="426"/>
      <c r="B3982" s="426"/>
      <c r="C3982" s="427" t="s">
        <v>1373</v>
      </c>
      <c r="D3982" s="406"/>
      <c r="E3982" s="406"/>
      <c r="F3982" s="406"/>
      <c r="G3982" s="406"/>
      <c r="H3982" s="406"/>
      <c r="I3982" s="432"/>
      <c r="J3982" s="462"/>
      <c r="K3982" s="463"/>
      <c r="L3982" s="463"/>
      <c r="M3982" s="559"/>
      <c r="N3982" s="559"/>
      <c r="O3982" s="559"/>
      <c r="P3982" s="559"/>
      <c r="Q3982" s="559"/>
      <c r="R3982" s="559"/>
    </row>
    <row r="3983" spans="1:64" ht="13">
      <c r="A3983" s="426"/>
      <c r="B3983" s="426"/>
      <c r="C3983" s="427" t="s">
        <v>1374</v>
      </c>
      <c r="D3983" s="406"/>
      <c r="E3983" s="406"/>
      <c r="F3983" s="406"/>
      <c r="G3983" s="406"/>
      <c r="H3983" s="406"/>
      <c r="I3983" s="432"/>
      <c r="J3983" s="462"/>
      <c r="K3983" s="463"/>
      <c r="L3983" s="463"/>
      <c r="M3983" s="559"/>
      <c r="N3983" s="559"/>
      <c r="O3983" s="559"/>
      <c r="P3983" s="559"/>
      <c r="Q3983" s="559"/>
      <c r="R3983" s="559"/>
    </row>
    <row r="3984" spans="1:64" ht="25">
      <c r="A3984" s="406"/>
      <c r="B3984" s="406"/>
      <c r="C3984" s="417" t="s">
        <v>1375</v>
      </c>
      <c r="D3984" s="459">
        <v>1</v>
      </c>
      <c r="E3984" s="458" t="s">
        <v>312</v>
      </c>
      <c r="F3984" s="459">
        <f>'[161]Civil-SOR'!$G$55</f>
        <v>173</v>
      </c>
      <c r="G3984" s="460">
        <v>1</v>
      </c>
      <c r="H3984" s="599" t="str">
        <f t="shared" ref="H3984:H3989" si="901">IF(E3984="","",IF(E3984="No.","Each",IF(E3984="Nos.","Each",E3984)))</f>
        <v>Kg</v>
      </c>
      <c r="I3984" s="459">
        <f t="shared" ref="I3984:I3990" si="902">IF(G3984="",D3984*F3984,(D3984*F3984/G3984))</f>
        <v>173</v>
      </c>
      <c r="J3984" s="462"/>
      <c r="K3984" s="463"/>
      <c r="L3984" s="463"/>
      <c r="M3984" s="559"/>
      <c r="N3984" s="559"/>
      <c r="O3984" s="559"/>
      <c r="P3984" s="559"/>
      <c r="Q3984" s="559"/>
      <c r="R3984" s="559"/>
      <c r="S3984" s="559"/>
      <c r="T3984" s="559"/>
      <c r="U3984" s="559"/>
      <c r="V3984" s="559"/>
      <c r="W3984" s="559"/>
      <c r="X3984" s="559"/>
      <c r="Y3984" s="559"/>
      <c r="Z3984" s="559"/>
      <c r="AA3984" s="559"/>
      <c r="AB3984" s="559"/>
      <c r="AC3984" s="559"/>
      <c r="AD3984" s="559"/>
      <c r="AE3984" s="559"/>
      <c r="AF3984" s="559"/>
      <c r="AG3984" s="559"/>
      <c r="AH3984" s="559"/>
      <c r="AI3984" s="559"/>
      <c r="AJ3984" s="559"/>
      <c r="AK3984" s="559"/>
      <c r="AL3984" s="559"/>
      <c r="AM3984" s="559"/>
      <c r="AN3984" s="559"/>
      <c r="AO3984" s="559"/>
      <c r="AP3984" s="559"/>
      <c r="AQ3984" s="559"/>
      <c r="AR3984" s="559"/>
      <c r="AS3984" s="559"/>
      <c r="AT3984" s="559"/>
      <c r="AU3984" s="559"/>
      <c r="AV3984" s="559"/>
      <c r="AW3984" s="559"/>
      <c r="AX3984" s="559"/>
      <c r="AY3984" s="559"/>
      <c r="AZ3984" s="559"/>
      <c r="BA3984" s="559"/>
      <c r="BB3984" s="559"/>
      <c r="BC3984" s="559"/>
      <c r="BD3984" s="559"/>
      <c r="BE3984" s="559"/>
      <c r="BF3984" s="559"/>
      <c r="BG3984" s="559"/>
      <c r="BH3984" s="559"/>
      <c r="BI3984" s="559"/>
      <c r="BJ3984" s="559"/>
      <c r="BK3984" s="559"/>
      <c r="BL3984" s="559"/>
    </row>
    <row r="3985" spans="1:64">
      <c r="A3985" s="406"/>
      <c r="B3985" s="406"/>
      <c r="C3985" s="417" t="s">
        <v>1343</v>
      </c>
      <c r="D3985" s="459">
        <v>0.21</v>
      </c>
      <c r="E3985" s="458" t="s">
        <v>375</v>
      </c>
      <c r="F3985" s="459">
        <f>'[161]Civil-SOR'!$G$296</f>
        <v>665</v>
      </c>
      <c r="G3985" s="460">
        <v>1</v>
      </c>
      <c r="H3985" s="599" t="str">
        <f t="shared" si="901"/>
        <v>Each</v>
      </c>
      <c r="I3985" s="459">
        <f t="shared" si="902"/>
        <v>139.65</v>
      </c>
      <c r="J3985" s="462"/>
      <c r="K3985" s="463"/>
      <c r="L3985" s="463"/>
      <c r="M3985" s="559"/>
      <c r="N3985" s="559"/>
      <c r="O3985" s="559"/>
      <c r="P3985" s="559"/>
      <c r="Q3985" s="559"/>
      <c r="R3985" s="559"/>
      <c r="S3985" s="559"/>
      <c r="T3985" s="559"/>
      <c r="U3985" s="559"/>
      <c r="V3985" s="559"/>
      <c r="W3985" s="559"/>
      <c r="X3985" s="559"/>
      <c r="Y3985" s="559"/>
      <c r="Z3985" s="559"/>
      <c r="AA3985" s="559"/>
      <c r="AB3985" s="559"/>
      <c r="AC3985" s="559"/>
      <c r="AD3985" s="559"/>
      <c r="AE3985" s="559"/>
      <c r="AF3985" s="559"/>
      <c r="AG3985" s="559"/>
      <c r="AH3985" s="559"/>
      <c r="AI3985" s="559"/>
      <c r="AJ3985" s="559"/>
      <c r="AK3985" s="559"/>
      <c r="AL3985" s="559"/>
      <c r="AM3985" s="559"/>
      <c r="AN3985" s="559"/>
      <c r="AO3985" s="559"/>
      <c r="AP3985" s="559"/>
      <c r="AQ3985" s="559"/>
      <c r="AR3985" s="559"/>
      <c r="AS3985" s="559"/>
      <c r="AT3985" s="559"/>
      <c r="AU3985" s="559"/>
      <c r="AV3985" s="559"/>
      <c r="AW3985" s="559"/>
      <c r="AX3985" s="559"/>
      <c r="AY3985" s="559"/>
      <c r="AZ3985" s="559"/>
      <c r="BA3985" s="559"/>
      <c r="BB3985" s="559"/>
      <c r="BC3985" s="559"/>
      <c r="BD3985" s="559"/>
      <c r="BE3985" s="559"/>
      <c r="BF3985" s="559"/>
      <c r="BG3985" s="559"/>
      <c r="BH3985" s="559"/>
      <c r="BI3985" s="559"/>
      <c r="BJ3985" s="559"/>
      <c r="BK3985" s="559"/>
      <c r="BL3985" s="559"/>
    </row>
    <row r="3986" spans="1:64">
      <c r="A3986" s="406"/>
      <c r="B3986" s="406"/>
      <c r="C3986" s="417" t="s">
        <v>1344</v>
      </c>
      <c r="D3986" s="459">
        <v>0.49</v>
      </c>
      <c r="E3986" s="458" t="s">
        <v>375</v>
      </c>
      <c r="F3986" s="459">
        <f>'[161]Civil-SOR'!$G$303</f>
        <v>550</v>
      </c>
      <c r="G3986" s="460">
        <v>1</v>
      </c>
      <c r="H3986" s="599" t="str">
        <f t="shared" si="901"/>
        <v>Each</v>
      </c>
      <c r="I3986" s="459">
        <f t="shared" si="902"/>
        <v>269.5</v>
      </c>
      <c r="J3986" s="462"/>
      <c r="K3986" s="463"/>
      <c r="L3986" s="463"/>
      <c r="M3986" s="559"/>
      <c r="N3986" s="559"/>
      <c r="O3986" s="559"/>
      <c r="P3986" s="559"/>
      <c r="Q3986" s="559"/>
      <c r="R3986" s="559"/>
      <c r="S3986" s="559"/>
      <c r="T3986" s="559"/>
      <c r="U3986" s="559"/>
      <c r="V3986" s="559"/>
      <c r="W3986" s="559"/>
      <c r="X3986" s="559"/>
      <c r="Y3986" s="559"/>
      <c r="Z3986" s="559"/>
      <c r="AA3986" s="559"/>
      <c r="AB3986" s="559"/>
      <c r="AC3986" s="559"/>
      <c r="AD3986" s="559"/>
      <c r="AE3986" s="559"/>
      <c r="AF3986" s="559"/>
      <c r="AG3986" s="559"/>
      <c r="AH3986" s="559"/>
      <c r="AI3986" s="559"/>
      <c r="AJ3986" s="559"/>
      <c r="AK3986" s="559"/>
      <c r="AL3986" s="559"/>
      <c r="AM3986" s="559"/>
      <c r="AN3986" s="559"/>
      <c r="AO3986" s="559"/>
      <c r="AP3986" s="559"/>
      <c r="AQ3986" s="559"/>
      <c r="AR3986" s="559"/>
      <c r="AS3986" s="559"/>
      <c r="AT3986" s="559"/>
      <c r="AU3986" s="559"/>
      <c r="AV3986" s="559"/>
      <c r="AW3986" s="559"/>
      <c r="AX3986" s="559"/>
      <c r="AY3986" s="559"/>
      <c r="AZ3986" s="559"/>
      <c r="BA3986" s="559"/>
      <c r="BB3986" s="559"/>
      <c r="BC3986" s="559"/>
      <c r="BD3986" s="559"/>
      <c r="BE3986" s="559"/>
      <c r="BF3986" s="559"/>
      <c r="BG3986" s="559"/>
      <c r="BH3986" s="559"/>
      <c r="BI3986" s="559"/>
      <c r="BJ3986" s="559"/>
      <c r="BK3986" s="559"/>
      <c r="BL3986" s="559"/>
    </row>
    <row r="3987" spans="1:64">
      <c r="A3987" s="406"/>
      <c r="B3987" s="406"/>
      <c r="C3987" s="417" t="s">
        <v>1376</v>
      </c>
      <c r="D3987" s="459">
        <v>0.8</v>
      </c>
      <c r="E3987" s="458" t="s">
        <v>1149</v>
      </c>
      <c r="F3987" s="459">
        <f>'[161]Civil-SOR'!$G$68</f>
        <v>225</v>
      </c>
      <c r="G3987" s="460">
        <v>1</v>
      </c>
      <c r="H3987" s="599" t="str">
        <f t="shared" si="901"/>
        <v>Ltrs</v>
      </c>
      <c r="I3987" s="459">
        <f t="shared" si="902"/>
        <v>180</v>
      </c>
      <c r="J3987" s="462"/>
      <c r="K3987" s="463"/>
      <c r="L3987" s="463"/>
      <c r="M3987" s="559"/>
      <c r="N3987" s="559"/>
      <c r="O3987" s="559"/>
      <c r="P3987" s="559"/>
      <c r="Q3987" s="559"/>
      <c r="R3987" s="559"/>
      <c r="S3987" s="559"/>
      <c r="T3987" s="559"/>
      <c r="U3987" s="559"/>
      <c r="V3987" s="559"/>
      <c r="W3987" s="559"/>
      <c r="X3987" s="559"/>
      <c r="Y3987" s="559"/>
      <c r="Z3987" s="559"/>
      <c r="AA3987" s="559"/>
      <c r="AB3987" s="559"/>
      <c r="AC3987" s="559"/>
      <c r="AD3987" s="559"/>
      <c r="AE3987" s="559"/>
      <c r="AF3987" s="559"/>
      <c r="AG3987" s="559"/>
      <c r="AH3987" s="559"/>
      <c r="AI3987" s="559"/>
      <c r="AJ3987" s="559"/>
      <c r="AK3987" s="559"/>
      <c r="AL3987" s="559"/>
      <c r="AM3987" s="559"/>
      <c r="AN3987" s="559"/>
      <c r="AO3987" s="559"/>
      <c r="AP3987" s="559"/>
      <c r="AQ3987" s="559"/>
      <c r="AR3987" s="559"/>
      <c r="AS3987" s="559"/>
      <c r="AT3987" s="559"/>
      <c r="AU3987" s="559"/>
      <c r="AV3987" s="559"/>
      <c r="AW3987" s="559"/>
      <c r="AX3987" s="559"/>
      <c r="AY3987" s="559"/>
      <c r="AZ3987" s="559"/>
      <c r="BA3987" s="559"/>
      <c r="BB3987" s="559"/>
      <c r="BC3987" s="559"/>
      <c r="BD3987" s="559"/>
      <c r="BE3987" s="559"/>
      <c r="BF3987" s="559"/>
      <c r="BG3987" s="559"/>
      <c r="BH3987" s="559"/>
      <c r="BI3987" s="559"/>
      <c r="BJ3987" s="559"/>
      <c r="BK3987" s="559"/>
      <c r="BL3987" s="559"/>
    </row>
    <row r="3988" spans="1:64">
      <c r="A3988" s="406"/>
      <c r="B3988" s="406"/>
      <c r="C3988" s="417" t="s">
        <v>1343</v>
      </c>
      <c r="D3988" s="459">
        <v>0.36</v>
      </c>
      <c r="E3988" s="458" t="s">
        <v>375</v>
      </c>
      <c r="F3988" s="459">
        <f>'[161]Civil-SOR'!$G$296</f>
        <v>665</v>
      </c>
      <c r="G3988" s="460">
        <v>1</v>
      </c>
      <c r="H3988" s="599" t="str">
        <f t="shared" si="901"/>
        <v>Each</v>
      </c>
      <c r="I3988" s="459">
        <f t="shared" si="902"/>
        <v>239.39999999999998</v>
      </c>
      <c r="J3988" s="462"/>
      <c r="K3988" s="463"/>
      <c r="L3988" s="463"/>
      <c r="M3988" s="559"/>
      <c r="N3988" s="559"/>
      <c r="O3988" s="559"/>
      <c r="P3988" s="559"/>
      <c r="Q3988" s="559"/>
      <c r="R3988" s="559"/>
      <c r="S3988" s="559"/>
      <c r="T3988" s="559"/>
      <c r="U3988" s="559"/>
      <c r="V3988" s="559"/>
      <c r="W3988" s="559"/>
      <c r="X3988" s="559"/>
      <c r="Y3988" s="559"/>
      <c r="Z3988" s="559"/>
      <c r="AA3988" s="559"/>
      <c r="AB3988" s="559"/>
      <c r="AC3988" s="559"/>
      <c r="AD3988" s="559"/>
      <c r="AE3988" s="559"/>
      <c r="AF3988" s="559"/>
      <c r="AG3988" s="559"/>
      <c r="AH3988" s="559"/>
      <c r="AI3988" s="559"/>
      <c r="AJ3988" s="559"/>
      <c r="AK3988" s="559"/>
      <c r="AL3988" s="559"/>
      <c r="AM3988" s="559"/>
      <c r="AN3988" s="559"/>
      <c r="AO3988" s="559"/>
      <c r="AP3988" s="559"/>
      <c r="AQ3988" s="559"/>
      <c r="AR3988" s="559"/>
      <c r="AS3988" s="559"/>
      <c r="AT3988" s="559"/>
      <c r="AU3988" s="559"/>
      <c r="AV3988" s="559"/>
      <c r="AW3988" s="559"/>
      <c r="AX3988" s="559"/>
      <c r="AY3988" s="559"/>
      <c r="AZ3988" s="559"/>
      <c r="BA3988" s="559"/>
      <c r="BB3988" s="559"/>
      <c r="BC3988" s="559"/>
      <c r="BD3988" s="559"/>
      <c r="BE3988" s="559"/>
      <c r="BF3988" s="559"/>
      <c r="BG3988" s="559"/>
      <c r="BH3988" s="559"/>
      <c r="BI3988" s="559"/>
      <c r="BJ3988" s="559"/>
      <c r="BK3988" s="559"/>
      <c r="BL3988" s="559"/>
    </row>
    <row r="3989" spans="1:64">
      <c r="A3989" s="406"/>
      <c r="B3989" s="406"/>
      <c r="C3989" s="417" t="s">
        <v>1344</v>
      </c>
      <c r="D3989" s="459">
        <v>0.84</v>
      </c>
      <c r="E3989" s="458" t="s">
        <v>375</v>
      </c>
      <c r="F3989" s="459">
        <f>'[161]Civil-SOR'!$G$303</f>
        <v>550</v>
      </c>
      <c r="G3989" s="460">
        <v>1</v>
      </c>
      <c r="H3989" s="599" t="str">
        <f t="shared" si="901"/>
        <v>Each</v>
      </c>
      <c r="I3989" s="459">
        <f t="shared" si="902"/>
        <v>462</v>
      </c>
      <c r="J3989" s="462"/>
      <c r="K3989" s="463"/>
      <c r="L3989" s="463"/>
      <c r="M3989" s="559"/>
      <c r="N3989" s="559"/>
      <c r="O3989" s="559"/>
      <c r="P3989" s="559"/>
      <c r="Q3989" s="559"/>
      <c r="R3989" s="559"/>
      <c r="S3989" s="559"/>
      <c r="T3989" s="559"/>
      <c r="U3989" s="559"/>
      <c r="V3989" s="559"/>
      <c r="W3989" s="559"/>
      <c r="X3989" s="559"/>
      <c r="Y3989" s="559"/>
      <c r="Z3989" s="559"/>
      <c r="AA3989" s="559"/>
      <c r="AB3989" s="559"/>
      <c r="AC3989" s="559"/>
      <c r="AD3989" s="559"/>
      <c r="AE3989" s="559"/>
      <c r="AF3989" s="559"/>
      <c r="AG3989" s="559"/>
      <c r="AH3989" s="559"/>
      <c r="AI3989" s="559"/>
      <c r="AJ3989" s="559"/>
      <c r="AK3989" s="559"/>
      <c r="AL3989" s="559"/>
      <c r="AM3989" s="559"/>
      <c r="AN3989" s="559"/>
      <c r="AO3989" s="559"/>
      <c r="AP3989" s="559"/>
      <c r="AQ3989" s="559"/>
      <c r="AR3989" s="559"/>
      <c r="AS3989" s="559"/>
      <c r="AT3989" s="559"/>
      <c r="AU3989" s="559"/>
      <c r="AV3989" s="559"/>
      <c r="AW3989" s="559"/>
      <c r="AX3989" s="559"/>
      <c r="AY3989" s="559"/>
      <c r="AZ3989" s="559"/>
      <c r="BA3989" s="559"/>
      <c r="BB3989" s="559"/>
      <c r="BC3989" s="559"/>
      <c r="BD3989" s="559"/>
      <c r="BE3989" s="559"/>
      <c r="BF3989" s="559"/>
      <c r="BG3989" s="559"/>
      <c r="BH3989" s="559"/>
      <c r="BI3989" s="559"/>
      <c r="BJ3989" s="559"/>
      <c r="BK3989" s="559"/>
      <c r="BL3989" s="559"/>
    </row>
    <row r="3990" spans="1:64">
      <c r="A3990" s="406"/>
      <c r="B3990" s="406"/>
      <c r="C3990" s="417" t="str">
        <f>[161]Input!$C$47</f>
        <v>Add for MA @ 40%</v>
      </c>
      <c r="D3990" s="622">
        <f>[161]Input!$D$47</f>
        <v>0.4</v>
      </c>
      <c r="E3990" s="458"/>
      <c r="F3990" s="459">
        <f>SUM(I3985:I3986)+SUM(I3988:I3989)</f>
        <v>1110.55</v>
      </c>
      <c r="G3990" s="431"/>
      <c r="H3990" s="406"/>
      <c r="I3990" s="459">
        <f t="shared" si="902"/>
        <v>444.22</v>
      </c>
      <c r="J3990" s="462"/>
      <c r="K3990" s="463"/>
      <c r="L3990" s="463"/>
      <c r="M3990" s="559"/>
      <c r="N3990" s="559"/>
      <c r="O3990" s="559"/>
      <c r="P3990" s="559"/>
      <c r="Q3990" s="559"/>
      <c r="R3990" s="559"/>
      <c r="S3990" s="559"/>
      <c r="T3990" s="559"/>
      <c r="U3990" s="559"/>
      <c r="V3990" s="559"/>
      <c r="W3990" s="559"/>
      <c r="X3990" s="559"/>
      <c r="Y3990" s="559"/>
      <c r="Z3990" s="559"/>
      <c r="AA3990" s="559"/>
      <c r="AB3990" s="559"/>
      <c r="AC3990" s="559"/>
      <c r="AD3990" s="559"/>
      <c r="AE3990" s="559"/>
      <c r="AF3990" s="559"/>
      <c r="AG3990" s="559"/>
      <c r="AH3990" s="559"/>
      <c r="AI3990" s="559"/>
      <c r="AJ3990" s="559"/>
      <c r="AK3990" s="559"/>
      <c r="AL3990" s="559"/>
      <c r="AM3990" s="559"/>
      <c r="AN3990" s="559"/>
      <c r="AO3990" s="559"/>
      <c r="AP3990" s="559"/>
      <c r="AQ3990" s="559"/>
      <c r="AR3990" s="559"/>
      <c r="AS3990" s="559"/>
      <c r="AT3990" s="559"/>
      <c r="AU3990" s="559"/>
      <c r="AV3990" s="559"/>
      <c r="AW3990" s="559"/>
      <c r="AX3990" s="559"/>
      <c r="AY3990" s="559"/>
      <c r="AZ3990" s="559"/>
      <c r="BA3990" s="559"/>
      <c r="BB3990" s="559"/>
      <c r="BC3990" s="559"/>
      <c r="BD3990" s="559"/>
      <c r="BE3990" s="559"/>
      <c r="BF3990" s="559"/>
      <c r="BG3990" s="559"/>
      <c r="BH3990" s="559"/>
      <c r="BI3990" s="559"/>
      <c r="BJ3990" s="559"/>
      <c r="BK3990" s="559"/>
      <c r="BL3990" s="559"/>
    </row>
    <row r="3991" spans="1:64" ht="25">
      <c r="A3991" s="406"/>
      <c r="B3991" s="406"/>
      <c r="C3991" s="417" t="s">
        <v>1345</v>
      </c>
      <c r="D3991" s="406">
        <v>0.01</v>
      </c>
      <c r="E3991" s="406"/>
      <c r="F3991" s="432">
        <f>SUM(I3984:I3990)</f>
        <v>1907.77</v>
      </c>
      <c r="G3991" s="406"/>
      <c r="H3991" s="406"/>
      <c r="I3991" s="459"/>
      <c r="J3991" s="462"/>
      <c r="K3991" s="463"/>
      <c r="L3991" s="463"/>
      <c r="M3991" s="559"/>
      <c r="N3991" s="559"/>
      <c r="O3991" s="559"/>
      <c r="P3991" s="559"/>
      <c r="Q3991" s="559"/>
      <c r="R3991" s="559"/>
      <c r="S3991" s="559"/>
      <c r="T3991" s="559"/>
      <c r="U3991" s="559"/>
      <c r="V3991" s="559"/>
      <c r="W3991" s="559"/>
      <c r="X3991" s="559"/>
      <c r="Y3991" s="559"/>
      <c r="Z3991" s="559"/>
      <c r="AA3991" s="559"/>
      <c r="AB3991" s="559"/>
      <c r="AC3991" s="559"/>
      <c r="AD3991" s="559"/>
      <c r="AE3991" s="559"/>
      <c r="AF3991" s="559"/>
      <c r="AG3991" s="559"/>
      <c r="AH3991" s="559"/>
      <c r="AI3991" s="559"/>
      <c r="AJ3991" s="559"/>
      <c r="AK3991" s="559"/>
      <c r="AL3991" s="559"/>
      <c r="AM3991" s="559"/>
      <c r="AN3991" s="559"/>
      <c r="AO3991" s="559"/>
      <c r="AP3991" s="559"/>
      <c r="AQ3991" s="559"/>
      <c r="AR3991" s="559"/>
      <c r="AS3991" s="559"/>
      <c r="AT3991" s="559"/>
      <c r="AU3991" s="559"/>
      <c r="AV3991" s="559"/>
      <c r="AW3991" s="559"/>
      <c r="AX3991" s="559"/>
      <c r="AY3991" s="559"/>
      <c r="AZ3991" s="559"/>
      <c r="BA3991" s="559"/>
      <c r="BB3991" s="559"/>
      <c r="BC3991" s="559"/>
      <c r="BD3991" s="559"/>
      <c r="BE3991" s="559"/>
      <c r="BF3991" s="559"/>
      <c r="BG3991" s="559"/>
      <c r="BH3991" s="559"/>
      <c r="BI3991" s="559"/>
      <c r="BJ3991" s="559"/>
      <c r="BK3991" s="559"/>
      <c r="BL3991" s="559"/>
    </row>
    <row r="3992" spans="1:64" ht="13">
      <c r="A3992" s="406"/>
      <c r="B3992" s="406"/>
      <c r="C3992" s="417"/>
      <c r="D3992" s="406"/>
      <c r="E3992" s="406"/>
      <c r="F3992" s="432"/>
      <c r="G3992" s="406"/>
      <c r="H3992" s="406"/>
      <c r="I3992" s="461">
        <f>SUM(I3984:I3991)</f>
        <v>1907.77</v>
      </c>
      <c r="J3992" s="462"/>
      <c r="K3992" s="463"/>
      <c r="L3992" s="463"/>
      <c r="M3992" s="559"/>
      <c r="N3992" s="559"/>
      <c r="O3992" s="559"/>
      <c r="P3992" s="559"/>
      <c r="Q3992" s="559"/>
      <c r="R3992" s="559"/>
      <c r="S3992" s="559"/>
      <c r="T3992" s="559"/>
      <c r="U3992" s="559"/>
      <c r="V3992" s="559"/>
      <c r="W3992" s="559"/>
      <c r="X3992" s="559"/>
      <c r="Y3992" s="559"/>
      <c r="Z3992" s="559"/>
      <c r="AA3992" s="559"/>
      <c r="AB3992" s="559"/>
      <c r="AC3992" s="559"/>
      <c r="AD3992" s="559"/>
      <c r="AE3992" s="559"/>
      <c r="AF3992" s="559"/>
      <c r="AG3992" s="559"/>
      <c r="AH3992" s="559"/>
      <c r="AI3992" s="559"/>
      <c r="AJ3992" s="559"/>
      <c r="AK3992" s="559"/>
      <c r="AL3992" s="559"/>
      <c r="AM3992" s="559"/>
      <c r="AN3992" s="559"/>
      <c r="AO3992" s="559"/>
      <c r="AP3992" s="559"/>
      <c r="AQ3992" s="559"/>
      <c r="AR3992" s="559"/>
      <c r="AS3992" s="559"/>
      <c r="AT3992" s="559"/>
      <c r="AU3992" s="559"/>
      <c r="AV3992" s="559"/>
      <c r="AW3992" s="559"/>
      <c r="AX3992" s="559"/>
      <c r="AY3992" s="559"/>
      <c r="AZ3992" s="559"/>
      <c r="BA3992" s="559"/>
      <c r="BB3992" s="559"/>
      <c r="BC3992" s="559"/>
      <c r="BD3992" s="559"/>
      <c r="BE3992" s="559"/>
      <c r="BF3992" s="559"/>
      <c r="BG3992" s="559"/>
      <c r="BH3992" s="559"/>
      <c r="BI3992" s="559"/>
      <c r="BJ3992" s="559"/>
      <c r="BK3992" s="559"/>
      <c r="BL3992" s="559"/>
    </row>
    <row r="3993" spans="1:64" ht="25">
      <c r="A3993" s="406"/>
      <c r="B3993" s="406"/>
      <c r="C3993" s="417" t="str">
        <f>[161]Input!$C$48</f>
        <v>Overheads &amp; Contractors Profit @ 13.615%</v>
      </c>
      <c r="D3993" s="465">
        <f>[161]Input!$D$48</f>
        <v>0.13614999999999999</v>
      </c>
      <c r="E3993" s="459"/>
      <c r="F3993" s="459">
        <f>I3992</f>
        <v>1907.77</v>
      </c>
      <c r="G3993" s="460"/>
      <c r="H3993" s="406"/>
      <c r="I3993" s="459">
        <f>IF(G3993="",D3993*F3993,(D3993*F3993/G3993))</f>
        <v>259.7428855</v>
      </c>
      <c r="J3993" s="462"/>
      <c r="K3993" s="463"/>
      <c r="L3993" s="463"/>
      <c r="M3993" s="559"/>
      <c r="N3993" s="559"/>
      <c r="O3993" s="559"/>
      <c r="P3993" s="559"/>
      <c r="Q3993" s="559"/>
      <c r="R3993" s="559"/>
      <c r="S3993" s="559"/>
      <c r="T3993" s="559"/>
      <c r="U3993" s="559"/>
      <c r="V3993" s="559"/>
      <c r="W3993" s="559"/>
      <c r="X3993" s="559"/>
      <c r="Y3993" s="559"/>
      <c r="Z3993" s="559"/>
      <c r="AA3993" s="559"/>
      <c r="AB3993" s="559"/>
      <c r="AC3993" s="559"/>
      <c r="AD3993" s="559"/>
      <c r="AE3993" s="559"/>
      <c r="AF3993" s="559"/>
      <c r="AG3993" s="559"/>
      <c r="AH3993" s="559"/>
      <c r="AI3993" s="559"/>
      <c r="AJ3993" s="559"/>
      <c r="AK3993" s="559"/>
      <c r="AL3993" s="559"/>
      <c r="AM3993" s="559"/>
      <c r="AN3993" s="559"/>
      <c r="AO3993" s="559"/>
      <c r="AP3993" s="559"/>
      <c r="AQ3993" s="559"/>
      <c r="AR3993" s="559"/>
      <c r="AS3993" s="559"/>
      <c r="AT3993" s="559"/>
      <c r="AU3993" s="559"/>
      <c r="AV3993" s="559"/>
      <c r="AW3993" s="559"/>
      <c r="AX3993" s="559"/>
      <c r="AY3993" s="559"/>
      <c r="AZ3993" s="559"/>
      <c r="BA3993" s="559"/>
      <c r="BB3993" s="559"/>
      <c r="BC3993" s="559"/>
      <c r="BD3993" s="559"/>
      <c r="BE3993" s="559"/>
      <c r="BF3993" s="559"/>
      <c r="BG3993" s="559"/>
      <c r="BH3993" s="559"/>
      <c r="BI3993" s="559"/>
      <c r="BJ3993" s="559"/>
      <c r="BK3993" s="559"/>
      <c r="BL3993" s="559"/>
    </row>
    <row r="3994" spans="1:64" ht="13">
      <c r="A3994" s="426"/>
      <c r="B3994" s="426"/>
      <c r="C3994" s="427" t="s">
        <v>741</v>
      </c>
      <c r="D3994" s="406"/>
      <c r="E3994" s="406"/>
      <c r="F3994" s="432"/>
      <c r="G3994" s="406"/>
      <c r="H3994" s="406"/>
      <c r="I3994" s="408">
        <f>SUM(I3992:I3993)</f>
        <v>2167.5128854999998</v>
      </c>
      <c r="J3994" s="400"/>
      <c r="K3994" s="401"/>
      <c r="L3994" s="401"/>
    </row>
    <row r="3995" spans="1:64" ht="13">
      <c r="A3995" s="426"/>
      <c r="B3995" s="426"/>
      <c r="C3995" s="427" t="s">
        <v>742</v>
      </c>
      <c r="D3995" s="406"/>
      <c r="E3995" s="406"/>
      <c r="F3995" s="432"/>
      <c r="G3995" s="406"/>
      <c r="H3995" s="406"/>
      <c r="I3995" s="432">
        <f>I3994/10</f>
        <v>216.75128854999997</v>
      </c>
      <c r="J3995" s="400"/>
      <c r="K3995" s="401"/>
      <c r="L3995" s="401"/>
    </row>
    <row r="3996" spans="1:64" ht="13">
      <c r="A3996" s="426"/>
      <c r="B3996" s="426"/>
      <c r="C3996" s="469"/>
      <c r="D3996" s="408"/>
      <c r="E3996" s="454"/>
      <c r="F3996" s="408"/>
      <c r="G3996" s="430"/>
      <c r="H3996" s="415" t="s">
        <v>774</v>
      </c>
      <c r="I3996" s="414">
        <f>ROUND(I3995,0)</f>
        <v>217</v>
      </c>
      <c r="J3996" s="718"/>
      <c r="K3996" s="719"/>
      <c r="L3996" s="719"/>
      <c r="M3996" s="720"/>
      <c r="N3996" s="720"/>
      <c r="O3996" s="720"/>
      <c r="P3996" s="720"/>
      <c r="Q3996" s="720"/>
      <c r="R3996" s="720"/>
    </row>
    <row r="3997" spans="1:64" ht="13">
      <c r="A3997" s="426"/>
      <c r="B3997" s="426"/>
      <c r="C3997" s="469"/>
      <c r="D3997" s="408"/>
      <c r="E3997" s="454"/>
      <c r="F3997" s="408"/>
      <c r="G3997" s="430"/>
      <c r="H3997" s="415"/>
      <c r="I3997" s="414"/>
      <c r="J3997" s="718"/>
      <c r="K3997" s="719"/>
      <c r="L3997" s="719"/>
      <c r="M3997" s="720"/>
      <c r="N3997" s="720"/>
      <c r="O3997" s="720"/>
      <c r="P3997" s="720"/>
      <c r="Q3997" s="720"/>
      <c r="R3997" s="720"/>
    </row>
    <row r="3998" spans="1:64" ht="79.150000000000006" customHeight="1">
      <c r="A3998" s="1280">
        <f>A3980+1</f>
        <v>12</v>
      </c>
      <c r="B3998" s="1280"/>
      <c r="C3998" s="1276" t="s">
        <v>1377</v>
      </c>
      <c r="D3998" s="1276"/>
      <c r="E3998" s="1276"/>
      <c r="F3998" s="1276"/>
      <c r="G3998" s="1276"/>
      <c r="H3998" s="1276"/>
      <c r="I3998" s="407"/>
      <c r="J3998" s="400"/>
      <c r="K3998" s="401"/>
      <c r="L3998" s="401"/>
    </row>
    <row r="3999" spans="1:64" ht="12.75" customHeight="1">
      <c r="A3999" s="426"/>
      <c r="B3999" s="426"/>
      <c r="C3999" s="1294" t="s">
        <v>1372</v>
      </c>
      <c r="D3999" s="1294"/>
      <c r="E3999" s="406"/>
      <c r="F3999" s="406"/>
      <c r="G3999" s="406"/>
      <c r="H3999" s="406"/>
      <c r="I3999" s="432"/>
      <c r="J3999" s="400"/>
      <c r="K3999" s="401"/>
      <c r="L3999" s="401"/>
    </row>
    <row r="4000" spans="1:64" ht="13">
      <c r="A4000" s="426"/>
      <c r="B4000" s="426"/>
      <c r="C4000" s="427" t="s">
        <v>1373</v>
      </c>
      <c r="D4000" s="406"/>
      <c r="E4000" s="406"/>
      <c r="F4000" s="406"/>
      <c r="G4000" s="406"/>
      <c r="H4000" s="406"/>
      <c r="I4000" s="432"/>
      <c r="J4000" s="400"/>
      <c r="K4000" s="401"/>
      <c r="L4000" s="401"/>
    </row>
    <row r="4001" spans="1:64" ht="13">
      <c r="A4001" s="426"/>
      <c r="B4001" s="426"/>
      <c r="C4001" s="427" t="s">
        <v>1374</v>
      </c>
      <c r="D4001" s="406"/>
      <c r="E4001" s="406"/>
      <c r="F4001" s="406"/>
      <c r="G4001" s="406"/>
      <c r="H4001" s="406"/>
      <c r="I4001" s="432"/>
      <c r="J4001" s="400"/>
      <c r="K4001" s="401"/>
      <c r="L4001" s="401"/>
    </row>
    <row r="4002" spans="1:64" ht="25">
      <c r="A4002" s="406"/>
      <c r="B4002" s="406"/>
      <c r="C4002" s="737" t="s">
        <v>1378</v>
      </c>
      <c r="D4002" s="459">
        <v>1</v>
      </c>
      <c r="E4002" s="458" t="s">
        <v>312</v>
      </c>
      <c r="F4002" s="432">
        <f>'[161]Civil-SOR'!G56</f>
        <v>221</v>
      </c>
      <c r="G4002" s="460">
        <v>1</v>
      </c>
      <c r="H4002" s="599" t="str">
        <f t="shared" ref="H4002:H4008" si="903">IF(E4002="","",IF(E4002="No.","Each",IF(E4002="Nos.","Each",E4002)))</f>
        <v>Kg</v>
      </c>
      <c r="I4002" s="459">
        <f t="shared" ref="I4002:I4009" si="904">IF(G4002="",D4002*F4002,(D4002*F4002/G4002))</f>
        <v>221</v>
      </c>
      <c r="J4002" s="462"/>
      <c r="K4002" s="463"/>
      <c r="L4002" s="463"/>
      <c r="M4002" s="559"/>
      <c r="N4002" s="559"/>
      <c r="O4002" s="559"/>
      <c r="P4002" s="559"/>
      <c r="Q4002" s="559"/>
      <c r="R4002" s="559"/>
      <c r="S4002" s="559"/>
      <c r="T4002" s="559"/>
      <c r="U4002" s="559"/>
      <c r="V4002" s="559"/>
      <c r="W4002" s="559"/>
      <c r="X4002" s="559"/>
      <c r="Y4002" s="559"/>
      <c r="Z4002" s="559"/>
      <c r="AA4002" s="559"/>
      <c r="AB4002" s="559"/>
      <c r="AC4002" s="559"/>
      <c r="AD4002" s="559"/>
      <c r="AE4002" s="559"/>
      <c r="AF4002" s="559"/>
      <c r="AG4002" s="559"/>
      <c r="AH4002" s="559"/>
      <c r="AI4002" s="559"/>
      <c r="AJ4002" s="559"/>
      <c r="AK4002" s="559"/>
      <c r="AL4002" s="559"/>
      <c r="AM4002" s="559"/>
      <c r="AN4002" s="559"/>
      <c r="AO4002" s="559"/>
      <c r="AP4002" s="559"/>
      <c r="AQ4002" s="559"/>
      <c r="AR4002" s="559"/>
      <c r="AS4002" s="559"/>
      <c r="AT4002" s="559"/>
      <c r="AU4002" s="559"/>
      <c r="AV4002" s="559"/>
      <c r="AW4002" s="559"/>
      <c r="AX4002" s="559"/>
      <c r="AY4002" s="559"/>
      <c r="AZ4002" s="559"/>
      <c r="BA4002" s="559"/>
      <c r="BB4002" s="559"/>
      <c r="BC4002" s="559"/>
      <c r="BD4002" s="559"/>
      <c r="BE4002" s="559"/>
      <c r="BF4002" s="559"/>
      <c r="BG4002" s="559"/>
      <c r="BH4002" s="559"/>
      <c r="BI4002" s="559"/>
      <c r="BJ4002" s="559"/>
      <c r="BK4002" s="559"/>
      <c r="BL4002" s="559"/>
    </row>
    <row r="4003" spans="1:64">
      <c r="A4003" s="406"/>
      <c r="B4003" s="406"/>
      <c r="C4003" s="417" t="s">
        <v>1343</v>
      </c>
      <c r="D4003" s="459">
        <v>0.21</v>
      </c>
      <c r="E4003" s="458" t="s">
        <v>375</v>
      </c>
      <c r="F4003" s="459">
        <f>'[161]Civil-SOR'!$G$296</f>
        <v>665</v>
      </c>
      <c r="G4003" s="460">
        <v>1</v>
      </c>
      <c r="H4003" s="599" t="str">
        <f t="shared" si="903"/>
        <v>Each</v>
      </c>
      <c r="I4003" s="459">
        <f t="shared" si="904"/>
        <v>139.65</v>
      </c>
      <c r="J4003" s="462"/>
      <c r="K4003" s="463"/>
      <c r="L4003" s="463"/>
      <c r="M4003" s="559"/>
      <c r="N4003" s="559"/>
      <c r="O4003" s="559"/>
      <c r="P4003" s="559"/>
      <c r="Q4003" s="559"/>
      <c r="R4003" s="559"/>
      <c r="S4003" s="559"/>
      <c r="T4003" s="559"/>
      <c r="U4003" s="559"/>
      <c r="V4003" s="559"/>
      <c r="W4003" s="559"/>
      <c r="X4003" s="559"/>
      <c r="Y4003" s="559"/>
      <c r="Z4003" s="559"/>
      <c r="AA4003" s="559"/>
      <c r="AB4003" s="559"/>
      <c r="AC4003" s="559"/>
      <c r="AD4003" s="559"/>
      <c r="AE4003" s="559"/>
      <c r="AF4003" s="559"/>
      <c r="AG4003" s="559"/>
      <c r="AH4003" s="559"/>
      <c r="AI4003" s="559"/>
      <c r="AJ4003" s="559"/>
      <c r="AK4003" s="559"/>
      <c r="AL4003" s="559"/>
      <c r="AM4003" s="559"/>
      <c r="AN4003" s="559"/>
      <c r="AO4003" s="559"/>
      <c r="AP4003" s="559"/>
      <c r="AQ4003" s="559"/>
      <c r="AR4003" s="559"/>
      <c r="AS4003" s="559"/>
      <c r="AT4003" s="559"/>
      <c r="AU4003" s="559"/>
      <c r="AV4003" s="559"/>
      <c r="AW4003" s="559"/>
      <c r="AX4003" s="559"/>
      <c r="AY4003" s="559"/>
      <c r="AZ4003" s="559"/>
      <c r="BA4003" s="559"/>
      <c r="BB4003" s="559"/>
      <c r="BC4003" s="559"/>
      <c r="BD4003" s="559"/>
      <c r="BE4003" s="559"/>
      <c r="BF4003" s="559"/>
      <c r="BG4003" s="559"/>
      <c r="BH4003" s="559"/>
      <c r="BI4003" s="559"/>
      <c r="BJ4003" s="559"/>
      <c r="BK4003" s="559"/>
      <c r="BL4003" s="559"/>
    </row>
    <row r="4004" spans="1:64">
      <c r="A4004" s="406"/>
      <c r="B4004" s="406"/>
      <c r="C4004" s="417" t="s">
        <v>1344</v>
      </c>
      <c r="D4004" s="459">
        <v>0.49</v>
      </c>
      <c r="E4004" s="458" t="s">
        <v>375</v>
      </c>
      <c r="F4004" s="459">
        <f>'[161]Civil-SOR'!$G$303</f>
        <v>550</v>
      </c>
      <c r="G4004" s="460">
        <v>1</v>
      </c>
      <c r="H4004" s="599" t="str">
        <f t="shared" si="903"/>
        <v>Each</v>
      </c>
      <c r="I4004" s="459">
        <f t="shared" si="904"/>
        <v>269.5</v>
      </c>
      <c r="J4004" s="462"/>
      <c r="K4004" s="463"/>
      <c r="L4004" s="463"/>
      <c r="M4004" s="559"/>
      <c r="N4004" s="559"/>
      <c r="O4004" s="559"/>
      <c r="P4004" s="559"/>
      <c r="Q4004" s="559"/>
      <c r="R4004" s="559"/>
      <c r="S4004" s="559"/>
      <c r="T4004" s="559"/>
      <c r="U4004" s="559"/>
      <c r="V4004" s="559"/>
      <c r="W4004" s="559"/>
      <c r="X4004" s="559"/>
      <c r="Y4004" s="559"/>
      <c r="Z4004" s="559"/>
      <c r="AA4004" s="559"/>
      <c r="AB4004" s="559"/>
      <c r="AC4004" s="559"/>
      <c r="AD4004" s="559"/>
      <c r="AE4004" s="559"/>
      <c r="AF4004" s="559"/>
      <c r="AG4004" s="559"/>
      <c r="AH4004" s="559"/>
      <c r="AI4004" s="559"/>
      <c r="AJ4004" s="559"/>
      <c r="AK4004" s="559"/>
      <c r="AL4004" s="559"/>
      <c r="AM4004" s="559"/>
      <c r="AN4004" s="559"/>
      <c r="AO4004" s="559"/>
      <c r="AP4004" s="559"/>
      <c r="AQ4004" s="559"/>
      <c r="AR4004" s="559"/>
      <c r="AS4004" s="559"/>
      <c r="AT4004" s="559"/>
      <c r="AU4004" s="559"/>
      <c r="AV4004" s="559"/>
      <c r="AW4004" s="559"/>
      <c r="AX4004" s="559"/>
      <c r="AY4004" s="559"/>
      <c r="AZ4004" s="559"/>
      <c r="BA4004" s="559"/>
      <c r="BB4004" s="559"/>
      <c r="BC4004" s="559"/>
      <c r="BD4004" s="559"/>
      <c r="BE4004" s="559"/>
      <c r="BF4004" s="559"/>
      <c r="BG4004" s="559"/>
      <c r="BH4004" s="559"/>
      <c r="BI4004" s="559"/>
      <c r="BJ4004" s="559"/>
      <c r="BK4004" s="559"/>
      <c r="BL4004" s="559"/>
    </row>
    <row r="4005" spans="1:64">
      <c r="A4005" s="406"/>
      <c r="B4005" s="406"/>
      <c r="C4005" s="417" t="s">
        <v>1379</v>
      </c>
      <c r="D4005" s="459">
        <v>0.8</v>
      </c>
      <c r="E4005" s="458" t="s">
        <v>1149</v>
      </c>
      <c r="F4005" s="459">
        <f>'[161]Civil-SOR'!$G$69</f>
        <v>236</v>
      </c>
      <c r="G4005" s="460">
        <v>1</v>
      </c>
      <c r="H4005" s="599" t="str">
        <f t="shared" si="903"/>
        <v>Ltrs</v>
      </c>
      <c r="I4005" s="459">
        <f t="shared" si="904"/>
        <v>188.8</v>
      </c>
      <c r="J4005" s="462"/>
      <c r="K4005" s="463"/>
      <c r="L4005" s="463"/>
      <c r="M4005" s="559"/>
      <c r="N4005" s="559"/>
      <c r="O4005" s="559"/>
      <c r="P4005" s="559"/>
      <c r="Q4005" s="559"/>
      <c r="R4005" s="559"/>
      <c r="S4005" s="559"/>
      <c r="T4005" s="559"/>
      <c r="U4005" s="559"/>
      <c r="V4005" s="559"/>
      <c r="W4005" s="559"/>
      <c r="X4005" s="559"/>
      <c r="Y4005" s="559"/>
      <c r="Z4005" s="559"/>
      <c r="AA4005" s="559"/>
      <c r="AB4005" s="559"/>
      <c r="AC4005" s="559"/>
      <c r="AD4005" s="559"/>
      <c r="AE4005" s="559"/>
      <c r="AF4005" s="559"/>
      <c r="AG4005" s="559"/>
      <c r="AH4005" s="559"/>
      <c r="AI4005" s="559"/>
      <c r="AJ4005" s="559"/>
      <c r="AK4005" s="559"/>
      <c r="AL4005" s="559"/>
      <c r="AM4005" s="559"/>
      <c r="AN4005" s="559"/>
      <c r="AO4005" s="559"/>
      <c r="AP4005" s="559"/>
      <c r="AQ4005" s="559"/>
      <c r="AR4005" s="559"/>
      <c r="AS4005" s="559"/>
      <c r="AT4005" s="559"/>
      <c r="AU4005" s="559"/>
      <c r="AV4005" s="559"/>
      <c r="AW4005" s="559"/>
      <c r="AX4005" s="559"/>
      <c r="AY4005" s="559"/>
      <c r="AZ4005" s="559"/>
      <c r="BA4005" s="559"/>
      <c r="BB4005" s="559"/>
      <c r="BC4005" s="559"/>
      <c r="BD4005" s="559"/>
      <c r="BE4005" s="559"/>
      <c r="BF4005" s="559"/>
      <c r="BG4005" s="559"/>
      <c r="BH4005" s="559"/>
      <c r="BI4005" s="559"/>
      <c r="BJ4005" s="559"/>
      <c r="BK4005" s="559"/>
      <c r="BL4005" s="559"/>
    </row>
    <row r="4006" spans="1:64">
      <c r="A4006" s="406"/>
      <c r="B4006" s="406"/>
      <c r="C4006" s="417" t="s">
        <v>1343</v>
      </c>
      <c r="D4006" s="459">
        <v>0.21</v>
      </c>
      <c r="E4006" s="458" t="s">
        <v>375</v>
      </c>
      <c r="F4006" s="459">
        <f>'[161]Civil-SOR'!$G$296</f>
        <v>665</v>
      </c>
      <c r="G4006" s="460">
        <v>1</v>
      </c>
      <c r="H4006" s="599" t="str">
        <f t="shared" si="903"/>
        <v>Each</v>
      </c>
      <c r="I4006" s="459">
        <f t="shared" si="904"/>
        <v>139.65</v>
      </c>
      <c r="J4006" s="462"/>
      <c r="K4006" s="463"/>
      <c r="L4006" s="463"/>
      <c r="M4006" s="559"/>
      <c r="N4006" s="559"/>
      <c r="O4006" s="559"/>
      <c r="P4006" s="559"/>
      <c r="Q4006" s="559"/>
      <c r="R4006" s="559"/>
      <c r="S4006" s="559"/>
      <c r="T4006" s="559"/>
      <c r="U4006" s="559"/>
      <c r="V4006" s="559"/>
      <c r="W4006" s="559"/>
      <c r="X4006" s="559"/>
      <c r="Y4006" s="559"/>
      <c r="Z4006" s="559"/>
      <c r="AA4006" s="559"/>
      <c r="AB4006" s="559"/>
      <c r="AC4006" s="559"/>
      <c r="AD4006" s="559"/>
      <c r="AE4006" s="559"/>
      <c r="AF4006" s="559"/>
      <c r="AG4006" s="559"/>
      <c r="AH4006" s="559"/>
      <c r="AI4006" s="559"/>
      <c r="AJ4006" s="559"/>
      <c r="AK4006" s="559"/>
      <c r="AL4006" s="559"/>
      <c r="AM4006" s="559"/>
      <c r="AN4006" s="559"/>
      <c r="AO4006" s="559"/>
      <c r="AP4006" s="559"/>
      <c r="AQ4006" s="559"/>
      <c r="AR4006" s="559"/>
      <c r="AS4006" s="559"/>
      <c r="AT4006" s="559"/>
      <c r="AU4006" s="559"/>
      <c r="AV4006" s="559"/>
      <c r="AW4006" s="559"/>
      <c r="AX4006" s="559"/>
      <c r="AY4006" s="559"/>
      <c r="AZ4006" s="559"/>
      <c r="BA4006" s="559"/>
      <c r="BB4006" s="559"/>
      <c r="BC4006" s="559"/>
      <c r="BD4006" s="559"/>
      <c r="BE4006" s="559"/>
      <c r="BF4006" s="559"/>
      <c r="BG4006" s="559"/>
      <c r="BH4006" s="559"/>
      <c r="BI4006" s="559"/>
      <c r="BJ4006" s="559"/>
      <c r="BK4006" s="559"/>
      <c r="BL4006" s="559"/>
    </row>
    <row r="4007" spans="1:64">
      <c r="A4007" s="406"/>
      <c r="B4007" s="406"/>
      <c r="C4007" s="417" t="s">
        <v>1344</v>
      </c>
      <c r="D4007" s="459">
        <v>0.49</v>
      </c>
      <c r="E4007" s="458" t="s">
        <v>375</v>
      </c>
      <c r="F4007" s="459">
        <f>'[161]Civil-SOR'!$G$303</f>
        <v>550</v>
      </c>
      <c r="G4007" s="460">
        <v>1</v>
      </c>
      <c r="H4007" s="599" t="str">
        <f t="shared" si="903"/>
        <v>Each</v>
      </c>
      <c r="I4007" s="459">
        <f t="shared" si="904"/>
        <v>269.5</v>
      </c>
      <c r="J4007" s="462"/>
      <c r="K4007" s="463"/>
      <c r="L4007" s="463"/>
      <c r="M4007" s="559"/>
      <c r="N4007" s="559"/>
      <c r="O4007" s="559"/>
      <c r="P4007" s="559"/>
      <c r="Q4007" s="559"/>
      <c r="R4007" s="559"/>
      <c r="S4007" s="559"/>
      <c r="T4007" s="559"/>
      <c r="U4007" s="559"/>
      <c r="V4007" s="559"/>
      <c r="W4007" s="559"/>
      <c r="X4007" s="559"/>
      <c r="Y4007" s="559"/>
      <c r="Z4007" s="559"/>
      <c r="AA4007" s="559"/>
      <c r="AB4007" s="559"/>
      <c r="AC4007" s="559"/>
      <c r="AD4007" s="559"/>
      <c r="AE4007" s="559"/>
      <c r="AF4007" s="559"/>
      <c r="AG4007" s="559"/>
      <c r="AH4007" s="559"/>
      <c r="AI4007" s="559"/>
      <c r="AJ4007" s="559"/>
      <c r="AK4007" s="559"/>
      <c r="AL4007" s="559"/>
      <c r="AM4007" s="559"/>
      <c r="AN4007" s="559"/>
      <c r="AO4007" s="559"/>
      <c r="AP4007" s="559"/>
      <c r="AQ4007" s="559"/>
      <c r="AR4007" s="559"/>
      <c r="AS4007" s="559"/>
      <c r="AT4007" s="559"/>
      <c r="AU4007" s="559"/>
      <c r="AV4007" s="559"/>
      <c r="AW4007" s="559"/>
      <c r="AX4007" s="559"/>
      <c r="AY4007" s="559"/>
      <c r="AZ4007" s="559"/>
      <c r="BA4007" s="559"/>
      <c r="BB4007" s="559"/>
      <c r="BC4007" s="559"/>
      <c r="BD4007" s="559"/>
      <c r="BE4007" s="559"/>
      <c r="BF4007" s="559"/>
      <c r="BG4007" s="559"/>
      <c r="BH4007" s="559"/>
      <c r="BI4007" s="559"/>
      <c r="BJ4007" s="559"/>
      <c r="BK4007" s="559"/>
      <c r="BL4007" s="559"/>
    </row>
    <row r="4008" spans="1:64">
      <c r="A4008" s="406"/>
      <c r="B4008" s="406"/>
      <c r="C4008" s="417" t="s">
        <v>1353</v>
      </c>
      <c r="D4008" s="459">
        <v>1.5</v>
      </c>
      <c r="E4008" s="458" t="s">
        <v>375</v>
      </c>
      <c r="F4008" s="459">
        <f>'[161]Civil-SOR'!$G$307</f>
        <v>520</v>
      </c>
      <c r="G4008" s="460">
        <v>1</v>
      </c>
      <c r="H4008" s="599" t="str">
        <f t="shared" si="903"/>
        <v>Each</v>
      </c>
      <c r="I4008" s="459">
        <f t="shared" si="904"/>
        <v>780</v>
      </c>
      <c r="J4008" s="462"/>
      <c r="K4008" s="463"/>
      <c r="L4008" s="463"/>
      <c r="M4008" s="559"/>
      <c r="N4008" s="559"/>
      <c r="O4008" s="559"/>
      <c r="P4008" s="559"/>
      <c r="Q4008" s="559"/>
      <c r="R4008" s="559"/>
      <c r="S4008" s="559"/>
      <c r="T4008" s="559"/>
      <c r="U4008" s="559"/>
      <c r="V4008" s="559"/>
      <c r="W4008" s="559"/>
      <c r="X4008" s="559"/>
      <c r="Y4008" s="559"/>
      <c r="Z4008" s="559"/>
      <c r="AA4008" s="559"/>
      <c r="AB4008" s="559"/>
      <c r="AC4008" s="559"/>
      <c r="AD4008" s="559"/>
      <c r="AE4008" s="559"/>
      <c r="AF4008" s="559"/>
      <c r="AG4008" s="559"/>
      <c r="AH4008" s="559"/>
      <c r="AI4008" s="559"/>
      <c r="AJ4008" s="559"/>
      <c r="AK4008" s="559"/>
      <c r="AL4008" s="559"/>
      <c r="AM4008" s="559"/>
      <c r="AN4008" s="559"/>
      <c r="AO4008" s="559"/>
      <c r="AP4008" s="559"/>
      <c r="AQ4008" s="559"/>
      <c r="AR4008" s="559"/>
      <c r="AS4008" s="559"/>
      <c r="AT4008" s="559"/>
      <c r="AU4008" s="559"/>
      <c r="AV4008" s="559"/>
      <c r="AW4008" s="559"/>
      <c r="AX4008" s="559"/>
      <c r="AY4008" s="559"/>
      <c r="AZ4008" s="559"/>
      <c r="BA4008" s="559"/>
      <c r="BB4008" s="559"/>
      <c r="BC4008" s="559"/>
      <c r="BD4008" s="559"/>
      <c r="BE4008" s="559"/>
      <c r="BF4008" s="559"/>
      <c r="BG4008" s="559"/>
      <c r="BH4008" s="559"/>
      <c r="BI4008" s="559"/>
      <c r="BJ4008" s="559"/>
      <c r="BK4008" s="559"/>
      <c r="BL4008" s="559"/>
    </row>
    <row r="4009" spans="1:64">
      <c r="A4009" s="406"/>
      <c r="B4009" s="406"/>
      <c r="C4009" s="417" t="str">
        <f>[161]Input!$C$47</f>
        <v>Add for MA @ 40%</v>
      </c>
      <c r="D4009" s="622">
        <f>[161]Input!$D$47</f>
        <v>0.4</v>
      </c>
      <c r="E4009" s="458"/>
      <c r="F4009" s="459">
        <f>SUM(I4003:I4004)+SUM(I4006:I4008)</f>
        <v>1598.3000000000002</v>
      </c>
      <c r="G4009" s="431"/>
      <c r="H4009" s="406"/>
      <c r="I4009" s="459">
        <f t="shared" si="904"/>
        <v>639.32000000000016</v>
      </c>
      <c r="J4009" s="462"/>
      <c r="K4009" s="463"/>
      <c r="L4009" s="463"/>
      <c r="M4009" s="559"/>
      <c r="N4009" s="559"/>
      <c r="O4009" s="559"/>
      <c r="P4009" s="559"/>
      <c r="Q4009" s="559"/>
      <c r="R4009" s="559"/>
      <c r="S4009" s="559"/>
      <c r="T4009" s="559"/>
      <c r="U4009" s="559"/>
      <c r="V4009" s="559"/>
      <c r="W4009" s="559"/>
      <c r="X4009" s="559"/>
      <c r="Y4009" s="559"/>
      <c r="Z4009" s="559"/>
      <c r="AA4009" s="559"/>
      <c r="AB4009" s="559"/>
      <c r="AC4009" s="559"/>
      <c r="AD4009" s="559"/>
      <c r="AE4009" s="559"/>
      <c r="AF4009" s="559"/>
      <c r="AG4009" s="559"/>
      <c r="AH4009" s="559"/>
      <c r="AI4009" s="559"/>
      <c r="AJ4009" s="559"/>
      <c r="AK4009" s="559"/>
      <c r="AL4009" s="559"/>
      <c r="AM4009" s="559"/>
      <c r="AN4009" s="559"/>
      <c r="AO4009" s="559"/>
      <c r="AP4009" s="559"/>
      <c r="AQ4009" s="559"/>
      <c r="AR4009" s="559"/>
      <c r="AS4009" s="559"/>
      <c r="AT4009" s="559"/>
      <c r="AU4009" s="559"/>
      <c r="AV4009" s="559"/>
      <c r="AW4009" s="559"/>
      <c r="AX4009" s="559"/>
      <c r="AY4009" s="559"/>
      <c r="AZ4009" s="559"/>
      <c r="BA4009" s="559"/>
      <c r="BB4009" s="559"/>
      <c r="BC4009" s="559"/>
      <c r="BD4009" s="559"/>
      <c r="BE4009" s="559"/>
      <c r="BF4009" s="559"/>
      <c r="BG4009" s="559"/>
      <c r="BH4009" s="559"/>
      <c r="BI4009" s="559"/>
      <c r="BJ4009" s="559"/>
      <c r="BK4009" s="559"/>
      <c r="BL4009" s="559"/>
    </row>
    <row r="4010" spans="1:64" ht="25">
      <c r="A4010" s="406"/>
      <c r="B4010" s="406"/>
      <c r="C4010" s="417" t="s">
        <v>1345</v>
      </c>
      <c r="D4010" s="406">
        <v>0.01</v>
      </c>
      <c r="E4010" s="406"/>
      <c r="F4010" s="432">
        <f>SUM(I4002:I4009)</f>
        <v>2647.42</v>
      </c>
      <c r="G4010" s="406"/>
      <c r="H4010" s="406"/>
      <c r="I4010" s="459"/>
      <c r="J4010" s="462"/>
      <c r="K4010" s="463"/>
      <c r="L4010" s="463"/>
      <c r="M4010" s="559"/>
      <c r="N4010" s="559"/>
      <c r="O4010" s="559"/>
      <c r="P4010" s="559"/>
      <c r="Q4010" s="559"/>
      <c r="R4010" s="559"/>
      <c r="S4010" s="559"/>
      <c r="T4010" s="559"/>
      <c r="U4010" s="559"/>
      <c r="V4010" s="559"/>
      <c r="W4010" s="559"/>
      <c r="X4010" s="559"/>
      <c r="Y4010" s="559"/>
      <c r="Z4010" s="559"/>
      <c r="AA4010" s="559"/>
      <c r="AB4010" s="559"/>
      <c r="AC4010" s="559"/>
      <c r="AD4010" s="559"/>
      <c r="AE4010" s="559"/>
      <c r="AF4010" s="559"/>
      <c r="AG4010" s="559"/>
      <c r="AH4010" s="559"/>
      <c r="AI4010" s="559"/>
      <c r="AJ4010" s="559"/>
      <c r="AK4010" s="559"/>
      <c r="AL4010" s="559"/>
      <c r="AM4010" s="559"/>
      <c r="AN4010" s="559"/>
      <c r="AO4010" s="559"/>
      <c r="AP4010" s="559"/>
      <c r="AQ4010" s="559"/>
      <c r="AR4010" s="559"/>
      <c r="AS4010" s="559"/>
      <c r="AT4010" s="559"/>
      <c r="AU4010" s="559"/>
      <c r="AV4010" s="559"/>
      <c r="AW4010" s="559"/>
      <c r="AX4010" s="559"/>
      <c r="AY4010" s="559"/>
      <c r="AZ4010" s="559"/>
      <c r="BA4010" s="559"/>
      <c r="BB4010" s="559"/>
      <c r="BC4010" s="559"/>
      <c r="BD4010" s="559"/>
      <c r="BE4010" s="559"/>
      <c r="BF4010" s="559"/>
      <c r="BG4010" s="559"/>
      <c r="BH4010" s="559"/>
      <c r="BI4010" s="559"/>
      <c r="BJ4010" s="559"/>
      <c r="BK4010" s="559"/>
      <c r="BL4010" s="559"/>
    </row>
    <row r="4011" spans="1:64">
      <c r="A4011" s="426"/>
      <c r="B4011" s="426"/>
      <c r="C4011" s="417" t="s">
        <v>1163</v>
      </c>
      <c r="D4011" s="406">
        <v>10</v>
      </c>
      <c r="E4011" s="406" t="s">
        <v>17</v>
      </c>
      <c r="F4011" s="432">
        <f>'[161]Civil-SOR'!$F$233</f>
        <v>1.17</v>
      </c>
      <c r="G4011" s="406">
        <v>1</v>
      </c>
      <c r="H4011" s="406" t="s">
        <v>17</v>
      </c>
      <c r="I4011" s="408">
        <f t="shared" ref="I4011:I4013" si="905">IF(G4011="",D4011*F4011,(D4011*F4011/G4011))</f>
        <v>11.7</v>
      </c>
      <c r="J4011" s="400"/>
      <c r="K4011" s="401"/>
      <c r="L4011" s="401"/>
    </row>
    <row r="4012" spans="1:64">
      <c r="A4012" s="426"/>
      <c r="B4012" s="426"/>
      <c r="C4012" s="417" t="s">
        <v>1164</v>
      </c>
      <c r="D4012" s="406">
        <v>10</v>
      </c>
      <c r="E4012" s="406" t="s">
        <v>17</v>
      </c>
      <c r="F4012" s="432">
        <f>'[161]Civil-SOR'!$G$233</f>
        <v>9.43</v>
      </c>
      <c r="G4012" s="406">
        <v>1</v>
      </c>
      <c r="H4012" s="406" t="s">
        <v>17</v>
      </c>
      <c r="I4012" s="408">
        <f t="shared" si="905"/>
        <v>94.3</v>
      </c>
      <c r="J4012" s="400"/>
      <c r="K4012" s="401"/>
      <c r="L4012" s="401"/>
    </row>
    <row r="4013" spans="1:64">
      <c r="A4013" s="426"/>
      <c r="B4013" s="426"/>
      <c r="C4013" s="417" t="str">
        <f>[161]Input!$C$47</f>
        <v>Add for MA @ 40%</v>
      </c>
      <c r="D4013" s="621">
        <f>[161]Input!$D$47</f>
        <v>0.4</v>
      </c>
      <c r="E4013" s="454"/>
      <c r="F4013" s="408">
        <f>I4012</f>
        <v>94.3</v>
      </c>
      <c r="G4013" s="410"/>
      <c r="H4013" s="426"/>
      <c r="I4013" s="408">
        <f t="shared" si="905"/>
        <v>37.72</v>
      </c>
      <c r="J4013" s="400"/>
      <c r="K4013" s="401"/>
      <c r="L4013" s="401"/>
    </row>
    <row r="4014" spans="1:64">
      <c r="A4014" s="426"/>
      <c r="B4014" s="426"/>
      <c r="C4014" s="417"/>
      <c r="D4014" s="621"/>
      <c r="E4014" s="454"/>
      <c r="F4014" s="408"/>
      <c r="G4014" s="410"/>
      <c r="H4014" s="426"/>
      <c r="I4014" s="408">
        <f>SUM(I4002:I4013)</f>
        <v>2791.14</v>
      </c>
      <c r="J4014" s="400"/>
      <c r="K4014" s="401"/>
      <c r="L4014" s="401"/>
    </row>
    <row r="4015" spans="1:64" ht="25">
      <c r="A4015" s="426"/>
      <c r="B4015" s="426"/>
      <c r="C4015" s="417" t="str">
        <f>[161]Input!$C$48</f>
        <v>Overheads &amp; Contractors Profit @ 13.615%</v>
      </c>
      <c r="D4015" s="467">
        <f>[161]Input!$D$48</f>
        <v>0.13614999999999999</v>
      </c>
      <c r="E4015" s="408"/>
      <c r="F4015" s="408">
        <f>I4014</f>
        <v>2791.14</v>
      </c>
      <c r="G4015" s="430"/>
      <c r="H4015" s="426"/>
      <c r="I4015" s="408">
        <f>IF(G4015="",D4015*F4015,(D4015*F4015/G4015))</f>
        <v>380.01371099999994</v>
      </c>
      <c r="J4015" s="400"/>
      <c r="K4015" s="401"/>
      <c r="L4015" s="401"/>
    </row>
    <row r="4016" spans="1:64" ht="13">
      <c r="A4016" s="426"/>
      <c r="B4016" s="426"/>
      <c r="C4016" s="427" t="s">
        <v>741</v>
      </c>
      <c r="D4016" s="406"/>
      <c r="E4016" s="406"/>
      <c r="F4016" s="432"/>
      <c r="G4016" s="406"/>
      <c r="H4016" s="406"/>
      <c r="I4016" s="408">
        <f>SUM(I4014:I4015)</f>
        <v>3171.1537109999999</v>
      </c>
      <c r="J4016" s="400"/>
      <c r="K4016" s="401"/>
      <c r="L4016" s="401"/>
    </row>
    <row r="4017" spans="1:12" ht="13">
      <c r="A4017" s="426"/>
      <c r="B4017" s="426"/>
      <c r="C4017" s="427" t="s">
        <v>742</v>
      </c>
      <c r="D4017" s="406"/>
      <c r="E4017" s="406"/>
      <c r="F4017" s="432"/>
      <c r="G4017" s="406"/>
      <c r="H4017" s="406"/>
      <c r="I4017" s="432">
        <f>I4016/10</f>
        <v>317.1153711</v>
      </c>
      <c r="J4017" s="400"/>
      <c r="K4017" s="401"/>
      <c r="L4017" s="401"/>
    </row>
    <row r="4018" spans="1:12" ht="13">
      <c r="A4018" s="426"/>
      <c r="B4018" s="426"/>
      <c r="C4018" s="469"/>
      <c r="D4018" s="408"/>
      <c r="E4018" s="454"/>
      <c r="F4018" s="408"/>
      <c r="G4018" s="430"/>
      <c r="H4018" s="415" t="s">
        <v>774</v>
      </c>
      <c r="I4018" s="414">
        <f>ROUND(I4017,0)</f>
        <v>317</v>
      </c>
      <c r="J4018" s="400"/>
      <c r="K4018" s="401"/>
      <c r="L4018" s="401"/>
    </row>
    <row r="4019" spans="1:12" ht="13">
      <c r="A4019" s="426"/>
      <c r="B4019" s="426"/>
      <c r="C4019" s="427"/>
      <c r="D4019" s="408"/>
      <c r="E4019" s="454"/>
      <c r="F4019" s="408"/>
      <c r="G4019" s="430"/>
      <c r="H4019" s="415"/>
      <c r="I4019" s="414"/>
      <c r="J4019" s="400"/>
      <c r="K4019" s="401"/>
      <c r="L4019" s="401"/>
    </row>
    <row r="4020" spans="1:12" ht="89.65" customHeight="1">
      <c r="A4020" s="454">
        <f>A3998+1</f>
        <v>13</v>
      </c>
      <c r="B4020" s="454"/>
      <c r="C4020" s="1276" t="s">
        <v>1380</v>
      </c>
      <c r="D4020" s="1276"/>
      <c r="E4020" s="1276"/>
      <c r="F4020" s="1276"/>
      <c r="G4020" s="1276"/>
      <c r="H4020" s="1276"/>
      <c r="I4020" s="407"/>
      <c r="J4020" s="400"/>
      <c r="K4020" s="401"/>
      <c r="L4020" s="401"/>
    </row>
    <row r="4021" spans="1:12" ht="13">
      <c r="A4021" s="454"/>
      <c r="B4021" s="454"/>
      <c r="C4021" s="455" t="s">
        <v>1381</v>
      </c>
      <c r="D4021" s="426"/>
      <c r="E4021" s="426"/>
      <c r="F4021" s="426"/>
      <c r="G4021" s="426"/>
      <c r="H4021" s="426"/>
      <c r="I4021" s="409"/>
      <c r="J4021" s="400"/>
      <c r="K4021" s="401"/>
      <c r="L4021" s="401"/>
    </row>
    <row r="4022" spans="1:12">
      <c r="A4022" s="454"/>
      <c r="B4022" s="454"/>
      <c r="C4022" s="417" t="s">
        <v>1382</v>
      </c>
      <c r="D4022" s="406">
        <v>1</v>
      </c>
      <c r="E4022" s="406" t="s">
        <v>312</v>
      </c>
      <c r="F4022" s="432">
        <f>'[161]Civil-SOR'!$G$61</f>
        <v>167</v>
      </c>
      <c r="G4022" s="431">
        <v>1</v>
      </c>
      <c r="H4022" s="406" t="s">
        <v>312</v>
      </c>
      <c r="I4022" s="408">
        <f>IF(G4022="",D4022*F4022,(D4022*F4022/G4022))</f>
        <v>167</v>
      </c>
      <c r="J4022" s="400"/>
      <c r="K4022" s="401"/>
      <c r="L4022" s="401"/>
    </row>
    <row r="4023" spans="1:12" ht="13">
      <c r="A4023" s="454"/>
      <c r="B4023" s="454"/>
      <c r="C4023" s="427" t="s">
        <v>1383</v>
      </c>
      <c r="D4023" s="408"/>
      <c r="E4023" s="454"/>
      <c r="F4023" s="408"/>
      <c r="G4023" s="430"/>
      <c r="H4023" s="454"/>
      <c r="I4023" s="408"/>
      <c r="J4023" s="400"/>
      <c r="K4023" s="401"/>
      <c r="L4023" s="401"/>
    </row>
    <row r="4024" spans="1:12">
      <c r="A4024" s="454"/>
      <c r="B4024" s="454"/>
      <c r="C4024" s="417" t="s">
        <v>1384</v>
      </c>
      <c r="D4024" s="408">
        <v>0.7</v>
      </c>
      <c r="E4024" s="454" t="s">
        <v>1361</v>
      </c>
      <c r="F4024" s="408">
        <f>'[161]Civil-SOR'!$G$60</f>
        <v>167</v>
      </c>
      <c r="G4024" s="430">
        <v>1</v>
      </c>
      <c r="H4024" s="456" t="str">
        <f t="shared" ref="H4024:H4026" si="906">IF(E4024="","",IF(E4024="No.","Each",IF(E4024="Nos.","Each",E4024)))</f>
        <v>Ltr</v>
      </c>
      <c r="I4024" s="408">
        <f t="shared" ref="I4024:I4026" si="907">IF(G4024="",D4024*F4024,(D4024*F4024/G4024))</f>
        <v>116.89999999999999</v>
      </c>
      <c r="J4024" s="400"/>
      <c r="K4024" s="401"/>
      <c r="L4024" s="401"/>
    </row>
    <row r="4025" spans="1:12">
      <c r="A4025" s="454"/>
      <c r="B4025" s="454"/>
      <c r="C4025" s="417" t="s">
        <v>1385</v>
      </c>
      <c r="D4025" s="408">
        <v>0.21</v>
      </c>
      <c r="E4025" s="454" t="s">
        <v>375</v>
      </c>
      <c r="F4025" s="408">
        <f>'[161]Civil-SOR'!$G$296</f>
        <v>665</v>
      </c>
      <c r="G4025" s="430">
        <v>1</v>
      </c>
      <c r="H4025" s="456" t="str">
        <f t="shared" si="906"/>
        <v>Each</v>
      </c>
      <c r="I4025" s="408">
        <f t="shared" si="907"/>
        <v>139.65</v>
      </c>
      <c r="J4025" s="400"/>
      <c r="K4025" s="401"/>
      <c r="L4025" s="401"/>
    </row>
    <row r="4026" spans="1:12">
      <c r="A4026" s="454"/>
      <c r="B4026" s="454"/>
      <c r="C4026" s="417" t="s">
        <v>1386</v>
      </c>
      <c r="D4026" s="408">
        <v>0.49</v>
      </c>
      <c r="E4026" s="454" t="s">
        <v>375</v>
      </c>
      <c r="F4026" s="408">
        <f>'[161]Civil-SOR'!$G$303</f>
        <v>550</v>
      </c>
      <c r="G4026" s="430">
        <v>1</v>
      </c>
      <c r="H4026" s="456" t="str">
        <f t="shared" si="906"/>
        <v>Each</v>
      </c>
      <c r="I4026" s="408">
        <f t="shared" si="907"/>
        <v>269.5</v>
      </c>
      <c r="J4026" s="400"/>
      <c r="K4026" s="401"/>
      <c r="L4026" s="401"/>
    </row>
    <row r="4027" spans="1:12" ht="13">
      <c r="A4027" s="454"/>
      <c r="B4027" s="454"/>
      <c r="C4027" s="427" t="s">
        <v>1387</v>
      </c>
      <c r="D4027" s="408"/>
      <c r="E4027" s="454"/>
      <c r="F4027" s="408"/>
      <c r="G4027" s="430"/>
      <c r="H4027" s="454"/>
      <c r="I4027" s="408"/>
      <c r="J4027" s="400"/>
      <c r="K4027" s="401"/>
      <c r="L4027" s="401"/>
    </row>
    <row r="4028" spans="1:12">
      <c r="A4028" s="454"/>
      <c r="B4028" s="454"/>
      <c r="C4028" s="417" t="s">
        <v>1388</v>
      </c>
      <c r="D4028" s="408">
        <v>1.2</v>
      </c>
      <c r="E4028" s="454" t="s">
        <v>1361</v>
      </c>
      <c r="F4028" s="408">
        <f>'[161]Civil-SOR'!$G$71</f>
        <v>221</v>
      </c>
      <c r="G4028" s="430">
        <v>1</v>
      </c>
      <c r="H4028" s="456" t="str">
        <f t="shared" ref="H4028:H4030" si="908">IF(E4028="","",IF(E4028="No.","Each",IF(E4028="Nos.","Each",E4028)))</f>
        <v>Ltr</v>
      </c>
      <c r="I4028" s="408">
        <f t="shared" ref="I4028:I4031" si="909">IF(G4028="",D4028*F4028,(D4028*F4028/G4028))</f>
        <v>265.2</v>
      </c>
      <c r="J4028" s="400"/>
      <c r="K4028" s="401"/>
      <c r="L4028" s="401"/>
    </row>
    <row r="4029" spans="1:12">
      <c r="A4029" s="454"/>
      <c r="B4029" s="454"/>
      <c r="C4029" s="417" t="s">
        <v>1385</v>
      </c>
      <c r="D4029" s="408">
        <v>0.36</v>
      </c>
      <c r="E4029" s="454" t="s">
        <v>375</v>
      </c>
      <c r="F4029" s="408">
        <f>'[161]Civil-SOR'!$G$296</f>
        <v>665</v>
      </c>
      <c r="G4029" s="430">
        <v>1</v>
      </c>
      <c r="H4029" s="456" t="str">
        <f t="shared" si="908"/>
        <v>Each</v>
      </c>
      <c r="I4029" s="408">
        <f t="shared" si="909"/>
        <v>239.39999999999998</v>
      </c>
      <c r="J4029" s="400"/>
      <c r="K4029" s="401"/>
      <c r="L4029" s="401"/>
    </row>
    <row r="4030" spans="1:12">
      <c r="A4030" s="454"/>
      <c r="B4030" s="454"/>
      <c r="C4030" s="417" t="s">
        <v>1386</v>
      </c>
      <c r="D4030" s="408">
        <v>0.84</v>
      </c>
      <c r="E4030" s="454" t="s">
        <v>375</v>
      </c>
      <c r="F4030" s="408">
        <f>'[161]Civil-SOR'!$G$303</f>
        <v>550</v>
      </c>
      <c r="G4030" s="430">
        <v>1</v>
      </c>
      <c r="H4030" s="456" t="str">
        <f t="shared" si="908"/>
        <v>Each</v>
      </c>
      <c r="I4030" s="408">
        <f t="shared" si="909"/>
        <v>462</v>
      </c>
      <c r="J4030" s="400"/>
      <c r="K4030" s="401"/>
      <c r="L4030" s="401"/>
    </row>
    <row r="4031" spans="1:12">
      <c r="A4031" s="454"/>
      <c r="B4031" s="454"/>
      <c r="C4031" s="417" t="str">
        <f>[161]Input!$C$47</f>
        <v>Add for MA @ 40%</v>
      </c>
      <c r="D4031" s="621">
        <f>[161]Input!$D$47</f>
        <v>0.4</v>
      </c>
      <c r="E4031" s="454"/>
      <c r="F4031" s="408">
        <f>SUM($I$4029:$I$4030)+SUM($I$4025:$I$4026)</f>
        <v>1110.55</v>
      </c>
      <c r="G4031" s="410"/>
      <c r="H4031" s="426"/>
      <c r="I4031" s="408">
        <f t="shared" si="909"/>
        <v>444.22</v>
      </c>
      <c r="J4031" s="400"/>
      <c r="K4031" s="401"/>
      <c r="L4031" s="401"/>
    </row>
    <row r="4032" spans="1:12" ht="25">
      <c r="A4032" s="454"/>
      <c r="B4032" s="454"/>
      <c r="C4032" s="417" t="s">
        <v>1389</v>
      </c>
      <c r="D4032" s="406">
        <v>0.01</v>
      </c>
      <c r="E4032" s="406"/>
      <c r="F4032" s="432">
        <f>SUM(I4022:I4031)</f>
        <v>2103.87</v>
      </c>
      <c r="G4032" s="406"/>
      <c r="H4032" s="406"/>
      <c r="I4032" s="408"/>
      <c r="J4032" s="400"/>
      <c r="K4032" s="401"/>
      <c r="L4032" s="401"/>
    </row>
    <row r="4033" spans="1:64" ht="13">
      <c r="A4033" s="454"/>
      <c r="B4033" s="454"/>
      <c r="C4033" s="417"/>
      <c r="D4033" s="406"/>
      <c r="E4033" s="406"/>
      <c r="F4033" s="432"/>
      <c r="G4033" s="406"/>
      <c r="H4033" s="406"/>
      <c r="I4033" s="414">
        <f>SUM(I4022:I4032)</f>
        <v>2103.87</v>
      </c>
      <c r="J4033" s="400"/>
      <c r="K4033" s="401"/>
      <c r="L4033" s="401"/>
    </row>
    <row r="4034" spans="1:64" ht="25">
      <c r="A4034" s="454"/>
      <c r="B4034" s="454"/>
      <c r="C4034" s="417" t="str">
        <f>[161]Input!$C$48</f>
        <v>Overheads &amp; Contractors Profit @ 13.615%</v>
      </c>
      <c r="D4034" s="467">
        <f>[161]Input!$D$48</f>
        <v>0.13614999999999999</v>
      </c>
      <c r="E4034" s="408"/>
      <c r="F4034" s="408">
        <f>I4033</f>
        <v>2103.87</v>
      </c>
      <c r="G4034" s="430"/>
      <c r="H4034" s="426"/>
      <c r="I4034" s="408">
        <f>IF(G4034="",D4034*F4034,(D4034*F4034/G4034))</f>
        <v>286.44190049999997</v>
      </c>
      <c r="J4034" s="400"/>
      <c r="K4034" s="401"/>
      <c r="L4034" s="401"/>
    </row>
    <row r="4035" spans="1:64" ht="13">
      <c r="A4035" s="454"/>
      <c r="B4035" s="454"/>
      <c r="C4035" s="427" t="s">
        <v>741</v>
      </c>
      <c r="D4035" s="408"/>
      <c r="E4035" s="454"/>
      <c r="F4035" s="408"/>
      <c r="G4035" s="430"/>
      <c r="H4035" s="415"/>
      <c r="I4035" s="408">
        <f>SUM(I4033:I4034)</f>
        <v>2390.3119004999999</v>
      </c>
      <c r="J4035" s="400"/>
      <c r="K4035" s="401"/>
      <c r="L4035" s="401"/>
    </row>
    <row r="4036" spans="1:64" ht="13">
      <c r="A4036" s="454"/>
      <c r="B4036" s="454"/>
      <c r="C4036" s="427" t="s">
        <v>742</v>
      </c>
      <c r="D4036" s="408"/>
      <c r="E4036" s="454"/>
      <c r="F4036" s="408"/>
      <c r="G4036" s="430"/>
      <c r="H4036" s="406"/>
      <c r="I4036" s="432">
        <f>I4035/10</f>
        <v>239.03119004999999</v>
      </c>
      <c r="J4036" s="400"/>
      <c r="K4036" s="401"/>
      <c r="L4036" s="401"/>
    </row>
    <row r="4037" spans="1:64" ht="13">
      <c r="A4037" s="454"/>
      <c r="B4037" s="454"/>
      <c r="C4037" s="427"/>
      <c r="D4037" s="408"/>
      <c r="E4037" s="454"/>
      <c r="F4037" s="408"/>
      <c r="G4037" s="430"/>
      <c r="H4037" s="415" t="s">
        <v>774</v>
      </c>
      <c r="I4037" s="414">
        <f>ROUND(I4036,0)</f>
        <v>239</v>
      </c>
      <c r="J4037" s="400"/>
      <c r="K4037" s="401"/>
      <c r="L4037" s="401"/>
    </row>
    <row r="4038" spans="1:64" ht="13">
      <c r="A4038" s="454"/>
      <c r="B4038" s="454"/>
      <c r="C4038" s="427"/>
      <c r="D4038" s="408"/>
      <c r="E4038" s="454"/>
      <c r="F4038" s="408"/>
      <c r="G4038" s="430"/>
      <c r="H4038" s="415"/>
      <c r="I4038" s="414"/>
      <c r="J4038" s="400"/>
      <c r="K4038" s="401"/>
      <c r="L4038" s="401"/>
    </row>
    <row r="4039" spans="1:64" ht="70.150000000000006" customHeight="1">
      <c r="A4039" s="454">
        <f>A4020+1</f>
        <v>14</v>
      </c>
      <c r="B4039" s="454"/>
      <c r="C4039" s="1276" t="s">
        <v>1390</v>
      </c>
      <c r="D4039" s="1276"/>
      <c r="E4039" s="1276"/>
      <c r="F4039" s="1276"/>
      <c r="G4039" s="1276"/>
      <c r="H4039" s="1276"/>
      <c r="I4039" s="407"/>
      <c r="J4039" s="400"/>
      <c r="K4039" s="401"/>
      <c r="L4039" s="401"/>
    </row>
    <row r="4040" spans="1:64" ht="13">
      <c r="A4040" s="454"/>
      <c r="B4040" s="454"/>
      <c r="C4040" s="455" t="s">
        <v>1391</v>
      </c>
      <c r="D4040" s="426"/>
      <c r="E4040" s="426"/>
      <c r="F4040" s="426"/>
      <c r="G4040" s="426"/>
      <c r="H4040" s="426"/>
      <c r="I4040" s="409"/>
      <c r="J4040" s="400"/>
      <c r="K4040" s="401"/>
      <c r="L4040" s="401"/>
    </row>
    <row r="4041" spans="1:64" ht="25">
      <c r="A4041" s="454"/>
      <c r="B4041" s="454"/>
      <c r="C4041" s="417" t="s">
        <v>1392</v>
      </c>
      <c r="D4041" s="408">
        <v>1.1000000000000001</v>
      </c>
      <c r="E4041" s="454" t="s">
        <v>1361</v>
      </c>
      <c r="F4041" s="408">
        <f>'[161]Civil-SOR'!$G$71</f>
        <v>221</v>
      </c>
      <c r="G4041" s="430">
        <v>1</v>
      </c>
      <c r="H4041" s="456" t="str">
        <f t="shared" ref="H4041:H4043" si="910">IF(E4041="","",IF(E4041="No.","Each",IF(E4041="Nos.","Each",E4041)))</f>
        <v>Ltr</v>
      </c>
      <c r="I4041" s="408">
        <f t="shared" ref="I4041:I4044" si="911">IF(G4041="",D4041*F4041,(D4041*F4041/G4041))</f>
        <v>243.10000000000002</v>
      </c>
      <c r="J4041" s="400"/>
      <c r="K4041" s="401"/>
      <c r="L4041" s="401"/>
    </row>
    <row r="4042" spans="1:64">
      <c r="A4042" s="454"/>
      <c r="B4042" s="454"/>
      <c r="C4042" s="417" t="s">
        <v>1385</v>
      </c>
      <c r="D4042" s="408">
        <v>0.36</v>
      </c>
      <c r="E4042" s="454" t="s">
        <v>375</v>
      </c>
      <c r="F4042" s="408">
        <f>'[161]Civil-SOR'!$G$296</f>
        <v>665</v>
      </c>
      <c r="G4042" s="430">
        <v>1</v>
      </c>
      <c r="H4042" s="456" t="str">
        <f t="shared" si="910"/>
        <v>Each</v>
      </c>
      <c r="I4042" s="408">
        <f t="shared" si="911"/>
        <v>239.39999999999998</v>
      </c>
      <c r="J4042" s="400"/>
      <c r="K4042" s="401"/>
      <c r="L4042" s="401"/>
    </row>
    <row r="4043" spans="1:64">
      <c r="A4043" s="454"/>
      <c r="B4043" s="454"/>
      <c r="C4043" s="417" t="s">
        <v>1386</v>
      </c>
      <c r="D4043" s="408">
        <v>0.84</v>
      </c>
      <c r="E4043" s="454" t="s">
        <v>375</v>
      </c>
      <c r="F4043" s="408">
        <f>'[161]Civil-SOR'!$G$303</f>
        <v>550</v>
      </c>
      <c r="G4043" s="430">
        <v>1</v>
      </c>
      <c r="H4043" s="456" t="str">
        <f t="shared" si="910"/>
        <v>Each</v>
      </c>
      <c r="I4043" s="408">
        <f t="shared" si="911"/>
        <v>462</v>
      </c>
      <c r="J4043" s="400"/>
      <c r="K4043" s="401"/>
      <c r="L4043" s="401"/>
    </row>
    <row r="4044" spans="1:64">
      <c r="A4044" s="454"/>
      <c r="B4044" s="454"/>
      <c r="C4044" s="417" t="str">
        <f>[161]Input!$C$47</f>
        <v>Add for MA @ 40%</v>
      </c>
      <c r="D4044" s="621">
        <f>[161]Input!$D$47</f>
        <v>0.4</v>
      </c>
      <c r="E4044" s="454"/>
      <c r="F4044" s="408">
        <f>SUM(I4042:I4043)</f>
        <v>701.4</v>
      </c>
      <c r="G4044" s="410"/>
      <c r="H4044" s="426"/>
      <c r="I4044" s="408">
        <f t="shared" si="911"/>
        <v>280.56</v>
      </c>
      <c r="J4044" s="400"/>
      <c r="K4044" s="401"/>
      <c r="L4044" s="401"/>
    </row>
    <row r="4045" spans="1:64" ht="25">
      <c r="A4045" s="458"/>
      <c r="B4045" s="458"/>
      <c r="C4045" s="417" t="s">
        <v>1389</v>
      </c>
      <c r="D4045" s="406">
        <v>0.01</v>
      </c>
      <c r="E4045" s="406"/>
      <c r="F4045" s="432">
        <f>SUM(I4041:I4044)</f>
        <v>1225.06</v>
      </c>
      <c r="G4045" s="406"/>
      <c r="H4045" s="406"/>
      <c r="I4045" s="459"/>
      <c r="J4045" s="462"/>
      <c r="K4045" s="463"/>
      <c r="L4045" s="463"/>
      <c r="M4045" s="559"/>
      <c r="N4045" s="559"/>
      <c r="O4045" s="559"/>
      <c r="P4045" s="559"/>
      <c r="Q4045" s="559"/>
      <c r="R4045" s="559"/>
      <c r="S4045" s="559"/>
      <c r="T4045" s="559"/>
      <c r="U4045" s="559"/>
      <c r="V4045" s="559"/>
      <c r="W4045" s="559"/>
      <c r="X4045" s="559"/>
      <c r="Y4045" s="559"/>
      <c r="Z4045" s="559"/>
      <c r="AA4045" s="559"/>
      <c r="AB4045" s="559"/>
      <c r="AC4045" s="559"/>
      <c r="AD4045" s="559"/>
      <c r="AE4045" s="559"/>
      <c r="AF4045" s="559"/>
      <c r="AG4045" s="559"/>
      <c r="AH4045" s="559"/>
      <c r="AI4045" s="559"/>
      <c r="AJ4045" s="559"/>
      <c r="AK4045" s="559"/>
      <c r="AL4045" s="559"/>
      <c r="AM4045" s="559"/>
      <c r="AN4045" s="559"/>
      <c r="AO4045" s="559"/>
      <c r="AP4045" s="559"/>
      <c r="AQ4045" s="559"/>
      <c r="AR4045" s="559"/>
      <c r="AS4045" s="559"/>
      <c r="AT4045" s="559"/>
      <c r="AU4045" s="559"/>
      <c r="AV4045" s="559"/>
      <c r="AW4045" s="559"/>
      <c r="AX4045" s="559"/>
      <c r="AY4045" s="559"/>
      <c r="AZ4045" s="559"/>
      <c r="BA4045" s="559"/>
      <c r="BB4045" s="559"/>
      <c r="BC4045" s="559"/>
      <c r="BD4045" s="559"/>
      <c r="BE4045" s="559"/>
      <c r="BF4045" s="559"/>
      <c r="BG4045" s="559"/>
      <c r="BH4045" s="559"/>
      <c r="BI4045" s="559"/>
      <c r="BJ4045" s="559"/>
      <c r="BK4045" s="559"/>
      <c r="BL4045" s="559"/>
    </row>
    <row r="4046" spans="1:64" ht="13">
      <c r="A4046" s="454"/>
      <c r="B4046" s="454"/>
      <c r="C4046" s="417"/>
      <c r="D4046" s="406"/>
      <c r="E4046" s="406"/>
      <c r="F4046" s="432"/>
      <c r="G4046" s="406"/>
      <c r="H4046" s="406"/>
      <c r="I4046" s="414">
        <f>SUM(I4041:I4045)</f>
        <v>1225.06</v>
      </c>
      <c r="J4046" s="400"/>
      <c r="K4046" s="401"/>
      <c r="L4046" s="401"/>
    </row>
    <row r="4047" spans="1:64" ht="25">
      <c r="A4047" s="454"/>
      <c r="B4047" s="454"/>
      <c r="C4047" s="417" t="str">
        <f>[161]Input!$C$48</f>
        <v>Overheads &amp; Contractors Profit @ 13.615%</v>
      </c>
      <c r="D4047" s="467">
        <f>[161]Input!$D$48</f>
        <v>0.13614999999999999</v>
      </c>
      <c r="E4047" s="408"/>
      <c r="F4047" s="408">
        <f>I4046</f>
        <v>1225.06</v>
      </c>
      <c r="G4047" s="430"/>
      <c r="H4047" s="426"/>
      <c r="I4047" s="408">
        <f>IF(G4047="",D4047*F4047,(D4047*F4047/G4047))</f>
        <v>166.79191899999998</v>
      </c>
      <c r="J4047" s="400"/>
      <c r="K4047" s="401"/>
      <c r="L4047" s="401"/>
    </row>
    <row r="4048" spans="1:64" ht="13">
      <c r="A4048" s="454"/>
      <c r="B4048" s="454"/>
      <c r="C4048" s="427" t="s">
        <v>741</v>
      </c>
      <c r="D4048" s="408"/>
      <c r="E4048" s="454"/>
      <c r="F4048" s="408"/>
      <c r="G4048" s="430"/>
      <c r="H4048" s="415"/>
      <c r="I4048" s="408">
        <f>SUM(I4046:I4047)</f>
        <v>1391.851919</v>
      </c>
      <c r="J4048" s="400"/>
      <c r="K4048" s="401"/>
      <c r="L4048" s="401"/>
    </row>
    <row r="4049" spans="1:12" ht="13">
      <c r="A4049" s="454"/>
      <c r="B4049" s="454"/>
      <c r="C4049" s="427" t="s">
        <v>742</v>
      </c>
      <c r="D4049" s="408"/>
      <c r="E4049" s="454"/>
      <c r="F4049" s="408"/>
      <c r="G4049" s="430"/>
      <c r="H4049" s="406"/>
      <c r="I4049" s="432">
        <f>I4048/10</f>
        <v>139.18519190000001</v>
      </c>
      <c r="J4049" s="400"/>
      <c r="K4049" s="401"/>
      <c r="L4049" s="401"/>
    </row>
    <row r="4050" spans="1:12" ht="13">
      <c r="A4050" s="454"/>
      <c r="B4050" s="454"/>
      <c r="C4050" s="427"/>
      <c r="D4050" s="408"/>
      <c r="E4050" s="454"/>
      <c r="F4050" s="408"/>
      <c r="G4050" s="430"/>
      <c r="H4050" s="415" t="s">
        <v>774</v>
      </c>
      <c r="I4050" s="414">
        <f>ROUND(I4049,0)</f>
        <v>139</v>
      </c>
      <c r="J4050" s="400"/>
      <c r="K4050" s="401"/>
      <c r="L4050" s="401"/>
    </row>
    <row r="4051" spans="1:12" ht="13">
      <c r="A4051" s="454"/>
      <c r="B4051" s="454"/>
      <c r="C4051" s="427"/>
      <c r="D4051" s="408"/>
      <c r="E4051" s="454"/>
      <c r="F4051" s="408"/>
      <c r="G4051" s="430"/>
      <c r="H4051" s="415"/>
      <c r="I4051" s="414"/>
      <c r="J4051" s="400"/>
      <c r="K4051" s="401"/>
      <c r="L4051" s="401"/>
    </row>
    <row r="4052" spans="1:12" ht="76.900000000000006" customHeight="1">
      <c r="A4052" s="454">
        <f>A4039+1</f>
        <v>15</v>
      </c>
      <c r="B4052" s="454"/>
      <c r="C4052" s="1276" t="s">
        <v>1393</v>
      </c>
      <c r="D4052" s="1276"/>
      <c r="E4052" s="1276"/>
      <c r="F4052" s="1276"/>
      <c r="G4052" s="1276"/>
      <c r="H4052" s="1276"/>
      <c r="I4052" s="407"/>
      <c r="J4052" s="400"/>
      <c r="K4052" s="401"/>
      <c r="L4052" s="401"/>
    </row>
    <row r="4053" spans="1:12" ht="13">
      <c r="A4053" s="454"/>
      <c r="B4053" s="454"/>
      <c r="C4053" s="455" t="s">
        <v>1394</v>
      </c>
      <c r="D4053" s="408"/>
      <c r="E4053" s="454"/>
      <c r="F4053" s="408"/>
      <c r="G4053" s="430"/>
      <c r="H4053" s="415"/>
      <c r="I4053" s="414"/>
      <c r="J4053" s="400"/>
      <c r="K4053" s="401"/>
      <c r="L4053" s="401"/>
    </row>
    <row r="4054" spans="1:12" ht="13">
      <c r="A4054" s="454"/>
      <c r="B4054" s="454"/>
      <c r="C4054" s="417" t="s">
        <v>1127</v>
      </c>
      <c r="D4054" s="408"/>
      <c r="E4054" s="454"/>
      <c r="F4054" s="408"/>
      <c r="G4054" s="430"/>
      <c r="H4054" s="415"/>
      <c r="I4054" s="414"/>
      <c r="J4054" s="400"/>
      <c r="K4054" s="401"/>
      <c r="L4054" s="401"/>
    </row>
    <row r="4055" spans="1:12" ht="13">
      <c r="A4055" s="454"/>
      <c r="B4055" s="454"/>
      <c r="C4055" s="427" t="s">
        <v>873</v>
      </c>
      <c r="D4055" s="408"/>
      <c r="E4055" s="454"/>
      <c r="F4055" s="408"/>
      <c r="G4055" s="430"/>
      <c r="H4055" s="415"/>
      <c r="I4055" s="414"/>
      <c r="J4055" s="400"/>
      <c r="K4055" s="401"/>
      <c r="L4055" s="401"/>
    </row>
    <row r="4056" spans="1:12">
      <c r="A4056" s="454"/>
      <c r="B4056" s="454"/>
      <c r="C4056" s="417" t="s">
        <v>1395</v>
      </c>
      <c r="D4056" s="408">
        <v>0.7</v>
      </c>
      <c r="E4056" s="454" t="s">
        <v>1361</v>
      </c>
      <c r="F4056" s="408">
        <f>'[161]Civil-SOR'!$G$58</f>
        <v>149</v>
      </c>
      <c r="G4056" s="430">
        <v>1</v>
      </c>
      <c r="H4056" s="456" t="str">
        <f>IF(E4056="","",IF(E4056="No.","Each",IF(E4056="Nos.","Each",E4056)))</f>
        <v>Ltr</v>
      </c>
      <c r="I4056" s="408">
        <f>IF(G4056="",D4056*F4056,(D4056*F4056/G4056))</f>
        <v>104.3</v>
      </c>
      <c r="J4056" s="400"/>
      <c r="K4056" s="401"/>
      <c r="L4056" s="401"/>
    </row>
    <row r="4057" spans="1:12" ht="13">
      <c r="A4057" s="454"/>
      <c r="B4057" s="454"/>
      <c r="C4057" s="427" t="s">
        <v>911</v>
      </c>
      <c r="D4057" s="408"/>
      <c r="E4057" s="454"/>
      <c r="F4057" s="408"/>
      <c r="G4057" s="430"/>
      <c r="H4057" s="456"/>
      <c r="I4057" s="408"/>
      <c r="J4057" s="400"/>
      <c r="K4057" s="401"/>
      <c r="L4057" s="401"/>
    </row>
    <row r="4058" spans="1:12">
      <c r="A4058" s="454"/>
      <c r="B4058" s="454"/>
      <c r="C4058" s="417" t="s">
        <v>1385</v>
      </c>
      <c r="D4058" s="408">
        <v>0.21</v>
      </c>
      <c r="E4058" s="454" t="s">
        <v>375</v>
      </c>
      <c r="F4058" s="408">
        <f>'[161]Civil-SOR'!$G$296</f>
        <v>665</v>
      </c>
      <c r="G4058" s="430">
        <v>1</v>
      </c>
      <c r="H4058" s="456" t="str">
        <f t="shared" ref="H4058:H4059" si="912">IF(E4058="","",IF(E4058="No.","Each",IF(E4058="Nos.","Each",E4058)))</f>
        <v>Each</v>
      </c>
      <c r="I4058" s="408">
        <f t="shared" ref="I4058:I4060" si="913">IF(G4058="",D4058*F4058,(D4058*F4058/G4058))</f>
        <v>139.65</v>
      </c>
      <c r="J4058" s="400"/>
      <c r="K4058" s="401"/>
      <c r="L4058" s="401"/>
    </row>
    <row r="4059" spans="1:12">
      <c r="A4059" s="454"/>
      <c r="B4059" s="454"/>
      <c r="C4059" s="417" t="s">
        <v>1386</v>
      </c>
      <c r="D4059" s="408">
        <v>0.49</v>
      </c>
      <c r="E4059" s="454" t="s">
        <v>375</v>
      </c>
      <c r="F4059" s="408">
        <f>'[161]Civil-SOR'!$G$303</f>
        <v>550</v>
      </c>
      <c r="G4059" s="430">
        <v>1</v>
      </c>
      <c r="H4059" s="456" t="str">
        <f t="shared" si="912"/>
        <v>Each</v>
      </c>
      <c r="I4059" s="408">
        <f t="shared" si="913"/>
        <v>269.5</v>
      </c>
      <c r="J4059" s="400"/>
      <c r="K4059" s="401"/>
      <c r="L4059" s="401"/>
    </row>
    <row r="4060" spans="1:12">
      <c r="A4060" s="454"/>
      <c r="B4060" s="454"/>
      <c r="C4060" s="417" t="str">
        <f>[161]Input!$C$47</f>
        <v>Add for MA @ 40%</v>
      </c>
      <c r="D4060" s="621">
        <f>[161]Input!$D$47</f>
        <v>0.4</v>
      </c>
      <c r="E4060" s="454"/>
      <c r="F4060" s="408">
        <f>SUM(I4058:I4059)</f>
        <v>409.15</v>
      </c>
      <c r="G4060" s="410"/>
      <c r="H4060" s="426"/>
      <c r="I4060" s="408">
        <f t="shared" si="913"/>
        <v>163.66</v>
      </c>
      <c r="J4060" s="400"/>
      <c r="K4060" s="401"/>
      <c r="L4060" s="401"/>
    </row>
    <row r="4061" spans="1:12" ht="25">
      <c r="A4061" s="454"/>
      <c r="B4061" s="454"/>
      <c r="C4061" s="417" t="s">
        <v>1389</v>
      </c>
      <c r="D4061" s="406">
        <v>0.01</v>
      </c>
      <c r="E4061" s="406"/>
      <c r="F4061" s="432">
        <f>SUM(I4056:I4060)</f>
        <v>677.11</v>
      </c>
      <c r="G4061" s="406"/>
      <c r="H4061" s="406"/>
      <c r="I4061" s="408"/>
      <c r="J4061" s="400"/>
      <c r="K4061" s="401"/>
      <c r="L4061" s="401"/>
    </row>
    <row r="4062" spans="1:12" ht="13">
      <c r="A4062" s="454"/>
      <c r="B4062" s="454"/>
      <c r="C4062" s="417"/>
      <c r="D4062" s="406"/>
      <c r="E4062" s="406"/>
      <c r="F4062" s="432"/>
      <c r="G4062" s="406"/>
      <c r="H4062" s="406"/>
      <c r="I4062" s="414">
        <f>SUM(I4056:I4061)</f>
        <v>677.11</v>
      </c>
      <c r="J4062" s="400"/>
      <c r="K4062" s="401"/>
      <c r="L4062" s="401"/>
    </row>
    <row r="4063" spans="1:12" ht="25">
      <c r="A4063" s="454"/>
      <c r="B4063" s="454"/>
      <c r="C4063" s="417" t="str">
        <f>[161]Input!$C$48</f>
        <v>Overheads &amp; Contractors Profit @ 13.615%</v>
      </c>
      <c r="D4063" s="467">
        <f>[161]Input!$D$48</f>
        <v>0.13614999999999999</v>
      </c>
      <c r="E4063" s="408"/>
      <c r="F4063" s="408">
        <f>I4062</f>
        <v>677.11</v>
      </c>
      <c r="G4063" s="430"/>
      <c r="H4063" s="426"/>
      <c r="I4063" s="408">
        <f>IF(G4063="",D4063*F4063,(D4063*F4063/G4063))</f>
        <v>92.188526499999995</v>
      </c>
      <c r="J4063" s="400"/>
      <c r="K4063" s="401"/>
      <c r="L4063" s="401"/>
    </row>
    <row r="4064" spans="1:12" ht="13">
      <c r="A4064" s="454"/>
      <c r="B4064" s="454"/>
      <c r="C4064" s="427" t="s">
        <v>741</v>
      </c>
      <c r="D4064" s="408"/>
      <c r="E4064" s="454"/>
      <c r="F4064" s="408"/>
      <c r="G4064" s="430"/>
      <c r="H4064" s="415"/>
      <c r="I4064" s="408">
        <f>SUM(I4062:I4063)</f>
        <v>769.29852649999998</v>
      </c>
      <c r="J4064" s="400"/>
      <c r="K4064" s="401"/>
      <c r="L4064" s="401"/>
    </row>
    <row r="4065" spans="1:64" ht="13">
      <c r="A4065" s="454"/>
      <c r="B4065" s="454"/>
      <c r="C4065" s="427" t="s">
        <v>742</v>
      </c>
      <c r="D4065" s="408"/>
      <c r="E4065" s="454"/>
      <c r="F4065" s="408"/>
      <c r="G4065" s="430"/>
      <c r="H4065" s="406"/>
      <c r="I4065" s="432">
        <f>I4064/10</f>
        <v>76.929852650000001</v>
      </c>
      <c r="J4065" s="400"/>
      <c r="K4065" s="401"/>
      <c r="L4065" s="401"/>
    </row>
    <row r="4066" spans="1:64" ht="13">
      <c r="A4066" s="454"/>
      <c r="B4066" s="454"/>
      <c r="C4066" s="417"/>
      <c r="D4066" s="408"/>
      <c r="E4066" s="454"/>
      <c r="F4066" s="408"/>
      <c r="G4066" s="430"/>
      <c r="H4066" s="415" t="s">
        <v>774</v>
      </c>
      <c r="I4066" s="414">
        <f>ROUND(I4065,0)</f>
        <v>77</v>
      </c>
      <c r="J4066" s="400"/>
      <c r="K4066" s="401"/>
      <c r="L4066" s="401"/>
    </row>
    <row r="4067" spans="1:64" ht="13">
      <c r="A4067" s="454"/>
      <c r="B4067" s="454"/>
      <c r="C4067" s="427"/>
      <c r="D4067" s="408"/>
      <c r="E4067" s="454"/>
      <c r="F4067" s="408"/>
      <c r="G4067" s="430"/>
      <c r="H4067" s="415"/>
      <c r="I4067" s="414"/>
      <c r="J4067" s="400"/>
      <c r="K4067" s="401"/>
      <c r="L4067" s="401"/>
    </row>
    <row r="4068" spans="1:64" ht="63.4" customHeight="1">
      <c r="A4068" s="454">
        <v>14</v>
      </c>
      <c r="B4068" s="454"/>
      <c r="C4068" s="1276" t="s">
        <v>1396</v>
      </c>
      <c r="D4068" s="1276"/>
      <c r="E4068" s="1276"/>
      <c r="F4068" s="1276"/>
      <c r="G4068" s="1276"/>
      <c r="H4068" s="1276"/>
      <c r="I4068" s="407"/>
      <c r="J4068" s="400"/>
      <c r="K4068" s="401"/>
      <c r="L4068" s="401"/>
    </row>
    <row r="4069" spans="1:64" ht="13">
      <c r="A4069" s="454"/>
      <c r="B4069" s="454"/>
      <c r="C4069" s="455" t="s">
        <v>1397</v>
      </c>
      <c r="D4069" s="406"/>
      <c r="E4069" s="406"/>
      <c r="F4069" s="406"/>
      <c r="G4069" s="406"/>
      <c r="H4069" s="406"/>
      <c r="I4069" s="432"/>
      <c r="J4069" s="400"/>
      <c r="K4069" s="401"/>
      <c r="L4069" s="401"/>
    </row>
    <row r="4070" spans="1:64">
      <c r="A4070" s="454"/>
      <c r="B4070" s="454"/>
      <c r="C4070" s="417" t="s">
        <v>1127</v>
      </c>
      <c r="D4070" s="406"/>
      <c r="E4070" s="406"/>
      <c r="F4070" s="406"/>
      <c r="G4070" s="406"/>
      <c r="H4070" s="406"/>
      <c r="I4070" s="432"/>
      <c r="J4070" s="400"/>
      <c r="K4070" s="401"/>
      <c r="L4070" s="401"/>
    </row>
    <row r="4071" spans="1:64" ht="13">
      <c r="A4071" s="454"/>
      <c r="B4071" s="454"/>
      <c r="C4071" s="427" t="s">
        <v>873</v>
      </c>
      <c r="D4071" s="406"/>
      <c r="E4071" s="406"/>
      <c r="F4071" s="406"/>
      <c r="G4071" s="406"/>
      <c r="H4071" s="406"/>
      <c r="I4071" s="432"/>
      <c r="J4071" s="400"/>
      <c r="K4071" s="401"/>
      <c r="L4071" s="401"/>
    </row>
    <row r="4072" spans="1:64" ht="25">
      <c r="A4072" s="458"/>
      <c r="B4072" s="458"/>
      <c r="C4072" s="417" t="s">
        <v>1398</v>
      </c>
      <c r="D4072" s="459">
        <v>1.1000000000000001</v>
      </c>
      <c r="E4072" s="458" t="s">
        <v>1361</v>
      </c>
      <c r="F4072" s="459">
        <f>'[161]Civil-SOR'!$G$71</f>
        <v>221</v>
      </c>
      <c r="G4072" s="460">
        <v>1</v>
      </c>
      <c r="H4072" s="599" t="str">
        <f>IF(E4072="","",IF(E4072="No.","Each",IF(E4072="Nos.","Each",E4072)))</f>
        <v>Ltr</v>
      </c>
      <c r="I4072" s="459">
        <f>IF(G4072="",D4072*F4072,(D4072*F4072/G4072))</f>
        <v>243.10000000000002</v>
      </c>
      <c r="J4072" s="462"/>
      <c r="K4072" s="463"/>
      <c r="L4072" s="463"/>
      <c r="M4072" s="559"/>
      <c r="N4072" s="559"/>
      <c r="O4072" s="559"/>
      <c r="P4072" s="559"/>
      <c r="Q4072" s="559"/>
      <c r="R4072" s="559"/>
      <c r="S4072" s="559"/>
      <c r="T4072" s="559"/>
      <c r="U4072" s="559"/>
      <c r="V4072" s="559"/>
      <c r="W4072" s="559"/>
      <c r="X4072" s="559"/>
      <c r="Y4072" s="559"/>
      <c r="Z4072" s="559"/>
      <c r="AA4072" s="559"/>
      <c r="AB4072" s="559"/>
      <c r="AC4072" s="559"/>
      <c r="AD4072" s="559"/>
      <c r="AE4072" s="559"/>
      <c r="AF4072" s="559"/>
      <c r="AG4072" s="559"/>
      <c r="AH4072" s="559"/>
      <c r="AI4072" s="559"/>
      <c r="AJ4072" s="559"/>
      <c r="AK4072" s="559"/>
      <c r="AL4072" s="559"/>
      <c r="AM4072" s="559"/>
      <c r="AN4072" s="559"/>
      <c r="AO4072" s="559"/>
      <c r="AP4072" s="559"/>
      <c r="AQ4072" s="559"/>
      <c r="AR4072" s="559"/>
      <c r="AS4072" s="559"/>
      <c r="AT4072" s="559"/>
      <c r="AU4072" s="559"/>
      <c r="AV4072" s="559"/>
      <c r="AW4072" s="559"/>
      <c r="AX4072" s="559"/>
      <c r="AY4072" s="559"/>
      <c r="AZ4072" s="559"/>
      <c r="BA4072" s="559"/>
      <c r="BB4072" s="559"/>
      <c r="BC4072" s="559"/>
      <c r="BD4072" s="559"/>
      <c r="BE4072" s="559"/>
      <c r="BF4072" s="559"/>
      <c r="BG4072" s="559"/>
      <c r="BH4072" s="559"/>
      <c r="BI4072" s="559"/>
      <c r="BJ4072" s="559"/>
      <c r="BK4072" s="559"/>
      <c r="BL4072" s="559"/>
    </row>
    <row r="4073" spans="1:64" ht="13">
      <c r="A4073" s="458"/>
      <c r="B4073" s="458"/>
      <c r="C4073" s="427" t="s">
        <v>911</v>
      </c>
      <c r="D4073" s="459"/>
      <c r="E4073" s="458"/>
      <c r="F4073" s="459"/>
      <c r="G4073" s="460"/>
      <c r="H4073" s="599"/>
      <c r="I4073" s="459"/>
      <c r="J4073" s="462"/>
      <c r="K4073" s="463"/>
      <c r="L4073" s="463"/>
      <c r="M4073" s="559"/>
      <c r="N4073" s="559"/>
      <c r="O4073" s="559"/>
      <c r="P4073" s="559"/>
      <c r="Q4073" s="559"/>
      <c r="R4073" s="559"/>
      <c r="S4073" s="559"/>
      <c r="T4073" s="559"/>
      <c r="U4073" s="559"/>
      <c r="V4073" s="559"/>
      <c r="W4073" s="559"/>
      <c r="X4073" s="559"/>
      <c r="Y4073" s="559"/>
      <c r="Z4073" s="559"/>
      <c r="AA4073" s="559"/>
      <c r="AB4073" s="559"/>
      <c r="AC4073" s="559"/>
      <c r="AD4073" s="559"/>
      <c r="AE4073" s="559"/>
      <c r="AF4073" s="559"/>
      <c r="AG4073" s="559"/>
      <c r="AH4073" s="559"/>
      <c r="AI4073" s="559"/>
      <c r="AJ4073" s="559"/>
      <c r="AK4073" s="559"/>
      <c r="AL4073" s="559"/>
      <c r="AM4073" s="559"/>
      <c r="AN4073" s="559"/>
      <c r="AO4073" s="559"/>
      <c r="AP4073" s="559"/>
      <c r="AQ4073" s="559"/>
      <c r="AR4073" s="559"/>
      <c r="AS4073" s="559"/>
      <c r="AT4073" s="559"/>
      <c r="AU4073" s="559"/>
      <c r="AV4073" s="559"/>
      <c r="AW4073" s="559"/>
      <c r="AX4073" s="559"/>
      <c r="AY4073" s="559"/>
      <c r="AZ4073" s="559"/>
      <c r="BA4073" s="559"/>
      <c r="BB4073" s="559"/>
      <c r="BC4073" s="559"/>
      <c r="BD4073" s="559"/>
      <c r="BE4073" s="559"/>
      <c r="BF4073" s="559"/>
      <c r="BG4073" s="559"/>
      <c r="BH4073" s="559"/>
      <c r="BI4073" s="559"/>
      <c r="BJ4073" s="559"/>
      <c r="BK4073" s="559"/>
      <c r="BL4073" s="559"/>
    </row>
    <row r="4074" spans="1:64">
      <c r="A4074" s="458"/>
      <c r="B4074" s="458"/>
      <c r="C4074" s="417" t="s">
        <v>1385</v>
      </c>
      <c r="D4074" s="459">
        <v>0.33</v>
      </c>
      <c r="E4074" s="458" t="s">
        <v>375</v>
      </c>
      <c r="F4074" s="459">
        <f>'[161]Civil-SOR'!$G$296</f>
        <v>665</v>
      </c>
      <c r="G4074" s="460">
        <v>1</v>
      </c>
      <c r="H4074" s="599" t="str">
        <f t="shared" ref="H4074:H4075" si="914">IF(E4074="","",IF(E4074="No.","Each",IF(E4074="Nos.","Each",E4074)))</f>
        <v>Each</v>
      </c>
      <c r="I4074" s="459">
        <f t="shared" ref="I4074:I4076" si="915">IF(G4074="",D4074*F4074,(D4074*F4074/G4074))</f>
        <v>219.45000000000002</v>
      </c>
      <c r="J4074" s="462"/>
      <c r="K4074" s="463"/>
      <c r="L4074" s="463"/>
      <c r="M4074" s="559"/>
      <c r="N4074" s="559"/>
      <c r="O4074" s="559"/>
      <c r="P4074" s="559"/>
      <c r="Q4074" s="559"/>
      <c r="R4074" s="559"/>
      <c r="S4074" s="559"/>
      <c r="T4074" s="559"/>
      <c r="U4074" s="559"/>
      <c r="V4074" s="559"/>
      <c r="W4074" s="559"/>
      <c r="X4074" s="559"/>
      <c r="Y4074" s="559"/>
      <c r="Z4074" s="559"/>
      <c r="AA4074" s="559"/>
      <c r="AB4074" s="559"/>
      <c r="AC4074" s="559"/>
      <c r="AD4074" s="559"/>
      <c r="AE4074" s="559"/>
      <c r="AF4074" s="559"/>
      <c r="AG4074" s="559"/>
      <c r="AH4074" s="559"/>
      <c r="AI4074" s="559"/>
      <c r="AJ4074" s="559"/>
      <c r="AK4074" s="559"/>
      <c r="AL4074" s="559"/>
      <c r="AM4074" s="559"/>
      <c r="AN4074" s="559"/>
      <c r="AO4074" s="559"/>
      <c r="AP4074" s="559"/>
      <c r="AQ4074" s="559"/>
      <c r="AR4074" s="559"/>
      <c r="AS4074" s="559"/>
      <c r="AT4074" s="559"/>
      <c r="AU4074" s="559"/>
      <c r="AV4074" s="559"/>
      <c r="AW4074" s="559"/>
      <c r="AX4074" s="559"/>
      <c r="AY4074" s="559"/>
      <c r="AZ4074" s="559"/>
      <c r="BA4074" s="559"/>
      <c r="BB4074" s="559"/>
      <c r="BC4074" s="559"/>
      <c r="BD4074" s="559"/>
      <c r="BE4074" s="559"/>
      <c r="BF4074" s="559"/>
      <c r="BG4074" s="559"/>
      <c r="BH4074" s="559"/>
      <c r="BI4074" s="559"/>
      <c r="BJ4074" s="559"/>
      <c r="BK4074" s="559"/>
      <c r="BL4074" s="559"/>
    </row>
    <row r="4075" spans="1:64">
      <c r="A4075" s="458"/>
      <c r="B4075" s="458"/>
      <c r="C4075" s="417" t="s">
        <v>1386</v>
      </c>
      <c r="D4075" s="459">
        <v>0.77</v>
      </c>
      <c r="E4075" s="458" t="s">
        <v>375</v>
      </c>
      <c r="F4075" s="459">
        <f>'[161]Civil-SOR'!$G$303</f>
        <v>550</v>
      </c>
      <c r="G4075" s="460">
        <v>1</v>
      </c>
      <c r="H4075" s="599" t="str">
        <f t="shared" si="914"/>
        <v>Each</v>
      </c>
      <c r="I4075" s="459">
        <f t="shared" si="915"/>
        <v>423.5</v>
      </c>
      <c r="J4075" s="462"/>
      <c r="K4075" s="463"/>
      <c r="L4075" s="463"/>
      <c r="M4075" s="559"/>
      <c r="N4075" s="559"/>
      <c r="O4075" s="559"/>
      <c r="P4075" s="559"/>
      <c r="Q4075" s="559"/>
      <c r="R4075" s="559"/>
      <c r="S4075" s="559"/>
      <c r="T4075" s="559"/>
      <c r="U4075" s="559"/>
      <c r="V4075" s="559"/>
      <c r="W4075" s="559"/>
      <c r="X4075" s="559"/>
      <c r="Y4075" s="559"/>
      <c r="Z4075" s="559"/>
      <c r="AA4075" s="559"/>
      <c r="AB4075" s="559"/>
      <c r="AC4075" s="559"/>
      <c r="AD4075" s="559"/>
      <c r="AE4075" s="559"/>
      <c r="AF4075" s="559"/>
      <c r="AG4075" s="559"/>
      <c r="AH4075" s="559"/>
      <c r="AI4075" s="559"/>
      <c r="AJ4075" s="559"/>
      <c r="AK4075" s="559"/>
      <c r="AL4075" s="559"/>
      <c r="AM4075" s="559"/>
      <c r="AN4075" s="559"/>
      <c r="AO4075" s="559"/>
      <c r="AP4075" s="559"/>
      <c r="AQ4075" s="559"/>
      <c r="AR4075" s="559"/>
      <c r="AS4075" s="559"/>
      <c r="AT4075" s="559"/>
      <c r="AU4075" s="559"/>
      <c r="AV4075" s="559"/>
      <c r="AW4075" s="559"/>
      <c r="AX4075" s="559"/>
      <c r="AY4075" s="559"/>
      <c r="AZ4075" s="559"/>
      <c r="BA4075" s="559"/>
      <c r="BB4075" s="559"/>
      <c r="BC4075" s="559"/>
      <c r="BD4075" s="559"/>
      <c r="BE4075" s="559"/>
      <c r="BF4075" s="559"/>
      <c r="BG4075" s="559"/>
      <c r="BH4075" s="559"/>
      <c r="BI4075" s="559"/>
      <c r="BJ4075" s="559"/>
      <c r="BK4075" s="559"/>
      <c r="BL4075" s="559"/>
    </row>
    <row r="4076" spans="1:64">
      <c r="A4076" s="458"/>
      <c r="B4076" s="458"/>
      <c r="C4076" s="417" t="str">
        <f>[161]Input!$C$47</f>
        <v>Add for MA @ 40%</v>
      </c>
      <c r="D4076" s="622">
        <f>[161]Input!$D$47</f>
        <v>0.4</v>
      </c>
      <c r="E4076" s="458"/>
      <c r="F4076" s="459">
        <f>SUM(I4074:I4075)</f>
        <v>642.95000000000005</v>
      </c>
      <c r="G4076" s="431"/>
      <c r="H4076" s="406"/>
      <c r="I4076" s="459">
        <f t="shared" si="915"/>
        <v>257.18</v>
      </c>
      <c r="J4076" s="462"/>
      <c r="K4076" s="463"/>
      <c r="L4076" s="463"/>
      <c r="M4076" s="559"/>
      <c r="N4076" s="559"/>
      <c r="O4076" s="559"/>
      <c r="P4076" s="559"/>
      <c r="Q4076" s="559"/>
      <c r="R4076" s="559"/>
      <c r="S4076" s="559"/>
      <c r="T4076" s="559"/>
      <c r="U4076" s="559"/>
      <c r="V4076" s="559"/>
      <c r="W4076" s="559"/>
      <c r="X4076" s="559"/>
      <c r="Y4076" s="559"/>
      <c r="Z4076" s="559"/>
      <c r="AA4076" s="559"/>
      <c r="AB4076" s="559"/>
      <c r="AC4076" s="559"/>
      <c r="AD4076" s="559"/>
      <c r="AE4076" s="559"/>
      <c r="AF4076" s="559"/>
      <c r="AG4076" s="559"/>
      <c r="AH4076" s="559"/>
      <c r="AI4076" s="559"/>
      <c r="AJ4076" s="559"/>
      <c r="AK4076" s="559"/>
      <c r="AL4076" s="559"/>
      <c r="AM4076" s="559"/>
      <c r="AN4076" s="559"/>
      <c r="AO4076" s="559"/>
      <c r="AP4076" s="559"/>
      <c r="AQ4076" s="559"/>
      <c r="AR4076" s="559"/>
      <c r="AS4076" s="559"/>
      <c r="AT4076" s="559"/>
      <c r="AU4076" s="559"/>
      <c r="AV4076" s="559"/>
      <c r="AW4076" s="559"/>
      <c r="AX4076" s="559"/>
      <c r="AY4076" s="559"/>
      <c r="AZ4076" s="559"/>
      <c r="BA4076" s="559"/>
      <c r="BB4076" s="559"/>
      <c r="BC4076" s="559"/>
      <c r="BD4076" s="559"/>
      <c r="BE4076" s="559"/>
      <c r="BF4076" s="559"/>
      <c r="BG4076" s="559"/>
      <c r="BH4076" s="559"/>
      <c r="BI4076" s="559"/>
      <c r="BJ4076" s="559"/>
      <c r="BK4076" s="559"/>
      <c r="BL4076" s="559"/>
    </row>
    <row r="4077" spans="1:64" ht="25">
      <c r="A4077" s="458"/>
      <c r="B4077" s="458"/>
      <c r="C4077" s="417" t="s">
        <v>1389</v>
      </c>
      <c r="D4077" s="406">
        <v>0.01</v>
      </c>
      <c r="E4077" s="406"/>
      <c r="F4077" s="432">
        <f>SUM(I4072:I4076)</f>
        <v>1143.23</v>
      </c>
      <c r="G4077" s="406"/>
      <c r="H4077" s="406"/>
      <c r="I4077" s="459"/>
      <c r="J4077" s="462"/>
      <c r="K4077" s="463"/>
      <c r="L4077" s="463"/>
      <c r="M4077" s="559"/>
      <c r="N4077" s="559"/>
      <c r="O4077" s="559"/>
      <c r="P4077" s="559"/>
      <c r="Q4077" s="559"/>
      <c r="R4077" s="559"/>
      <c r="S4077" s="559"/>
      <c r="T4077" s="559"/>
      <c r="U4077" s="559"/>
      <c r="V4077" s="559"/>
      <c r="W4077" s="559"/>
      <c r="X4077" s="559"/>
      <c r="Y4077" s="559"/>
      <c r="Z4077" s="559"/>
      <c r="AA4077" s="559"/>
      <c r="AB4077" s="559"/>
      <c r="AC4077" s="559"/>
      <c r="AD4077" s="559"/>
      <c r="AE4077" s="559"/>
      <c r="AF4077" s="559"/>
      <c r="AG4077" s="559"/>
      <c r="AH4077" s="559"/>
      <c r="AI4077" s="559"/>
      <c r="AJ4077" s="559"/>
      <c r="AK4077" s="559"/>
      <c r="AL4077" s="559"/>
      <c r="AM4077" s="559"/>
      <c r="AN4077" s="559"/>
      <c r="AO4077" s="559"/>
      <c r="AP4077" s="559"/>
      <c r="AQ4077" s="559"/>
      <c r="AR4077" s="559"/>
      <c r="AS4077" s="559"/>
      <c r="AT4077" s="559"/>
      <c r="AU4077" s="559"/>
      <c r="AV4077" s="559"/>
      <c r="AW4077" s="559"/>
      <c r="AX4077" s="559"/>
      <c r="AY4077" s="559"/>
      <c r="AZ4077" s="559"/>
      <c r="BA4077" s="559"/>
      <c r="BB4077" s="559"/>
      <c r="BC4077" s="559"/>
      <c r="BD4077" s="559"/>
      <c r="BE4077" s="559"/>
      <c r="BF4077" s="559"/>
      <c r="BG4077" s="559"/>
      <c r="BH4077" s="559"/>
      <c r="BI4077" s="559"/>
      <c r="BJ4077" s="559"/>
      <c r="BK4077" s="559"/>
      <c r="BL4077" s="559"/>
    </row>
    <row r="4078" spans="1:64" ht="13">
      <c r="A4078" s="458"/>
      <c r="B4078" s="458"/>
      <c r="C4078" s="417"/>
      <c r="D4078" s="406"/>
      <c r="E4078" s="406"/>
      <c r="F4078" s="432"/>
      <c r="G4078" s="406"/>
      <c r="H4078" s="406"/>
      <c r="I4078" s="461">
        <f>SUM(I4072:I4077)</f>
        <v>1143.23</v>
      </c>
      <c r="J4078" s="462"/>
      <c r="K4078" s="463"/>
      <c r="L4078" s="463"/>
      <c r="M4078" s="559"/>
      <c r="N4078" s="559"/>
      <c r="O4078" s="559"/>
      <c r="P4078" s="559"/>
      <c r="Q4078" s="559"/>
      <c r="R4078" s="559"/>
      <c r="S4078" s="559"/>
      <c r="T4078" s="559"/>
      <c r="U4078" s="559"/>
      <c r="V4078" s="559"/>
      <c r="W4078" s="559"/>
      <c r="X4078" s="559"/>
      <c r="Y4078" s="559"/>
      <c r="Z4078" s="559"/>
      <c r="AA4078" s="559"/>
      <c r="AB4078" s="559"/>
      <c r="AC4078" s="559"/>
      <c r="AD4078" s="559"/>
      <c r="AE4078" s="559"/>
      <c r="AF4078" s="559"/>
      <c r="AG4078" s="559"/>
      <c r="AH4078" s="559"/>
      <c r="AI4078" s="559"/>
      <c r="AJ4078" s="559"/>
      <c r="AK4078" s="559"/>
      <c r="AL4078" s="559"/>
      <c r="AM4078" s="559"/>
      <c r="AN4078" s="559"/>
      <c r="AO4078" s="559"/>
      <c r="AP4078" s="559"/>
      <c r="AQ4078" s="559"/>
      <c r="AR4078" s="559"/>
      <c r="AS4078" s="559"/>
      <c r="AT4078" s="559"/>
      <c r="AU4078" s="559"/>
      <c r="AV4078" s="559"/>
      <c r="AW4078" s="559"/>
      <c r="AX4078" s="559"/>
      <c r="AY4078" s="559"/>
      <c r="AZ4078" s="559"/>
      <c r="BA4078" s="559"/>
      <c r="BB4078" s="559"/>
      <c r="BC4078" s="559"/>
      <c r="BD4078" s="559"/>
      <c r="BE4078" s="559"/>
      <c r="BF4078" s="559"/>
      <c r="BG4078" s="559"/>
      <c r="BH4078" s="559"/>
      <c r="BI4078" s="559"/>
      <c r="BJ4078" s="559"/>
      <c r="BK4078" s="559"/>
      <c r="BL4078" s="559"/>
    </row>
    <row r="4079" spans="1:64" ht="25">
      <c r="A4079" s="458"/>
      <c r="B4079" s="458"/>
      <c r="C4079" s="417" t="str">
        <f>[161]Input!$C$48</f>
        <v>Overheads &amp; Contractors Profit @ 13.615%</v>
      </c>
      <c r="D4079" s="465">
        <f>[161]Input!$D$48</f>
        <v>0.13614999999999999</v>
      </c>
      <c r="E4079" s="459"/>
      <c r="F4079" s="459">
        <f>I4078</f>
        <v>1143.23</v>
      </c>
      <c r="G4079" s="460"/>
      <c r="H4079" s="406"/>
      <c r="I4079" s="459">
        <f>IF(G4079="",D4079*F4079,(D4079*F4079/G4079))</f>
        <v>155.65076450000001</v>
      </c>
      <c r="J4079" s="462"/>
      <c r="K4079" s="463"/>
      <c r="L4079" s="463"/>
      <c r="M4079" s="559"/>
      <c r="N4079" s="559"/>
      <c r="O4079" s="559"/>
      <c r="P4079" s="559"/>
      <c r="Q4079" s="559"/>
      <c r="R4079" s="559"/>
      <c r="S4079" s="559"/>
      <c r="T4079" s="559"/>
      <c r="U4079" s="559"/>
      <c r="V4079" s="559"/>
      <c r="W4079" s="559"/>
      <c r="X4079" s="559"/>
      <c r="Y4079" s="559"/>
      <c r="Z4079" s="559"/>
      <c r="AA4079" s="559"/>
      <c r="AB4079" s="559"/>
      <c r="AC4079" s="559"/>
      <c r="AD4079" s="559"/>
      <c r="AE4079" s="559"/>
      <c r="AF4079" s="559"/>
      <c r="AG4079" s="559"/>
      <c r="AH4079" s="559"/>
      <c r="AI4079" s="559"/>
      <c r="AJ4079" s="559"/>
      <c r="AK4079" s="559"/>
      <c r="AL4079" s="559"/>
      <c r="AM4079" s="559"/>
      <c r="AN4079" s="559"/>
      <c r="AO4079" s="559"/>
      <c r="AP4079" s="559"/>
      <c r="AQ4079" s="559"/>
      <c r="AR4079" s="559"/>
      <c r="AS4079" s="559"/>
      <c r="AT4079" s="559"/>
      <c r="AU4079" s="559"/>
      <c r="AV4079" s="559"/>
      <c r="AW4079" s="559"/>
      <c r="AX4079" s="559"/>
      <c r="AY4079" s="559"/>
      <c r="AZ4079" s="559"/>
      <c r="BA4079" s="559"/>
      <c r="BB4079" s="559"/>
      <c r="BC4079" s="559"/>
      <c r="BD4079" s="559"/>
      <c r="BE4079" s="559"/>
      <c r="BF4079" s="559"/>
      <c r="BG4079" s="559"/>
      <c r="BH4079" s="559"/>
      <c r="BI4079" s="559"/>
      <c r="BJ4079" s="559"/>
      <c r="BK4079" s="559"/>
      <c r="BL4079" s="559"/>
    </row>
    <row r="4080" spans="1:64" ht="13">
      <c r="A4080" s="454"/>
      <c r="B4080" s="454"/>
      <c r="C4080" s="427" t="s">
        <v>741</v>
      </c>
      <c r="D4080" s="408"/>
      <c r="E4080" s="454"/>
      <c r="F4080" s="408"/>
      <c r="G4080" s="430"/>
      <c r="H4080" s="454"/>
      <c r="I4080" s="408">
        <f>SUM(I4078:I4079)</f>
        <v>1298.8807644999999</v>
      </c>
      <c r="J4080" s="400"/>
      <c r="K4080" s="401"/>
      <c r="L4080" s="401"/>
    </row>
    <row r="4081" spans="1:12" ht="13">
      <c r="A4081" s="454"/>
      <c r="B4081" s="454"/>
      <c r="C4081" s="427" t="s">
        <v>742</v>
      </c>
      <c r="D4081" s="408"/>
      <c r="E4081" s="454"/>
      <c r="F4081" s="408"/>
      <c r="G4081" s="430"/>
      <c r="H4081" s="406"/>
      <c r="I4081" s="432">
        <f>I4080/10</f>
        <v>129.88807645</v>
      </c>
      <c r="J4081" s="400"/>
      <c r="K4081" s="401"/>
      <c r="L4081" s="401"/>
    </row>
    <row r="4082" spans="1:12" ht="13">
      <c r="A4082" s="454"/>
      <c r="B4082" s="454"/>
      <c r="C4082" s="469"/>
      <c r="D4082" s="408"/>
      <c r="E4082" s="454"/>
      <c r="F4082" s="408"/>
      <c r="G4082" s="430"/>
      <c r="H4082" s="415" t="s">
        <v>774</v>
      </c>
      <c r="I4082" s="414">
        <f>ROUND(I4081,0)</f>
        <v>130</v>
      </c>
      <c r="J4082" s="400"/>
      <c r="K4082" s="401"/>
      <c r="L4082" s="401"/>
    </row>
    <row r="4083" spans="1:12" ht="13">
      <c r="A4083" s="454"/>
      <c r="B4083" s="454"/>
      <c r="C4083" s="469"/>
      <c r="D4083" s="408"/>
      <c r="E4083" s="454"/>
      <c r="F4083" s="408"/>
      <c r="G4083" s="430"/>
      <c r="H4083" s="415"/>
      <c r="I4083" s="414"/>
      <c r="J4083" s="400"/>
      <c r="K4083" s="401"/>
      <c r="L4083" s="401"/>
    </row>
    <row r="4084" spans="1:12" ht="64.150000000000006" customHeight="1">
      <c r="A4084" s="454">
        <f>1+A4020</f>
        <v>14</v>
      </c>
      <c r="B4084" s="454"/>
      <c r="C4084" s="1276" t="s">
        <v>1399</v>
      </c>
      <c r="D4084" s="1276"/>
      <c r="E4084" s="1276"/>
      <c r="F4084" s="1276"/>
      <c r="G4084" s="1276"/>
      <c r="H4084" s="1276"/>
      <c r="I4084" s="407"/>
      <c r="J4084" s="400"/>
      <c r="K4084" s="401"/>
      <c r="L4084" s="401"/>
    </row>
    <row r="4085" spans="1:12" ht="13">
      <c r="A4085" s="454"/>
      <c r="B4085" s="454"/>
      <c r="C4085" s="455" t="s">
        <v>1400</v>
      </c>
      <c r="D4085" s="406"/>
      <c r="E4085" s="406"/>
      <c r="F4085" s="406"/>
      <c r="G4085" s="406"/>
      <c r="H4085" s="406"/>
      <c r="I4085" s="432"/>
      <c r="J4085" s="400"/>
      <c r="K4085" s="401"/>
      <c r="L4085" s="401"/>
    </row>
    <row r="4086" spans="1:12">
      <c r="A4086" s="454"/>
      <c r="B4086" s="454"/>
      <c r="C4086" s="417" t="s">
        <v>1127</v>
      </c>
      <c r="D4086" s="406"/>
      <c r="E4086" s="406"/>
      <c r="F4086" s="406"/>
      <c r="G4086" s="406"/>
      <c r="H4086" s="406"/>
      <c r="I4086" s="432"/>
      <c r="J4086" s="400"/>
      <c r="K4086" s="401"/>
      <c r="L4086" s="401"/>
    </row>
    <row r="4087" spans="1:12" ht="13">
      <c r="A4087" s="454"/>
      <c r="B4087" s="454"/>
      <c r="C4087" s="427" t="s">
        <v>873</v>
      </c>
      <c r="D4087" s="406"/>
      <c r="E4087" s="406"/>
      <c r="F4087" s="406"/>
      <c r="G4087" s="406"/>
      <c r="H4087" s="406"/>
      <c r="I4087" s="432"/>
      <c r="J4087" s="400"/>
      <c r="K4087" s="401"/>
      <c r="L4087" s="401"/>
    </row>
    <row r="4088" spans="1:12">
      <c r="A4088" s="454"/>
      <c r="B4088" s="454"/>
      <c r="C4088" s="417" t="s">
        <v>1395</v>
      </c>
      <c r="D4088" s="408">
        <v>0.7</v>
      </c>
      <c r="E4088" s="454" t="s">
        <v>1361</v>
      </c>
      <c r="F4088" s="408">
        <f>'[161]Civil-SOR'!$G$58</f>
        <v>149</v>
      </c>
      <c r="G4088" s="430">
        <v>1</v>
      </c>
      <c r="H4088" s="456" t="str">
        <f t="shared" ref="H4088:H4089" si="916">IF(E4088="","",IF(E4088="No.","Each",IF(E4088="Nos.","Each",E4088)))</f>
        <v>Ltr</v>
      </c>
      <c r="I4088" s="408">
        <f t="shared" ref="I4088:I4089" si="917">IF(G4088="",D4088*F4088,(D4088*F4088/G4088))</f>
        <v>104.3</v>
      </c>
      <c r="J4088" s="400"/>
      <c r="K4088" s="401"/>
      <c r="L4088" s="401"/>
    </row>
    <row r="4089" spans="1:12">
      <c r="A4089" s="454"/>
      <c r="B4089" s="454"/>
      <c r="C4089" s="417" t="s">
        <v>1388</v>
      </c>
      <c r="D4089" s="408">
        <v>1.1000000000000001</v>
      </c>
      <c r="E4089" s="454" t="s">
        <v>1361</v>
      </c>
      <c r="F4089" s="408">
        <f>'[161]Civil-SOR'!$G$71</f>
        <v>221</v>
      </c>
      <c r="G4089" s="430">
        <v>1</v>
      </c>
      <c r="H4089" s="456" t="str">
        <f t="shared" si="916"/>
        <v>Ltr</v>
      </c>
      <c r="I4089" s="408">
        <f t="shared" si="917"/>
        <v>243.10000000000002</v>
      </c>
      <c r="J4089" s="400"/>
      <c r="K4089" s="401"/>
      <c r="L4089" s="401"/>
    </row>
    <row r="4090" spans="1:12" ht="13">
      <c r="A4090" s="454"/>
      <c r="B4090" s="454"/>
      <c r="C4090" s="427" t="s">
        <v>911</v>
      </c>
      <c r="D4090" s="408"/>
      <c r="E4090" s="454"/>
      <c r="F4090" s="408"/>
      <c r="G4090" s="430"/>
      <c r="H4090" s="456"/>
      <c r="I4090" s="408"/>
      <c r="J4090" s="400"/>
      <c r="K4090" s="401"/>
      <c r="L4090" s="401"/>
    </row>
    <row r="4091" spans="1:12">
      <c r="A4091" s="454"/>
      <c r="B4091" s="454"/>
      <c r="C4091" s="417" t="s">
        <v>1401</v>
      </c>
      <c r="D4091" s="408"/>
      <c r="E4091" s="454"/>
      <c r="F4091" s="408"/>
      <c r="G4091" s="430"/>
      <c r="H4091" s="456"/>
      <c r="I4091" s="408"/>
      <c r="J4091" s="400"/>
      <c r="K4091" s="401"/>
      <c r="L4091" s="401"/>
    </row>
    <row r="4092" spans="1:12">
      <c r="A4092" s="454"/>
      <c r="B4092" s="454"/>
      <c r="C4092" s="417" t="s">
        <v>1385</v>
      </c>
      <c r="D4092" s="408">
        <v>0.21</v>
      </c>
      <c r="E4092" s="454" t="s">
        <v>375</v>
      </c>
      <c r="F4092" s="408">
        <f>'[161]Civil-SOR'!$G$296</f>
        <v>665</v>
      </c>
      <c r="G4092" s="430">
        <v>1</v>
      </c>
      <c r="H4092" s="456" t="str">
        <f t="shared" ref="H4092:H4093" si="918">IF(E4092="","",IF(E4092="No.","Each",IF(E4092="Nos.","Each",E4092)))</f>
        <v>Each</v>
      </c>
      <c r="I4092" s="408">
        <f t="shared" ref="I4092:I4093" si="919">IF(G4092="",D4092*F4092,(D4092*F4092/G4092))</f>
        <v>139.65</v>
      </c>
      <c r="J4092" s="400"/>
      <c r="K4092" s="401"/>
      <c r="L4092" s="401"/>
    </row>
    <row r="4093" spans="1:12">
      <c r="A4093" s="454"/>
      <c r="B4093" s="454"/>
      <c r="C4093" s="417" t="s">
        <v>1386</v>
      </c>
      <c r="D4093" s="408">
        <v>0.49</v>
      </c>
      <c r="E4093" s="454" t="s">
        <v>375</v>
      </c>
      <c r="F4093" s="408">
        <f>'[161]Civil-SOR'!$G$303</f>
        <v>550</v>
      </c>
      <c r="G4093" s="430">
        <v>1</v>
      </c>
      <c r="H4093" s="456" t="str">
        <f t="shared" si="918"/>
        <v>Each</v>
      </c>
      <c r="I4093" s="408">
        <f t="shared" si="919"/>
        <v>269.5</v>
      </c>
      <c r="J4093" s="400"/>
      <c r="K4093" s="401"/>
      <c r="L4093" s="401"/>
    </row>
    <row r="4094" spans="1:12">
      <c r="A4094" s="454"/>
      <c r="B4094" s="454"/>
      <c r="C4094" s="417" t="s">
        <v>1402</v>
      </c>
      <c r="D4094" s="408"/>
      <c r="E4094" s="454"/>
      <c r="F4094" s="408"/>
      <c r="G4094" s="430"/>
      <c r="H4094" s="456"/>
      <c r="I4094" s="408"/>
      <c r="J4094" s="400"/>
      <c r="K4094" s="401"/>
      <c r="L4094" s="401"/>
    </row>
    <row r="4095" spans="1:12">
      <c r="A4095" s="454"/>
      <c r="B4095" s="454"/>
      <c r="C4095" s="417" t="s">
        <v>1385</v>
      </c>
      <c r="D4095" s="408">
        <v>0.33</v>
      </c>
      <c r="E4095" s="454" t="s">
        <v>375</v>
      </c>
      <c r="F4095" s="408">
        <f>'[161]Civil-SOR'!$G$296</f>
        <v>665</v>
      </c>
      <c r="G4095" s="430">
        <v>1</v>
      </c>
      <c r="H4095" s="456" t="str">
        <f t="shared" ref="H4095:H4096" si="920">IF(E4095="","",IF(E4095="No.","Each",IF(E4095="Nos.","Each",E4095)))</f>
        <v>Each</v>
      </c>
      <c r="I4095" s="408">
        <f t="shared" ref="I4095:I4097" si="921">IF(G4095="",D4095*F4095,(D4095*F4095/G4095))</f>
        <v>219.45000000000002</v>
      </c>
      <c r="J4095" s="400"/>
      <c r="K4095" s="401"/>
      <c r="L4095" s="401"/>
    </row>
    <row r="4096" spans="1:12">
      <c r="A4096" s="454"/>
      <c r="B4096" s="454"/>
      <c r="C4096" s="417" t="s">
        <v>1386</v>
      </c>
      <c r="D4096" s="408">
        <v>0.77</v>
      </c>
      <c r="E4096" s="454" t="s">
        <v>375</v>
      </c>
      <c r="F4096" s="408">
        <f>'[161]Civil-SOR'!$G$303</f>
        <v>550</v>
      </c>
      <c r="G4096" s="430">
        <v>1</v>
      </c>
      <c r="H4096" s="456" t="str">
        <f t="shared" si="920"/>
        <v>Each</v>
      </c>
      <c r="I4096" s="408">
        <f t="shared" si="921"/>
        <v>423.5</v>
      </c>
      <c r="J4096" s="400"/>
      <c r="K4096" s="401"/>
      <c r="L4096" s="401"/>
    </row>
    <row r="4097" spans="1:12">
      <c r="A4097" s="454"/>
      <c r="B4097" s="454"/>
      <c r="C4097" s="417" t="str">
        <f>[161]Input!$C$47</f>
        <v>Add for MA @ 40%</v>
      </c>
      <c r="D4097" s="621">
        <f>[161]Input!$D$47</f>
        <v>0.4</v>
      </c>
      <c r="E4097" s="454"/>
      <c r="F4097" s="408">
        <f>SUM(I4092:I4096)</f>
        <v>1052.0999999999999</v>
      </c>
      <c r="G4097" s="410"/>
      <c r="H4097" s="426"/>
      <c r="I4097" s="408">
        <f t="shared" si="921"/>
        <v>420.84</v>
      </c>
      <c r="J4097" s="400"/>
      <c r="K4097" s="401"/>
      <c r="L4097" s="401"/>
    </row>
    <row r="4098" spans="1:12" ht="25">
      <c r="A4098" s="454"/>
      <c r="B4098" s="454"/>
      <c r="C4098" s="417" t="s">
        <v>1389</v>
      </c>
      <c r="D4098" s="406">
        <v>0.01</v>
      </c>
      <c r="E4098" s="406"/>
      <c r="F4098" s="432">
        <f>SUM(I4088:I4097)</f>
        <v>1820.34</v>
      </c>
      <c r="G4098" s="406"/>
      <c r="H4098" s="406"/>
      <c r="I4098" s="408"/>
      <c r="J4098" s="400"/>
      <c r="K4098" s="401"/>
      <c r="L4098" s="401"/>
    </row>
    <row r="4099" spans="1:12" ht="13">
      <c r="A4099" s="454"/>
      <c r="B4099" s="454"/>
      <c r="C4099" s="417"/>
      <c r="D4099" s="406"/>
      <c r="E4099" s="406"/>
      <c r="F4099" s="432"/>
      <c r="G4099" s="406"/>
      <c r="H4099" s="406"/>
      <c r="I4099" s="414">
        <f>SUM(I4088:I4098)</f>
        <v>1820.34</v>
      </c>
      <c r="J4099" s="400"/>
      <c r="K4099" s="401"/>
      <c r="L4099" s="401"/>
    </row>
    <row r="4100" spans="1:12" ht="25">
      <c r="A4100" s="454"/>
      <c r="B4100" s="454"/>
      <c r="C4100" s="417" t="str">
        <f>[161]Input!$C$48</f>
        <v>Overheads &amp; Contractors Profit @ 13.615%</v>
      </c>
      <c r="D4100" s="467">
        <f>[161]Input!$D$48</f>
        <v>0.13614999999999999</v>
      </c>
      <c r="E4100" s="408"/>
      <c r="F4100" s="408">
        <f>I4099</f>
        <v>1820.34</v>
      </c>
      <c r="G4100" s="430"/>
      <c r="H4100" s="426"/>
      <c r="I4100" s="408">
        <f>IF(G4100="",D4100*F4100,(D4100*F4100/G4100))</f>
        <v>247.83929099999997</v>
      </c>
      <c r="J4100" s="400"/>
      <c r="K4100" s="401"/>
      <c r="L4100" s="401"/>
    </row>
    <row r="4101" spans="1:12" ht="13">
      <c r="A4101" s="454"/>
      <c r="B4101" s="454"/>
      <c r="C4101" s="427" t="s">
        <v>741</v>
      </c>
      <c r="D4101" s="408"/>
      <c r="E4101" s="454"/>
      <c r="F4101" s="408"/>
      <c r="G4101" s="430"/>
      <c r="H4101" s="454"/>
      <c r="I4101" s="408">
        <f>SUM(I4099:I4100)</f>
        <v>2068.1792909999999</v>
      </c>
      <c r="J4101" s="400"/>
      <c r="K4101" s="401"/>
      <c r="L4101" s="401"/>
    </row>
    <row r="4102" spans="1:12" ht="13">
      <c r="A4102" s="454"/>
      <c r="B4102" s="454"/>
      <c r="C4102" s="427" t="s">
        <v>742</v>
      </c>
      <c r="D4102" s="408"/>
      <c r="E4102" s="454"/>
      <c r="F4102" s="408"/>
      <c r="G4102" s="430"/>
      <c r="H4102" s="406"/>
      <c r="I4102" s="432">
        <f>I4101/10</f>
        <v>206.81792909999999</v>
      </c>
      <c r="J4102" s="400"/>
      <c r="K4102" s="401"/>
      <c r="L4102" s="401"/>
    </row>
    <row r="4103" spans="1:12" ht="13">
      <c r="A4103" s="454"/>
      <c r="B4103" s="454"/>
      <c r="C4103" s="469"/>
      <c r="D4103" s="408"/>
      <c r="E4103" s="454"/>
      <c r="F4103" s="408"/>
      <c r="G4103" s="430"/>
      <c r="H4103" s="415" t="s">
        <v>774</v>
      </c>
      <c r="I4103" s="414">
        <f>ROUND(I4102,0)</f>
        <v>207</v>
      </c>
      <c r="J4103" s="400"/>
      <c r="K4103" s="401"/>
      <c r="L4103" s="401"/>
    </row>
    <row r="4104" spans="1:12" ht="13">
      <c r="A4104" s="454"/>
      <c r="B4104" s="454"/>
      <c r="C4104" s="469"/>
      <c r="D4104" s="408"/>
      <c r="E4104" s="454"/>
      <c r="F4104" s="408"/>
      <c r="G4104" s="430"/>
      <c r="H4104" s="415"/>
      <c r="I4104" s="414"/>
      <c r="J4104" s="400"/>
      <c r="K4104" s="401"/>
      <c r="L4104" s="401"/>
    </row>
    <row r="4105" spans="1:12" ht="13">
      <c r="A4105" s="454"/>
      <c r="B4105" s="454"/>
      <c r="C4105" s="469"/>
      <c r="D4105" s="408"/>
      <c r="E4105" s="454"/>
      <c r="F4105" s="408"/>
      <c r="G4105" s="430"/>
      <c r="H4105" s="415"/>
      <c r="I4105" s="414"/>
      <c r="J4105" s="400"/>
      <c r="K4105" s="401"/>
      <c r="L4105" s="401"/>
    </row>
    <row r="4106" spans="1:12" ht="60.4" customHeight="1">
      <c r="A4106" s="454">
        <f>A4084+1</f>
        <v>15</v>
      </c>
      <c r="B4106" s="454"/>
      <c r="C4106" s="1276" t="s">
        <v>1403</v>
      </c>
      <c r="D4106" s="1276"/>
      <c r="E4106" s="1276"/>
      <c r="F4106" s="1276"/>
      <c r="G4106" s="1276"/>
      <c r="H4106" s="1276"/>
      <c r="I4106" s="407"/>
      <c r="J4106" s="400"/>
      <c r="K4106" s="401"/>
      <c r="L4106" s="401"/>
    </row>
    <row r="4107" spans="1:12" ht="13">
      <c r="A4107" s="454"/>
      <c r="B4107" s="454"/>
      <c r="C4107" s="455" t="s">
        <v>1404</v>
      </c>
      <c r="D4107" s="406"/>
      <c r="E4107" s="406"/>
      <c r="F4107" s="406"/>
      <c r="G4107" s="406"/>
      <c r="H4107" s="406"/>
      <c r="I4107" s="432"/>
      <c r="J4107" s="400"/>
      <c r="K4107" s="401"/>
      <c r="L4107" s="401"/>
    </row>
    <row r="4108" spans="1:12">
      <c r="A4108" s="454"/>
      <c r="B4108" s="454"/>
      <c r="C4108" s="417" t="s">
        <v>1127</v>
      </c>
      <c r="D4108" s="406"/>
      <c r="E4108" s="406"/>
      <c r="F4108" s="406"/>
      <c r="G4108" s="406"/>
      <c r="H4108" s="406"/>
      <c r="I4108" s="432"/>
      <c r="J4108" s="400"/>
      <c r="K4108" s="401"/>
      <c r="L4108" s="401"/>
    </row>
    <row r="4109" spans="1:12" ht="13">
      <c r="A4109" s="454"/>
      <c r="B4109" s="454"/>
      <c r="C4109" s="427" t="s">
        <v>873</v>
      </c>
      <c r="D4109" s="406"/>
      <c r="E4109" s="406"/>
      <c r="F4109" s="406"/>
      <c r="G4109" s="406"/>
      <c r="H4109" s="406"/>
      <c r="I4109" s="432"/>
      <c r="J4109" s="400"/>
      <c r="K4109" s="401"/>
      <c r="L4109" s="401"/>
    </row>
    <row r="4110" spans="1:12" ht="25">
      <c r="A4110" s="454"/>
      <c r="B4110" s="454"/>
      <c r="C4110" s="417" t="s">
        <v>1405</v>
      </c>
      <c r="D4110" s="408">
        <v>0.9</v>
      </c>
      <c r="E4110" s="454" t="s">
        <v>1361</v>
      </c>
      <c r="F4110" s="408">
        <f>'[161]Civil-SOR'!$G$70</f>
        <v>289</v>
      </c>
      <c r="G4110" s="430">
        <v>1</v>
      </c>
      <c r="H4110" s="456" t="str">
        <f>IF(E4110="","",IF(E4110="No.","Each",IF(E4110="Nos.","Each",E4110)))</f>
        <v>Ltr</v>
      </c>
      <c r="I4110" s="408">
        <f>IF(G4110="",D4110*F4110,(D4110*F4110/G4110))</f>
        <v>260.10000000000002</v>
      </c>
      <c r="J4110" s="400"/>
      <c r="K4110" s="401"/>
      <c r="L4110" s="401"/>
    </row>
    <row r="4111" spans="1:12" ht="13">
      <c r="A4111" s="454"/>
      <c r="B4111" s="454"/>
      <c r="C4111" s="427" t="s">
        <v>911</v>
      </c>
      <c r="D4111" s="408"/>
      <c r="E4111" s="454"/>
      <c r="F4111" s="408"/>
      <c r="G4111" s="430"/>
      <c r="H4111" s="456"/>
      <c r="I4111" s="408"/>
      <c r="J4111" s="400"/>
      <c r="K4111" s="401"/>
      <c r="L4111" s="401"/>
    </row>
    <row r="4112" spans="1:12">
      <c r="A4112" s="454"/>
      <c r="B4112" s="454"/>
      <c r="C4112" s="417" t="s">
        <v>1385</v>
      </c>
      <c r="D4112" s="408">
        <v>0.33</v>
      </c>
      <c r="E4112" s="454" t="s">
        <v>375</v>
      </c>
      <c r="F4112" s="408">
        <f>'[161]Civil-SOR'!$G$296</f>
        <v>665</v>
      </c>
      <c r="G4112" s="430">
        <v>1</v>
      </c>
      <c r="H4112" s="456" t="str">
        <f t="shared" ref="H4112:H4113" si="922">IF(E4112="","",IF(E4112="No.","Each",IF(E4112="Nos.","Each",E4112)))</f>
        <v>Each</v>
      </c>
      <c r="I4112" s="408">
        <f t="shared" ref="I4112:I4114" si="923">IF(G4112="",D4112*F4112,(D4112*F4112/G4112))</f>
        <v>219.45000000000002</v>
      </c>
      <c r="J4112" s="400"/>
      <c r="K4112" s="401"/>
      <c r="L4112" s="401"/>
    </row>
    <row r="4113" spans="1:64">
      <c r="A4113" s="454"/>
      <c r="B4113" s="454"/>
      <c r="C4113" s="417" t="s">
        <v>1386</v>
      </c>
      <c r="D4113" s="408">
        <v>0.77</v>
      </c>
      <c r="E4113" s="454" t="s">
        <v>375</v>
      </c>
      <c r="F4113" s="408">
        <f>'[161]Civil-SOR'!$G$303</f>
        <v>550</v>
      </c>
      <c r="G4113" s="430">
        <v>1</v>
      </c>
      <c r="H4113" s="456" t="str">
        <f t="shared" si="922"/>
        <v>Each</v>
      </c>
      <c r="I4113" s="408">
        <f t="shared" si="923"/>
        <v>423.5</v>
      </c>
      <c r="J4113" s="400"/>
      <c r="K4113" s="401"/>
      <c r="L4113" s="401"/>
    </row>
    <row r="4114" spans="1:64">
      <c r="A4114" s="454"/>
      <c r="B4114" s="454"/>
      <c r="C4114" s="417" t="str">
        <f>[161]Input!$C$47</f>
        <v>Add for MA @ 40%</v>
      </c>
      <c r="D4114" s="621">
        <f>[161]Input!$D$47</f>
        <v>0.4</v>
      </c>
      <c r="E4114" s="454"/>
      <c r="F4114" s="408">
        <f>SUM(I4112:I4113)</f>
        <v>642.95000000000005</v>
      </c>
      <c r="G4114" s="410"/>
      <c r="H4114" s="426"/>
      <c r="I4114" s="408">
        <f t="shared" si="923"/>
        <v>257.18</v>
      </c>
      <c r="J4114" s="400"/>
      <c r="K4114" s="401"/>
      <c r="L4114" s="401"/>
    </row>
    <row r="4115" spans="1:64" ht="25">
      <c r="A4115" s="458"/>
      <c r="B4115" s="458"/>
      <c r="C4115" s="417" t="s">
        <v>1389</v>
      </c>
      <c r="D4115" s="406">
        <v>0.01</v>
      </c>
      <c r="E4115" s="406"/>
      <c r="F4115" s="432">
        <f>SUM(I4110:I4114)</f>
        <v>1160.23</v>
      </c>
      <c r="G4115" s="406"/>
      <c r="H4115" s="406"/>
      <c r="I4115" s="459"/>
      <c r="J4115" s="462"/>
      <c r="K4115" s="463"/>
      <c r="L4115" s="463"/>
      <c r="M4115" s="559"/>
      <c r="N4115" s="559"/>
      <c r="O4115" s="559"/>
      <c r="P4115" s="559"/>
      <c r="Q4115" s="559"/>
      <c r="R4115" s="559"/>
      <c r="S4115" s="559"/>
      <c r="T4115" s="559"/>
      <c r="U4115" s="559"/>
      <c r="V4115" s="559"/>
      <c r="W4115" s="559"/>
      <c r="X4115" s="559"/>
      <c r="Y4115" s="559"/>
      <c r="Z4115" s="559"/>
      <c r="AA4115" s="559"/>
      <c r="AB4115" s="559"/>
      <c r="AC4115" s="559"/>
      <c r="AD4115" s="559"/>
      <c r="AE4115" s="559"/>
      <c r="AF4115" s="559"/>
      <c r="AG4115" s="559"/>
      <c r="AH4115" s="559"/>
      <c r="AI4115" s="559"/>
      <c r="AJ4115" s="559"/>
      <c r="AK4115" s="559"/>
      <c r="AL4115" s="559"/>
      <c r="AM4115" s="559"/>
      <c r="AN4115" s="559"/>
      <c r="AO4115" s="559"/>
      <c r="AP4115" s="559"/>
      <c r="AQ4115" s="559"/>
      <c r="AR4115" s="559"/>
      <c r="AS4115" s="559"/>
      <c r="AT4115" s="559"/>
      <c r="AU4115" s="559"/>
      <c r="AV4115" s="559"/>
      <c r="AW4115" s="559"/>
      <c r="AX4115" s="559"/>
      <c r="AY4115" s="559"/>
      <c r="AZ4115" s="559"/>
      <c r="BA4115" s="559"/>
      <c r="BB4115" s="559"/>
      <c r="BC4115" s="559"/>
      <c r="BD4115" s="559"/>
      <c r="BE4115" s="559"/>
      <c r="BF4115" s="559"/>
      <c r="BG4115" s="559"/>
      <c r="BH4115" s="559"/>
      <c r="BI4115" s="559"/>
      <c r="BJ4115" s="559"/>
      <c r="BK4115" s="559"/>
      <c r="BL4115" s="559"/>
    </row>
    <row r="4116" spans="1:64" ht="13">
      <c r="A4116" s="454"/>
      <c r="B4116" s="454"/>
      <c r="C4116" s="417"/>
      <c r="D4116" s="406"/>
      <c r="E4116" s="406"/>
      <c r="F4116" s="432"/>
      <c r="G4116" s="406"/>
      <c r="H4116" s="406"/>
      <c r="I4116" s="414">
        <f>SUM(I4110:I4115)</f>
        <v>1160.23</v>
      </c>
      <c r="J4116" s="400"/>
      <c r="K4116" s="401"/>
      <c r="L4116" s="401"/>
    </row>
    <row r="4117" spans="1:64" ht="25">
      <c r="A4117" s="454"/>
      <c r="B4117" s="454"/>
      <c r="C4117" s="417" t="str">
        <f>[161]Input!$C$48</f>
        <v>Overheads &amp; Contractors Profit @ 13.615%</v>
      </c>
      <c r="D4117" s="467">
        <f>[161]Input!$D$48</f>
        <v>0.13614999999999999</v>
      </c>
      <c r="E4117" s="408"/>
      <c r="F4117" s="408">
        <f>I4116</f>
        <v>1160.23</v>
      </c>
      <c r="G4117" s="430"/>
      <c r="H4117" s="426"/>
      <c r="I4117" s="408">
        <f>IF(G4117="",D4117*F4117,(D4117*F4117/G4117))</f>
        <v>157.96531450000001</v>
      </c>
      <c r="J4117" s="400"/>
      <c r="K4117" s="401"/>
      <c r="L4117" s="401"/>
    </row>
    <row r="4118" spans="1:64" ht="13">
      <c r="A4118" s="454"/>
      <c r="B4118" s="454"/>
      <c r="C4118" s="427" t="s">
        <v>741</v>
      </c>
      <c r="D4118" s="408"/>
      <c r="E4118" s="454"/>
      <c r="F4118" s="408"/>
      <c r="G4118" s="430"/>
      <c r="H4118" s="454"/>
      <c r="I4118" s="408">
        <f>SUM(I4116:I4117)</f>
        <v>1318.1953145</v>
      </c>
      <c r="J4118" s="400"/>
      <c r="K4118" s="401"/>
      <c r="L4118" s="401"/>
    </row>
    <row r="4119" spans="1:64" ht="13">
      <c r="A4119" s="454"/>
      <c r="B4119" s="454"/>
      <c r="C4119" s="427" t="s">
        <v>742</v>
      </c>
      <c r="D4119" s="408"/>
      <c r="E4119" s="454"/>
      <c r="F4119" s="408"/>
      <c r="G4119" s="430"/>
      <c r="H4119" s="406"/>
      <c r="I4119" s="432">
        <f>I4118/10</f>
        <v>131.81953145</v>
      </c>
      <c r="J4119" s="400"/>
      <c r="K4119" s="401"/>
      <c r="L4119" s="401"/>
    </row>
    <row r="4120" spans="1:64" ht="13">
      <c r="A4120" s="454"/>
      <c r="B4120" s="454"/>
      <c r="C4120" s="469"/>
      <c r="D4120" s="408"/>
      <c r="E4120" s="454"/>
      <c r="F4120" s="408"/>
      <c r="G4120" s="430"/>
      <c r="H4120" s="415" t="s">
        <v>774</v>
      </c>
      <c r="I4120" s="414">
        <f>ROUND(I4119,0)</f>
        <v>132</v>
      </c>
      <c r="J4120" s="400"/>
      <c r="K4120" s="401"/>
      <c r="L4120" s="401"/>
    </row>
    <row r="4121" spans="1:64" ht="13">
      <c r="A4121" s="454"/>
      <c r="B4121" s="454"/>
      <c r="C4121" s="469"/>
      <c r="D4121" s="408"/>
      <c r="E4121" s="454"/>
      <c r="F4121" s="408"/>
      <c r="G4121" s="430"/>
      <c r="H4121" s="415"/>
      <c r="I4121" s="414"/>
      <c r="J4121" s="400"/>
      <c r="K4121" s="401"/>
      <c r="L4121" s="401"/>
    </row>
    <row r="4122" spans="1:64" ht="47.15" customHeight="1">
      <c r="A4122" s="454">
        <f>A4106+1</f>
        <v>16</v>
      </c>
      <c r="B4122" s="454"/>
      <c r="C4122" s="1297" t="s">
        <v>1406</v>
      </c>
      <c r="D4122" s="1297"/>
      <c r="E4122" s="1297"/>
      <c r="F4122" s="1297"/>
      <c r="G4122" s="1297"/>
      <c r="H4122" s="1297"/>
      <c r="I4122" s="407"/>
      <c r="J4122" s="400"/>
      <c r="K4122" s="401"/>
      <c r="L4122" s="401"/>
    </row>
    <row r="4123" spans="1:64" ht="13">
      <c r="A4123" s="454"/>
      <c r="B4123" s="454"/>
      <c r="C4123" s="427" t="s">
        <v>1407</v>
      </c>
      <c r="D4123" s="407"/>
      <c r="E4123" s="407"/>
      <c r="F4123" s="407"/>
      <c r="G4123" s="407"/>
      <c r="H4123" s="407"/>
      <c r="I4123" s="422"/>
      <c r="J4123" s="400"/>
      <c r="K4123" s="401"/>
      <c r="L4123" s="401"/>
    </row>
    <row r="4124" spans="1:64" ht="13">
      <c r="A4124" s="454"/>
      <c r="B4124" s="454"/>
      <c r="C4124" s="427" t="s">
        <v>1408</v>
      </c>
      <c r="D4124" s="407"/>
      <c r="E4124" s="407"/>
      <c r="F4124" s="407"/>
      <c r="G4124" s="407"/>
      <c r="H4124" s="407"/>
      <c r="I4124" s="422"/>
      <c r="J4124" s="400"/>
      <c r="K4124" s="401"/>
      <c r="L4124" s="401"/>
    </row>
    <row r="4125" spans="1:64">
      <c r="A4125" s="458"/>
      <c r="B4125" s="458"/>
      <c r="C4125" s="417" t="s">
        <v>1409</v>
      </c>
      <c r="D4125" s="633">
        <v>0.22800000000000001</v>
      </c>
      <c r="E4125" s="458" t="s">
        <v>1149</v>
      </c>
      <c r="F4125" s="459">
        <f>'[161]Civil-SOR'!$G$65</f>
        <v>217</v>
      </c>
      <c r="G4125" s="460">
        <v>1</v>
      </c>
      <c r="H4125" s="599" t="str">
        <f t="shared" ref="H4125:H4126" si="924">IF(E4125="","",IF(E4125="No","Each",IF(E4125="Nos","Each",E4125)))</f>
        <v>Ltrs</v>
      </c>
      <c r="I4125" s="459">
        <f t="shared" ref="I4125:I4126" si="925">IF(G4125="",D4125*F4125,(D4125*F4125/G4125))</f>
        <v>49.475999999999999</v>
      </c>
      <c r="J4125" s="462"/>
      <c r="K4125" s="463"/>
      <c r="L4125" s="463"/>
      <c r="M4125" s="559"/>
      <c r="N4125" s="559"/>
      <c r="O4125" s="559"/>
      <c r="P4125" s="559"/>
      <c r="Q4125" s="559"/>
      <c r="R4125" s="559"/>
      <c r="S4125" s="559"/>
      <c r="T4125" s="559"/>
      <c r="U4125" s="559"/>
      <c r="V4125" s="559"/>
      <c r="W4125" s="559"/>
      <c r="X4125" s="559"/>
      <c r="Y4125" s="559"/>
      <c r="Z4125" s="559"/>
      <c r="AA4125" s="559"/>
      <c r="AB4125" s="559"/>
      <c r="AC4125" s="559"/>
      <c r="AD4125" s="559"/>
      <c r="AE4125" s="559"/>
      <c r="AF4125" s="559"/>
      <c r="AG4125" s="559"/>
      <c r="AH4125" s="559"/>
      <c r="AI4125" s="559"/>
      <c r="AJ4125" s="559"/>
      <c r="AK4125" s="559"/>
      <c r="AL4125" s="559"/>
      <c r="AM4125" s="559"/>
      <c r="AN4125" s="559"/>
      <c r="AO4125" s="559"/>
      <c r="AP4125" s="559"/>
      <c r="AQ4125" s="559"/>
      <c r="AR4125" s="559"/>
      <c r="AS4125" s="559"/>
      <c r="AT4125" s="559"/>
      <c r="AU4125" s="559"/>
      <c r="AV4125" s="559"/>
      <c r="AW4125" s="559"/>
      <c r="AX4125" s="559"/>
      <c r="AY4125" s="559"/>
      <c r="AZ4125" s="559"/>
      <c r="BA4125" s="559"/>
      <c r="BB4125" s="559"/>
      <c r="BC4125" s="559"/>
      <c r="BD4125" s="559"/>
      <c r="BE4125" s="559"/>
      <c r="BF4125" s="559"/>
      <c r="BG4125" s="559"/>
      <c r="BH4125" s="559"/>
      <c r="BI4125" s="559"/>
      <c r="BJ4125" s="559"/>
      <c r="BK4125" s="559"/>
      <c r="BL4125" s="559"/>
    </row>
    <row r="4126" spans="1:64">
      <c r="A4126" s="458"/>
      <c r="B4126" s="458"/>
      <c r="C4126" s="417" t="s">
        <v>1410</v>
      </c>
      <c r="D4126" s="459">
        <v>1.63</v>
      </c>
      <c r="E4126" s="458" t="s">
        <v>1149</v>
      </c>
      <c r="F4126" s="459">
        <f>'[161]Civil-SOR'!$G$62</f>
        <v>118</v>
      </c>
      <c r="G4126" s="460">
        <v>1</v>
      </c>
      <c r="H4126" s="599" t="str">
        <f t="shared" si="924"/>
        <v>Ltrs</v>
      </c>
      <c r="I4126" s="459">
        <f t="shared" si="925"/>
        <v>192.33999999999997</v>
      </c>
      <c r="J4126" s="462"/>
      <c r="K4126" s="463"/>
      <c r="L4126" s="463"/>
      <c r="M4126" s="559"/>
      <c r="N4126" s="559"/>
      <c r="O4126" s="559"/>
      <c r="P4126" s="559"/>
      <c r="Q4126" s="559"/>
      <c r="R4126" s="559"/>
      <c r="S4126" s="559"/>
      <c r="T4126" s="559"/>
      <c r="U4126" s="559"/>
      <c r="V4126" s="559"/>
      <c r="W4126" s="559"/>
      <c r="X4126" s="559"/>
      <c r="Y4126" s="559"/>
      <c r="Z4126" s="559"/>
      <c r="AA4126" s="559"/>
      <c r="AB4126" s="559"/>
      <c r="AC4126" s="559"/>
      <c r="AD4126" s="559"/>
      <c r="AE4126" s="559"/>
      <c r="AF4126" s="559"/>
      <c r="AG4126" s="559"/>
      <c r="AH4126" s="559"/>
      <c r="AI4126" s="559"/>
      <c r="AJ4126" s="559"/>
      <c r="AK4126" s="559"/>
      <c r="AL4126" s="559"/>
      <c r="AM4126" s="559"/>
      <c r="AN4126" s="559"/>
      <c r="AO4126" s="559"/>
      <c r="AP4126" s="559"/>
      <c r="AQ4126" s="559"/>
      <c r="AR4126" s="559"/>
      <c r="AS4126" s="559"/>
      <c r="AT4126" s="559"/>
      <c r="AU4126" s="559"/>
      <c r="AV4126" s="559"/>
      <c r="AW4126" s="559"/>
      <c r="AX4126" s="559"/>
      <c r="AY4126" s="559"/>
      <c r="AZ4126" s="559"/>
      <c r="BA4126" s="559"/>
      <c r="BB4126" s="559"/>
      <c r="BC4126" s="559"/>
      <c r="BD4126" s="559"/>
      <c r="BE4126" s="559"/>
      <c r="BF4126" s="559"/>
      <c r="BG4126" s="559"/>
      <c r="BH4126" s="559"/>
      <c r="BI4126" s="559"/>
      <c r="BJ4126" s="559"/>
      <c r="BK4126" s="559"/>
      <c r="BL4126" s="559"/>
    </row>
    <row r="4127" spans="1:64">
      <c r="A4127" s="458"/>
      <c r="B4127" s="458"/>
      <c r="C4127" s="417" t="s">
        <v>1411</v>
      </c>
      <c r="D4127" s="459"/>
      <c r="E4127" s="458"/>
      <c r="F4127" s="459"/>
      <c r="G4127" s="460"/>
      <c r="H4127" s="599"/>
      <c r="I4127" s="459"/>
      <c r="J4127" s="462"/>
      <c r="K4127" s="463"/>
      <c r="L4127" s="463"/>
      <c r="M4127" s="559"/>
      <c r="N4127" s="559"/>
      <c r="O4127" s="559"/>
      <c r="P4127" s="559"/>
      <c r="Q4127" s="559"/>
      <c r="R4127" s="559"/>
      <c r="S4127" s="559"/>
      <c r="T4127" s="559"/>
      <c r="U4127" s="559"/>
      <c r="V4127" s="559"/>
      <c r="W4127" s="559"/>
      <c r="X4127" s="559"/>
      <c r="Y4127" s="559"/>
      <c r="Z4127" s="559"/>
      <c r="AA4127" s="559"/>
      <c r="AB4127" s="559"/>
      <c r="AC4127" s="559"/>
      <c r="AD4127" s="559"/>
      <c r="AE4127" s="559"/>
      <c r="AF4127" s="559"/>
      <c r="AG4127" s="559"/>
      <c r="AH4127" s="559"/>
      <c r="AI4127" s="559"/>
      <c r="AJ4127" s="559"/>
      <c r="AK4127" s="559"/>
      <c r="AL4127" s="559"/>
      <c r="AM4127" s="559"/>
      <c r="AN4127" s="559"/>
      <c r="AO4127" s="559"/>
      <c r="AP4127" s="559"/>
      <c r="AQ4127" s="559"/>
      <c r="AR4127" s="559"/>
      <c r="AS4127" s="559"/>
      <c r="AT4127" s="559"/>
      <c r="AU4127" s="559"/>
      <c r="AV4127" s="559"/>
      <c r="AW4127" s="559"/>
      <c r="AX4127" s="559"/>
      <c r="AY4127" s="559"/>
      <c r="AZ4127" s="559"/>
      <c r="BA4127" s="559"/>
      <c r="BB4127" s="559"/>
      <c r="BC4127" s="559"/>
      <c r="BD4127" s="559"/>
      <c r="BE4127" s="559"/>
      <c r="BF4127" s="559"/>
      <c r="BG4127" s="559"/>
      <c r="BH4127" s="559"/>
      <c r="BI4127" s="559"/>
      <c r="BJ4127" s="559"/>
      <c r="BK4127" s="559"/>
      <c r="BL4127" s="559"/>
    </row>
    <row r="4128" spans="1:64">
      <c r="A4128" s="458"/>
      <c r="B4128" s="458"/>
      <c r="C4128" s="417" t="s">
        <v>1385</v>
      </c>
      <c r="D4128" s="459">
        <v>0.96</v>
      </c>
      <c r="E4128" s="458" t="s">
        <v>375</v>
      </c>
      <c r="F4128" s="459">
        <f>'[161]Civil-SOR'!$G$296</f>
        <v>665</v>
      </c>
      <c r="G4128" s="460">
        <v>1</v>
      </c>
      <c r="H4128" s="599" t="str">
        <f t="shared" ref="H4128:H4129" si="926">IF(E4128="","",IF(E4128="No","Each",IF(E4128="Nos","Each",E4128)))</f>
        <v>Nos.</v>
      </c>
      <c r="I4128" s="459">
        <f t="shared" ref="I4128:I4130" si="927">IF(G4128="",D4128*F4128,(D4128*F4128/G4128))</f>
        <v>638.4</v>
      </c>
      <c r="J4128" s="462"/>
      <c r="K4128" s="463"/>
      <c r="L4128" s="463"/>
      <c r="M4128" s="559"/>
      <c r="N4128" s="559"/>
      <c r="O4128" s="559"/>
      <c r="P4128" s="559"/>
      <c r="Q4128" s="559"/>
      <c r="R4128" s="559"/>
      <c r="S4128" s="559"/>
      <c r="T4128" s="559"/>
      <c r="U4128" s="559"/>
      <c r="V4128" s="559"/>
      <c r="W4128" s="559"/>
      <c r="X4128" s="559"/>
      <c r="Y4128" s="559"/>
      <c r="Z4128" s="559"/>
      <c r="AA4128" s="559"/>
      <c r="AB4128" s="559"/>
      <c r="AC4128" s="559"/>
      <c r="AD4128" s="559"/>
      <c r="AE4128" s="559"/>
      <c r="AF4128" s="559"/>
      <c r="AG4128" s="559"/>
      <c r="AH4128" s="559"/>
      <c r="AI4128" s="559"/>
      <c r="AJ4128" s="559"/>
      <c r="AK4128" s="559"/>
      <c r="AL4128" s="559"/>
      <c r="AM4128" s="559"/>
      <c r="AN4128" s="559"/>
      <c r="AO4128" s="559"/>
      <c r="AP4128" s="559"/>
      <c r="AQ4128" s="559"/>
      <c r="AR4128" s="559"/>
      <c r="AS4128" s="559"/>
      <c r="AT4128" s="559"/>
      <c r="AU4128" s="559"/>
      <c r="AV4128" s="559"/>
      <c r="AW4128" s="559"/>
      <c r="AX4128" s="559"/>
      <c r="AY4128" s="559"/>
      <c r="AZ4128" s="559"/>
      <c r="BA4128" s="559"/>
      <c r="BB4128" s="559"/>
      <c r="BC4128" s="559"/>
      <c r="BD4128" s="559"/>
      <c r="BE4128" s="559"/>
      <c r="BF4128" s="559"/>
      <c r="BG4128" s="559"/>
      <c r="BH4128" s="559"/>
      <c r="BI4128" s="559"/>
      <c r="BJ4128" s="559"/>
      <c r="BK4128" s="559"/>
      <c r="BL4128" s="559"/>
    </row>
    <row r="4129" spans="1:64">
      <c r="A4129" s="458"/>
      <c r="B4129" s="458"/>
      <c r="C4129" s="417" t="s">
        <v>1386</v>
      </c>
      <c r="D4129" s="459">
        <v>2.2400000000000002</v>
      </c>
      <c r="E4129" s="458" t="s">
        <v>375</v>
      </c>
      <c r="F4129" s="459">
        <f>'[161]Civil-SOR'!$G$303</f>
        <v>550</v>
      </c>
      <c r="G4129" s="460">
        <v>1</v>
      </c>
      <c r="H4129" s="599" t="str">
        <f t="shared" si="926"/>
        <v>Nos.</v>
      </c>
      <c r="I4129" s="459">
        <f t="shared" si="927"/>
        <v>1232.0000000000002</v>
      </c>
      <c r="J4129" s="462"/>
      <c r="K4129" s="463"/>
      <c r="L4129" s="463"/>
      <c r="M4129" s="559"/>
      <c r="N4129" s="559"/>
      <c r="O4129" s="559"/>
      <c r="P4129" s="559"/>
      <c r="Q4129" s="559"/>
      <c r="R4129" s="559"/>
      <c r="S4129" s="559"/>
      <c r="T4129" s="559"/>
      <c r="U4129" s="559"/>
      <c r="V4129" s="559"/>
      <c r="W4129" s="559"/>
      <c r="X4129" s="559"/>
      <c r="Y4129" s="559"/>
      <c r="Z4129" s="559"/>
      <c r="AA4129" s="559"/>
      <c r="AB4129" s="559"/>
      <c r="AC4129" s="559"/>
      <c r="AD4129" s="559"/>
      <c r="AE4129" s="559"/>
      <c r="AF4129" s="559"/>
      <c r="AG4129" s="559"/>
      <c r="AH4129" s="559"/>
      <c r="AI4129" s="559"/>
      <c r="AJ4129" s="559"/>
      <c r="AK4129" s="559"/>
      <c r="AL4129" s="559"/>
      <c r="AM4129" s="559"/>
      <c r="AN4129" s="559"/>
      <c r="AO4129" s="559"/>
      <c r="AP4129" s="559"/>
      <c r="AQ4129" s="559"/>
      <c r="AR4129" s="559"/>
      <c r="AS4129" s="559"/>
      <c r="AT4129" s="559"/>
      <c r="AU4129" s="559"/>
      <c r="AV4129" s="559"/>
      <c r="AW4129" s="559"/>
      <c r="AX4129" s="559"/>
      <c r="AY4129" s="559"/>
      <c r="AZ4129" s="559"/>
      <c r="BA4129" s="559"/>
      <c r="BB4129" s="559"/>
      <c r="BC4129" s="559"/>
      <c r="BD4129" s="559"/>
      <c r="BE4129" s="559"/>
      <c r="BF4129" s="559"/>
      <c r="BG4129" s="559"/>
      <c r="BH4129" s="559"/>
      <c r="BI4129" s="559"/>
      <c r="BJ4129" s="559"/>
      <c r="BK4129" s="559"/>
      <c r="BL4129" s="559"/>
    </row>
    <row r="4130" spans="1:64">
      <c r="A4130" s="458"/>
      <c r="B4130" s="458"/>
      <c r="C4130" s="417" t="str">
        <f>[161]Input!$C$47</f>
        <v>Add for MA @ 40%</v>
      </c>
      <c r="D4130" s="622">
        <f>[161]Input!$D$47</f>
        <v>0.4</v>
      </c>
      <c r="E4130" s="458"/>
      <c r="F4130" s="459">
        <f>SUM(I4128:I4129)</f>
        <v>1870.4</v>
      </c>
      <c r="G4130" s="460"/>
      <c r="H4130" s="599"/>
      <c r="I4130" s="459">
        <f t="shared" si="927"/>
        <v>748.16000000000008</v>
      </c>
      <c r="J4130" s="462"/>
      <c r="K4130" s="463"/>
      <c r="L4130" s="463"/>
      <c r="M4130" s="559"/>
      <c r="N4130" s="559"/>
      <c r="O4130" s="559"/>
      <c r="P4130" s="559"/>
      <c r="Q4130" s="559"/>
      <c r="R4130" s="559"/>
      <c r="S4130" s="559"/>
      <c r="T4130" s="559"/>
      <c r="U4130" s="559"/>
      <c r="V4130" s="559"/>
      <c r="W4130" s="559"/>
      <c r="X4130" s="559"/>
      <c r="Y4130" s="559"/>
      <c r="Z4130" s="559"/>
      <c r="AA4130" s="559"/>
      <c r="AB4130" s="559"/>
      <c r="AC4130" s="559"/>
      <c r="AD4130" s="559"/>
      <c r="AE4130" s="559"/>
      <c r="AF4130" s="559"/>
      <c r="AG4130" s="559"/>
      <c r="AH4130" s="559"/>
      <c r="AI4130" s="559"/>
      <c r="AJ4130" s="559"/>
      <c r="AK4130" s="559"/>
      <c r="AL4130" s="559"/>
      <c r="AM4130" s="559"/>
      <c r="AN4130" s="559"/>
      <c r="AO4130" s="559"/>
      <c r="AP4130" s="559"/>
      <c r="AQ4130" s="559"/>
      <c r="AR4130" s="559"/>
      <c r="AS4130" s="559"/>
      <c r="AT4130" s="559"/>
      <c r="AU4130" s="559"/>
      <c r="AV4130" s="559"/>
      <c r="AW4130" s="559"/>
      <c r="AX4130" s="559"/>
      <c r="AY4130" s="559"/>
      <c r="AZ4130" s="559"/>
      <c r="BA4130" s="559"/>
      <c r="BB4130" s="559"/>
      <c r="BC4130" s="559"/>
      <c r="BD4130" s="559"/>
      <c r="BE4130" s="559"/>
      <c r="BF4130" s="559"/>
      <c r="BG4130" s="559"/>
      <c r="BH4130" s="559"/>
      <c r="BI4130" s="559"/>
      <c r="BJ4130" s="559"/>
      <c r="BK4130" s="559"/>
      <c r="BL4130" s="559"/>
    </row>
    <row r="4131" spans="1:64" ht="37.5">
      <c r="A4131" s="458"/>
      <c r="B4131" s="458"/>
      <c r="C4131" s="417" t="s">
        <v>1412</v>
      </c>
      <c r="D4131" s="406">
        <v>0.01</v>
      </c>
      <c r="E4131" s="406"/>
      <c r="F4131" s="432">
        <f>SUM(I4125:I4130)</f>
        <v>2860.3760000000002</v>
      </c>
      <c r="G4131" s="406"/>
      <c r="H4131" s="406"/>
      <c r="I4131" s="459"/>
      <c r="J4131" s="462"/>
      <c r="K4131" s="463"/>
      <c r="L4131" s="463"/>
      <c r="M4131" s="559"/>
      <c r="N4131" s="559"/>
      <c r="O4131" s="559"/>
      <c r="P4131" s="559"/>
      <c r="Q4131" s="559"/>
      <c r="R4131" s="559"/>
      <c r="S4131" s="559"/>
      <c r="T4131" s="559"/>
      <c r="U4131" s="559"/>
      <c r="V4131" s="559"/>
      <c r="W4131" s="559"/>
      <c r="X4131" s="559"/>
      <c r="Y4131" s="559"/>
      <c r="Z4131" s="559"/>
      <c r="AA4131" s="559"/>
      <c r="AB4131" s="559"/>
      <c r="AC4131" s="559"/>
      <c r="AD4131" s="559"/>
      <c r="AE4131" s="559"/>
      <c r="AF4131" s="559"/>
      <c r="AG4131" s="559"/>
      <c r="AH4131" s="559"/>
      <c r="AI4131" s="559"/>
      <c r="AJ4131" s="559"/>
      <c r="AK4131" s="559"/>
      <c r="AL4131" s="559"/>
      <c r="AM4131" s="559"/>
      <c r="AN4131" s="559"/>
      <c r="AO4131" s="559"/>
      <c r="AP4131" s="559"/>
      <c r="AQ4131" s="559"/>
      <c r="AR4131" s="559"/>
      <c r="AS4131" s="559"/>
      <c r="AT4131" s="559"/>
      <c r="AU4131" s="559"/>
      <c r="AV4131" s="559"/>
      <c r="AW4131" s="559"/>
      <c r="AX4131" s="559"/>
      <c r="AY4131" s="559"/>
      <c r="AZ4131" s="559"/>
      <c r="BA4131" s="559"/>
      <c r="BB4131" s="559"/>
      <c r="BC4131" s="559"/>
      <c r="BD4131" s="559"/>
      <c r="BE4131" s="559"/>
      <c r="BF4131" s="559"/>
      <c r="BG4131" s="559"/>
      <c r="BH4131" s="559"/>
      <c r="BI4131" s="559"/>
      <c r="BJ4131" s="559"/>
      <c r="BK4131" s="559"/>
      <c r="BL4131" s="559"/>
    </row>
    <row r="4132" spans="1:64" ht="13">
      <c r="A4132" s="458"/>
      <c r="B4132" s="458"/>
      <c r="C4132" s="435"/>
      <c r="D4132" s="406"/>
      <c r="E4132" s="458"/>
      <c r="F4132" s="459"/>
      <c r="G4132" s="460"/>
      <c r="H4132" s="599"/>
      <c r="I4132" s="461">
        <f>SUM(I4125:I4131)</f>
        <v>2860.3760000000002</v>
      </c>
      <c r="J4132" s="462"/>
      <c r="K4132" s="463"/>
      <c r="L4132" s="463"/>
      <c r="M4132" s="559"/>
      <c r="N4132" s="559"/>
      <c r="O4132" s="559"/>
      <c r="P4132" s="559"/>
      <c r="Q4132" s="559"/>
      <c r="R4132" s="559"/>
      <c r="S4132" s="559"/>
      <c r="T4132" s="559"/>
      <c r="U4132" s="559"/>
      <c r="V4132" s="559"/>
      <c r="W4132" s="559"/>
      <c r="X4132" s="559"/>
      <c r="Y4132" s="559"/>
      <c r="Z4132" s="559"/>
      <c r="AA4132" s="559"/>
      <c r="AB4132" s="559"/>
      <c r="AC4132" s="559"/>
      <c r="AD4132" s="559"/>
      <c r="AE4132" s="559"/>
      <c r="AF4132" s="559"/>
      <c r="AG4132" s="559"/>
      <c r="AH4132" s="559"/>
      <c r="AI4132" s="559"/>
      <c r="AJ4132" s="559"/>
      <c r="AK4132" s="559"/>
      <c r="AL4132" s="559"/>
      <c r="AM4132" s="559"/>
      <c r="AN4132" s="559"/>
      <c r="AO4132" s="559"/>
      <c r="AP4132" s="559"/>
      <c r="AQ4132" s="559"/>
      <c r="AR4132" s="559"/>
      <c r="AS4132" s="559"/>
      <c r="AT4132" s="559"/>
      <c r="AU4132" s="559"/>
      <c r="AV4132" s="559"/>
      <c r="AW4132" s="559"/>
      <c r="AX4132" s="559"/>
      <c r="AY4132" s="559"/>
      <c r="AZ4132" s="559"/>
      <c r="BA4132" s="559"/>
      <c r="BB4132" s="559"/>
      <c r="BC4132" s="559"/>
      <c r="BD4132" s="559"/>
      <c r="BE4132" s="559"/>
      <c r="BF4132" s="559"/>
      <c r="BG4132" s="559"/>
      <c r="BH4132" s="559"/>
      <c r="BI4132" s="559"/>
      <c r="BJ4132" s="559"/>
      <c r="BK4132" s="559"/>
      <c r="BL4132" s="559"/>
    </row>
    <row r="4133" spans="1:64" ht="25">
      <c r="A4133" s="458"/>
      <c r="B4133" s="458"/>
      <c r="C4133" s="417" t="str">
        <f>[161]Input!$C$48</f>
        <v>Overheads &amp; Contractors Profit @ 13.615%</v>
      </c>
      <c r="D4133" s="738">
        <f>[161]Input!$D$48</f>
        <v>0.13614999999999999</v>
      </c>
      <c r="E4133" s="458"/>
      <c r="F4133" s="459">
        <f>I4132</f>
        <v>2860.3760000000002</v>
      </c>
      <c r="G4133" s="460"/>
      <c r="H4133" s="599"/>
      <c r="I4133" s="459">
        <f>IF(G4133="",D4133*F4133,(D4133*F4133/G4133))</f>
        <v>389.4401924</v>
      </c>
      <c r="J4133" s="462"/>
      <c r="K4133" s="463"/>
      <c r="L4133" s="463"/>
      <c r="M4133" s="559"/>
      <c r="N4133" s="559"/>
      <c r="O4133" s="559"/>
      <c r="P4133" s="559"/>
      <c r="Q4133" s="559"/>
      <c r="R4133" s="559"/>
      <c r="S4133" s="559"/>
      <c r="T4133" s="559"/>
      <c r="U4133" s="559"/>
      <c r="V4133" s="559"/>
      <c r="W4133" s="559"/>
      <c r="X4133" s="559"/>
      <c r="Y4133" s="559"/>
      <c r="Z4133" s="559"/>
      <c r="AA4133" s="559"/>
      <c r="AB4133" s="559"/>
      <c r="AC4133" s="559"/>
      <c r="AD4133" s="559"/>
      <c r="AE4133" s="559"/>
      <c r="AF4133" s="559"/>
      <c r="AG4133" s="559"/>
      <c r="AH4133" s="559"/>
      <c r="AI4133" s="559"/>
      <c r="AJ4133" s="559"/>
      <c r="AK4133" s="559"/>
      <c r="AL4133" s="559"/>
      <c r="AM4133" s="559"/>
      <c r="AN4133" s="559"/>
      <c r="AO4133" s="559"/>
      <c r="AP4133" s="559"/>
      <c r="AQ4133" s="559"/>
      <c r="AR4133" s="559"/>
      <c r="AS4133" s="559"/>
      <c r="AT4133" s="559"/>
      <c r="AU4133" s="559"/>
      <c r="AV4133" s="559"/>
      <c r="AW4133" s="559"/>
      <c r="AX4133" s="559"/>
      <c r="AY4133" s="559"/>
      <c r="AZ4133" s="559"/>
      <c r="BA4133" s="559"/>
      <c r="BB4133" s="559"/>
      <c r="BC4133" s="559"/>
      <c r="BD4133" s="559"/>
      <c r="BE4133" s="559"/>
      <c r="BF4133" s="559"/>
      <c r="BG4133" s="559"/>
      <c r="BH4133" s="559"/>
      <c r="BI4133" s="559"/>
      <c r="BJ4133" s="559"/>
      <c r="BK4133" s="559"/>
      <c r="BL4133" s="559"/>
    </row>
    <row r="4134" spans="1:64" ht="13">
      <c r="A4134" s="458"/>
      <c r="B4134" s="458"/>
      <c r="C4134" s="427" t="s">
        <v>1047</v>
      </c>
      <c r="D4134" s="459"/>
      <c r="E4134" s="458"/>
      <c r="F4134" s="459"/>
      <c r="G4134" s="460"/>
      <c r="H4134" s="599"/>
      <c r="I4134" s="461">
        <f>SUM(I4132:I4133)</f>
        <v>3249.8161924000001</v>
      </c>
      <c r="J4134" s="462"/>
      <c r="K4134" s="463"/>
      <c r="L4134" s="463"/>
      <c r="M4134" s="559"/>
      <c r="N4134" s="559"/>
      <c r="O4134" s="559"/>
      <c r="P4134" s="559"/>
      <c r="Q4134" s="559"/>
      <c r="R4134" s="559"/>
      <c r="S4134" s="559"/>
      <c r="T4134" s="559"/>
      <c r="U4134" s="559"/>
      <c r="V4134" s="559"/>
      <c r="W4134" s="559"/>
      <c r="X4134" s="559"/>
      <c r="Y4134" s="559"/>
      <c r="Z4134" s="559"/>
      <c r="AA4134" s="559"/>
      <c r="AB4134" s="559"/>
      <c r="AC4134" s="559"/>
      <c r="AD4134" s="559"/>
      <c r="AE4134" s="559"/>
      <c r="AF4134" s="559"/>
      <c r="AG4134" s="559"/>
      <c r="AH4134" s="559"/>
      <c r="AI4134" s="559"/>
      <c r="AJ4134" s="559"/>
      <c r="AK4134" s="559"/>
      <c r="AL4134" s="559"/>
      <c r="AM4134" s="559"/>
      <c r="AN4134" s="559"/>
      <c r="AO4134" s="559"/>
      <c r="AP4134" s="559"/>
      <c r="AQ4134" s="559"/>
      <c r="AR4134" s="559"/>
      <c r="AS4134" s="559"/>
      <c r="AT4134" s="559"/>
      <c r="AU4134" s="559"/>
      <c r="AV4134" s="559"/>
      <c r="AW4134" s="559"/>
      <c r="AX4134" s="559"/>
      <c r="AY4134" s="559"/>
      <c r="AZ4134" s="559"/>
      <c r="BA4134" s="559"/>
      <c r="BB4134" s="559"/>
      <c r="BC4134" s="559"/>
      <c r="BD4134" s="559"/>
      <c r="BE4134" s="559"/>
      <c r="BF4134" s="559"/>
      <c r="BG4134" s="559"/>
      <c r="BH4134" s="559"/>
      <c r="BI4134" s="559"/>
      <c r="BJ4134" s="559"/>
      <c r="BK4134" s="559"/>
      <c r="BL4134" s="559"/>
    </row>
    <row r="4135" spans="1:64" ht="13">
      <c r="A4135" s="458"/>
      <c r="B4135" s="458"/>
      <c r="C4135" s="427" t="s">
        <v>845</v>
      </c>
      <c r="D4135" s="459"/>
      <c r="E4135" s="458"/>
      <c r="F4135" s="459"/>
      <c r="G4135" s="460"/>
      <c r="H4135" s="406"/>
      <c r="I4135" s="432">
        <f>I4134/10</f>
        <v>324.98161923999999</v>
      </c>
      <c r="J4135" s="462"/>
      <c r="K4135" s="463"/>
      <c r="L4135" s="463"/>
      <c r="M4135" s="559"/>
      <c r="N4135" s="559"/>
      <c r="O4135" s="559"/>
      <c r="P4135" s="559"/>
      <c r="Q4135" s="559"/>
      <c r="R4135" s="559"/>
      <c r="S4135" s="559"/>
      <c r="T4135" s="559"/>
      <c r="U4135" s="559"/>
      <c r="V4135" s="559"/>
      <c r="W4135" s="559"/>
      <c r="X4135" s="559"/>
      <c r="Y4135" s="559"/>
      <c r="Z4135" s="559"/>
      <c r="AA4135" s="559"/>
      <c r="AB4135" s="559"/>
      <c r="AC4135" s="559"/>
      <c r="AD4135" s="559"/>
      <c r="AE4135" s="559"/>
      <c r="AF4135" s="559"/>
      <c r="AG4135" s="559"/>
      <c r="AH4135" s="559"/>
      <c r="AI4135" s="559"/>
      <c r="AJ4135" s="559"/>
      <c r="AK4135" s="559"/>
      <c r="AL4135" s="559"/>
      <c r="AM4135" s="559"/>
      <c r="AN4135" s="559"/>
      <c r="AO4135" s="559"/>
      <c r="AP4135" s="559"/>
      <c r="AQ4135" s="559"/>
      <c r="AR4135" s="559"/>
      <c r="AS4135" s="559"/>
      <c r="AT4135" s="559"/>
      <c r="AU4135" s="559"/>
      <c r="AV4135" s="559"/>
      <c r="AW4135" s="559"/>
      <c r="AX4135" s="559"/>
      <c r="AY4135" s="559"/>
      <c r="AZ4135" s="559"/>
      <c r="BA4135" s="559"/>
      <c r="BB4135" s="559"/>
      <c r="BC4135" s="559"/>
      <c r="BD4135" s="559"/>
      <c r="BE4135" s="559"/>
      <c r="BF4135" s="559"/>
      <c r="BG4135" s="559"/>
      <c r="BH4135" s="559"/>
      <c r="BI4135" s="559"/>
      <c r="BJ4135" s="559"/>
      <c r="BK4135" s="559"/>
      <c r="BL4135" s="559"/>
    </row>
    <row r="4136" spans="1:64" ht="13">
      <c r="A4136" s="454"/>
      <c r="B4136" s="454"/>
      <c r="C4136" s="469"/>
      <c r="D4136" s="408"/>
      <c r="E4136" s="454"/>
      <c r="F4136" s="408"/>
      <c r="G4136" s="430"/>
      <c r="H4136" s="415" t="s">
        <v>774</v>
      </c>
      <c r="I4136" s="414">
        <f>ROUND(I4135,0)</f>
        <v>325</v>
      </c>
      <c r="J4136" s="400"/>
      <c r="K4136" s="401"/>
      <c r="L4136" s="401"/>
    </row>
    <row r="4137" spans="1:64" ht="13">
      <c r="A4137" s="454"/>
      <c r="B4137" s="454"/>
      <c r="C4137" s="469"/>
      <c r="D4137" s="408"/>
      <c r="E4137" s="454"/>
      <c r="F4137" s="408"/>
      <c r="G4137" s="430"/>
      <c r="H4137" s="415"/>
      <c r="I4137" s="414"/>
      <c r="J4137" s="400"/>
      <c r="K4137" s="401"/>
      <c r="L4137" s="401"/>
    </row>
    <row r="4138" spans="1:64" ht="112.75" customHeight="1">
      <c r="A4138" s="454">
        <f>1+A4084</f>
        <v>15</v>
      </c>
      <c r="B4138" s="454"/>
      <c r="C4138" s="1276" t="s">
        <v>1413</v>
      </c>
      <c r="D4138" s="1276"/>
      <c r="E4138" s="1276"/>
      <c r="F4138" s="1276"/>
      <c r="G4138" s="1276"/>
      <c r="H4138" s="1276"/>
      <c r="I4138" s="407"/>
      <c r="J4138" s="400"/>
      <c r="K4138" s="401"/>
      <c r="L4138" s="401"/>
    </row>
    <row r="4139" spans="1:64" ht="12.75" customHeight="1">
      <c r="A4139" s="454"/>
      <c r="B4139" s="454"/>
      <c r="C4139" s="1294" t="s">
        <v>1350</v>
      </c>
      <c r="D4139" s="1294"/>
      <c r="E4139" s="426"/>
      <c r="F4139" s="426"/>
      <c r="G4139" s="426"/>
      <c r="H4139" s="426"/>
      <c r="I4139" s="409"/>
      <c r="J4139" s="400"/>
      <c r="K4139" s="401"/>
      <c r="L4139" s="401"/>
    </row>
    <row r="4140" spans="1:64" ht="13">
      <c r="A4140" s="454"/>
      <c r="B4140" s="454"/>
      <c r="C4140" s="451" t="s">
        <v>1414</v>
      </c>
      <c r="D4140" s="407"/>
      <c r="E4140" s="426"/>
      <c r="F4140" s="426"/>
      <c r="G4140" s="426"/>
      <c r="H4140" s="426"/>
      <c r="I4140" s="409"/>
      <c r="J4140" s="400"/>
      <c r="K4140" s="401"/>
      <c r="L4140" s="401"/>
    </row>
    <row r="4141" spans="1:64" ht="13">
      <c r="A4141" s="454"/>
      <c r="B4141" s="454"/>
      <c r="C4141" s="427" t="s">
        <v>1408</v>
      </c>
      <c r="D4141" s="407"/>
      <c r="E4141" s="407"/>
      <c r="F4141" s="407"/>
      <c r="G4141" s="407"/>
      <c r="H4141" s="407"/>
      <c r="I4141" s="422"/>
      <c r="J4141" s="400"/>
      <c r="K4141" s="401"/>
      <c r="L4141" s="401"/>
    </row>
    <row r="4142" spans="1:64">
      <c r="A4142" s="454"/>
      <c r="B4142" s="454"/>
      <c r="C4142" s="417" t="s">
        <v>1415</v>
      </c>
      <c r="D4142" s="532">
        <v>6.5000000000000002E-2</v>
      </c>
      <c r="E4142" s="454" t="s">
        <v>1149</v>
      </c>
      <c r="F4142" s="408">
        <f>'[161]Civil-SOR'!$G$74</f>
        <v>365</v>
      </c>
      <c r="G4142" s="430">
        <v>1</v>
      </c>
      <c r="H4142" s="456" t="str">
        <f t="shared" ref="H4142:H4143" si="928">IF(E4142="","",IF(E4142="No","Each",IF(E4142="Nos","Each",E4142)))</f>
        <v>Ltrs</v>
      </c>
      <c r="I4142" s="408">
        <f t="shared" ref="I4142:I4143" si="929">IF(G4142="",D4142*F4142,(D4142*F4142/G4142))</f>
        <v>23.725000000000001</v>
      </c>
      <c r="J4142" s="400"/>
      <c r="K4142" s="401"/>
      <c r="L4142" s="401"/>
    </row>
    <row r="4143" spans="1:64">
      <c r="A4143" s="454"/>
      <c r="B4143" s="454"/>
      <c r="C4143" s="417" t="s">
        <v>1416</v>
      </c>
      <c r="D4143" s="532">
        <v>3.3000000000000002E-2</v>
      </c>
      <c r="E4143" s="454" t="s">
        <v>1149</v>
      </c>
      <c r="F4143" s="408">
        <f>'[161]Civil-SOR'!$G$64</f>
        <v>154</v>
      </c>
      <c r="G4143" s="430">
        <v>1</v>
      </c>
      <c r="H4143" s="456" t="str">
        <f t="shared" si="928"/>
        <v>Ltrs</v>
      </c>
      <c r="I4143" s="408">
        <f t="shared" si="929"/>
        <v>5.0819999999999999</v>
      </c>
      <c r="J4143" s="400"/>
      <c r="K4143" s="401"/>
      <c r="L4143" s="401"/>
    </row>
    <row r="4144" spans="1:64">
      <c r="A4144" s="454"/>
      <c r="B4144" s="454"/>
      <c r="C4144" s="417" t="s">
        <v>1411</v>
      </c>
      <c r="D4144" s="408"/>
      <c r="E4144" s="454"/>
      <c r="F4144" s="408"/>
      <c r="G4144" s="430"/>
      <c r="H4144" s="456"/>
      <c r="I4144" s="408"/>
      <c r="J4144" s="400"/>
      <c r="K4144" s="401"/>
      <c r="L4144" s="401"/>
    </row>
    <row r="4145" spans="1:64">
      <c r="A4145" s="454"/>
      <c r="B4145" s="454"/>
      <c r="C4145" s="417" t="s">
        <v>1385</v>
      </c>
      <c r="D4145" s="408">
        <v>0.24</v>
      </c>
      <c r="E4145" s="454" t="s">
        <v>375</v>
      </c>
      <c r="F4145" s="408">
        <f>'[161]Civil-SOR'!$G$296</f>
        <v>665</v>
      </c>
      <c r="G4145" s="430">
        <v>1</v>
      </c>
      <c r="H4145" s="456" t="str">
        <f t="shared" ref="H4145:H4147" si="930">IF(E4145="","",IF(E4145="No","Each",IF(E4145="Nos","Each",E4145)))</f>
        <v>Nos.</v>
      </c>
      <c r="I4145" s="408">
        <f t="shared" ref="I4145:I4148" si="931">IF(G4145="",D4145*F4145,(D4145*F4145/G4145))</f>
        <v>159.6</v>
      </c>
      <c r="J4145" s="400"/>
      <c r="K4145" s="401"/>
      <c r="L4145" s="401"/>
    </row>
    <row r="4146" spans="1:64">
      <c r="A4146" s="454"/>
      <c r="B4146" s="454"/>
      <c r="C4146" s="417" t="s">
        <v>1386</v>
      </c>
      <c r="D4146" s="408">
        <v>0.56000000000000005</v>
      </c>
      <c r="E4146" s="454" t="s">
        <v>375</v>
      </c>
      <c r="F4146" s="408">
        <f>'[161]Civil-SOR'!$G$303</f>
        <v>550</v>
      </c>
      <c r="G4146" s="430">
        <v>1</v>
      </c>
      <c r="H4146" s="456" t="str">
        <f t="shared" si="930"/>
        <v>Nos.</v>
      </c>
      <c r="I4146" s="408">
        <f t="shared" si="931"/>
        <v>308.00000000000006</v>
      </c>
      <c r="J4146" s="400"/>
      <c r="K4146" s="401"/>
      <c r="L4146" s="401"/>
    </row>
    <row r="4147" spans="1:64">
      <c r="A4147" s="454"/>
      <c r="B4147" s="454"/>
      <c r="C4147" s="417" t="s">
        <v>1417</v>
      </c>
      <c r="D4147" s="408">
        <v>0.8</v>
      </c>
      <c r="E4147" s="454" t="s">
        <v>375</v>
      </c>
      <c r="F4147" s="408">
        <f>'[161]Civil-SOR'!$G$307</f>
        <v>520</v>
      </c>
      <c r="G4147" s="430">
        <v>1</v>
      </c>
      <c r="H4147" s="456" t="str">
        <f t="shared" si="930"/>
        <v>Nos.</v>
      </c>
      <c r="I4147" s="408">
        <f t="shared" si="931"/>
        <v>416</v>
      </c>
      <c r="J4147" s="400"/>
      <c r="K4147" s="401"/>
      <c r="L4147" s="401"/>
    </row>
    <row r="4148" spans="1:64">
      <c r="A4148" s="454"/>
      <c r="B4148" s="454"/>
      <c r="C4148" s="417" t="str">
        <f>[161]Input!$C$47</f>
        <v>Add for MA @ 40%</v>
      </c>
      <c r="D4148" s="621">
        <f>[161]Input!$D$47</f>
        <v>0.4</v>
      </c>
      <c r="E4148" s="454"/>
      <c r="F4148" s="408">
        <f>SUM(I4145:I4147)</f>
        <v>883.6</v>
      </c>
      <c r="G4148" s="430"/>
      <c r="H4148" s="456"/>
      <c r="I4148" s="408">
        <f t="shared" si="931"/>
        <v>353.44000000000005</v>
      </c>
      <c r="J4148" s="400"/>
      <c r="K4148" s="401"/>
      <c r="L4148" s="401"/>
    </row>
    <row r="4149" spans="1:64" ht="25">
      <c r="A4149" s="454"/>
      <c r="B4149" s="454"/>
      <c r="C4149" s="417" t="s">
        <v>1418</v>
      </c>
      <c r="D4149" s="406">
        <v>0.01</v>
      </c>
      <c r="E4149" s="406"/>
      <c r="F4149" s="432">
        <f>SUM(I4142:I4148)</f>
        <v>1265.8470000000002</v>
      </c>
      <c r="G4149" s="406"/>
      <c r="H4149" s="406"/>
      <c r="I4149" s="408"/>
      <c r="J4149" s="400"/>
      <c r="K4149" s="401"/>
      <c r="L4149" s="401"/>
    </row>
    <row r="4150" spans="1:64" ht="13">
      <c r="A4150" s="454"/>
      <c r="B4150" s="454"/>
      <c r="C4150" s="469"/>
      <c r="D4150" s="426"/>
      <c r="E4150" s="454"/>
      <c r="F4150" s="408"/>
      <c r="G4150" s="430"/>
      <c r="H4150" s="456"/>
      <c r="I4150" s="414">
        <f>SUM(I4142:I4149)</f>
        <v>1265.8470000000002</v>
      </c>
      <c r="J4150" s="400"/>
      <c r="K4150" s="401"/>
      <c r="L4150" s="401"/>
    </row>
    <row r="4151" spans="1:64" ht="25">
      <c r="A4151" s="454"/>
      <c r="B4151" s="454"/>
      <c r="C4151" s="417" t="str">
        <f>[161]Input!$C$48</f>
        <v>Overheads &amp; Contractors Profit @ 13.615%</v>
      </c>
      <c r="D4151" s="739">
        <f>[161]Input!$D$48</f>
        <v>0.13614999999999999</v>
      </c>
      <c r="E4151" s="454"/>
      <c r="F4151" s="408">
        <f>I4150</f>
        <v>1265.8470000000002</v>
      </c>
      <c r="G4151" s="430"/>
      <c r="H4151" s="456"/>
      <c r="I4151" s="408">
        <f>IF(G4151="",D4151*F4151,(D4151*F4151/G4151))</f>
        <v>172.34506905000001</v>
      </c>
      <c r="J4151" s="400"/>
      <c r="K4151" s="401"/>
      <c r="L4151" s="401"/>
    </row>
    <row r="4152" spans="1:64" ht="13">
      <c r="A4152" s="454"/>
      <c r="B4152" s="454"/>
      <c r="C4152" s="427" t="s">
        <v>845</v>
      </c>
      <c r="D4152" s="408"/>
      <c r="E4152" s="454"/>
      <c r="F4152" s="408"/>
      <c r="G4152" s="430"/>
      <c r="H4152" s="456"/>
      <c r="I4152" s="414">
        <f>SUM(I4150:I4151)</f>
        <v>1438.1920690500001</v>
      </c>
      <c r="J4152" s="400"/>
      <c r="K4152" s="401"/>
      <c r="L4152" s="401"/>
    </row>
    <row r="4153" spans="1:64" ht="13">
      <c r="A4153" s="454"/>
      <c r="B4153" s="454"/>
      <c r="C4153" s="469"/>
      <c r="D4153" s="408"/>
      <c r="E4153" s="454"/>
      <c r="F4153" s="408"/>
      <c r="G4153" s="430"/>
      <c r="H4153" s="415" t="s">
        <v>774</v>
      </c>
      <c r="I4153" s="414">
        <f>ROUND(I4152,0)</f>
        <v>1438</v>
      </c>
      <c r="J4153" s="400"/>
      <c r="K4153" s="401"/>
      <c r="L4153" s="401"/>
    </row>
    <row r="4154" spans="1:64">
      <c r="A4154" s="454"/>
      <c r="B4154" s="454"/>
      <c r="C4154" s="469"/>
      <c r="D4154" s="426"/>
      <c r="E4154" s="426"/>
      <c r="F4154" s="426"/>
      <c r="G4154" s="426"/>
      <c r="H4154" s="426"/>
      <c r="I4154" s="409"/>
      <c r="J4154" s="400"/>
      <c r="K4154" s="401"/>
      <c r="L4154" s="401"/>
    </row>
    <row r="4155" spans="1:64" ht="126.25" customHeight="1">
      <c r="A4155" s="454">
        <f>A4138+1</f>
        <v>16</v>
      </c>
      <c r="B4155" s="454"/>
      <c r="C4155" s="1276" t="s">
        <v>1419</v>
      </c>
      <c r="D4155" s="1276"/>
      <c r="E4155" s="1276"/>
      <c r="F4155" s="1276"/>
      <c r="G4155" s="1276"/>
      <c r="H4155" s="1276"/>
      <c r="I4155" s="407"/>
      <c r="J4155" s="400"/>
      <c r="K4155" s="401"/>
      <c r="L4155" s="401"/>
      <c r="M4155" s="404"/>
      <c r="N4155" s="404"/>
      <c r="O4155" s="404"/>
      <c r="P4155" s="404"/>
      <c r="Q4155" s="404"/>
      <c r="R4155" s="404"/>
      <c r="S4155" s="404"/>
      <c r="T4155" s="404"/>
      <c r="U4155" s="404"/>
      <c r="V4155" s="404"/>
      <c r="W4155" s="404"/>
      <c r="X4155" s="404"/>
      <c r="Y4155" s="404"/>
      <c r="Z4155" s="404"/>
      <c r="AA4155" s="404"/>
      <c r="AB4155" s="404"/>
      <c r="AC4155" s="404"/>
      <c r="AD4155" s="404"/>
      <c r="AE4155" s="404"/>
      <c r="AF4155" s="404"/>
      <c r="AG4155" s="404"/>
      <c r="AH4155" s="404"/>
      <c r="AI4155" s="404"/>
      <c r="AJ4155" s="404"/>
      <c r="AK4155" s="404"/>
      <c r="AL4155" s="404"/>
      <c r="AM4155" s="404"/>
      <c r="AN4155" s="404"/>
      <c r="AO4155" s="404"/>
      <c r="AP4155" s="404"/>
      <c r="AQ4155" s="404"/>
      <c r="AR4155" s="404"/>
      <c r="AS4155" s="404"/>
      <c r="AT4155" s="404"/>
      <c r="AU4155" s="404"/>
      <c r="AV4155" s="404"/>
      <c r="AW4155" s="404"/>
      <c r="AX4155" s="404"/>
      <c r="AY4155" s="404"/>
      <c r="AZ4155" s="404"/>
      <c r="BA4155" s="404"/>
      <c r="BB4155" s="404"/>
      <c r="BC4155" s="404"/>
      <c r="BD4155" s="404"/>
      <c r="BE4155" s="404"/>
      <c r="BF4155" s="404"/>
      <c r="BG4155" s="404"/>
      <c r="BH4155" s="404"/>
      <c r="BI4155" s="404"/>
      <c r="BJ4155" s="404"/>
      <c r="BK4155" s="404"/>
      <c r="BL4155" s="404"/>
    </row>
    <row r="4156" spans="1:64" ht="12.75" customHeight="1">
      <c r="A4156" s="454"/>
      <c r="B4156" s="454"/>
      <c r="C4156" s="1294" t="s">
        <v>1350</v>
      </c>
      <c r="D4156" s="1294"/>
      <c r="E4156" s="426"/>
      <c r="F4156" s="426"/>
      <c r="G4156" s="426"/>
      <c r="H4156" s="426"/>
      <c r="I4156" s="409"/>
      <c r="J4156" s="400"/>
      <c r="K4156" s="401"/>
      <c r="L4156" s="401"/>
      <c r="M4156" s="404"/>
      <c r="N4156" s="404"/>
      <c r="O4156" s="404"/>
      <c r="P4156" s="404"/>
      <c r="Q4156" s="404"/>
      <c r="R4156" s="404"/>
      <c r="S4156" s="404"/>
      <c r="T4156" s="404"/>
      <c r="U4156" s="404"/>
      <c r="V4156" s="404"/>
      <c r="W4156" s="404"/>
      <c r="X4156" s="404"/>
      <c r="Y4156" s="404"/>
      <c r="Z4156" s="404"/>
      <c r="AA4156" s="404"/>
      <c r="AB4156" s="404"/>
      <c r="AC4156" s="404"/>
      <c r="AD4156" s="404"/>
      <c r="AE4156" s="404"/>
      <c r="AF4156" s="404"/>
      <c r="AG4156" s="404"/>
      <c r="AH4156" s="404"/>
      <c r="AI4156" s="404"/>
      <c r="AJ4156" s="404"/>
      <c r="AK4156" s="404"/>
      <c r="AL4156" s="404"/>
      <c r="AM4156" s="404"/>
      <c r="AN4156" s="404"/>
      <c r="AO4156" s="404"/>
      <c r="AP4156" s="404"/>
      <c r="AQ4156" s="404"/>
      <c r="AR4156" s="404"/>
      <c r="AS4156" s="404"/>
      <c r="AT4156" s="404"/>
      <c r="AU4156" s="404"/>
      <c r="AV4156" s="404"/>
      <c r="AW4156" s="404"/>
      <c r="AX4156" s="404"/>
      <c r="AY4156" s="404"/>
      <c r="AZ4156" s="404"/>
      <c r="BA4156" s="404"/>
      <c r="BB4156" s="404"/>
      <c r="BC4156" s="404"/>
      <c r="BD4156" s="404"/>
      <c r="BE4156" s="404"/>
      <c r="BF4156" s="404"/>
      <c r="BG4156" s="404"/>
      <c r="BH4156" s="404"/>
      <c r="BI4156" s="404"/>
      <c r="BJ4156" s="404"/>
      <c r="BK4156" s="404"/>
      <c r="BL4156" s="404"/>
    </row>
    <row r="4157" spans="1:64" ht="13">
      <c r="A4157" s="454"/>
      <c r="B4157" s="454"/>
      <c r="C4157" s="451" t="s">
        <v>1414</v>
      </c>
      <c r="D4157" s="407"/>
      <c r="E4157" s="426"/>
      <c r="F4157" s="426"/>
      <c r="G4157" s="426"/>
      <c r="H4157" s="426"/>
      <c r="I4157" s="409"/>
      <c r="J4157" s="400"/>
      <c r="K4157" s="401"/>
      <c r="L4157" s="401"/>
      <c r="M4157" s="404"/>
      <c r="N4157" s="404"/>
      <c r="O4157" s="404"/>
      <c r="P4157" s="404"/>
      <c r="Q4157" s="404"/>
      <c r="R4157" s="404"/>
      <c r="S4157" s="404"/>
      <c r="T4157" s="404"/>
      <c r="U4157" s="404"/>
      <c r="V4157" s="404"/>
      <c r="W4157" s="404"/>
      <c r="X4157" s="404"/>
      <c r="Y4157" s="404"/>
      <c r="Z4157" s="404"/>
      <c r="AA4157" s="404"/>
      <c r="AB4157" s="404"/>
      <c r="AC4157" s="404"/>
      <c r="AD4157" s="404"/>
      <c r="AE4157" s="404"/>
      <c r="AF4157" s="404"/>
      <c r="AG4157" s="404"/>
      <c r="AH4157" s="404"/>
      <c r="AI4157" s="404"/>
      <c r="AJ4157" s="404"/>
      <c r="AK4157" s="404"/>
      <c r="AL4157" s="404"/>
      <c r="AM4157" s="404"/>
      <c r="AN4157" s="404"/>
      <c r="AO4157" s="404"/>
      <c r="AP4157" s="404"/>
      <c r="AQ4157" s="404"/>
      <c r="AR4157" s="404"/>
      <c r="AS4157" s="404"/>
      <c r="AT4157" s="404"/>
      <c r="AU4157" s="404"/>
      <c r="AV4157" s="404"/>
      <c r="AW4157" s="404"/>
      <c r="AX4157" s="404"/>
      <c r="AY4157" s="404"/>
      <c r="AZ4157" s="404"/>
      <c r="BA4157" s="404"/>
      <c r="BB4157" s="404"/>
      <c r="BC4157" s="404"/>
      <c r="BD4157" s="404"/>
      <c r="BE4157" s="404"/>
      <c r="BF4157" s="404"/>
      <c r="BG4157" s="404"/>
      <c r="BH4157" s="404"/>
      <c r="BI4157" s="404"/>
      <c r="BJ4157" s="404"/>
      <c r="BK4157" s="404"/>
      <c r="BL4157" s="404"/>
    </row>
    <row r="4158" spans="1:64" ht="13">
      <c r="A4158" s="454"/>
      <c r="B4158" s="454"/>
      <c r="C4158" s="427" t="s">
        <v>1408</v>
      </c>
      <c r="D4158" s="407"/>
      <c r="E4158" s="407"/>
      <c r="F4158" s="407"/>
      <c r="G4158" s="407"/>
      <c r="H4158" s="407"/>
      <c r="I4158" s="422"/>
      <c r="J4158" s="400"/>
      <c r="K4158" s="401"/>
      <c r="L4158" s="401"/>
      <c r="M4158" s="404"/>
      <c r="N4158" s="404"/>
      <c r="O4158" s="404"/>
      <c r="P4158" s="404"/>
      <c r="Q4158" s="404"/>
      <c r="R4158" s="404"/>
      <c r="S4158" s="404"/>
      <c r="T4158" s="404"/>
      <c r="U4158" s="404"/>
      <c r="V4158" s="404"/>
      <c r="W4158" s="404"/>
      <c r="X4158" s="404"/>
      <c r="Y4158" s="404"/>
      <c r="Z4158" s="404"/>
      <c r="AA4158" s="404"/>
      <c r="AB4158" s="404"/>
      <c r="AC4158" s="404"/>
      <c r="AD4158" s="404"/>
      <c r="AE4158" s="404"/>
      <c r="AF4158" s="404"/>
      <c r="AG4158" s="404"/>
      <c r="AH4158" s="404"/>
      <c r="AI4158" s="404"/>
      <c r="AJ4158" s="404"/>
      <c r="AK4158" s="404"/>
      <c r="AL4158" s="404"/>
      <c r="AM4158" s="404"/>
      <c r="AN4158" s="404"/>
      <c r="AO4158" s="404"/>
      <c r="AP4158" s="404"/>
      <c r="AQ4158" s="404"/>
      <c r="AR4158" s="404"/>
      <c r="AS4158" s="404"/>
      <c r="AT4158" s="404"/>
      <c r="AU4158" s="404"/>
      <c r="AV4158" s="404"/>
      <c r="AW4158" s="404"/>
      <c r="AX4158" s="404"/>
      <c r="AY4158" s="404"/>
      <c r="AZ4158" s="404"/>
      <c r="BA4158" s="404"/>
      <c r="BB4158" s="404"/>
      <c r="BC4158" s="404"/>
      <c r="BD4158" s="404"/>
      <c r="BE4158" s="404"/>
      <c r="BF4158" s="404"/>
      <c r="BG4158" s="404"/>
      <c r="BH4158" s="404"/>
      <c r="BI4158" s="404"/>
      <c r="BJ4158" s="404"/>
      <c r="BK4158" s="404"/>
      <c r="BL4158" s="404"/>
    </row>
    <row r="4159" spans="1:64" ht="25">
      <c r="A4159" s="458"/>
      <c r="B4159" s="458"/>
      <c r="C4159" s="417" t="s">
        <v>1420</v>
      </c>
      <c r="D4159" s="633">
        <v>6.5000000000000002E-2</v>
      </c>
      <c r="E4159" s="458" t="s">
        <v>1149</v>
      </c>
      <c r="F4159" s="459">
        <f>'[161]Civil-SOR'!$G$75</f>
        <v>743</v>
      </c>
      <c r="G4159" s="460">
        <v>1</v>
      </c>
      <c r="H4159" s="599" t="str">
        <f t="shared" ref="H4159:H4160" si="932">IF(E4159="","",IF(E4159="No","Each",IF(E4159="Nos","Each",E4159)))</f>
        <v>Ltrs</v>
      </c>
      <c r="I4159" s="459">
        <f t="shared" ref="I4159:I4160" si="933">IF(G4159="",D4159*F4159,(D4159*F4159/G4159))</f>
        <v>48.295000000000002</v>
      </c>
      <c r="J4159" s="462"/>
      <c r="K4159" s="463"/>
      <c r="L4159" s="463"/>
      <c r="M4159" s="464"/>
      <c r="N4159" s="464"/>
      <c r="O4159" s="464"/>
      <c r="P4159" s="464"/>
      <c r="Q4159" s="464"/>
      <c r="R4159" s="464"/>
      <c r="S4159" s="464"/>
      <c r="T4159" s="464"/>
      <c r="U4159" s="464"/>
      <c r="V4159" s="464"/>
      <c r="W4159" s="464"/>
      <c r="X4159" s="464"/>
      <c r="Y4159" s="464"/>
      <c r="Z4159" s="464"/>
      <c r="AA4159" s="464"/>
      <c r="AB4159" s="464"/>
      <c r="AC4159" s="464"/>
      <c r="AD4159" s="464"/>
      <c r="AE4159" s="464"/>
      <c r="AF4159" s="464"/>
      <c r="AG4159" s="464"/>
      <c r="AH4159" s="464"/>
      <c r="AI4159" s="464"/>
      <c r="AJ4159" s="464"/>
      <c r="AK4159" s="464"/>
      <c r="AL4159" s="464"/>
      <c r="AM4159" s="464"/>
      <c r="AN4159" s="464"/>
      <c r="AO4159" s="464"/>
      <c r="AP4159" s="464"/>
      <c r="AQ4159" s="464"/>
      <c r="AR4159" s="464"/>
      <c r="AS4159" s="464"/>
      <c r="AT4159" s="464"/>
      <c r="AU4159" s="464"/>
      <c r="AV4159" s="464"/>
      <c r="AW4159" s="464"/>
      <c r="AX4159" s="464"/>
      <c r="AY4159" s="464"/>
      <c r="AZ4159" s="464"/>
      <c r="BA4159" s="464"/>
      <c r="BB4159" s="464"/>
      <c r="BC4159" s="464"/>
      <c r="BD4159" s="464"/>
      <c r="BE4159" s="464"/>
      <c r="BF4159" s="464"/>
      <c r="BG4159" s="464"/>
      <c r="BH4159" s="464"/>
      <c r="BI4159" s="464"/>
      <c r="BJ4159" s="464"/>
      <c r="BK4159" s="464"/>
      <c r="BL4159" s="464"/>
    </row>
    <row r="4160" spans="1:64" ht="25">
      <c r="A4160" s="458"/>
      <c r="B4160" s="458"/>
      <c r="C4160" s="417" t="s">
        <v>1421</v>
      </c>
      <c r="D4160" s="633">
        <v>3.3000000000000002E-2</v>
      </c>
      <c r="E4160" s="458" t="s">
        <v>1149</v>
      </c>
      <c r="F4160" s="459">
        <f>'[161]Civil-SOR'!$G$64</f>
        <v>154</v>
      </c>
      <c r="G4160" s="460">
        <v>1</v>
      </c>
      <c r="H4160" s="599" t="str">
        <f t="shared" si="932"/>
        <v>Ltrs</v>
      </c>
      <c r="I4160" s="459">
        <f t="shared" si="933"/>
        <v>5.0819999999999999</v>
      </c>
      <c r="J4160" s="462"/>
      <c r="K4160" s="463"/>
      <c r="L4160" s="463"/>
      <c r="M4160" s="464"/>
      <c r="N4160" s="464"/>
      <c r="O4160" s="464"/>
      <c r="P4160" s="464"/>
      <c r="Q4160" s="464"/>
      <c r="R4160" s="464"/>
      <c r="S4160" s="464"/>
      <c r="T4160" s="464"/>
      <c r="U4160" s="464"/>
      <c r="V4160" s="464"/>
      <c r="W4160" s="464"/>
      <c r="X4160" s="464"/>
      <c r="Y4160" s="464"/>
      <c r="Z4160" s="464"/>
      <c r="AA4160" s="464"/>
      <c r="AB4160" s="464"/>
      <c r="AC4160" s="464"/>
      <c r="AD4160" s="464"/>
      <c r="AE4160" s="464"/>
      <c r="AF4160" s="464"/>
      <c r="AG4160" s="464"/>
      <c r="AH4160" s="464"/>
      <c r="AI4160" s="464"/>
      <c r="AJ4160" s="464"/>
      <c r="AK4160" s="464"/>
      <c r="AL4160" s="464"/>
      <c r="AM4160" s="464"/>
      <c r="AN4160" s="464"/>
      <c r="AO4160" s="464"/>
      <c r="AP4160" s="464"/>
      <c r="AQ4160" s="464"/>
      <c r="AR4160" s="464"/>
      <c r="AS4160" s="464"/>
      <c r="AT4160" s="464"/>
      <c r="AU4160" s="464"/>
      <c r="AV4160" s="464"/>
      <c r="AW4160" s="464"/>
      <c r="AX4160" s="464"/>
      <c r="AY4160" s="464"/>
      <c r="AZ4160" s="464"/>
      <c r="BA4160" s="464"/>
      <c r="BB4160" s="464"/>
      <c r="BC4160" s="464"/>
      <c r="BD4160" s="464"/>
      <c r="BE4160" s="464"/>
      <c r="BF4160" s="464"/>
      <c r="BG4160" s="464"/>
      <c r="BH4160" s="464"/>
      <c r="BI4160" s="464"/>
      <c r="BJ4160" s="464"/>
      <c r="BK4160" s="464"/>
      <c r="BL4160" s="464"/>
    </row>
    <row r="4161" spans="1:64">
      <c r="A4161" s="458"/>
      <c r="B4161" s="458"/>
      <c r="C4161" s="417" t="s">
        <v>1411</v>
      </c>
      <c r="D4161" s="459"/>
      <c r="E4161" s="458"/>
      <c r="F4161" s="459"/>
      <c r="G4161" s="460"/>
      <c r="H4161" s="599"/>
      <c r="I4161" s="459"/>
      <c r="J4161" s="462"/>
      <c r="K4161" s="463"/>
      <c r="L4161" s="463"/>
      <c r="M4161" s="464"/>
      <c r="N4161" s="464"/>
      <c r="O4161" s="464"/>
      <c r="P4161" s="464"/>
      <c r="Q4161" s="464"/>
      <c r="R4161" s="464"/>
      <c r="S4161" s="464"/>
      <c r="T4161" s="464"/>
      <c r="U4161" s="464"/>
      <c r="V4161" s="464"/>
      <c r="W4161" s="464"/>
      <c r="X4161" s="464"/>
      <c r="Y4161" s="464"/>
      <c r="Z4161" s="464"/>
      <c r="AA4161" s="464"/>
      <c r="AB4161" s="464"/>
      <c r="AC4161" s="464"/>
      <c r="AD4161" s="464"/>
      <c r="AE4161" s="464"/>
      <c r="AF4161" s="464"/>
      <c r="AG4161" s="464"/>
      <c r="AH4161" s="464"/>
      <c r="AI4161" s="464"/>
      <c r="AJ4161" s="464"/>
      <c r="AK4161" s="464"/>
      <c r="AL4161" s="464"/>
      <c r="AM4161" s="464"/>
      <c r="AN4161" s="464"/>
      <c r="AO4161" s="464"/>
      <c r="AP4161" s="464"/>
      <c r="AQ4161" s="464"/>
      <c r="AR4161" s="464"/>
      <c r="AS4161" s="464"/>
      <c r="AT4161" s="464"/>
      <c r="AU4161" s="464"/>
      <c r="AV4161" s="464"/>
      <c r="AW4161" s="464"/>
      <c r="AX4161" s="464"/>
      <c r="AY4161" s="464"/>
      <c r="AZ4161" s="464"/>
      <c r="BA4161" s="464"/>
      <c r="BB4161" s="464"/>
      <c r="BC4161" s="464"/>
      <c r="BD4161" s="464"/>
      <c r="BE4161" s="464"/>
      <c r="BF4161" s="464"/>
      <c r="BG4161" s="464"/>
      <c r="BH4161" s="464"/>
      <c r="BI4161" s="464"/>
      <c r="BJ4161" s="464"/>
      <c r="BK4161" s="464"/>
      <c r="BL4161" s="464"/>
    </row>
    <row r="4162" spans="1:64">
      <c r="A4162" s="458"/>
      <c r="B4162" s="458"/>
      <c r="C4162" s="417" t="s">
        <v>1385</v>
      </c>
      <c r="D4162" s="459">
        <v>0.24</v>
      </c>
      <c r="E4162" s="458" t="s">
        <v>375</v>
      </c>
      <c r="F4162" s="459">
        <f>'[161]Civil-SOR'!$G$296</f>
        <v>665</v>
      </c>
      <c r="G4162" s="460">
        <v>1</v>
      </c>
      <c r="H4162" s="599" t="str">
        <f t="shared" ref="H4162:H4164" si="934">IF(E4162="","",IF(E4162="No","Each",IF(E4162="Nos","Each",E4162)))</f>
        <v>Nos.</v>
      </c>
      <c r="I4162" s="459">
        <f t="shared" ref="I4162:I4165" si="935">IF(G4162="",D4162*F4162,(D4162*F4162/G4162))</f>
        <v>159.6</v>
      </c>
      <c r="J4162" s="462"/>
      <c r="K4162" s="463"/>
      <c r="L4162" s="463"/>
      <c r="M4162" s="464"/>
      <c r="N4162" s="464"/>
      <c r="O4162" s="464"/>
      <c r="P4162" s="464"/>
      <c r="Q4162" s="464"/>
      <c r="R4162" s="464"/>
      <c r="S4162" s="464"/>
      <c r="T4162" s="464"/>
      <c r="U4162" s="464"/>
      <c r="V4162" s="464"/>
      <c r="W4162" s="464"/>
      <c r="X4162" s="464"/>
      <c r="Y4162" s="464"/>
      <c r="Z4162" s="464"/>
      <c r="AA4162" s="464"/>
      <c r="AB4162" s="464"/>
      <c r="AC4162" s="464"/>
      <c r="AD4162" s="464"/>
      <c r="AE4162" s="464"/>
      <c r="AF4162" s="464"/>
      <c r="AG4162" s="464"/>
      <c r="AH4162" s="464"/>
      <c r="AI4162" s="464"/>
      <c r="AJ4162" s="464"/>
      <c r="AK4162" s="464"/>
      <c r="AL4162" s="464"/>
      <c r="AM4162" s="464"/>
      <c r="AN4162" s="464"/>
      <c r="AO4162" s="464"/>
      <c r="AP4162" s="464"/>
      <c r="AQ4162" s="464"/>
      <c r="AR4162" s="464"/>
      <c r="AS4162" s="464"/>
      <c r="AT4162" s="464"/>
      <c r="AU4162" s="464"/>
      <c r="AV4162" s="464"/>
      <c r="AW4162" s="464"/>
      <c r="AX4162" s="464"/>
      <c r="AY4162" s="464"/>
      <c r="AZ4162" s="464"/>
      <c r="BA4162" s="464"/>
      <c r="BB4162" s="464"/>
      <c r="BC4162" s="464"/>
      <c r="BD4162" s="464"/>
      <c r="BE4162" s="464"/>
      <c r="BF4162" s="464"/>
      <c r="BG4162" s="464"/>
      <c r="BH4162" s="464"/>
      <c r="BI4162" s="464"/>
      <c r="BJ4162" s="464"/>
      <c r="BK4162" s="464"/>
      <c r="BL4162" s="464"/>
    </row>
    <row r="4163" spans="1:64">
      <c r="A4163" s="458"/>
      <c r="B4163" s="458"/>
      <c r="C4163" s="417" t="s">
        <v>1386</v>
      </c>
      <c r="D4163" s="459">
        <v>0.56000000000000005</v>
      </c>
      <c r="E4163" s="458" t="s">
        <v>375</v>
      </c>
      <c r="F4163" s="459">
        <f>'[161]Civil-SOR'!$G$303</f>
        <v>550</v>
      </c>
      <c r="G4163" s="460">
        <v>1</v>
      </c>
      <c r="H4163" s="599" t="str">
        <f t="shared" si="934"/>
        <v>Nos.</v>
      </c>
      <c r="I4163" s="459">
        <f t="shared" si="935"/>
        <v>308.00000000000006</v>
      </c>
      <c r="J4163" s="462"/>
      <c r="K4163" s="463"/>
      <c r="L4163" s="463"/>
      <c r="M4163" s="464"/>
      <c r="N4163" s="464"/>
      <c r="O4163" s="464"/>
      <c r="P4163" s="464"/>
      <c r="Q4163" s="464"/>
      <c r="R4163" s="464"/>
      <c r="S4163" s="464"/>
      <c r="T4163" s="464"/>
      <c r="U4163" s="464"/>
      <c r="V4163" s="464"/>
      <c r="W4163" s="464"/>
      <c r="X4163" s="464"/>
      <c r="Y4163" s="464"/>
      <c r="Z4163" s="464"/>
      <c r="AA4163" s="464"/>
      <c r="AB4163" s="464"/>
      <c r="AC4163" s="464"/>
      <c r="AD4163" s="464"/>
      <c r="AE4163" s="464"/>
      <c r="AF4163" s="464"/>
      <c r="AG4163" s="464"/>
      <c r="AH4163" s="464"/>
      <c r="AI4163" s="464"/>
      <c r="AJ4163" s="464"/>
      <c r="AK4163" s="464"/>
      <c r="AL4163" s="464"/>
      <c r="AM4163" s="464"/>
      <c r="AN4163" s="464"/>
      <c r="AO4163" s="464"/>
      <c r="AP4163" s="464"/>
      <c r="AQ4163" s="464"/>
      <c r="AR4163" s="464"/>
      <c r="AS4163" s="464"/>
      <c r="AT4163" s="464"/>
      <c r="AU4163" s="464"/>
      <c r="AV4163" s="464"/>
      <c r="AW4163" s="464"/>
      <c r="AX4163" s="464"/>
      <c r="AY4163" s="464"/>
      <c r="AZ4163" s="464"/>
      <c r="BA4163" s="464"/>
      <c r="BB4163" s="464"/>
      <c r="BC4163" s="464"/>
      <c r="BD4163" s="464"/>
      <c r="BE4163" s="464"/>
      <c r="BF4163" s="464"/>
      <c r="BG4163" s="464"/>
      <c r="BH4163" s="464"/>
      <c r="BI4163" s="464"/>
      <c r="BJ4163" s="464"/>
      <c r="BK4163" s="464"/>
      <c r="BL4163" s="464"/>
    </row>
    <row r="4164" spans="1:64">
      <c r="A4164" s="458"/>
      <c r="B4164" s="458"/>
      <c r="C4164" s="417" t="s">
        <v>1417</v>
      </c>
      <c r="D4164" s="459">
        <v>0.8</v>
      </c>
      <c r="E4164" s="458" t="s">
        <v>375</v>
      </c>
      <c r="F4164" s="459">
        <f>'[161]Civil-SOR'!$G$307</f>
        <v>520</v>
      </c>
      <c r="G4164" s="460">
        <v>1</v>
      </c>
      <c r="H4164" s="599" t="str">
        <f t="shared" si="934"/>
        <v>Nos.</v>
      </c>
      <c r="I4164" s="459">
        <f t="shared" si="935"/>
        <v>416</v>
      </c>
      <c r="J4164" s="462"/>
      <c r="K4164" s="463"/>
      <c r="L4164" s="463"/>
      <c r="M4164" s="464"/>
      <c r="N4164" s="464"/>
      <c r="O4164" s="464"/>
      <c r="P4164" s="464"/>
      <c r="Q4164" s="464"/>
      <c r="R4164" s="464"/>
      <c r="S4164" s="464"/>
      <c r="T4164" s="464"/>
      <c r="U4164" s="464"/>
      <c r="V4164" s="464"/>
      <c r="W4164" s="464"/>
      <c r="X4164" s="464"/>
      <c r="Y4164" s="464"/>
      <c r="Z4164" s="464"/>
      <c r="AA4164" s="464"/>
      <c r="AB4164" s="464"/>
      <c r="AC4164" s="464"/>
      <c r="AD4164" s="464"/>
      <c r="AE4164" s="464"/>
      <c r="AF4164" s="464"/>
      <c r="AG4164" s="464"/>
      <c r="AH4164" s="464"/>
      <c r="AI4164" s="464"/>
      <c r="AJ4164" s="464"/>
      <c r="AK4164" s="464"/>
      <c r="AL4164" s="464"/>
      <c r="AM4164" s="464"/>
      <c r="AN4164" s="464"/>
      <c r="AO4164" s="464"/>
      <c r="AP4164" s="464"/>
      <c r="AQ4164" s="464"/>
      <c r="AR4164" s="464"/>
      <c r="AS4164" s="464"/>
      <c r="AT4164" s="464"/>
      <c r="AU4164" s="464"/>
      <c r="AV4164" s="464"/>
      <c r="AW4164" s="464"/>
      <c r="AX4164" s="464"/>
      <c r="AY4164" s="464"/>
      <c r="AZ4164" s="464"/>
      <c r="BA4164" s="464"/>
      <c r="BB4164" s="464"/>
      <c r="BC4164" s="464"/>
      <c r="BD4164" s="464"/>
      <c r="BE4164" s="464"/>
      <c r="BF4164" s="464"/>
      <c r="BG4164" s="464"/>
      <c r="BH4164" s="464"/>
      <c r="BI4164" s="464"/>
      <c r="BJ4164" s="464"/>
      <c r="BK4164" s="464"/>
      <c r="BL4164" s="464"/>
    </row>
    <row r="4165" spans="1:64">
      <c r="A4165" s="458"/>
      <c r="B4165" s="458"/>
      <c r="C4165" s="417" t="str">
        <f>[161]Input!$C$47</f>
        <v>Add for MA @ 40%</v>
      </c>
      <c r="D4165" s="622">
        <f>[161]Input!$D$47</f>
        <v>0.4</v>
      </c>
      <c r="E4165" s="458"/>
      <c r="F4165" s="459">
        <f>SUM(I4162:I4164)</f>
        <v>883.6</v>
      </c>
      <c r="G4165" s="460"/>
      <c r="H4165" s="599"/>
      <c r="I4165" s="459">
        <f t="shared" si="935"/>
        <v>353.44000000000005</v>
      </c>
      <c r="J4165" s="462"/>
      <c r="K4165" s="463"/>
      <c r="L4165" s="463"/>
      <c r="M4165" s="464"/>
      <c r="N4165" s="464"/>
      <c r="O4165" s="464"/>
      <c r="P4165" s="464"/>
      <c r="Q4165" s="464"/>
      <c r="R4165" s="464"/>
      <c r="S4165" s="464"/>
      <c r="T4165" s="464"/>
      <c r="U4165" s="464"/>
      <c r="V4165" s="464"/>
      <c r="W4165" s="464"/>
      <c r="X4165" s="464"/>
      <c r="Y4165" s="464"/>
      <c r="Z4165" s="464"/>
      <c r="AA4165" s="464"/>
      <c r="AB4165" s="464"/>
      <c r="AC4165" s="464"/>
      <c r="AD4165" s="464"/>
      <c r="AE4165" s="464"/>
      <c r="AF4165" s="464"/>
      <c r="AG4165" s="464"/>
      <c r="AH4165" s="464"/>
      <c r="AI4165" s="464"/>
      <c r="AJ4165" s="464"/>
      <c r="AK4165" s="464"/>
      <c r="AL4165" s="464"/>
      <c r="AM4165" s="464"/>
      <c r="AN4165" s="464"/>
      <c r="AO4165" s="464"/>
      <c r="AP4165" s="464"/>
      <c r="AQ4165" s="464"/>
      <c r="AR4165" s="464"/>
      <c r="AS4165" s="464"/>
      <c r="AT4165" s="464"/>
      <c r="AU4165" s="464"/>
      <c r="AV4165" s="464"/>
      <c r="AW4165" s="464"/>
      <c r="AX4165" s="464"/>
      <c r="AY4165" s="464"/>
      <c r="AZ4165" s="464"/>
      <c r="BA4165" s="464"/>
      <c r="BB4165" s="464"/>
      <c r="BC4165" s="464"/>
      <c r="BD4165" s="464"/>
      <c r="BE4165" s="464"/>
      <c r="BF4165" s="464"/>
      <c r="BG4165" s="464"/>
      <c r="BH4165" s="464"/>
      <c r="BI4165" s="464"/>
      <c r="BJ4165" s="464"/>
      <c r="BK4165" s="464"/>
      <c r="BL4165" s="464"/>
    </row>
    <row r="4166" spans="1:64" ht="25">
      <c r="A4166" s="458"/>
      <c r="B4166" s="458"/>
      <c r="C4166" s="417" t="s">
        <v>1418</v>
      </c>
      <c r="D4166" s="406">
        <v>0.01</v>
      </c>
      <c r="E4166" s="406"/>
      <c r="F4166" s="432">
        <f>SUM(I4159:I4165)</f>
        <v>1290.4170000000001</v>
      </c>
      <c r="G4166" s="406"/>
      <c r="H4166" s="406"/>
      <c r="I4166" s="459"/>
      <c r="J4166" s="462"/>
      <c r="K4166" s="463"/>
      <c r="L4166" s="463"/>
      <c r="M4166" s="464"/>
      <c r="N4166" s="464"/>
      <c r="O4166" s="464"/>
      <c r="P4166" s="464"/>
      <c r="Q4166" s="464"/>
      <c r="R4166" s="464"/>
      <c r="S4166" s="464"/>
      <c r="T4166" s="464"/>
      <c r="U4166" s="464"/>
      <c r="V4166" s="464"/>
      <c r="W4166" s="464"/>
      <c r="X4166" s="464"/>
      <c r="Y4166" s="464"/>
      <c r="Z4166" s="464"/>
      <c r="AA4166" s="464"/>
      <c r="AB4166" s="464"/>
      <c r="AC4166" s="464"/>
      <c r="AD4166" s="464"/>
      <c r="AE4166" s="464"/>
      <c r="AF4166" s="464"/>
      <c r="AG4166" s="464"/>
      <c r="AH4166" s="464"/>
      <c r="AI4166" s="464"/>
      <c r="AJ4166" s="464"/>
      <c r="AK4166" s="464"/>
      <c r="AL4166" s="464"/>
      <c r="AM4166" s="464"/>
      <c r="AN4166" s="464"/>
      <c r="AO4166" s="464"/>
      <c r="AP4166" s="464"/>
      <c r="AQ4166" s="464"/>
      <c r="AR4166" s="464"/>
      <c r="AS4166" s="464"/>
      <c r="AT4166" s="464"/>
      <c r="AU4166" s="464"/>
      <c r="AV4166" s="464"/>
      <c r="AW4166" s="464"/>
      <c r="AX4166" s="464"/>
      <c r="AY4166" s="464"/>
      <c r="AZ4166" s="464"/>
      <c r="BA4166" s="464"/>
      <c r="BB4166" s="464"/>
      <c r="BC4166" s="464"/>
      <c r="BD4166" s="464"/>
      <c r="BE4166" s="464"/>
      <c r="BF4166" s="464"/>
      <c r="BG4166" s="464"/>
      <c r="BH4166" s="464"/>
      <c r="BI4166" s="464"/>
      <c r="BJ4166" s="464"/>
      <c r="BK4166" s="464"/>
      <c r="BL4166" s="464"/>
    </row>
    <row r="4167" spans="1:64" ht="13">
      <c r="A4167" s="458"/>
      <c r="B4167" s="458"/>
      <c r="C4167" s="435"/>
      <c r="D4167" s="406"/>
      <c r="E4167" s="458"/>
      <c r="F4167" s="459"/>
      <c r="G4167" s="460"/>
      <c r="H4167" s="599"/>
      <c r="I4167" s="461">
        <f>SUM(I4159:I4166)</f>
        <v>1290.4170000000001</v>
      </c>
      <c r="J4167" s="462"/>
      <c r="K4167" s="463"/>
      <c r="L4167" s="463"/>
      <c r="M4167" s="464"/>
      <c r="N4167" s="464"/>
      <c r="O4167" s="464"/>
      <c r="P4167" s="464"/>
      <c r="Q4167" s="464"/>
      <c r="R4167" s="464"/>
      <c r="S4167" s="464"/>
      <c r="T4167" s="464"/>
      <c r="U4167" s="464"/>
      <c r="V4167" s="464"/>
      <c r="W4167" s="464"/>
      <c r="X4167" s="464"/>
      <c r="Y4167" s="464"/>
      <c r="Z4167" s="464"/>
      <c r="AA4167" s="464"/>
      <c r="AB4167" s="464"/>
      <c r="AC4167" s="464"/>
      <c r="AD4167" s="464"/>
      <c r="AE4167" s="464"/>
      <c r="AF4167" s="464"/>
      <c r="AG4167" s="464"/>
      <c r="AH4167" s="464"/>
      <c r="AI4167" s="464"/>
      <c r="AJ4167" s="464"/>
      <c r="AK4167" s="464"/>
      <c r="AL4167" s="464"/>
      <c r="AM4167" s="464"/>
      <c r="AN4167" s="464"/>
      <c r="AO4167" s="464"/>
      <c r="AP4167" s="464"/>
      <c r="AQ4167" s="464"/>
      <c r="AR4167" s="464"/>
      <c r="AS4167" s="464"/>
      <c r="AT4167" s="464"/>
      <c r="AU4167" s="464"/>
      <c r="AV4167" s="464"/>
      <c r="AW4167" s="464"/>
      <c r="AX4167" s="464"/>
      <c r="AY4167" s="464"/>
      <c r="AZ4167" s="464"/>
      <c r="BA4167" s="464"/>
      <c r="BB4167" s="464"/>
      <c r="BC4167" s="464"/>
      <c r="BD4167" s="464"/>
      <c r="BE4167" s="464"/>
      <c r="BF4167" s="464"/>
      <c r="BG4167" s="464"/>
      <c r="BH4167" s="464"/>
      <c r="BI4167" s="464"/>
      <c r="BJ4167" s="464"/>
      <c r="BK4167" s="464"/>
      <c r="BL4167" s="464"/>
    </row>
    <row r="4168" spans="1:64" ht="25">
      <c r="A4168" s="458"/>
      <c r="B4168" s="458"/>
      <c r="C4168" s="417" t="str">
        <f>[161]Input!$C$48</f>
        <v>Overheads &amp; Contractors Profit @ 13.615%</v>
      </c>
      <c r="D4168" s="738">
        <f>[161]Input!$D$48</f>
        <v>0.13614999999999999</v>
      </c>
      <c r="E4168" s="458"/>
      <c r="F4168" s="459">
        <f>I4167</f>
        <v>1290.4170000000001</v>
      </c>
      <c r="G4168" s="460"/>
      <c r="H4168" s="599"/>
      <c r="I4168" s="459">
        <f>IF(G4168="",D4168*F4168,(D4168*F4168/G4168))</f>
        <v>175.69027455</v>
      </c>
      <c r="J4168" s="462"/>
      <c r="K4168" s="463"/>
      <c r="L4168" s="463"/>
      <c r="M4168" s="464"/>
      <c r="N4168" s="464"/>
      <c r="O4168" s="464"/>
      <c r="P4168" s="464"/>
      <c r="Q4168" s="464"/>
      <c r="R4168" s="464"/>
      <c r="S4168" s="464"/>
      <c r="T4168" s="464"/>
      <c r="U4168" s="464"/>
      <c r="V4168" s="464"/>
      <c r="W4168" s="464"/>
      <c r="X4168" s="464"/>
      <c r="Y4168" s="464"/>
      <c r="Z4168" s="464"/>
      <c r="AA4168" s="464"/>
      <c r="AB4168" s="464"/>
      <c r="AC4168" s="464"/>
      <c r="AD4168" s="464"/>
      <c r="AE4168" s="464"/>
      <c r="AF4168" s="464"/>
      <c r="AG4168" s="464"/>
      <c r="AH4168" s="464"/>
      <c r="AI4168" s="464"/>
      <c r="AJ4168" s="464"/>
      <c r="AK4168" s="464"/>
      <c r="AL4168" s="464"/>
      <c r="AM4168" s="464"/>
      <c r="AN4168" s="464"/>
      <c r="AO4168" s="464"/>
      <c r="AP4168" s="464"/>
      <c r="AQ4168" s="464"/>
      <c r="AR4168" s="464"/>
      <c r="AS4168" s="464"/>
      <c r="AT4168" s="464"/>
      <c r="AU4168" s="464"/>
      <c r="AV4168" s="464"/>
      <c r="AW4168" s="464"/>
      <c r="AX4168" s="464"/>
      <c r="AY4168" s="464"/>
      <c r="AZ4168" s="464"/>
      <c r="BA4168" s="464"/>
      <c r="BB4168" s="464"/>
      <c r="BC4168" s="464"/>
      <c r="BD4168" s="464"/>
      <c r="BE4168" s="464"/>
      <c r="BF4168" s="464"/>
      <c r="BG4168" s="464"/>
      <c r="BH4168" s="464"/>
      <c r="BI4168" s="464"/>
      <c r="BJ4168" s="464"/>
      <c r="BK4168" s="464"/>
      <c r="BL4168" s="464"/>
    </row>
    <row r="4169" spans="1:64" ht="13">
      <c r="A4169" s="458"/>
      <c r="B4169" s="458"/>
      <c r="C4169" s="427" t="s">
        <v>845</v>
      </c>
      <c r="D4169" s="459"/>
      <c r="E4169" s="458"/>
      <c r="F4169" s="459"/>
      <c r="G4169" s="460"/>
      <c r="H4169" s="599"/>
      <c r="I4169" s="461">
        <f>SUM(I4167:I4168)</f>
        <v>1466.1072745500001</v>
      </c>
      <c r="J4169" s="462"/>
      <c r="K4169" s="463"/>
      <c r="L4169" s="463"/>
      <c r="M4169" s="464"/>
      <c r="N4169" s="464"/>
      <c r="O4169" s="464"/>
      <c r="P4169" s="464"/>
      <c r="Q4169" s="464"/>
      <c r="R4169" s="464"/>
      <c r="S4169" s="464"/>
      <c r="T4169" s="464"/>
      <c r="U4169" s="464"/>
      <c r="V4169" s="464"/>
      <c r="W4169" s="464"/>
      <c r="X4169" s="464"/>
      <c r="Y4169" s="464"/>
      <c r="Z4169" s="464"/>
      <c r="AA4169" s="464"/>
      <c r="AB4169" s="464"/>
      <c r="AC4169" s="464"/>
      <c r="AD4169" s="464"/>
      <c r="AE4169" s="464"/>
      <c r="AF4169" s="464"/>
      <c r="AG4169" s="464"/>
      <c r="AH4169" s="464"/>
      <c r="AI4169" s="464"/>
      <c r="AJ4169" s="464"/>
      <c r="AK4169" s="464"/>
      <c r="AL4169" s="464"/>
      <c r="AM4169" s="464"/>
      <c r="AN4169" s="464"/>
      <c r="AO4169" s="464"/>
      <c r="AP4169" s="464"/>
      <c r="AQ4169" s="464"/>
      <c r="AR4169" s="464"/>
      <c r="AS4169" s="464"/>
      <c r="AT4169" s="464"/>
      <c r="AU4169" s="464"/>
      <c r="AV4169" s="464"/>
      <c r="AW4169" s="464"/>
      <c r="AX4169" s="464"/>
      <c r="AY4169" s="464"/>
      <c r="AZ4169" s="464"/>
      <c r="BA4169" s="464"/>
      <c r="BB4169" s="464"/>
      <c r="BC4169" s="464"/>
      <c r="BD4169" s="464"/>
      <c r="BE4169" s="464"/>
      <c r="BF4169" s="464"/>
      <c r="BG4169" s="464"/>
      <c r="BH4169" s="464"/>
      <c r="BI4169" s="464"/>
      <c r="BJ4169" s="464"/>
      <c r="BK4169" s="464"/>
      <c r="BL4169" s="464"/>
    </row>
    <row r="4170" spans="1:64" ht="13">
      <c r="A4170" s="458"/>
      <c r="B4170" s="458"/>
      <c r="C4170" s="740"/>
      <c r="D4170" s="459"/>
      <c r="E4170" s="458"/>
      <c r="F4170" s="459"/>
      <c r="G4170" s="460"/>
      <c r="H4170" s="471" t="s">
        <v>774</v>
      </c>
      <c r="I4170" s="461">
        <f>ROUND(I4169,0)</f>
        <v>1466</v>
      </c>
      <c r="J4170" s="423"/>
      <c r="K4170" s="424"/>
      <c r="L4170" s="424"/>
      <c r="M4170" s="425"/>
      <c r="N4170" s="425"/>
      <c r="O4170" s="425"/>
      <c r="P4170" s="425"/>
      <c r="Q4170" s="425"/>
      <c r="R4170" s="425"/>
      <c r="S4170" s="425"/>
      <c r="T4170" s="425"/>
      <c r="U4170" s="425"/>
      <c r="V4170" s="425"/>
      <c r="W4170" s="425"/>
      <c r="X4170" s="425"/>
      <c r="Y4170" s="425"/>
      <c r="Z4170" s="425"/>
      <c r="AA4170" s="425"/>
      <c r="AB4170" s="425"/>
      <c r="AC4170" s="425"/>
      <c r="AD4170" s="425"/>
      <c r="AE4170" s="425"/>
      <c r="AF4170" s="425"/>
      <c r="AG4170" s="425"/>
      <c r="AH4170" s="425"/>
      <c r="AI4170" s="425"/>
      <c r="AJ4170" s="425"/>
      <c r="AK4170" s="425"/>
      <c r="AL4170" s="425"/>
      <c r="AM4170" s="425"/>
      <c r="AN4170" s="425"/>
      <c r="AO4170" s="425"/>
      <c r="AP4170" s="425"/>
      <c r="AQ4170" s="425"/>
      <c r="AR4170" s="425"/>
      <c r="AS4170" s="425"/>
      <c r="AT4170" s="425"/>
      <c r="AU4170" s="425"/>
      <c r="AV4170" s="425"/>
      <c r="AW4170" s="425"/>
      <c r="AX4170" s="425"/>
      <c r="AY4170" s="425"/>
      <c r="AZ4170" s="425"/>
      <c r="BA4170" s="425"/>
      <c r="BB4170" s="425"/>
      <c r="BC4170" s="425"/>
      <c r="BD4170" s="425"/>
      <c r="BE4170" s="425"/>
      <c r="BF4170" s="425"/>
      <c r="BG4170" s="425"/>
      <c r="BH4170" s="425"/>
      <c r="BI4170" s="425"/>
      <c r="BJ4170" s="425"/>
      <c r="BK4170" s="425"/>
      <c r="BL4170" s="425"/>
    </row>
    <row r="4171" spans="1:64">
      <c r="A4171" s="454"/>
      <c r="B4171" s="454"/>
      <c r="C4171" s="469"/>
      <c r="D4171" s="426"/>
      <c r="E4171" s="426"/>
      <c r="F4171" s="426"/>
      <c r="G4171" s="426"/>
      <c r="H4171" s="426"/>
      <c r="I4171" s="409"/>
      <c r="J4171" s="400"/>
      <c r="K4171" s="401"/>
      <c r="L4171" s="401"/>
      <c r="M4171" s="404"/>
      <c r="N4171" s="404"/>
      <c r="O4171" s="404"/>
      <c r="P4171" s="404"/>
      <c r="Q4171" s="404"/>
      <c r="R4171" s="404"/>
      <c r="S4171" s="404"/>
      <c r="T4171" s="404"/>
      <c r="U4171" s="404"/>
      <c r="V4171" s="404"/>
      <c r="W4171" s="404"/>
      <c r="X4171" s="404"/>
      <c r="Y4171" s="404"/>
      <c r="Z4171" s="404"/>
      <c r="AA4171" s="404"/>
      <c r="AB4171" s="404"/>
      <c r="AC4171" s="404"/>
      <c r="AD4171" s="404"/>
      <c r="AE4171" s="404"/>
      <c r="AF4171" s="404"/>
      <c r="AG4171" s="404"/>
      <c r="AH4171" s="404"/>
      <c r="AI4171" s="404"/>
      <c r="AJ4171" s="404"/>
      <c r="AK4171" s="404"/>
      <c r="AL4171" s="404"/>
      <c r="AM4171" s="404"/>
      <c r="AN4171" s="404"/>
      <c r="AO4171" s="404"/>
      <c r="AP4171" s="404"/>
      <c r="AQ4171" s="404"/>
      <c r="AR4171" s="404"/>
      <c r="AS4171" s="404"/>
      <c r="AT4171" s="404"/>
      <c r="AU4171" s="404"/>
      <c r="AV4171" s="404"/>
      <c r="AW4171" s="404"/>
      <c r="AX4171" s="404"/>
      <c r="AY4171" s="404"/>
      <c r="AZ4171" s="404"/>
      <c r="BA4171" s="404"/>
      <c r="BB4171" s="404"/>
      <c r="BC4171" s="404"/>
      <c r="BD4171" s="404"/>
      <c r="BE4171" s="404"/>
      <c r="BF4171" s="404"/>
      <c r="BG4171" s="404"/>
      <c r="BH4171" s="404"/>
      <c r="BI4171" s="404"/>
      <c r="BJ4171" s="404"/>
      <c r="BK4171" s="404"/>
      <c r="BL4171" s="404"/>
    </row>
    <row r="4172" spans="1:64" ht="73.900000000000006" customHeight="1">
      <c r="A4172" s="1280">
        <f>1+A4138</f>
        <v>16</v>
      </c>
      <c r="B4172" s="1280"/>
      <c r="C4172" s="1276" t="s">
        <v>1422</v>
      </c>
      <c r="D4172" s="1276"/>
      <c r="E4172" s="1276"/>
      <c r="F4172" s="1276"/>
      <c r="G4172" s="1276"/>
      <c r="H4172" s="1276"/>
      <c r="I4172" s="407"/>
      <c r="J4172" s="400"/>
      <c r="K4172" s="401"/>
      <c r="L4172" s="401"/>
      <c r="M4172" s="404"/>
      <c r="N4172" s="404"/>
      <c r="O4172" s="404"/>
      <c r="P4172" s="404"/>
      <c r="Q4172" s="404"/>
      <c r="R4172" s="404"/>
      <c r="S4172" s="404"/>
      <c r="T4172" s="404"/>
      <c r="U4172" s="404"/>
      <c r="V4172" s="404"/>
      <c r="W4172" s="404"/>
      <c r="X4172" s="404"/>
      <c r="Y4172" s="404"/>
      <c r="Z4172" s="404"/>
      <c r="AA4172" s="404"/>
      <c r="AB4172" s="404"/>
      <c r="AC4172" s="404"/>
      <c r="AD4172" s="404"/>
      <c r="AE4172" s="404"/>
      <c r="AF4172" s="404"/>
      <c r="AG4172" s="404"/>
      <c r="AH4172" s="404"/>
      <c r="AI4172" s="404"/>
      <c r="AJ4172" s="404"/>
      <c r="AK4172" s="404"/>
      <c r="AL4172" s="404"/>
      <c r="AM4172" s="404"/>
      <c r="AN4172" s="404"/>
      <c r="AO4172" s="404"/>
      <c r="AP4172" s="404"/>
      <c r="AQ4172" s="404"/>
      <c r="AR4172" s="404"/>
      <c r="AS4172" s="404"/>
      <c r="AT4172" s="404"/>
      <c r="AU4172" s="404"/>
      <c r="AV4172" s="404"/>
      <c r="AW4172" s="404"/>
      <c r="AX4172" s="404"/>
      <c r="AY4172" s="404"/>
      <c r="AZ4172" s="404"/>
      <c r="BA4172" s="404"/>
      <c r="BB4172" s="404"/>
      <c r="BC4172" s="404"/>
      <c r="BD4172" s="404"/>
      <c r="BE4172" s="404"/>
      <c r="BF4172" s="404"/>
      <c r="BG4172" s="404"/>
      <c r="BH4172" s="404"/>
      <c r="BI4172" s="404"/>
      <c r="BJ4172" s="404"/>
      <c r="BK4172" s="404"/>
      <c r="BL4172" s="404"/>
    </row>
    <row r="4173" spans="1:64">
      <c r="A4173" s="426"/>
      <c r="B4173" s="426"/>
      <c r="C4173" s="417" t="s">
        <v>1423</v>
      </c>
      <c r="D4173" s="409">
        <v>1</v>
      </c>
      <c r="E4173" s="426" t="s">
        <v>17</v>
      </c>
      <c r="F4173" s="409">
        <f>'[161]Civil-SOR'!$G$43</f>
        <v>4431</v>
      </c>
      <c r="G4173" s="410">
        <v>1</v>
      </c>
      <c r="H4173" s="426" t="s">
        <v>17</v>
      </c>
      <c r="I4173" s="408">
        <f t="shared" ref="I4173:I4174" si="936">IF(G4173="",D4173*F4173,(D4173*F4173/G4173))</f>
        <v>4431</v>
      </c>
      <c r="J4173" s="400"/>
      <c r="K4173" s="401"/>
      <c r="L4173" s="401"/>
      <c r="M4173" s="404"/>
      <c r="N4173" s="404"/>
      <c r="O4173" s="404"/>
      <c r="P4173" s="404"/>
      <c r="Q4173" s="404"/>
      <c r="R4173" s="404"/>
      <c r="S4173" s="404"/>
      <c r="T4173" s="404"/>
      <c r="U4173" s="404"/>
      <c r="V4173" s="404"/>
      <c r="W4173" s="404"/>
      <c r="X4173" s="404"/>
      <c r="Y4173" s="404"/>
      <c r="Z4173" s="404"/>
      <c r="AA4173" s="404"/>
      <c r="AB4173" s="404"/>
      <c r="AC4173" s="404"/>
      <c r="AD4173" s="404"/>
      <c r="AE4173" s="404"/>
      <c r="AF4173" s="404"/>
      <c r="AG4173" s="404"/>
      <c r="AH4173" s="404"/>
      <c r="AI4173" s="404"/>
      <c r="AJ4173" s="404"/>
      <c r="AK4173" s="404"/>
      <c r="AL4173" s="404"/>
      <c r="AM4173" s="404"/>
      <c r="AN4173" s="404"/>
      <c r="AO4173" s="404"/>
      <c r="AP4173" s="404"/>
      <c r="AQ4173" s="404"/>
      <c r="AR4173" s="404"/>
      <c r="AS4173" s="404"/>
      <c r="AT4173" s="404"/>
      <c r="AU4173" s="404"/>
      <c r="AV4173" s="404"/>
      <c r="AW4173" s="404"/>
      <c r="AX4173" s="404"/>
      <c r="AY4173" s="404"/>
      <c r="AZ4173" s="404"/>
      <c r="BA4173" s="404"/>
      <c r="BB4173" s="404"/>
      <c r="BC4173" s="404"/>
      <c r="BD4173" s="404"/>
      <c r="BE4173" s="404"/>
      <c r="BF4173" s="404"/>
      <c r="BG4173" s="404"/>
      <c r="BH4173" s="404"/>
      <c r="BI4173" s="404"/>
      <c r="BJ4173" s="404"/>
      <c r="BK4173" s="404"/>
      <c r="BL4173" s="404"/>
    </row>
    <row r="4174" spans="1:64" ht="25">
      <c r="A4174" s="426"/>
      <c r="B4174" s="426"/>
      <c r="C4174" s="417" t="str">
        <f>[161]Input!$C$48</f>
        <v>Overheads &amp; Contractors Profit @ 13.615%</v>
      </c>
      <c r="D4174" s="467">
        <f>[161]Input!$D$48</f>
        <v>0.13614999999999999</v>
      </c>
      <c r="E4174" s="426"/>
      <c r="F4174" s="409">
        <f>I4173</f>
        <v>4431</v>
      </c>
      <c r="G4174" s="410"/>
      <c r="H4174" s="426"/>
      <c r="I4174" s="408">
        <f t="shared" si="936"/>
        <v>603.28064999999992</v>
      </c>
      <c r="J4174" s="400"/>
      <c r="K4174" s="401"/>
      <c r="L4174" s="401"/>
      <c r="M4174" s="404"/>
      <c r="N4174" s="404"/>
      <c r="O4174" s="404"/>
      <c r="P4174" s="404"/>
      <c r="Q4174" s="404"/>
      <c r="R4174" s="404"/>
      <c r="S4174" s="404"/>
      <c r="T4174" s="404"/>
      <c r="U4174" s="404"/>
      <c r="V4174" s="404"/>
      <c r="W4174" s="404"/>
      <c r="X4174" s="404"/>
      <c r="Y4174" s="404"/>
      <c r="Z4174" s="404"/>
      <c r="AA4174" s="404"/>
      <c r="AB4174" s="404"/>
      <c r="AC4174" s="404"/>
      <c r="AD4174" s="404"/>
      <c r="AE4174" s="404"/>
      <c r="AF4174" s="404"/>
      <c r="AG4174" s="404"/>
      <c r="AH4174" s="404"/>
      <c r="AI4174" s="404"/>
      <c r="AJ4174" s="404"/>
      <c r="AK4174" s="404"/>
      <c r="AL4174" s="404"/>
      <c r="AM4174" s="404"/>
      <c r="AN4174" s="404"/>
      <c r="AO4174" s="404"/>
      <c r="AP4174" s="404"/>
      <c r="AQ4174" s="404"/>
      <c r="AR4174" s="404"/>
      <c r="AS4174" s="404"/>
      <c r="AT4174" s="404"/>
      <c r="AU4174" s="404"/>
      <c r="AV4174" s="404"/>
      <c r="AW4174" s="404"/>
      <c r="AX4174" s="404"/>
      <c r="AY4174" s="404"/>
      <c r="AZ4174" s="404"/>
      <c r="BA4174" s="404"/>
      <c r="BB4174" s="404"/>
      <c r="BC4174" s="404"/>
      <c r="BD4174" s="404"/>
      <c r="BE4174" s="404"/>
      <c r="BF4174" s="404"/>
      <c r="BG4174" s="404"/>
      <c r="BH4174" s="404"/>
      <c r="BI4174" s="404"/>
      <c r="BJ4174" s="404"/>
      <c r="BK4174" s="404"/>
      <c r="BL4174" s="404"/>
    </row>
    <row r="4175" spans="1:64">
      <c r="A4175" s="426"/>
      <c r="B4175" s="426"/>
      <c r="C4175" s="417"/>
      <c r="D4175" s="408"/>
      <c r="E4175" s="426"/>
      <c r="F4175" s="409"/>
      <c r="G4175" s="410"/>
      <c r="H4175" s="426"/>
      <c r="I4175" s="408">
        <f>SUM(I4173:I4174)</f>
        <v>5034.2806499999997</v>
      </c>
      <c r="J4175" s="400"/>
      <c r="K4175" s="401"/>
      <c r="L4175" s="401"/>
      <c r="M4175" s="404"/>
      <c r="N4175" s="404"/>
      <c r="O4175" s="404"/>
      <c r="P4175" s="404"/>
      <c r="Q4175" s="404"/>
      <c r="R4175" s="404"/>
      <c r="S4175" s="404"/>
      <c r="T4175" s="404"/>
      <c r="U4175" s="404"/>
      <c r="V4175" s="404"/>
      <c r="W4175" s="404"/>
      <c r="X4175" s="404"/>
      <c r="Y4175" s="404"/>
      <c r="Z4175" s="404"/>
      <c r="AA4175" s="404"/>
      <c r="AB4175" s="404"/>
      <c r="AC4175" s="404"/>
      <c r="AD4175" s="404"/>
      <c r="AE4175" s="404"/>
      <c r="AF4175" s="404"/>
      <c r="AG4175" s="404"/>
      <c r="AH4175" s="404"/>
      <c r="AI4175" s="404"/>
      <c r="AJ4175" s="404"/>
      <c r="AK4175" s="404"/>
      <c r="AL4175" s="404"/>
      <c r="AM4175" s="404"/>
      <c r="AN4175" s="404"/>
      <c r="AO4175" s="404"/>
      <c r="AP4175" s="404"/>
      <c r="AQ4175" s="404"/>
      <c r="AR4175" s="404"/>
      <c r="AS4175" s="404"/>
      <c r="AT4175" s="404"/>
      <c r="AU4175" s="404"/>
      <c r="AV4175" s="404"/>
      <c r="AW4175" s="404"/>
      <c r="AX4175" s="404"/>
      <c r="AY4175" s="404"/>
      <c r="AZ4175" s="404"/>
      <c r="BA4175" s="404"/>
      <c r="BB4175" s="404"/>
      <c r="BC4175" s="404"/>
      <c r="BD4175" s="404"/>
      <c r="BE4175" s="404"/>
      <c r="BF4175" s="404"/>
      <c r="BG4175" s="404"/>
      <c r="BH4175" s="404"/>
      <c r="BI4175" s="404"/>
      <c r="BJ4175" s="404"/>
      <c r="BK4175" s="404"/>
      <c r="BL4175" s="404"/>
    </row>
    <row r="4176" spans="1:64" ht="13">
      <c r="A4176" s="426"/>
      <c r="B4176" s="426"/>
      <c r="C4176" s="427" t="s">
        <v>742</v>
      </c>
      <c r="D4176" s="409"/>
      <c r="E4176" s="426"/>
      <c r="F4176" s="409"/>
      <c r="G4176" s="410"/>
      <c r="H4176" s="415" t="s">
        <v>774</v>
      </c>
      <c r="I4176" s="414">
        <f>ROUND(I4175,0)</f>
        <v>5034</v>
      </c>
      <c r="J4176" s="400"/>
      <c r="K4176" s="401"/>
      <c r="L4176" s="401"/>
      <c r="M4176" s="404"/>
      <c r="N4176" s="404"/>
      <c r="O4176" s="404"/>
      <c r="P4176" s="404"/>
      <c r="Q4176" s="404"/>
      <c r="R4176" s="404"/>
      <c r="S4176" s="404"/>
      <c r="T4176" s="404"/>
      <c r="U4176" s="404"/>
      <c r="V4176" s="404"/>
      <c r="W4176" s="404"/>
      <c r="X4176" s="404"/>
      <c r="Y4176" s="404"/>
      <c r="Z4176" s="404"/>
      <c r="AA4176" s="404"/>
      <c r="AB4176" s="404"/>
      <c r="AC4176" s="404"/>
      <c r="AD4176" s="404"/>
      <c r="AE4176" s="404"/>
      <c r="AF4176" s="404"/>
      <c r="AG4176" s="404"/>
      <c r="AH4176" s="404"/>
      <c r="AI4176" s="404"/>
      <c r="AJ4176" s="404"/>
      <c r="AK4176" s="404"/>
      <c r="AL4176" s="404"/>
      <c r="AM4176" s="404"/>
      <c r="AN4176" s="404"/>
      <c r="AO4176" s="404"/>
      <c r="AP4176" s="404"/>
      <c r="AQ4176" s="404"/>
      <c r="AR4176" s="404"/>
      <c r="AS4176" s="404"/>
      <c r="AT4176" s="404"/>
      <c r="AU4176" s="404"/>
      <c r="AV4176" s="404"/>
      <c r="AW4176" s="404"/>
      <c r="AX4176" s="404"/>
      <c r="AY4176" s="404"/>
      <c r="AZ4176" s="404"/>
      <c r="BA4176" s="404"/>
      <c r="BB4176" s="404"/>
      <c r="BC4176" s="404"/>
      <c r="BD4176" s="404"/>
      <c r="BE4176" s="404"/>
      <c r="BF4176" s="404"/>
      <c r="BG4176" s="404"/>
      <c r="BH4176" s="404"/>
      <c r="BI4176" s="404"/>
      <c r="BJ4176" s="404"/>
      <c r="BK4176" s="404"/>
      <c r="BL4176" s="404"/>
    </row>
    <row r="4177" spans="1:64">
      <c r="A4177" s="426"/>
      <c r="B4177" s="426"/>
      <c r="C4177" s="417"/>
      <c r="D4177" s="409"/>
      <c r="E4177" s="426"/>
      <c r="F4177" s="409"/>
      <c r="G4177" s="410"/>
      <c r="H4177" s="426"/>
      <c r="I4177" s="409"/>
      <c r="J4177" s="400"/>
      <c r="K4177" s="401"/>
      <c r="L4177" s="401"/>
      <c r="M4177" s="404"/>
      <c r="N4177" s="404"/>
      <c r="O4177" s="404"/>
      <c r="P4177" s="404"/>
      <c r="Q4177" s="404"/>
      <c r="R4177" s="404"/>
      <c r="S4177" s="404"/>
      <c r="T4177" s="404"/>
      <c r="U4177" s="404"/>
      <c r="V4177" s="404"/>
      <c r="W4177" s="404"/>
      <c r="X4177" s="404"/>
      <c r="Y4177" s="404"/>
      <c r="Z4177" s="404"/>
      <c r="AA4177" s="404"/>
      <c r="AB4177" s="404"/>
      <c r="AC4177" s="404"/>
      <c r="AD4177" s="404"/>
      <c r="AE4177" s="404"/>
      <c r="AF4177" s="404"/>
      <c r="AG4177" s="404"/>
      <c r="AH4177" s="404"/>
      <c r="AI4177" s="404"/>
      <c r="AJ4177" s="404"/>
      <c r="AK4177" s="404"/>
      <c r="AL4177" s="404"/>
      <c r="AM4177" s="404"/>
      <c r="AN4177" s="404"/>
      <c r="AO4177" s="404"/>
      <c r="AP4177" s="404"/>
      <c r="AQ4177" s="404"/>
      <c r="AR4177" s="404"/>
      <c r="AS4177" s="404"/>
      <c r="AT4177" s="404"/>
      <c r="AU4177" s="404"/>
      <c r="AV4177" s="404"/>
      <c r="AW4177" s="404"/>
      <c r="AX4177" s="404"/>
      <c r="AY4177" s="404"/>
      <c r="AZ4177" s="404"/>
      <c r="BA4177" s="404"/>
      <c r="BB4177" s="404"/>
      <c r="BC4177" s="404"/>
      <c r="BD4177" s="404"/>
      <c r="BE4177" s="404"/>
      <c r="BF4177" s="404"/>
      <c r="BG4177" s="404"/>
      <c r="BH4177" s="404"/>
      <c r="BI4177" s="404"/>
      <c r="BJ4177" s="404"/>
      <c r="BK4177" s="404"/>
      <c r="BL4177" s="404"/>
    </row>
    <row r="4178" spans="1:64" ht="82.15" customHeight="1">
      <c r="A4178" s="1280">
        <f>A4172+1</f>
        <v>17</v>
      </c>
      <c r="B4178" s="1280"/>
      <c r="C4178" s="1276" t="s">
        <v>1424</v>
      </c>
      <c r="D4178" s="1276"/>
      <c r="E4178" s="1276"/>
      <c r="F4178" s="1276"/>
      <c r="G4178" s="1276"/>
      <c r="H4178" s="1276"/>
      <c r="I4178" s="407"/>
      <c r="J4178" s="400"/>
      <c r="K4178" s="401"/>
      <c r="L4178" s="401"/>
      <c r="M4178" s="404"/>
      <c r="N4178" s="404"/>
      <c r="O4178" s="404"/>
      <c r="P4178" s="404"/>
      <c r="Q4178" s="404"/>
      <c r="R4178" s="404"/>
      <c r="S4178" s="404"/>
      <c r="T4178" s="404"/>
      <c r="U4178" s="404"/>
      <c r="V4178" s="404"/>
      <c r="W4178" s="404"/>
      <c r="X4178" s="404"/>
      <c r="Y4178" s="404"/>
      <c r="Z4178" s="404"/>
      <c r="AA4178" s="404"/>
      <c r="AB4178" s="404"/>
      <c r="AC4178" s="404"/>
      <c r="AD4178" s="404"/>
      <c r="AE4178" s="404"/>
      <c r="AF4178" s="404"/>
      <c r="AG4178" s="404"/>
      <c r="AH4178" s="404"/>
      <c r="AI4178" s="404"/>
      <c r="AJ4178" s="404"/>
      <c r="AK4178" s="404"/>
      <c r="AL4178" s="404"/>
      <c r="AM4178" s="404"/>
      <c r="AN4178" s="404"/>
      <c r="AO4178" s="404"/>
      <c r="AP4178" s="404"/>
      <c r="AQ4178" s="404"/>
      <c r="AR4178" s="404"/>
      <c r="AS4178" s="404"/>
      <c r="AT4178" s="404"/>
      <c r="AU4178" s="404"/>
      <c r="AV4178" s="404"/>
      <c r="AW4178" s="404"/>
      <c r="AX4178" s="404"/>
      <c r="AY4178" s="404"/>
      <c r="AZ4178" s="404"/>
      <c r="BA4178" s="404"/>
      <c r="BB4178" s="404"/>
      <c r="BC4178" s="404"/>
      <c r="BD4178" s="404"/>
      <c r="BE4178" s="404"/>
      <c r="BF4178" s="404"/>
      <c r="BG4178" s="404"/>
      <c r="BH4178" s="404"/>
      <c r="BI4178" s="404"/>
      <c r="BJ4178" s="404"/>
      <c r="BK4178" s="404"/>
      <c r="BL4178" s="404"/>
    </row>
    <row r="4179" spans="1:64">
      <c r="A4179" s="426"/>
      <c r="B4179" s="426"/>
      <c r="C4179" s="417" t="s">
        <v>1425</v>
      </c>
      <c r="D4179" s="409">
        <v>1</v>
      </c>
      <c r="E4179" s="426" t="s">
        <v>17</v>
      </c>
      <c r="F4179" s="409">
        <f>'[161]Civil-SOR'!$G$44</f>
        <v>3876</v>
      </c>
      <c r="G4179" s="410">
        <v>1</v>
      </c>
      <c r="H4179" s="426" t="s">
        <v>17</v>
      </c>
      <c r="I4179" s="408">
        <f t="shared" ref="I4179:I4180" si="937">IF(G4179="",D4179*F4179,(D4179*F4179/G4179))</f>
        <v>3876</v>
      </c>
      <c r="J4179" s="418"/>
      <c r="K4179" s="419"/>
      <c r="L4179" s="419"/>
      <c r="M4179" s="420"/>
      <c r="N4179" s="420"/>
      <c r="O4179" s="420"/>
      <c r="P4179" s="420"/>
      <c r="Q4179" s="420"/>
      <c r="R4179" s="420"/>
      <c r="S4179" s="420"/>
      <c r="T4179" s="420"/>
      <c r="U4179" s="420"/>
      <c r="V4179" s="420"/>
      <c r="W4179" s="420"/>
      <c r="X4179" s="420"/>
      <c r="Y4179" s="420"/>
      <c r="Z4179" s="420"/>
      <c r="AA4179" s="420"/>
      <c r="AB4179" s="420"/>
      <c r="AC4179" s="420"/>
      <c r="AD4179" s="420"/>
      <c r="AE4179" s="420"/>
      <c r="AF4179" s="420"/>
      <c r="AG4179" s="420"/>
      <c r="AH4179" s="420"/>
      <c r="AI4179" s="420"/>
      <c r="AJ4179" s="420"/>
      <c r="AK4179" s="420"/>
      <c r="AL4179" s="420"/>
      <c r="AM4179" s="420"/>
      <c r="AN4179" s="420"/>
      <c r="AO4179" s="420"/>
      <c r="AP4179" s="420"/>
      <c r="AQ4179" s="420"/>
      <c r="AR4179" s="420"/>
      <c r="AS4179" s="420"/>
      <c r="AT4179" s="420"/>
      <c r="AU4179" s="420"/>
      <c r="AV4179" s="420"/>
      <c r="AW4179" s="420"/>
      <c r="AX4179" s="420"/>
      <c r="AY4179" s="420"/>
      <c r="AZ4179" s="420"/>
      <c r="BA4179" s="420"/>
      <c r="BB4179" s="420"/>
      <c r="BC4179" s="420"/>
      <c r="BD4179" s="420"/>
      <c r="BE4179" s="420"/>
      <c r="BF4179" s="420"/>
      <c r="BG4179" s="420"/>
      <c r="BH4179" s="420"/>
      <c r="BI4179" s="420"/>
      <c r="BJ4179" s="420"/>
      <c r="BK4179" s="420"/>
      <c r="BL4179" s="420"/>
    </row>
    <row r="4180" spans="1:64" ht="25">
      <c r="A4180" s="426"/>
      <c r="B4180" s="426"/>
      <c r="C4180" s="417" t="str">
        <f>[161]Input!$C$48</f>
        <v>Overheads &amp; Contractors Profit @ 13.615%</v>
      </c>
      <c r="D4180" s="467">
        <f>[161]Input!$D$48</f>
        <v>0.13614999999999999</v>
      </c>
      <c r="E4180" s="426"/>
      <c r="F4180" s="409">
        <f>I4179</f>
        <v>3876</v>
      </c>
      <c r="G4180" s="410"/>
      <c r="H4180" s="426"/>
      <c r="I4180" s="408">
        <f t="shared" si="937"/>
        <v>527.7174</v>
      </c>
      <c r="J4180" s="418"/>
      <c r="K4180" s="419"/>
      <c r="L4180" s="419"/>
      <c r="M4180" s="420"/>
      <c r="N4180" s="420"/>
      <c r="O4180" s="420"/>
      <c r="P4180" s="420"/>
      <c r="Q4180" s="420"/>
      <c r="R4180" s="420"/>
      <c r="S4180" s="420"/>
      <c r="T4180" s="420"/>
      <c r="U4180" s="420"/>
      <c r="V4180" s="420"/>
      <c r="W4180" s="420"/>
      <c r="X4180" s="420"/>
      <c r="Y4180" s="420"/>
      <c r="Z4180" s="420"/>
      <c r="AA4180" s="420"/>
      <c r="AB4180" s="420"/>
      <c r="AC4180" s="420"/>
      <c r="AD4180" s="420"/>
      <c r="AE4180" s="420"/>
      <c r="AF4180" s="420"/>
      <c r="AG4180" s="420"/>
      <c r="AH4180" s="420"/>
      <c r="AI4180" s="420"/>
      <c r="AJ4180" s="420"/>
      <c r="AK4180" s="420"/>
      <c r="AL4180" s="420"/>
      <c r="AM4180" s="420"/>
      <c r="AN4180" s="420"/>
      <c r="AO4180" s="420"/>
      <c r="AP4180" s="420"/>
      <c r="AQ4180" s="420"/>
      <c r="AR4180" s="420"/>
      <c r="AS4180" s="420"/>
      <c r="AT4180" s="420"/>
      <c r="AU4180" s="420"/>
      <c r="AV4180" s="420"/>
      <c r="AW4180" s="420"/>
      <c r="AX4180" s="420"/>
      <c r="AY4180" s="420"/>
      <c r="AZ4180" s="420"/>
      <c r="BA4180" s="420"/>
      <c r="BB4180" s="420"/>
      <c r="BC4180" s="420"/>
      <c r="BD4180" s="420"/>
      <c r="BE4180" s="420"/>
      <c r="BF4180" s="420"/>
      <c r="BG4180" s="420"/>
      <c r="BH4180" s="420"/>
      <c r="BI4180" s="420"/>
      <c r="BJ4180" s="420"/>
      <c r="BK4180" s="420"/>
      <c r="BL4180" s="420"/>
    </row>
    <row r="4181" spans="1:64" ht="13">
      <c r="A4181" s="426"/>
      <c r="B4181" s="426"/>
      <c r="C4181" s="427" t="s">
        <v>742</v>
      </c>
      <c r="D4181" s="409"/>
      <c r="E4181" s="426"/>
      <c r="F4181" s="409"/>
      <c r="G4181" s="410"/>
      <c r="H4181" s="426"/>
      <c r="I4181" s="414">
        <f>SUM(I4179:I4180)</f>
        <v>4403.7173999999995</v>
      </c>
      <c r="J4181" s="400"/>
      <c r="K4181" s="401"/>
      <c r="L4181" s="401"/>
      <c r="M4181" s="404"/>
      <c r="N4181" s="404"/>
      <c r="O4181" s="404"/>
      <c r="P4181" s="404"/>
      <c r="Q4181" s="404"/>
      <c r="R4181" s="404"/>
      <c r="S4181" s="404"/>
      <c r="T4181" s="404"/>
      <c r="U4181" s="404"/>
      <c r="V4181" s="404"/>
      <c r="W4181" s="404"/>
      <c r="X4181" s="404"/>
      <c r="Y4181" s="404"/>
      <c r="Z4181" s="404"/>
      <c r="AA4181" s="404"/>
      <c r="AB4181" s="404"/>
      <c r="AC4181" s="404"/>
      <c r="AD4181" s="404"/>
      <c r="AE4181" s="404"/>
      <c r="AF4181" s="404"/>
      <c r="AG4181" s="404"/>
      <c r="AH4181" s="404"/>
      <c r="AI4181" s="404"/>
      <c r="AJ4181" s="404"/>
      <c r="AK4181" s="404"/>
      <c r="AL4181" s="404"/>
      <c r="AM4181" s="404"/>
      <c r="AN4181" s="404"/>
      <c r="AO4181" s="404"/>
      <c r="AP4181" s="404"/>
      <c r="AQ4181" s="404"/>
      <c r="AR4181" s="404"/>
      <c r="AS4181" s="404"/>
      <c r="AT4181" s="404"/>
      <c r="AU4181" s="404"/>
      <c r="AV4181" s="404"/>
      <c r="AW4181" s="404"/>
      <c r="AX4181" s="404"/>
      <c r="AY4181" s="404"/>
      <c r="AZ4181" s="404"/>
      <c r="BA4181" s="404"/>
      <c r="BB4181" s="404"/>
      <c r="BC4181" s="404"/>
      <c r="BD4181" s="404"/>
      <c r="BE4181" s="404"/>
      <c r="BF4181" s="404"/>
      <c r="BG4181" s="404"/>
      <c r="BH4181" s="404"/>
      <c r="BI4181" s="404"/>
      <c r="BJ4181" s="404"/>
      <c r="BK4181" s="404"/>
      <c r="BL4181" s="404"/>
    </row>
    <row r="4182" spans="1:64" ht="13">
      <c r="A4182" s="426"/>
      <c r="B4182" s="426"/>
      <c r="C4182" s="417"/>
      <c r="D4182" s="409"/>
      <c r="E4182" s="426"/>
      <c r="F4182" s="409"/>
      <c r="G4182" s="410"/>
      <c r="H4182" s="415" t="s">
        <v>774</v>
      </c>
      <c r="I4182" s="414">
        <f>ROUND(I4181,0)</f>
        <v>4404</v>
      </c>
      <c r="J4182" s="400"/>
      <c r="K4182" s="401"/>
      <c r="L4182" s="401"/>
      <c r="M4182" s="404"/>
      <c r="N4182" s="404"/>
      <c r="O4182" s="404"/>
      <c r="P4182" s="404"/>
      <c r="Q4182" s="404"/>
      <c r="R4182" s="404"/>
      <c r="S4182" s="404"/>
      <c r="T4182" s="404"/>
      <c r="U4182" s="404"/>
      <c r="V4182" s="404"/>
      <c r="W4182" s="404"/>
      <c r="X4182" s="404"/>
      <c r="Y4182" s="404"/>
      <c r="Z4182" s="404"/>
      <c r="AA4182" s="404"/>
      <c r="AB4182" s="404"/>
      <c r="AC4182" s="404"/>
      <c r="AD4182" s="404"/>
      <c r="AE4182" s="404"/>
      <c r="AF4182" s="404"/>
      <c r="AG4182" s="404"/>
      <c r="AH4182" s="404"/>
      <c r="AI4182" s="404"/>
      <c r="AJ4182" s="404"/>
      <c r="AK4182" s="404"/>
      <c r="AL4182" s="404"/>
      <c r="AM4182" s="404"/>
      <c r="AN4182" s="404"/>
      <c r="AO4182" s="404"/>
      <c r="AP4182" s="404"/>
      <c r="AQ4182" s="404"/>
      <c r="AR4182" s="404"/>
      <c r="AS4182" s="404"/>
      <c r="AT4182" s="404"/>
      <c r="AU4182" s="404"/>
      <c r="AV4182" s="404"/>
      <c r="AW4182" s="404"/>
      <c r="AX4182" s="404"/>
      <c r="AY4182" s="404"/>
      <c r="AZ4182" s="404"/>
      <c r="BA4182" s="404"/>
      <c r="BB4182" s="404"/>
      <c r="BC4182" s="404"/>
      <c r="BD4182" s="404"/>
      <c r="BE4182" s="404"/>
      <c r="BF4182" s="404"/>
      <c r="BG4182" s="404"/>
      <c r="BH4182" s="404"/>
      <c r="BI4182" s="404"/>
      <c r="BJ4182" s="404"/>
      <c r="BK4182" s="404"/>
      <c r="BL4182" s="404"/>
    </row>
    <row r="4183" spans="1:64" ht="13">
      <c r="A4183" s="426"/>
      <c r="B4183" s="426"/>
      <c r="C4183" s="417"/>
      <c r="D4183" s="409"/>
      <c r="E4183" s="426"/>
      <c r="F4183" s="409"/>
      <c r="G4183" s="410"/>
      <c r="H4183" s="415"/>
      <c r="I4183" s="414"/>
      <c r="J4183" s="400"/>
      <c r="K4183" s="401"/>
      <c r="L4183" s="401"/>
      <c r="M4183" s="404"/>
      <c r="N4183" s="404"/>
      <c r="O4183" s="404"/>
      <c r="P4183" s="404"/>
      <c r="Q4183" s="404"/>
      <c r="R4183" s="404"/>
      <c r="S4183" s="404"/>
      <c r="T4183" s="404"/>
      <c r="U4183" s="404"/>
      <c r="V4183" s="404"/>
      <c r="W4183" s="404"/>
      <c r="X4183" s="404"/>
      <c r="Y4183" s="404"/>
      <c r="Z4183" s="404"/>
      <c r="AA4183" s="404"/>
      <c r="AB4183" s="404"/>
      <c r="AC4183" s="404"/>
      <c r="AD4183" s="404"/>
      <c r="AE4183" s="404"/>
      <c r="AF4183" s="404"/>
      <c r="AG4183" s="404"/>
      <c r="AH4183" s="404"/>
      <c r="AI4183" s="404"/>
      <c r="AJ4183" s="404"/>
      <c r="AK4183" s="404"/>
      <c r="AL4183" s="404"/>
      <c r="AM4183" s="404"/>
      <c r="AN4183" s="404"/>
      <c r="AO4183" s="404"/>
      <c r="AP4183" s="404"/>
      <c r="AQ4183" s="404"/>
      <c r="AR4183" s="404"/>
      <c r="AS4183" s="404"/>
      <c r="AT4183" s="404"/>
      <c r="AU4183" s="404"/>
      <c r="AV4183" s="404"/>
      <c r="AW4183" s="404"/>
      <c r="AX4183" s="404"/>
      <c r="AY4183" s="404"/>
      <c r="AZ4183" s="404"/>
      <c r="BA4183" s="404"/>
      <c r="BB4183" s="404"/>
      <c r="BC4183" s="404"/>
      <c r="BD4183" s="404"/>
      <c r="BE4183" s="404"/>
      <c r="BF4183" s="404"/>
      <c r="BG4183" s="404"/>
      <c r="BH4183" s="404"/>
      <c r="BI4183" s="404"/>
      <c r="BJ4183" s="404"/>
      <c r="BK4183" s="404"/>
      <c r="BL4183" s="404"/>
    </row>
    <row r="4184" spans="1:64" ht="137.25" customHeight="1">
      <c r="A4184" s="1280">
        <f>1+A4172</f>
        <v>17</v>
      </c>
      <c r="B4184" s="1280"/>
      <c r="C4184" s="1291" t="s">
        <v>1426</v>
      </c>
      <c r="D4184" s="1291"/>
      <c r="E4184" s="1291"/>
      <c r="F4184" s="1291"/>
      <c r="G4184" s="1291"/>
      <c r="H4184" s="1291"/>
      <c r="I4184" s="407"/>
      <c r="J4184" s="400"/>
      <c r="K4184" s="401"/>
      <c r="L4184" s="401"/>
      <c r="M4184" s="404"/>
      <c r="N4184" s="404"/>
      <c r="O4184" s="404"/>
      <c r="P4184" s="404"/>
      <c r="Q4184" s="404"/>
      <c r="R4184" s="404"/>
      <c r="S4184" s="404"/>
      <c r="T4184" s="404"/>
      <c r="U4184" s="404"/>
      <c r="V4184" s="404"/>
      <c r="W4184" s="404"/>
      <c r="X4184" s="404"/>
      <c r="Y4184" s="404"/>
      <c r="Z4184" s="404"/>
      <c r="AA4184" s="404"/>
      <c r="AB4184" s="404"/>
      <c r="AC4184" s="404"/>
      <c r="AD4184" s="404"/>
      <c r="AE4184" s="404"/>
      <c r="AF4184" s="404"/>
      <c r="AG4184" s="404"/>
      <c r="AH4184" s="404"/>
      <c r="AI4184" s="404"/>
      <c r="AJ4184" s="404"/>
      <c r="AK4184" s="404"/>
      <c r="AL4184" s="404"/>
      <c r="AM4184" s="404"/>
      <c r="AN4184" s="404"/>
      <c r="AO4184" s="404"/>
      <c r="AP4184" s="404"/>
      <c r="AQ4184" s="404"/>
      <c r="AR4184" s="404"/>
      <c r="AS4184" s="404"/>
      <c r="AT4184" s="404"/>
      <c r="AU4184" s="404"/>
      <c r="AV4184" s="404"/>
      <c r="AW4184" s="404"/>
      <c r="AX4184" s="404"/>
      <c r="AY4184" s="404"/>
      <c r="AZ4184" s="404"/>
      <c r="BA4184" s="404"/>
      <c r="BB4184" s="404"/>
      <c r="BC4184" s="404"/>
      <c r="BD4184" s="404"/>
      <c r="BE4184" s="404"/>
      <c r="BF4184" s="404"/>
      <c r="BG4184" s="404"/>
      <c r="BH4184" s="404"/>
      <c r="BI4184" s="404"/>
      <c r="BJ4184" s="404"/>
      <c r="BK4184" s="404"/>
      <c r="BL4184" s="404"/>
    </row>
    <row r="4185" spans="1:64">
      <c r="A4185" s="426"/>
      <c r="B4185" s="426"/>
      <c r="C4185" s="469" t="s">
        <v>1427</v>
      </c>
      <c r="D4185" s="409">
        <v>1</v>
      </c>
      <c r="E4185" s="426" t="s">
        <v>1052</v>
      </c>
      <c r="F4185" s="409">
        <f>'[161]Civil-SOR'!G393</f>
        <v>769</v>
      </c>
      <c r="G4185" s="410">
        <v>1</v>
      </c>
      <c r="H4185" s="426" t="s">
        <v>1052</v>
      </c>
      <c r="I4185" s="408">
        <f t="shared" ref="I4185:I4186" si="938">IF(G4185="",D4185*F4185,(D4185*F4185/G4185))</f>
        <v>769</v>
      </c>
      <c r="J4185" s="400"/>
      <c r="K4185" s="401"/>
      <c r="L4185" s="401"/>
      <c r="M4185" s="404"/>
      <c r="N4185" s="404"/>
      <c r="O4185" s="404"/>
      <c r="P4185" s="404"/>
      <c r="Q4185" s="404"/>
      <c r="R4185" s="404"/>
      <c r="S4185" s="404"/>
      <c r="T4185" s="404"/>
      <c r="U4185" s="404"/>
      <c r="V4185" s="404"/>
      <c r="W4185" s="404"/>
      <c r="X4185" s="404"/>
      <c r="Y4185" s="404"/>
      <c r="Z4185" s="404"/>
      <c r="AA4185" s="404"/>
      <c r="AB4185" s="404"/>
      <c r="AC4185" s="404"/>
      <c r="AD4185" s="404"/>
      <c r="AE4185" s="404"/>
      <c r="AF4185" s="404"/>
      <c r="AG4185" s="404"/>
      <c r="AH4185" s="404"/>
      <c r="AI4185" s="404"/>
      <c r="AJ4185" s="404"/>
      <c r="AK4185" s="404"/>
      <c r="AL4185" s="404"/>
      <c r="AM4185" s="404"/>
      <c r="AN4185" s="404"/>
      <c r="AO4185" s="404"/>
      <c r="AP4185" s="404"/>
      <c r="AQ4185" s="404"/>
      <c r="AR4185" s="404"/>
      <c r="AS4185" s="404"/>
      <c r="AT4185" s="404"/>
      <c r="AU4185" s="404"/>
      <c r="AV4185" s="404"/>
      <c r="AW4185" s="404"/>
      <c r="AX4185" s="404"/>
      <c r="AY4185" s="404"/>
      <c r="AZ4185" s="404"/>
      <c r="BA4185" s="404"/>
      <c r="BB4185" s="404"/>
      <c r="BC4185" s="404"/>
      <c r="BD4185" s="404"/>
      <c r="BE4185" s="404"/>
      <c r="BF4185" s="404"/>
      <c r="BG4185" s="404"/>
      <c r="BH4185" s="404"/>
      <c r="BI4185" s="404"/>
      <c r="BJ4185" s="404"/>
      <c r="BK4185" s="404"/>
      <c r="BL4185" s="404"/>
    </row>
    <row r="4186" spans="1:64" ht="25">
      <c r="A4186" s="426"/>
      <c r="B4186" s="426"/>
      <c r="C4186" s="417" t="str">
        <f>[161]Input!$C$48</f>
        <v>Overheads &amp; Contractors Profit @ 13.615%</v>
      </c>
      <c r="D4186" s="467">
        <f>[161]Input!$D$48</f>
        <v>0.13614999999999999</v>
      </c>
      <c r="E4186" s="426"/>
      <c r="F4186" s="409">
        <f>I4185</f>
        <v>769</v>
      </c>
      <c r="G4186" s="410"/>
      <c r="H4186" s="426"/>
      <c r="I4186" s="408">
        <f t="shared" si="938"/>
        <v>104.69935</v>
      </c>
      <c r="J4186" s="400"/>
      <c r="K4186" s="401"/>
      <c r="L4186" s="401"/>
      <c r="M4186" s="404"/>
      <c r="N4186" s="404"/>
      <c r="O4186" s="404"/>
      <c r="P4186" s="404"/>
      <c r="Q4186" s="404"/>
      <c r="R4186" s="404"/>
      <c r="S4186" s="404"/>
      <c r="T4186" s="404"/>
      <c r="U4186" s="404"/>
      <c r="V4186" s="404"/>
      <c r="W4186" s="404"/>
      <c r="X4186" s="404"/>
      <c r="Y4186" s="404"/>
      <c r="Z4186" s="404"/>
      <c r="AA4186" s="404"/>
      <c r="AB4186" s="404"/>
      <c r="AC4186" s="404"/>
      <c r="AD4186" s="404"/>
      <c r="AE4186" s="404"/>
      <c r="AF4186" s="404"/>
      <c r="AG4186" s="404"/>
      <c r="AH4186" s="404"/>
      <c r="AI4186" s="404"/>
      <c r="AJ4186" s="404"/>
      <c r="AK4186" s="404"/>
      <c r="AL4186" s="404"/>
      <c r="AM4186" s="404"/>
      <c r="AN4186" s="404"/>
      <c r="AO4186" s="404"/>
      <c r="AP4186" s="404"/>
      <c r="AQ4186" s="404"/>
      <c r="AR4186" s="404"/>
      <c r="AS4186" s="404"/>
      <c r="AT4186" s="404"/>
      <c r="AU4186" s="404"/>
      <c r="AV4186" s="404"/>
      <c r="AW4186" s="404"/>
      <c r="AX4186" s="404"/>
      <c r="AY4186" s="404"/>
      <c r="AZ4186" s="404"/>
      <c r="BA4186" s="404"/>
      <c r="BB4186" s="404"/>
      <c r="BC4186" s="404"/>
      <c r="BD4186" s="404"/>
      <c r="BE4186" s="404"/>
      <c r="BF4186" s="404"/>
      <c r="BG4186" s="404"/>
      <c r="BH4186" s="404"/>
      <c r="BI4186" s="404"/>
      <c r="BJ4186" s="404"/>
      <c r="BK4186" s="404"/>
      <c r="BL4186" s="404"/>
    </row>
    <row r="4187" spans="1:64" ht="13">
      <c r="A4187" s="426"/>
      <c r="B4187" s="426"/>
      <c r="C4187" s="741" t="s">
        <v>1032</v>
      </c>
      <c r="D4187" s="409"/>
      <c r="E4187" s="426"/>
      <c r="F4187" s="409"/>
      <c r="G4187" s="410"/>
      <c r="H4187" s="426"/>
      <c r="I4187" s="414">
        <f>SUM(I4185:I4186)</f>
        <v>873.69934999999998</v>
      </c>
      <c r="J4187" s="400"/>
      <c r="K4187" s="401"/>
      <c r="L4187" s="401"/>
      <c r="M4187" s="404"/>
      <c r="N4187" s="404"/>
      <c r="O4187" s="404"/>
      <c r="P4187" s="404"/>
      <c r="Q4187" s="404"/>
      <c r="R4187" s="404"/>
      <c r="S4187" s="404"/>
      <c r="T4187" s="404"/>
      <c r="U4187" s="404"/>
      <c r="V4187" s="404"/>
      <c r="W4187" s="404"/>
      <c r="X4187" s="404"/>
      <c r="Y4187" s="404"/>
      <c r="Z4187" s="404"/>
      <c r="AA4187" s="404"/>
      <c r="AB4187" s="404"/>
      <c r="AC4187" s="404"/>
      <c r="AD4187" s="404"/>
      <c r="AE4187" s="404"/>
      <c r="AF4187" s="404"/>
      <c r="AG4187" s="404"/>
      <c r="AH4187" s="404"/>
      <c r="AI4187" s="404"/>
      <c r="AJ4187" s="404"/>
      <c r="AK4187" s="404"/>
      <c r="AL4187" s="404"/>
      <c r="AM4187" s="404"/>
      <c r="AN4187" s="404"/>
      <c r="AO4187" s="404"/>
      <c r="AP4187" s="404"/>
      <c r="AQ4187" s="404"/>
      <c r="AR4187" s="404"/>
      <c r="AS4187" s="404"/>
      <c r="AT4187" s="404"/>
      <c r="AU4187" s="404"/>
      <c r="AV4187" s="404"/>
      <c r="AW4187" s="404"/>
      <c r="AX4187" s="404"/>
      <c r="AY4187" s="404"/>
      <c r="AZ4187" s="404"/>
      <c r="BA4187" s="404"/>
      <c r="BB4187" s="404"/>
      <c r="BC4187" s="404"/>
      <c r="BD4187" s="404"/>
      <c r="BE4187" s="404"/>
      <c r="BF4187" s="404"/>
      <c r="BG4187" s="404"/>
      <c r="BH4187" s="404"/>
      <c r="BI4187" s="404"/>
      <c r="BJ4187" s="404"/>
      <c r="BK4187" s="404"/>
      <c r="BL4187" s="404"/>
    </row>
    <row r="4188" spans="1:64" ht="13">
      <c r="A4188" s="426"/>
      <c r="B4188" s="426"/>
      <c r="C4188" s="417"/>
      <c r="D4188" s="409"/>
      <c r="E4188" s="426"/>
      <c r="F4188" s="409"/>
      <c r="G4188" s="410"/>
      <c r="H4188" s="415" t="s">
        <v>774</v>
      </c>
      <c r="I4188" s="414">
        <f>ROUND(I4187,0)</f>
        <v>874</v>
      </c>
      <c r="J4188" s="400"/>
      <c r="K4188" s="401"/>
      <c r="L4188" s="401"/>
      <c r="M4188" s="404"/>
      <c r="N4188" s="404"/>
      <c r="O4188" s="404"/>
      <c r="P4188" s="404"/>
      <c r="Q4188" s="404"/>
      <c r="R4188" s="404"/>
      <c r="S4188" s="404"/>
      <c r="T4188" s="404"/>
      <c r="U4188" s="404"/>
      <c r="V4188" s="404"/>
      <c r="W4188" s="404"/>
      <c r="X4188" s="404"/>
      <c r="Y4188" s="404"/>
      <c r="Z4188" s="404"/>
      <c r="AA4188" s="404"/>
      <c r="AB4188" s="404"/>
      <c r="AC4188" s="404"/>
      <c r="AD4188" s="404"/>
      <c r="AE4188" s="404"/>
      <c r="AF4188" s="404"/>
      <c r="AG4188" s="404"/>
      <c r="AH4188" s="404"/>
      <c r="AI4188" s="404"/>
      <c r="AJ4188" s="404"/>
      <c r="AK4188" s="404"/>
      <c r="AL4188" s="404"/>
      <c r="AM4188" s="404"/>
      <c r="AN4188" s="404"/>
      <c r="AO4188" s="404"/>
      <c r="AP4188" s="404"/>
      <c r="AQ4188" s="404"/>
      <c r="AR4188" s="404"/>
      <c r="AS4188" s="404"/>
      <c r="AT4188" s="404"/>
      <c r="AU4188" s="404"/>
      <c r="AV4188" s="404"/>
      <c r="AW4188" s="404"/>
      <c r="AX4188" s="404"/>
      <c r="AY4188" s="404"/>
      <c r="AZ4188" s="404"/>
      <c r="BA4188" s="404"/>
      <c r="BB4188" s="404"/>
      <c r="BC4188" s="404"/>
      <c r="BD4188" s="404"/>
      <c r="BE4188" s="404"/>
      <c r="BF4188" s="404"/>
      <c r="BG4188" s="404"/>
      <c r="BH4188" s="404"/>
      <c r="BI4188" s="404"/>
      <c r="BJ4188" s="404"/>
      <c r="BK4188" s="404"/>
      <c r="BL4188" s="404"/>
    </row>
    <row r="4189" spans="1:64" ht="13">
      <c r="A4189" s="426"/>
      <c r="B4189" s="426"/>
      <c r="C4189" s="741"/>
      <c r="D4189" s="409"/>
      <c r="E4189" s="426"/>
      <c r="F4189" s="409"/>
      <c r="G4189" s="410"/>
      <c r="H4189" s="474"/>
      <c r="I4189" s="434"/>
      <c r="J4189" s="400"/>
      <c r="K4189" s="401"/>
      <c r="L4189" s="401"/>
      <c r="M4189" s="404"/>
      <c r="N4189" s="404"/>
      <c r="O4189" s="404"/>
      <c r="P4189" s="404"/>
      <c r="Q4189" s="404"/>
      <c r="R4189" s="404"/>
      <c r="S4189" s="404"/>
      <c r="T4189" s="404"/>
      <c r="U4189" s="404"/>
      <c r="V4189" s="404"/>
      <c r="W4189" s="404"/>
      <c r="X4189" s="404"/>
      <c r="Y4189" s="404"/>
      <c r="Z4189" s="404"/>
      <c r="AA4189" s="404"/>
      <c r="AB4189" s="404"/>
      <c r="AC4189" s="404"/>
      <c r="AD4189" s="404"/>
      <c r="AE4189" s="404"/>
      <c r="AF4189" s="404"/>
      <c r="AG4189" s="404"/>
      <c r="AH4189" s="404"/>
      <c r="AI4189" s="404"/>
      <c r="AJ4189" s="404"/>
      <c r="AK4189" s="404"/>
      <c r="AL4189" s="404"/>
      <c r="AM4189" s="404"/>
      <c r="AN4189" s="404"/>
      <c r="AO4189" s="404"/>
      <c r="AP4189" s="404"/>
      <c r="AQ4189" s="404"/>
      <c r="AR4189" s="404"/>
      <c r="AS4189" s="404"/>
      <c r="AT4189" s="404"/>
      <c r="AU4189" s="404"/>
      <c r="AV4189" s="404"/>
      <c r="AW4189" s="404"/>
      <c r="AX4189" s="404"/>
      <c r="AY4189" s="404"/>
      <c r="AZ4189" s="404"/>
      <c r="BA4189" s="404"/>
      <c r="BB4189" s="404"/>
      <c r="BC4189" s="404"/>
      <c r="BD4189" s="404"/>
      <c r="BE4189" s="404"/>
      <c r="BF4189" s="404"/>
      <c r="BG4189" s="404"/>
      <c r="BH4189" s="404"/>
      <c r="BI4189" s="404"/>
      <c r="BJ4189" s="404"/>
      <c r="BK4189" s="404"/>
      <c r="BL4189" s="404"/>
    </row>
    <row r="4190" spans="1:64" ht="44.9" customHeight="1">
      <c r="A4190" s="1280">
        <f>A4184+1</f>
        <v>18</v>
      </c>
      <c r="B4190" s="1280"/>
      <c r="C4190" s="1276" t="s">
        <v>1428</v>
      </c>
      <c r="D4190" s="1276"/>
      <c r="E4190" s="1276"/>
      <c r="F4190" s="1276"/>
      <c r="G4190" s="1276"/>
      <c r="H4190" s="1276"/>
      <c r="I4190" s="406"/>
      <c r="J4190" s="400"/>
      <c r="K4190" s="401"/>
      <c r="L4190" s="401"/>
      <c r="M4190" s="404"/>
      <c r="N4190" s="404"/>
      <c r="O4190" s="404"/>
      <c r="P4190" s="404"/>
      <c r="Q4190" s="404"/>
      <c r="R4190" s="404"/>
      <c r="S4190" s="404"/>
      <c r="T4190" s="404"/>
      <c r="U4190" s="404"/>
      <c r="V4190" s="404"/>
      <c r="W4190" s="404"/>
      <c r="X4190" s="404"/>
      <c r="Y4190" s="404"/>
      <c r="Z4190" s="404"/>
      <c r="AA4190" s="404"/>
      <c r="AB4190" s="404"/>
      <c r="AC4190" s="404"/>
      <c r="AD4190" s="404"/>
      <c r="AE4190" s="404"/>
      <c r="AF4190" s="404"/>
      <c r="AG4190" s="404"/>
      <c r="AH4190" s="404"/>
      <c r="AI4190" s="404"/>
      <c r="AJ4190" s="404"/>
      <c r="AK4190" s="404"/>
      <c r="AL4190" s="404"/>
      <c r="AM4190" s="404"/>
      <c r="AN4190" s="404"/>
      <c r="AO4190" s="404"/>
      <c r="AP4190" s="404"/>
      <c r="AQ4190" s="404"/>
      <c r="AR4190" s="404"/>
      <c r="AS4190" s="404"/>
      <c r="AT4190" s="404"/>
      <c r="AU4190" s="404"/>
      <c r="AV4190" s="404"/>
      <c r="AW4190" s="404"/>
      <c r="AX4190" s="404"/>
      <c r="AY4190" s="404"/>
      <c r="AZ4190" s="404"/>
      <c r="BA4190" s="404"/>
      <c r="BB4190" s="404"/>
      <c r="BC4190" s="404"/>
      <c r="BD4190" s="404"/>
      <c r="BE4190" s="404"/>
      <c r="BF4190" s="404"/>
      <c r="BG4190" s="404"/>
      <c r="BH4190" s="404"/>
      <c r="BI4190" s="404"/>
      <c r="BJ4190" s="404"/>
      <c r="BK4190" s="404"/>
      <c r="BL4190" s="404"/>
    </row>
    <row r="4191" spans="1:64">
      <c r="A4191" s="426"/>
      <c r="B4191" s="426"/>
      <c r="C4191" s="435" t="s">
        <v>1429</v>
      </c>
      <c r="D4191" s="432">
        <v>1</v>
      </c>
      <c r="E4191" s="676" t="s">
        <v>62</v>
      </c>
      <c r="F4191" s="432">
        <f>'[161]Civil-SOR'!$G$183</f>
        <v>410</v>
      </c>
      <c r="G4191" s="410">
        <v>1</v>
      </c>
      <c r="H4191" s="676" t="s">
        <v>62</v>
      </c>
      <c r="I4191" s="408">
        <f t="shared" ref="I4191:I4192" si="939">IF(G4191="",D4191*F4191,(D4191*F4191/G4191))</f>
        <v>410</v>
      </c>
      <c r="J4191" s="400"/>
      <c r="K4191" s="401"/>
      <c r="L4191" s="401"/>
      <c r="M4191" s="404"/>
      <c r="N4191" s="404"/>
      <c r="O4191" s="404"/>
      <c r="P4191" s="404"/>
      <c r="Q4191" s="404"/>
      <c r="R4191" s="404"/>
      <c r="S4191" s="404"/>
      <c r="T4191" s="404"/>
      <c r="U4191" s="404"/>
      <c r="V4191" s="404"/>
      <c r="W4191" s="404"/>
      <c r="X4191" s="404"/>
      <c r="Y4191" s="404"/>
      <c r="Z4191" s="404"/>
      <c r="AA4191" s="404"/>
      <c r="AB4191" s="404"/>
      <c r="AC4191" s="404"/>
      <c r="AD4191" s="404"/>
      <c r="AE4191" s="404"/>
      <c r="AF4191" s="404"/>
      <c r="AG4191" s="404"/>
      <c r="AH4191" s="404"/>
      <c r="AI4191" s="404"/>
      <c r="AJ4191" s="404"/>
      <c r="AK4191" s="404"/>
      <c r="AL4191" s="404"/>
      <c r="AM4191" s="404"/>
      <c r="AN4191" s="404"/>
      <c r="AO4191" s="404"/>
      <c r="AP4191" s="404"/>
      <c r="AQ4191" s="404"/>
      <c r="AR4191" s="404"/>
      <c r="AS4191" s="404"/>
      <c r="AT4191" s="404"/>
      <c r="AU4191" s="404"/>
      <c r="AV4191" s="404"/>
      <c r="AW4191" s="404"/>
      <c r="AX4191" s="404"/>
      <c r="AY4191" s="404"/>
      <c r="AZ4191" s="404"/>
      <c r="BA4191" s="404"/>
      <c r="BB4191" s="404"/>
      <c r="BC4191" s="404"/>
      <c r="BD4191" s="404"/>
      <c r="BE4191" s="404"/>
      <c r="BF4191" s="404"/>
      <c r="BG4191" s="404"/>
      <c r="BH4191" s="404"/>
      <c r="BI4191" s="404"/>
      <c r="BJ4191" s="404"/>
      <c r="BK4191" s="404"/>
      <c r="BL4191" s="404"/>
    </row>
    <row r="4192" spans="1:64" ht="25">
      <c r="A4192" s="426"/>
      <c r="B4192" s="426"/>
      <c r="C4192" s="417" t="str">
        <f>[161]Input!$C$48</f>
        <v>Overheads &amp; Contractors Profit @ 13.615%</v>
      </c>
      <c r="D4192" s="467">
        <f>[161]Input!$D$48</f>
        <v>0.13614999999999999</v>
      </c>
      <c r="E4192" s="408"/>
      <c r="F4192" s="408">
        <f>I4191</f>
        <v>410</v>
      </c>
      <c r="G4192" s="430"/>
      <c r="H4192" s="426"/>
      <c r="I4192" s="408">
        <f t="shared" si="939"/>
        <v>55.8215</v>
      </c>
      <c r="J4192" s="400"/>
      <c r="K4192" s="401"/>
      <c r="L4192" s="401"/>
      <c r="M4192" s="404"/>
      <c r="N4192" s="404"/>
      <c r="O4192" s="404"/>
      <c r="P4192" s="404"/>
      <c r="Q4192" s="404"/>
      <c r="R4192" s="404"/>
      <c r="S4192" s="404"/>
      <c r="T4192" s="404"/>
      <c r="U4192" s="404"/>
      <c r="V4192" s="404"/>
      <c r="W4192" s="404"/>
      <c r="X4192" s="404"/>
      <c r="Y4192" s="404"/>
      <c r="Z4192" s="404"/>
      <c r="AA4192" s="404"/>
      <c r="AB4192" s="404"/>
      <c r="AC4192" s="404"/>
      <c r="AD4192" s="404"/>
      <c r="AE4192" s="404"/>
      <c r="AF4192" s="404"/>
      <c r="AG4192" s="404"/>
      <c r="AH4192" s="404"/>
      <c r="AI4192" s="404"/>
      <c r="AJ4192" s="404"/>
      <c r="AK4192" s="404"/>
      <c r="AL4192" s="404"/>
      <c r="AM4192" s="404"/>
      <c r="AN4192" s="404"/>
      <c r="AO4192" s="404"/>
      <c r="AP4192" s="404"/>
      <c r="AQ4192" s="404"/>
      <c r="AR4192" s="404"/>
      <c r="AS4192" s="404"/>
      <c r="AT4192" s="404"/>
      <c r="AU4192" s="404"/>
      <c r="AV4192" s="404"/>
      <c r="AW4192" s="404"/>
      <c r="AX4192" s="404"/>
      <c r="AY4192" s="404"/>
      <c r="AZ4192" s="404"/>
      <c r="BA4192" s="404"/>
      <c r="BB4192" s="404"/>
      <c r="BC4192" s="404"/>
      <c r="BD4192" s="404"/>
      <c r="BE4192" s="404"/>
      <c r="BF4192" s="404"/>
      <c r="BG4192" s="404"/>
      <c r="BH4192" s="404"/>
      <c r="BI4192" s="404"/>
      <c r="BJ4192" s="404"/>
      <c r="BK4192" s="404"/>
      <c r="BL4192" s="404"/>
    </row>
    <row r="4193" spans="1:64" ht="13">
      <c r="A4193" s="426"/>
      <c r="B4193" s="426"/>
      <c r="C4193" s="427" t="s">
        <v>742</v>
      </c>
      <c r="D4193" s="409"/>
      <c r="E4193" s="426"/>
      <c r="F4193" s="409"/>
      <c r="G4193" s="410"/>
      <c r="H4193" s="426"/>
      <c r="I4193" s="409">
        <f>SUM(I4191:I4192)</f>
        <v>465.82150000000001</v>
      </c>
      <c r="J4193" s="400"/>
      <c r="K4193" s="401"/>
      <c r="L4193" s="401"/>
      <c r="M4193" s="404"/>
      <c r="N4193" s="404"/>
      <c r="O4193" s="404"/>
      <c r="P4193" s="404"/>
      <c r="Q4193" s="404"/>
      <c r="R4193" s="404"/>
      <c r="S4193" s="404"/>
      <c r="T4193" s="404"/>
      <c r="U4193" s="404"/>
      <c r="V4193" s="404"/>
      <c r="W4193" s="404"/>
      <c r="X4193" s="404"/>
      <c r="Y4193" s="404"/>
      <c r="Z4193" s="404"/>
      <c r="AA4193" s="404"/>
      <c r="AB4193" s="404"/>
      <c r="AC4193" s="404"/>
      <c r="AD4193" s="404"/>
      <c r="AE4193" s="404"/>
      <c r="AF4193" s="404"/>
      <c r="AG4193" s="404"/>
      <c r="AH4193" s="404"/>
      <c r="AI4193" s="404"/>
      <c r="AJ4193" s="404"/>
      <c r="AK4193" s="404"/>
      <c r="AL4193" s="404"/>
      <c r="AM4193" s="404"/>
      <c r="AN4193" s="404"/>
      <c r="AO4193" s="404"/>
      <c r="AP4193" s="404"/>
      <c r="AQ4193" s="404"/>
      <c r="AR4193" s="404"/>
      <c r="AS4193" s="404"/>
      <c r="AT4193" s="404"/>
      <c r="AU4193" s="404"/>
      <c r="AV4193" s="404"/>
      <c r="AW4193" s="404"/>
      <c r="AX4193" s="404"/>
      <c r="AY4193" s="404"/>
      <c r="AZ4193" s="404"/>
      <c r="BA4193" s="404"/>
      <c r="BB4193" s="404"/>
      <c r="BC4193" s="404"/>
      <c r="BD4193" s="404"/>
      <c r="BE4193" s="404"/>
      <c r="BF4193" s="404"/>
      <c r="BG4193" s="404"/>
      <c r="BH4193" s="404"/>
      <c r="BI4193" s="404"/>
      <c r="BJ4193" s="404"/>
      <c r="BK4193" s="404"/>
      <c r="BL4193" s="404"/>
    </row>
    <row r="4194" spans="1:64" ht="13">
      <c r="A4194" s="426"/>
      <c r="B4194" s="426"/>
      <c r="C4194" s="417"/>
      <c r="D4194" s="409"/>
      <c r="E4194" s="426"/>
      <c r="F4194" s="409"/>
      <c r="G4194" s="410"/>
      <c r="H4194" s="426" t="s">
        <v>774</v>
      </c>
      <c r="I4194" s="414">
        <f>ROUND(I4193,0)</f>
        <v>466</v>
      </c>
      <c r="J4194" s="400"/>
      <c r="K4194" s="401"/>
      <c r="L4194" s="401"/>
      <c r="M4194" s="404"/>
      <c r="N4194" s="404"/>
      <c r="O4194" s="404"/>
      <c r="P4194" s="404"/>
      <c r="Q4194" s="404"/>
      <c r="R4194" s="404"/>
      <c r="S4194" s="404"/>
      <c r="T4194" s="404"/>
      <c r="U4194" s="404"/>
      <c r="V4194" s="404"/>
      <c r="W4194" s="404"/>
      <c r="X4194" s="404"/>
      <c r="Y4194" s="404"/>
      <c r="Z4194" s="404"/>
      <c r="AA4194" s="404"/>
      <c r="AB4194" s="404"/>
      <c r="AC4194" s="404"/>
      <c r="AD4194" s="404"/>
      <c r="AE4194" s="404"/>
      <c r="AF4194" s="404"/>
      <c r="AG4194" s="404"/>
      <c r="AH4194" s="404"/>
      <c r="AI4194" s="404"/>
      <c r="AJ4194" s="404"/>
      <c r="AK4194" s="404"/>
      <c r="AL4194" s="404"/>
      <c r="AM4194" s="404"/>
      <c r="AN4194" s="404"/>
      <c r="AO4194" s="404"/>
      <c r="AP4194" s="404"/>
      <c r="AQ4194" s="404"/>
      <c r="AR4194" s="404"/>
      <c r="AS4194" s="404"/>
      <c r="AT4194" s="404"/>
      <c r="AU4194" s="404"/>
      <c r="AV4194" s="404"/>
      <c r="AW4194" s="404"/>
      <c r="AX4194" s="404"/>
      <c r="AY4194" s="404"/>
      <c r="AZ4194" s="404"/>
      <c r="BA4194" s="404"/>
      <c r="BB4194" s="404"/>
      <c r="BC4194" s="404"/>
      <c r="BD4194" s="404"/>
      <c r="BE4194" s="404"/>
      <c r="BF4194" s="404"/>
      <c r="BG4194" s="404"/>
      <c r="BH4194" s="404"/>
      <c r="BI4194" s="404"/>
      <c r="BJ4194" s="404"/>
      <c r="BK4194" s="404"/>
      <c r="BL4194" s="404"/>
    </row>
    <row r="4195" spans="1:64">
      <c r="A4195" s="426"/>
      <c r="B4195" s="426"/>
      <c r="C4195" s="417"/>
      <c r="D4195" s="409"/>
      <c r="E4195" s="426"/>
      <c r="F4195" s="409"/>
      <c r="G4195" s="410"/>
      <c r="H4195" s="426"/>
      <c r="I4195" s="409"/>
      <c r="J4195" s="400"/>
      <c r="K4195" s="401"/>
      <c r="L4195" s="401"/>
      <c r="M4195" s="404"/>
      <c r="N4195" s="404"/>
      <c r="O4195" s="404"/>
      <c r="P4195" s="404"/>
      <c r="Q4195" s="404"/>
      <c r="R4195" s="404"/>
      <c r="S4195" s="404"/>
      <c r="T4195" s="404"/>
      <c r="U4195" s="404"/>
      <c r="V4195" s="404"/>
      <c r="W4195" s="404"/>
      <c r="X4195" s="404"/>
      <c r="Y4195" s="404"/>
      <c r="Z4195" s="404"/>
      <c r="AA4195" s="404"/>
      <c r="AB4195" s="404"/>
      <c r="AC4195" s="404"/>
      <c r="AD4195" s="404"/>
      <c r="AE4195" s="404"/>
      <c r="AF4195" s="404"/>
      <c r="AG4195" s="404"/>
      <c r="AH4195" s="404"/>
      <c r="AI4195" s="404"/>
      <c r="AJ4195" s="404"/>
      <c r="AK4195" s="404"/>
      <c r="AL4195" s="404"/>
      <c r="AM4195" s="404"/>
      <c r="AN4195" s="404"/>
      <c r="AO4195" s="404"/>
      <c r="AP4195" s="404"/>
      <c r="AQ4195" s="404"/>
      <c r="AR4195" s="404"/>
      <c r="AS4195" s="404"/>
      <c r="AT4195" s="404"/>
      <c r="AU4195" s="404"/>
      <c r="AV4195" s="404"/>
      <c r="AW4195" s="404"/>
      <c r="AX4195" s="404"/>
      <c r="AY4195" s="404"/>
      <c r="AZ4195" s="404"/>
      <c r="BA4195" s="404"/>
      <c r="BB4195" s="404"/>
      <c r="BC4195" s="404"/>
      <c r="BD4195" s="404"/>
      <c r="BE4195" s="404"/>
      <c r="BF4195" s="404"/>
      <c r="BG4195" s="404"/>
      <c r="BH4195" s="404"/>
      <c r="BI4195" s="404"/>
      <c r="BJ4195" s="404"/>
      <c r="BK4195" s="404"/>
      <c r="BL4195" s="404"/>
    </row>
    <row r="4196" spans="1:64" ht="89.65" customHeight="1">
      <c r="A4196" s="1280">
        <f>A4190+1</f>
        <v>19</v>
      </c>
      <c r="B4196" s="1280"/>
      <c r="C4196" s="1276" t="s">
        <v>1430</v>
      </c>
      <c r="D4196" s="1276"/>
      <c r="E4196" s="1276"/>
      <c r="F4196" s="1276"/>
      <c r="G4196" s="1276"/>
      <c r="H4196" s="1276"/>
      <c r="I4196" s="407"/>
      <c r="J4196" s="400"/>
      <c r="K4196" s="401"/>
      <c r="L4196" s="401"/>
      <c r="M4196" s="404"/>
      <c r="N4196" s="404"/>
      <c r="O4196" s="404"/>
      <c r="P4196" s="404"/>
      <c r="Q4196" s="404"/>
      <c r="R4196" s="404"/>
      <c r="S4196" s="404"/>
      <c r="T4196" s="404"/>
      <c r="U4196" s="404"/>
      <c r="V4196" s="404"/>
      <c r="W4196" s="404"/>
      <c r="X4196" s="404"/>
      <c r="Y4196" s="404"/>
      <c r="Z4196" s="404"/>
      <c r="AA4196" s="404"/>
      <c r="AB4196" s="404"/>
      <c r="AC4196" s="404"/>
      <c r="AD4196" s="404"/>
      <c r="AE4196" s="404"/>
      <c r="AF4196" s="404"/>
      <c r="AG4196" s="404"/>
      <c r="AH4196" s="404"/>
      <c r="AI4196" s="404"/>
      <c r="AJ4196" s="404"/>
      <c r="AK4196" s="404"/>
      <c r="AL4196" s="404"/>
      <c r="AM4196" s="404"/>
      <c r="AN4196" s="404"/>
      <c r="AO4196" s="404"/>
      <c r="AP4196" s="404"/>
      <c r="AQ4196" s="404"/>
      <c r="AR4196" s="404"/>
      <c r="AS4196" s="404"/>
      <c r="AT4196" s="404"/>
      <c r="AU4196" s="404"/>
      <c r="AV4196" s="404"/>
      <c r="AW4196" s="404"/>
      <c r="AX4196" s="404"/>
      <c r="AY4196" s="404"/>
      <c r="AZ4196" s="404"/>
      <c r="BA4196" s="404"/>
      <c r="BB4196" s="404"/>
      <c r="BC4196" s="404"/>
      <c r="BD4196" s="404"/>
      <c r="BE4196" s="404"/>
      <c r="BF4196" s="404"/>
      <c r="BG4196" s="404"/>
      <c r="BH4196" s="404"/>
      <c r="BI4196" s="404"/>
      <c r="BJ4196" s="404"/>
      <c r="BK4196" s="404"/>
      <c r="BL4196" s="404"/>
    </row>
    <row r="4197" spans="1:64" ht="25">
      <c r="A4197" s="406"/>
      <c r="B4197" s="406"/>
      <c r="C4197" s="417" t="s">
        <v>1431</v>
      </c>
      <c r="D4197" s="432">
        <v>1</v>
      </c>
      <c r="E4197" s="406" t="s">
        <v>62</v>
      </c>
      <c r="F4197" s="432">
        <f>'[161]Civil-SOR'!$G$191</f>
        <v>311</v>
      </c>
      <c r="G4197" s="431">
        <v>1</v>
      </c>
      <c r="H4197" s="406" t="s">
        <v>62</v>
      </c>
      <c r="I4197" s="459">
        <f t="shared" ref="I4197:I4198" si="940">IF(G4197="",D4197*F4197,(D4197*F4197/G4197))</f>
        <v>311</v>
      </c>
      <c r="J4197" s="462"/>
      <c r="K4197" s="463"/>
      <c r="L4197" s="463"/>
      <c r="M4197" s="464"/>
      <c r="N4197" s="464"/>
      <c r="O4197" s="464"/>
      <c r="P4197" s="464"/>
      <c r="Q4197" s="464"/>
      <c r="R4197" s="464"/>
      <c r="S4197" s="464"/>
      <c r="T4197" s="464"/>
      <c r="U4197" s="464"/>
      <c r="V4197" s="464"/>
      <c r="W4197" s="464"/>
      <c r="X4197" s="464"/>
      <c r="Y4197" s="464"/>
      <c r="Z4197" s="464"/>
      <c r="AA4197" s="464"/>
      <c r="AB4197" s="464"/>
      <c r="AC4197" s="464"/>
      <c r="AD4197" s="464"/>
      <c r="AE4197" s="464"/>
      <c r="AF4197" s="464"/>
      <c r="AG4197" s="464"/>
      <c r="AH4197" s="464"/>
      <c r="AI4197" s="464"/>
      <c r="AJ4197" s="464"/>
      <c r="AK4197" s="464"/>
      <c r="AL4197" s="464"/>
      <c r="AM4197" s="464"/>
      <c r="AN4197" s="464"/>
      <c r="AO4197" s="464"/>
      <c r="AP4197" s="464"/>
      <c r="AQ4197" s="464"/>
      <c r="AR4197" s="464"/>
      <c r="AS4197" s="464"/>
      <c r="AT4197" s="464"/>
      <c r="AU4197" s="464"/>
      <c r="AV4197" s="464"/>
      <c r="AW4197" s="464"/>
      <c r="AX4197" s="464"/>
      <c r="AY4197" s="464"/>
      <c r="AZ4197" s="464"/>
      <c r="BA4197" s="464"/>
      <c r="BB4197" s="464"/>
      <c r="BC4197" s="464"/>
      <c r="BD4197" s="464"/>
      <c r="BE4197" s="464"/>
      <c r="BF4197" s="464"/>
      <c r="BG4197" s="464"/>
      <c r="BH4197" s="464"/>
      <c r="BI4197" s="464"/>
      <c r="BJ4197" s="464"/>
      <c r="BK4197" s="464"/>
      <c r="BL4197" s="464"/>
    </row>
    <row r="4198" spans="1:64" ht="37.5">
      <c r="A4198" s="406"/>
      <c r="B4198" s="406"/>
      <c r="C4198" s="417" t="s">
        <v>1432</v>
      </c>
      <c r="D4198" s="432">
        <v>6.6</v>
      </c>
      <c r="E4198" s="406" t="s">
        <v>1052</v>
      </c>
      <c r="F4198" s="432">
        <f>'[161]Civil-SOR'!$G$392</f>
        <v>30</v>
      </c>
      <c r="G4198" s="431">
        <v>1</v>
      </c>
      <c r="H4198" s="406" t="s">
        <v>1052</v>
      </c>
      <c r="I4198" s="459">
        <f t="shared" si="940"/>
        <v>198</v>
      </c>
      <c r="J4198" s="462"/>
      <c r="K4198" s="463"/>
      <c r="L4198" s="463"/>
      <c r="M4198" s="464"/>
      <c r="N4198" s="464"/>
      <c r="O4198" s="464"/>
      <c r="P4198" s="464"/>
      <c r="Q4198" s="464"/>
      <c r="R4198" s="464"/>
      <c r="S4198" s="464"/>
      <c r="T4198" s="464"/>
      <c r="U4198" s="464"/>
      <c r="V4198" s="464"/>
      <c r="W4198" s="464"/>
      <c r="X4198" s="464"/>
      <c r="Y4198" s="464"/>
      <c r="Z4198" s="464"/>
      <c r="AA4198" s="464"/>
      <c r="AB4198" s="464"/>
      <c r="AC4198" s="464"/>
      <c r="AD4198" s="464"/>
      <c r="AE4198" s="464"/>
      <c r="AF4198" s="464"/>
      <c r="AG4198" s="464"/>
      <c r="AH4198" s="464"/>
      <c r="AI4198" s="464"/>
      <c r="AJ4198" s="464"/>
      <c r="AK4198" s="464"/>
      <c r="AL4198" s="464"/>
      <c r="AM4198" s="464"/>
      <c r="AN4198" s="464"/>
      <c r="AO4198" s="464"/>
      <c r="AP4198" s="464"/>
      <c r="AQ4198" s="464"/>
      <c r="AR4198" s="464"/>
      <c r="AS4198" s="464"/>
      <c r="AT4198" s="464"/>
      <c r="AU4198" s="464"/>
      <c r="AV4198" s="464"/>
      <c r="AW4198" s="464"/>
      <c r="AX4198" s="464"/>
      <c r="AY4198" s="464"/>
      <c r="AZ4198" s="464"/>
      <c r="BA4198" s="464"/>
      <c r="BB4198" s="464"/>
      <c r="BC4198" s="464"/>
      <c r="BD4198" s="464"/>
      <c r="BE4198" s="464"/>
      <c r="BF4198" s="464"/>
      <c r="BG4198" s="464"/>
      <c r="BH4198" s="464"/>
      <c r="BI4198" s="464"/>
      <c r="BJ4198" s="464"/>
      <c r="BK4198" s="464"/>
      <c r="BL4198" s="464"/>
    </row>
    <row r="4199" spans="1:64" ht="13">
      <c r="A4199" s="406"/>
      <c r="B4199" s="406"/>
      <c r="C4199" s="427" t="s">
        <v>742</v>
      </c>
      <c r="D4199" s="432"/>
      <c r="E4199" s="406"/>
      <c r="F4199" s="432"/>
      <c r="G4199" s="431"/>
      <c r="H4199" s="406"/>
      <c r="I4199" s="461">
        <f>SUM(I4197:I4198)</f>
        <v>509</v>
      </c>
      <c r="J4199" s="462"/>
      <c r="K4199" s="463"/>
      <c r="L4199" s="463"/>
      <c r="M4199" s="464"/>
      <c r="N4199" s="464"/>
      <c r="O4199" s="464"/>
      <c r="P4199" s="464"/>
      <c r="Q4199" s="464"/>
      <c r="R4199" s="464"/>
      <c r="S4199" s="464"/>
      <c r="T4199" s="464"/>
      <c r="U4199" s="464"/>
      <c r="V4199" s="464"/>
      <c r="W4199" s="464"/>
      <c r="X4199" s="464"/>
      <c r="Y4199" s="464"/>
      <c r="Z4199" s="464"/>
      <c r="AA4199" s="464"/>
      <c r="AB4199" s="464"/>
      <c r="AC4199" s="464"/>
      <c r="AD4199" s="464"/>
      <c r="AE4199" s="464"/>
      <c r="AF4199" s="464"/>
      <c r="AG4199" s="464"/>
      <c r="AH4199" s="464"/>
      <c r="AI4199" s="464"/>
      <c r="AJ4199" s="464"/>
      <c r="AK4199" s="464"/>
      <c r="AL4199" s="464"/>
      <c r="AM4199" s="464"/>
      <c r="AN4199" s="464"/>
      <c r="AO4199" s="464"/>
      <c r="AP4199" s="464"/>
      <c r="AQ4199" s="464"/>
      <c r="AR4199" s="464"/>
      <c r="AS4199" s="464"/>
      <c r="AT4199" s="464"/>
      <c r="AU4199" s="464"/>
      <c r="AV4199" s="464"/>
      <c r="AW4199" s="464"/>
      <c r="AX4199" s="464"/>
      <c r="AY4199" s="464"/>
      <c r="AZ4199" s="464"/>
      <c r="BA4199" s="464"/>
      <c r="BB4199" s="464"/>
      <c r="BC4199" s="464"/>
      <c r="BD4199" s="464"/>
      <c r="BE4199" s="464"/>
      <c r="BF4199" s="464"/>
      <c r="BG4199" s="464"/>
      <c r="BH4199" s="464"/>
      <c r="BI4199" s="464"/>
      <c r="BJ4199" s="464"/>
      <c r="BK4199" s="464"/>
      <c r="BL4199" s="464"/>
    </row>
    <row r="4200" spans="1:64" ht="13">
      <c r="A4200" s="406"/>
      <c r="B4200" s="406"/>
      <c r="C4200" s="427" t="s">
        <v>1032</v>
      </c>
      <c r="D4200" s="432"/>
      <c r="E4200" s="406"/>
      <c r="F4200" s="432"/>
      <c r="G4200" s="431"/>
      <c r="H4200" s="407"/>
      <c r="I4200" s="432">
        <f>ROUND(I4199/6.6,0)</f>
        <v>77</v>
      </c>
      <c r="J4200" s="462"/>
      <c r="K4200" s="463"/>
      <c r="L4200" s="463"/>
      <c r="M4200" s="464"/>
      <c r="N4200" s="464"/>
      <c r="O4200" s="464"/>
      <c r="P4200" s="464"/>
      <c r="Q4200" s="464"/>
      <c r="R4200" s="464"/>
      <c r="S4200" s="464"/>
      <c r="T4200" s="464"/>
      <c r="U4200" s="464"/>
      <c r="V4200" s="464"/>
      <c r="W4200" s="464"/>
      <c r="X4200" s="464"/>
      <c r="Y4200" s="464"/>
      <c r="Z4200" s="464"/>
      <c r="AA4200" s="464"/>
      <c r="AB4200" s="464"/>
      <c r="AC4200" s="464"/>
      <c r="AD4200" s="464"/>
      <c r="AE4200" s="464"/>
      <c r="AF4200" s="464"/>
      <c r="AG4200" s="464"/>
      <c r="AH4200" s="464"/>
      <c r="AI4200" s="464"/>
      <c r="AJ4200" s="464"/>
      <c r="AK4200" s="464"/>
      <c r="AL4200" s="464"/>
      <c r="AM4200" s="464"/>
      <c r="AN4200" s="464"/>
      <c r="AO4200" s="464"/>
      <c r="AP4200" s="464"/>
      <c r="AQ4200" s="464"/>
      <c r="AR4200" s="464"/>
      <c r="AS4200" s="464"/>
      <c r="AT4200" s="464"/>
      <c r="AU4200" s="464"/>
      <c r="AV4200" s="464"/>
      <c r="AW4200" s="464"/>
      <c r="AX4200" s="464"/>
      <c r="AY4200" s="464"/>
      <c r="AZ4200" s="464"/>
      <c r="BA4200" s="464"/>
      <c r="BB4200" s="464"/>
      <c r="BC4200" s="464"/>
      <c r="BD4200" s="464"/>
      <c r="BE4200" s="464"/>
      <c r="BF4200" s="464"/>
      <c r="BG4200" s="464"/>
      <c r="BH4200" s="464"/>
      <c r="BI4200" s="464"/>
      <c r="BJ4200" s="464"/>
      <c r="BK4200" s="464"/>
      <c r="BL4200" s="464"/>
    </row>
    <row r="4201" spans="1:64" ht="25">
      <c r="A4201" s="406"/>
      <c r="B4201" s="406"/>
      <c r="C4201" s="417" t="str">
        <f>[161]Input!$C$48</f>
        <v>Overheads &amp; Contractors Profit @ 13.615%</v>
      </c>
      <c r="D4201" s="465">
        <f>[161]Input!$D$48</f>
        <v>0.13614999999999999</v>
      </c>
      <c r="E4201" s="459"/>
      <c r="F4201" s="459">
        <f>I4200</f>
        <v>77</v>
      </c>
      <c r="G4201" s="460"/>
      <c r="H4201" s="406"/>
      <c r="I4201" s="459">
        <f>IF(G4201="",D4201*F4201,(D4201*F4201/G4201))</f>
        <v>10.483549999999999</v>
      </c>
      <c r="J4201" s="462"/>
      <c r="K4201" s="463"/>
      <c r="L4201" s="463"/>
      <c r="M4201" s="464"/>
      <c r="N4201" s="464"/>
      <c r="O4201" s="464"/>
      <c r="P4201" s="464"/>
      <c r="Q4201" s="464"/>
      <c r="R4201" s="464"/>
      <c r="S4201" s="464"/>
      <c r="T4201" s="464"/>
      <c r="U4201" s="464"/>
      <c r="V4201" s="464"/>
      <c r="W4201" s="464"/>
      <c r="X4201" s="464"/>
      <c r="Y4201" s="464"/>
      <c r="Z4201" s="464"/>
      <c r="AA4201" s="464"/>
      <c r="AB4201" s="464"/>
      <c r="AC4201" s="464"/>
      <c r="AD4201" s="464"/>
      <c r="AE4201" s="464"/>
      <c r="AF4201" s="464"/>
      <c r="AG4201" s="464"/>
      <c r="AH4201" s="464"/>
      <c r="AI4201" s="464"/>
      <c r="AJ4201" s="464"/>
      <c r="AK4201" s="464"/>
      <c r="AL4201" s="464"/>
      <c r="AM4201" s="464"/>
      <c r="AN4201" s="464"/>
      <c r="AO4201" s="464"/>
      <c r="AP4201" s="464"/>
      <c r="AQ4201" s="464"/>
      <c r="AR4201" s="464"/>
      <c r="AS4201" s="464"/>
      <c r="AT4201" s="464"/>
      <c r="AU4201" s="464"/>
      <c r="AV4201" s="464"/>
      <c r="AW4201" s="464"/>
      <c r="AX4201" s="464"/>
      <c r="AY4201" s="464"/>
      <c r="AZ4201" s="464"/>
      <c r="BA4201" s="464"/>
      <c r="BB4201" s="464"/>
      <c r="BC4201" s="464"/>
      <c r="BD4201" s="464"/>
      <c r="BE4201" s="464"/>
      <c r="BF4201" s="464"/>
      <c r="BG4201" s="464"/>
      <c r="BH4201" s="464"/>
      <c r="BI4201" s="464"/>
      <c r="BJ4201" s="464"/>
      <c r="BK4201" s="464"/>
      <c r="BL4201" s="464"/>
    </row>
    <row r="4202" spans="1:64">
      <c r="A4202" s="426"/>
      <c r="B4202" s="426"/>
      <c r="C4202" s="417"/>
      <c r="D4202" s="409"/>
      <c r="E4202" s="426"/>
      <c r="F4202" s="409"/>
      <c r="G4202" s="410"/>
      <c r="H4202" s="426"/>
      <c r="I4202" s="409">
        <f>SUM(I4200:I4201)</f>
        <v>87.483549999999994</v>
      </c>
      <c r="J4202" s="400"/>
      <c r="K4202" s="401"/>
      <c r="L4202" s="401"/>
      <c r="M4202" s="404"/>
      <c r="N4202" s="404"/>
      <c r="O4202" s="404"/>
      <c r="P4202" s="404"/>
      <c r="Q4202" s="404"/>
      <c r="R4202" s="404"/>
      <c r="S4202" s="404"/>
      <c r="T4202" s="404"/>
      <c r="U4202" s="404"/>
      <c r="V4202" s="404"/>
      <c r="W4202" s="404"/>
      <c r="X4202" s="404"/>
      <c r="Y4202" s="404"/>
      <c r="Z4202" s="404"/>
      <c r="AA4202" s="404"/>
      <c r="AB4202" s="404"/>
      <c r="AC4202" s="404"/>
      <c r="AD4202" s="404"/>
      <c r="AE4202" s="404"/>
      <c r="AF4202" s="404"/>
      <c r="AG4202" s="404"/>
      <c r="AH4202" s="404"/>
      <c r="AI4202" s="404"/>
      <c r="AJ4202" s="404"/>
      <c r="AK4202" s="404"/>
      <c r="AL4202" s="404"/>
      <c r="AM4202" s="404"/>
      <c r="AN4202" s="404"/>
      <c r="AO4202" s="404"/>
      <c r="AP4202" s="404"/>
      <c r="AQ4202" s="404"/>
      <c r="AR4202" s="404"/>
      <c r="AS4202" s="404"/>
      <c r="AT4202" s="404"/>
      <c r="AU4202" s="404"/>
      <c r="AV4202" s="404"/>
      <c r="AW4202" s="404"/>
      <c r="AX4202" s="404"/>
      <c r="AY4202" s="404"/>
      <c r="AZ4202" s="404"/>
      <c r="BA4202" s="404"/>
      <c r="BB4202" s="404"/>
      <c r="BC4202" s="404"/>
      <c r="BD4202" s="404"/>
      <c r="BE4202" s="404"/>
      <c r="BF4202" s="404"/>
      <c r="BG4202" s="404"/>
      <c r="BH4202" s="404"/>
      <c r="BI4202" s="404"/>
      <c r="BJ4202" s="404"/>
      <c r="BK4202" s="404"/>
      <c r="BL4202" s="404"/>
    </row>
    <row r="4203" spans="1:64" ht="13">
      <c r="A4203" s="426"/>
      <c r="B4203" s="426"/>
      <c r="C4203" s="417"/>
      <c r="D4203" s="409"/>
      <c r="E4203" s="426"/>
      <c r="F4203" s="409"/>
      <c r="G4203" s="410"/>
      <c r="H4203" s="426" t="s">
        <v>774</v>
      </c>
      <c r="I4203" s="414">
        <f>ROUND(I4202,0)</f>
        <v>87</v>
      </c>
      <c r="J4203" s="400"/>
      <c r="K4203" s="401"/>
      <c r="L4203" s="401"/>
      <c r="M4203" s="404"/>
      <c r="N4203" s="404"/>
      <c r="O4203" s="404"/>
      <c r="P4203" s="404"/>
      <c r="Q4203" s="404"/>
      <c r="R4203" s="404"/>
      <c r="S4203" s="404"/>
      <c r="T4203" s="404"/>
      <c r="U4203" s="404"/>
      <c r="V4203" s="404"/>
      <c r="W4203" s="404"/>
      <c r="X4203" s="404"/>
      <c r="Y4203" s="404"/>
      <c r="Z4203" s="404"/>
      <c r="AA4203" s="404"/>
      <c r="AB4203" s="404"/>
      <c r="AC4203" s="404"/>
      <c r="AD4203" s="404"/>
      <c r="AE4203" s="404"/>
      <c r="AF4203" s="404"/>
      <c r="AG4203" s="404"/>
      <c r="AH4203" s="404"/>
      <c r="AI4203" s="404"/>
      <c r="AJ4203" s="404"/>
      <c r="AK4203" s="404"/>
      <c r="AL4203" s="404"/>
      <c r="AM4203" s="404"/>
      <c r="AN4203" s="404"/>
      <c r="AO4203" s="404"/>
      <c r="AP4203" s="404"/>
      <c r="AQ4203" s="404"/>
      <c r="AR4203" s="404"/>
      <c r="AS4203" s="404"/>
      <c r="AT4203" s="404"/>
      <c r="AU4203" s="404"/>
      <c r="AV4203" s="404"/>
      <c r="AW4203" s="404"/>
      <c r="AX4203" s="404"/>
      <c r="AY4203" s="404"/>
      <c r="AZ4203" s="404"/>
      <c r="BA4203" s="404"/>
      <c r="BB4203" s="404"/>
      <c r="BC4203" s="404"/>
      <c r="BD4203" s="404"/>
      <c r="BE4203" s="404"/>
      <c r="BF4203" s="404"/>
      <c r="BG4203" s="404"/>
      <c r="BH4203" s="404"/>
      <c r="BI4203" s="404"/>
      <c r="BJ4203" s="404"/>
      <c r="BK4203" s="404"/>
      <c r="BL4203" s="404"/>
    </row>
    <row r="4204" spans="1:64" ht="13">
      <c r="A4204" s="426"/>
      <c r="B4204" s="426"/>
      <c r="C4204" s="417"/>
      <c r="D4204" s="409"/>
      <c r="E4204" s="426"/>
      <c r="F4204" s="409"/>
      <c r="G4204" s="410"/>
      <c r="H4204" s="426"/>
      <c r="I4204" s="434"/>
      <c r="J4204" s="400"/>
      <c r="K4204" s="401"/>
      <c r="L4204" s="401"/>
      <c r="M4204" s="404"/>
      <c r="N4204" s="404"/>
      <c r="O4204" s="404"/>
      <c r="P4204" s="404"/>
      <c r="Q4204" s="404"/>
      <c r="R4204" s="404"/>
      <c r="S4204" s="404"/>
      <c r="T4204" s="404"/>
      <c r="U4204" s="404"/>
      <c r="V4204" s="404"/>
      <c r="W4204" s="404"/>
      <c r="X4204" s="404"/>
      <c r="Y4204" s="404"/>
      <c r="Z4204" s="404"/>
      <c r="AA4204" s="404"/>
      <c r="AB4204" s="404"/>
      <c r="AC4204" s="404"/>
      <c r="AD4204" s="404"/>
      <c r="AE4204" s="404"/>
      <c r="AF4204" s="404"/>
      <c r="AG4204" s="404"/>
      <c r="AH4204" s="404"/>
      <c r="AI4204" s="404"/>
      <c r="AJ4204" s="404"/>
      <c r="AK4204" s="404"/>
      <c r="AL4204" s="404"/>
      <c r="AM4204" s="404"/>
      <c r="AN4204" s="404"/>
      <c r="AO4204" s="404"/>
      <c r="AP4204" s="404"/>
      <c r="AQ4204" s="404"/>
      <c r="AR4204" s="404"/>
      <c r="AS4204" s="404"/>
      <c r="AT4204" s="404"/>
      <c r="AU4204" s="404"/>
      <c r="AV4204" s="404"/>
      <c r="AW4204" s="404"/>
      <c r="AX4204" s="404"/>
      <c r="AY4204" s="404"/>
      <c r="AZ4204" s="404"/>
      <c r="BA4204" s="404"/>
      <c r="BB4204" s="404"/>
      <c r="BC4204" s="404"/>
      <c r="BD4204" s="404"/>
      <c r="BE4204" s="404"/>
      <c r="BF4204" s="404"/>
      <c r="BG4204" s="404"/>
      <c r="BH4204" s="404"/>
      <c r="BI4204" s="404"/>
      <c r="BJ4204" s="404"/>
      <c r="BK4204" s="404"/>
      <c r="BL4204" s="404"/>
    </row>
    <row r="4205" spans="1:64" ht="85.15" customHeight="1">
      <c r="A4205" s="1280">
        <f>A4196+1</f>
        <v>20</v>
      </c>
      <c r="B4205" s="1280"/>
      <c r="C4205" s="1276" t="s">
        <v>1433</v>
      </c>
      <c r="D4205" s="1276"/>
      <c r="E4205" s="1276"/>
      <c r="F4205" s="1276"/>
      <c r="G4205" s="1276"/>
      <c r="H4205" s="1276"/>
      <c r="I4205" s="407"/>
      <c r="J4205" s="400"/>
      <c r="K4205" s="401"/>
      <c r="L4205" s="401"/>
      <c r="M4205" s="404"/>
      <c r="N4205" s="404"/>
      <c r="O4205" s="404"/>
      <c r="P4205" s="404"/>
      <c r="Q4205" s="404"/>
      <c r="R4205" s="404"/>
      <c r="S4205" s="404"/>
      <c r="T4205" s="404"/>
      <c r="U4205" s="404"/>
      <c r="V4205" s="404"/>
      <c r="W4205" s="404"/>
      <c r="X4205" s="404"/>
      <c r="Y4205" s="404"/>
      <c r="Z4205" s="404"/>
      <c r="AA4205" s="404"/>
      <c r="AB4205" s="404"/>
      <c r="AC4205" s="404"/>
      <c r="AD4205" s="404"/>
      <c r="AE4205" s="404"/>
      <c r="AF4205" s="404"/>
      <c r="AG4205" s="404"/>
      <c r="AH4205" s="404"/>
      <c r="AI4205" s="404"/>
      <c r="AJ4205" s="404"/>
      <c r="AK4205" s="404"/>
      <c r="AL4205" s="404"/>
      <c r="AM4205" s="404"/>
      <c r="AN4205" s="404"/>
      <c r="AO4205" s="404"/>
      <c r="AP4205" s="404"/>
      <c r="AQ4205" s="404"/>
      <c r="AR4205" s="404"/>
      <c r="AS4205" s="404"/>
      <c r="AT4205" s="404"/>
      <c r="AU4205" s="404"/>
      <c r="AV4205" s="404"/>
      <c r="AW4205" s="404"/>
      <c r="AX4205" s="404"/>
      <c r="AY4205" s="404"/>
      <c r="AZ4205" s="404"/>
      <c r="BA4205" s="404"/>
      <c r="BB4205" s="404"/>
      <c r="BC4205" s="404"/>
      <c r="BD4205" s="404"/>
      <c r="BE4205" s="404"/>
      <c r="BF4205" s="404"/>
      <c r="BG4205" s="404"/>
      <c r="BH4205" s="404"/>
      <c r="BI4205" s="404"/>
      <c r="BJ4205" s="404"/>
      <c r="BK4205" s="404"/>
      <c r="BL4205" s="404"/>
    </row>
    <row r="4206" spans="1:64">
      <c r="A4206" s="426"/>
      <c r="B4206" s="426"/>
      <c r="C4206" s="417" t="s">
        <v>1434</v>
      </c>
      <c r="D4206" s="409">
        <v>1</v>
      </c>
      <c r="E4206" s="426" t="s">
        <v>17</v>
      </c>
      <c r="F4206" s="409">
        <f>'[161]Civil-SOR'!$G$188</f>
        <v>2955</v>
      </c>
      <c r="G4206" s="410">
        <v>1</v>
      </c>
      <c r="H4206" s="426" t="s">
        <v>17</v>
      </c>
      <c r="I4206" s="408">
        <f t="shared" ref="I4206:I4207" si="941">IF(G4206="",D4206*F4206,(D4206*F4206/G4206))</f>
        <v>2955</v>
      </c>
      <c r="J4206" s="400"/>
      <c r="K4206" s="401"/>
      <c r="L4206" s="401"/>
      <c r="M4206" s="404"/>
      <c r="N4206" s="404"/>
      <c r="O4206" s="404"/>
      <c r="P4206" s="404"/>
      <c r="Q4206" s="404"/>
      <c r="R4206" s="404"/>
      <c r="S4206" s="404"/>
      <c r="T4206" s="404"/>
      <c r="U4206" s="404"/>
      <c r="V4206" s="404"/>
      <c r="W4206" s="404"/>
      <c r="X4206" s="404"/>
      <c r="Y4206" s="404"/>
      <c r="Z4206" s="404"/>
      <c r="AA4206" s="404"/>
      <c r="AB4206" s="404"/>
      <c r="AC4206" s="404"/>
      <c r="AD4206" s="404"/>
      <c r="AE4206" s="404"/>
      <c r="AF4206" s="404"/>
      <c r="AG4206" s="404"/>
      <c r="AH4206" s="404"/>
      <c r="AI4206" s="404"/>
      <c r="AJ4206" s="404"/>
      <c r="AK4206" s="404"/>
      <c r="AL4206" s="404"/>
      <c r="AM4206" s="404"/>
      <c r="AN4206" s="404"/>
      <c r="AO4206" s="404"/>
      <c r="AP4206" s="404"/>
      <c r="AQ4206" s="404"/>
      <c r="AR4206" s="404"/>
      <c r="AS4206" s="404"/>
      <c r="AT4206" s="404"/>
      <c r="AU4206" s="404"/>
      <c r="AV4206" s="404"/>
      <c r="AW4206" s="404"/>
      <c r="AX4206" s="404"/>
      <c r="AY4206" s="404"/>
      <c r="AZ4206" s="404"/>
      <c r="BA4206" s="404"/>
      <c r="BB4206" s="404"/>
      <c r="BC4206" s="404"/>
      <c r="BD4206" s="404"/>
      <c r="BE4206" s="404"/>
      <c r="BF4206" s="404"/>
      <c r="BG4206" s="404"/>
      <c r="BH4206" s="404"/>
      <c r="BI4206" s="404"/>
      <c r="BJ4206" s="404"/>
      <c r="BK4206" s="404"/>
      <c r="BL4206" s="404"/>
    </row>
    <row r="4207" spans="1:64" ht="25">
      <c r="A4207" s="426"/>
      <c r="B4207" s="426"/>
      <c r="C4207" s="417" t="str">
        <f>[161]Input!$C$48</f>
        <v>Overheads &amp; Contractors Profit @ 13.615%</v>
      </c>
      <c r="D4207" s="467">
        <f>[161]Input!$D$48</f>
        <v>0.13614999999999999</v>
      </c>
      <c r="E4207" s="408"/>
      <c r="F4207" s="408">
        <f>I4206</f>
        <v>2955</v>
      </c>
      <c r="G4207" s="430"/>
      <c r="H4207" s="426"/>
      <c r="I4207" s="408">
        <f t="shared" si="941"/>
        <v>402.32324999999997</v>
      </c>
      <c r="J4207" s="400"/>
      <c r="K4207" s="401"/>
      <c r="L4207" s="401"/>
      <c r="M4207" s="404"/>
      <c r="N4207" s="404"/>
      <c r="O4207" s="404"/>
      <c r="P4207" s="404"/>
      <c r="Q4207" s="404"/>
      <c r="R4207" s="404"/>
      <c r="S4207" s="404"/>
      <c r="T4207" s="404"/>
      <c r="U4207" s="404"/>
      <c r="V4207" s="404"/>
      <c r="W4207" s="404"/>
      <c r="X4207" s="404"/>
      <c r="Y4207" s="404"/>
      <c r="Z4207" s="404"/>
      <c r="AA4207" s="404"/>
      <c r="AB4207" s="404"/>
      <c r="AC4207" s="404"/>
      <c r="AD4207" s="404"/>
      <c r="AE4207" s="404"/>
      <c r="AF4207" s="404"/>
      <c r="AG4207" s="404"/>
      <c r="AH4207" s="404"/>
      <c r="AI4207" s="404"/>
      <c r="AJ4207" s="404"/>
      <c r="AK4207" s="404"/>
      <c r="AL4207" s="404"/>
      <c r="AM4207" s="404"/>
      <c r="AN4207" s="404"/>
      <c r="AO4207" s="404"/>
      <c r="AP4207" s="404"/>
      <c r="AQ4207" s="404"/>
      <c r="AR4207" s="404"/>
      <c r="AS4207" s="404"/>
      <c r="AT4207" s="404"/>
      <c r="AU4207" s="404"/>
      <c r="AV4207" s="404"/>
      <c r="AW4207" s="404"/>
      <c r="AX4207" s="404"/>
      <c r="AY4207" s="404"/>
      <c r="AZ4207" s="404"/>
      <c r="BA4207" s="404"/>
      <c r="BB4207" s="404"/>
      <c r="BC4207" s="404"/>
      <c r="BD4207" s="404"/>
      <c r="BE4207" s="404"/>
      <c r="BF4207" s="404"/>
      <c r="BG4207" s="404"/>
      <c r="BH4207" s="404"/>
      <c r="BI4207" s="404"/>
      <c r="BJ4207" s="404"/>
      <c r="BK4207" s="404"/>
      <c r="BL4207" s="404"/>
    </row>
    <row r="4208" spans="1:64" ht="13">
      <c r="A4208" s="426"/>
      <c r="B4208" s="426"/>
      <c r="C4208" s="427" t="s">
        <v>742</v>
      </c>
      <c r="D4208" s="409"/>
      <c r="E4208" s="426"/>
      <c r="F4208" s="409"/>
      <c r="G4208" s="410"/>
      <c r="H4208" s="426"/>
      <c r="I4208" s="408">
        <f>SUM(I4206:I4207)</f>
        <v>3357.3232499999999</v>
      </c>
      <c r="J4208" s="400"/>
      <c r="K4208" s="401"/>
      <c r="L4208" s="401"/>
      <c r="M4208" s="404"/>
      <c r="N4208" s="404"/>
      <c r="O4208" s="404"/>
      <c r="P4208" s="404"/>
      <c r="Q4208" s="404"/>
      <c r="R4208" s="404"/>
      <c r="S4208" s="404"/>
      <c r="T4208" s="404"/>
      <c r="U4208" s="404"/>
      <c r="V4208" s="404"/>
      <c r="W4208" s="404"/>
      <c r="X4208" s="404"/>
      <c r="Y4208" s="404"/>
      <c r="Z4208" s="404"/>
      <c r="AA4208" s="404"/>
      <c r="AB4208" s="404"/>
      <c r="AC4208" s="404"/>
      <c r="AD4208" s="404"/>
      <c r="AE4208" s="404"/>
      <c r="AF4208" s="404"/>
      <c r="AG4208" s="404"/>
      <c r="AH4208" s="404"/>
      <c r="AI4208" s="404"/>
      <c r="AJ4208" s="404"/>
      <c r="AK4208" s="404"/>
      <c r="AL4208" s="404"/>
      <c r="AM4208" s="404"/>
      <c r="AN4208" s="404"/>
      <c r="AO4208" s="404"/>
      <c r="AP4208" s="404"/>
      <c r="AQ4208" s="404"/>
      <c r="AR4208" s="404"/>
      <c r="AS4208" s="404"/>
      <c r="AT4208" s="404"/>
      <c r="AU4208" s="404"/>
      <c r="AV4208" s="404"/>
      <c r="AW4208" s="404"/>
      <c r="AX4208" s="404"/>
      <c r="AY4208" s="404"/>
      <c r="AZ4208" s="404"/>
      <c r="BA4208" s="404"/>
      <c r="BB4208" s="404"/>
      <c r="BC4208" s="404"/>
      <c r="BD4208" s="404"/>
      <c r="BE4208" s="404"/>
      <c r="BF4208" s="404"/>
      <c r="BG4208" s="404"/>
      <c r="BH4208" s="404"/>
      <c r="BI4208" s="404"/>
      <c r="BJ4208" s="404"/>
      <c r="BK4208" s="404"/>
      <c r="BL4208" s="404"/>
    </row>
    <row r="4209" spans="1:64" ht="13">
      <c r="A4209" s="426"/>
      <c r="B4209" s="426"/>
      <c r="C4209" s="417"/>
      <c r="D4209" s="409"/>
      <c r="E4209" s="426"/>
      <c r="F4209" s="409"/>
      <c r="G4209" s="410"/>
      <c r="H4209" s="742" t="s">
        <v>774</v>
      </c>
      <c r="I4209" s="414">
        <f>ROUND(I4208,0)</f>
        <v>3357</v>
      </c>
      <c r="J4209" s="400"/>
      <c r="K4209" s="401"/>
      <c r="L4209" s="401"/>
      <c r="M4209" s="404"/>
      <c r="N4209" s="404"/>
      <c r="O4209" s="404"/>
      <c r="P4209" s="404"/>
      <c r="Q4209" s="404"/>
      <c r="R4209" s="404"/>
      <c r="S4209" s="404"/>
      <c r="T4209" s="404"/>
      <c r="U4209" s="404"/>
      <c r="V4209" s="404"/>
      <c r="W4209" s="404"/>
      <c r="X4209" s="404"/>
      <c r="Y4209" s="404"/>
      <c r="Z4209" s="404"/>
      <c r="AA4209" s="404"/>
      <c r="AB4209" s="404"/>
      <c r="AC4209" s="404"/>
      <c r="AD4209" s="404"/>
      <c r="AE4209" s="404"/>
      <c r="AF4209" s="404"/>
      <c r="AG4209" s="404"/>
      <c r="AH4209" s="404"/>
      <c r="AI4209" s="404"/>
      <c r="AJ4209" s="404"/>
      <c r="AK4209" s="404"/>
      <c r="AL4209" s="404"/>
      <c r="AM4209" s="404"/>
      <c r="AN4209" s="404"/>
      <c r="AO4209" s="404"/>
      <c r="AP4209" s="404"/>
      <c r="AQ4209" s="404"/>
      <c r="AR4209" s="404"/>
      <c r="AS4209" s="404"/>
      <c r="AT4209" s="404"/>
      <c r="AU4209" s="404"/>
      <c r="AV4209" s="404"/>
      <c r="AW4209" s="404"/>
      <c r="AX4209" s="404"/>
      <c r="AY4209" s="404"/>
      <c r="AZ4209" s="404"/>
      <c r="BA4209" s="404"/>
      <c r="BB4209" s="404"/>
      <c r="BC4209" s="404"/>
      <c r="BD4209" s="404"/>
      <c r="BE4209" s="404"/>
      <c r="BF4209" s="404"/>
      <c r="BG4209" s="404"/>
      <c r="BH4209" s="404"/>
      <c r="BI4209" s="404"/>
      <c r="BJ4209" s="404"/>
      <c r="BK4209" s="404"/>
      <c r="BL4209" s="404"/>
    </row>
    <row r="4210" spans="1:64">
      <c r="A4210" s="426"/>
      <c r="B4210" s="426"/>
      <c r="C4210" s="417"/>
      <c r="D4210" s="409"/>
      <c r="E4210" s="426"/>
      <c r="F4210" s="409"/>
      <c r="G4210" s="410"/>
      <c r="H4210" s="426"/>
      <c r="I4210" s="409"/>
      <c r="J4210" s="400"/>
      <c r="K4210" s="401"/>
      <c r="L4210" s="401"/>
      <c r="M4210" s="404"/>
      <c r="N4210" s="404"/>
      <c r="O4210" s="404"/>
      <c r="P4210" s="404"/>
      <c r="Q4210" s="404"/>
      <c r="R4210" s="404"/>
      <c r="S4210" s="404"/>
      <c r="T4210" s="404"/>
      <c r="U4210" s="404"/>
      <c r="V4210" s="404"/>
      <c r="W4210" s="404"/>
      <c r="X4210" s="404"/>
      <c r="Y4210" s="404"/>
      <c r="Z4210" s="404"/>
      <c r="AA4210" s="404"/>
      <c r="AB4210" s="404"/>
      <c r="AC4210" s="404"/>
      <c r="AD4210" s="404"/>
      <c r="AE4210" s="404"/>
      <c r="AF4210" s="404"/>
      <c r="AG4210" s="404"/>
      <c r="AH4210" s="404"/>
      <c r="AI4210" s="404"/>
      <c r="AJ4210" s="404"/>
      <c r="AK4210" s="404"/>
      <c r="AL4210" s="404"/>
      <c r="AM4210" s="404"/>
      <c r="AN4210" s="404"/>
      <c r="AO4210" s="404"/>
      <c r="AP4210" s="404"/>
      <c r="AQ4210" s="404"/>
      <c r="AR4210" s="404"/>
      <c r="AS4210" s="404"/>
      <c r="AT4210" s="404"/>
      <c r="AU4210" s="404"/>
      <c r="AV4210" s="404"/>
      <c r="AW4210" s="404"/>
      <c r="AX4210" s="404"/>
      <c r="AY4210" s="404"/>
      <c r="AZ4210" s="404"/>
      <c r="BA4210" s="404"/>
      <c r="BB4210" s="404"/>
      <c r="BC4210" s="404"/>
      <c r="BD4210" s="404"/>
      <c r="BE4210" s="404"/>
      <c r="BF4210" s="404"/>
      <c r="BG4210" s="404"/>
      <c r="BH4210" s="404"/>
      <c r="BI4210" s="404"/>
      <c r="BJ4210" s="404"/>
      <c r="BK4210" s="404"/>
      <c r="BL4210" s="404"/>
    </row>
    <row r="4211" spans="1:64" ht="78.400000000000006" customHeight="1">
      <c r="A4211" s="1280">
        <f>A4205+1</f>
        <v>21</v>
      </c>
      <c r="B4211" s="1280"/>
      <c r="C4211" s="1276" t="s">
        <v>1435</v>
      </c>
      <c r="D4211" s="1276"/>
      <c r="E4211" s="1276"/>
      <c r="F4211" s="1276"/>
      <c r="G4211" s="1276"/>
      <c r="H4211" s="1276"/>
      <c r="I4211" s="407"/>
      <c r="J4211" s="400"/>
      <c r="K4211" s="401"/>
      <c r="L4211" s="401"/>
      <c r="M4211" s="404"/>
      <c r="N4211" s="404"/>
      <c r="O4211" s="404"/>
      <c r="P4211" s="404"/>
      <c r="Q4211" s="404"/>
      <c r="R4211" s="404"/>
      <c r="S4211" s="404"/>
      <c r="T4211" s="404"/>
      <c r="U4211" s="404"/>
      <c r="V4211" s="404"/>
      <c r="W4211" s="404"/>
      <c r="X4211" s="404"/>
      <c r="Y4211" s="404"/>
      <c r="Z4211" s="404"/>
      <c r="AA4211" s="404"/>
      <c r="AB4211" s="404"/>
      <c r="AC4211" s="404"/>
      <c r="AD4211" s="404"/>
      <c r="AE4211" s="404"/>
      <c r="AF4211" s="404"/>
      <c r="AG4211" s="404"/>
      <c r="AH4211" s="404"/>
      <c r="AI4211" s="404"/>
      <c r="AJ4211" s="404"/>
      <c r="AK4211" s="404"/>
      <c r="AL4211" s="404"/>
      <c r="AM4211" s="404"/>
      <c r="AN4211" s="404"/>
      <c r="AO4211" s="404"/>
      <c r="AP4211" s="404"/>
      <c r="AQ4211" s="404"/>
      <c r="AR4211" s="404"/>
      <c r="AS4211" s="404"/>
      <c r="AT4211" s="404"/>
      <c r="AU4211" s="404"/>
      <c r="AV4211" s="404"/>
      <c r="AW4211" s="404"/>
      <c r="AX4211" s="404"/>
      <c r="AY4211" s="404"/>
      <c r="AZ4211" s="404"/>
      <c r="BA4211" s="404"/>
      <c r="BB4211" s="404"/>
      <c r="BC4211" s="404"/>
      <c r="BD4211" s="404"/>
      <c r="BE4211" s="404"/>
      <c r="BF4211" s="404"/>
      <c r="BG4211" s="404"/>
      <c r="BH4211" s="404"/>
      <c r="BI4211" s="404"/>
      <c r="BJ4211" s="404"/>
      <c r="BK4211" s="404"/>
      <c r="BL4211" s="404"/>
    </row>
    <row r="4212" spans="1:64">
      <c r="A4212" s="426"/>
      <c r="B4212" s="426"/>
      <c r="C4212" s="417" t="s">
        <v>1436</v>
      </c>
      <c r="D4212" s="409">
        <v>1</v>
      </c>
      <c r="E4212" s="426" t="s">
        <v>17</v>
      </c>
      <c r="F4212" s="409">
        <f>'[161]Civil-SOR'!$G$189</f>
        <v>3313</v>
      </c>
      <c r="G4212" s="410">
        <v>1</v>
      </c>
      <c r="H4212" s="426" t="s">
        <v>17</v>
      </c>
      <c r="I4212" s="408">
        <f t="shared" ref="I4212:I4213" si="942">IF(G4212="",D4212*F4212,(D4212*F4212/G4212))</f>
        <v>3313</v>
      </c>
      <c r="J4212" s="400"/>
      <c r="K4212" s="401"/>
      <c r="L4212" s="401"/>
      <c r="M4212" s="404"/>
      <c r="N4212" s="404"/>
      <c r="O4212" s="404"/>
      <c r="P4212" s="404"/>
      <c r="Q4212" s="404"/>
      <c r="R4212" s="404"/>
      <c r="S4212" s="404"/>
      <c r="T4212" s="404"/>
      <c r="U4212" s="404"/>
      <c r="V4212" s="404"/>
      <c r="W4212" s="404"/>
      <c r="X4212" s="404"/>
      <c r="Y4212" s="404"/>
      <c r="Z4212" s="404"/>
      <c r="AA4212" s="404"/>
      <c r="AB4212" s="404"/>
      <c r="AC4212" s="404"/>
      <c r="AD4212" s="404"/>
      <c r="AE4212" s="404"/>
      <c r="AF4212" s="404"/>
      <c r="AG4212" s="404"/>
      <c r="AH4212" s="404"/>
      <c r="AI4212" s="404"/>
      <c r="AJ4212" s="404"/>
      <c r="AK4212" s="404"/>
      <c r="AL4212" s="404"/>
      <c r="AM4212" s="404"/>
      <c r="AN4212" s="404"/>
      <c r="AO4212" s="404"/>
      <c r="AP4212" s="404"/>
      <c r="AQ4212" s="404"/>
      <c r="AR4212" s="404"/>
      <c r="AS4212" s="404"/>
      <c r="AT4212" s="404"/>
      <c r="AU4212" s="404"/>
      <c r="AV4212" s="404"/>
      <c r="AW4212" s="404"/>
      <c r="AX4212" s="404"/>
      <c r="AY4212" s="404"/>
      <c r="AZ4212" s="404"/>
      <c r="BA4212" s="404"/>
      <c r="BB4212" s="404"/>
      <c r="BC4212" s="404"/>
      <c r="BD4212" s="404"/>
      <c r="BE4212" s="404"/>
      <c r="BF4212" s="404"/>
      <c r="BG4212" s="404"/>
      <c r="BH4212" s="404"/>
      <c r="BI4212" s="404"/>
      <c r="BJ4212" s="404"/>
      <c r="BK4212" s="404"/>
      <c r="BL4212" s="404"/>
    </row>
    <row r="4213" spans="1:64" ht="25">
      <c r="A4213" s="426"/>
      <c r="B4213" s="426"/>
      <c r="C4213" s="417" t="str">
        <f>[161]Input!$C$48</f>
        <v>Overheads &amp; Contractors Profit @ 13.615%</v>
      </c>
      <c r="D4213" s="467">
        <f>[161]Input!$D$48</f>
        <v>0.13614999999999999</v>
      </c>
      <c r="E4213" s="408"/>
      <c r="F4213" s="408">
        <f>I4212</f>
        <v>3313</v>
      </c>
      <c r="G4213" s="430"/>
      <c r="H4213" s="426"/>
      <c r="I4213" s="408">
        <f t="shared" si="942"/>
        <v>451.06494999999995</v>
      </c>
      <c r="J4213" s="400"/>
      <c r="K4213" s="401"/>
      <c r="L4213" s="401"/>
      <c r="M4213" s="404"/>
      <c r="N4213" s="404"/>
      <c r="O4213" s="404"/>
      <c r="P4213" s="404"/>
      <c r="Q4213" s="404"/>
      <c r="R4213" s="404"/>
      <c r="S4213" s="404"/>
      <c r="T4213" s="404"/>
      <c r="U4213" s="404"/>
      <c r="V4213" s="404"/>
      <c r="W4213" s="404"/>
      <c r="X4213" s="404"/>
      <c r="Y4213" s="404"/>
      <c r="Z4213" s="404"/>
      <c r="AA4213" s="404"/>
      <c r="AB4213" s="404"/>
      <c r="AC4213" s="404"/>
      <c r="AD4213" s="404"/>
      <c r="AE4213" s="404"/>
      <c r="AF4213" s="404"/>
      <c r="AG4213" s="404"/>
      <c r="AH4213" s="404"/>
      <c r="AI4213" s="404"/>
      <c r="AJ4213" s="404"/>
      <c r="AK4213" s="404"/>
      <c r="AL4213" s="404"/>
      <c r="AM4213" s="404"/>
      <c r="AN4213" s="404"/>
      <c r="AO4213" s="404"/>
      <c r="AP4213" s="404"/>
      <c r="AQ4213" s="404"/>
      <c r="AR4213" s="404"/>
      <c r="AS4213" s="404"/>
      <c r="AT4213" s="404"/>
      <c r="AU4213" s="404"/>
      <c r="AV4213" s="404"/>
      <c r="AW4213" s="404"/>
      <c r="AX4213" s="404"/>
      <c r="AY4213" s="404"/>
      <c r="AZ4213" s="404"/>
      <c r="BA4213" s="404"/>
      <c r="BB4213" s="404"/>
      <c r="BC4213" s="404"/>
      <c r="BD4213" s="404"/>
      <c r="BE4213" s="404"/>
      <c r="BF4213" s="404"/>
      <c r="BG4213" s="404"/>
      <c r="BH4213" s="404"/>
      <c r="BI4213" s="404"/>
      <c r="BJ4213" s="404"/>
      <c r="BK4213" s="404"/>
      <c r="BL4213" s="404"/>
    </row>
    <row r="4214" spans="1:64" ht="13">
      <c r="A4214" s="426"/>
      <c r="B4214" s="426"/>
      <c r="C4214" s="427" t="s">
        <v>742</v>
      </c>
      <c r="D4214" s="409"/>
      <c r="E4214" s="426"/>
      <c r="F4214" s="409"/>
      <c r="G4214" s="410"/>
      <c r="H4214" s="426"/>
      <c r="I4214" s="408">
        <f>SUM(I4212:I4213)</f>
        <v>3764.06495</v>
      </c>
      <c r="J4214" s="400"/>
      <c r="K4214" s="401"/>
      <c r="L4214" s="401"/>
      <c r="M4214" s="404"/>
      <c r="N4214" s="404"/>
      <c r="O4214" s="404"/>
      <c r="P4214" s="404"/>
      <c r="Q4214" s="404"/>
      <c r="R4214" s="404"/>
      <c r="S4214" s="404"/>
      <c r="T4214" s="404"/>
      <c r="U4214" s="404"/>
      <c r="V4214" s="404"/>
      <c r="W4214" s="404"/>
      <c r="X4214" s="404"/>
      <c r="Y4214" s="404"/>
      <c r="Z4214" s="404"/>
      <c r="AA4214" s="404"/>
      <c r="AB4214" s="404"/>
      <c r="AC4214" s="404"/>
      <c r="AD4214" s="404"/>
      <c r="AE4214" s="404"/>
      <c r="AF4214" s="404"/>
      <c r="AG4214" s="404"/>
      <c r="AH4214" s="404"/>
      <c r="AI4214" s="404"/>
      <c r="AJ4214" s="404"/>
      <c r="AK4214" s="404"/>
      <c r="AL4214" s="404"/>
      <c r="AM4214" s="404"/>
      <c r="AN4214" s="404"/>
      <c r="AO4214" s="404"/>
      <c r="AP4214" s="404"/>
      <c r="AQ4214" s="404"/>
      <c r="AR4214" s="404"/>
      <c r="AS4214" s="404"/>
      <c r="AT4214" s="404"/>
      <c r="AU4214" s="404"/>
      <c r="AV4214" s="404"/>
      <c r="AW4214" s="404"/>
      <c r="AX4214" s="404"/>
      <c r="AY4214" s="404"/>
      <c r="AZ4214" s="404"/>
      <c r="BA4214" s="404"/>
      <c r="BB4214" s="404"/>
      <c r="BC4214" s="404"/>
      <c r="BD4214" s="404"/>
      <c r="BE4214" s="404"/>
      <c r="BF4214" s="404"/>
      <c r="BG4214" s="404"/>
      <c r="BH4214" s="404"/>
      <c r="BI4214" s="404"/>
      <c r="BJ4214" s="404"/>
      <c r="BK4214" s="404"/>
      <c r="BL4214" s="404"/>
    </row>
    <row r="4215" spans="1:64" ht="13">
      <c r="A4215" s="426"/>
      <c r="B4215" s="426"/>
      <c r="C4215" s="417"/>
      <c r="D4215" s="409"/>
      <c r="E4215" s="426"/>
      <c r="F4215" s="409"/>
      <c r="G4215" s="410"/>
      <c r="H4215" s="742" t="s">
        <v>774</v>
      </c>
      <c r="I4215" s="414">
        <f>ROUND(I4214,0)</f>
        <v>3764</v>
      </c>
      <c r="J4215" s="400"/>
      <c r="K4215" s="401"/>
      <c r="L4215" s="401"/>
      <c r="M4215" s="404"/>
      <c r="N4215" s="404"/>
      <c r="O4215" s="404"/>
      <c r="P4215" s="404"/>
      <c r="Q4215" s="404"/>
      <c r="R4215" s="404"/>
      <c r="S4215" s="404"/>
      <c r="T4215" s="404"/>
      <c r="U4215" s="404"/>
      <c r="V4215" s="404"/>
      <c r="W4215" s="404"/>
      <c r="X4215" s="404"/>
      <c r="Y4215" s="404"/>
      <c r="Z4215" s="404"/>
      <c r="AA4215" s="404"/>
      <c r="AB4215" s="404"/>
      <c r="AC4215" s="404"/>
      <c r="AD4215" s="404"/>
      <c r="AE4215" s="404"/>
      <c r="AF4215" s="404"/>
      <c r="AG4215" s="404"/>
      <c r="AH4215" s="404"/>
      <c r="AI4215" s="404"/>
      <c r="AJ4215" s="404"/>
      <c r="AK4215" s="404"/>
      <c r="AL4215" s="404"/>
      <c r="AM4215" s="404"/>
      <c r="AN4215" s="404"/>
      <c r="AO4215" s="404"/>
      <c r="AP4215" s="404"/>
      <c r="AQ4215" s="404"/>
      <c r="AR4215" s="404"/>
      <c r="AS4215" s="404"/>
      <c r="AT4215" s="404"/>
      <c r="AU4215" s="404"/>
      <c r="AV4215" s="404"/>
      <c r="AW4215" s="404"/>
      <c r="AX4215" s="404"/>
      <c r="AY4215" s="404"/>
      <c r="AZ4215" s="404"/>
      <c r="BA4215" s="404"/>
      <c r="BB4215" s="404"/>
      <c r="BC4215" s="404"/>
      <c r="BD4215" s="404"/>
      <c r="BE4215" s="404"/>
      <c r="BF4215" s="404"/>
      <c r="BG4215" s="404"/>
      <c r="BH4215" s="404"/>
      <c r="BI4215" s="404"/>
      <c r="BJ4215" s="404"/>
      <c r="BK4215" s="404"/>
      <c r="BL4215" s="404"/>
    </row>
    <row r="4216" spans="1:64" ht="13">
      <c r="A4216" s="426"/>
      <c r="B4216" s="426"/>
      <c r="C4216" s="417"/>
      <c r="D4216" s="409"/>
      <c r="E4216" s="426"/>
      <c r="F4216" s="409"/>
      <c r="G4216" s="410"/>
      <c r="H4216" s="426"/>
      <c r="I4216" s="434"/>
      <c r="J4216" s="400"/>
      <c r="K4216" s="401"/>
      <c r="L4216" s="401"/>
      <c r="M4216" s="404"/>
      <c r="N4216" s="404"/>
      <c r="O4216" s="404"/>
      <c r="P4216" s="404"/>
      <c r="Q4216" s="404"/>
      <c r="R4216" s="404"/>
      <c r="S4216" s="404"/>
      <c r="T4216" s="404"/>
      <c r="U4216" s="404"/>
      <c r="V4216" s="404"/>
      <c r="W4216" s="404"/>
      <c r="X4216" s="404"/>
      <c r="Y4216" s="404"/>
      <c r="Z4216" s="404"/>
      <c r="AA4216" s="404"/>
      <c r="AB4216" s="404"/>
      <c r="AC4216" s="404"/>
      <c r="AD4216" s="404"/>
      <c r="AE4216" s="404"/>
      <c r="AF4216" s="404"/>
      <c r="AG4216" s="404"/>
      <c r="AH4216" s="404"/>
      <c r="AI4216" s="404"/>
      <c r="AJ4216" s="404"/>
      <c r="AK4216" s="404"/>
      <c r="AL4216" s="404"/>
      <c r="AM4216" s="404"/>
      <c r="AN4216" s="404"/>
      <c r="AO4216" s="404"/>
      <c r="AP4216" s="404"/>
      <c r="AQ4216" s="404"/>
      <c r="AR4216" s="404"/>
      <c r="AS4216" s="404"/>
      <c r="AT4216" s="404"/>
      <c r="AU4216" s="404"/>
      <c r="AV4216" s="404"/>
      <c r="AW4216" s="404"/>
      <c r="AX4216" s="404"/>
      <c r="AY4216" s="404"/>
      <c r="AZ4216" s="404"/>
      <c r="BA4216" s="404"/>
      <c r="BB4216" s="404"/>
      <c r="BC4216" s="404"/>
      <c r="BD4216" s="404"/>
      <c r="BE4216" s="404"/>
      <c r="BF4216" s="404"/>
      <c r="BG4216" s="404"/>
      <c r="BH4216" s="404"/>
      <c r="BI4216" s="404"/>
      <c r="BJ4216" s="404"/>
      <c r="BK4216" s="404"/>
      <c r="BL4216" s="404"/>
    </row>
    <row r="4217" spans="1:64" ht="103.75" customHeight="1">
      <c r="A4217" s="1280">
        <f>A4211+1</f>
        <v>22</v>
      </c>
      <c r="B4217" s="1280"/>
      <c r="C4217" s="1291" t="s">
        <v>1437</v>
      </c>
      <c r="D4217" s="1291"/>
      <c r="E4217" s="1291"/>
      <c r="F4217" s="1291"/>
      <c r="G4217" s="1291"/>
      <c r="H4217" s="1291"/>
      <c r="I4217" s="1291"/>
      <c r="J4217" s="400"/>
      <c r="K4217" s="401"/>
      <c r="L4217" s="401"/>
      <c r="M4217" s="404"/>
      <c r="N4217" s="404"/>
      <c r="O4217" s="404"/>
      <c r="P4217" s="404"/>
      <c r="Q4217" s="404"/>
      <c r="R4217" s="404"/>
      <c r="S4217" s="404"/>
      <c r="T4217" s="404"/>
      <c r="U4217" s="404"/>
      <c r="V4217" s="404"/>
      <c r="W4217" s="404"/>
      <c r="X4217" s="404"/>
      <c r="Y4217" s="404"/>
      <c r="Z4217" s="404"/>
      <c r="AA4217" s="404"/>
      <c r="AB4217" s="404"/>
      <c r="AC4217" s="404"/>
      <c r="AD4217" s="404"/>
      <c r="AE4217" s="404"/>
      <c r="AF4217" s="404"/>
      <c r="AG4217" s="404"/>
      <c r="AH4217" s="404"/>
      <c r="AI4217" s="404"/>
      <c r="AJ4217" s="404"/>
      <c r="AK4217" s="404"/>
      <c r="AL4217" s="404"/>
      <c r="AM4217" s="404"/>
      <c r="AN4217" s="404"/>
      <c r="AO4217" s="404"/>
      <c r="AP4217" s="404"/>
      <c r="AQ4217" s="404"/>
      <c r="AR4217" s="404"/>
      <c r="AS4217" s="404"/>
      <c r="AT4217" s="404"/>
      <c r="AU4217" s="404"/>
      <c r="AV4217" s="404"/>
      <c r="AW4217" s="404"/>
      <c r="AX4217" s="404"/>
      <c r="AY4217" s="404"/>
      <c r="AZ4217" s="404"/>
      <c r="BA4217" s="404"/>
      <c r="BB4217" s="404"/>
      <c r="BC4217" s="404"/>
      <c r="BD4217" s="404"/>
      <c r="BE4217" s="404"/>
      <c r="BF4217" s="404"/>
      <c r="BG4217" s="404"/>
      <c r="BH4217" s="404"/>
      <c r="BI4217" s="404"/>
      <c r="BJ4217" s="404"/>
      <c r="BK4217" s="404"/>
      <c r="BL4217" s="404"/>
    </row>
    <row r="4218" spans="1:64" ht="58.9" customHeight="1">
      <c r="A4218" s="426"/>
      <c r="B4218" s="426"/>
      <c r="C4218" s="1291" t="s">
        <v>1438</v>
      </c>
      <c r="D4218" s="1291"/>
      <c r="E4218" s="1291"/>
      <c r="F4218" s="1291"/>
      <c r="G4218" s="1291"/>
      <c r="H4218" s="1291"/>
      <c r="I4218" s="1291"/>
      <c r="J4218" s="400"/>
      <c r="K4218" s="401"/>
      <c r="L4218" s="401"/>
      <c r="M4218" s="404"/>
      <c r="N4218" s="404"/>
      <c r="O4218" s="404"/>
      <c r="P4218" s="404"/>
      <c r="Q4218" s="404"/>
      <c r="R4218" s="404"/>
      <c r="S4218" s="404"/>
      <c r="T4218" s="404"/>
      <c r="U4218" s="404"/>
      <c r="V4218" s="404"/>
      <c r="W4218" s="404"/>
      <c r="X4218" s="404"/>
      <c r="Y4218" s="404"/>
      <c r="Z4218" s="404"/>
      <c r="AA4218" s="404"/>
      <c r="AB4218" s="404"/>
      <c r="AC4218" s="404"/>
      <c r="AD4218" s="404"/>
      <c r="AE4218" s="404"/>
      <c r="AF4218" s="404"/>
      <c r="AG4218" s="404"/>
      <c r="AH4218" s="404"/>
      <c r="AI4218" s="404"/>
      <c r="AJ4218" s="404"/>
      <c r="AK4218" s="404"/>
      <c r="AL4218" s="404"/>
      <c r="AM4218" s="404"/>
      <c r="AN4218" s="404"/>
      <c r="AO4218" s="404"/>
      <c r="AP4218" s="404"/>
      <c r="AQ4218" s="404"/>
      <c r="AR4218" s="404"/>
      <c r="AS4218" s="404"/>
      <c r="AT4218" s="404"/>
      <c r="AU4218" s="404"/>
      <c r="AV4218" s="404"/>
      <c r="AW4218" s="404"/>
      <c r="AX4218" s="404"/>
      <c r="AY4218" s="404"/>
      <c r="AZ4218" s="404"/>
      <c r="BA4218" s="404"/>
      <c r="BB4218" s="404"/>
      <c r="BC4218" s="404"/>
      <c r="BD4218" s="404"/>
      <c r="BE4218" s="404"/>
      <c r="BF4218" s="404"/>
      <c r="BG4218" s="404"/>
      <c r="BH4218" s="404"/>
      <c r="BI4218" s="404"/>
      <c r="BJ4218" s="404"/>
      <c r="BK4218" s="404"/>
      <c r="BL4218" s="404"/>
    </row>
    <row r="4219" spans="1:64">
      <c r="A4219" s="426"/>
      <c r="B4219" s="426"/>
      <c r="C4219" s="417" t="s">
        <v>1439</v>
      </c>
      <c r="D4219" s="409">
        <v>1</v>
      </c>
      <c r="E4219" s="426" t="s">
        <v>17</v>
      </c>
      <c r="F4219" s="409">
        <f>'[161]Civil-SOR'!$G$147</f>
        <v>8280</v>
      </c>
      <c r="G4219" s="410">
        <v>1</v>
      </c>
      <c r="H4219" s="426" t="s">
        <v>17</v>
      </c>
      <c r="I4219" s="408">
        <f t="shared" ref="I4219:I4220" si="943">IF(G4219="",D4219*F4219,(D4219*F4219/G4219))</f>
        <v>8280</v>
      </c>
      <c r="J4219" s="400"/>
      <c r="K4219" s="401"/>
      <c r="L4219" s="401"/>
      <c r="M4219" s="404"/>
      <c r="N4219" s="404"/>
      <c r="O4219" s="404"/>
      <c r="P4219" s="404"/>
      <c r="Q4219" s="404"/>
      <c r="R4219" s="404"/>
      <c r="S4219" s="404"/>
      <c r="T4219" s="404"/>
      <c r="U4219" s="404"/>
      <c r="V4219" s="404"/>
      <c r="W4219" s="404"/>
      <c r="X4219" s="404"/>
      <c r="Y4219" s="404"/>
      <c r="Z4219" s="404"/>
      <c r="AA4219" s="404"/>
      <c r="AB4219" s="404"/>
      <c r="AC4219" s="404"/>
      <c r="AD4219" s="404"/>
      <c r="AE4219" s="404"/>
      <c r="AF4219" s="404"/>
      <c r="AG4219" s="404"/>
      <c r="AH4219" s="404"/>
      <c r="AI4219" s="404"/>
      <c r="AJ4219" s="404"/>
      <c r="AK4219" s="404"/>
      <c r="AL4219" s="404"/>
      <c r="AM4219" s="404"/>
      <c r="AN4219" s="404"/>
      <c r="AO4219" s="404"/>
      <c r="AP4219" s="404"/>
      <c r="AQ4219" s="404"/>
      <c r="AR4219" s="404"/>
      <c r="AS4219" s="404"/>
      <c r="AT4219" s="404"/>
      <c r="AU4219" s="404"/>
      <c r="AV4219" s="404"/>
      <c r="AW4219" s="404"/>
      <c r="AX4219" s="404"/>
      <c r="AY4219" s="404"/>
      <c r="AZ4219" s="404"/>
      <c r="BA4219" s="404"/>
      <c r="BB4219" s="404"/>
      <c r="BC4219" s="404"/>
      <c r="BD4219" s="404"/>
      <c r="BE4219" s="404"/>
      <c r="BF4219" s="404"/>
      <c r="BG4219" s="404"/>
      <c r="BH4219" s="404"/>
      <c r="BI4219" s="404"/>
      <c r="BJ4219" s="404"/>
      <c r="BK4219" s="404"/>
      <c r="BL4219" s="404"/>
    </row>
    <row r="4220" spans="1:64" ht="25">
      <c r="A4220" s="426"/>
      <c r="B4220" s="426"/>
      <c r="C4220" s="417" t="str">
        <f>[161]Input!$C$48</f>
        <v>Overheads &amp; Contractors Profit @ 13.615%</v>
      </c>
      <c r="D4220" s="467">
        <f>[161]Input!$D$48</f>
        <v>0.13614999999999999</v>
      </c>
      <c r="E4220" s="408"/>
      <c r="F4220" s="408">
        <f>I4219</f>
        <v>8280</v>
      </c>
      <c r="G4220" s="430"/>
      <c r="H4220" s="426"/>
      <c r="I4220" s="408">
        <f t="shared" si="943"/>
        <v>1127.3219999999999</v>
      </c>
      <c r="J4220" s="400"/>
      <c r="K4220" s="401"/>
      <c r="L4220" s="401"/>
      <c r="M4220" s="404"/>
      <c r="N4220" s="404"/>
      <c r="O4220" s="404"/>
      <c r="P4220" s="404"/>
      <c r="Q4220" s="404"/>
      <c r="R4220" s="404"/>
      <c r="S4220" s="404"/>
      <c r="T4220" s="404"/>
      <c r="U4220" s="404"/>
      <c r="V4220" s="404"/>
      <c r="W4220" s="404"/>
      <c r="X4220" s="404"/>
      <c r="Y4220" s="404"/>
      <c r="Z4220" s="404"/>
      <c r="AA4220" s="404"/>
      <c r="AB4220" s="404"/>
      <c r="AC4220" s="404"/>
      <c r="AD4220" s="404"/>
      <c r="AE4220" s="404"/>
      <c r="AF4220" s="404"/>
      <c r="AG4220" s="404"/>
      <c r="AH4220" s="404"/>
      <c r="AI4220" s="404"/>
      <c r="AJ4220" s="404"/>
      <c r="AK4220" s="404"/>
      <c r="AL4220" s="404"/>
      <c r="AM4220" s="404"/>
      <c r="AN4220" s="404"/>
      <c r="AO4220" s="404"/>
      <c r="AP4220" s="404"/>
      <c r="AQ4220" s="404"/>
      <c r="AR4220" s="404"/>
      <c r="AS4220" s="404"/>
      <c r="AT4220" s="404"/>
      <c r="AU4220" s="404"/>
      <c r="AV4220" s="404"/>
      <c r="AW4220" s="404"/>
      <c r="AX4220" s="404"/>
      <c r="AY4220" s="404"/>
      <c r="AZ4220" s="404"/>
      <c r="BA4220" s="404"/>
      <c r="BB4220" s="404"/>
      <c r="BC4220" s="404"/>
      <c r="BD4220" s="404"/>
      <c r="BE4220" s="404"/>
      <c r="BF4220" s="404"/>
      <c r="BG4220" s="404"/>
      <c r="BH4220" s="404"/>
      <c r="BI4220" s="404"/>
      <c r="BJ4220" s="404"/>
      <c r="BK4220" s="404"/>
      <c r="BL4220" s="404"/>
    </row>
    <row r="4221" spans="1:64" ht="13">
      <c r="A4221" s="426"/>
      <c r="B4221" s="426"/>
      <c r="C4221" s="427" t="s">
        <v>742</v>
      </c>
      <c r="D4221" s="409"/>
      <c r="E4221" s="426"/>
      <c r="F4221" s="409"/>
      <c r="G4221" s="410"/>
      <c r="H4221" s="426"/>
      <c r="I4221" s="408">
        <f>SUM(I4219:I4220)</f>
        <v>9407.3220000000001</v>
      </c>
      <c r="J4221" s="400"/>
      <c r="K4221" s="401"/>
      <c r="L4221" s="401"/>
      <c r="M4221" s="404"/>
      <c r="N4221" s="404"/>
      <c r="O4221" s="404"/>
      <c r="P4221" s="404"/>
      <c r="Q4221" s="404"/>
      <c r="R4221" s="404"/>
      <c r="S4221" s="404"/>
      <c r="T4221" s="404"/>
      <c r="U4221" s="404"/>
      <c r="V4221" s="404"/>
      <c r="W4221" s="404"/>
      <c r="X4221" s="404"/>
      <c r="Y4221" s="404"/>
      <c r="Z4221" s="404"/>
      <c r="AA4221" s="404"/>
      <c r="AB4221" s="404"/>
      <c r="AC4221" s="404"/>
      <c r="AD4221" s="404"/>
      <c r="AE4221" s="404"/>
      <c r="AF4221" s="404"/>
      <c r="AG4221" s="404"/>
      <c r="AH4221" s="404"/>
      <c r="AI4221" s="404"/>
      <c r="AJ4221" s="404"/>
      <c r="AK4221" s="404"/>
      <c r="AL4221" s="404"/>
      <c r="AM4221" s="404"/>
      <c r="AN4221" s="404"/>
      <c r="AO4221" s="404"/>
      <c r="AP4221" s="404"/>
      <c r="AQ4221" s="404"/>
      <c r="AR4221" s="404"/>
      <c r="AS4221" s="404"/>
      <c r="AT4221" s="404"/>
      <c r="AU4221" s="404"/>
      <c r="AV4221" s="404"/>
      <c r="AW4221" s="404"/>
      <c r="AX4221" s="404"/>
      <c r="AY4221" s="404"/>
      <c r="AZ4221" s="404"/>
      <c r="BA4221" s="404"/>
      <c r="BB4221" s="404"/>
      <c r="BC4221" s="404"/>
      <c r="BD4221" s="404"/>
      <c r="BE4221" s="404"/>
      <c r="BF4221" s="404"/>
      <c r="BG4221" s="404"/>
      <c r="BH4221" s="404"/>
      <c r="BI4221" s="404"/>
      <c r="BJ4221" s="404"/>
      <c r="BK4221" s="404"/>
      <c r="BL4221" s="404"/>
    </row>
    <row r="4222" spans="1:64" ht="13">
      <c r="A4222" s="426"/>
      <c r="B4222" s="426"/>
      <c r="C4222" s="496"/>
      <c r="D4222" s="409"/>
      <c r="E4222" s="426"/>
      <c r="F4222" s="409"/>
      <c r="G4222" s="410"/>
      <c r="H4222" s="742" t="s">
        <v>774</v>
      </c>
      <c r="I4222" s="414">
        <f>ROUND(I4221,0)</f>
        <v>9407</v>
      </c>
      <c r="J4222" s="411"/>
      <c r="K4222" s="412"/>
      <c r="L4222" s="412"/>
      <c r="M4222" s="413"/>
      <c r="N4222" s="413"/>
      <c r="O4222" s="413"/>
      <c r="P4222" s="413"/>
      <c r="Q4222" s="413"/>
      <c r="R4222" s="413"/>
      <c r="S4222" s="413"/>
      <c r="T4222" s="413"/>
      <c r="U4222" s="413"/>
      <c r="V4222" s="413"/>
      <c r="W4222" s="413"/>
      <c r="X4222" s="413"/>
      <c r="Y4222" s="413"/>
      <c r="Z4222" s="413"/>
      <c r="AA4222" s="413"/>
      <c r="AB4222" s="413"/>
      <c r="AC4222" s="413"/>
      <c r="AD4222" s="413"/>
      <c r="AE4222" s="413"/>
      <c r="AF4222" s="413"/>
      <c r="AG4222" s="413"/>
      <c r="AH4222" s="413"/>
      <c r="AI4222" s="413"/>
      <c r="AJ4222" s="413"/>
      <c r="AK4222" s="413"/>
      <c r="AL4222" s="413"/>
      <c r="AM4222" s="413"/>
      <c r="AN4222" s="413"/>
      <c r="AO4222" s="413"/>
      <c r="AP4222" s="413"/>
      <c r="AQ4222" s="413"/>
      <c r="AR4222" s="413"/>
      <c r="AS4222" s="413"/>
      <c r="AT4222" s="413"/>
      <c r="AU4222" s="413"/>
      <c r="AV4222" s="413"/>
      <c r="AW4222" s="413"/>
      <c r="AX4222" s="413"/>
      <c r="AY4222" s="413"/>
      <c r="AZ4222" s="413"/>
      <c r="BA4222" s="413"/>
      <c r="BB4222" s="413"/>
      <c r="BC4222" s="413"/>
      <c r="BD4222" s="413"/>
      <c r="BE4222" s="413"/>
      <c r="BF4222" s="413"/>
      <c r="BG4222" s="413"/>
      <c r="BH4222" s="413"/>
      <c r="BI4222" s="413"/>
      <c r="BJ4222" s="413"/>
      <c r="BK4222" s="413"/>
      <c r="BL4222" s="413"/>
    </row>
    <row r="4223" spans="1:64">
      <c r="A4223" s="426"/>
      <c r="B4223" s="426"/>
      <c r="C4223" s="417"/>
      <c r="D4223" s="409"/>
      <c r="E4223" s="426"/>
      <c r="F4223" s="409"/>
      <c r="G4223" s="410"/>
      <c r="H4223" s="426"/>
      <c r="I4223" s="409"/>
      <c r="J4223" s="400"/>
      <c r="K4223" s="401"/>
      <c r="L4223" s="401"/>
      <c r="M4223" s="404"/>
      <c r="N4223" s="404"/>
      <c r="O4223" s="404"/>
      <c r="P4223" s="404"/>
      <c r="Q4223" s="404"/>
      <c r="R4223" s="404"/>
      <c r="S4223" s="404"/>
      <c r="T4223" s="404"/>
      <c r="U4223" s="404"/>
      <c r="V4223" s="404"/>
      <c r="W4223" s="404"/>
      <c r="X4223" s="404"/>
      <c r="Y4223" s="404"/>
      <c r="Z4223" s="404"/>
      <c r="AA4223" s="404"/>
      <c r="AB4223" s="404"/>
      <c r="AC4223" s="404"/>
      <c r="AD4223" s="404"/>
      <c r="AE4223" s="404"/>
      <c r="AF4223" s="404"/>
      <c r="AG4223" s="404"/>
      <c r="AH4223" s="404"/>
      <c r="AI4223" s="404"/>
      <c r="AJ4223" s="404"/>
      <c r="AK4223" s="404"/>
      <c r="AL4223" s="404"/>
      <c r="AM4223" s="404"/>
      <c r="AN4223" s="404"/>
      <c r="AO4223" s="404"/>
      <c r="AP4223" s="404"/>
      <c r="AQ4223" s="404"/>
      <c r="AR4223" s="404"/>
      <c r="AS4223" s="404"/>
      <c r="AT4223" s="404"/>
      <c r="AU4223" s="404"/>
      <c r="AV4223" s="404"/>
      <c r="AW4223" s="404"/>
      <c r="AX4223" s="404"/>
      <c r="AY4223" s="404"/>
      <c r="AZ4223" s="404"/>
      <c r="BA4223" s="404"/>
      <c r="BB4223" s="404"/>
      <c r="BC4223" s="404"/>
      <c r="BD4223" s="404"/>
      <c r="BE4223" s="404"/>
      <c r="BF4223" s="404"/>
      <c r="BG4223" s="404"/>
      <c r="BH4223" s="404"/>
      <c r="BI4223" s="404"/>
      <c r="BJ4223" s="404"/>
      <c r="BK4223" s="404"/>
      <c r="BL4223" s="404"/>
    </row>
    <row r="4224" spans="1:64" ht="115" customHeight="1">
      <c r="A4224" s="1280">
        <f>A4217+1</f>
        <v>23</v>
      </c>
      <c r="B4224" s="1280"/>
      <c r="C4224" s="1276" t="s">
        <v>1440</v>
      </c>
      <c r="D4224" s="1276"/>
      <c r="E4224" s="1276"/>
      <c r="F4224" s="1276"/>
      <c r="G4224" s="1276"/>
      <c r="H4224" s="1276"/>
      <c r="I4224" s="407"/>
      <c r="J4224" s="400"/>
      <c r="K4224" s="401"/>
      <c r="L4224" s="401"/>
      <c r="M4224" s="404"/>
      <c r="N4224" s="404"/>
      <c r="O4224" s="404"/>
      <c r="P4224" s="404"/>
      <c r="Q4224" s="404"/>
      <c r="R4224" s="404"/>
      <c r="S4224" s="404"/>
      <c r="T4224" s="404"/>
      <c r="U4224" s="404"/>
      <c r="V4224" s="404"/>
      <c r="W4224" s="404"/>
      <c r="X4224" s="404"/>
      <c r="Y4224" s="404"/>
      <c r="Z4224" s="404"/>
      <c r="AA4224" s="404"/>
      <c r="AB4224" s="404"/>
      <c r="AC4224" s="404"/>
      <c r="AD4224" s="404"/>
      <c r="AE4224" s="404"/>
      <c r="AF4224" s="404"/>
      <c r="AG4224" s="404"/>
      <c r="AH4224" s="404"/>
      <c r="AI4224" s="404"/>
      <c r="AJ4224" s="404"/>
      <c r="AK4224" s="404"/>
      <c r="AL4224" s="404"/>
      <c r="AM4224" s="404"/>
      <c r="AN4224" s="404"/>
      <c r="AO4224" s="404"/>
      <c r="AP4224" s="404"/>
      <c r="AQ4224" s="404"/>
      <c r="AR4224" s="404"/>
      <c r="AS4224" s="404"/>
      <c r="AT4224" s="404"/>
      <c r="AU4224" s="404"/>
      <c r="AV4224" s="404"/>
      <c r="AW4224" s="404"/>
      <c r="AX4224" s="404"/>
      <c r="AY4224" s="404"/>
      <c r="AZ4224" s="404"/>
      <c r="BA4224" s="404"/>
      <c r="BB4224" s="404"/>
      <c r="BC4224" s="404"/>
      <c r="BD4224" s="404"/>
      <c r="BE4224" s="404"/>
      <c r="BF4224" s="404"/>
      <c r="BG4224" s="404"/>
      <c r="BH4224" s="404"/>
      <c r="BI4224" s="404"/>
      <c r="BJ4224" s="404"/>
      <c r="BK4224" s="404"/>
      <c r="BL4224" s="404"/>
    </row>
    <row r="4225" spans="1:64" ht="36.65" customHeight="1">
      <c r="A4225" s="426"/>
      <c r="B4225" s="426"/>
      <c r="C4225" s="1291" t="s">
        <v>1441</v>
      </c>
      <c r="D4225" s="1291"/>
      <c r="E4225" s="1291"/>
      <c r="F4225" s="1291"/>
      <c r="G4225" s="1291"/>
      <c r="H4225" s="1291"/>
      <c r="I4225" s="406"/>
      <c r="J4225" s="400"/>
      <c r="K4225" s="401"/>
      <c r="L4225" s="401"/>
      <c r="M4225" s="404"/>
      <c r="N4225" s="404"/>
      <c r="O4225" s="404"/>
      <c r="P4225" s="404"/>
      <c r="Q4225" s="404"/>
      <c r="R4225" s="404"/>
      <c r="S4225" s="404"/>
      <c r="T4225" s="404"/>
      <c r="U4225" s="404"/>
      <c r="V4225" s="404"/>
      <c r="W4225" s="404"/>
      <c r="X4225" s="404"/>
      <c r="Y4225" s="404"/>
      <c r="Z4225" s="404"/>
      <c r="AA4225" s="404"/>
      <c r="AB4225" s="404"/>
      <c r="AC4225" s="404"/>
      <c r="AD4225" s="404"/>
      <c r="AE4225" s="404"/>
      <c r="AF4225" s="404"/>
      <c r="AG4225" s="404"/>
      <c r="AH4225" s="404"/>
      <c r="AI4225" s="404"/>
      <c r="AJ4225" s="404"/>
      <c r="AK4225" s="404"/>
      <c r="AL4225" s="404"/>
      <c r="AM4225" s="404"/>
      <c r="AN4225" s="404"/>
      <c r="AO4225" s="404"/>
      <c r="AP4225" s="404"/>
      <c r="AQ4225" s="404"/>
      <c r="AR4225" s="404"/>
      <c r="AS4225" s="404"/>
      <c r="AT4225" s="404"/>
      <c r="AU4225" s="404"/>
      <c r="AV4225" s="404"/>
      <c r="AW4225" s="404"/>
      <c r="AX4225" s="404"/>
      <c r="AY4225" s="404"/>
      <c r="AZ4225" s="404"/>
      <c r="BA4225" s="404"/>
      <c r="BB4225" s="404"/>
      <c r="BC4225" s="404"/>
      <c r="BD4225" s="404"/>
      <c r="BE4225" s="404"/>
      <c r="BF4225" s="404"/>
      <c r="BG4225" s="404"/>
      <c r="BH4225" s="404"/>
      <c r="BI4225" s="404"/>
      <c r="BJ4225" s="404"/>
      <c r="BK4225" s="404"/>
      <c r="BL4225" s="404"/>
    </row>
    <row r="4226" spans="1:64">
      <c r="A4226" s="426"/>
      <c r="B4226" s="426"/>
      <c r="C4226" s="417" t="s">
        <v>1442</v>
      </c>
      <c r="D4226" s="409">
        <v>1</v>
      </c>
      <c r="E4226" s="426" t="s">
        <v>17</v>
      </c>
      <c r="F4226" s="409">
        <f>'[161]Civil-SOR'!$G$148</f>
        <v>6785</v>
      </c>
      <c r="G4226" s="410">
        <v>1</v>
      </c>
      <c r="H4226" s="426" t="s">
        <v>17</v>
      </c>
      <c r="I4226" s="408">
        <f t="shared" ref="I4226:I4227" si="944">IF(G4226="",D4226*F4226,(D4226*F4226/G4226))</f>
        <v>6785</v>
      </c>
      <c r="J4226" s="400"/>
      <c r="K4226" s="401"/>
      <c r="L4226" s="401"/>
      <c r="M4226" s="404"/>
      <c r="N4226" s="404"/>
      <c r="O4226" s="404"/>
      <c r="P4226" s="404"/>
      <c r="Q4226" s="404"/>
      <c r="R4226" s="404"/>
      <c r="S4226" s="404"/>
      <c r="T4226" s="404"/>
      <c r="U4226" s="404"/>
      <c r="V4226" s="404"/>
      <c r="W4226" s="404"/>
      <c r="X4226" s="404"/>
      <c r="Y4226" s="404"/>
      <c r="Z4226" s="404"/>
      <c r="AA4226" s="404"/>
      <c r="AB4226" s="404"/>
      <c r="AC4226" s="404"/>
      <c r="AD4226" s="404"/>
      <c r="AE4226" s="404"/>
      <c r="AF4226" s="404"/>
      <c r="AG4226" s="404"/>
      <c r="AH4226" s="404"/>
      <c r="AI4226" s="404"/>
      <c r="AJ4226" s="404"/>
      <c r="AK4226" s="404"/>
      <c r="AL4226" s="404"/>
      <c r="AM4226" s="404"/>
      <c r="AN4226" s="404"/>
      <c r="AO4226" s="404"/>
      <c r="AP4226" s="404"/>
      <c r="AQ4226" s="404"/>
      <c r="AR4226" s="404"/>
      <c r="AS4226" s="404"/>
      <c r="AT4226" s="404"/>
      <c r="AU4226" s="404"/>
      <c r="AV4226" s="404"/>
      <c r="AW4226" s="404"/>
      <c r="AX4226" s="404"/>
      <c r="AY4226" s="404"/>
      <c r="AZ4226" s="404"/>
      <c r="BA4226" s="404"/>
      <c r="BB4226" s="404"/>
      <c r="BC4226" s="404"/>
      <c r="BD4226" s="404"/>
      <c r="BE4226" s="404"/>
      <c r="BF4226" s="404"/>
      <c r="BG4226" s="404"/>
      <c r="BH4226" s="404"/>
      <c r="BI4226" s="404"/>
      <c r="BJ4226" s="404"/>
      <c r="BK4226" s="404"/>
      <c r="BL4226" s="404"/>
    </row>
    <row r="4227" spans="1:64" ht="25">
      <c r="A4227" s="426"/>
      <c r="B4227" s="426"/>
      <c r="C4227" s="417" t="str">
        <f>[161]Input!$C$48</f>
        <v>Overheads &amp; Contractors Profit @ 13.615%</v>
      </c>
      <c r="D4227" s="467">
        <f>[161]Input!$D$48</f>
        <v>0.13614999999999999</v>
      </c>
      <c r="E4227" s="408"/>
      <c r="F4227" s="408">
        <f>I4226</f>
        <v>6785</v>
      </c>
      <c r="G4227" s="430"/>
      <c r="H4227" s="426"/>
      <c r="I4227" s="408">
        <f t="shared" si="944"/>
        <v>923.77774999999997</v>
      </c>
      <c r="J4227" s="400"/>
      <c r="K4227" s="401"/>
      <c r="L4227" s="401"/>
      <c r="M4227" s="404"/>
      <c r="N4227" s="404"/>
      <c r="O4227" s="404"/>
      <c r="P4227" s="404"/>
      <c r="Q4227" s="404"/>
      <c r="R4227" s="404"/>
      <c r="S4227" s="404"/>
      <c r="T4227" s="404"/>
      <c r="U4227" s="404"/>
      <c r="V4227" s="404"/>
      <c r="W4227" s="404"/>
      <c r="X4227" s="404"/>
      <c r="Y4227" s="404"/>
      <c r="Z4227" s="404"/>
      <c r="AA4227" s="404"/>
      <c r="AB4227" s="404"/>
      <c r="AC4227" s="404"/>
      <c r="AD4227" s="404"/>
      <c r="AE4227" s="404"/>
      <c r="AF4227" s="404"/>
      <c r="AG4227" s="404"/>
      <c r="AH4227" s="404"/>
      <c r="AI4227" s="404"/>
      <c r="AJ4227" s="404"/>
      <c r="AK4227" s="404"/>
      <c r="AL4227" s="404"/>
      <c r="AM4227" s="404"/>
      <c r="AN4227" s="404"/>
      <c r="AO4227" s="404"/>
      <c r="AP4227" s="404"/>
      <c r="AQ4227" s="404"/>
      <c r="AR4227" s="404"/>
      <c r="AS4227" s="404"/>
      <c r="AT4227" s="404"/>
      <c r="AU4227" s="404"/>
      <c r="AV4227" s="404"/>
      <c r="AW4227" s="404"/>
      <c r="AX4227" s="404"/>
      <c r="AY4227" s="404"/>
      <c r="AZ4227" s="404"/>
      <c r="BA4227" s="404"/>
      <c r="BB4227" s="404"/>
      <c r="BC4227" s="404"/>
      <c r="BD4227" s="404"/>
      <c r="BE4227" s="404"/>
      <c r="BF4227" s="404"/>
      <c r="BG4227" s="404"/>
      <c r="BH4227" s="404"/>
      <c r="BI4227" s="404"/>
      <c r="BJ4227" s="404"/>
      <c r="BK4227" s="404"/>
      <c r="BL4227" s="404"/>
    </row>
    <row r="4228" spans="1:64" ht="13">
      <c r="A4228" s="426"/>
      <c r="B4228" s="426"/>
      <c r="C4228" s="427" t="s">
        <v>742</v>
      </c>
      <c r="D4228" s="409"/>
      <c r="E4228" s="426"/>
      <c r="F4228" s="409"/>
      <c r="G4228" s="410"/>
      <c r="H4228" s="426"/>
      <c r="I4228" s="408">
        <f>SUM(I4226:I4227)</f>
        <v>7708.7777500000002</v>
      </c>
      <c r="J4228" s="400"/>
      <c r="K4228" s="401"/>
      <c r="L4228" s="401"/>
      <c r="M4228" s="404"/>
      <c r="N4228" s="404"/>
      <c r="O4228" s="404"/>
      <c r="P4228" s="404"/>
      <c r="Q4228" s="404"/>
      <c r="R4228" s="404"/>
      <c r="S4228" s="404"/>
      <c r="T4228" s="404"/>
      <c r="U4228" s="404"/>
      <c r="V4228" s="404"/>
      <c r="W4228" s="404"/>
      <c r="X4228" s="404"/>
      <c r="Y4228" s="404"/>
      <c r="Z4228" s="404"/>
      <c r="AA4228" s="404"/>
      <c r="AB4228" s="404"/>
      <c r="AC4228" s="404"/>
      <c r="AD4228" s="404"/>
      <c r="AE4228" s="404"/>
      <c r="AF4228" s="404"/>
      <c r="AG4228" s="404"/>
      <c r="AH4228" s="404"/>
      <c r="AI4228" s="404"/>
      <c r="AJ4228" s="404"/>
      <c r="AK4228" s="404"/>
      <c r="AL4228" s="404"/>
      <c r="AM4228" s="404"/>
      <c r="AN4228" s="404"/>
      <c r="AO4228" s="404"/>
      <c r="AP4228" s="404"/>
      <c r="AQ4228" s="404"/>
      <c r="AR4228" s="404"/>
      <c r="AS4228" s="404"/>
      <c r="AT4228" s="404"/>
      <c r="AU4228" s="404"/>
      <c r="AV4228" s="404"/>
      <c r="AW4228" s="404"/>
      <c r="AX4228" s="404"/>
      <c r="AY4228" s="404"/>
      <c r="AZ4228" s="404"/>
      <c r="BA4228" s="404"/>
      <c r="BB4228" s="404"/>
      <c r="BC4228" s="404"/>
      <c r="BD4228" s="404"/>
      <c r="BE4228" s="404"/>
      <c r="BF4228" s="404"/>
      <c r="BG4228" s="404"/>
      <c r="BH4228" s="404"/>
      <c r="BI4228" s="404"/>
      <c r="BJ4228" s="404"/>
      <c r="BK4228" s="404"/>
      <c r="BL4228" s="404"/>
    </row>
    <row r="4229" spans="1:64" ht="13">
      <c r="A4229" s="426"/>
      <c r="B4229" s="426"/>
      <c r="C4229" s="417"/>
      <c r="D4229" s="409"/>
      <c r="E4229" s="426"/>
      <c r="F4229" s="409"/>
      <c r="G4229" s="410"/>
      <c r="H4229" s="742" t="s">
        <v>774</v>
      </c>
      <c r="I4229" s="414">
        <f>ROUND(I4228,0)</f>
        <v>7709</v>
      </c>
      <c r="J4229" s="400"/>
      <c r="K4229" s="401"/>
      <c r="L4229" s="401"/>
      <c r="M4229" s="404"/>
      <c r="N4229" s="404"/>
      <c r="O4229" s="404"/>
      <c r="P4229" s="404"/>
      <c r="Q4229" s="404"/>
      <c r="R4229" s="404"/>
      <c r="S4229" s="404"/>
      <c r="T4229" s="404"/>
      <c r="U4229" s="404"/>
      <c r="V4229" s="404"/>
      <c r="W4229" s="404"/>
      <c r="X4229" s="404"/>
      <c r="Y4229" s="404"/>
      <c r="Z4229" s="404"/>
      <c r="AA4229" s="404"/>
      <c r="AB4229" s="404"/>
      <c r="AC4229" s="404"/>
      <c r="AD4229" s="404"/>
      <c r="AE4229" s="404"/>
      <c r="AF4229" s="404"/>
      <c r="AG4229" s="404"/>
      <c r="AH4229" s="404"/>
      <c r="AI4229" s="404"/>
      <c r="AJ4229" s="404"/>
      <c r="AK4229" s="404"/>
      <c r="AL4229" s="404"/>
      <c r="AM4229" s="404"/>
      <c r="AN4229" s="404"/>
      <c r="AO4229" s="404"/>
      <c r="AP4229" s="404"/>
      <c r="AQ4229" s="404"/>
      <c r="AR4229" s="404"/>
      <c r="AS4229" s="404"/>
      <c r="AT4229" s="404"/>
      <c r="AU4229" s="404"/>
      <c r="AV4229" s="404"/>
      <c r="AW4229" s="404"/>
      <c r="AX4229" s="404"/>
      <c r="AY4229" s="404"/>
      <c r="AZ4229" s="404"/>
      <c r="BA4229" s="404"/>
      <c r="BB4229" s="404"/>
      <c r="BC4229" s="404"/>
      <c r="BD4229" s="404"/>
      <c r="BE4229" s="404"/>
      <c r="BF4229" s="404"/>
      <c r="BG4229" s="404"/>
      <c r="BH4229" s="404"/>
      <c r="BI4229" s="404"/>
      <c r="BJ4229" s="404"/>
      <c r="BK4229" s="404"/>
      <c r="BL4229" s="404"/>
    </row>
    <row r="4230" spans="1:64" ht="13">
      <c r="A4230" s="426"/>
      <c r="B4230" s="426"/>
      <c r="C4230" s="417"/>
      <c r="D4230" s="409"/>
      <c r="E4230" s="426"/>
      <c r="F4230" s="409"/>
      <c r="G4230" s="410"/>
      <c r="H4230" s="742"/>
      <c r="I4230" s="414"/>
      <c r="J4230" s="400"/>
      <c r="K4230" s="401"/>
      <c r="L4230" s="401"/>
      <c r="M4230" s="404"/>
      <c r="N4230" s="404"/>
      <c r="O4230" s="404"/>
      <c r="P4230" s="404"/>
      <c r="Q4230" s="404"/>
      <c r="R4230" s="404"/>
      <c r="S4230" s="404"/>
      <c r="T4230" s="404"/>
      <c r="U4230" s="404"/>
      <c r="V4230" s="404"/>
      <c r="W4230" s="404"/>
      <c r="X4230" s="404"/>
      <c r="Y4230" s="404"/>
      <c r="Z4230" s="404"/>
      <c r="AA4230" s="404"/>
      <c r="AB4230" s="404"/>
      <c r="AC4230" s="404"/>
      <c r="AD4230" s="404"/>
      <c r="AE4230" s="404"/>
      <c r="AF4230" s="404"/>
      <c r="AG4230" s="404"/>
      <c r="AH4230" s="404"/>
      <c r="AI4230" s="404"/>
      <c r="AJ4230" s="404"/>
      <c r="AK4230" s="404"/>
      <c r="AL4230" s="404"/>
      <c r="AM4230" s="404"/>
      <c r="AN4230" s="404"/>
      <c r="AO4230" s="404"/>
      <c r="AP4230" s="404"/>
      <c r="AQ4230" s="404"/>
      <c r="AR4230" s="404"/>
      <c r="AS4230" s="404"/>
      <c r="AT4230" s="404"/>
      <c r="AU4230" s="404"/>
      <c r="AV4230" s="404"/>
      <c r="AW4230" s="404"/>
      <c r="AX4230" s="404"/>
      <c r="AY4230" s="404"/>
      <c r="AZ4230" s="404"/>
      <c r="BA4230" s="404"/>
      <c r="BB4230" s="404"/>
      <c r="BC4230" s="404"/>
      <c r="BD4230" s="404"/>
      <c r="BE4230" s="404"/>
      <c r="BF4230" s="404"/>
      <c r="BG4230" s="404"/>
      <c r="BH4230" s="404"/>
      <c r="BI4230" s="404"/>
      <c r="BJ4230" s="404"/>
      <c r="BK4230" s="404"/>
      <c r="BL4230" s="404"/>
    </row>
    <row r="4231" spans="1:64" ht="126.25" customHeight="1">
      <c r="A4231" s="1280">
        <f>A4224+1</f>
        <v>24</v>
      </c>
      <c r="B4231" s="1280"/>
      <c r="C4231" s="1276" t="s">
        <v>1443</v>
      </c>
      <c r="D4231" s="1276"/>
      <c r="E4231" s="1276"/>
      <c r="F4231" s="1276"/>
      <c r="G4231" s="1276"/>
      <c r="H4231" s="1276"/>
      <c r="I4231" s="407"/>
      <c r="J4231" s="400"/>
      <c r="K4231" s="401"/>
      <c r="L4231" s="401"/>
      <c r="M4231" s="404"/>
      <c r="N4231" s="404"/>
      <c r="O4231" s="404"/>
      <c r="P4231" s="404"/>
      <c r="Q4231" s="404"/>
      <c r="R4231" s="404"/>
      <c r="S4231" s="404"/>
      <c r="T4231" s="404"/>
      <c r="U4231" s="404"/>
      <c r="V4231" s="404"/>
      <c r="W4231" s="404"/>
      <c r="X4231" s="404"/>
      <c r="Y4231" s="404"/>
      <c r="Z4231" s="404"/>
      <c r="AA4231" s="404"/>
      <c r="AB4231" s="404"/>
      <c r="AC4231" s="404"/>
      <c r="AD4231" s="404"/>
      <c r="AE4231" s="404"/>
      <c r="AF4231" s="404"/>
      <c r="AG4231" s="404"/>
      <c r="AH4231" s="404"/>
      <c r="AI4231" s="404"/>
      <c r="AJ4231" s="404"/>
      <c r="AK4231" s="404"/>
      <c r="AL4231" s="404"/>
      <c r="AM4231" s="404"/>
      <c r="AN4231" s="404"/>
      <c r="AO4231" s="404"/>
      <c r="AP4231" s="404"/>
      <c r="AQ4231" s="404"/>
      <c r="AR4231" s="404"/>
      <c r="AS4231" s="404"/>
      <c r="AT4231" s="404"/>
      <c r="AU4231" s="404"/>
      <c r="AV4231" s="404"/>
      <c r="AW4231" s="404"/>
      <c r="AX4231" s="404"/>
      <c r="AY4231" s="404"/>
      <c r="AZ4231" s="404"/>
      <c r="BA4231" s="404"/>
      <c r="BB4231" s="404"/>
      <c r="BC4231" s="404"/>
      <c r="BD4231" s="404"/>
      <c r="BE4231" s="404"/>
      <c r="BF4231" s="404"/>
      <c r="BG4231" s="404"/>
      <c r="BH4231" s="404"/>
      <c r="BI4231" s="404"/>
      <c r="BJ4231" s="404"/>
      <c r="BK4231" s="404"/>
      <c r="BL4231" s="404"/>
    </row>
    <row r="4232" spans="1:64" ht="25.4" customHeight="1">
      <c r="A4232" s="426"/>
      <c r="B4232" s="426" t="s">
        <v>720</v>
      </c>
      <c r="C4232" s="1276" t="s">
        <v>1444</v>
      </c>
      <c r="D4232" s="1276"/>
      <c r="E4232" s="1276"/>
      <c r="F4232" s="1276"/>
      <c r="G4232" s="1276"/>
      <c r="H4232" s="1276"/>
      <c r="I4232" s="407"/>
      <c r="J4232" s="400"/>
      <c r="K4232" s="401"/>
      <c r="L4232" s="401"/>
      <c r="M4232" s="404"/>
      <c r="N4232" s="404"/>
      <c r="O4232" s="404"/>
      <c r="P4232" s="404"/>
      <c r="Q4232" s="404"/>
      <c r="R4232" s="404"/>
      <c r="S4232" s="404"/>
      <c r="T4232" s="404"/>
      <c r="U4232" s="404"/>
      <c r="V4232" s="404"/>
      <c r="W4232" s="404"/>
      <c r="X4232" s="404"/>
      <c r="Y4232" s="404"/>
      <c r="Z4232" s="404"/>
      <c r="AA4232" s="404"/>
      <c r="AB4232" s="404"/>
      <c r="AC4232" s="404"/>
      <c r="AD4232" s="404"/>
      <c r="AE4232" s="404"/>
      <c r="AF4232" s="404"/>
      <c r="AG4232" s="404"/>
      <c r="AH4232" s="404"/>
      <c r="AI4232" s="404"/>
      <c r="AJ4232" s="404"/>
      <c r="AK4232" s="404"/>
      <c r="AL4232" s="404"/>
      <c r="AM4232" s="404"/>
      <c r="AN4232" s="404"/>
      <c r="AO4232" s="404"/>
      <c r="AP4232" s="404"/>
      <c r="AQ4232" s="404"/>
      <c r="AR4232" s="404"/>
      <c r="AS4232" s="404"/>
      <c r="AT4232" s="404"/>
      <c r="AU4232" s="404"/>
      <c r="AV4232" s="404"/>
      <c r="AW4232" s="404"/>
      <c r="AX4232" s="404"/>
      <c r="AY4232" s="404"/>
      <c r="AZ4232" s="404"/>
      <c r="BA4232" s="404"/>
      <c r="BB4232" s="404"/>
      <c r="BC4232" s="404"/>
      <c r="BD4232" s="404"/>
      <c r="BE4232" s="404"/>
      <c r="BF4232" s="404"/>
      <c r="BG4232" s="404"/>
      <c r="BH4232" s="404"/>
      <c r="BI4232" s="404"/>
      <c r="BJ4232" s="404"/>
      <c r="BK4232" s="404"/>
      <c r="BL4232" s="404"/>
    </row>
    <row r="4233" spans="1:64">
      <c r="A4233" s="426"/>
      <c r="B4233" s="426"/>
      <c r="C4233" s="417" t="s">
        <v>1445</v>
      </c>
      <c r="D4233" s="409">
        <v>1</v>
      </c>
      <c r="E4233" s="426" t="s">
        <v>17</v>
      </c>
      <c r="F4233" s="409">
        <f>'[161]Civil-SOR'!$G$144</f>
        <v>6926</v>
      </c>
      <c r="G4233" s="410">
        <v>1</v>
      </c>
      <c r="H4233" s="426" t="s">
        <v>17</v>
      </c>
      <c r="I4233" s="408">
        <f t="shared" ref="I4233:I4234" si="945">IF(G4233="",D4233*F4233,(D4233*F4233/G4233))</f>
        <v>6926</v>
      </c>
      <c r="J4233" s="400"/>
      <c r="K4233" s="401"/>
      <c r="L4233" s="401"/>
      <c r="M4233" s="404"/>
      <c r="N4233" s="404"/>
      <c r="O4233" s="404"/>
      <c r="P4233" s="404"/>
      <c r="Q4233" s="404"/>
      <c r="R4233" s="404"/>
      <c r="S4233" s="404"/>
      <c r="T4233" s="404"/>
      <c r="U4233" s="404"/>
      <c r="V4233" s="404"/>
      <c r="W4233" s="404"/>
      <c r="X4233" s="404"/>
      <c r="Y4233" s="404"/>
      <c r="Z4233" s="404"/>
      <c r="AA4233" s="404"/>
      <c r="AB4233" s="404"/>
      <c r="AC4233" s="404"/>
      <c r="AD4233" s="404"/>
      <c r="AE4233" s="404"/>
      <c r="AF4233" s="404"/>
      <c r="AG4233" s="404"/>
      <c r="AH4233" s="404"/>
      <c r="AI4233" s="404"/>
      <c r="AJ4233" s="404"/>
      <c r="AK4233" s="404"/>
      <c r="AL4233" s="404"/>
      <c r="AM4233" s="404"/>
      <c r="AN4233" s="404"/>
      <c r="AO4233" s="404"/>
      <c r="AP4233" s="404"/>
      <c r="AQ4233" s="404"/>
      <c r="AR4233" s="404"/>
      <c r="AS4233" s="404"/>
      <c r="AT4233" s="404"/>
      <c r="AU4233" s="404"/>
      <c r="AV4233" s="404"/>
      <c r="AW4233" s="404"/>
      <c r="AX4233" s="404"/>
      <c r="AY4233" s="404"/>
      <c r="AZ4233" s="404"/>
      <c r="BA4233" s="404"/>
      <c r="BB4233" s="404"/>
      <c r="BC4233" s="404"/>
      <c r="BD4233" s="404"/>
      <c r="BE4233" s="404"/>
      <c r="BF4233" s="404"/>
      <c r="BG4233" s="404"/>
      <c r="BH4233" s="404"/>
      <c r="BI4233" s="404"/>
      <c r="BJ4233" s="404"/>
      <c r="BK4233" s="404"/>
      <c r="BL4233" s="404"/>
    </row>
    <row r="4234" spans="1:64" ht="25">
      <c r="A4234" s="426"/>
      <c r="B4234" s="426"/>
      <c r="C4234" s="417" t="str">
        <f>[161]Input!$C$48</f>
        <v>Overheads &amp; Contractors Profit @ 13.615%</v>
      </c>
      <c r="D4234" s="467">
        <f>[161]Input!$D$48</f>
        <v>0.13614999999999999</v>
      </c>
      <c r="E4234" s="408"/>
      <c r="F4234" s="408">
        <f>I4233</f>
        <v>6926</v>
      </c>
      <c r="G4234" s="430"/>
      <c r="H4234" s="426"/>
      <c r="I4234" s="408">
        <f t="shared" si="945"/>
        <v>942.97489999999993</v>
      </c>
      <c r="J4234" s="400"/>
      <c r="K4234" s="401"/>
      <c r="L4234" s="401"/>
      <c r="M4234" s="404"/>
      <c r="N4234" s="404"/>
      <c r="O4234" s="404"/>
      <c r="P4234" s="404"/>
      <c r="Q4234" s="404"/>
      <c r="R4234" s="404"/>
      <c r="S4234" s="404"/>
      <c r="T4234" s="404"/>
      <c r="U4234" s="404"/>
      <c r="V4234" s="404"/>
      <c r="W4234" s="404"/>
      <c r="X4234" s="404"/>
      <c r="Y4234" s="404"/>
      <c r="Z4234" s="404"/>
      <c r="AA4234" s="404"/>
      <c r="AB4234" s="404"/>
      <c r="AC4234" s="404"/>
      <c r="AD4234" s="404"/>
      <c r="AE4234" s="404"/>
      <c r="AF4234" s="404"/>
      <c r="AG4234" s="404"/>
      <c r="AH4234" s="404"/>
      <c r="AI4234" s="404"/>
      <c r="AJ4234" s="404"/>
      <c r="AK4234" s="404"/>
      <c r="AL4234" s="404"/>
      <c r="AM4234" s="404"/>
      <c r="AN4234" s="404"/>
      <c r="AO4234" s="404"/>
      <c r="AP4234" s="404"/>
      <c r="AQ4234" s="404"/>
      <c r="AR4234" s="404"/>
      <c r="AS4234" s="404"/>
      <c r="AT4234" s="404"/>
      <c r="AU4234" s="404"/>
      <c r="AV4234" s="404"/>
      <c r="AW4234" s="404"/>
      <c r="AX4234" s="404"/>
      <c r="AY4234" s="404"/>
      <c r="AZ4234" s="404"/>
      <c r="BA4234" s="404"/>
      <c r="BB4234" s="404"/>
      <c r="BC4234" s="404"/>
      <c r="BD4234" s="404"/>
      <c r="BE4234" s="404"/>
      <c r="BF4234" s="404"/>
      <c r="BG4234" s="404"/>
      <c r="BH4234" s="404"/>
      <c r="BI4234" s="404"/>
      <c r="BJ4234" s="404"/>
      <c r="BK4234" s="404"/>
      <c r="BL4234" s="404"/>
    </row>
    <row r="4235" spans="1:64" ht="13">
      <c r="A4235" s="426"/>
      <c r="B4235" s="426"/>
      <c r="C4235" s="427" t="s">
        <v>742</v>
      </c>
      <c r="D4235" s="409"/>
      <c r="E4235" s="426"/>
      <c r="F4235" s="409"/>
      <c r="G4235" s="410"/>
      <c r="H4235" s="426"/>
      <c r="I4235" s="408">
        <f>SUM(I4233:I4234)</f>
        <v>7868.9749000000002</v>
      </c>
      <c r="J4235" s="400"/>
      <c r="K4235" s="401"/>
      <c r="L4235" s="401"/>
      <c r="M4235" s="404"/>
      <c r="N4235" s="404"/>
      <c r="O4235" s="404"/>
      <c r="P4235" s="404"/>
      <c r="Q4235" s="404"/>
      <c r="R4235" s="404"/>
      <c r="S4235" s="404"/>
      <c r="T4235" s="404"/>
      <c r="U4235" s="404"/>
      <c r="V4235" s="404"/>
      <c r="W4235" s="404"/>
      <c r="X4235" s="404"/>
      <c r="Y4235" s="404"/>
      <c r="Z4235" s="404"/>
      <c r="AA4235" s="404"/>
      <c r="AB4235" s="404"/>
      <c r="AC4235" s="404"/>
      <c r="AD4235" s="404"/>
      <c r="AE4235" s="404"/>
      <c r="AF4235" s="404"/>
      <c r="AG4235" s="404"/>
      <c r="AH4235" s="404"/>
      <c r="AI4235" s="404"/>
      <c r="AJ4235" s="404"/>
      <c r="AK4235" s="404"/>
      <c r="AL4235" s="404"/>
      <c r="AM4235" s="404"/>
      <c r="AN4235" s="404"/>
      <c r="AO4235" s="404"/>
      <c r="AP4235" s="404"/>
      <c r="AQ4235" s="404"/>
      <c r="AR4235" s="404"/>
      <c r="AS4235" s="404"/>
      <c r="AT4235" s="404"/>
      <c r="AU4235" s="404"/>
      <c r="AV4235" s="404"/>
      <c r="AW4235" s="404"/>
      <c r="AX4235" s="404"/>
      <c r="AY4235" s="404"/>
      <c r="AZ4235" s="404"/>
      <c r="BA4235" s="404"/>
      <c r="BB4235" s="404"/>
      <c r="BC4235" s="404"/>
      <c r="BD4235" s="404"/>
      <c r="BE4235" s="404"/>
      <c r="BF4235" s="404"/>
      <c r="BG4235" s="404"/>
      <c r="BH4235" s="404"/>
      <c r="BI4235" s="404"/>
      <c r="BJ4235" s="404"/>
      <c r="BK4235" s="404"/>
      <c r="BL4235" s="404"/>
    </row>
    <row r="4236" spans="1:64" ht="13">
      <c r="A4236" s="426"/>
      <c r="B4236" s="426"/>
      <c r="C4236" s="417"/>
      <c r="D4236" s="409"/>
      <c r="E4236" s="426"/>
      <c r="F4236" s="409"/>
      <c r="G4236" s="410"/>
      <c r="H4236" s="742" t="s">
        <v>774</v>
      </c>
      <c r="I4236" s="414">
        <f>ROUND(I4235,0)</f>
        <v>7869</v>
      </c>
      <c r="J4236" s="400"/>
      <c r="K4236" s="401"/>
      <c r="L4236" s="401"/>
      <c r="M4236" s="404"/>
      <c r="N4236" s="404"/>
      <c r="O4236" s="404"/>
      <c r="P4236" s="404"/>
      <c r="Q4236" s="404"/>
      <c r="R4236" s="404"/>
      <c r="S4236" s="404"/>
      <c r="T4236" s="404"/>
      <c r="U4236" s="404"/>
      <c r="V4236" s="404"/>
      <c r="W4236" s="404"/>
      <c r="X4236" s="404"/>
      <c r="Y4236" s="404"/>
      <c r="Z4236" s="404"/>
      <c r="AA4236" s="404"/>
      <c r="AB4236" s="404"/>
      <c r="AC4236" s="404"/>
      <c r="AD4236" s="404"/>
      <c r="AE4236" s="404"/>
      <c r="AF4236" s="404"/>
      <c r="AG4236" s="404"/>
      <c r="AH4236" s="404"/>
      <c r="AI4236" s="404"/>
      <c r="AJ4236" s="404"/>
      <c r="AK4236" s="404"/>
      <c r="AL4236" s="404"/>
      <c r="AM4236" s="404"/>
      <c r="AN4236" s="404"/>
      <c r="AO4236" s="404"/>
      <c r="AP4236" s="404"/>
      <c r="AQ4236" s="404"/>
      <c r="AR4236" s="404"/>
      <c r="AS4236" s="404"/>
      <c r="AT4236" s="404"/>
      <c r="AU4236" s="404"/>
      <c r="AV4236" s="404"/>
      <c r="AW4236" s="404"/>
      <c r="AX4236" s="404"/>
      <c r="AY4236" s="404"/>
      <c r="AZ4236" s="404"/>
      <c r="BA4236" s="404"/>
      <c r="BB4236" s="404"/>
      <c r="BC4236" s="404"/>
      <c r="BD4236" s="404"/>
      <c r="BE4236" s="404"/>
      <c r="BF4236" s="404"/>
      <c r="BG4236" s="404"/>
      <c r="BH4236" s="404"/>
      <c r="BI4236" s="404"/>
      <c r="BJ4236" s="404"/>
      <c r="BK4236" s="404"/>
      <c r="BL4236" s="404"/>
    </row>
    <row r="4237" spans="1:64">
      <c r="A4237" s="426"/>
      <c r="B4237" s="426"/>
      <c r="C4237" s="417"/>
      <c r="D4237" s="409"/>
      <c r="E4237" s="426"/>
      <c r="F4237" s="409"/>
      <c r="G4237" s="410"/>
      <c r="H4237" s="426"/>
      <c r="I4237" s="409"/>
      <c r="J4237" s="400"/>
      <c r="K4237" s="401"/>
      <c r="L4237" s="401"/>
      <c r="M4237" s="404"/>
      <c r="N4237" s="404"/>
      <c r="O4237" s="404"/>
      <c r="P4237" s="404"/>
      <c r="Q4237" s="404"/>
      <c r="R4237" s="404"/>
      <c r="S4237" s="404"/>
      <c r="T4237" s="404"/>
      <c r="U4237" s="404"/>
      <c r="V4237" s="404"/>
      <c r="W4237" s="404"/>
      <c r="X4237" s="404"/>
      <c r="Y4237" s="404"/>
      <c r="Z4237" s="404"/>
      <c r="AA4237" s="404"/>
      <c r="AB4237" s="404"/>
      <c r="AC4237" s="404"/>
      <c r="AD4237" s="404"/>
      <c r="AE4237" s="404"/>
      <c r="AF4237" s="404"/>
      <c r="AG4237" s="404"/>
      <c r="AH4237" s="404"/>
      <c r="AI4237" s="404"/>
      <c r="AJ4237" s="404"/>
      <c r="AK4237" s="404"/>
      <c r="AL4237" s="404"/>
      <c r="AM4237" s="404"/>
      <c r="AN4237" s="404"/>
      <c r="AO4237" s="404"/>
      <c r="AP4237" s="404"/>
      <c r="AQ4237" s="404"/>
      <c r="AR4237" s="404"/>
      <c r="AS4237" s="404"/>
      <c r="AT4237" s="404"/>
      <c r="AU4237" s="404"/>
      <c r="AV4237" s="404"/>
      <c r="AW4237" s="404"/>
      <c r="AX4237" s="404"/>
      <c r="AY4237" s="404"/>
      <c r="AZ4237" s="404"/>
      <c r="BA4237" s="404"/>
      <c r="BB4237" s="404"/>
      <c r="BC4237" s="404"/>
      <c r="BD4237" s="404"/>
      <c r="BE4237" s="404"/>
      <c r="BF4237" s="404"/>
      <c r="BG4237" s="404"/>
      <c r="BH4237" s="404"/>
      <c r="BI4237" s="404"/>
      <c r="BJ4237" s="404"/>
      <c r="BK4237" s="404"/>
      <c r="BL4237" s="404"/>
    </row>
    <row r="4238" spans="1:64" ht="25.4" customHeight="1">
      <c r="A4238" s="426"/>
      <c r="B4238" s="426" t="s">
        <v>727</v>
      </c>
      <c r="C4238" s="1297" t="s">
        <v>1446</v>
      </c>
      <c r="D4238" s="1297"/>
      <c r="E4238" s="1297"/>
      <c r="F4238" s="1297"/>
      <c r="G4238" s="1297"/>
      <c r="H4238" s="1297"/>
      <c r="I4238" s="407"/>
      <c r="J4238" s="400"/>
      <c r="K4238" s="401"/>
      <c r="L4238" s="401"/>
      <c r="M4238" s="404"/>
      <c r="N4238" s="404"/>
      <c r="O4238" s="404"/>
      <c r="P4238" s="404"/>
      <c r="Q4238" s="404"/>
      <c r="R4238" s="404"/>
      <c r="S4238" s="404"/>
      <c r="T4238" s="404"/>
      <c r="U4238" s="404"/>
      <c r="V4238" s="404"/>
      <c r="W4238" s="404"/>
      <c r="X4238" s="404"/>
      <c r="Y4238" s="404"/>
      <c r="Z4238" s="404"/>
      <c r="AA4238" s="404"/>
      <c r="AB4238" s="404"/>
      <c r="AC4238" s="404"/>
      <c r="AD4238" s="404"/>
      <c r="AE4238" s="404"/>
      <c r="AF4238" s="404"/>
      <c r="AG4238" s="404"/>
      <c r="AH4238" s="404"/>
      <c r="AI4238" s="404"/>
      <c r="AJ4238" s="404"/>
      <c r="AK4238" s="404"/>
      <c r="AL4238" s="404"/>
      <c r="AM4238" s="404"/>
      <c r="AN4238" s="404"/>
      <c r="AO4238" s="404"/>
      <c r="AP4238" s="404"/>
      <c r="AQ4238" s="404"/>
      <c r="AR4238" s="404"/>
      <c r="AS4238" s="404"/>
      <c r="AT4238" s="404"/>
      <c r="AU4238" s="404"/>
      <c r="AV4238" s="404"/>
      <c r="AW4238" s="404"/>
      <c r="AX4238" s="404"/>
      <c r="AY4238" s="404"/>
      <c r="AZ4238" s="404"/>
      <c r="BA4238" s="404"/>
      <c r="BB4238" s="404"/>
      <c r="BC4238" s="404"/>
      <c r="BD4238" s="404"/>
      <c r="BE4238" s="404"/>
      <c r="BF4238" s="404"/>
      <c r="BG4238" s="404"/>
      <c r="BH4238" s="404"/>
      <c r="BI4238" s="404"/>
      <c r="BJ4238" s="404"/>
      <c r="BK4238" s="404"/>
      <c r="BL4238" s="404"/>
    </row>
    <row r="4239" spans="1:64">
      <c r="A4239" s="426"/>
      <c r="B4239" s="426"/>
      <c r="C4239" s="417" t="s">
        <v>1447</v>
      </c>
      <c r="D4239" s="409">
        <v>1</v>
      </c>
      <c r="E4239" s="426" t="s">
        <v>17</v>
      </c>
      <c r="F4239" s="409">
        <f>'[161]Civil-SOR'!$G$145</f>
        <v>5877</v>
      </c>
      <c r="G4239" s="410">
        <v>1</v>
      </c>
      <c r="H4239" s="426" t="s">
        <v>17</v>
      </c>
      <c r="I4239" s="408">
        <f t="shared" ref="I4239:I4240" si="946">IF(G4239="",D4239*F4239,(D4239*F4239/G4239))</f>
        <v>5877</v>
      </c>
      <c r="J4239" s="400"/>
      <c r="K4239" s="401"/>
      <c r="L4239" s="401"/>
      <c r="M4239" s="404"/>
      <c r="N4239" s="404"/>
      <c r="O4239" s="404"/>
      <c r="P4239" s="404"/>
      <c r="Q4239" s="404"/>
      <c r="R4239" s="404"/>
      <c r="S4239" s="404"/>
      <c r="T4239" s="404"/>
      <c r="U4239" s="404"/>
      <c r="V4239" s="404"/>
      <c r="W4239" s="404"/>
      <c r="X4239" s="404"/>
      <c r="Y4239" s="404"/>
      <c r="Z4239" s="404"/>
      <c r="AA4239" s="404"/>
      <c r="AB4239" s="404"/>
      <c r="AC4239" s="404"/>
      <c r="AD4239" s="404"/>
      <c r="AE4239" s="404"/>
      <c r="AF4239" s="404"/>
      <c r="AG4239" s="404"/>
      <c r="AH4239" s="404"/>
      <c r="AI4239" s="404"/>
      <c r="AJ4239" s="404"/>
      <c r="AK4239" s="404"/>
      <c r="AL4239" s="404"/>
      <c r="AM4239" s="404"/>
      <c r="AN4239" s="404"/>
      <c r="AO4239" s="404"/>
      <c r="AP4239" s="404"/>
      <c r="AQ4239" s="404"/>
      <c r="AR4239" s="404"/>
      <c r="AS4239" s="404"/>
      <c r="AT4239" s="404"/>
      <c r="AU4239" s="404"/>
      <c r="AV4239" s="404"/>
      <c r="AW4239" s="404"/>
      <c r="AX4239" s="404"/>
      <c r="AY4239" s="404"/>
      <c r="AZ4239" s="404"/>
      <c r="BA4239" s="404"/>
      <c r="BB4239" s="404"/>
      <c r="BC4239" s="404"/>
      <c r="BD4239" s="404"/>
      <c r="BE4239" s="404"/>
      <c r="BF4239" s="404"/>
      <c r="BG4239" s="404"/>
      <c r="BH4239" s="404"/>
      <c r="BI4239" s="404"/>
      <c r="BJ4239" s="404"/>
      <c r="BK4239" s="404"/>
      <c r="BL4239" s="404"/>
    </row>
    <row r="4240" spans="1:64" ht="25">
      <c r="A4240" s="426"/>
      <c r="B4240" s="426"/>
      <c r="C4240" s="417" t="str">
        <f>[161]Input!$C$48</f>
        <v>Overheads &amp; Contractors Profit @ 13.615%</v>
      </c>
      <c r="D4240" s="408">
        <f>[161]Input!$D$48</f>
        <v>0.13614999999999999</v>
      </c>
      <c r="E4240" s="408"/>
      <c r="F4240" s="408">
        <f>I4239</f>
        <v>5877</v>
      </c>
      <c r="G4240" s="430"/>
      <c r="H4240" s="426"/>
      <c r="I4240" s="408">
        <f t="shared" si="946"/>
        <v>800.15355</v>
      </c>
      <c r="J4240" s="400"/>
      <c r="K4240" s="401"/>
      <c r="L4240" s="401"/>
      <c r="M4240" s="404"/>
      <c r="N4240" s="404"/>
      <c r="O4240" s="404"/>
      <c r="P4240" s="404"/>
      <c r="Q4240" s="404"/>
      <c r="R4240" s="404"/>
      <c r="S4240" s="404"/>
      <c r="T4240" s="404"/>
      <c r="U4240" s="404"/>
      <c r="V4240" s="404"/>
      <c r="W4240" s="404"/>
      <c r="X4240" s="404"/>
      <c r="Y4240" s="404"/>
      <c r="Z4240" s="404"/>
      <c r="AA4240" s="404"/>
      <c r="AB4240" s="404"/>
      <c r="AC4240" s="404"/>
      <c r="AD4240" s="404"/>
      <c r="AE4240" s="404"/>
      <c r="AF4240" s="404"/>
      <c r="AG4240" s="404"/>
      <c r="AH4240" s="404"/>
      <c r="AI4240" s="404"/>
      <c r="AJ4240" s="404"/>
      <c r="AK4240" s="404"/>
      <c r="AL4240" s="404"/>
      <c r="AM4240" s="404"/>
      <c r="AN4240" s="404"/>
      <c r="AO4240" s="404"/>
      <c r="AP4240" s="404"/>
      <c r="AQ4240" s="404"/>
      <c r="AR4240" s="404"/>
      <c r="AS4240" s="404"/>
      <c r="AT4240" s="404"/>
      <c r="AU4240" s="404"/>
      <c r="AV4240" s="404"/>
      <c r="AW4240" s="404"/>
      <c r="AX4240" s="404"/>
      <c r="AY4240" s="404"/>
      <c r="AZ4240" s="404"/>
      <c r="BA4240" s="404"/>
      <c r="BB4240" s="404"/>
      <c r="BC4240" s="404"/>
      <c r="BD4240" s="404"/>
      <c r="BE4240" s="404"/>
      <c r="BF4240" s="404"/>
      <c r="BG4240" s="404"/>
      <c r="BH4240" s="404"/>
      <c r="BI4240" s="404"/>
      <c r="BJ4240" s="404"/>
      <c r="BK4240" s="404"/>
      <c r="BL4240" s="404"/>
    </row>
    <row r="4241" spans="1:64" ht="13">
      <c r="A4241" s="426"/>
      <c r="B4241" s="426"/>
      <c r="C4241" s="427" t="s">
        <v>742</v>
      </c>
      <c r="D4241" s="409"/>
      <c r="E4241" s="426"/>
      <c r="F4241" s="409"/>
      <c r="G4241" s="410"/>
      <c r="H4241" s="426"/>
      <c r="I4241" s="408">
        <f>SUM(I4239:I4240)</f>
        <v>6677.15355</v>
      </c>
      <c r="J4241" s="400"/>
      <c r="K4241" s="401"/>
      <c r="L4241" s="401"/>
      <c r="M4241" s="404"/>
      <c r="N4241" s="404"/>
      <c r="O4241" s="404"/>
      <c r="P4241" s="404"/>
      <c r="Q4241" s="404"/>
      <c r="R4241" s="404"/>
      <c r="S4241" s="404"/>
      <c r="T4241" s="404"/>
      <c r="U4241" s="404"/>
      <c r="V4241" s="404"/>
      <c r="W4241" s="404"/>
      <c r="X4241" s="404"/>
      <c r="Y4241" s="404"/>
      <c r="Z4241" s="404"/>
      <c r="AA4241" s="404"/>
      <c r="AB4241" s="404"/>
      <c r="AC4241" s="404"/>
      <c r="AD4241" s="404"/>
      <c r="AE4241" s="404"/>
      <c r="AF4241" s="404"/>
      <c r="AG4241" s="404"/>
      <c r="AH4241" s="404"/>
      <c r="AI4241" s="404"/>
      <c r="AJ4241" s="404"/>
      <c r="AK4241" s="404"/>
      <c r="AL4241" s="404"/>
      <c r="AM4241" s="404"/>
      <c r="AN4241" s="404"/>
      <c r="AO4241" s="404"/>
      <c r="AP4241" s="404"/>
      <c r="AQ4241" s="404"/>
      <c r="AR4241" s="404"/>
      <c r="AS4241" s="404"/>
      <c r="AT4241" s="404"/>
      <c r="AU4241" s="404"/>
      <c r="AV4241" s="404"/>
      <c r="AW4241" s="404"/>
      <c r="AX4241" s="404"/>
      <c r="AY4241" s="404"/>
      <c r="AZ4241" s="404"/>
      <c r="BA4241" s="404"/>
      <c r="BB4241" s="404"/>
      <c r="BC4241" s="404"/>
      <c r="BD4241" s="404"/>
      <c r="BE4241" s="404"/>
      <c r="BF4241" s="404"/>
      <c r="BG4241" s="404"/>
      <c r="BH4241" s="404"/>
      <c r="BI4241" s="404"/>
      <c r="BJ4241" s="404"/>
      <c r="BK4241" s="404"/>
      <c r="BL4241" s="404"/>
    </row>
    <row r="4242" spans="1:64" ht="91" customHeight="1">
      <c r="A4242" s="426"/>
      <c r="B4242" s="426" t="s">
        <v>727</v>
      </c>
      <c r="C4242" s="1291" t="s">
        <v>1448</v>
      </c>
      <c r="D4242" s="1291"/>
      <c r="E4242" s="1291"/>
      <c r="F4242" s="1291"/>
      <c r="G4242" s="1291"/>
      <c r="H4242" s="1291"/>
      <c r="I4242" s="1291"/>
      <c r="J4242" s="411"/>
      <c r="K4242" s="412"/>
      <c r="L4242" s="412"/>
      <c r="M4242" s="413"/>
      <c r="N4242" s="413"/>
      <c r="O4242" s="413"/>
      <c r="P4242" s="413"/>
      <c r="Q4242" s="413"/>
      <c r="R4242" s="413"/>
      <c r="S4242" s="413"/>
      <c r="T4242" s="413"/>
      <c r="U4242" s="413"/>
      <c r="V4242" s="413"/>
      <c r="W4242" s="413"/>
      <c r="X4242" s="413"/>
      <c r="Y4242" s="413"/>
      <c r="Z4242" s="413"/>
      <c r="AA4242" s="413"/>
      <c r="AB4242" s="413"/>
      <c r="AC4242" s="413"/>
      <c r="AD4242" s="413"/>
      <c r="AE4242" s="413"/>
      <c r="AF4242" s="413"/>
      <c r="AG4242" s="413"/>
      <c r="AH4242" s="413"/>
      <c r="AI4242" s="413"/>
      <c r="AJ4242" s="413"/>
      <c r="AK4242" s="413"/>
      <c r="AL4242" s="413"/>
      <c r="AM4242" s="413"/>
      <c r="AN4242" s="413"/>
      <c r="AO4242" s="413"/>
      <c r="AP4242" s="413"/>
      <c r="AQ4242" s="413"/>
      <c r="AR4242" s="413"/>
      <c r="AS4242" s="413"/>
      <c r="AT4242" s="413"/>
      <c r="AU4242" s="413"/>
      <c r="AV4242" s="413"/>
      <c r="AW4242" s="413"/>
      <c r="AX4242" s="413"/>
      <c r="AY4242" s="413"/>
      <c r="AZ4242" s="413"/>
      <c r="BA4242" s="413"/>
      <c r="BB4242" s="413"/>
      <c r="BC4242" s="413"/>
      <c r="BD4242" s="413"/>
      <c r="BE4242" s="413"/>
      <c r="BF4242" s="413"/>
      <c r="BG4242" s="413"/>
      <c r="BH4242" s="413"/>
      <c r="BI4242" s="413"/>
      <c r="BJ4242" s="413"/>
      <c r="BK4242" s="413"/>
      <c r="BL4242" s="413"/>
    </row>
    <row r="4243" spans="1:64">
      <c r="A4243" s="426"/>
      <c r="B4243" s="426"/>
      <c r="C4243" s="417" t="s">
        <v>1449</v>
      </c>
      <c r="D4243" s="409">
        <v>1</v>
      </c>
      <c r="E4243" s="426" t="s">
        <v>17</v>
      </c>
      <c r="F4243" s="409">
        <v>3610</v>
      </c>
      <c r="G4243" s="410">
        <v>1</v>
      </c>
      <c r="H4243" s="426" t="s">
        <v>17</v>
      </c>
      <c r="I4243" s="408">
        <f t="shared" ref="I4243:I4244" si="947">IF(G4243="",D4243*F4243,(D4243*F4243/G4243))</f>
        <v>3610</v>
      </c>
      <c r="J4243" s="411"/>
      <c r="K4243" s="412"/>
      <c r="L4243" s="412"/>
      <c r="M4243" s="413"/>
      <c r="N4243" s="413"/>
      <c r="O4243" s="413"/>
      <c r="P4243" s="413"/>
      <c r="Q4243" s="413"/>
      <c r="R4243" s="413"/>
      <c r="S4243" s="413"/>
      <c r="T4243" s="413"/>
      <c r="U4243" s="413"/>
      <c r="V4243" s="413"/>
      <c r="W4243" s="413"/>
      <c r="X4243" s="413"/>
      <c r="Y4243" s="413"/>
      <c r="Z4243" s="413"/>
      <c r="AA4243" s="413"/>
      <c r="AB4243" s="413"/>
      <c r="AC4243" s="413"/>
      <c r="AD4243" s="413"/>
      <c r="AE4243" s="413"/>
      <c r="AF4243" s="413"/>
      <c r="AG4243" s="413"/>
      <c r="AH4243" s="413"/>
      <c r="AI4243" s="413"/>
      <c r="AJ4243" s="413"/>
      <c r="AK4243" s="413"/>
      <c r="AL4243" s="413"/>
      <c r="AM4243" s="413"/>
      <c r="AN4243" s="413"/>
      <c r="AO4243" s="413"/>
      <c r="AP4243" s="413"/>
      <c r="AQ4243" s="413"/>
      <c r="AR4243" s="413"/>
      <c r="AS4243" s="413"/>
      <c r="AT4243" s="413"/>
      <c r="AU4243" s="413"/>
      <c r="AV4243" s="413"/>
      <c r="AW4243" s="413"/>
      <c r="AX4243" s="413"/>
      <c r="AY4243" s="413"/>
      <c r="AZ4243" s="413"/>
      <c r="BA4243" s="413"/>
      <c r="BB4243" s="413"/>
      <c r="BC4243" s="413"/>
      <c r="BD4243" s="413"/>
      <c r="BE4243" s="413"/>
      <c r="BF4243" s="413"/>
      <c r="BG4243" s="413"/>
      <c r="BH4243" s="413"/>
      <c r="BI4243" s="413"/>
      <c r="BJ4243" s="413"/>
      <c r="BK4243" s="413"/>
      <c r="BL4243" s="413"/>
    </row>
    <row r="4244" spans="1:64" ht="25">
      <c r="A4244" s="426"/>
      <c r="B4244" s="426"/>
      <c r="C4244" s="417" t="str">
        <f>[161]Input!$C$48</f>
        <v>Overheads &amp; Contractors Profit @ 13.615%</v>
      </c>
      <c r="D4244" s="408">
        <f>[161]Input!$D$48</f>
        <v>0.13614999999999999</v>
      </c>
      <c r="E4244" s="408"/>
      <c r="F4244" s="408">
        <f>I4243</f>
        <v>3610</v>
      </c>
      <c r="G4244" s="430"/>
      <c r="H4244" s="426"/>
      <c r="I4244" s="408">
        <f t="shared" si="947"/>
        <v>491.50149999999996</v>
      </c>
      <c r="J4244" s="411"/>
      <c r="K4244" s="412"/>
      <c r="L4244" s="412"/>
      <c r="M4244" s="413"/>
      <c r="N4244" s="413"/>
      <c r="O4244" s="413"/>
      <c r="P4244" s="413"/>
      <c r="Q4244" s="413"/>
      <c r="R4244" s="413"/>
      <c r="S4244" s="413"/>
      <c r="T4244" s="413"/>
      <c r="U4244" s="413"/>
      <c r="V4244" s="413"/>
      <c r="W4244" s="413"/>
      <c r="X4244" s="413"/>
      <c r="Y4244" s="413"/>
      <c r="Z4244" s="413"/>
      <c r="AA4244" s="413"/>
      <c r="AB4244" s="413"/>
      <c r="AC4244" s="413"/>
      <c r="AD4244" s="413"/>
      <c r="AE4244" s="413"/>
      <c r="AF4244" s="413"/>
      <c r="AG4244" s="413"/>
      <c r="AH4244" s="413"/>
      <c r="AI4244" s="413"/>
      <c r="AJ4244" s="413"/>
      <c r="AK4244" s="413"/>
      <c r="AL4244" s="413"/>
      <c r="AM4244" s="413"/>
      <c r="AN4244" s="413"/>
      <c r="AO4244" s="413"/>
      <c r="AP4244" s="413"/>
      <c r="AQ4244" s="413"/>
      <c r="AR4244" s="413"/>
      <c r="AS4244" s="413"/>
      <c r="AT4244" s="413"/>
      <c r="AU4244" s="413"/>
      <c r="AV4244" s="413"/>
      <c r="AW4244" s="413"/>
      <c r="AX4244" s="413"/>
      <c r="AY4244" s="413"/>
      <c r="AZ4244" s="413"/>
      <c r="BA4244" s="413"/>
      <c r="BB4244" s="413"/>
      <c r="BC4244" s="413"/>
      <c r="BD4244" s="413"/>
      <c r="BE4244" s="413"/>
      <c r="BF4244" s="413"/>
      <c r="BG4244" s="413"/>
      <c r="BH4244" s="413"/>
      <c r="BI4244" s="413"/>
      <c r="BJ4244" s="413"/>
      <c r="BK4244" s="413"/>
      <c r="BL4244" s="413"/>
    </row>
    <row r="4245" spans="1:64" ht="13">
      <c r="A4245" s="426"/>
      <c r="B4245" s="426"/>
      <c r="C4245" s="427" t="s">
        <v>742</v>
      </c>
      <c r="D4245" s="409"/>
      <c r="E4245" s="426"/>
      <c r="F4245" s="409"/>
      <c r="G4245" s="410"/>
      <c r="H4245" s="426"/>
      <c r="I4245" s="408">
        <f>SUM(I4243:I4244)</f>
        <v>4101.5015000000003</v>
      </c>
      <c r="J4245" s="411"/>
      <c r="K4245" s="412"/>
      <c r="L4245" s="412"/>
      <c r="M4245" s="413"/>
      <c r="N4245" s="413"/>
      <c r="O4245" s="413"/>
      <c r="P4245" s="413"/>
      <c r="Q4245" s="413"/>
      <c r="R4245" s="413"/>
      <c r="S4245" s="413"/>
      <c r="T4245" s="413"/>
      <c r="U4245" s="413"/>
      <c r="V4245" s="413"/>
      <c r="W4245" s="413"/>
      <c r="X4245" s="413"/>
      <c r="Y4245" s="413"/>
      <c r="Z4245" s="413"/>
      <c r="AA4245" s="413"/>
      <c r="AB4245" s="413"/>
      <c r="AC4245" s="413"/>
      <c r="AD4245" s="413"/>
      <c r="AE4245" s="413"/>
      <c r="AF4245" s="413"/>
      <c r="AG4245" s="413"/>
      <c r="AH4245" s="413"/>
      <c r="AI4245" s="413"/>
      <c r="AJ4245" s="413"/>
      <c r="AK4245" s="413"/>
      <c r="AL4245" s="413"/>
      <c r="AM4245" s="413"/>
      <c r="AN4245" s="413"/>
      <c r="AO4245" s="413"/>
      <c r="AP4245" s="413"/>
      <c r="AQ4245" s="413"/>
      <c r="AR4245" s="413"/>
      <c r="AS4245" s="413"/>
      <c r="AT4245" s="413"/>
      <c r="AU4245" s="413"/>
      <c r="AV4245" s="413"/>
      <c r="AW4245" s="413"/>
      <c r="AX4245" s="413"/>
      <c r="AY4245" s="413"/>
      <c r="AZ4245" s="413"/>
      <c r="BA4245" s="413"/>
      <c r="BB4245" s="413"/>
      <c r="BC4245" s="413"/>
      <c r="BD4245" s="413"/>
      <c r="BE4245" s="413"/>
      <c r="BF4245" s="413"/>
      <c r="BG4245" s="413"/>
      <c r="BH4245" s="413"/>
      <c r="BI4245" s="413"/>
      <c r="BJ4245" s="413"/>
      <c r="BK4245" s="413"/>
      <c r="BL4245" s="413"/>
    </row>
    <row r="4246" spans="1:64" ht="13">
      <c r="A4246" s="426"/>
      <c r="B4246" s="426"/>
      <c r="C4246" s="417"/>
      <c r="D4246" s="409"/>
      <c r="E4246" s="426"/>
      <c r="F4246" s="409"/>
      <c r="G4246" s="410"/>
      <c r="H4246" s="742" t="s">
        <v>774</v>
      </c>
      <c r="I4246" s="414">
        <f>ROUND(I4245,0)</f>
        <v>4102</v>
      </c>
      <c r="J4246" s="411"/>
      <c r="K4246" s="412"/>
      <c r="L4246" s="412"/>
      <c r="M4246" s="413"/>
      <c r="N4246" s="413"/>
      <c r="O4246" s="413"/>
      <c r="P4246" s="413"/>
      <c r="Q4246" s="413"/>
      <c r="R4246" s="413"/>
      <c r="S4246" s="413"/>
      <c r="T4246" s="413"/>
      <c r="U4246" s="413"/>
      <c r="V4246" s="413"/>
      <c r="W4246" s="413"/>
      <c r="X4246" s="413"/>
      <c r="Y4246" s="413"/>
      <c r="Z4246" s="413"/>
      <c r="AA4246" s="413"/>
      <c r="AB4246" s="413"/>
      <c r="AC4246" s="413"/>
      <c r="AD4246" s="413"/>
      <c r="AE4246" s="413"/>
      <c r="AF4246" s="413"/>
      <c r="AG4246" s="413"/>
      <c r="AH4246" s="413"/>
      <c r="AI4246" s="413"/>
      <c r="AJ4246" s="413"/>
      <c r="AK4246" s="413"/>
      <c r="AL4246" s="413"/>
      <c r="AM4246" s="413"/>
      <c r="AN4246" s="413"/>
      <c r="AO4246" s="413"/>
      <c r="AP4246" s="413"/>
      <c r="AQ4246" s="413"/>
      <c r="AR4246" s="413"/>
      <c r="AS4246" s="413"/>
      <c r="AT4246" s="413"/>
      <c r="AU4246" s="413"/>
      <c r="AV4246" s="413"/>
      <c r="AW4246" s="413"/>
      <c r="AX4246" s="413"/>
      <c r="AY4246" s="413"/>
      <c r="AZ4246" s="413"/>
      <c r="BA4246" s="413"/>
      <c r="BB4246" s="413"/>
      <c r="BC4246" s="413"/>
      <c r="BD4246" s="413"/>
      <c r="BE4246" s="413"/>
      <c r="BF4246" s="413"/>
      <c r="BG4246" s="413"/>
      <c r="BH4246" s="413"/>
      <c r="BI4246" s="413"/>
      <c r="BJ4246" s="413"/>
      <c r="BK4246" s="413"/>
      <c r="BL4246" s="413"/>
    </row>
    <row r="4247" spans="1:64" ht="115" customHeight="1">
      <c r="A4247" s="1280">
        <f>A4231+1</f>
        <v>25</v>
      </c>
      <c r="B4247" s="1280"/>
      <c r="C4247" s="1276" t="s">
        <v>1450</v>
      </c>
      <c r="D4247" s="1276"/>
      <c r="E4247" s="1276"/>
      <c r="F4247" s="1276"/>
      <c r="G4247" s="1276"/>
      <c r="H4247" s="1276"/>
      <c r="I4247" s="407"/>
      <c r="J4247" s="400"/>
      <c r="K4247" s="401"/>
      <c r="L4247" s="401"/>
      <c r="M4247" s="404"/>
      <c r="N4247" s="404"/>
      <c r="O4247" s="404"/>
      <c r="P4247" s="404"/>
      <c r="Q4247" s="404"/>
      <c r="R4247" s="404"/>
      <c r="S4247" s="404"/>
      <c r="T4247" s="404"/>
      <c r="U4247" s="404"/>
      <c r="V4247" s="404"/>
      <c r="W4247" s="404"/>
      <c r="X4247" s="404"/>
      <c r="Y4247" s="404"/>
      <c r="Z4247" s="404"/>
      <c r="AA4247" s="404"/>
      <c r="AB4247" s="404"/>
      <c r="AC4247" s="404"/>
      <c r="AD4247" s="404"/>
      <c r="AE4247" s="404"/>
      <c r="AF4247" s="404"/>
      <c r="AG4247" s="404"/>
      <c r="AH4247" s="404"/>
      <c r="AI4247" s="404"/>
      <c r="AJ4247" s="404"/>
      <c r="AK4247" s="404"/>
      <c r="AL4247" s="404"/>
      <c r="AM4247" s="404"/>
      <c r="AN4247" s="404"/>
      <c r="AO4247" s="404"/>
      <c r="AP4247" s="404"/>
      <c r="AQ4247" s="404"/>
      <c r="AR4247" s="404"/>
      <c r="AS4247" s="404"/>
      <c r="AT4247" s="404"/>
      <c r="AU4247" s="404"/>
      <c r="AV4247" s="404"/>
      <c r="AW4247" s="404"/>
      <c r="AX4247" s="404"/>
      <c r="AY4247" s="404"/>
      <c r="AZ4247" s="404"/>
      <c r="BA4247" s="404"/>
      <c r="BB4247" s="404"/>
      <c r="BC4247" s="404"/>
      <c r="BD4247" s="404"/>
      <c r="BE4247" s="404"/>
      <c r="BF4247" s="404"/>
      <c r="BG4247" s="404"/>
      <c r="BH4247" s="404"/>
      <c r="BI4247" s="404"/>
      <c r="BJ4247" s="404"/>
      <c r="BK4247" s="404"/>
      <c r="BL4247" s="404"/>
    </row>
    <row r="4248" spans="1:64" ht="14.65" customHeight="1">
      <c r="A4248" s="426"/>
      <c r="B4248" s="426"/>
      <c r="C4248" s="1294" t="s">
        <v>1451</v>
      </c>
      <c r="D4248" s="1294"/>
      <c r="E4248" s="1294"/>
      <c r="F4248" s="409"/>
      <c r="G4248" s="410"/>
      <c r="H4248" s="426"/>
      <c r="I4248" s="409"/>
      <c r="J4248" s="400"/>
      <c r="K4248" s="401"/>
      <c r="L4248" s="401"/>
      <c r="M4248" s="404"/>
      <c r="N4248" s="404"/>
      <c r="O4248" s="404"/>
      <c r="P4248" s="404"/>
      <c r="Q4248" s="404"/>
      <c r="R4248" s="404"/>
      <c r="S4248" s="404"/>
      <c r="T4248" s="404"/>
      <c r="U4248" s="404"/>
      <c r="V4248" s="404"/>
      <c r="W4248" s="404"/>
      <c r="X4248" s="404"/>
      <c r="Y4248" s="404"/>
      <c r="Z4248" s="404"/>
      <c r="AA4248" s="404"/>
      <c r="AB4248" s="404"/>
      <c r="AC4248" s="404"/>
      <c r="AD4248" s="404"/>
      <c r="AE4248" s="404"/>
      <c r="AF4248" s="404"/>
      <c r="AG4248" s="404"/>
      <c r="AH4248" s="404"/>
      <c r="AI4248" s="404"/>
      <c r="AJ4248" s="404"/>
      <c r="AK4248" s="404"/>
      <c r="AL4248" s="404"/>
      <c r="AM4248" s="404"/>
      <c r="AN4248" s="404"/>
      <c r="AO4248" s="404"/>
      <c r="AP4248" s="404"/>
      <c r="AQ4248" s="404"/>
      <c r="AR4248" s="404"/>
      <c r="AS4248" s="404"/>
      <c r="AT4248" s="404"/>
      <c r="AU4248" s="404"/>
      <c r="AV4248" s="404"/>
      <c r="AW4248" s="404"/>
      <c r="AX4248" s="404"/>
      <c r="AY4248" s="404"/>
      <c r="AZ4248" s="404"/>
      <c r="BA4248" s="404"/>
      <c r="BB4248" s="404"/>
      <c r="BC4248" s="404"/>
      <c r="BD4248" s="404"/>
      <c r="BE4248" s="404"/>
      <c r="BF4248" s="404"/>
      <c r="BG4248" s="404"/>
      <c r="BH4248" s="404"/>
      <c r="BI4248" s="404"/>
      <c r="BJ4248" s="404"/>
      <c r="BK4248" s="404"/>
      <c r="BL4248" s="404"/>
    </row>
    <row r="4249" spans="1:64">
      <c r="A4249" s="426"/>
      <c r="B4249" s="426"/>
      <c r="C4249" s="417" t="s">
        <v>1452</v>
      </c>
      <c r="D4249" s="409"/>
      <c r="E4249" s="426"/>
      <c r="F4249" s="409"/>
      <c r="G4249" s="410"/>
      <c r="H4249" s="426"/>
      <c r="I4249" s="409"/>
      <c r="J4249" s="400"/>
      <c r="K4249" s="401"/>
      <c r="L4249" s="401"/>
      <c r="M4249" s="404"/>
      <c r="N4249" s="404"/>
      <c r="O4249" s="404"/>
      <c r="P4249" s="404"/>
      <c r="Q4249" s="404"/>
      <c r="R4249" s="404"/>
      <c r="S4249" s="404"/>
      <c r="T4249" s="404"/>
      <c r="U4249" s="404"/>
      <c r="V4249" s="404"/>
      <c r="W4249" s="404"/>
      <c r="X4249" s="404"/>
      <c r="Y4249" s="404"/>
      <c r="Z4249" s="404"/>
      <c r="AA4249" s="404"/>
      <c r="AB4249" s="404"/>
      <c r="AC4249" s="404"/>
      <c r="AD4249" s="404"/>
      <c r="AE4249" s="404"/>
      <c r="AF4249" s="404"/>
      <c r="AG4249" s="404"/>
      <c r="AH4249" s="404"/>
      <c r="AI4249" s="404"/>
      <c r="AJ4249" s="404"/>
      <c r="AK4249" s="404"/>
      <c r="AL4249" s="404"/>
      <c r="AM4249" s="404"/>
      <c r="AN4249" s="404"/>
      <c r="AO4249" s="404"/>
      <c r="AP4249" s="404"/>
      <c r="AQ4249" s="404"/>
      <c r="AR4249" s="404"/>
      <c r="AS4249" s="404"/>
      <c r="AT4249" s="404"/>
      <c r="AU4249" s="404"/>
      <c r="AV4249" s="404"/>
      <c r="AW4249" s="404"/>
      <c r="AX4249" s="404"/>
      <c r="AY4249" s="404"/>
      <c r="AZ4249" s="404"/>
      <c r="BA4249" s="404"/>
      <c r="BB4249" s="404"/>
      <c r="BC4249" s="404"/>
      <c r="BD4249" s="404"/>
      <c r="BE4249" s="404"/>
      <c r="BF4249" s="404"/>
      <c r="BG4249" s="404"/>
      <c r="BH4249" s="404"/>
      <c r="BI4249" s="404"/>
      <c r="BJ4249" s="404"/>
      <c r="BK4249" s="404"/>
      <c r="BL4249" s="404"/>
    </row>
    <row r="4250" spans="1:64" ht="13">
      <c r="A4250" s="426"/>
      <c r="B4250" s="426"/>
      <c r="C4250" s="427" t="s">
        <v>1215</v>
      </c>
      <c r="D4250" s="409"/>
      <c r="E4250" s="426"/>
      <c r="F4250" s="409"/>
      <c r="G4250" s="410"/>
      <c r="H4250" s="426"/>
      <c r="I4250" s="409"/>
      <c r="J4250" s="400"/>
      <c r="K4250" s="401"/>
      <c r="L4250" s="401"/>
      <c r="M4250" s="404"/>
      <c r="N4250" s="404"/>
      <c r="O4250" s="404"/>
      <c r="P4250" s="404"/>
      <c r="Q4250" s="404"/>
      <c r="R4250" s="404"/>
      <c r="S4250" s="404"/>
      <c r="T4250" s="404"/>
      <c r="U4250" s="404"/>
      <c r="V4250" s="404"/>
      <c r="W4250" s="404"/>
      <c r="X4250" s="404"/>
      <c r="Y4250" s="404"/>
      <c r="Z4250" s="404"/>
      <c r="AA4250" s="404"/>
      <c r="AB4250" s="404"/>
      <c r="AC4250" s="404"/>
      <c r="AD4250" s="404"/>
      <c r="AE4250" s="404"/>
      <c r="AF4250" s="404"/>
      <c r="AG4250" s="404"/>
      <c r="AH4250" s="404"/>
      <c r="AI4250" s="404"/>
      <c r="AJ4250" s="404"/>
      <c r="AK4250" s="404"/>
      <c r="AL4250" s="404"/>
      <c r="AM4250" s="404"/>
      <c r="AN4250" s="404"/>
      <c r="AO4250" s="404"/>
      <c r="AP4250" s="404"/>
      <c r="AQ4250" s="404"/>
      <c r="AR4250" s="404"/>
      <c r="AS4250" s="404"/>
      <c r="AT4250" s="404"/>
      <c r="AU4250" s="404"/>
      <c r="AV4250" s="404"/>
      <c r="AW4250" s="404"/>
      <c r="AX4250" s="404"/>
      <c r="AY4250" s="404"/>
      <c r="AZ4250" s="404"/>
      <c r="BA4250" s="404"/>
      <c r="BB4250" s="404"/>
      <c r="BC4250" s="404"/>
      <c r="BD4250" s="404"/>
      <c r="BE4250" s="404"/>
      <c r="BF4250" s="404"/>
      <c r="BG4250" s="404"/>
      <c r="BH4250" s="404"/>
      <c r="BI4250" s="404"/>
      <c r="BJ4250" s="404"/>
      <c r="BK4250" s="404"/>
      <c r="BL4250" s="404"/>
    </row>
    <row r="4251" spans="1:64" ht="25">
      <c r="A4251" s="406"/>
      <c r="B4251" s="406"/>
      <c r="C4251" s="417" t="s">
        <v>1453</v>
      </c>
      <c r="D4251" s="432">
        <v>1</v>
      </c>
      <c r="E4251" s="406" t="s">
        <v>17</v>
      </c>
      <c r="F4251" s="432">
        <f>'[161]Civil-SOR'!$G$84</f>
        <v>599</v>
      </c>
      <c r="G4251" s="431">
        <v>1</v>
      </c>
      <c r="H4251" s="406" t="s">
        <v>17</v>
      </c>
      <c r="I4251" s="459">
        <f t="shared" ref="I4251:I4256" si="948">IF(G4251="",D4251*F4251,(D4251*F4251/G4251))</f>
        <v>599</v>
      </c>
      <c r="J4251" s="462"/>
      <c r="K4251" s="463"/>
      <c r="L4251" s="463"/>
      <c r="M4251" s="464"/>
      <c r="N4251" s="464"/>
      <c r="O4251" s="464"/>
      <c r="P4251" s="464"/>
      <c r="Q4251" s="464"/>
      <c r="R4251" s="464"/>
      <c r="S4251" s="464"/>
      <c r="T4251" s="464"/>
      <c r="U4251" s="464"/>
      <c r="V4251" s="464"/>
      <c r="W4251" s="464"/>
      <c r="X4251" s="464"/>
      <c r="Y4251" s="464"/>
      <c r="Z4251" s="464"/>
      <c r="AA4251" s="464"/>
      <c r="AB4251" s="464"/>
      <c r="AC4251" s="464"/>
      <c r="AD4251" s="464"/>
      <c r="AE4251" s="464"/>
      <c r="AF4251" s="464"/>
      <c r="AG4251" s="464"/>
      <c r="AH4251" s="464"/>
      <c r="AI4251" s="464"/>
      <c r="AJ4251" s="464"/>
      <c r="AK4251" s="464"/>
      <c r="AL4251" s="464"/>
      <c r="AM4251" s="464"/>
      <c r="AN4251" s="464"/>
      <c r="AO4251" s="464"/>
      <c r="AP4251" s="464"/>
      <c r="AQ4251" s="464"/>
      <c r="AR4251" s="464"/>
      <c r="AS4251" s="464"/>
      <c r="AT4251" s="464"/>
      <c r="AU4251" s="464"/>
      <c r="AV4251" s="464"/>
      <c r="AW4251" s="464"/>
      <c r="AX4251" s="464"/>
      <c r="AY4251" s="464"/>
      <c r="AZ4251" s="464"/>
      <c r="BA4251" s="464"/>
      <c r="BB4251" s="464"/>
      <c r="BC4251" s="464"/>
      <c r="BD4251" s="464"/>
      <c r="BE4251" s="464"/>
      <c r="BF4251" s="464"/>
      <c r="BG4251" s="464"/>
      <c r="BH4251" s="464"/>
      <c r="BI4251" s="464"/>
      <c r="BJ4251" s="464"/>
      <c r="BK4251" s="464"/>
      <c r="BL4251" s="464"/>
    </row>
    <row r="4252" spans="1:64" ht="25">
      <c r="A4252" s="406"/>
      <c r="B4252" s="406"/>
      <c r="C4252" s="417" t="s">
        <v>1454</v>
      </c>
      <c r="D4252" s="432">
        <v>0.4</v>
      </c>
      <c r="E4252" s="406" t="s">
        <v>1052</v>
      </c>
      <c r="F4252" s="432">
        <f>'[161]Civil-SOR'!$G$93</f>
        <v>42</v>
      </c>
      <c r="G4252" s="431">
        <v>1</v>
      </c>
      <c r="H4252" s="406" t="s">
        <v>1052</v>
      </c>
      <c r="I4252" s="459">
        <f t="shared" si="948"/>
        <v>16.8</v>
      </c>
      <c r="J4252" s="462"/>
      <c r="K4252" s="463"/>
      <c r="L4252" s="463"/>
      <c r="M4252" s="464"/>
      <c r="N4252" s="464"/>
      <c r="O4252" s="464"/>
      <c r="P4252" s="464"/>
      <c r="Q4252" s="464"/>
      <c r="R4252" s="464"/>
      <c r="S4252" s="464"/>
      <c r="T4252" s="464"/>
      <c r="U4252" s="464"/>
      <c r="V4252" s="464"/>
      <c r="W4252" s="464"/>
      <c r="X4252" s="464"/>
      <c r="Y4252" s="464"/>
      <c r="Z4252" s="464"/>
      <c r="AA4252" s="464"/>
      <c r="AB4252" s="464"/>
      <c r="AC4252" s="464"/>
      <c r="AD4252" s="464"/>
      <c r="AE4252" s="464"/>
      <c r="AF4252" s="464"/>
      <c r="AG4252" s="464"/>
      <c r="AH4252" s="464"/>
      <c r="AI4252" s="464"/>
      <c r="AJ4252" s="464"/>
      <c r="AK4252" s="464"/>
      <c r="AL4252" s="464"/>
      <c r="AM4252" s="464"/>
      <c r="AN4252" s="464"/>
      <c r="AO4252" s="464"/>
      <c r="AP4252" s="464"/>
      <c r="AQ4252" s="464"/>
      <c r="AR4252" s="464"/>
      <c r="AS4252" s="464"/>
      <c r="AT4252" s="464"/>
      <c r="AU4252" s="464"/>
      <c r="AV4252" s="464"/>
      <c r="AW4252" s="464"/>
      <c r="AX4252" s="464"/>
      <c r="AY4252" s="464"/>
      <c r="AZ4252" s="464"/>
      <c r="BA4252" s="464"/>
      <c r="BB4252" s="464"/>
      <c r="BC4252" s="464"/>
      <c r="BD4252" s="464"/>
      <c r="BE4252" s="464"/>
      <c r="BF4252" s="464"/>
      <c r="BG4252" s="464"/>
      <c r="BH4252" s="464"/>
      <c r="BI4252" s="464"/>
      <c r="BJ4252" s="464"/>
      <c r="BK4252" s="464"/>
      <c r="BL4252" s="464"/>
    </row>
    <row r="4253" spans="1:64" ht="37.5">
      <c r="A4253" s="406"/>
      <c r="B4253" s="406"/>
      <c r="C4253" s="417" t="s">
        <v>1455</v>
      </c>
      <c r="D4253" s="432">
        <v>1.6</v>
      </c>
      <c r="E4253" s="406" t="s">
        <v>1052</v>
      </c>
      <c r="F4253" s="432">
        <f>'[161]Civil-SOR'!$G$94</f>
        <v>52</v>
      </c>
      <c r="G4253" s="431">
        <v>1</v>
      </c>
      <c r="H4253" s="406" t="s">
        <v>1052</v>
      </c>
      <c r="I4253" s="459">
        <f t="shared" si="948"/>
        <v>83.2</v>
      </c>
      <c r="J4253" s="462"/>
      <c r="K4253" s="463"/>
      <c r="L4253" s="463"/>
      <c r="M4253" s="464"/>
      <c r="N4253" s="464"/>
      <c r="O4253" s="464"/>
      <c r="P4253" s="464"/>
      <c r="Q4253" s="464"/>
      <c r="R4253" s="464"/>
      <c r="S4253" s="464"/>
      <c r="T4253" s="464"/>
      <c r="U4253" s="464"/>
      <c r="V4253" s="464"/>
      <c r="W4253" s="464"/>
      <c r="X4253" s="464"/>
      <c r="Y4253" s="464"/>
      <c r="Z4253" s="464"/>
      <c r="AA4253" s="464"/>
      <c r="AB4253" s="464"/>
      <c r="AC4253" s="464"/>
      <c r="AD4253" s="464"/>
      <c r="AE4253" s="464"/>
      <c r="AF4253" s="464"/>
      <c r="AG4253" s="464"/>
      <c r="AH4253" s="464"/>
      <c r="AI4253" s="464"/>
      <c r="AJ4253" s="464"/>
      <c r="AK4253" s="464"/>
      <c r="AL4253" s="464"/>
      <c r="AM4253" s="464"/>
      <c r="AN4253" s="464"/>
      <c r="AO4253" s="464"/>
      <c r="AP4253" s="464"/>
      <c r="AQ4253" s="464"/>
      <c r="AR4253" s="464"/>
      <c r="AS4253" s="464"/>
      <c r="AT4253" s="464"/>
      <c r="AU4253" s="464"/>
      <c r="AV4253" s="464"/>
      <c r="AW4253" s="464"/>
      <c r="AX4253" s="464"/>
      <c r="AY4253" s="464"/>
      <c r="AZ4253" s="464"/>
      <c r="BA4253" s="464"/>
      <c r="BB4253" s="464"/>
      <c r="BC4253" s="464"/>
      <c r="BD4253" s="464"/>
      <c r="BE4253" s="464"/>
      <c r="BF4253" s="464"/>
      <c r="BG4253" s="464"/>
      <c r="BH4253" s="464"/>
      <c r="BI4253" s="464"/>
      <c r="BJ4253" s="464"/>
      <c r="BK4253" s="464"/>
      <c r="BL4253" s="464"/>
    </row>
    <row r="4254" spans="1:64" ht="25">
      <c r="A4254" s="406"/>
      <c r="B4254" s="406"/>
      <c r="C4254" s="417" t="s">
        <v>1456</v>
      </c>
      <c r="D4254" s="432">
        <v>1.6</v>
      </c>
      <c r="E4254" s="406" t="s">
        <v>1052</v>
      </c>
      <c r="F4254" s="432">
        <f>'[161]Civil-SOR'!$G$96</f>
        <v>48</v>
      </c>
      <c r="G4254" s="431">
        <v>1</v>
      </c>
      <c r="H4254" s="406" t="s">
        <v>1052</v>
      </c>
      <c r="I4254" s="459">
        <f t="shared" si="948"/>
        <v>76.800000000000011</v>
      </c>
      <c r="J4254" s="462"/>
      <c r="K4254" s="463"/>
      <c r="L4254" s="463"/>
      <c r="M4254" s="464"/>
      <c r="N4254" s="464"/>
      <c r="O4254" s="464"/>
      <c r="P4254" s="464"/>
      <c r="Q4254" s="464"/>
      <c r="R4254" s="464"/>
      <c r="S4254" s="464"/>
      <c r="T4254" s="464"/>
      <c r="U4254" s="464"/>
      <c r="V4254" s="464"/>
      <c r="W4254" s="464"/>
      <c r="X4254" s="464"/>
      <c r="Y4254" s="464"/>
      <c r="Z4254" s="464"/>
      <c r="AA4254" s="464"/>
      <c r="AB4254" s="464"/>
      <c r="AC4254" s="464"/>
      <c r="AD4254" s="464"/>
      <c r="AE4254" s="464"/>
      <c r="AF4254" s="464"/>
      <c r="AG4254" s="464"/>
      <c r="AH4254" s="464"/>
      <c r="AI4254" s="464"/>
      <c r="AJ4254" s="464"/>
      <c r="AK4254" s="464"/>
      <c r="AL4254" s="464"/>
      <c r="AM4254" s="464"/>
      <c r="AN4254" s="464"/>
      <c r="AO4254" s="464"/>
      <c r="AP4254" s="464"/>
      <c r="AQ4254" s="464"/>
      <c r="AR4254" s="464"/>
      <c r="AS4254" s="464"/>
      <c r="AT4254" s="464"/>
      <c r="AU4254" s="464"/>
      <c r="AV4254" s="464"/>
      <c r="AW4254" s="464"/>
      <c r="AX4254" s="464"/>
      <c r="AY4254" s="464"/>
      <c r="AZ4254" s="464"/>
      <c r="BA4254" s="464"/>
      <c r="BB4254" s="464"/>
      <c r="BC4254" s="464"/>
      <c r="BD4254" s="464"/>
      <c r="BE4254" s="464"/>
      <c r="BF4254" s="464"/>
      <c r="BG4254" s="464"/>
      <c r="BH4254" s="464"/>
      <c r="BI4254" s="464"/>
      <c r="BJ4254" s="464"/>
      <c r="BK4254" s="464"/>
      <c r="BL4254" s="464"/>
    </row>
    <row r="4255" spans="1:64" ht="25">
      <c r="A4255" s="406"/>
      <c r="B4255" s="406"/>
      <c r="C4255" s="417" t="s">
        <v>1457</v>
      </c>
      <c r="D4255" s="432">
        <v>1.28</v>
      </c>
      <c r="E4255" s="406" t="s">
        <v>1052</v>
      </c>
      <c r="F4255" s="432">
        <f>'[161]Civil-SOR'!$G$109</f>
        <v>12</v>
      </c>
      <c r="G4255" s="431">
        <v>1</v>
      </c>
      <c r="H4255" s="406" t="s">
        <v>1052</v>
      </c>
      <c r="I4255" s="459">
        <f t="shared" si="948"/>
        <v>15.36</v>
      </c>
      <c r="J4255" s="462"/>
      <c r="K4255" s="463"/>
      <c r="L4255" s="463"/>
      <c r="M4255" s="464"/>
      <c r="N4255" s="464"/>
      <c r="O4255" s="464"/>
      <c r="P4255" s="464"/>
      <c r="Q4255" s="464"/>
      <c r="R4255" s="464"/>
      <c r="S4255" s="464"/>
      <c r="T4255" s="464"/>
      <c r="U4255" s="464"/>
      <c r="V4255" s="464"/>
      <c r="W4255" s="464"/>
      <c r="X4255" s="464"/>
      <c r="Y4255" s="464"/>
      <c r="Z4255" s="464"/>
      <c r="AA4255" s="464"/>
      <c r="AB4255" s="464"/>
      <c r="AC4255" s="464"/>
      <c r="AD4255" s="464"/>
      <c r="AE4255" s="464"/>
      <c r="AF4255" s="464"/>
      <c r="AG4255" s="464"/>
      <c r="AH4255" s="464"/>
      <c r="AI4255" s="464"/>
      <c r="AJ4255" s="464"/>
      <c r="AK4255" s="464"/>
      <c r="AL4255" s="464"/>
      <c r="AM4255" s="464"/>
      <c r="AN4255" s="464"/>
      <c r="AO4255" s="464"/>
      <c r="AP4255" s="464"/>
      <c r="AQ4255" s="464"/>
      <c r="AR4255" s="464"/>
      <c r="AS4255" s="464"/>
      <c r="AT4255" s="464"/>
      <c r="AU4255" s="464"/>
      <c r="AV4255" s="464"/>
      <c r="AW4255" s="464"/>
      <c r="AX4255" s="464"/>
      <c r="AY4255" s="464"/>
      <c r="AZ4255" s="464"/>
      <c r="BA4255" s="464"/>
      <c r="BB4255" s="464"/>
      <c r="BC4255" s="464"/>
      <c r="BD4255" s="464"/>
      <c r="BE4255" s="464"/>
      <c r="BF4255" s="464"/>
      <c r="BG4255" s="464"/>
      <c r="BH4255" s="464"/>
      <c r="BI4255" s="464"/>
      <c r="BJ4255" s="464"/>
      <c r="BK4255" s="464"/>
      <c r="BL4255" s="464"/>
    </row>
    <row r="4256" spans="1:64">
      <c r="A4256" s="406"/>
      <c r="B4256" s="406"/>
      <c r="C4256" s="417" t="s">
        <v>1458</v>
      </c>
      <c r="D4256" s="432">
        <v>1.28</v>
      </c>
      <c r="E4256" s="406" t="s">
        <v>375</v>
      </c>
      <c r="F4256" s="432">
        <f>'[161]Civil-SOR'!$G$100</f>
        <v>5</v>
      </c>
      <c r="G4256" s="431">
        <v>1</v>
      </c>
      <c r="H4256" s="406" t="s">
        <v>678</v>
      </c>
      <c r="I4256" s="459">
        <f t="shared" si="948"/>
        <v>6.4</v>
      </c>
      <c r="J4256" s="462"/>
      <c r="K4256" s="463"/>
      <c r="L4256" s="463"/>
      <c r="M4256" s="464"/>
      <c r="N4256" s="464"/>
      <c r="O4256" s="464"/>
      <c r="P4256" s="464"/>
      <c r="Q4256" s="464"/>
      <c r="R4256" s="464"/>
      <c r="S4256" s="464"/>
      <c r="T4256" s="464"/>
      <c r="U4256" s="464"/>
      <c r="V4256" s="464"/>
      <c r="W4256" s="464"/>
      <c r="X4256" s="464"/>
      <c r="Y4256" s="464"/>
      <c r="Z4256" s="464"/>
      <c r="AA4256" s="464"/>
      <c r="AB4256" s="464"/>
      <c r="AC4256" s="464"/>
      <c r="AD4256" s="464"/>
      <c r="AE4256" s="464"/>
      <c r="AF4256" s="464"/>
      <c r="AG4256" s="464"/>
      <c r="AH4256" s="464"/>
      <c r="AI4256" s="464"/>
      <c r="AJ4256" s="464"/>
      <c r="AK4256" s="464"/>
      <c r="AL4256" s="464"/>
      <c r="AM4256" s="464"/>
      <c r="AN4256" s="464"/>
      <c r="AO4256" s="464"/>
      <c r="AP4256" s="464"/>
      <c r="AQ4256" s="464"/>
      <c r="AR4256" s="464"/>
      <c r="AS4256" s="464"/>
      <c r="AT4256" s="464"/>
      <c r="AU4256" s="464"/>
      <c r="AV4256" s="464"/>
      <c r="AW4256" s="464"/>
      <c r="AX4256" s="464"/>
      <c r="AY4256" s="464"/>
      <c r="AZ4256" s="464"/>
      <c r="BA4256" s="464"/>
      <c r="BB4256" s="464"/>
      <c r="BC4256" s="464"/>
      <c r="BD4256" s="464"/>
      <c r="BE4256" s="464"/>
      <c r="BF4256" s="464"/>
      <c r="BG4256" s="464"/>
      <c r="BH4256" s="464"/>
      <c r="BI4256" s="464"/>
      <c r="BJ4256" s="464"/>
      <c r="BK4256" s="464"/>
      <c r="BL4256" s="464"/>
    </row>
    <row r="4257" spans="1:64" ht="13">
      <c r="A4257" s="406"/>
      <c r="B4257" s="406"/>
      <c r="C4257" s="427" t="s">
        <v>1459</v>
      </c>
      <c r="D4257" s="432"/>
      <c r="E4257" s="406"/>
      <c r="F4257" s="432"/>
      <c r="G4257" s="431"/>
      <c r="H4257" s="406"/>
      <c r="I4257" s="432"/>
      <c r="J4257" s="462"/>
      <c r="K4257" s="463"/>
      <c r="L4257" s="463"/>
      <c r="M4257" s="464"/>
      <c r="N4257" s="464"/>
      <c r="O4257" s="464"/>
      <c r="P4257" s="464"/>
      <c r="Q4257" s="464"/>
      <c r="R4257" s="464"/>
      <c r="S4257" s="464"/>
      <c r="T4257" s="464"/>
      <c r="U4257" s="464"/>
      <c r="V4257" s="464"/>
      <c r="W4257" s="464"/>
      <c r="X4257" s="464"/>
      <c r="Y4257" s="464"/>
      <c r="Z4257" s="464"/>
      <c r="AA4257" s="464"/>
      <c r="AB4257" s="464"/>
      <c r="AC4257" s="464"/>
      <c r="AD4257" s="464"/>
      <c r="AE4257" s="464"/>
      <c r="AF4257" s="464"/>
      <c r="AG4257" s="464"/>
      <c r="AH4257" s="464"/>
      <c r="AI4257" s="464"/>
      <c r="AJ4257" s="464"/>
      <c r="AK4257" s="464"/>
      <c r="AL4257" s="464"/>
      <c r="AM4257" s="464"/>
      <c r="AN4257" s="464"/>
      <c r="AO4257" s="464"/>
      <c r="AP4257" s="464"/>
      <c r="AQ4257" s="464"/>
      <c r="AR4257" s="464"/>
      <c r="AS4257" s="464"/>
      <c r="AT4257" s="464"/>
      <c r="AU4257" s="464"/>
      <c r="AV4257" s="464"/>
      <c r="AW4257" s="464"/>
      <c r="AX4257" s="464"/>
      <c r="AY4257" s="464"/>
      <c r="AZ4257" s="464"/>
      <c r="BA4257" s="464"/>
      <c r="BB4257" s="464"/>
      <c r="BC4257" s="464"/>
      <c r="BD4257" s="464"/>
      <c r="BE4257" s="464"/>
      <c r="BF4257" s="464"/>
      <c r="BG4257" s="464"/>
      <c r="BH4257" s="464"/>
      <c r="BI4257" s="464"/>
      <c r="BJ4257" s="464"/>
      <c r="BK4257" s="464"/>
      <c r="BL4257" s="464"/>
    </row>
    <row r="4258" spans="1:64">
      <c r="A4258" s="406"/>
      <c r="B4258" s="406"/>
      <c r="C4258" s="417" t="s">
        <v>1460</v>
      </c>
      <c r="D4258" s="432">
        <v>0.12</v>
      </c>
      <c r="E4258" s="406" t="s">
        <v>375</v>
      </c>
      <c r="F4258" s="432">
        <f>'[161]Civil-SOR'!$G$291</f>
        <v>685</v>
      </c>
      <c r="G4258" s="431">
        <v>1</v>
      </c>
      <c r="H4258" s="406" t="s">
        <v>678</v>
      </c>
      <c r="I4258" s="459">
        <f t="shared" ref="I4258:I4265" si="949">IF(G4258="",D4258*F4258,(D4258*F4258/G4258))</f>
        <v>82.2</v>
      </c>
      <c r="J4258" s="462"/>
      <c r="K4258" s="463"/>
      <c r="L4258" s="463"/>
      <c r="M4258" s="464"/>
      <c r="N4258" s="464"/>
      <c r="O4258" s="464"/>
      <c r="P4258" s="464"/>
      <c r="Q4258" s="464"/>
      <c r="R4258" s="464"/>
      <c r="S4258" s="464"/>
      <c r="T4258" s="464"/>
      <c r="U4258" s="464"/>
      <c r="V4258" s="464"/>
      <c r="W4258" s="464"/>
      <c r="X4258" s="464"/>
      <c r="Y4258" s="464"/>
      <c r="Z4258" s="464"/>
      <c r="AA4258" s="464"/>
      <c r="AB4258" s="464"/>
      <c r="AC4258" s="464"/>
      <c r="AD4258" s="464"/>
      <c r="AE4258" s="464"/>
      <c r="AF4258" s="464"/>
      <c r="AG4258" s="464"/>
      <c r="AH4258" s="464"/>
      <c r="AI4258" s="464"/>
      <c r="AJ4258" s="464"/>
      <c r="AK4258" s="464"/>
      <c r="AL4258" s="464"/>
      <c r="AM4258" s="464"/>
      <c r="AN4258" s="464"/>
      <c r="AO4258" s="464"/>
      <c r="AP4258" s="464"/>
      <c r="AQ4258" s="464"/>
      <c r="AR4258" s="464"/>
      <c r="AS4258" s="464"/>
      <c r="AT4258" s="464"/>
      <c r="AU4258" s="464"/>
      <c r="AV4258" s="464"/>
      <c r="AW4258" s="464"/>
      <c r="AX4258" s="464"/>
      <c r="AY4258" s="464"/>
      <c r="AZ4258" s="464"/>
      <c r="BA4258" s="464"/>
      <c r="BB4258" s="464"/>
      <c r="BC4258" s="464"/>
      <c r="BD4258" s="464"/>
      <c r="BE4258" s="464"/>
      <c r="BF4258" s="464"/>
      <c r="BG4258" s="464"/>
      <c r="BH4258" s="464"/>
      <c r="BI4258" s="464"/>
      <c r="BJ4258" s="464"/>
      <c r="BK4258" s="464"/>
      <c r="BL4258" s="464"/>
    </row>
    <row r="4259" spans="1:64">
      <c r="A4259" s="406"/>
      <c r="B4259" s="406"/>
      <c r="C4259" s="417" t="s">
        <v>1461</v>
      </c>
      <c r="D4259" s="432">
        <v>0.12</v>
      </c>
      <c r="E4259" s="406" t="s">
        <v>375</v>
      </c>
      <c r="F4259" s="432">
        <f>'[161]Civil-SOR'!$G$300</f>
        <v>550</v>
      </c>
      <c r="G4259" s="431">
        <v>1</v>
      </c>
      <c r="H4259" s="406" t="s">
        <v>678</v>
      </c>
      <c r="I4259" s="459">
        <f t="shared" si="949"/>
        <v>66</v>
      </c>
      <c r="J4259" s="462"/>
      <c r="K4259" s="463"/>
      <c r="L4259" s="463"/>
      <c r="M4259" s="464"/>
      <c r="N4259" s="464"/>
      <c r="O4259" s="464"/>
      <c r="P4259" s="464"/>
      <c r="Q4259" s="464"/>
      <c r="R4259" s="464"/>
      <c r="S4259" s="464"/>
      <c r="T4259" s="464"/>
      <c r="U4259" s="464"/>
      <c r="V4259" s="464"/>
      <c r="W4259" s="464"/>
      <c r="X4259" s="464"/>
      <c r="Y4259" s="464"/>
      <c r="Z4259" s="464"/>
      <c r="AA4259" s="464"/>
      <c r="AB4259" s="464"/>
      <c r="AC4259" s="464"/>
      <c r="AD4259" s="464"/>
      <c r="AE4259" s="464"/>
      <c r="AF4259" s="464"/>
      <c r="AG4259" s="464"/>
      <c r="AH4259" s="464"/>
      <c r="AI4259" s="464"/>
      <c r="AJ4259" s="464"/>
      <c r="AK4259" s="464"/>
      <c r="AL4259" s="464"/>
      <c r="AM4259" s="464"/>
      <c r="AN4259" s="464"/>
      <c r="AO4259" s="464"/>
      <c r="AP4259" s="464"/>
      <c r="AQ4259" s="464"/>
      <c r="AR4259" s="464"/>
      <c r="AS4259" s="464"/>
      <c r="AT4259" s="464"/>
      <c r="AU4259" s="464"/>
      <c r="AV4259" s="464"/>
      <c r="AW4259" s="464"/>
      <c r="AX4259" s="464"/>
      <c r="AY4259" s="464"/>
      <c r="AZ4259" s="464"/>
      <c r="BA4259" s="464"/>
      <c r="BB4259" s="464"/>
      <c r="BC4259" s="464"/>
      <c r="BD4259" s="464"/>
      <c r="BE4259" s="464"/>
      <c r="BF4259" s="464"/>
      <c r="BG4259" s="464"/>
      <c r="BH4259" s="464"/>
      <c r="BI4259" s="464"/>
      <c r="BJ4259" s="464"/>
      <c r="BK4259" s="464"/>
      <c r="BL4259" s="464"/>
    </row>
    <row r="4260" spans="1:64">
      <c r="A4260" s="406"/>
      <c r="B4260" s="406"/>
      <c r="C4260" s="417" t="s">
        <v>1385</v>
      </c>
      <c r="D4260" s="441">
        <v>2.4E-2</v>
      </c>
      <c r="E4260" s="406" t="s">
        <v>375</v>
      </c>
      <c r="F4260" s="432">
        <f>'[161]Civil-SOR'!$G$296</f>
        <v>665</v>
      </c>
      <c r="G4260" s="431">
        <v>1</v>
      </c>
      <c r="H4260" s="406" t="s">
        <v>678</v>
      </c>
      <c r="I4260" s="459">
        <f t="shared" si="949"/>
        <v>15.96</v>
      </c>
      <c r="J4260" s="462"/>
      <c r="K4260" s="463"/>
      <c r="L4260" s="463"/>
      <c r="M4260" s="464"/>
      <c r="N4260" s="464"/>
      <c r="O4260" s="464"/>
      <c r="P4260" s="464"/>
      <c r="Q4260" s="464"/>
      <c r="R4260" s="464"/>
      <c r="S4260" s="464"/>
      <c r="T4260" s="464"/>
      <c r="U4260" s="464"/>
      <c r="V4260" s="464"/>
      <c r="W4260" s="464"/>
      <c r="X4260" s="464"/>
      <c r="Y4260" s="464"/>
      <c r="Z4260" s="464"/>
      <c r="AA4260" s="464"/>
      <c r="AB4260" s="464"/>
      <c r="AC4260" s="464"/>
      <c r="AD4260" s="464"/>
      <c r="AE4260" s="464"/>
      <c r="AF4260" s="464"/>
      <c r="AG4260" s="464"/>
      <c r="AH4260" s="464"/>
      <c r="AI4260" s="464"/>
      <c r="AJ4260" s="464"/>
      <c r="AK4260" s="464"/>
      <c r="AL4260" s="464"/>
      <c r="AM4260" s="464"/>
      <c r="AN4260" s="464"/>
      <c r="AO4260" s="464"/>
      <c r="AP4260" s="464"/>
      <c r="AQ4260" s="464"/>
      <c r="AR4260" s="464"/>
      <c r="AS4260" s="464"/>
      <c r="AT4260" s="464"/>
      <c r="AU4260" s="464"/>
      <c r="AV4260" s="464"/>
      <c r="AW4260" s="464"/>
      <c r="AX4260" s="464"/>
      <c r="AY4260" s="464"/>
      <c r="AZ4260" s="464"/>
      <c r="BA4260" s="464"/>
      <c r="BB4260" s="464"/>
      <c r="BC4260" s="464"/>
      <c r="BD4260" s="464"/>
      <c r="BE4260" s="464"/>
      <c r="BF4260" s="464"/>
      <c r="BG4260" s="464"/>
      <c r="BH4260" s="464"/>
      <c r="BI4260" s="464"/>
      <c r="BJ4260" s="464"/>
      <c r="BK4260" s="464"/>
      <c r="BL4260" s="464"/>
    </row>
    <row r="4261" spans="1:64">
      <c r="A4261" s="406"/>
      <c r="B4261" s="406"/>
      <c r="C4261" s="417" t="s">
        <v>1386</v>
      </c>
      <c r="D4261" s="441">
        <v>2.4E-2</v>
      </c>
      <c r="E4261" s="406" t="s">
        <v>375</v>
      </c>
      <c r="F4261" s="432">
        <f>'[161]Civil-SOR'!$G$303</f>
        <v>550</v>
      </c>
      <c r="G4261" s="431">
        <v>1</v>
      </c>
      <c r="H4261" s="406" t="s">
        <v>678</v>
      </c>
      <c r="I4261" s="459">
        <f t="shared" si="949"/>
        <v>13.200000000000001</v>
      </c>
      <c r="J4261" s="462"/>
      <c r="K4261" s="463"/>
      <c r="L4261" s="463"/>
      <c r="M4261" s="464"/>
      <c r="N4261" s="464"/>
      <c r="O4261" s="464"/>
      <c r="P4261" s="464"/>
      <c r="Q4261" s="464"/>
      <c r="R4261" s="464"/>
      <c r="S4261" s="464"/>
      <c r="T4261" s="464"/>
      <c r="U4261" s="464"/>
      <c r="V4261" s="464"/>
      <c r="W4261" s="464"/>
      <c r="X4261" s="464"/>
      <c r="Y4261" s="464"/>
      <c r="Z4261" s="464"/>
      <c r="AA4261" s="464"/>
      <c r="AB4261" s="464"/>
      <c r="AC4261" s="464"/>
      <c r="AD4261" s="464"/>
      <c r="AE4261" s="464"/>
      <c r="AF4261" s="464"/>
      <c r="AG4261" s="464"/>
      <c r="AH4261" s="464"/>
      <c r="AI4261" s="464"/>
      <c r="AJ4261" s="464"/>
      <c r="AK4261" s="464"/>
      <c r="AL4261" s="464"/>
      <c r="AM4261" s="464"/>
      <c r="AN4261" s="464"/>
      <c r="AO4261" s="464"/>
      <c r="AP4261" s="464"/>
      <c r="AQ4261" s="464"/>
      <c r="AR4261" s="464"/>
      <c r="AS4261" s="464"/>
      <c r="AT4261" s="464"/>
      <c r="AU4261" s="464"/>
      <c r="AV4261" s="464"/>
      <c r="AW4261" s="464"/>
      <c r="AX4261" s="464"/>
      <c r="AY4261" s="464"/>
      <c r="AZ4261" s="464"/>
      <c r="BA4261" s="464"/>
      <c r="BB4261" s="464"/>
      <c r="BC4261" s="464"/>
      <c r="BD4261" s="464"/>
      <c r="BE4261" s="464"/>
      <c r="BF4261" s="464"/>
      <c r="BG4261" s="464"/>
      <c r="BH4261" s="464"/>
      <c r="BI4261" s="464"/>
      <c r="BJ4261" s="464"/>
      <c r="BK4261" s="464"/>
      <c r="BL4261" s="464"/>
    </row>
    <row r="4262" spans="1:64" ht="25">
      <c r="A4262" s="406"/>
      <c r="B4262" s="406"/>
      <c r="C4262" s="417" t="s">
        <v>1462</v>
      </c>
      <c r="D4262" s="441">
        <v>1.2E-2</v>
      </c>
      <c r="E4262" s="406" t="s">
        <v>375</v>
      </c>
      <c r="F4262" s="432">
        <f>'[161]Civil-SOR'!G297</f>
        <v>675</v>
      </c>
      <c r="G4262" s="431">
        <v>1</v>
      </c>
      <c r="H4262" s="406" t="s">
        <v>678</v>
      </c>
      <c r="I4262" s="459">
        <f t="shared" si="949"/>
        <v>8.1</v>
      </c>
      <c r="J4262" s="462"/>
      <c r="K4262" s="463"/>
      <c r="L4262" s="463"/>
      <c r="M4262" s="464"/>
      <c r="N4262" s="464"/>
      <c r="O4262" s="464"/>
      <c r="P4262" s="464"/>
      <c r="Q4262" s="464"/>
      <c r="R4262" s="464"/>
      <c r="S4262" s="464"/>
      <c r="T4262" s="464"/>
      <c r="U4262" s="464"/>
      <c r="V4262" s="464"/>
      <c r="W4262" s="464"/>
      <c r="X4262" s="464"/>
      <c r="Y4262" s="464"/>
      <c r="Z4262" s="464"/>
      <c r="AA4262" s="464"/>
      <c r="AB4262" s="464"/>
      <c r="AC4262" s="464"/>
      <c r="AD4262" s="464"/>
      <c r="AE4262" s="464"/>
      <c r="AF4262" s="464"/>
      <c r="AG4262" s="464"/>
      <c r="AH4262" s="464"/>
      <c r="AI4262" s="464"/>
      <c r="AJ4262" s="464"/>
      <c r="AK4262" s="464"/>
      <c r="AL4262" s="464"/>
      <c r="AM4262" s="464"/>
      <c r="AN4262" s="464"/>
      <c r="AO4262" s="464"/>
      <c r="AP4262" s="464"/>
      <c r="AQ4262" s="464"/>
      <c r="AR4262" s="464"/>
      <c r="AS4262" s="464"/>
      <c r="AT4262" s="464"/>
      <c r="AU4262" s="464"/>
      <c r="AV4262" s="464"/>
      <c r="AW4262" s="464"/>
      <c r="AX4262" s="464"/>
      <c r="AY4262" s="464"/>
      <c r="AZ4262" s="464"/>
      <c r="BA4262" s="464"/>
      <c r="BB4262" s="464"/>
      <c r="BC4262" s="464"/>
      <c r="BD4262" s="464"/>
      <c r="BE4262" s="464"/>
      <c r="BF4262" s="464"/>
      <c r="BG4262" s="464"/>
      <c r="BH4262" s="464"/>
      <c r="BI4262" s="464"/>
      <c r="BJ4262" s="464"/>
      <c r="BK4262" s="464"/>
      <c r="BL4262" s="464"/>
    </row>
    <row r="4263" spans="1:64">
      <c r="A4263" s="406"/>
      <c r="B4263" s="406"/>
      <c r="C4263" s="417" t="s">
        <v>1463</v>
      </c>
      <c r="D4263" s="441">
        <v>1.2E-2</v>
      </c>
      <c r="E4263" s="406" t="s">
        <v>375</v>
      </c>
      <c r="F4263" s="432">
        <f>'[161]Civil-SOR'!G297</f>
        <v>675</v>
      </c>
      <c r="G4263" s="431">
        <v>1</v>
      </c>
      <c r="H4263" s="406" t="s">
        <v>678</v>
      </c>
      <c r="I4263" s="459">
        <f t="shared" si="949"/>
        <v>8.1</v>
      </c>
      <c r="J4263" s="462"/>
      <c r="K4263" s="463"/>
      <c r="L4263" s="463"/>
      <c r="M4263" s="464"/>
      <c r="N4263" s="464" t="s">
        <v>1464</v>
      </c>
      <c r="O4263" s="464"/>
      <c r="P4263" s="464"/>
      <c r="Q4263" s="464"/>
      <c r="R4263" s="464"/>
      <c r="S4263" s="464"/>
      <c r="T4263" s="464"/>
      <c r="U4263" s="464"/>
      <c r="V4263" s="464"/>
      <c r="W4263" s="464"/>
      <c r="X4263" s="464"/>
      <c r="Y4263" s="464"/>
      <c r="Z4263" s="464"/>
      <c r="AA4263" s="464"/>
      <c r="AB4263" s="464"/>
      <c r="AC4263" s="464"/>
      <c r="AD4263" s="464"/>
      <c r="AE4263" s="464"/>
      <c r="AF4263" s="464"/>
      <c r="AG4263" s="464"/>
      <c r="AH4263" s="464"/>
      <c r="AI4263" s="464"/>
      <c r="AJ4263" s="464"/>
      <c r="AK4263" s="464"/>
      <c r="AL4263" s="464"/>
      <c r="AM4263" s="464"/>
      <c r="AN4263" s="464"/>
      <c r="AO4263" s="464"/>
      <c r="AP4263" s="464"/>
      <c r="AQ4263" s="464"/>
      <c r="AR4263" s="464"/>
      <c r="AS4263" s="464"/>
      <c r="AT4263" s="464"/>
      <c r="AU4263" s="464"/>
      <c r="AV4263" s="464"/>
      <c r="AW4263" s="464"/>
      <c r="AX4263" s="464"/>
      <c r="AY4263" s="464"/>
      <c r="AZ4263" s="464"/>
      <c r="BA4263" s="464"/>
      <c r="BB4263" s="464"/>
      <c r="BC4263" s="464"/>
      <c r="BD4263" s="464"/>
      <c r="BE4263" s="464"/>
      <c r="BF4263" s="464"/>
      <c r="BG4263" s="464"/>
      <c r="BH4263" s="464"/>
      <c r="BI4263" s="464"/>
      <c r="BJ4263" s="464"/>
      <c r="BK4263" s="464"/>
      <c r="BL4263" s="464"/>
    </row>
    <row r="4264" spans="1:64">
      <c r="A4264" s="406"/>
      <c r="B4264" s="406"/>
      <c r="C4264" s="417" t="s">
        <v>1465</v>
      </c>
      <c r="D4264" s="441">
        <v>7.1999999999999995E-2</v>
      </c>
      <c r="E4264" s="406" t="s">
        <v>375</v>
      </c>
      <c r="F4264" s="432">
        <f>'[161]Civil-SOR'!$G$307</f>
        <v>520</v>
      </c>
      <c r="G4264" s="431">
        <v>1</v>
      </c>
      <c r="H4264" s="406" t="s">
        <v>678</v>
      </c>
      <c r="I4264" s="459">
        <f t="shared" si="949"/>
        <v>37.44</v>
      </c>
      <c r="J4264" s="462"/>
      <c r="K4264" s="463"/>
      <c r="L4264" s="463"/>
      <c r="M4264" s="464"/>
      <c r="N4264" s="464"/>
      <c r="O4264" s="464"/>
      <c r="P4264" s="464"/>
      <c r="Q4264" s="464"/>
      <c r="R4264" s="464"/>
      <c r="S4264" s="464"/>
      <c r="T4264" s="464"/>
      <c r="U4264" s="464"/>
      <c r="V4264" s="464"/>
      <c r="W4264" s="464"/>
      <c r="X4264" s="464"/>
      <c r="Y4264" s="464"/>
      <c r="Z4264" s="464"/>
      <c r="AA4264" s="464"/>
      <c r="AB4264" s="464"/>
      <c r="AC4264" s="464"/>
      <c r="AD4264" s="464"/>
      <c r="AE4264" s="464"/>
      <c r="AF4264" s="464"/>
      <c r="AG4264" s="464"/>
      <c r="AH4264" s="464"/>
      <c r="AI4264" s="464"/>
      <c r="AJ4264" s="464"/>
      <c r="AK4264" s="464"/>
      <c r="AL4264" s="464"/>
      <c r="AM4264" s="464"/>
      <c r="AN4264" s="464"/>
      <c r="AO4264" s="464"/>
      <c r="AP4264" s="464"/>
      <c r="AQ4264" s="464"/>
      <c r="AR4264" s="464"/>
      <c r="AS4264" s="464"/>
      <c r="AT4264" s="464"/>
      <c r="AU4264" s="464"/>
      <c r="AV4264" s="464"/>
      <c r="AW4264" s="464"/>
      <c r="AX4264" s="464"/>
      <c r="AY4264" s="464"/>
      <c r="AZ4264" s="464"/>
      <c r="BA4264" s="464"/>
      <c r="BB4264" s="464"/>
      <c r="BC4264" s="464"/>
      <c r="BD4264" s="464"/>
      <c r="BE4264" s="464"/>
      <c r="BF4264" s="464"/>
      <c r="BG4264" s="464"/>
      <c r="BH4264" s="464"/>
      <c r="BI4264" s="464"/>
      <c r="BJ4264" s="464"/>
      <c r="BK4264" s="464"/>
      <c r="BL4264" s="464"/>
    </row>
    <row r="4265" spans="1:64">
      <c r="A4265" s="406"/>
      <c r="B4265" s="406"/>
      <c r="C4265" s="417" t="str">
        <f>[161]Input!$C$47</f>
        <v>Add for MA @ 40%</v>
      </c>
      <c r="D4265" s="459">
        <f>[161]Input!$D$47</f>
        <v>0.4</v>
      </c>
      <c r="E4265" s="406"/>
      <c r="F4265" s="432">
        <f>SUM(I4258:I4264)</f>
        <v>230.99999999999997</v>
      </c>
      <c r="G4265" s="431"/>
      <c r="H4265" s="406"/>
      <c r="I4265" s="459">
        <f t="shared" si="949"/>
        <v>92.399999999999991</v>
      </c>
      <c r="J4265" s="462"/>
      <c r="K4265" s="463"/>
      <c r="L4265" s="463"/>
      <c r="M4265" s="464"/>
      <c r="N4265" s="464"/>
      <c r="O4265" s="464"/>
      <c r="P4265" s="464"/>
      <c r="Q4265" s="464"/>
      <c r="R4265" s="464"/>
      <c r="S4265" s="464"/>
      <c r="T4265" s="464"/>
      <c r="U4265" s="464"/>
      <c r="V4265" s="464"/>
      <c r="W4265" s="464"/>
      <c r="X4265" s="464"/>
      <c r="Y4265" s="464"/>
      <c r="Z4265" s="464"/>
      <c r="AA4265" s="464"/>
      <c r="AB4265" s="464"/>
      <c r="AC4265" s="464"/>
      <c r="AD4265" s="464"/>
      <c r="AE4265" s="464"/>
      <c r="AF4265" s="464"/>
      <c r="AG4265" s="464"/>
      <c r="AH4265" s="464"/>
      <c r="AI4265" s="464"/>
      <c r="AJ4265" s="464"/>
      <c r="AK4265" s="464"/>
      <c r="AL4265" s="464"/>
      <c r="AM4265" s="464"/>
      <c r="AN4265" s="464"/>
      <c r="AO4265" s="464"/>
      <c r="AP4265" s="464"/>
      <c r="AQ4265" s="464"/>
      <c r="AR4265" s="464"/>
      <c r="AS4265" s="464"/>
      <c r="AT4265" s="464"/>
      <c r="AU4265" s="464"/>
      <c r="AV4265" s="464"/>
      <c r="AW4265" s="464"/>
      <c r="AX4265" s="464"/>
      <c r="AY4265" s="464"/>
      <c r="AZ4265" s="464"/>
      <c r="BA4265" s="464"/>
      <c r="BB4265" s="464"/>
      <c r="BC4265" s="464"/>
      <c r="BD4265" s="464"/>
      <c r="BE4265" s="464"/>
      <c r="BF4265" s="464"/>
      <c r="BG4265" s="464"/>
      <c r="BH4265" s="464"/>
      <c r="BI4265" s="464"/>
      <c r="BJ4265" s="464"/>
      <c r="BK4265" s="464"/>
      <c r="BL4265" s="464"/>
    </row>
    <row r="4266" spans="1:64" ht="13">
      <c r="A4266" s="406"/>
      <c r="B4266" s="406"/>
      <c r="C4266" s="427" t="s">
        <v>1466</v>
      </c>
      <c r="D4266" s="432"/>
      <c r="E4266" s="406"/>
      <c r="F4266" s="432"/>
      <c r="G4266" s="431"/>
      <c r="H4266" s="406"/>
      <c r="I4266" s="432"/>
      <c r="J4266" s="462"/>
      <c r="K4266" s="463"/>
      <c r="L4266" s="463"/>
      <c r="M4266" s="464"/>
      <c r="N4266" s="464"/>
      <c r="O4266" s="464"/>
      <c r="P4266" s="464"/>
      <c r="Q4266" s="464"/>
      <c r="R4266" s="464"/>
      <c r="S4266" s="464"/>
      <c r="T4266" s="464"/>
      <c r="U4266" s="464"/>
      <c r="V4266" s="464"/>
      <c r="W4266" s="464"/>
      <c r="X4266" s="464"/>
      <c r="Y4266" s="464"/>
      <c r="Z4266" s="464"/>
      <c r="AA4266" s="464"/>
      <c r="AB4266" s="464"/>
      <c r="AC4266" s="464"/>
      <c r="AD4266" s="464"/>
      <c r="AE4266" s="464"/>
      <c r="AF4266" s="464"/>
      <c r="AG4266" s="464"/>
      <c r="AH4266" s="464"/>
      <c r="AI4266" s="464"/>
      <c r="AJ4266" s="464"/>
      <c r="AK4266" s="464"/>
      <c r="AL4266" s="464"/>
      <c r="AM4266" s="464"/>
      <c r="AN4266" s="464"/>
      <c r="AO4266" s="464"/>
      <c r="AP4266" s="464"/>
      <c r="AQ4266" s="464"/>
      <c r="AR4266" s="464"/>
      <c r="AS4266" s="464"/>
      <c r="AT4266" s="464"/>
      <c r="AU4266" s="464"/>
      <c r="AV4266" s="464"/>
      <c r="AW4266" s="464"/>
      <c r="AX4266" s="464"/>
      <c r="AY4266" s="464"/>
      <c r="AZ4266" s="464"/>
      <c r="BA4266" s="464"/>
      <c r="BB4266" s="464"/>
      <c r="BC4266" s="464"/>
      <c r="BD4266" s="464"/>
      <c r="BE4266" s="464"/>
      <c r="BF4266" s="464"/>
      <c r="BG4266" s="464"/>
      <c r="BH4266" s="464"/>
      <c r="BI4266" s="464"/>
      <c r="BJ4266" s="464"/>
      <c r="BK4266" s="464"/>
      <c r="BL4266" s="464"/>
    </row>
    <row r="4267" spans="1:64" ht="25">
      <c r="A4267" s="406"/>
      <c r="B4267" s="406"/>
      <c r="C4267" s="417" t="s">
        <v>1467</v>
      </c>
      <c r="D4267" s="432">
        <v>0.32</v>
      </c>
      <c r="E4267" s="406" t="s">
        <v>830</v>
      </c>
      <c r="F4267" s="432">
        <f>'[161]Civil-SOR'!$G$194</f>
        <v>146</v>
      </c>
      <c r="G4267" s="431">
        <v>1</v>
      </c>
      <c r="H4267" s="406" t="s">
        <v>678</v>
      </c>
      <c r="I4267" s="459">
        <f t="shared" ref="I4267:I4268" si="950">IF(G4267="",D4267*F4267,(D4267*F4267/G4267))</f>
        <v>46.72</v>
      </c>
      <c r="J4267" s="462"/>
      <c r="K4267" s="463"/>
      <c r="L4267" s="463"/>
      <c r="M4267" s="464"/>
      <c r="N4267" s="464"/>
      <c r="O4267" s="464"/>
      <c r="P4267" s="464"/>
      <c r="Q4267" s="464"/>
      <c r="R4267" s="464"/>
      <c r="S4267" s="464"/>
      <c r="T4267" s="464"/>
      <c r="U4267" s="464"/>
      <c r="V4267" s="464"/>
      <c r="W4267" s="464"/>
      <c r="X4267" s="464"/>
      <c r="Y4267" s="464"/>
      <c r="Z4267" s="464"/>
      <c r="AA4267" s="464"/>
      <c r="AB4267" s="464"/>
      <c r="AC4267" s="464"/>
      <c r="AD4267" s="464"/>
      <c r="AE4267" s="464"/>
      <c r="AF4267" s="464"/>
      <c r="AG4267" s="464"/>
      <c r="AH4267" s="464"/>
      <c r="AI4267" s="464"/>
      <c r="AJ4267" s="464"/>
      <c r="AK4267" s="464"/>
      <c r="AL4267" s="464"/>
      <c r="AM4267" s="464"/>
      <c r="AN4267" s="464"/>
      <c r="AO4267" s="464"/>
      <c r="AP4267" s="464"/>
      <c r="AQ4267" s="464"/>
      <c r="AR4267" s="464"/>
      <c r="AS4267" s="464"/>
      <c r="AT4267" s="464"/>
      <c r="AU4267" s="464"/>
      <c r="AV4267" s="464"/>
      <c r="AW4267" s="464"/>
      <c r="AX4267" s="464"/>
      <c r="AY4267" s="464"/>
      <c r="AZ4267" s="464"/>
      <c r="BA4267" s="464"/>
      <c r="BB4267" s="464"/>
      <c r="BC4267" s="464"/>
      <c r="BD4267" s="464"/>
      <c r="BE4267" s="464"/>
      <c r="BF4267" s="464"/>
      <c r="BG4267" s="464"/>
      <c r="BH4267" s="464"/>
      <c r="BI4267" s="464"/>
      <c r="BJ4267" s="464"/>
      <c r="BK4267" s="464"/>
      <c r="BL4267" s="464"/>
    </row>
    <row r="4268" spans="1:64" ht="25">
      <c r="A4268" s="406"/>
      <c r="B4268" s="406"/>
      <c r="C4268" s="417" t="s">
        <v>1468</v>
      </c>
      <c r="D4268" s="432">
        <v>0.32</v>
      </c>
      <c r="E4268" s="406" t="s">
        <v>830</v>
      </c>
      <c r="F4268" s="432">
        <f>'[161]Civil-SOR'!$G$195</f>
        <v>137</v>
      </c>
      <c r="G4268" s="431">
        <v>1</v>
      </c>
      <c r="H4268" s="406" t="s">
        <v>678</v>
      </c>
      <c r="I4268" s="459">
        <f t="shared" si="950"/>
        <v>43.84</v>
      </c>
      <c r="J4268" s="462"/>
      <c r="K4268" s="463"/>
      <c r="L4268" s="463"/>
      <c r="M4268" s="464"/>
      <c r="N4268" s="464"/>
      <c r="O4268" s="464"/>
      <c r="P4268" s="464"/>
      <c r="Q4268" s="464"/>
      <c r="R4268" s="464"/>
      <c r="S4268" s="464"/>
      <c r="T4268" s="464"/>
      <c r="U4268" s="464"/>
      <c r="V4268" s="464"/>
      <c r="W4268" s="464"/>
      <c r="X4268" s="464"/>
      <c r="Y4268" s="464"/>
      <c r="Z4268" s="464"/>
      <c r="AA4268" s="464"/>
      <c r="AB4268" s="464"/>
      <c r="AC4268" s="464"/>
      <c r="AD4268" s="464"/>
      <c r="AE4268" s="464"/>
      <c r="AF4268" s="464"/>
      <c r="AG4268" s="464"/>
      <c r="AH4268" s="464"/>
      <c r="AI4268" s="464"/>
      <c r="AJ4268" s="464"/>
      <c r="AK4268" s="464"/>
      <c r="AL4268" s="464"/>
      <c r="AM4268" s="464"/>
      <c r="AN4268" s="464"/>
      <c r="AO4268" s="464"/>
      <c r="AP4268" s="464"/>
      <c r="AQ4268" s="464"/>
      <c r="AR4268" s="464"/>
      <c r="AS4268" s="464"/>
      <c r="AT4268" s="464"/>
      <c r="AU4268" s="464"/>
      <c r="AV4268" s="464"/>
      <c r="AW4268" s="464"/>
      <c r="AX4268" s="464"/>
      <c r="AY4268" s="464"/>
      <c r="AZ4268" s="464"/>
      <c r="BA4268" s="464"/>
      <c r="BB4268" s="464"/>
      <c r="BC4268" s="464"/>
      <c r="BD4268" s="464"/>
      <c r="BE4268" s="464"/>
      <c r="BF4268" s="464"/>
      <c r="BG4268" s="464"/>
      <c r="BH4268" s="464"/>
      <c r="BI4268" s="464"/>
      <c r="BJ4268" s="464"/>
      <c r="BK4268" s="464"/>
      <c r="BL4268" s="464"/>
    </row>
    <row r="4269" spans="1:64" ht="13">
      <c r="A4269" s="406"/>
      <c r="B4269" s="406"/>
      <c r="C4269" s="417"/>
      <c r="D4269" s="432"/>
      <c r="E4269" s="406"/>
      <c r="F4269" s="432"/>
      <c r="G4269" s="431"/>
      <c r="H4269" s="406"/>
      <c r="I4269" s="461">
        <f>SUM(I4251:I4268)</f>
        <v>1211.5200000000002</v>
      </c>
      <c r="J4269" s="462"/>
      <c r="K4269" s="463"/>
      <c r="L4269" s="463"/>
      <c r="M4269" s="464"/>
      <c r="N4269" s="464"/>
      <c r="O4269" s="464"/>
      <c r="P4269" s="464"/>
      <c r="Q4269" s="464"/>
      <c r="R4269" s="464"/>
      <c r="S4269" s="464"/>
      <c r="T4269" s="464"/>
      <c r="U4269" s="464"/>
      <c r="V4269" s="464"/>
      <c r="W4269" s="464"/>
      <c r="X4269" s="464"/>
      <c r="Y4269" s="464"/>
      <c r="Z4269" s="464"/>
      <c r="AA4269" s="464"/>
      <c r="AB4269" s="464"/>
      <c r="AC4269" s="464"/>
      <c r="AD4269" s="464"/>
      <c r="AE4269" s="464"/>
      <c r="AF4269" s="464"/>
      <c r="AG4269" s="464"/>
      <c r="AH4269" s="464"/>
      <c r="AI4269" s="464"/>
      <c r="AJ4269" s="464"/>
      <c r="AK4269" s="464"/>
      <c r="AL4269" s="464"/>
      <c r="AM4269" s="464"/>
      <c r="AN4269" s="464"/>
      <c r="AO4269" s="464"/>
      <c r="AP4269" s="464"/>
      <c r="AQ4269" s="464"/>
      <c r="AR4269" s="464"/>
      <c r="AS4269" s="464"/>
      <c r="AT4269" s="464"/>
      <c r="AU4269" s="464"/>
      <c r="AV4269" s="464"/>
      <c r="AW4269" s="464"/>
      <c r="AX4269" s="464"/>
      <c r="AY4269" s="464"/>
      <c r="AZ4269" s="464"/>
      <c r="BA4269" s="464"/>
      <c r="BB4269" s="464"/>
      <c r="BC4269" s="464"/>
      <c r="BD4269" s="464"/>
      <c r="BE4269" s="464"/>
      <c r="BF4269" s="464"/>
      <c r="BG4269" s="464"/>
      <c r="BH4269" s="464"/>
      <c r="BI4269" s="464"/>
      <c r="BJ4269" s="464"/>
      <c r="BK4269" s="464"/>
      <c r="BL4269" s="464"/>
    </row>
    <row r="4270" spans="1:64">
      <c r="A4270" s="406"/>
      <c r="B4270" s="406"/>
      <c r="C4270" s="417" t="s">
        <v>1469</v>
      </c>
      <c r="D4270" s="432">
        <v>0.01</v>
      </c>
      <c r="E4270" s="406"/>
      <c r="F4270" s="432">
        <f>I4269</f>
        <v>1211.5200000000002</v>
      </c>
      <c r="G4270" s="431"/>
      <c r="H4270" s="406"/>
      <c r="I4270" s="459">
        <f>IF(G4270="",D4270*F4270,(D4270*F4270/G4270))</f>
        <v>12.115200000000002</v>
      </c>
      <c r="J4270" s="462"/>
      <c r="K4270" s="463"/>
      <c r="L4270" s="463"/>
      <c r="M4270" s="464"/>
      <c r="N4270" s="464"/>
      <c r="O4270" s="464"/>
      <c r="P4270" s="464"/>
      <c r="Q4270" s="464"/>
      <c r="R4270" s="464"/>
      <c r="S4270" s="464"/>
      <c r="T4270" s="464"/>
      <c r="U4270" s="464"/>
      <c r="V4270" s="464"/>
      <c r="W4270" s="464"/>
      <c r="X4270" s="464"/>
      <c r="Y4270" s="464"/>
      <c r="Z4270" s="464"/>
      <c r="AA4270" s="464"/>
      <c r="AB4270" s="464"/>
      <c r="AC4270" s="464"/>
      <c r="AD4270" s="464"/>
      <c r="AE4270" s="464"/>
      <c r="AF4270" s="464"/>
      <c r="AG4270" s="464"/>
      <c r="AH4270" s="464"/>
      <c r="AI4270" s="464"/>
      <c r="AJ4270" s="464"/>
      <c r="AK4270" s="464"/>
      <c r="AL4270" s="464"/>
      <c r="AM4270" s="464"/>
      <c r="AN4270" s="464"/>
      <c r="AO4270" s="464"/>
      <c r="AP4270" s="464"/>
      <c r="AQ4270" s="464"/>
      <c r="AR4270" s="464"/>
      <c r="AS4270" s="464"/>
      <c r="AT4270" s="464"/>
      <c r="AU4270" s="464"/>
      <c r="AV4270" s="464"/>
      <c r="AW4270" s="464"/>
      <c r="AX4270" s="464"/>
      <c r="AY4270" s="464"/>
      <c r="AZ4270" s="464"/>
      <c r="BA4270" s="464"/>
      <c r="BB4270" s="464"/>
      <c r="BC4270" s="464"/>
      <c r="BD4270" s="464"/>
      <c r="BE4270" s="464"/>
      <c r="BF4270" s="464"/>
      <c r="BG4270" s="464"/>
      <c r="BH4270" s="464"/>
      <c r="BI4270" s="464"/>
      <c r="BJ4270" s="464"/>
      <c r="BK4270" s="464"/>
      <c r="BL4270" s="464"/>
    </row>
    <row r="4271" spans="1:64" ht="13">
      <c r="A4271" s="406"/>
      <c r="B4271" s="406"/>
      <c r="C4271" s="427" t="s">
        <v>1470</v>
      </c>
      <c r="D4271" s="432"/>
      <c r="E4271" s="406"/>
      <c r="F4271" s="432"/>
      <c r="G4271" s="431"/>
      <c r="H4271" s="406"/>
      <c r="I4271" s="422">
        <f>SUM(I4269:I4270)</f>
        <v>1223.6352000000002</v>
      </c>
      <c r="J4271" s="462"/>
      <c r="K4271" s="463"/>
      <c r="L4271" s="463"/>
      <c r="M4271" s="464"/>
      <c r="N4271" s="464"/>
      <c r="O4271" s="464"/>
      <c r="P4271" s="464"/>
      <c r="Q4271" s="464"/>
      <c r="R4271" s="464"/>
      <c r="S4271" s="464"/>
      <c r="T4271" s="464"/>
      <c r="U4271" s="464"/>
      <c r="V4271" s="464"/>
      <c r="W4271" s="464"/>
      <c r="X4271" s="464"/>
      <c r="Y4271" s="464"/>
      <c r="Z4271" s="464"/>
      <c r="AA4271" s="464"/>
      <c r="AB4271" s="464"/>
      <c r="AC4271" s="464"/>
      <c r="AD4271" s="464"/>
      <c r="AE4271" s="464"/>
      <c r="AF4271" s="464"/>
      <c r="AG4271" s="464"/>
      <c r="AH4271" s="464"/>
      <c r="AI4271" s="464"/>
      <c r="AJ4271" s="464"/>
      <c r="AK4271" s="464"/>
      <c r="AL4271" s="464"/>
      <c r="AM4271" s="464"/>
      <c r="AN4271" s="464"/>
      <c r="AO4271" s="464"/>
      <c r="AP4271" s="464"/>
      <c r="AQ4271" s="464"/>
      <c r="AR4271" s="464"/>
      <c r="AS4271" s="464"/>
      <c r="AT4271" s="464"/>
      <c r="AU4271" s="464"/>
      <c r="AV4271" s="464"/>
      <c r="AW4271" s="464"/>
      <c r="AX4271" s="464"/>
      <c r="AY4271" s="464"/>
      <c r="AZ4271" s="464"/>
      <c r="BA4271" s="464"/>
      <c r="BB4271" s="464"/>
      <c r="BC4271" s="464"/>
      <c r="BD4271" s="464"/>
      <c r="BE4271" s="464"/>
      <c r="BF4271" s="464"/>
      <c r="BG4271" s="464"/>
      <c r="BH4271" s="464"/>
      <c r="BI4271" s="464"/>
      <c r="BJ4271" s="464"/>
      <c r="BK4271" s="464"/>
      <c r="BL4271" s="464"/>
    </row>
    <row r="4272" spans="1:64" ht="25">
      <c r="A4272" s="406"/>
      <c r="B4272" s="406"/>
      <c r="C4272" s="417" t="str">
        <f>[161]Input!$C$48</f>
        <v>Overheads &amp; Contractors Profit @ 13.615%</v>
      </c>
      <c r="D4272" s="465">
        <f>[161]Input!$D$48</f>
        <v>0.13614999999999999</v>
      </c>
      <c r="E4272" s="406"/>
      <c r="F4272" s="432">
        <f>I4271</f>
        <v>1223.6352000000002</v>
      </c>
      <c r="G4272" s="431"/>
      <c r="H4272" s="406"/>
      <c r="I4272" s="459">
        <f>IF(G4272="",D4272*F4272,(D4272*F4272/G4272))</f>
        <v>166.59793248000003</v>
      </c>
      <c r="J4272" s="462"/>
      <c r="K4272" s="463"/>
      <c r="L4272" s="463"/>
      <c r="M4272" s="464"/>
      <c r="N4272" s="464"/>
      <c r="O4272" s="464"/>
      <c r="P4272" s="464"/>
      <c r="Q4272" s="464"/>
      <c r="R4272" s="464"/>
      <c r="S4272" s="464"/>
      <c r="T4272" s="464"/>
      <c r="U4272" s="464"/>
      <c r="V4272" s="464"/>
      <c r="W4272" s="464"/>
      <c r="X4272" s="464"/>
      <c r="Y4272" s="464"/>
      <c r="Z4272" s="464"/>
      <c r="AA4272" s="464"/>
      <c r="AB4272" s="464"/>
      <c r="AC4272" s="464"/>
      <c r="AD4272" s="464"/>
      <c r="AE4272" s="464"/>
      <c r="AF4272" s="464"/>
      <c r="AG4272" s="464"/>
      <c r="AH4272" s="464"/>
      <c r="AI4272" s="464"/>
      <c r="AJ4272" s="464"/>
      <c r="AK4272" s="464"/>
      <c r="AL4272" s="464"/>
      <c r="AM4272" s="464"/>
      <c r="AN4272" s="464"/>
      <c r="AO4272" s="464"/>
      <c r="AP4272" s="464"/>
      <c r="AQ4272" s="464"/>
      <c r="AR4272" s="464"/>
      <c r="AS4272" s="464"/>
      <c r="AT4272" s="464"/>
      <c r="AU4272" s="464"/>
      <c r="AV4272" s="464"/>
      <c r="AW4272" s="464"/>
      <c r="AX4272" s="464"/>
      <c r="AY4272" s="464"/>
      <c r="AZ4272" s="464"/>
      <c r="BA4272" s="464"/>
      <c r="BB4272" s="464"/>
      <c r="BC4272" s="464"/>
      <c r="BD4272" s="464"/>
      <c r="BE4272" s="464"/>
      <c r="BF4272" s="464"/>
      <c r="BG4272" s="464"/>
      <c r="BH4272" s="464"/>
      <c r="BI4272" s="464"/>
      <c r="BJ4272" s="464"/>
      <c r="BK4272" s="464"/>
      <c r="BL4272" s="464"/>
    </row>
    <row r="4273" spans="1:64" ht="13">
      <c r="A4273" s="406"/>
      <c r="B4273" s="406"/>
      <c r="C4273" s="427" t="s">
        <v>742</v>
      </c>
      <c r="D4273" s="432"/>
      <c r="E4273" s="406"/>
      <c r="F4273" s="432"/>
      <c r="G4273" s="431"/>
      <c r="H4273" s="406"/>
      <c r="I4273" s="432">
        <f>SUM(I4271:I4272)</f>
        <v>1390.2331324800002</v>
      </c>
      <c r="J4273" s="462"/>
      <c r="K4273" s="463"/>
      <c r="L4273" s="463"/>
      <c r="M4273" s="464"/>
      <c r="N4273" s="464"/>
      <c r="O4273" s="464"/>
      <c r="P4273" s="464"/>
      <c r="Q4273" s="464"/>
      <c r="R4273" s="464"/>
      <c r="S4273" s="464"/>
      <c r="T4273" s="464"/>
      <c r="U4273" s="464"/>
      <c r="V4273" s="464"/>
      <c r="W4273" s="464"/>
      <c r="X4273" s="464"/>
      <c r="Y4273" s="464"/>
      <c r="Z4273" s="464"/>
      <c r="AA4273" s="464"/>
      <c r="AB4273" s="464"/>
      <c r="AC4273" s="464"/>
      <c r="AD4273" s="464"/>
      <c r="AE4273" s="464"/>
      <c r="AF4273" s="464"/>
      <c r="AG4273" s="464"/>
      <c r="AH4273" s="464"/>
      <c r="AI4273" s="464"/>
      <c r="AJ4273" s="464"/>
      <c r="AK4273" s="464"/>
      <c r="AL4273" s="464"/>
      <c r="AM4273" s="464"/>
      <c r="AN4273" s="464"/>
      <c r="AO4273" s="464"/>
      <c r="AP4273" s="464"/>
      <c r="AQ4273" s="464"/>
      <c r="AR4273" s="464"/>
      <c r="AS4273" s="464"/>
      <c r="AT4273" s="464"/>
      <c r="AU4273" s="464"/>
      <c r="AV4273" s="464"/>
      <c r="AW4273" s="464"/>
      <c r="AX4273" s="464"/>
      <c r="AY4273" s="464"/>
      <c r="AZ4273" s="464"/>
      <c r="BA4273" s="464"/>
      <c r="BB4273" s="464"/>
      <c r="BC4273" s="464"/>
      <c r="BD4273" s="464"/>
      <c r="BE4273" s="464"/>
      <c r="BF4273" s="464"/>
      <c r="BG4273" s="464"/>
      <c r="BH4273" s="464"/>
      <c r="BI4273" s="464"/>
      <c r="BJ4273" s="464"/>
      <c r="BK4273" s="464"/>
      <c r="BL4273" s="464"/>
    </row>
    <row r="4274" spans="1:64" ht="13">
      <c r="A4274" s="426"/>
      <c r="B4274" s="426"/>
      <c r="C4274" s="496"/>
      <c r="D4274" s="409"/>
      <c r="E4274" s="426"/>
      <c r="F4274" s="409"/>
      <c r="G4274" s="410"/>
      <c r="H4274" s="474" t="s">
        <v>774</v>
      </c>
      <c r="I4274" s="434">
        <f>ROUND(I4273,0)</f>
        <v>1390</v>
      </c>
      <c r="J4274" s="411"/>
      <c r="K4274" s="412"/>
      <c r="L4274" s="412"/>
      <c r="M4274" s="413"/>
      <c r="N4274" s="413"/>
      <c r="O4274" s="413"/>
      <c r="P4274" s="413"/>
      <c r="Q4274" s="413"/>
      <c r="R4274" s="413"/>
      <c r="S4274" s="413"/>
      <c r="T4274" s="413"/>
      <c r="U4274" s="413"/>
      <c r="V4274" s="413"/>
      <c r="W4274" s="413"/>
      <c r="X4274" s="413"/>
      <c r="Y4274" s="413"/>
      <c r="Z4274" s="413"/>
      <c r="AA4274" s="413"/>
      <c r="AB4274" s="413"/>
      <c r="AC4274" s="413"/>
      <c r="AD4274" s="413"/>
      <c r="AE4274" s="413"/>
      <c r="AF4274" s="413"/>
      <c r="AG4274" s="413"/>
      <c r="AH4274" s="413"/>
      <c r="AI4274" s="413"/>
      <c r="AJ4274" s="413"/>
      <c r="AK4274" s="413"/>
      <c r="AL4274" s="413"/>
      <c r="AM4274" s="413"/>
      <c r="AN4274" s="413"/>
      <c r="AO4274" s="413"/>
      <c r="AP4274" s="413"/>
      <c r="AQ4274" s="413"/>
      <c r="AR4274" s="413"/>
      <c r="AS4274" s="413"/>
      <c r="AT4274" s="413"/>
      <c r="AU4274" s="413"/>
      <c r="AV4274" s="413"/>
      <c r="AW4274" s="413"/>
      <c r="AX4274" s="413"/>
      <c r="AY4274" s="413"/>
      <c r="AZ4274" s="413"/>
      <c r="BA4274" s="413"/>
      <c r="BB4274" s="413"/>
      <c r="BC4274" s="413"/>
      <c r="BD4274" s="413"/>
      <c r="BE4274" s="413"/>
      <c r="BF4274" s="413"/>
      <c r="BG4274" s="413"/>
      <c r="BH4274" s="413"/>
      <c r="BI4274" s="413"/>
      <c r="BJ4274" s="413"/>
      <c r="BK4274" s="413"/>
      <c r="BL4274" s="413"/>
    </row>
    <row r="4275" spans="1:64">
      <c r="A4275" s="426"/>
      <c r="B4275" s="426"/>
      <c r="C4275" s="417"/>
      <c r="D4275" s="409"/>
      <c r="E4275" s="426"/>
      <c r="F4275" s="409"/>
      <c r="G4275" s="410"/>
      <c r="H4275" s="426"/>
      <c r="I4275" s="409"/>
      <c r="J4275" s="400"/>
      <c r="K4275" s="401"/>
      <c r="L4275" s="401"/>
      <c r="M4275" s="404"/>
      <c r="N4275" s="404"/>
      <c r="O4275" s="404"/>
      <c r="P4275" s="404"/>
      <c r="Q4275" s="404"/>
      <c r="R4275" s="404"/>
      <c r="S4275" s="404"/>
      <c r="T4275" s="404"/>
      <c r="U4275" s="404"/>
      <c r="V4275" s="404"/>
      <c r="W4275" s="404"/>
      <c r="X4275" s="404"/>
      <c r="Y4275" s="404"/>
      <c r="Z4275" s="404"/>
      <c r="AA4275" s="404"/>
      <c r="AB4275" s="404"/>
      <c r="AC4275" s="404"/>
      <c r="AD4275" s="404"/>
      <c r="AE4275" s="404"/>
      <c r="AF4275" s="404"/>
      <c r="AG4275" s="404"/>
      <c r="AH4275" s="404"/>
      <c r="AI4275" s="404"/>
      <c r="AJ4275" s="404"/>
      <c r="AK4275" s="404"/>
      <c r="AL4275" s="404"/>
      <c r="AM4275" s="404"/>
      <c r="AN4275" s="404"/>
      <c r="AO4275" s="404"/>
      <c r="AP4275" s="404"/>
      <c r="AQ4275" s="404"/>
      <c r="AR4275" s="404"/>
      <c r="AS4275" s="404"/>
      <c r="AT4275" s="404"/>
      <c r="AU4275" s="404"/>
      <c r="AV4275" s="404"/>
      <c r="AW4275" s="404"/>
      <c r="AX4275" s="404"/>
      <c r="AY4275" s="404"/>
      <c r="AZ4275" s="404"/>
      <c r="BA4275" s="404"/>
      <c r="BB4275" s="404"/>
      <c r="BC4275" s="404"/>
      <c r="BD4275" s="404"/>
      <c r="BE4275" s="404"/>
      <c r="BF4275" s="404"/>
      <c r="BG4275" s="404"/>
      <c r="BH4275" s="404"/>
      <c r="BI4275" s="404"/>
      <c r="BJ4275" s="404"/>
      <c r="BK4275" s="404"/>
      <c r="BL4275" s="404"/>
    </row>
    <row r="4276" spans="1:64" ht="126.25" customHeight="1">
      <c r="A4276" s="1280">
        <f>A4247+1</f>
        <v>26</v>
      </c>
      <c r="B4276" s="1280"/>
      <c r="C4276" s="1276" t="s">
        <v>1471</v>
      </c>
      <c r="D4276" s="1276"/>
      <c r="E4276" s="1276"/>
      <c r="F4276" s="1276"/>
      <c r="G4276" s="1276"/>
      <c r="H4276" s="1276"/>
      <c r="I4276" s="407"/>
      <c r="J4276" s="400"/>
      <c r="K4276" s="401"/>
      <c r="L4276" s="401"/>
      <c r="M4276" s="404"/>
      <c r="N4276" s="404"/>
      <c r="O4276" s="404"/>
      <c r="P4276" s="404"/>
      <c r="Q4276" s="404"/>
      <c r="R4276" s="404"/>
      <c r="S4276" s="404"/>
      <c r="T4276" s="404"/>
      <c r="U4276" s="404"/>
      <c r="V4276" s="404"/>
      <c r="W4276" s="404"/>
      <c r="X4276" s="404"/>
      <c r="Y4276" s="404"/>
      <c r="Z4276" s="404"/>
      <c r="AA4276" s="404"/>
      <c r="AB4276" s="404"/>
      <c r="AC4276" s="404"/>
      <c r="AD4276" s="404"/>
      <c r="AE4276" s="404"/>
      <c r="AF4276" s="404"/>
      <c r="AG4276" s="404"/>
      <c r="AH4276" s="404"/>
      <c r="AI4276" s="404"/>
      <c r="AJ4276" s="404"/>
      <c r="AK4276" s="404"/>
      <c r="AL4276" s="404"/>
      <c r="AM4276" s="404"/>
      <c r="AN4276" s="404"/>
      <c r="AO4276" s="404"/>
      <c r="AP4276" s="404"/>
      <c r="AQ4276" s="404"/>
      <c r="AR4276" s="404"/>
      <c r="AS4276" s="404"/>
      <c r="AT4276" s="404"/>
      <c r="AU4276" s="404"/>
      <c r="AV4276" s="404"/>
      <c r="AW4276" s="404"/>
      <c r="AX4276" s="404"/>
      <c r="AY4276" s="404"/>
      <c r="AZ4276" s="404"/>
      <c r="BA4276" s="404"/>
      <c r="BB4276" s="404"/>
      <c r="BC4276" s="404"/>
      <c r="BD4276" s="404"/>
      <c r="BE4276" s="404"/>
      <c r="BF4276" s="404"/>
      <c r="BG4276" s="404"/>
      <c r="BH4276" s="404"/>
      <c r="BI4276" s="404"/>
      <c r="BJ4276" s="404"/>
      <c r="BK4276" s="404"/>
      <c r="BL4276" s="404"/>
    </row>
    <row r="4277" spans="1:64" ht="13">
      <c r="A4277" s="426"/>
      <c r="B4277" s="426"/>
      <c r="C4277" s="455" t="s">
        <v>1472</v>
      </c>
      <c r="D4277" s="409"/>
      <c r="E4277" s="426"/>
      <c r="F4277" s="409"/>
      <c r="G4277" s="410"/>
      <c r="H4277" s="426"/>
      <c r="I4277" s="409"/>
      <c r="J4277" s="400"/>
      <c r="K4277" s="401"/>
      <c r="L4277" s="401"/>
      <c r="M4277" s="404"/>
      <c r="N4277" s="404"/>
      <c r="O4277" s="404"/>
      <c r="P4277" s="404"/>
      <c r="Q4277" s="404"/>
      <c r="R4277" s="404"/>
      <c r="S4277" s="404"/>
      <c r="T4277" s="404"/>
      <c r="U4277" s="404"/>
      <c r="V4277" s="404"/>
      <c r="W4277" s="404"/>
      <c r="X4277" s="404"/>
      <c r="Y4277" s="404"/>
      <c r="Z4277" s="404"/>
      <c r="AA4277" s="404"/>
      <c r="AB4277" s="404"/>
      <c r="AC4277" s="404"/>
      <c r="AD4277" s="404"/>
      <c r="AE4277" s="404"/>
      <c r="AF4277" s="404"/>
      <c r="AG4277" s="404"/>
      <c r="AH4277" s="404"/>
      <c r="AI4277" s="404"/>
      <c r="AJ4277" s="404"/>
      <c r="AK4277" s="404"/>
      <c r="AL4277" s="404"/>
      <c r="AM4277" s="404"/>
      <c r="AN4277" s="404"/>
      <c r="AO4277" s="404"/>
      <c r="AP4277" s="404"/>
      <c r="AQ4277" s="404"/>
      <c r="AR4277" s="404"/>
      <c r="AS4277" s="404"/>
      <c r="AT4277" s="404"/>
      <c r="AU4277" s="404"/>
      <c r="AV4277" s="404"/>
      <c r="AW4277" s="404"/>
      <c r="AX4277" s="404"/>
      <c r="AY4277" s="404"/>
      <c r="AZ4277" s="404"/>
      <c r="BA4277" s="404"/>
      <c r="BB4277" s="404"/>
      <c r="BC4277" s="404"/>
      <c r="BD4277" s="404"/>
      <c r="BE4277" s="404"/>
      <c r="BF4277" s="404"/>
      <c r="BG4277" s="404"/>
      <c r="BH4277" s="404"/>
      <c r="BI4277" s="404"/>
      <c r="BJ4277" s="404"/>
      <c r="BK4277" s="404"/>
      <c r="BL4277" s="404"/>
    </row>
    <row r="4278" spans="1:64">
      <c r="A4278" s="426"/>
      <c r="B4278" s="426"/>
      <c r="C4278" s="417" t="s">
        <v>1473</v>
      </c>
      <c r="D4278" s="409"/>
      <c r="E4278" s="426"/>
      <c r="F4278" s="409"/>
      <c r="G4278" s="410"/>
      <c r="H4278" s="426"/>
      <c r="I4278" s="409"/>
      <c r="J4278" s="400"/>
      <c r="K4278" s="401"/>
      <c r="L4278" s="401"/>
      <c r="M4278" s="404"/>
      <c r="N4278" s="404"/>
      <c r="O4278" s="404"/>
      <c r="P4278" s="404"/>
      <c r="Q4278" s="404"/>
      <c r="R4278" s="404"/>
      <c r="S4278" s="404"/>
      <c r="T4278" s="404"/>
      <c r="U4278" s="404"/>
      <c r="V4278" s="404"/>
      <c r="W4278" s="404"/>
      <c r="X4278" s="404"/>
      <c r="Y4278" s="404"/>
      <c r="Z4278" s="404"/>
      <c r="AA4278" s="404"/>
      <c r="AB4278" s="404"/>
      <c r="AC4278" s="404"/>
      <c r="AD4278" s="404"/>
      <c r="AE4278" s="404"/>
      <c r="AF4278" s="404"/>
      <c r="AG4278" s="404"/>
      <c r="AH4278" s="404"/>
      <c r="AI4278" s="404"/>
      <c r="AJ4278" s="404"/>
      <c r="AK4278" s="404"/>
      <c r="AL4278" s="404"/>
      <c r="AM4278" s="404"/>
      <c r="AN4278" s="404"/>
      <c r="AO4278" s="404"/>
      <c r="AP4278" s="404"/>
      <c r="AQ4278" s="404"/>
      <c r="AR4278" s="404"/>
      <c r="AS4278" s="404"/>
      <c r="AT4278" s="404"/>
      <c r="AU4278" s="404"/>
      <c r="AV4278" s="404"/>
      <c r="AW4278" s="404"/>
      <c r="AX4278" s="404"/>
      <c r="AY4278" s="404"/>
      <c r="AZ4278" s="404"/>
      <c r="BA4278" s="404"/>
      <c r="BB4278" s="404"/>
      <c r="BC4278" s="404"/>
      <c r="BD4278" s="404"/>
      <c r="BE4278" s="404"/>
      <c r="BF4278" s="404"/>
      <c r="BG4278" s="404"/>
      <c r="BH4278" s="404"/>
      <c r="BI4278" s="404"/>
      <c r="BJ4278" s="404"/>
      <c r="BK4278" s="404"/>
      <c r="BL4278" s="404"/>
    </row>
    <row r="4279" spans="1:64" ht="12.75" customHeight="1">
      <c r="A4279" s="406"/>
      <c r="B4279" s="406"/>
      <c r="C4279" s="1296" t="s">
        <v>1474</v>
      </c>
      <c r="D4279" s="1296"/>
      <c r="E4279" s="1296"/>
      <c r="F4279" s="1296"/>
      <c r="G4279" s="431"/>
      <c r="H4279" s="406"/>
      <c r="I4279" s="432"/>
      <c r="J4279" s="462"/>
      <c r="K4279" s="463"/>
      <c r="L4279" s="463"/>
      <c r="M4279" s="464"/>
      <c r="N4279" s="464"/>
      <c r="O4279" s="464"/>
      <c r="P4279" s="464"/>
      <c r="Q4279" s="464"/>
      <c r="R4279" s="464"/>
      <c r="S4279" s="464"/>
      <c r="T4279" s="464"/>
      <c r="U4279" s="464"/>
      <c r="V4279" s="464"/>
      <c r="W4279" s="464"/>
      <c r="X4279" s="464"/>
      <c r="Y4279" s="464"/>
      <c r="Z4279" s="464"/>
      <c r="AA4279" s="464"/>
      <c r="AB4279" s="464"/>
      <c r="AC4279" s="464"/>
      <c r="AD4279" s="464"/>
      <c r="AE4279" s="464"/>
      <c r="AF4279" s="464"/>
      <c r="AG4279" s="464"/>
      <c r="AH4279" s="464"/>
      <c r="AI4279" s="464"/>
      <c r="AJ4279" s="464"/>
      <c r="AK4279" s="464"/>
      <c r="AL4279" s="464"/>
      <c r="AM4279" s="464"/>
      <c r="AN4279" s="464"/>
      <c r="AO4279" s="464"/>
      <c r="AP4279" s="464"/>
      <c r="AQ4279" s="464"/>
      <c r="AR4279" s="464"/>
      <c r="AS4279" s="464"/>
      <c r="AT4279" s="464"/>
      <c r="AU4279" s="464"/>
      <c r="AV4279" s="464"/>
      <c r="AW4279" s="464"/>
      <c r="AX4279" s="464"/>
      <c r="AY4279" s="464"/>
      <c r="AZ4279" s="464"/>
      <c r="BA4279" s="464"/>
      <c r="BB4279" s="464"/>
      <c r="BC4279" s="464"/>
      <c r="BD4279" s="464"/>
      <c r="BE4279" s="464"/>
      <c r="BF4279" s="464"/>
      <c r="BG4279" s="464"/>
      <c r="BH4279" s="464"/>
      <c r="BI4279" s="464"/>
      <c r="BJ4279" s="464"/>
      <c r="BK4279" s="464"/>
      <c r="BL4279" s="464"/>
    </row>
    <row r="4280" spans="1:64" ht="25">
      <c r="A4280" s="406"/>
      <c r="B4280" s="406"/>
      <c r="C4280" s="417" t="s">
        <v>1475</v>
      </c>
      <c r="D4280" s="432">
        <v>1.03</v>
      </c>
      <c r="E4280" s="406" t="s">
        <v>17</v>
      </c>
      <c r="F4280" s="432">
        <f>'[161]Civil-SOR'!$G$82</f>
        <v>253</v>
      </c>
      <c r="G4280" s="431">
        <v>1</v>
      </c>
      <c r="H4280" s="406" t="s">
        <v>17</v>
      </c>
      <c r="I4280" s="459">
        <f t="shared" ref="I4280:I4291" si="951">IF(G4280="",D4280*F4280,(D4280*F4280/G4280))</f>
        <v>260.59000000000003</v>
      </c>
      <c r="J4280" s="735"/>
      <c r="K4280" s="463"/>
      <c r="L4280" s="463"/>
      <c r="M4280" s="464"/>
      <c r="N4280" s="464"/>
      <c r="O4280" s="464"/>
      <c r="P4280" s="464"/>
      <c r="Q4280" s="464"/>
      <c r="R4280" s="464"/>
      <c r="S4280" s="464"/>
      <c r="T4280" s="464"/>
      <c r="U4280" s="464"/>
      <c r="V4280" s="464"/>
      <c r="W4280" s="464"/>
      <c r="X4280" s="464"/>
      <c r="Y4280" s="464"/>
      <c r="Z4280" s="464"/>
      <c r="AA4280" s="464"/>
      <c r="AB4280" s="464"/>
      <c r="AC4280" s="464"/>
      <c r="AD4280" s="464"/>
      <c r="AE4280" s="464"/>
      <c r="AF4280" s="464"/>
      <c r="AG4280" s="464"/>
      <c r="AH4280" s="464"/>
      <c r="AI4280" s="464"/>
      <c r="AJ4280" s="464"/>
      <c r="AK4280" s="464"/>
      <c r="AL4280" s="464"/>
      <c r="AM4280" s="464"/>
      <c r="AN4280" s="464"/>
      <c r="AO4280" s="464"/>
      <c r="AP4280" s="464"/>
      <c r="AQ4280" s="464"/>
      <c r="AR4280" s="464"/>
      <c r="AS4280" s="464"/>
      <c r="AT4280" s="464"/>
      <c r="AU4280" s="464"/>
      <c r="AV4280" s="464"/>
      <c r="AW4280" s="464"/>
      <c r="AX4280" s="464"/>
      <c r="AY4280" s="464"/>
      <c r="AZ4280" s="464"/>
      <c r="BA4280" s="464"/>
      <c r="BB4280" s="464"/>
      <c r="BC4280" s="464"/>
      <c r="BD4280" s="464"/>
      <c r="BE4280" s="464"/>
      <c r="BF4280" s="464"/>
      <c r="BG4280" s="464"/>
      <c r="BH4280" s="464"/>
      <c r="BI4280" s="464"/>
      <c r="BJ4280" s="464"/>
      <c r="BK4280" s="464"/>
      <c r="BL4280" s="464"/>
    </row>
    <row r="4281" spans="1:64" ht="25">
      <c r="A4281" s="406"/>
      <c r="B4281" s="406"/>
      <c r="C4281" s="417" t="s">
        <v>1476</v>
      </c>
      <c r="D4281" s="432">
        <v>0.64</v>
      </c>
      <c r="E4281" s="406" t="s">
        <v>1052</v>
      </c>
      <c r="F4281" s="432">
        <f>'[161]Civil-SOR'!$G$87</f>
        <v>76</v>
      </c>
      <c r="G4281" s="431">
        <v>1</v>
      </c>
      <c r="H4281" s="406" t="s">
        <v>1052</v>
      </c>
      <c r="I4281" s="459">
        <f t="shared" si="951"/>
        <v>48.64</v>
      </c>
      <c r="J4281" s="735"/>
      <c r="K4281" s="463"/>
      <c r="L4281" s="463"/>
      <c r="M4281" s="464"/>
      <c r="N4281" s="464"/>
      <c r="O4281" s="464"/>
      <c r="P4281" s="464"/>
      <c r="Q4281" s="464"/>
      <c r="R4281" s="464"/>
      <c r="S4281" s="464"/>
      <c r="T4281" s="464"/>
      <c r="U4281" s="464"/>
      <c r="V4281" s="464"/>
      <c r="W4281" s="464"/>
      <c r="X4281" s="464"/>
      <c r="Y4281" s="464"/>
      <c r="Z4281" s="464"/>
      <c r="AA4281" s="464"/>
      <c r="AB4281" s="464"/>
      <c r="AC4281" s="464"/>
      <c r="AD4281" s="464"/>
      <c r="AE4281" s="464"/>
      <c r="AF4281" s="464"/>
      <c r="AG4281" s="464"/>
      <c r="AH4281" s="464"/>
      <c r="AI4281" s="464"/>
      <c r="AJ4281" s="464"/>
      <c r="AK4281" s="464"/>
      <c r="AL4281" s="464"/>
      <c r="AM4281" s="464"/>
      <c r="AN4281" s="464"/>
      <c r="AO4281" s="464"/>
      <c r="AP4281" s="464"/>
      <c r="AQ4281" s="464"/>
      <c r="AR4281" s="464"/>
      <c r="AS4281" s="464"/>
      <c r="AT4281" s="464"/>
      <c r="AU4281" s="464"/>
      <c r="AV4281" s="464"/>
      <c r="AW4281" s="464"/>
      <c r="AX4281" s="464"/>
      <c r="AY4281" s="464"/>
      <c r="AZ4281" s="464"/>
      <c r="BA4281" s="464"/>
      <c r="BB4281" s="464"/>
      <c r="BC4281" s="464"/>
      <c r="BD4281" s="464"/>
      <c r="BE4281" s="464"/>
      <c r="BF4281" s="464"/>
      <c r="BG4281" s="464"/>
      <c r="BH4281" s="464"/>
      <c r="BI4281" s="464"/>
      <c r="BJ4281" s="464"/>
      <c r="BK4281" s="464"/>
      <c r="BL4281" s="464"/>
    </row>
    <row r="4282" spans="1:64" ht="25">
      <c r="A4282" s="406"/>
      <c r="B4282" s="406"/>
      <c r="C4282" s="417" t="s">
        <v>1477</v>
      </c>
      <c r="D4282" s="432">
        <v>0.84</v>
      </c>
      <c r="E4282" s="406" t="s">
        <v>1052</v>
      </c>
      <c r="F4282" s="432">
        <f>'[161]Civil-SOR'!$G$88</f>
        <v>88</v>
      </c>
      <c r="G4282" s="431">
        <v>1</v>
      </c>
      <c r="H4282" s="406" t="s">
        <v>1052</v>
      </c>
      <c r="I4282" s="459">
        <f t="shared" si="951"/>
        <v>73.92</v>
      </c>
      <c r="J4282" s="735"/>
      <c r="K4282" s="463"/>
      <c r="L4282" s="463"/>
      <c r="M4282" s="464"/>
      <c r="N4282" s="464"/>
      <c r="O4282" s="464"/>
      <c r="P4282" s="464"/>
      <c r="Q4282" s="464"/>
      <c r="R4282" s="464"/>
      <c r="S4282" s="464"/>
      <c r="T4282" s="464"/>
      <c r="U4282" s="464"/>
      <c r="V4282" s="464"/>
      <c r="W4282" s="464"/>
      <c r="X4282" s="464"/>
      <c r="Y4282" s="464"/>
      <c r="Z4282" s="464"/>
      <c r="AA4282" s="464"/>
      <c r="AB4282" s="464"/>
      <c r="AC4282" s="464"/>
      <c r="AD4282" s="464"/>
      <c r="AE4282" s="464"/>
      <c r="AF4282" s="464"/>
      <c r="AG4282" s="464"/>
      <c r="AH4282" s="464"/>
      <c r="AI4282" s="464"/>
      <c r="AJ4282" s="464"/>
      <c r="AK4282" s="464"/>
      <c r="AL4282" s="464"/>
      <c r="AM4282" s="464"/>
      <c r="AN4282" s="464"/>
      <c r="AO4282" s="464"/>
      <c r="AP4282" s="464"/>
      <c r="AQ4282" s="464"/>
      <c r="AR4282" s="464"/>
      <c r="AS4282" s="464"/>
      <c r="AT4282" s="464"/>
      <c r="AU4282" s="464"/>
      <c r="AV4282" s="464"/>
      <c r="AW4282" s="464"/>
      <c r="AX4282" s="464"/>
      <c r="AY4282" s="464"/>
      <c r="AZ4282" s="464"/>
      <c r="BA4282" s="464"/>
      <c r="BB4282" s="464"/>
      <c r="BC4282" s="464"/>
      <c r="BD4282" s="464"/>
      <c r="BE4282" s="464"/>
      <c r="BF4282" s="464"/>
      <c r="BG4282" s="464"/>
      <c r="BH4282" s="464"/>
      <c r="BI4282" s="464"/>
      <c r="BJ4282" s="464"/>
      <c r="BK4282" s="464"/>
      <c r="BL4282" s="464"/>
    </row>
    <row r="4283" spans="1:64" ht="25">
      <c r="A4283" s="406"/>
      <c r="B4283" s="406"/>
      <c r="C4283" s="417" t="s">
        <v>1478</v>
      </c>
      <c r="D4283" s="432">
        <v>0.84</v>
      </c>
      <c r="E4283" s="406" t="s">
        <v>1052</v>
      </c>
      <c r="F4283" s="432">
        <f>'[161]Civil-SOR'!$G$89</f>
        <v>87</v>
      </c>
      <c r="G4283" s="431">
        <v>1</v>
      </c>
      <c r="H4283" s="406" t="s">
        <v>1052</v>
      </c>
      <c r="I4283" s="459">
        <f t="shared" si="951"/>
        <v>73.08</v>
      </c>
      <c r="J4283" s="735"/>
      <c r="K4283" s="463"/>
      <c r="L4283" s="463"/>
      <c r="M4283" s="464"/>
      <c r="N4283" s="464"/>
      <c r="O4283" s="464"/>
      <c r="P4283" s="464"/>
      <c r="Q4283" s="464"/>
      <c r="R4283" s="464"/>
      <c r="S4283" s="464"/>
      <c r="T4283" s="464"/>
      <c r="U4283" s="464"/>
      <c r="V4283" s="464"/>
      <c r="W4283" s="464"/>
      <c r="X4283" s="464"/>
      <c r="Y4283" s="464"/>
      <c r="Z4283" s="464"/>
      <c r="AA4283" s="464"/>
      <c r="AB4283" s="464"/>
      <c r="AC4283" s="464"/>
      <c r="AD4283" s="464"/>
      <c r="AE4283" s="464"/>
      <c r="AF4283" s="464"/>
      <c r="AG4283" s="464"/>
      <c r="AH4283" s="464"/>
      <c r="AI4283" s="464"/>
      <c r="AJ4283" s="464"/>
      <c r="AK4283" s="464"/>
      <c r="AL4283" s="464"/>
      <c r="AM4283" s="464"/>
      <c r="AN4283" s="464"/>
      <c r="AO4283" s="464"/>
      <c r="AP4283" s="464"/>
      <c r="AQ4283" s="464"/>
      <c r="AR4283" s="464"/>
      <c r="AS4283" s="464"/>
      <c r="AT4283" s="464"/>
      <c r="AU4283" s="464"/>
      <c r="AV4283" s="464"/>
      <c r="AW4283" s="464"/>
      <c r="AX4283" s="464"/>
      <c r="AY4283" s="464"/>
      <c r="AZ4283" s="464"/>
      <c r="BA4283" s="464"/>
      <c r="BB4283" s="464"/>
      <c r="BC4283" s="464"/>
      <c r="BD4283" s="464"/>
      <c r="BE4283" s="464"/>
      <c r="BF4283" s="464"/>
      <c r="BG4283" s="464"/>
      <c r="BH4283" s="464"/>
      <c r="BI4283" s="464"/>
      <c r="BJ4283" s="464"/>
      <c r="BK4283" s="464"/>
      <c r="BL4283" s="464"/>
    </row>
    <row r="4284" spans="1:64" ht="37.5">
      <c r="A4284" s="406"/>
      <c r="B4284" s="406"/>
      <c r="C4284" s="417" t="s">
        <v>1479</v>
      </c>
      <c r="D4284" s="432">
        <v>0.4</v>
      </c>
      <c r="E4284" s="406" t="s">
        <v>1052</v>
      </c>
      <c r="F4284" s="432">
        <f>'[161]Civil-SOR'!$G$90</f>
        <v>76</v>
      </c>
      <c r="G4284" s="431">
        <v>1</v>
      </c>
      <c r="H4284" s="406" t="s">
        <v>1052</v>
      </c>
      <c r="I4284" s="459">
        <f t="shared" si="951"/>
        <v>30.400000000000002</v>
      </c>
      <c r="J4284" s="735"/>
      <c r="K4284" s="463"/>
      <c r="L4284" s="463"/>
      <c r="M4284" s="464"/>
      <c r="N4284" s="464"/>
      <c r="O4284" s="464"/>
      <c r="P4284" s="464"/>
      <c r="Q4284" s="464"/>
      <c r="R4284" s="464"/>
      <c r="S4284" s="464"/>
      <c r="T4284" s="464"/>
      <c r="U4284" s="464"/>
      <c r="V4284" s="464"/>
      <c r="W4284" s="464"/>
      <c r="X4284" s="464"/>
      <c r="Y4284" s="464"/>
      <c r="Z4284" s="464"/>
      <c r="AA4284" s="464"/>
      <c r="AB4284" s="464"/>
      <c r="AC4284" s="464"/>
      <c r="AD4284" s="464"/>
      <c r="AE4284" s="464"/>
      <c r="AF4284" s="464"/>
      <c r="AG4284" s="464"/>
      <c r="AH4284" s="464"/>
      <c r="AI4284" s="464"/>
      <c r="AJ4284" s="464"/>
      <c r="AK4284" s="464"/>
      <c r="AL4284" s="464"/>
      <c r="AM4284" s="464"/>
      <c r="AN4284" s="464"/>
      <c r="AO4284" s="464"/>
      <c r="AP4284" s="464"/>
      <c r="AQ4284" s="464"/>
      <c r="AR4284" s="464"/>
      <c r="AS4284" s="464"/>
      <c r="AT4284" s="464"/>
      <c r="AU4284" s="464"/>
      <c r="AV4284" s="464"/>
      <c r="AW4284" s="464"/>
      <c r="AX4284" s="464"/>
      <c r="AY4284" s="464"/>
      <c r="AZ4284" s="464"/>
      <c r="BA4284" s="464"/>
      <c r="BB4284" s="464"/>
      <c r="BC4284" s="464"/>
      <c r="BD4284" s="464"/>
      <c r="BE4284" s="464"/>
      <c r="BF4284" s="464"/>
      <c r="BG4284" s="464"/>
      <c r="BH4284" s="464"/>
      <c r="BI4284" s="464"/>
      <c r="BJ4284" s="464"/>
      <c r="BK4284" s="464"/>
      <c r="BL4284" s="464"/>
    </row>
    <row r="4285" spans="1:64">
      <c r="A4285" s="406"/>
      <c r="B4285" s="406"/>
      <c r="C4285" s="417" t="s">
        <v>1480</v>
      </c>
      <c r="D4285" s="432">
        <v>1.84</v>
      </c>
      <c r="E4285" s="406" t="s">
        <v>375</v>
      </c>
      <c r="F4285" s="432">
        <f>'[161]Civil-SOR'!$G$99</f>
        <v>5</v>
      </c>
      <c r="G4285" s="431">
        <v>1</v>
      </c>
      <c r="H4285" s="406" t="s">
        <v>678</v>
      </c>
      <c r="I4285" s="459">
        <f t="shared" si="951"/>
        <v>9.2000000000000011</v>
      </c>
      <c r="J4285" s="735"/>
      <c r="K4285" s="463"/>
      <c r="L4285" s="463"/>
      <c r="M4285" s="464"/>
      <c r="N4285" s="464"/>
      <c r="O4285" s="464"/>
      <c r="P4285" s="464"/>
      <c r="Q4285" s="464"/>
      <c r="R4285" s="464"/>
      <c r="S4285" s="464"/>
      <c r="T4285" s="464"/>
      <c r="U4285" s="464"/>
      <c r="V4285" s="464"/>
      <c r="W4285" s="464"/>
      <c r="X4285" s="464"/>
      <c r="Y4285" s="464"/>
      <c r="Z4285" s="464"/>
      <c r="AA4285" s="464"/>
      <c r="AB4285" s="464"/>
      <c r="AC4285" s="464"/>
      <c r="AD4285" s="464"/>
      <c r="AE4285" s="464"/>
      <c r="AF4285" s="464"/>
      <c r="AG4285" s="464"/>
      <c r="AH4285" s="464"/>
      <c r="AI4285" s="464"/>
      <c r="AJ4285" s="464"/>
      <c r="AK4285" s="464"/>
      <c r="AL4285" s="464"/>
      <c r="AM4285" s="464"/>
      <c r="AN4285" s="464"/>
      <c r="AO4285" s="464"/>
      <c r="AP4285" s="464"/>
      <c r="AQ4285" s="464"/>
      <c r="AR4285" s="464"/>
      <c r="AS4285" s="464"/>
      <c r="AT4285" s="464"/>
      <c r="AU4285" s="464"/>
      <c r="AV4285" s="464"/>
      <c r="AW4285" s="464"/>
      <c r="AX4285" s="464"/>
      <c r="AY4285" s="464"/>
      <c r="AZ4285" s="464"/>
      <c r="BA4285" s="464"/>
      <c r="BB4285" s="464"/>
      <c r="BC4285" s="464"/>
      <c r="BD4285" s="464"/>
      <c r="BE4285" s="464"/>
      <c r="BF4285" s="464"/>
      <c r="BG4285" s="464"/>
      <c r="BH4285" s="464"/>
      <c r="BI4285" s="464"/>
      <c r="BJ4285" s="464"/>
      <c r="BK4285" s="464"/>
      <c r="BL4285" s="464"/>
    </row>
    <row r="4286" spans="1:64">
      <c r="A4286" s="406"/>
      <c r="B4286" s="406"/>
      <c r="C4286" s="417" t="s">
        <v>1481</v>
      </c>
      <c r="D4286" s="432">
        <v>0.64</v>
      </c>
      <c r="E4286" s="406" t="s">
        <v>375</v>
      </c>
      <c r="F4286" s="432">
        <f>'[161]Civil-SOR'!$G$100</f>
        <v>5</v>
      </c>
      <c r="G4286" s="431">
        <v>1</v>
      </c>
      <c r="H4286" s="406" t="s">
        <v>678</v>
      </c>
      <c r="I4286" s="459">
        <f t="shared" si="951"/>
        <v>3.2</v>
      </c>
      <c r="J4286" s="735"/>
      <c r="K4286" s="463"/>
      <c r="L4286" s="463"/>
      <c r="M4286" s="464"/>
      <c r="N4286" s="464"/>
      <c r="O4286" s="464"/>
      <c r="P4286" s="464"/>
      <c r="Q4286" s="464"/>
      <c r="R4286" s="464"/>
      <c r="S4286" s="464"/>
      <c r="T4286" s="464"/>
      <c r="U4286" s="464"/>
      <c r="V4286" s="464"/>
      <c r="W4286" s="464"/>
      <c r="X4286" s="464"/>
      <c r="Y4286" s="464"/>
      <c r="Z4286" s="464"/>
      <c r="AA4286" s="464"/>
      <c r="AB4286" s="464"/>
      <c r="AC4286" s="464"/>
      <c r="AD4286" s="464"/>
      <c r="AE4286" s="464"/>
      <c r="AF4286" s="464"/>
      <c r="AG4286" s="464"/>
      <c r="AH4286" s="464"/>
      <c r="AI4286" s="464"/>
      <c r="AJ4286" s="464"/>
      <c r="AK4286" s="464"/>
      <c r="AL4286" s="464"/>
      <c r="AM4286" s="464"/>
      <c r="AN4286" s="464"/>
      <c r="AO4286" s="464"/>
      <c r="AP4286" s="464"/>
      <c r="AQ4286" s="464"/>
      <c r="AR4286" s="464"/>
      <c r="AS4286" s="464"/>
      <c r="AT4286" s="464"/>
      <c r="AU4286" s="464"/>
      <c r="AV4286" s="464"/>
      <c r="AW4286" s="464"/>
      <c r="AX4286" s="464"/>
      <c r="AY4286" s="464"/>
      <c r="AZ4286" s="464"/>
      <c r="BA4286" s="464"/>
      <c r="BB4286" s="464"/>
      <c r="BC4286" s="464"/>
      <c r="BD4286" s="464"/>
      <c r="BE4286" s="464"/>
      <c r="BF4286" s="464"/>
      <c r="BG4286" s="464"/>
      <c r="BH4286" s="464"/>
      <c r="BI4286" s="464"/>
      <c r="BJ4286" s="464"/>
      <c r="BK4286" s="464"/>
      <c r="BL4286" s="464"/>
    </row>
    <row r="4287" spans="1:64">
      <c r="A4287" s="406"/>
      <c r="B4287" s="406"/>
      <c r="C4287" s="417" t="s">
        <v>1482</v>
      </c>
      <c r="D4287" s="432">
        <v>0.64</v>
      </c>
      <c r="E4287" s="406" t="s">
        <v>375</v>
      </c>
      <c r="F4287" s="432">
        <f>'[161]Civil-SOR'!$G$102</f>
        <v>5</v>
      </c>
      <c r="G4287" s="431">
        <v>1</v>
      </c>
      <c r="H4287" s="406" t="s">
        <v>678</v>
      </c>
      <c r="I4287" s="459">
        <f t="shared" si="951"/>
        <v>3.2</v>
      </c>
      <c r="J4287" s="735"/>
      <c r="K4287" s="463"/>
      <c r="L4287" s="463"/>
      <c r="M4287" s="464"/>
      <c r="N4287" s="464"/>
      <c r="O4287" s="464"/>
      <c r="P4287" s="464"/>
      <c r="Q4287" s="464"/>
      <c r="R4287" s="464"/>
      <c r="S4287" s="464"/>
      <c r="T4287" s="464"/>
      <c r="U4287" s="464"/>
      <c r="V4287" s="464"/>
      <c r="W4287" s="464"/>
      <c r="X4287" s="464"/>
      <c r="Y4287" s="464"/>
      <c r="Z4287" s="464"/>
      <c r="AA4287" s="464"/>
      <c r="AB4287" s="464"/>
      <c r="AC4287" s="464"/>
      <c r="AD4287" s="464"/>
      <c r="AE4287" s="464"/>
      <c r="AF4287" s="464"/>
      <c r="AG4287" s="464"/>
      <c r="AH4287" s="464"/>
      <c r="AI4287" s="464"/>
      <c r="AJ4287" s="464"/>
      <c r="AK4287" s="464"/>
      <c r="AL4287" s="464"/>
      <c r="AM4287" s="464"/>
      <c r="AN4287" s="464"/>
      <c r="AO4287" s="464"/>
      <c r="AP4287" s="464"/>
      <c r="AQ4287" s="464"/>
      <c r="AR4287" s="464"/>
      <c r="AS4287" s="464"/>
      <c r="AT4287" s="464"/>
      <c r="AU4287" s="464"/>
      <c r="AV4287" s="464"/>
      <c r="AW4287" s="464"/>
      <c r="AX4287" s="464"/>
      <c r="AY4287" s="464"/>
      <c r="AZ4287" s="464"/>
      <c r="BA4287" s="464"/>
      <c r="BB4287" s="464"/>
      <c r="BC4287" s="464"/>
      <c r="BD4287" s="464"/>
      <c r="BE4287" s="464"/>
      <c r="BF4287" s="464"/>
      <c r="BG4287" s="464"/>
      <c r="BH4287" s="464"/>
      <c r="BI4287" s="464"/>
      <c r="BJ4287" s="464"/>
      <c r="BK4287" s="464"/>
      <c r="BL4287" s="464"/>
    </row>
    <row r="4288" spans="1:64">
      <c r="A4288" s="406"/>
      <c r="B4288" s="406"/>
      <c r="C4288" s="417" t="s">
        <v>1483</v>
      </c>
      <c r="D4288" s="432">
        <v>18</v>
      </c>
      <c r="E4288" s="406" t="s">
        <v>375</v>
      </c>
      <c r="F4288" s="432">
        <f>'[161]Civil-SOR'!$G$103</f>
        <v>5</v>
      </c>
      <c r="G4288" s="431">
        <v>1</v>
      </c>
      <c r="H4288" s="406" t="s">
        <v>678</v>
      </c>
      <c r="I4288" s="459">
        <f t="shared" si="951"/>
        <v>90</v>
      </c>
      <c r="J4288" s="735"/>
      <c r="K4288" s="463"/>
      <c r="L4288" s="463"/>
      <c r="M4288" s="464"/>
      <c r="N4288" s="464"/>
      <c r="O4288" s="464"/>
      <c r="P4288" s="464"/>
      <c r="Q4288" s="464"/>
      <c r="R4288" s="464"/>
      <c r="S4288" s="464"/>
      <c r="T4288" s="464"/>
      <c r="U4288" s="464"/>
      <c r="V4288" s="464"/>
      <c r="W4288" s="464"/>
      <c r="X4288" s="464"/>
      <c r="Y4288" s="464"/>
      <c r="Z4288" s="464"/>
      <c r="AA4288" s="464"/>
      <c r="AB4288" s="464"/>
      <c r="AC4288" s="464"/>
      <c r="AD4288" s="464"/>
      <c r="AE4288" s="464"/>
      <c r="AF4288" s="464"/>
      <c r="AG4288" s="464"/>
      <c r="AH4288" s="464"/>
      <c r="AI4288" s="464"/>
      <c r="AJ4288" s="464"/>
      <c r="AK4288" s="464"/>
      <c r="AL4288" s="464"/>
      <c r="AM4288" s="464"/>
      <c r="AN4288" s="464"/>
      <c r="AO4288" s="464"/>
      <c r="AP4288" s="464"/>
      <c r="AQ4288" s="464"/>
      <c r="AR4288" s="464"/>
      <c r="AS4288" s="464"/>
      <c r="AT4288" s="464"/>
      <c r="AU4288" s="464"/>
      <c r="AV4288" s="464"/>
      <c r="AW4288" s="464"/>
      <c r="AX4288" s="464"/>
      <c r="AY4288" s="464"/>
      <c r="AZ4288" s="464"/>
      <c r="BA4288" s="464"/>
      <c r="BB4288" s="464"/>
      <c r="BC4288" s="464"/>
      <c r="BD4288" s="464"/>
      <c r="BE4288" s="464"/>
      <c r="BF4288" s="464"/>
      <c r="BG4288" s="464"/>
      <c r="BH4288" s="464"/>
      <c r="BI4288" s="464"/>
      <c r="BJ4288" s="464"/>
      <c r="BK4288" s="464"/>
      <c r="BL4288" s="464"/>
    </row>
    <row r="4289" spans="1:64">
      <c r="A4289" s="406"/>
      <c r="B4289" s="406"/>
      <c r="C4289" s="417" t="s">
        <v>1484</v>
      </c>
      <c r="D4289" s="432">
        <v>0.55000000000000004</v>
      </c>
      <c r="E4289" s="406" t="s">
        <v>1485</v>
      </c>
      <c r="F4289" s="432">
        <f>'[161]Civil-SOR'!$G$104</f>
        <v>31</v>
      </c>
      <c r="G4289" s="431">
        <v>1</v>
      </c>
      <c r="H4289" s="406" t="s">
        <v>1486</v>
      </c>
      <c r="I4289" s="459">
        <f t="shared" si="951"/>
        <v>17.05</v>
      </c>
      <c r="J4289" s="735"/>
      <c r="K4289" s="463"/>
      <c r="L4289" s="463"/>
      <c r="M4289" s="464"/>
      <c r="N4289" s="464"/>
      <c r="O4289" s="464"/>
      <c r="P4289" s="464"/>
      <c r="Q4289" s="464"/>
      <c r="R4289" s="464"/>
      <c r="S4289" s="464"/>
      <c r="T4289" s="464"/>
      <c r="U4289" s="464"/>
      <c r="V4289" s="464"/>
      <c r="W4289" s="464"/>
      <c r="X4289" s="464"/>
      <c r="Y4289" s="464"/>
      <c r="Z4289" s="464"/>
      <c r="AA4289" s="464"/>
      <c r="AB4289" s="464"/>
      <c r="AC4289" s="464"/>
      <c r="AD4289" s="464"/>
      <c r="AE4289" s="464"/>
      <c r="AF4289" s="464"/>
      <c r="AG4289" s="464"/>
      <c r="AH4289" s="464"/>
      <c r="AI4289" s="464"/>
      <c r="AJ4289" s="464"/>
      <c r="AK4289" s="464"/>
      <c r="AL4289" s="464"/>
      <c r="AM4289" s="464"/>
      <c r="AN4289" s="464"/>
      <c r="AO4289" s="464"/>
      <c r="AP4289" s="464"/>
      <c r="AQ4289" s="464"/>
      <c r="AR4289" s="464"/>
      <c r="AS4289" s="464"/>
      <c r="AT4289" s="464"/>
      <c r="AU4289" s="464"/>
      <c r="AV4289" s="464"/>
      <c r="AW4289" s="464"/>
      <c r="AX4289" s="464"/>
      <c r="AY4289" s="464"/>
      <c r="AZ4289" s="464"/>
      <c r="BA4289" s="464"/>
      <c r="BB4289" s="464"/>
      <c r="BC4289" s="464"/>
      <c r="BD4289" s="464"/>
      <c r="BE4289" s="464"/>
      <c r="BF4289" s="464"/>
      <c r="BG4289" s="464"/>
      <c r="BH4289" s="464"/>
      <c r="BI4289" s="464"/>
      <c r="BJ4289" s="464"/>
      <c r="BK4289" s="464"/>
      <c r="BL4289" s="464"/>
    </row>
    <row r="4290" spans="1:64">
      <c r="A4290" s="406"/>
      <c r="B4290" s="406"/>
      <c r="C4290" s="417" t="s">
        <v>1487</v>
      </c>
      <c r="D4290" s="432">
        <v>1.46</v>
      </c>
      <c r="E4290" s="406" t="s">
        <v>1052</v>
      </c>
      <c r="F4290" s="432">
        <f>'[161]Civil-SOR'!$G$105</f>
        <v>7</v>
      </c>
      <c r="G4290" s="431">
        <v>1</v>
      </c>
      <c r="H4290" s="406" t="s">
        <v>1052</v>
      </c>
      <c r="I4290" s="459">
        <f t="shared" si="951"/>
        <v>10.219999999999999</v>
      </c>
      <c r="J4290" s="735"/>
      <c r="K4290" s="463"/>
      <c r="L4290" s="463"/>
      <c r="M4290" s="464"/>
      <c r="N4290" s="464"/>
      <c r="O4290" s="464"/>
      <c r="P4290" s="464"/>
      <c r="Q4290" s="464"/>
      <c r="R4290" s="464"/>
      <c r="S4290" s="464"/>
      <c r="T4290" s="464"/>
      <c r="U4290" s="464"/>
      <c r="V4290" s="464"/>
      <c r="W4290" s="464"/>
      <c r="X4290" s="464"/>
      <c r="Y4290" s="464"/>
      <c r="Z4290" s="464"/>
      <c r="AA4290" s="464"/>
      <c r="AB4290" s="464"/>
      <c r="AC4290" s="464"/>
      <c r="AD4290" s="464"/>
      <c r="AE4290" s="464"/>
      <c r="AF4290" s="464"/>
      <c r="AG4290" s="464"/>
      <c r="AH4290" s="464"/>
      <c r="AI4290" s="464"/>
      <c r="AJ4290" s="464"/>
      <c r="AK4290" s="464"/>
      <c r="AL4290" s="464"/>
      <c r="AM4290" s="464"/>
      <c r="AN4290" s="464"/>
      <c r="AO4290" s="464"/>
      <c r="AP4290" s="464"/>
      <c r="AQ4290" s="464"/>
      <c r="AR4290" s="464"/>
      <c r="AS4290" s="464"/>
      <c r="AT4290" s="464"/>
      <c r="AU4290" s="464"/>
      <c r="AV4290" s="464"/>
      <c r="AW4290" s="464"/>
      <c r="AX4290" s="464"/>
      <c r="AY4290" s="464"/>
      <c r="AZ4290" s="464"/>
      <c r="BA4290" s="464"/>
      <c r="BB4290" s="464"/>
      <c r="BC4290" s="464"/>
      <c r="BD4290" s="464"/>
      <c r="BE4290" s="464"/>
      <c r="BF4290" s="464"/>
      <c r="BG4290" s="464"/>
      <c r="BH4290" s="464"/>
      <c r="BI4290" s="464"/>
      <c r="BJ4290" s="464"/>
      <c r="BK4290" s="464"/>
      <c r="BL4290" s="464"/>
    </row>
    <row r="4291" spans="1:64">
      <c r="A4291" s="406"/>
      <c r="B4291" s="406"/>
      <c r="C4291" s="417" t="s">
        <v>1488</v>
      </c>
      <c r="D4291" s="432">
        <v>0.15</v>
      </c>
      <c r="E4291" s="432" t="s">
        <v>1149</v>
      </c>
      <c r="F4291" s="432">
        <f>'[161]Civil-SOR'!$G$106</f>
        <v>145</v>
      </c>
      <c r="G4291" s="431">
        <v>1</v>
      </c>
      <c r="H4291" s="406" t="s">
        <v>1361</v>
      </c>
      <c r="I4291" s="459">
        <f t="shared" si="951"/>
        <v>21.75</v>
      </c>
      <c r="J4291" s="735"/>
      <c r="K4291" s="463"/>
      <c r="L4291" s="463"/>
      <c r="M4291" s="464"/>
      <c r="N4291" s="464"/>
      <c r="O4291" s="464"/>
      <c r="P4291" s="464"/>
      <c r="Q4291" s="464"/>
      <c r="R4291" s="464"/>
      <c r="S4291" s="464"/>
      <c r="T4291" s="464"/>
      <c r="U4291" s="464"/>
      <c r="V4291" s="464"/>
      <c r="W4291" s="464"/>
      <c r="X4291" s="464"/>
      <c r="Y4291" s="464"/>
      <c r="Z4291" s="464"/>
      <c r="AA4291" s="464"/>
      <c r="AB4291" s="464"/>
      <c r="AC4291" s="464"/>
      <c r="AD4291" s="464"/>
      <c r="AE4291" s="464"/>
      <c r="AF4291" s="464"/>
      <c r="AG4291" s="464"/>
      <c r="AH4291" s="464"/>
      <c r="AI4291" s="464"/>
      <c r="AJ4291" s="464"/>
      <c r="AK4291" s="464"/>
      <c r="AL4291" s="464"/>
      <c r="AM4291" s="464"/>
      <c r="AN4291" s="464"/>
      <c r="AO4291" s="464"/>
      <c r="AP4291" s="464"/>
      <c r="AQ4291" s="464"/>
      <c r="AR4291" s="464"/>
      <c r="AS4291" s="464"/>
      <c r="AT4291" s="464"/>
      <c r="AU4291" s="464"/>
      <c r="AV4291" s="464"/>
      <c r="AW4291" s="464"/>
      <c r="AX4291" s="464"/>
      <c r="AY4291" s="464"/>
      <c r="AZ4291" s="464"/>
      <c r="BA4291" s="464"/>
      <c r="BB4291" s="464"/>
      <c r="BC4291" s="464"/>
      <c r="BD4291" s="464"/>
      <c r="BE4291" s="464"/>
      <c r="BF4291" s="464"/>
      <c r="BG4291" s="464"/>
      <c r="BH4291" s="464"/>
      <c r="BI4291" s="464"/>
      <c r="BJ4291" s="464"/>
      <c r="BK4291" s="464"/>
      <c r="BL4291" s="464"/>
    </row>
    <row r="4292" spans="1:64" ht="13">
      <c r="A4292" s="406"/>
      <c r="B4292" s="406"/>
      <c r="C4292" s="427" t="s">
        <v>1489</v>
      </c>
      <c r="D4292" s="432"/>
      <c r="E4292" s="406"/>
      <c r="F4292" s="432"/>
      <c r="G4292" s="431"/>
      <c r="H4292" s="406"/>
      <c r="I4292" s="432"/>
      <c r="J4292" s="735"/>
      <c r="K4292" s="463"/>
      <c r="L4292" s="463"/>
      <c r="M4292" s="464"/>
      <c r="N4292" s="464"/>
      <c r="O4292" s="464"/>
      <c r="P4292" s="464"/>
      <c r="Q4292" s="464"/>
      <c r="R4292" s="464"/>
      <c r="S4292" s="464"/>
      <c r="T4292" s="464"/>
      <c r="U4292" s="464"/>
      <c r="V4292" s="464"/>
      <c r="W4292" s="464"/>
      <c r="X4292" s="464"/>
      <c r="Y4292" s="464"/>
      <c r="Z4292" s="464"/>
      <c r="AA4292" s="464"/>
      <c r="AB4292" s="464"/>
      <c r="AC4292" s="464"/>
      <c r="AD4292" s="464"/>
      <c r="AE4292" s="464"/>
      <c r="AF4292" s="464"/>
      <c r="AG4292" s="464"/>
      <c r="AH4292" s="464"/>
      <c r="AI4292" s="464"/>
      <c r="AJ4292" s="464"/>
      <c r="AK4292" s="464"/>
      <c r="AL4292" s="464"/>
      <c r="AM4292" s="464"/>
      <c r="AN4292" s="464"/>
      <c r="AO4292" s="464"/>
      <c r="AP4292" s="464"/>
      <c r="AQ4292" s="464"/>
      <c r="AR4292" s="464"/>
      <c r="AS4292" s="464"/>
      <c r="AT4292" s="464"/>
      <c r="AU4292" s="464"/>
      <c r="AV4292" s="464"/>
      <c r="AW4292" s="464"/>
      <c r="AX4292" s="464"/>
      <c r="AY4292" s="464"/>
      <c r="AZ4292" s="464"/>
      <c r="BA4292" s="464"/>
      <c r="BB4292" s="464"/>
      <c r="BC4292" s="464"/>
      <c r="BD4292" s="464"/>
      <c r="BE4292" s="464"/>
      <c r="BF4292" s="464"/>
      <c r="BG4292" s="464"/>
      <c r="BH4292" s="464"/>
      <c r="BI4292" s="464"/>
      <c r="BJ4292" s="464"/>
      <c r="BK4292" s="464"/>
      <c r="BL4292" s="464"/>
    </row>
    <row r="4293" spans="1:64">
      <c r="A4293" s="406"/>
      <c r="B4293" s="406"/>
      <c r="C4293" s="417" t="s">
        <v>1460</v>
      </c>
      <c r="D4293" s="432">
        <v>0.12</v>
      </c>
      <c r="E4293" s="406" t="s">
        <v>375</v>
      </c>
      <c r="F4293" s="432">
        <f>'[161]Civil-SOR'!$G$291</f>
        <v>685</v>
      </c>
      <c r="G4293" s="431">
        <v>1</v>
      </c>
      <c r="H4293" s="406" t="s">
        <v>678</v>
      </c>
      <c r="I4293" s="459">
        <f t="shared" ref="I4293:I4300" si="952">IF(G4293="",D4293*F4293,(D4293*F4293/G4293))</f>
        <v>82.2</v>
      </c>
      <c r="J4293" s="735"/>
      <c r="K4293" s="463"/>
      <c r="L4293" s="463"/>
      <c r="M4293" s="464"/>
      <c r="N4293" s="464"/>
      <c r="O4293" s="464"/>
      <c r="P4293" s="464"/>
      <c r="Q4293" s="464"/>
      <c r="R4293" s="464"/>
      <c r="S4293" s="464"/>
      <c r="T4293" s="464"/>
      <c r="U4293" s="464"/>
      <c r="V4293" s="464"/>
      <c r="W4293" s="464"/>
      <c r="X4293" s="464"/>
      <c r="Y4293" s="464"/>
      <c r="Z4293" s="464"/>
      <c r="AA4293" s="464"/>
      <c r="AB4293" s="464"/>
      <c r="AC4293" s="464"/>
      <c r="AD4293" s="464"/>
      <c r="AE4293" s="464"/>
      <c r="AF4293" s="464"/>
      <c r="AG4293" s="464"/>
      <c r="AH4293" s="464"/>
      <c r="AI4293" s="464"/>
      <c r="AJ4293" s="464"/>
      <c r="AK4293" s="464"/>
      <c r="AL4293" s="464"/>
      <c r="AM4293" s="464"/>
      <c r="AN4293" s="464"/>
      <c r="AO4293" s="464"/>
      <c r="AP4293" s="464"/>
      <c r="AQ4293" s="464"/>
      <c r="AR4293" s="464"/>
      <c r="AS4293" s="464"/>
      <c r="AT4293" s="464"/>
      <c r="AU4293" s="464"/>
      <c r="AV4293" s="464"/>
      <c r="AW4293" s="464"/>
      <c r="AX4293" s="464"/>
      <c r="AY4293" s="464"/>
      <c r="AZ4293" s="464"/>
      <c r="BA4293" s="464"/>
      <c r="BB4293" s="464"/>
      <c r="BC4293" s="464"/>
      <c r="BD4293" s="464"/>
      <c r="BE4293" s="464"/>
      <c r="BF4293" s="464"/>
      <c r="BG4293" s="464"/>
      <c r="BH4293" s="464"/>
      <c r="BI4293" s="464"/>
      <c r="BJ4293" s="464"/>
      <c r="BK4293" s="464"/>
      <c r="BL4293" s="464"/>
    </row>
    <row r="4294" spans="1:64">
      <c r="A4294" s="406"/>
      <c r="B4294" s="406"/>
      <c r="C4294" s="417" t="s">
        <v>1461</v>
      </c>
      <c r="D4294" s="432">
        <v>0.12</v>
      </c>
      <c r="E4294" s="406" t="s">
        <v>375</v>
      </c>
      <c r="F4294" s="432">
        <f>'[161]Civil-SOR'!$G$300</f>
        <v>550</v>
      </c>
      <c r="G4294" s="431">
        <v>1</v>
      </c>
      <c r="H4294" s="406" t="s">
        <v>678</v>
      </c>
      <c r="I4294" s="459">
        <f t="shared" si="952"/>
        <v>66</v>
      </c>
      <c r="J4294" s="735"/>
      <c r="K4294" s="463"/>
      <c r="L4294" s="463"/>
      <c r="M4294" s="464"/>
      <c r="N4294" s="464"/>
      <c r="O4294" s="464"/>
      <c r="P4294" s="464"/>
      <c r="Q4294" s="464"/>
      <c r="R4294" s="464"/>
      <c r="S4294" s="464"/>
      <c r="T4294" s="464"/>
      <c r="U4294" s="464"/>
      <c r="V4294" s="464"/>
      <c r="W4294" s="464"/>
      <c r="X4294" s="464"/>
      <c r="Y4294" s="464"/>
      <c r="Z4294" s="464"/>
      <c r="AA4294" s="464"/>
      <c r="AB4294" s="464"/>
      <c r="AC4294" s="464"/>
      <c r="AD4294" s="464"/>
      <c r="AE4294" s="464"/>
      <c r="AF4294" s="464"/>
      <c r="AG4294" s="464"/>
      <c r="AH4294" s="464"/>
      <c r="AI4294" s="464"/>
      <c r="AJ4294" s="464"/>
      <c r="AK4294" s="464"/>
      <c r="AL4294" s="464"/>
      <c r="AM4294" s="464"/>
      <c r="AN4294" s="464"/>
      <c r="AO4294" s="464"/>
      <c r="AP4294" s="464"/>
      <c r="AQ4294" s="464"/>
      <c r="AR4294" s="464"/>
      <c r="AS4294" s="464"/>
      <c r="AT4294" s="464"/>
      <c r="AU4294" s="464"/>
      <c r="AV4294" s="464"/>
      <c r="AW4294" s="464"/>
      <c r="AX4294" s="464"/>
      <c r="AY4294" s="464"/>
      <c r="AZ4294" s="464"/>
      <c r="BA4294" s="464"/>
      <c r="BB4294" s="464"/>
      <c r="BC4294" s="464"/>
      <c r="BD4294" s="464"/>
      <c r="BE4294" s="464"/>
      <c r="BF4294" s="464"/>
      <c r="BG4294" s="464"/>
      <c r="BH4294" s="464"/>
      <c r="BI4294" s="464"/>
      <c r="BJ4294" s="464"/>
      <c r="BK4294" s="464"/>
      <c r="BL4294" s="464"/>
    </row>
    <row r="4295" spans="1:64">
      <c r="A4295" s="406"/>
      <c r="B4295" s="406"/>
      <c r="C4295" s="417" t="s">
        <v>1385</v>
      </c>
      <c r="D4295" s="441">
        <v>2.4E-2</v>
      </c>
      <c r="E4295" s="406" t="s">
        <v>375</v>
      </c>
      <c r="F4295" s="432">
        <f>'[161]Civil-SOR'!$G$296</f>
        <v>665</v>
      </c>
      <c r="G4295" s="431">
        <v>1</v>
      </c>
      <c r="H4295" s="406" t="s">
        <v>678</v>
      </c>
      <c r="I4295" s="459">
        <f t="shared" si="952"/>
        <v>15.96</v>
      </c>
      <c r="J4295" s="735"/>
      <c r="K4295" s="463"/>
      <c r="L4295" s="463"/>
      <c r="M4295" s="464"/>
      <c r="N4295" s="464"/>
      <c r="O4295" s="464"/>
      <c r="P4295" s="464"/>
      <c r="Q4295" s="464"/>
      <c r="R4295" s="464"/>
      <c r="S4295" s="464"/>
      <c r="T4295" s="464"/>
      <c r="U4295" s="464"/>
      <c r="V4295" s="464"/>
      <c r="W4295" s="464"/>
      <c r="X4295" s="464"/>
      <c r="Y4295" s="464"/>
      <c r="Z4295" s="464"/>
      <c r="AA4295" s="464"/>
      <c r="AB4295" s="464"/>
      <c r="AC4295" s="464"/>
      <c r="AD4295" s="464"/>
      <c r="AE4295" s="464"/>
      <c r="AF4295" s="464"/>
      <c r="AG4295" s="464"/>
      <c r="AH4295" s="464"/>
      <c r="AI4295" s="464"/>
      <c r="AJ4295" s="464"/>
      <c r="AK4295" s="464"/>
      <c r="AL4295" s="464"/>
      <c r="AM4295" s="464"/>
      <c r="AN4295" s="464"/>
      <c r="AO4295" s="464"/>
      <c r="AP4295" s="464"/>
      <c r="AQ4295" s="464"/>
      <c r="AR4295" s="464"/>
      <c r="AS4295" s="464"/>
      <c r="AT4295" s="464"/>
      <c r="AU4295" s="464"/>
      <c r="AV4295" s="464"/>
      <c r="AW4295" s="464"/>
      <c r="AX4295" s="464"/>
      <c r="AY4295" s="464"/>
      <c r="AZ4295" s="464"/>
      <c r="BA4295" s="464"/>
      <c r="BB4295" s="464"/>
      <c r="BC4295" s="464"/>
      <c r="BD4295" s="464"/>
      <c r="BE4295" s="464"/>
      <c r="BF4295" s="464"/>
      <c r="BG4295" s="464"/>
      <c r="BH4295" s="464"/>
      <c r="BI4295" s="464"/>
      <c r="BJ4295" s="464"/>
      <c r="BK4295" s="464"/>
      <c r="BL4295" s="464"/>
    </row>
    <row r="4296" spans="1:64">
      <c r="A4296" s="406"/>
      <c r="B4296" s="406"/>
      <c r="C4296" s="417" t="s">
        <v>1386</v>
      </c>
      <c r="D4296" s="441">
        <v>2.4E-2</v>
      </c>
      <c r="E4296" s="406" t="s">
        <v>375</v>
      </c>
      <c r="F4296" s="432">
        <f>'[161]Civil-SOR'!$G$303</f>
        <v>550</v>
      </c>
      <c r="G4296" s="431">
        <v>1</v>
      </c>
      <c r="H4296" s="406" t="s">
        <v>678</v>
      </c>
      <c r="I4296" s="459">
        <f t="shared" si="952"/>
        <v>13.200000000000001</v>
      </c>
      <c r="J4296" s="735"/>
      <c r="K4296" s="463"/>
      <c r="L4296" s="463"/>
      <c r="M4296" s="464"/>
      <c r="N4296" s="464"/>
      <c r="O4296" s="464"/>
      <c r="P4296" s="464"/>
      <c r="Q4296" s="464"/>
      <c r="R4296" s="464"/>
      <c r="S4296" s="464"/>
      <c r="T4296" s="464"/>
      <c r="U4296" s="464"/>
      <c r="V4296" s="464"/>
      <c r="W4296" s="464"/>
      <c r="X4296" s="464"/>
      <c r="Y4296" s="464"/>
      <c r="Z4296" s="464"/>
      <c r="AA4296" s="464"/>
      <c r="AB4296" s="464"/>
      <c r="AC4296" s="464"/>
      <c r="AD4296" s="464"/>
      <c r="AE4296" s="464"/>
      <c r="AF4296" s="464"/>
      <c r="AG4296" s="464"/>
      <c r="AH4296" s="464"/>
      <c r="AI4296" s="464"/>
      <c r="AJ4296" s="464"/>
      <c r="AK4296" s="464"/>
      <c r="AL4296" s="464"/>
      <c r="AM4296" s="464"/>
      <c r="AN4296" s="464"/>
      <c r="AO4296" s="464"/>
      <c r="AP4296" s="464"/>
      <c r="AQ4296" s="464"/>
      <c r="AR4296" s="464"/>
      <c r="AS4296" s="464"/>
      <c r="AT4296" s="464"/>
      <c r="AU4296" s="464"/>
      <c r="AV4296" s="464"/>
      <c r="AW4296" s="464"/>
      <c r="AX4296" s="464"/>
      <c r="AY4296" s="464"/>
      <c r="AZ4296" s="464"/>
      <c r="BA4296" s="464"/>
      <c r="BB4296" s="464"/>
      <c r="BC4296" s="464"/>
      <c r="BD4296" s="464"/>
      <c r="BE4296" s="464"/>
      <c r="BF4296" s="464"/>
      <c r="BG4296" s="464"/>
      <c r="BH4296" s="464"/>
      <c r="BI4296" s="464"/>
      <c r="BJ4296" s="464"/>
      <c r="BK4296" s="464"/>
      <c r="BL4296" s="464"/>
    </row>
    <row r="4297" spans="1:64" ht="25">
      <c r="A4297" s="406"/>
      <c r="B4297" s="406"/>
      <c r="C4297" s="417" t="s">
        <v>1462</v>
      </c>
      <c r="D4297" s="441">
        <v>1.2E-2</v>
      </c>
      <c r="E4297" s="406" t="s">
        <v>375</v>
      </c>
      <c r="F4297" s="432">
        <f>'[161]Civil-SOR'!G297</f>
        <v>675</v>
      </c>
      <c r="G4297" s="431">
        <v>1</v>
      </c>
      <c r="H4297" s="406" t="s">
        <v>678</v>
      </c>
      <c r="I4297" s="459">
        <f t="shared" si="952"/>
        <v>8.1</v>
      </c>
      <c r="J4297" s="735"/>
      <c r="K4297" s="463"/>
      <c r="L4297" s="463"/>
      <c r="M4297" s="464"/>
      <c r="N4297" s="464"/>
      <c r="O4297" s="464"/>
      <c r="P4297" s="464"/>
      <c r="Q4297" s="464"/>
      <c r="R4297" s="464"/>
      <c r="S4297" s="464"/>
      <c r="T4297" s="464"/>
      <c r="U4297" s="464"/>
      <c r="V4297" s="464"/>
      <c r="W4297" s="464"/>
      <c r="X4297" s="464"/>
      <c r="Y4297" s="464"/>
      <c r="Z4297" s="464"/>
      <c r="AA4297" s="464"/>
      <c r="AB4297" s="464"/>
      <c r="AC4297" s="464"/>
      <c r="AD4297" s="464"/>
      <c r="AE4297" s="464"/>
      <c r="AF4297" s="464"/>
      <c r="AG4297" s="464"/>
      <c r="AH4297" s="464"/>
      <c r="AI4297" s="464"/>
      <c r="AJ4297" s="464"/>
      <c r="AK4297" s="464"/>
      <c r="AL4297" s="464"/>
      <c r="AM4297" s="464"/>
      <c r="AN4297" s="464"/>
      <c r="AO4297" s="464"/>
      <c r="AP4297" s="464"/>
      <c r="AQ4297" s="464"/>
      <c r="AR4297" s="464"/>
      <c r="AS4297" s="464"/>
      <c r="AT4297" s="464"/>
      <c r="AU4297" s="464"/>
      <c r="AV4297" s="464"/>
      <c r="AW4297" s="464"/>
      <c r="AX4297" s="464"/>
      <c r="AY4297" s="464"/>
      <c r="AZ4297" s="464"/>
      <c r="BA4297" s="464"/>
      <c r="BB4297" s="464"/>
      <c r="BC4297" s="464"/>
      <c r="BD4297" s="464"/>
      <c r="BE4297" s="464"/>
      <c r="BF4297" s="464"/>
      <c r="BG4297" s="464"/>
      <c r="BH4297" s="464"/>
      <c r="BI4297" s="464"/>
      <c r="BJ4297" s="464"/>
      <c r="BK4297" s="464"/>
      <c r="BL4297" s="464"/>
    </row>
    <row r="4298" spans="1:64">
      <c r="A4298" s="406"/>
      <c r="B4298" s="406"/>
      <c r="C4298" s="417" t="s">
        <v>1463</v>
      </c>
      <c r="D4298" s="441">
        <v>2.4E-2</v>
      </c>
      <c r="E4298" s="406" t="s">
        <v>375</v>
      </c>
      <c r="F4298" s="432">
        <f>'[161]Civil-SOR'!G297</f>
        <v>675</v>
      </c>
      <c r="G4298" s="431">
        <v>1</v>
      </c>
      <c r="H4298" s="406" t="s">
        <v>678</v>
      </c>
      <c r="I4298" s="459">
        <f t="shared" si="952"/>
        <v>16.2</v>
      </c>
      <c r="J4298" s="735"/>
      <c r="K4298" s="463"/>
      <c r="L4298" s="463"/>
      <c r="M4298" s="464"/>
      <c r="N4298" s="464"/>
      <c r="O4298" s="464"/>
      <c r="P4298" s="464"/>
      <c r="Q4298" s="464"/>
      <c r="R4298" s="464"/>
      <c r="S4298" s="464"/>
      <c r="T4298" s="464"/>
      <c r="U4298" s="464"/>
      <c r="V4298" s="464"/>
      <c r="W4298" s="464"/>
      <c r="X4298" s="464"/>
      <c r="Y4298" s="464"/>
      <c r="Z4298" s="464"/>
      <c r="AA4298" s="464"/>
      <c r="AB4298" s="464"/>
      <c r="AC4298" s="464"/>
      <c r="AD4298" s="464"/>
      <c r="AE4298" s="464"/>
      <c r="AF4298" s="464"/>
      <c r="AG4298" s="464"/>
      <c r="AH4298" s="464"/>
      <c r="AI4298" s="464"/>
      <c r="AJ4298" s="464"/>
      <c r="AK4298" s="464"/>
      <c r="AL4298" s="464"/>
      <c r="AM4298" s="464"/>
      <c r="AN4298" s="464"/>
      <c r="AO4298" s="464"/>
      <c r="AP4298" s="464"/>
      <c r="AQ4298" s="464"/>
      <c r="AR4298" s="464"/>
      <c r="AS4298" s="464"/>
      <c r="AT4298" s="464"/>
      <c r="AU4298" s="464"/>
      <c r="AV4298" s="464"/>
      <c r="AW4298" s="464"/>
      <c r="AX4298" s="464"/>
      <c r="AY4298" s="464"/>
      <c r="AZ4298" s="464"/>
      <c r="BA4298" s="464"/>
      <c r="BB4298" s="464"/>
      <c r="BC4298" s="464"/>
      <c r="BD4298" s="464"/>
      <c r="BE4298" s="464"/>
      <c r="BF4298" s="464"/>
      <c r="BG4298" s="464"/>
      <c r="BH4298" s="464"/>
      <c r="BI4298" s="464"/>
      <c r="BJ4298" s="464"/>
      <c r="BK4298" s="464"/>
      <c r="BL4298" s="464"/>
    </row>
    <row r="4299" spans="1:64">
      <c r="A4299" s="406"/>
      <c r="B4299" s="406"/>
      <c r="C4299" s="417" t="s">
        <v>1465</v>
      </c>
      <c r="D4299" s="441">
        <v>7.1999999999999995E-2</v>
      </c>
      <c r="E4299" s="406" t="s">
        <v>375</v>
      </c>
      <c r="F4299" s="432">
        <f>'[161]Civil-SOR'!$G$307</f>
        <v>520</v>
      </c>
      <c r="G4299" s="431">
        <v>1</v>
      </c>
      <c r="H4299" s="406" t="s">
        <v>678</v>
      </c>
      <c r="I4299" s="459">
        <f t="shared" si="952"/>
        <v>37.44</v>
      </c>
      <c r="J4299" s="735"/>
      <c r="K4299" s="463"/>
      <c r="L4299" s="463"/>
      <c r="M4299" s="464"/>
      <c r="N4299" s="464"/>
      <c r="O4299" s="464"/>
      <c r="P4299" s="464"/>
      <c r="Q4299" s="464"/>
      <c r="R4299" s="464"/>
      <c r="S4299" s="464"/>
      <c r="T4299" s="464"/>
      <c r="U4299" s="464"/>
      <c r="V4299" s="464"/>
      <c r="W4299" s="464"/>
      <c r="X4299" s="464"/>
      <c r="Y4299" s="464"/>
      <c r="Z4299" s="464"/>
      <c r="AA4299" s="464"/>
      <c r="AB4299" s="464"/>
      <c r="AC4299" s="464"/>
      <c r="AD4299" s="464"/>
      <c r="AE4299" s="464"/>
      <c r="AF4299" s="464"/>
      <c r="AG4299" s="464"/>
      <c r="AH4299" s="464"/>
      <c r="AI4299" s="464"/>
      <c r="AJ4299" s="464"/>
      <c r="AK4299" s="464"/>
      <c r="AL4299" s="464"/>
      <c r="AM4299" s="464"/>
      <c r="AN4299" s="464"/>
      <c r="AO4299" s="464"/>
      <c r="AP4299" s="464"/>
      <c r="AQ4299" s="464"/>
      <c r="AR4299" s="464"/>
      <c r="AS4299" s="464"/>
      <c r="AT4299" s="464"/>
      <c r="AU4299" s="464"/>
      <c r="AV4299" s="464"/>
      <c r="AW4299" s="464"/>
      <c r="AX4299" s="464"/>
      <c r="AY4299" s="464"/>
      <c r="AZ4299" s="464"/>
      <c r="BA4299" s="464"/>
      <c r="BB4299" s="464"/>
      <c r="BC4299" s="464"/>
      <c r="BD4299" s="464"/>
      <c r="BE4299" s="464"/>
      <c r="BF4299" s="464"/>
      <c r="BG4299" s="464"/>
      <c r="BH4299" s="464"/>
      <c r="BI4299" s="464"/>
      <c r="BJ4299" s="464"/>
      <c r="BK4299" s="464"/>
      <c r="BL4299" s="464"/>
    </row>
    <row r="4300" spans="1:64">
      <c r="A4300" s="406"/>
      <c r="B4300" s="406"/>
      <c r="C4300" s="417" t="str">
        <f>[161]Input!$C$47</f>
        <v>Add for MA @ 40%</v>
      </c>
      <c r="D4300" s="459">
        <f>[161]Input!$D$47</f>
        <v>0.4</v>
      </c>
      <c r="E4300" s="406"/>
      <c r="F4300" s="432">
        <f>SUM(I4293:I4299)</f>
        <v>239.09999999999997</v>
      </c>
      <c r="G4300" s="431"/>
      <c r="H4300" s="406"/>
      <c r="I4300" s="459">
        <f t="shared" si="952"/>
        <v>95.639999999999986</v>
      </c>
      <c r="J4300" s="735"/>
      <c r="K4300" s="463"/>
      <c r="L4300" s="463"/>
      <c r="M4300" s="464"/>
      <c r="N4300" s="464"/>
      <c r="O4300" s="464"/>
      <c r="P4300" s="464"/>
      <c r="Q4300" s="464"/>
      <c r="R4300" s="464"/>
      <c r="S4300" s="464"/>
      <c r="T4300" s="464"/>
      <c r="U4300" s="464"/>
      <c r="V4300" s="464"/>
      <c r="W4300" s="464"/>
      <c r="X4300" s="464"/>
      <c r="Y4300" s="464"/>
      <c r="Z4300" s="464"/>
      <c r="AA4300" s="464"/>
      <c r="AB4300" s="464"/>
      <c r="AC4300" s="464"/>
      <c r="AD4300" s="464"/>
      <c r="AE4300" s="464"/>
      <c r="AF4300" s="464"/>
      <c r="AG4300" s="464"/>
      <c r="AH4300" s="464"/>
      <c r="AI4300" s="464"/>
      <c r="AJ4300" s="464"/>
      <c r="AK4300" s="464"/>
      <c r="AL4300" s="464"/>
      <c r="AM4300" s="464"/>
      <c r="AN4300" s="464"/>
      <c r="AO4300" s="464"/>
      <c r="AP4300" s="464"/>
      <c r="AQ4300" s="464"/>
      <c r="AR4300" s="464"/>
      <c r="AS4300" s="464"/>
      <c r="AT4300" s="464"/>
      <c r="AU4300" s="464"/>
      <c r="AV4300" s="464"/>
      <c r="AW4300" s="464"/>
      <c r="AX4300" s="464"/>
      <c r="AY4300" s="464"/>
      <c r="AZ4300" s="464"/>
      <c r="BA4300" s="464"/>
      <c r="BB4300" s="464"/>
      <c r="BC4300" s="464"/>
      <c r="BD4300" s="464"/>
      <c r="BE4300" s="464"/>
      <c r="BF4300" s="464"/>
      <c r="BG4300" s="464"/>
      <c r="BH4300" s="464"/>
      <c r="BI4300" s="464"/>
      <c r="BJ4300" s="464"/>
      <c r="BK4300" s="464"/>
      <c r="BL4300" s="464"/>
    </row>
    <row r="4301" spans="1:64" ht="13">
      <c r="A4301" s="406"/>
      <c r="B4301" s="406"/>
      <c r="C4301" s="427" t="s">
        <v>1466</v>
      </c>
      <c r="D4301" s="432"/>
      <c r="E4301" s="406"/>
      <c r="F4301" s="432"/>
      <c r="G4301" s="431"/>
      <c r="H4301" s="406"/>
      <c r="I4301" s="432"/>
      <c r="J4301" s="735"/>
      <c r="K4301" s="463"/>
      <c r="L4301" s="463"/>
      <c r="M4301" s="464"/>
      <c r="N4301" s="464"/>
      <c r="O4301" s="464"/>
      <c r="P4301" s="464"/>
      <c r="Q4301" s="464"/>
      <c r="R4301" s="464"/>
      <c r="S4301" s="464"/>
      <c r="T4301" s="464"/>
      <c r="U4301" s="464"/>
      <c r="V4301" s="464"/>
      <c r="W4301" s="464"/>
      <c r="X4301" s="464"/>
      <c r="Y4301" s="464"/>
      <c r="Z4301" s="464"/>
      <c r="AA4301" s="464"/>
      <c r="AB4301" s="464"/>
      <c r="AC4301" s="464"/>
      <c r="AD4301" s="464"/>
      <c r="AE4301" s="464"/>
      <c r="AF4301" s="464"/>
      <c r="AG4301" s="464"/>
      <c r="AH4301" s="464"/>
      <c r="AI4301" s="464"/>
      <c r="AJ4301" s="464"/>
      <c r="AK4301" s="464"/>
      <c r="AL4301" s="464"/>
      <c r="AM4301" s="464"/>
      <c r="AN4301" s="464"/>
      <c r="AO4301" s="464"/>
      <c r="AP4301" s="464"/>
      <c r="AQ4301" s="464"/>
      <c r="AR4301" s="464"/>
      <c r="AS4301" s="464"/>
      <c r="AT4301" s="464"/>
      <c r="AU4301" s="464"/>
      <c r="AV4301" s="464"/>
      <c r="AW4301" s="464"/>
      <c r="AX4301" s="464"/>
      <c r="AY4301" s="464"/>
      <c r="AZ4301" s="464"/>
      <c r="BA4301" s="464"/>
      <c r="BB4301" s="464"/>
      <c r="BC4301" s="464"/>
      <c r="BD4301" s="464"/>
      <c r="BE4301" s="464"/>
      <c r="BF4301" s="464"/>
      <c r="BG4301" s="464"/>
      <c r="BH4301" s="464"/>
      <c r="BI4301" s="464"/>
      <c r="BJ4301" s="464"/>
      <c r="BK4301" s="464"/>
      <c r="BL4301" s="464"/>
    </row>
    <row r="4302" spans="1:64" ht="25">
      <c r="A4302" s="406"/>
      <c r="B4302" s="406"/>
      <c r="C4302" s="417" t="s">
        <v>1467</v>
      </c>
      <c r="D4302" s="432">
        <v>0.32</v>
      </c>
      <c r="E4302" s="406" t="s">
        <v>830</v>
      </c>
      <c r="F4302" s="432">
        <f>'[161]Civil-SOR'!$G$194</f>
        <v>146</v>
      </c>
      <c r="G4302" s="431">
        <v>1</v>
      </c>
      <c r="H4302" s="406" t="s">
        <v>797</v>
      </c>
      <c r="I4302" s="459">
        <f t="shared" ref="I4302:I4303" si="953">IF(G4302="",D4302*F4302,(D4302*F4302/G4302))</f>
        <v>46.72</v>
      </c>
      <c r="J4302" s="735"/>
      <c r="K4302" s="463"/>
      <c r="L4302" s="463"/>
      <c r="M4302" s="464"/>
      <c r="N4302" s="464"/>
      <c r="O4302" s="464"/>
      <c r="P4302" s="464"/>
      <c r="Q4302" s="464"/>
      <c r="R4302" s="464"/>
      <c r="S4302" s="464"/>
      <c r="T4302" s="464"/>
      <c r="U4302" s="464"/>
      <c r="V4302" s="464"/>
      <c r="W4302" s="464"/>
      <c r="X4302" s="464"/>
      <c r="Y4302" s="464"/>
      <c r="Z4302" s="464"/>
      <c r="AA4302" s="464"/>
      <c r="AB4302" s="464"/>
      <c r="AC4302" s="464"/>
      <c r="AD4302" s="464"/>
      <c r="AE4302" s="464"/>
      <c r="AF4302" s="464"/>
      <c r="AG4302" s="464"/>
      <c r="AH4302" s="464"/>
      <c r="AI4302" s="464"/>
      <c r="AJ4302" s="464"/>
      <c r="AK4302" s="464"/>
      <c r="AL4302" s="464"/>
      <c r="AM4302" s="464"/>
      <c r="AN4302" s="464"/>
      <c r="AO4302" s="464"/>
      <c r="AP4302" s="464"/>
      <c r="AQ4302" s="464"/>
      <c r="AR4302" s="464"/>
      <c r="AS4302" s="464"/>
      <c r="AT4302" s="464"/>
      <c r="AU4302" s="464"/>
      <c r="AV4302" s="464"/>
      <c r="AW4302" s="464"/>
      <c r="AX4302" s="464"/>
      <c r="AY4302" s="464"/>
      <c r="AZ4302" s="464"/>
      <c r="BA4302" s="464"/>
      <c r="BB4302" s="464"/>
      <c r="BC4302" s="464"/>
      <c r="BD4302" s="464"/>
      <c r="BE4302" s="464"/>
      <c r="BF4302" s="464"/>
      <c r="BG4302" s="464"/>
      <c r="BH4302" s="464"/>
      <c r="BI4302" s="464"/>
      <c r="BJ4302" s="464"/>
      <c r="BK4302" s="464"/>
      <c r="BL4302" s="464"/>
    </row>
    <row r="4303" spans="1:64" ht="25">
      <c r="A4303" s="406"/>
      <c r="B4303" s="406"/>
      <c r="C4303" s="417" t="s">
        <v>1490</v>
      </c>
      <c r="D4303" s="432">
        <v>0.64</v>
      </c>
      <c r="E4303" s="406" t="s">
        <v>830</v>
      </c>
      <c r="F4303" s="432">
        <f>'[161]Civil-SOR'!$G$195</f>
        <v>137</v>
      </c>
      <c r="G4303" s="431">
        <v>1</v>
      </c>
      <c r="H4303" s="406" t="s">
        <v>797</v>
      </c>
      <c r="I4303" s="459">
        <f t="shared" si="953"/>
        <v>87.68</v>
      </c>
      <c r="J4303" s="735"/>
      <c r="K4303" s="463"/>
      <c r="L4303" s="463"/>
      <c r="M4303" s="464"/>
      <c r="N4303" s="464"/>
      <c r="O4303" s="464"/>
      <c r="P4303" s="464"/>
      <c r="Q4303" s="464"/>
      <c r="R4303" s="464"/>
      <c r="S4303" s="464"/>
      <c r="T4303" s="464"/>
      <c r="U4303" s="464"/>
      <c r="V4303" s="464"/>
      <c r="W4303" s="464"/>
      <c r="X4303" s="464"/>
      <c r="Y4303" s="464"/>
      <c r="Z4303" s="464"/>
      <c r="AA4303" s="464"/>
      <c r="AB4303" s="464"/>
      <c r="AC4303" s="464"/>
      <c r="AD4303" s="464"/>
      <c r="AE4303" s="464"/>
      <c r="AF4303" s="464"/>
      <c r="AG4303" s="464"/>
      <c r="AH4303" s="464"/>
      <c r="AI4303" s="464"/>
      <c r="AJ4303" s="464"/>
      <c r="AK4303" s="464"/>
      <c r="AL4303" s="464"/>
      <c r="AM4303" s="464"/>
      <c r="AN4303" s="464"/>
      <c r="AO4303" s="464"/>
      <c r="AP4303" s="464"/>
      <c r="AQ4303" s="464"/>
      <c r="AR4303" s="464"/>
      <c r="AS4303" s="464"/>
      <c r="AT4303" s="464"/>
      <c r="AU4303" s="464"/>
      <c r="AV4303" s="464"/>
      <c r="AW4303" s="464"/>
      <c r="AX4303" s="464"/>
      <c r="AY4303" s="464"/>
      <c r="AZ4303" s="464"/>
      <c r="BA4303" s="464"/>
      <c r="BB4303" s="464"/>
      <c r="BC4303" s="464"/>
      <c r="BD4303" s="464"/>
      <c r="BE4303" s="464"/>
      <c r="BF4303" s="464"/>
      <c r="BG4303" s="464"/>
      <c r="BH4303" s="464"/>
      <c r="BI4303" s="464"/>
      <c r="BJ4303" s="464"/>
      <c r="BK4303" s="464"/>
      <c r="BL4303" s="464"/>
    </row>
    <row r="4304" spans="1:64" ht="13">
      <c r="A4304" s="406"/>
      <c r="B4304" s="406"/>
      <c r="C4304" s="417" t="s">
        <v>1491</v>
      </c>
      <c r="D4304" s="432"/>
      <c r="E4304" s="406"/>
      <c r="F4304" s="432"/>
      <c r="G4304" s="431"/>
      <c r="H4304" s="406"/>
      <c r="I4304" s="461">
        <f>SUM(I4280:I4303)</f>
        <v>1110.3900000000001</v>
      </c>
      <c r="J4304" s="735"/>
      <c r="K4304" s="463"/>
      <c r="L4304" s="463"/>
      <c r="M4304" s="464"/>
      <c r="N4304" s="464"/>
      <c r="O4304" s="464"/>
      <c r="P4304" s="464"/>
      <c r="Q4304" s="464"/>
      <c r="R4304" s="464"/>
      <c r="S4304" s="464"/>
      <c r="T4304" s="464"/>
      <c r="U4304" s="464"/>
      <c r="V4304" s="464"/>
      <c r="W4304" s="464"/>
      <c r="X4304" s="464"/>
      <c r="Y4304" s="464"/>
      <c r="Z4304" s="464"/>
      <c r="AA4304" s="464"/>
      <c r="AB4304" s="464"/>
      <c r="AC4304" s="464"/>
      <c r="AD4304" s="464"/>
      <c r="AE4304" s="464"/>
      <c r="AF4304" s="464"/>
      <c r="AG4304" s="464"/>
      <c r="AH4304" s="464"/>
      <c r="AI4304" s="464"/>
      <c r="AJ4304" s="464"/>
      <c r="AK4304" s="464"/>
      <c r="AL4304" s="464"/>
      <c r="AM4304" s="464"/>
      <c r="AN4304" s="464"/>
      <c r="AO4304" s="464"/>
      <c r="AP4304" s="464"/>
      <c r="AQ4304" s="464"/>
      <c r="AR4304" s="464"/>
      <c r="AS4304" s="464"/>
      <c r="AT4304" s="464"/>
      <c r="AU4304" s="464"/>
      <c r="AV4304" s="464"/>
      <c r="AW4304" s="464"/>
      <c r="AX4304" s="464"/>
      <c r="AY4304" s="464"/>
      <c r="AZ4304" s="464"/>
      <c r="BA4304" s="464"/>
      <c r="BB4304" s="464"/>
      <c r="BC4304" s="464"/>
      <c r="BD4304" s="464"/>
      <c r="BE4304" s="464"/>
      <c r="BF4304" s="464"/>
      <c r="BG4304" s="464"/>
      <c r="BH4304" s="464"/>
      <c r="BI4304" s="464"/>
      <c r="BJ4304" s="464"/>
      <c r="BK4304" s="464"/>
      <c r="BL4304" s="464"/>
    </row>
    <row r="4305" spans="1:64">
      <c r="A4305" s="406"/>
      <c r="B4305" s="406"/>
      <c r="C4305" s="417" t="s">
        <v>1492</v>
      </c>
      <c r="D4305" s="432">
        <v>0.01</v>
      </c>
      <c r="E4305" s="406"/>
      <c r="F4305" s="432">
        <f>I4304</f>
        <v>1110.3900000000001</v>
      </c>
      <c r="G4305" s="431"/>
      <c r="H4305" s="406"/>
      <c r="I4305" s="459">
        <f>IF(G4305="",D4305*F4305,(D4305*F4305/G4305))</f>
        <v>11.103900000000001</v>
      </c>
      <c r="J4305" s="735"/>
      <c r="K4305" s="463"/>
      <c r="L4305" s="463"/>
      <c r="M4305" s="464"/>
      <c r="N4305" s="464"/>
      <c r="O4305" s="464"/>
      <c r="P4305" s="464"/>
      <c r="Q4305" s="464"/>
      <c r="R4305" s="464"/>
      <c r="S4305" s="464"/>
      <c r="T4305" s="464"/>
      <c r="U4305" s="464"/>
      <c r="V4305" s="464"/>
      <c r="W4305" s="464"/>
      <c r="X4305" s="464"/>
      <c r="Y4305" s="464"/>
      <c r="Z4305" s="464"/>
      <c r="AA4305" s="464"/>
      <c r="AB4305" s="464"/>
      <c r="AC4305" s="464"/>
      <c r="AD4305" s="464"/>
      <c r="AE4305" s="464"/>
      <c r="AF4305" s="464"/>
      <c r="AG4305" s="464"/>
      <c r="AH4305" s="464"/>
      <c r="AI4305" s="464"/>
      <c r="AJ4305" s="464"/>
      <c r="AK4305" s="464"/>
      <c r="AL4305" s="464"/>
      <c r="AM4305" s="464"/>
      <c r="AN4305" s="464"/>
      <c r="AO4305" s="464"/>
      <c r="AP4305" s="464"/>
      <c r="AQ4305" s="464"/>
      <c r="AR4305" s="464"/>
      <c r="AS4305" s="464"/>
      <c r="AT4305" s="464"/>
      <c r="AU4305" s="464"/>
      <c r="AV4305" s="464"/>
      <c r="AW4305" s="464"/>
      <c r="AX4305" s="464"/>
      <c r="AY4305" s="464"/>
      <c r="AZ4305" s="464"/>
      <c r="BA4305" s="464"/>
      <c r="BB4305" s="464"/>
      <c r="BC4305" s="464"/>
      <c r="BD4305" s="464"/>
      <c r="BE4305" s="464"/>
      <c r="BF4305" s="464"/>
      <c r="BG4305" s="464"/>
      <c r="BH4305" s="464"/>
      <c r="BI4305" s="464"/>
      <c r="BJ4305" s="464"/>
      <c r="BK4305" s="464"/>
      <c r="BL4305" s="464"/>
    </row>
    <row r="4306" spans="1:64" ht="13">
      <c r="A4306" s="406"/>
      <c r="B4306" s="406"/>
      <c r="C4306" s="427" t="s">
        <v>742</v>
      </c>
      <c r="D4306" s="432"/>
      <c r="E4306" s="406"/>
      <c r="F4306" s="432"/>
      <c r="G4306" s="431"/>
      <c r="H4306" s="406"/>
      <c r="I4306" s="422">
        <f>SUM(I4304:I4305)</f>
        <v>1121.4939000000002</v>
      </c>
      <c r="J4306" s="735"/>
      <c r="K4306" s="463"/>
      <c r="L4306" s="463"/>
      <c r="M4306" s="464"/>
      <c r="N4306" s="464"/>
      <c r="O4306" s="464"/>
      <c r="P4306" s="464"/>
      <c r="Q4306" s="464"/>
      <c r="R4306" s="464"/>
      <c r="S4306" s="464"/>
      <c r="T4306" s="464"/>
      <c r="U4306" s="464"/>
      <c r="V4306" s="464"/>
      <c r="W4306" s="464"/>
      <c r="X4306" s="464"/>
      <c r="Y4306" s="464"/>
      <c r="Z4306" s="464"/>
      <c r="AA4306" s="464"/>
      <c r="AB4306" s="464"/>
      <c r="AC4306" s="464"/>
      <c r="AD4306" s="464"/>
      <c r="AE4306" s="464"/>
      <c r="AF4306" s="464"/>
      <c r="AG4306" s="464"/>
      <c r="AH4306" s="464"/>
      <c r="AI4306" s="464"/>
      <c r="AJ4306" s="464"/>
      <c r="AK4306" s="464"/>
      <c r="AL4306" s="464"/>
      <c r="AM4306" s="464"/>
      <c r="AN4306" s="464"/>
      <c r="AO4306" s="464"/>
      <c r="AP4306" s="464"/>
      <c r="AQ4306" s="464"/>
      <c r="AR4306" s="464"/>
      <c r="AS4306" s="464"/>
      <c r="AT4306" s="464"/>
      <c r="AU4306" s="464"/>
      <c r="AV4306" s="464"/>
      <c r="AW4306" s="464"/>
      <c r="AX4306" s="464"/>
      <c r="AY4306" s="464"/>
      <c r="AZ4306" s="464"/>
      <c r="BA4306" s="464"/>
      <c r="BB4306" s="464"/>
      <c r="BC4306" s="464"/>
      <c r="BD4306" s="464"/>
      <c r="BE4306" s="464"/>
      <c r="BF4306" s="464"/>
      <c r="BG4306" s="464"/>
      <c r="BH4306" s="464"/>
      <c r="BI4306" s="464"/>
      <c r="BJ4306" s="464"/>
      <c r="BK4306" s="464"/>
      <c r="BL4306" s="464"/>
    </row>
    <row r="4307" spans="1:64" ht="25">
      <c r="A4307" s="406"/>
      <c r="B4307" s="406"/>
      <c r="C4307" s="417" t="str">
        <f>[161]Input!$C$48</f>
        <v>Overheads &amp; Contractors Profit @ 13.615%</v>
      </c>
      <c r="D4307" s="465">
        <f>[161]Input!$D$48</f>
        <v>0.13614999999999999</v>
      </c>
      <c r="E4307" s="406"/>
      <c r="F4307" s="432">
        <f>I4306</f>
        <v>1121.4939000000002</v>
      </c>
      <c r="G4307" s="431"/>
      <c r="H4307" s="406"/>
      <c r="I4307" s="459">
        <f>IF(G4307="",D4307*F4307,(D4307*F4307/G4307))</f>
        <v>152.69139448500002</v>
      </c>
      <c r="J4307" s="735"/>
      <c r="K4307" s="463"/>
      <c r="L4307" s="463"/>
      <c r="M4307" s="464"/>
      <c r="N4307" s="464"/>
      <c r="O4307" s="464"/>
      <c r="P4307" s="464"/>
      <c r="Q4307" s="464"/>
      <c r="R4307" s="464"/>
      <c r="S4307" s="464"/>
      <c r="T4307" s="464"/>
      <c r="U4307" s="464"/>
      <c r="V4307" s="464"/>
      <c r="W4307" s="464"/>
      <c r="X4307" s="464"/>
      <c r="Y4307" s="464"/>
      <c r="Z4307" s="464"/>
      <c r="AA4307" s="464"/>
      <c r="AB4307" s="464"/>
      <c r="AC4307" s="464"/>
      <c r="AD4307" s="464"/>
      <c r="AE4307" s="464"/>
      <c r="AF4307" s="464"/>
      <c r="AG4307" s="464"/>
      <c r="AH4307" s="464"/>
      <c r="AI4307" s="464"/>
      <c r="AJ4307" s="464"/>
      <c r="AK4307" s="464"/>
      <c r="AL4307" s="464"/>
      <c r="AM4307" s="464"/>
      <c r="AN4307" s="464"/>
      <c r="AO4307" s="464"/>
      <c r="AP4307" s="464"/>
      <c r="AQ4307" s="464"/>
      <c r="AR4307" s="464"/>
      <c r="AS4307" s="464"/>
      <c r="AT4307" s="464"/>
      <c r="AU4307" s="464"/>
      <c r="AV4307" s="464"/>
      <c r="AW4307" s="464"/>
      <c r="AX4307" s="464"/>
      <c r="AY4307" s="464"/>
      <c r="AZ4307" s="464"/>
      <c r="BA4307" s="464"/>
      <c r="BB4307" s="464"/>
      <c r="BC4307" s="464"/>
      <c r="BD4307" s="464"/>
      <c r="BE4307" s="464"/>
      <c r="BF4307" s="464"/>
      <c r="BG4307" s="464"/>
      <c r="BH4307" s="464"/>
      <c r="BI4307" s="464"/>
      <c r="BJ4307" s="464"/>
      <c r="BK4307" s="464"/>
      <c r="BL4307" s="464"/>
    </row>
    <row r="4308" spans="1:64">
      <c r="A4308" s="406"/>
      <c r="B4308" s="406"/>
      <c r="C4308" s="417"/>
      <c r="D4308" s="432"/>
      <c r="E4308" s="406"/>
      <c r="F4308" s="432"/>
      <c r="G4308" s="431"/>
      <c r="H4308" s="406"/>
      <c r="I4308" s="432">
        <f>SUM(I4306:I4307)</f>
        <v>1274.1852944850002</v>
      </c>
      <c r="J4308" s="735"/>
      <c r="K4308" s="463"/>
      <c r="L4308" s="463"/>
      <c r="M4308" s="464"/>
      <c r="N4308" s="464"/>
      <c r="O4308" s="464"/>
      <c r="P4308" s="464"/>
      <c r="Q4308" s="464"/>
      <c r="R4308" s="464"/>
      <c r="S4308" s="464"/>
      <c r="T4308" s="464"/>
      <c r="U4308" s="464"/>
      <c r="V4308" s="464"/>
      <c r="W4308" s="464"/>
      <c r="X4308" s="464"/>
      <c r="Y4308" s="464"/>
      <c r="Z4308" s="464"/>
      <c r="AA4308" s="464"/>
      <c r="AB4308" s="464"/>
      <c r="AC4308" s="464"/>
      <c r="AD4308" s="464"/>
      <c r="AE4308" s="464"/>
      <c r="AF4308" s="464"/>
      <c r="AG4308" s="464"/>
      <c r="AH4308" s="464"/>
      <c r="AI4308" s="464"/>
      <c r="AJ4308" s="464"/>
      <c r="AK4308" s="464"/>
      <c r="AL4308" s="464"/>
      <c r="AM4308" s="464"/>
      <c r="AN4308" s="464"/>
      <c r="AO4308" s="464"/>
      <c r="AP4308" s="464"/>
      <c r="AQ4308" s="464"/>
      <c r="AR4308" s="464"/>
      <c r="AS4308" s="464"/>
      <c r="AT4308" s="464"/>
      <c r="AU4308" s="464"/>
      <c r="AV4308" s="464"/>
      <c r="AW4308" s="464"/>
      <c r="AX4308" s="464"/>
      <c r="AY4308" s="464"/>
      <c r="AZ4308" s="464"/>
      <c r="BA4308" s="464"/>
      <c r="BB4308" s="464"/>
      <c r="BC4308" s="464"/>
      <c r="BD4308" s="464"/>
      <c r="BE4308" s="464"/>
      <c r="BF4308" s="464"/>
      <c r="BG4308" s="464"/>
      <c r="BH4308" s="464"/>
      <c r="BI4308" s="464"/>
      <c r="BJ4308" s="464"/>
      <c r="BK4308" s="464"/>
      <c r="BL4308" s="464"/>
    </row>
    <row r="4309" spans="1:64" ht="13">
      <c r="A4309" s="426"/>
      <c r="B4309" s="426"/>
      <c r="C4309" s="496"/>
      <c r="D4309" s="409"/>
      <c r="E4309" s="426"/>
      <c r="F4309" s="409"/>
      <c r="G4309" s="410"/>
      <c r="H4309" s="474" t="s">
        <v>774</v>
      </c>
      <c r="I4309" s="434">
        <f>ROUND(I4308,0)</f>
        <v>1274</v>
      </c>
      <c r="J4309" s="411"/>
      <c r="K4309" s="412"/>
      <c r="L4309" s="412"/>
      <c r="M4309" s="413"/>
      <c r="N4309" s="413"/>
      <c r="O4309" s="413"/>
      <c r="P4309" s="413"/>
      <c r="Q4309" s="413"/>
      <c r="R4309" s="413"/>
      <c r="S4309" s="413"/>
      <c r="T4309" s="413"/>
      <c r="U4309" s="413"/>
      <c r="V4309" s="413"/>
      <c r="W4309" s="413"/>
      <c r="X4309" s="413"/>
      <c r="Y4309" s="413"/>
      <c r="Z4309" s="413"/>
      <c r="AA4309" s="413"/>
      <c r="AB4309" s="413"/>
      <c r="AC4309" s="413"/>
      <c r="AD4309" s="413"/>
      <c r="AE4309" s="413"/>
      <c r="AF4309" s="413"/>
      <c r="AG4309" s="413"/>
      <c r="AH4309" s="413"/>
      <c r="AI4309" s="413"/>
      <c r="AJ4309" s="413"/>
      <c r="AK4309" s="413"/>
      <c r="AL4309" s="413"/>
      <c r="AM4309" s="413"/>
      <c r="AN4309" s="413"/>
      <c r="AO4309" s="413"/>
      <c r="AP4309" s="413"/>
      <c r="AQ4309" s="413"/>
      <c r="AR4309" s="413"/>
      <c r="AS4309" s="413"/>
      <c r="AT4309" s="413"/>
      <c r="AU4309" s="413"/>
      <c r="AV4309" s="413"/>
      <c r="AW4309" s="413"/>
      <c r="AX4309" s="413"/>
      <c r="AY4309" s="413"/>
      <c r="AZ4309" s="413"/>
      <c r="BA4309" s="413"/>
      <c r="BB4309" s="413"/>
      <c r="BC4309" s="413"/>
      <c r="BD4309" s="413"/>
      <c r="BE4309" s="413"/>
      <c r="BF4309" s="413"/>
      <c r="BG4309" s="413"/>
      <c r="BH4309" s="413"/>
      <c r="BI4309" s="413"/>
      <c r="BJ4309" s="413"/>
      <c r="BK4309" s="413"/>
      <c r="BL4309" s="413"/>
    </row>
    <row r="4310" spans="1:64" ht="13">
      <c r="A4310" s="426"/>
      <c r="B4310" s="426"/>
      <c r="C4310" s="417"/>
      <c r="D4310" s="409"/>
      <c r="E4310" s="426"/>
      <c r="F4310" s="409"/>
      <c r="G4310" s="410"/>
      <c r="H4310" s="474"/>
      <c r="I4310" s="408"/>
      <c r="J4310" s="400"/>
      <c r="K4310" s="401"/>
      <c r="L4310" s="401"/>
      <c r="M4310" s="404"/>
      <c r="N4310" s="404"/>
      <c r="O4310" s="404"/>
      <c r="P4310" s="404"/>
      <c r="Q4310" s="404"/>
      <c r="R4310" s="404"/>
      <c r="S4310" s="404"/>
      <c r="T4310" s="404"/>
      <c r="U4310" s="404"/>
      <c r="V4310" s="404"/>
      <c r="W4310" s="404"/>
      <c r="X4310" s="404"/>
      <c r="Y4310" s="404"/>
      <c r="Z4310" s="404"/>
      <c r="AA4310" s="404"/>
      <c r="AB4310" s="404"/>
      <c r="AC4310" s="404"/>
      <c r="AD4310" s="404"/>
      <c r="AE4310" s="404"/>
      <c r="AF4310" s="404"/>
      <c r="AG4310" s="404"/>
      <c r="AH4310" s="404"/>
      <c r="AI4310" s="404"/>
      <c r="AJ4310" s="404"/>
      <c r="AK4310" s="404"/>
      <c r="AL4310" s="404"/>
      <c r="AM4310" s="404"/>
      <c r="AN4310" s="404"/>
      <c r="AO4310" s="404"/>
      <c r="AP4310" s="404"/>
      <c r="AQ4310" s="404"/>
      <c r="AR4310" s="404"/>
      <c r="AS4310" s="404"/>
      <c r="AT4310" s="404"/>
      <c r="AU4310" s="404"/>
      <c r="AV4310" s="404"/>
      <c r="AW4310" s="404"/>
      <c r="AX4310" s="404"/>
      <c r="AY4310" s="404"/>
      <c r="AZ4310" s="404"/>
      <c r="BA4310" s="404"/>
      <c r="BB4310" s="404"/>
      <c r="BC4310" s="404"/>
      <c r="BD4310" s="404"/>
      <c r="BE4310" s="404"/>
      <c r="BF4310" s="404"/>
      <c r="BG4310" s="404"/>
      <c r="BH4310" s="404"/>
      <c r="BI4310" s="404"/>
      <c r="BJ4310" s="404"/>
      <c r="BK4310" s="404"/>
      <c r="BL4310" s="404"/>
    </row>
    <row r="4311" spans="1:64" ht="103.75" customHeight="1">
      <c r="A4311" s="1280">
        <f>A4276+1</f>
        <v>27</v>
      </c>
      <c r="B4311" s="1280"/>
      <c r="C4311" s="1276" t="s">
        <v>1493</v>
      </c>
      <c r="D4311" s="1276"/>
      <c r="E4311" s="1276"/>
      <c r="F4311" s="1276"/>
      <c r="G4311" s="1276"/>
      <c r="H4311" s="1276"/>
      <c r="I4311" s="407"/>
      <c r="J4311" s="400"/>
      <c r="K4311" s="401"/>
      <c r="L4311" s="401"/>
      <c r="M4311" s="404"/>
      <c r="N4311" s="404"/>
      <c r="O4311" s="404"/>
      <c r="P4311" s="404"/>
      <c r="Q4311" s="404"/>
      <c r="R4311" s="404"/>
      <c r="S4311" s="404"/>
      <c r="T4311" s="404"/>
      <c r="U4311" s="404"/>
      <c r="V4311" s="404"/>
      <c r="W4311" s="404"/>
      <c r="X4311" s="404"/>
      <c r="Y4311" s="404"/>
      <c r="Z4311" s="404"/>
      <c r="AA4311" s="404"/>
      <c r="AB4311" s="404"/>
      <c r="AC4311" s="404"/>
      <c r="AD4311" s="404"/>
      <c r="AE4311" s="404"/>
      <c r="AF4311" s="404"/>
      <c r="AG4311" s="404"/>
      <c r="AH4311" s="404"/>
      <c r="AI4311" s="404"/>
      <c r="AJ4311" s="404"/>
      <c r="AK4311" s="404"/>
      <c r="AL4311" s="404"/>
      <c r="AM4311" s="404"/>
      <c r="AN4311" s="404"/>
      <c r="AO4311" s="404"/>
      <c r="AP4311" s="404"/>
      <c r="AQ4311" s="404"/>
      <c r="AR4311" s="404"/>
      <c r="AS4311" s="404"/>
      <c r="AT4311" s="404"/>
      <c r="AU4311" s="404"/>
      <c r="AV4311" s="404"/>
      <c r="AW4311" s="404"/>
      <c r="AX4311" s="404"/>
      <c r="AY4311" s="404"/>
      <c r="AZ4311" s="404"/>
      <c r="BA4311" s="404"/>
      <c r="BB4311" s="404"/>
      <c r="BC4311" s="404"/>
      <c r="BD4311" s="404"/>
      <c r="BE4311" s="404"/>
      <c r="BF4311" s="404"/>
      <c r="BG4311" s="404"/>
      <c r="BH4311" s="404"/>
      <c r="BI4311" s="404"/>
      <c r="BJ4311" s="404"/>
      <c r="BK4311" s="404"/>
      <c r="BL4311" s="404"/>
    </row>
    <row r="4312" spans="1:64" ht="12.75" customHeight="1">
      <c r="A4312" s="406"/>
      <c r="B4312" s="406"/>
      <c r="C4312" s="1295" t="s">
        <v>1494</v>
      </c>
      <c r="D4312" s="1295"/>
      <c r="E4312" s="1295"/>
      <c r="F4312" s="432"/>
      <c r="G4312" s="431"/>
      <c r="H4312" s="406"/>
      <c r="I4312" s="432"/>
      <c r="J4312" s="462"/>
      <c r="K4312" s="463"/>
      <c r="L4312" s="463"/>
      <c r="M4312" s="464"/>
      <c r="N4312" s="464"/>
      <c r="O4312" s="464"/>
      <c r="P4312" s="464"/>
      <c r="Q4312" s="464"/>
      <c r="R4312" s="464"/>
      <c r="S4312" s="464"/>
      <c r="T4312" s="464"/>
      <c r="U4312" s="464"/>
      <c r="V4312" s="464"/>
      <c r="W4312" s="464"/>
      <c r="X4312" s="464"/>
      <c r="Y4312" s="464"/>
      <c r="Z4312" s="464"/>
      <c r="AA4312" s="464"/>
      <c r="AB4312" s="464"/>
      <c r="AC4312" s="464"/>
      <c r="AD4312" s="464"/>
      <c r="AE4312" s="464"/>
      <c r="AF4312" s="464"/>
      <c r="AG4312" s="464"/>
      <c r="AH4312" s="464"/>
      <c r="AI4312" s="464"/>
      <c r="AJ4312" s="464"/>
      <c r="AK4312" s="464"/>
      <c r="AL4312" s="464"/>
      <c r="AM4312" s="464"/>
      <c r="AN4312" s="464"/>
      <c r="AO4312" s="464"/>
      <c r="AP4312" s="464"/>
      <c r="AQ4312" s="464"/>
      <c r="AR4312" s="464"/>
      <c r="AS4312" s="464"/>
      <c r="AT4312" s="464"/>
      <c r="AU4312" s="464"/>
      <c r="AV4312" s="464"/>
      <c r="AW4312" s="464"/>
      <c r="AX4312" s="464"/>
      <c r="AY4312" s="464"/>
      <c r="AZ4312" s="464"/>
      <c r="BA4312" s="464"/>
      <c r="BB4312" s="464"/>
      <c r="BC4312" s="464"/>
      <c r="BD4312" s="464"/>
      <c r="BE4312" s="464"/>
      <c r="BF4312" s="464"/>
      <c r="BG4312" s="464"/>
      <c r="BH4312" s="464"/>
      <c r="BI4312" s="464"/>
      <c r="BJ4312" s="464"/>
      <c r="BK4312" s="464"/>
      <c r="BL4312" s="464"/>
    </row>
    <row r="4313" spans="1:64" ht="13">
      <c r="A4313" s="406"/>
      <c r="B4313" s="406"/>
      <c r="C4313" s="427" t="s">
        <v>1473</v>
      </c>
      <c r="D4313" s="432"/>
      <c r="E4313" s="406"/>
      <c r="F4313" s="432"/>
      <c r="G4313" s="431"/>
      <c r="H4313" s="406"/>
      <c r="I4313" s="432"/>
      <c r="J4313" s="462"/>
      <c r="K4313" s="463"/>
      <c r="L4313" s="463"/>
      <c r="M4313" s="464"/>
      <c r="N4313" s="464"/>
      <c r="O4313" s="464"/>
      <c r="P4313" s="464"/>
      <c r="Q4313" s="464"/>
      <c r="R4313" s="464"/>
      <c r="S4313" s="464"/>
      <c r="T4313" s="464"/>
      <c r="U4313" s="464"/>
      <c r="V4313" s="464"/>
      <c r="W4313" s="464"/>
      <c r="X4313" s="464"/>
      <c r="Y4313" s="464"/>
      <c r="Z4313" s="464"/>
      <c r="AA4313" s="464"/>
      <c r="AB4313" s="464"/>
      <c r="AC4313" s="464"/>
      <c r="AD4313" s="464"/>
      <c r="AE4313" s="464"/>
      <c r="AF4313" s="464"/>
      <c r="AG4313" s="464"/>
      <c r="AH4313" s="464"/>
      <c r="AI4313" s="464"/>
      <c r="AJ4313" s="464"/>
      <c r="AK4313" s="464"/>
      <c r="AL4313" s="464"/>
      <c r="AM4313" s="464"/>
      <c r="AN4313" s="464"/>
      <c r="AO4313" s="464"/>
      <c r="AP4313" s="464"/>
      <c r="AQ4313" s="464"/>
      <c r="AR4313" s="464"/>
      <c r="AS4313" s="464"/>
      <c r="AT4313" s="464"/>
      <c r="AU4313" s="464"/>
      <c r="AV4313" s="464"/>
      <c r="AW4313" s="464"/>
      <c r="AX4313" s="464"/>
      <c r="AY4313" s="464"/>
      <c r="AZ4313" s="464"/>
      <c r="BA4313" s="464"/>
      <c r="BB4313" s="464"/>
      <c r="BC4313" s="464"/>
      <c r="BD4313" s="464"/>
      <c r="BE4313" s="464"/>
      <c r="BF4313" s="464"/>
      <c r="BG4313" s="464"/>
      <c r="BH4313" s="464"/>
      <c r="BI4313" s="464"/>
      <c r="BJ4313" s="464"/>
      <c r="BK4313" s="464"/>
      <c r="BL4313" s="464"/>
    </row>
    <row r="4314" spans="1:64" ht="12.75" customHeight="1">
      <c r="A4314" s="406"/>
      <c r="B4314" s="406"/>
      <c r="C4314" s="1294" t="s">
        <v>1495</v>
      </c>
      <c r="D4314" s="1294"/>
      <c r="E4314" s="406"/>
      <c r="F4314" s="432"/>
      <c r="G4314" s="431"/>
      <c r="H4314" s="406"/>
      <c r="I4314" s="432"/>
      <c r="J4314" s="462"/>
      <c r="K4314" s="463"/>
      <c r="L4314" s="463"/>
      <c r="M4314" s="464"/>
      <c r="N4314" s="464"/>
      <c r="O4314" s="464"/>
      <c r="P4314" s="464"/>
      <c r="Q4314" s="464"/>
      <c r="R4314" s="464"/>
      <c r="S4314" s="464"/>
      <c r="T4314" s="464"/>
      <c r="U4314" s="464"/>
      <c r="V4314" s="464"/>
      <c r="W4314" s="464"/>
      <c r="X4314" s="464"/>
      <c r="Y4314" s="464"/>
      <c r="Z4314" s="464"/>
      <c r="AA4314" s="464"/>
      <c r="AB4314" s="464"/>
      <c r="AC4314" s="464"/>
      <c r="AD4314" s="464"/>
      <c r="AE4314" s="464"/>
      <c r="AF4314" s="464"/>
      <c r="AG4314" s="464"/>
      <c r="AH4314" s="464"/>
      <c r="AI4314" s="464"/>
      <c r="AJ4314" s="464"/>
      <c r="AK4314" s="464"/>
      <c r="AL4314" s="464"/>
      <c r="AM4314" s="464"/>
      <c r="AN4314" s="464"/>
      <c r="AO4314" s="464"/>
      <c r="AP4314" s="464"/>
      <c r="AQ4314" s="464"/>
      <c r="AR4314" s="464"/>
      <c r="AS4314" s="464"/>
      <c r="AT4314" s="464"/>
      <c r="AU4314" s="464"/>
      <c r="AV4314" s="464"/>
      <c r="AW4314" s="464"/>
      <c r="AX4314" s="464"/>
      <c r="AY4314" s="464"/>
      <c r="AZ4314" s="464"/>
      <c r="BA4314" s="464"/>
      <c r="BB4314" s="464"/>
      <c r="BC4314" s="464"/>
      <c r="BD4314" s="464"/>
      <c r="BE4314" s="464"/>
      <c r="BF4314" s="464"/>
      <c r="BG4314" s="464"/>
      <c r="BH4314" s="464"/>
      <c r="BI4314" s="464"/>
      <c r="BJ4314" s="464"/>
      <c r="BK4314" s="464"/>
      <c r="BL4314" s="464"/>
    </row>
    <row r="4315" spans="1:64">
      <c r="A4315" s="406"/>
      <c r="B4315" s="406"/>
      <c r="C4315" s="417" t="s">
        <v>1496</v>
      </c>
      <c r="D4315" s="432"/>
      <c r="E4315" s="406"/>
      <c r="F4315" s="432"/>
      <c r="G4315" s="431"/>
      <c r="H4315" s="406"/>
      <c r="I4315" s="432"/>
      <c r="J4315" s="462"/>
      <c r="K4315" s="463"/>
      <c r="L4315" s="463"/>
      <c r="M4315" s="464"/>
      <c r="N4315" s="464"/>
      <c r="O4315" s="464"/>
      <c r="P4315" s="464"/>
      <c r="Q4315" s="464"/>
      <c r="R4315" s="464"/>
      <c r="S4315" s="464"/>
      <c r="T4315" s="464"/>
      <c r="U4315" s="464"/>
      <c r="V4315" s="464"/>
      <c r="W4315" s="464"/>
      <c r="X4315" s="464"/>
      <c r="Y4315" s="464"/>
      <c r="Z4315" s="464"/>
      <c r="AA4315" s="464"/>
      <c r="AB4315" s="464"/>
      <c r="AC4315" s="464"/>
      <c r="AD4315" s="464"/>
      <c r="AE4315" s="464"/>
      <c r="AF4315" s="464"/>
      <c r="AG4315" s="464"/>
      <c r="AH4315" s="464"/>
      <c r="AI4315" s="464"/>
      <c r="AJ4315" s="464"/>
      <c r="AK4315" s="464"/>
      <c r="AL4315" s="464"/>
      <c r="AM4315" s="464"/>
      <c r="AN4315" s="464"/>
      <c r="AO4315" s="464"/>
      <c r="AP4315" s="464"/>
      <c r="AQ4315" s="464"/>
      <c r="AR4315" s="464"/>
      <c r="AS4315" s="464"/>
      <c r="AT4315" s="464"/>
      <c r="AU4315" s="464"/>
      <c r="AV4315" s="464"/>
      <c r="AW4315" s="464"/>
      <c r="AX4315" s="464"/>
      <c r="AY4315" s="464"/>
      <c r="AZ4315" s="464"/>
      <c r="BA4315" s="464"/>
      <c r="BB4315" s="464"/>
      <c r="BC4315" s="464"/>
      <c r="BD4315" s="464"/>
      <c r="BE4315" s="464"/>
      <c r="BF4315" s="464"/>
      <c r="BG4315" s="464"/>
      <c r="BH4315" s="464"/>
      <c r="BI4315" s="464"/>
      <c r="BJ4315" s="464"/>
      <c r="BK4315" s="464"/>
      <c r="BL4315" s="464"/>
    </row>
    <row r="4316" spans="1:64">
      <c r="A4316" s="406"/>
      <c r="B4316" s="406"/>
      <c r="C4316" s="417" t="s">
        <v>1497</v>
      </c>
      <c r="D4316" s="432">
        <v>1</v>
      </c>
      <c r="E4316" s="406" t="s">
        <v>17</v>
      </c>
      <c r="F4316" s="432">
        <f>'[161]Civil-SOR'!$G$81</f>
        <v>286</v>
      </c>
      <c r="G4316" s="431">
        <v>1</v>
      </c>
      <c r="H4316" s="406" t="s">
        <v>17</v>
      </c>
      <c r="I4316" s="459">
        <f t="shared" ref="I4316:I4323" si="954">IF(G4316="",D4316*F4316,(D4316*F4316/G4316))</f>
        <v>286</v>
      </c>
      <c r="J4316" s="462"/>
      <c r="K4316" s="463"/>
      <c r="L4316" s="463"/>
      <c r="M4316" s="464"/>
      <c r="N4316" s="464"/>
      <c r="O4316" s="464"/>
      <c r="P4316" s="464"/>
      <c r="Q4316" s="464"/>
      <c r="R4316" s="464"/>
      <c r="S4316" s="464"/>
      <c r="T4316" s="464"/>
      <c r="U4316" s="464"/>
      <c r="V4316" s="464"/>
      <c r="W4316" s="464"/>
      <c r="X4316" s="464"/>
      <c r="Y4316" s="464"/>
      <c r="Z4316" s="464"/>
      <c r="AA4316" s="464"/>
      <c r="AB4316" s="464"/>
      <c r="AC4316" s="464"/>
      <c r="AD4316" s="464"/>
      <c r="AE4316" s="464"/>
      <c r="AF4316" s="464"/>
      <c r="AG4316" s="464"/>
      <c r="AH4316" s="464"/>
      <c r="AI4316" s="464"/>
      <c r="AJ4316" s="464"/>
      <c r="AK4316" s="464"/>
      <c r="AL4316" s="464"/>
      <c r="AM4316" s="464"/>
      <c r="AN4316" s="464"/>
      <c r="AO4316" s="464"/>
      <c r="AP4316" s="464"/>
      <c r="AQ4316" s="464"/>
      <c r="AR4316" s="464"/>
      <c r="AS4316" s="464"/>
      <c r="AT4316" s="464"/>
      <c r="AU4316" s="464"/>
      <c r="AV4316" s="464"/>
      <c r="AW4316" s="464"/>
      <c r="AX4316" s="464"/>
      <c r="AY4316" s="464"/>
      <c r="AZ4316" s="464"/>
      <c r="BA4316" s="464"/>
      <c r="BB4316" s="464"/>
      <c r="BC4316" s="464"/>
      <c r="BD4316" s="464"/>
      <c r="BE4316" s="464"/>
      <c r="BF4316" s="464"/>
      <c r="BG4316" s="464"/>
      <c r="BH4316" s="464"/>
      <c r="BI4316" s="464"/>
      <c r="BJ4316" s="464"/>
      <c r="BK4316" s="464"/>
      <c r="BL4316" s="464"/>
    </row>
    <row r="4317" spans="1:64" ht="25">
      <c r="A4317" s="406"/>
      <c r="B4317" s="406"/>
      <c r="C4317" s="417" t="s">
        <v>1498</v>
      </c>
      <c r="D4317" s="432">
        <v>0.4</v>
      </c>
      <c r="E4317" s="406" t="s">
        <v>1052</v>
      </c>
      <c r="F4317" s="432">
        <f>'[161]Civil-SOR'!$G$91</f>
        <v>43</v>
      </c>
      <c r="G4317" s="431">
        <v>1</v>
      </c>
      <c r="H4317" s="406" t="s">
        <v>1052</v>
      </c>
      <c r="I4317" s="459">
        <f t="shared" si="954"/>
        <v>17.2</v>
      </c>
      <c r="J4317" s="462"/>
      <c r="K4317" s="463"/>
      <c r="L4317" s="463"/>
      <c r="M4317" s="464"/>
      <c r="N4317" s="464"/>
      <c r="O4317" s="464"/>
      <c r="P4317" s="464"/>
      <c r="Q4317" s="464"/>
      <c r="R4317" s="464"/>
      <c r="S4317" s="464"/>
      <c r="T4317" s="464"/>
      <c r="U4317" s="464"/>
      <c r="V4317" s="464"/>
      <c r="W4317" s="464"/>
      <c r="X4317" s="464"/>
      <c r="Y4317" s="464"/>
      <c r="Z4317" s="464"/>
      <c r="AA4317" s="464"/>
      <c r="AB4317" s="464"/>
      <c r="AC4317" s="464"/>
      <c r="AD4317" s="464"/>
      <c r="AE4317" s="464"/>
      <c r="AF4317" s="464"/>
      <c r="AG4317" s="464"/>
      <c r="AH4317" s="464"/>
      <c r="AI4317" s="464"/>
      <c r="AJ4317" s="464"/>
      <c r="AK4317" s="464"/>
      <c r="AL4317" s="464"/>
      <c r="AM4317" s="464"/>
      <c r="AN4317" s="464"/>
      <c r="AO4317" s="464"/>
      <c r="AP4317" s="464"/>
      <c r="AQ4317" s="464"/>
      <c r="AR4317" s="464"/>
      <c r="AS4317" s="464"/>
      <c r="AT4317" s="464"/>
      <c r="AU4317" s="464"/>
      <c r="AV4317" s="464"/>
      <c r="AW4317" s="464"/>
      <c r="AX4317" s="464"/>
      <c r="AY4317" s="464"/>
      <c r="AZ4317" s="464"/>
      <c r="BA4317" s="464"/>
      <c r="BB4317" s="464"/>
      <c r="BC4317" s="464"/>
      <c r="BD4317" s="464"/>
      <c r="BE4317" s="464"/>
      <c r="BF4317" s="464"/>
      <c r="BG4317" s="464"/>
      <c r="BH4317" s="464"/>
      <c r="BI4317" s="464"/>
      <c r="BJ4317" s="464"/>
      <c r="BK4317" s="464"/>
      <c r="BL4317" s="464"/>
    </row>
    <row r="4318" spans="1:64" ht="37.5">
      <c r="A4318" s="406"/>
      <c r="B4318" s="406"/>
      <c r="C4318" s="417" t="s">
        <v>1499</v>
      </c>
      <c r="D4318" s="432">
        <v>3.2</v>
      </c>
      <c r="E4318" s="406" t="s">
        <v>1052</v>
      </c>
      <c r="F4318" s="432">
        <f>'[161]Civil-SOR'!$G$92</f>
        <v>57</v>
      </c>
      <c r="G4318" s="431">
        <v>1</v>
      </c>
      <c r="H4318" s="406" t="s">
        <v>1052</v>
      </c>
      <c r="I4318" s="459">
        <f t="shared" si="954"/>
        <v>182.4</v>
      </c>
      <c r="J4318" s="462"/>
      <c r="K4318" s="463"/>
      <c r="L4318" s="463"/>
      <c r="M4318" s="464"/>
      <c r="N4318" s="464"/>
      <c r="O4318" s="464"/>
      <c r="P4318" s="464"/>
      <c r="Q4318" s="464"/>
      <c r="R4318" s="464"/>
      <c r="S4318" s="464"/>
      <c r="T4318" s="464"/>
      <c r="U4318" s="464"/>
      <c r="V4318" s="464"/>
      <c r="W4318" s="464"/>
      <c r="X4318" s="464"/>
      <c r="Y4318" s="464"/>
      <c r="Z4318" s="464"/>
      <c r="AA4318" s="464"/>
      <c r="AB4318" s="464"/>
      <c r="AC4318" s="464"/>
      <c r="AD4318" s="464"/>
      <c r="AE4318" s="464"/>
      <c r="AF4318" s="464"/>
      <c r="AG4318" s="464"/>
      <c r="AH4318" s="464"/>
      <c r="AI4318" s="464"/>
      <c r="AJ4318" s="464"/>
      <c r="AK4318" s="464"/>
      <c r="AL4318" s="464"/>
      <c r="AM4318" s="464"/>
      <c r="AN4318" s="464"/>
      <c r="AO4318" s="464"/>
      <c r="AP4318" s="464"/>
      <c r="AQ4318" s="464"/>
      <c r="AR4318" s="464"/>
      <c r="AS4318" s="464"/>
      <c r="AT4318" s="464"/>
      <c r="AU4318" s="464"/>
      <c r="AV4318" s="464"/>
      <c r="AW4318" s="464"/>
      <c r="AX4318" s="464"/>
      <c r="AY4318" s="464"/>
      <c r="AZ4318" s="464"/>
      <c r="BA4318" s="464"/>
      <c r="BB4318" s="464"/>
      <c r="BC4318" s="464"/>
      <c r="BD4318" s="464"/>
      <c r="BE4318" s="464"/>
      <c r="BF4318" s="464"/>
      <c r="BG4318" s="464"/>
      <c r="BH4318" s="464"/>
      <c r="BI4318" s="464"/>
      <c r="BJ4318" s="464"/>
      <c r="BK4318" s="464"/>
      <c r="BL4318" s="464"/>
    </row>
    <row r="4319" spans="1:64" ht="25">
      <c r="A4319" s="406"/>
      <c r="B4319" s="406"/>
      <c r="C4319" s="417" t="s">
        <v>1500</v>
      </c>
      <c r="D4319" s="432">
        <v>1.28</v>
      </c>
      <c r="E4319" s="406" t="s">
        <v>1052</v>
      </c>
      <c r="F4319" s="432">
        <f>'[161]Civil-SOR'!$G$108</f>
        <v>13</v>
      </c>
      <c r="G4319" s="431">
        <v>1</v>
      </c>
      <c r="H4319" s="406" t="s">
        <v>1052</v>
      </c>
      <c r="I4319" s="459">
        <f t="shared" si="954"/>
        <v>16.64</v>
      </c>
      <c r="J4319" s="462"/>
      <c r="K4319" s="463"/>
      <c r="L4319" s="463"/>
      <c r="M4319" s="464"/>
      <c r="N4319" s="464"/>
      <c r="O4319" s="464"/>
      <c r="P4319" s="464"/>
      <c r="Q4319" s="464"/>
      <c r="R4319" s="464"/>
      <c r="S4319" s="464"/>
      <c r="T4319" s="464"/>
      <c r="U4319" s="464"/>
      <c r="V4319" s="464"/>
      <c r="W4319" s="464"/>
      <c r="X4319" s="464"/>
      <c r="Y4319" s="464"/>
      <c r="Z4319" s="464"/>
      <c r="AA4319" s="464"/>
      <c r="AB4319" s="464"/>
      <c r="AC4319" s="464"/>
      <c r="AD4319" s="464"/>
      <c r="AE4319" s="464"/>
      <c r="AF4319" s="464"/>
      <c r="AG4319" s="464"/>
      <c r="AH4319" s="464"/>
      <c r="AI4319" s="464"/>
      <c r="AJ4319" s="464"/>
      <c r="AK4319" s="464"/>
      <c r="AL4319" s="464"/>
      <c r="AM4319" s="464"/>
      <c r="AN4319" s="464"/>
      <c r="AO4319" s="464"/>
      <c r="AP4319" s="464"/>
      <c r="AQ4319" s="464"/>
      <c r="AR4319" s="464"/>
      <c r="AS4319" s="464"/>
      <c r="AT4319" s="464"/>
      <c r="AU4319" s="464"/>
      <c r="AV4319" s="464"/>
      <c r="AW4319" s="464"/>
      <c r="AX4319" s="464"/>
      <c r="AY4319" s="464"/>
      <c r="AZ4319" s="464"/>
      <c r="BA4319" s="464"/>
      <c r="BB4319" s="464"/>
      <c r="BC4319" s="464"/>
      <c r="BD4319" s="464"/>
      <c r="BE4319" s="464"/>
      <c r="BF4319" s="464"/>
      <c r="BG4319" s="464"/>
      <c r="BH4319" s="464"/>
      <c r="BI4319" s="464"/>
      <c r="BJ4319" s="464"/>
      <c r="BK4319" s="464"/>
      <c r="BL4319" s="464"/>
    </row>
    <row r="4320" spans="1:64">
      <c r="A4320" s="406"/>
      <c r="B4320" s="406"/>
      <c r="C4320" s="417" t="str">
        <f t="shared" ref="C4320:C4321" si="955">C4286</f>
        <v>Rawl Plug           TBSC-K.II-15</v>
      </c>
      <c r="D4320" s="432">
        <v>1.28</v>
      </c>
      <c r="E4320" s="406" t="s">
        <v>375</v>
      </c>
      <c r="F4320" s="432">
        <f>'[161]Civil-SOR'!$G$100</f>
        <v>5</v>
      </c>
      <c r="G4320" s="431">
        <v>1</v>
      </c>
      <c r="H4320" s="406" t="s">
        <v>678</v>
      </c>
      <c r="I4320" s="459">
        <f t="shared" si="954"/>
        <v>6.4</v>
      </c>
      <c r="J4320" s="462"/>
      <c r="K4320" s="463"/>
      <c r="L4320" s="463"/>
      <c r="M4320" s="464"/>
      <c r="N4320" s="464"/>
      <c r="O4320" s="464"/>
      <c r="P4320" s="464"/>
      <c r="Q4320" s="464"/>
      <c r="R4320" s="464"/>
      <c r="S4320" s="464"/>
      <c r="T4320" s="464"/>
      <c r="U4320" s="464"/>
      <c r="V4320" s="464"/>
      <c r="W4320" s="464"/>
      <c r="X4320" s="464"/>
      <c r="Y4320" s="464"/>
      <c r="Z4320" s="464"/>
      <c r="AA4320" s="464"/>
      <c r="AB4320" s="464"/>
      <c r="AC4320" s="464"/>
      <c r="AD4320" s="464"/>
      <c r="AE4320" s="464"/>
      <c r="AF4320" s="464"/>
      <c r="AG4320" s="464"/>
      <c r="AH4320" s="464"/>
      <c r="AI4320" s="464"/>
      <c r="AJ4320" s="464"/>
      <c r="AK4320" s="464"/>
      <c r="AL4320" s="464"/>
      <c r="AM4320" s="464"/>
      <c r="AN4320" s="464"/>
      <c r="AO4320" s="464"/>
      <c r="AP4320" s="464"/>
      <c r="AQ4320" s="464"/>
      <c r="AR4320" s="464"/>
      <c r="AS4320" s="464"/>
      <c r="AT4320" s="464"/>
      <c r="AU4320" s="464"/>
      <c r="AV4320" s="464"/>
      <c r="AW4320" s="464"/>
      <c r="AX4320" s="464"/>
      <c r="AY4320" s="464"/>
      <c r="AZ4320" s="464"/>
      <c r="BA4320" s="464"/>
      <c r="BB4320" s="464"/>
      <c r="BC4320" s="464"/>
      <c r="BD4320" s="464"/>
      <c r="BE4320" s="464"/>
      <c r="BF4320" s="464"/>
      <c r="BG4320" s="464"/>
      <c r="BH4320" s="464"/>
      <c r="BI4320" s="464"/>
      <c r="BJ4320" s="464"/>
      <c r="BK4320" s="464"/>
      <c r="BL4320" s="464"/>
    </row>
    <row r="4321" spans="1:64">
      <c r="A4321" s="406"/>
      <c r="B4321" s="406"/>
      <c r="C4321" s="417" t="str">
        <f t="shared" si="955"/>
        <v>Soffit Cleats TBSC-K.II-17</v>
      </c>
      <c r="D4321" s="432">
        <v>1.28</v>
      </c>
      <c r="E4321" s="406" t="s">
        <v>375</v>
      </c>
      <c r="F4321" s="432">
        <f>'[161]Civil-SOR'!$G$102</f>
        <v>5</v>
      </c>
      <c r="G4321" s="431">
        <v>1</v>
      </c>
      <c r="H4321" s="406" t="s">
        <v>678</v>
      </c>
      <c r="I4321" s="459">
        <f t="shared" si="954"/>
        <v>6.4</v>
      </c>
      <c r="J4321" s="462"/>
      <c r="K4321" s="463"/>
      <c r="L4321" s="463"/>
      <c r="M4321" s="464"/>
      <c r="N4321" s="464"/>
      <c r="O4321" s="464"/>
      <c r="P4321" s="464"/>
      <c r="Q4321" s="464"/>
      <c r="R4321" s="464"/>
      <c r="S4321" s="464"/>
      <c r="T4321" s="464"/>
      <c r="U4321" s="464"/>
      <c r="V4321" s="464"/>
      <c r="W4321" s="464"/>
      <c r="X4321" s="464"/>
      <c r="Y4321" s="464"/>
      <c r="Z4321" s="464"/>
      <c r="AA4321" s="464"/>
      <c r="AB4321" s="464"/>
      <c r="AC4321" s="464"/>
      <c r="AD4321" s="464"/>
      <c r="AE4321" s="464"/>
      <c r="AF4321" s="464"/>
      <c r="AG4321" s="464"/>
      <c r="AH4321" s="464"/>
      <c r="AI4321" s="464"/>
      <c r="AJ4321" s="464"/>
      <c r="AK4321" s="464"/>
      <c r="AL4321" s="464"/>
      <c r="AM4321" s="464"/>
      <c r="AN4321" s="464"/>
      <c r="AO4321" s="464"/>
      <c r="AP4321" s="464"/>
      <c r="AQ4321" s="464"/>
      <c r="AR4321" s="464"/>
      <c r="AS4321" s="464"/>
      <c r="AT4321" s="464"/>
      <c r="AU4321" s="464"/>
      <c r="AV4321" s="464"/>
      <c r="AW4321" s="464"/>
      <c r="AX4321" s="464"/>
      <c r="AY4321" s="464"/>
      <c r="AZ4321" s="464"/>
      <c r="BA4321" s="464"/>
      <c r="BB4321" s="464"/>
      <c r="BC4321" s="464"/>
      <c r="BD4321" s="464"/>
      <c r="BE4321" s="464"/>
      <c r="BF4321" s="464"/>
      <c r="BG4321" s="464"/>
      <c r="BH4321" s="464"/>
      <c r="BI4321" s="464"/>
      <c r="BJ4321" s="464"/>
      <c r="BK4321" s="464"/>
      <c r="BL4321" s="464"/>
    </row>
    <row r="4322" spans="1:64">
      <c r="A4322" s="406"/>
      <c r="B4322" s="406"/>
      <c r="C4322" s="417" t="s">
        <v>1501</v>
      </c>
      <c r="D4322" s="432">
        <v>5.36</v>
      </c>
      <c r="E4322" s="406" t="s">
        <v>375</v>
      </c>
      <c r="F4322" s="432">
        <f>'[161]Civil-SOR'!$G$107</f>
        <v>5</v>
      </c>
      <c r="G4322" s="431">
        <v>1</v>
      </c>
      <c r="H4322" s="406" t="s">
        <v>678</v>
      </c>
      <c r="I4322" s="459">
        <f t="shared" si="954"/>
        <v>26.8</v>
      </c>
      <c r="J4322" s="462"/>
      <c r="K4322" s="463"/>
      <c r="L4322" s="463"/>
      <c r="M4322" s="464"/>
      <c r="N4322" s="464"/>
      <c r="O4322" s="464"/>
      <c r="P4322" s="464"/>
      <c r="Q4322" s="464"/>
      <c r="R4322" s="464"/>
      <c r="S4322" s="464"/>
      <c r="T4322" s="464"/>
      <c r="U4322" s="464"/>
      <c r="V4322" s="464"/>
      <c r="W4322" s="464"/>
      <c r="X4322" s="464"/>
      <c r="Y4322" s="464"/>
      <c r="Z4322" s="464"/>
      <c r="AA4322" s="464"/>
      <c r="AB4322" s="464"/>
      <c r="AC4322" s="464"/>
      <c r="AD4322" s="464"/>
      <c r="AE4322" s="464"/>
      <c r="AF4322" s="464"/>
      <c r="AG4322" s="464"/>
      <c r="AH4322" s="464"/>
      <c r="AI4322" s="464"/>
      <c r="AJ4322" s="464"/>
      <c r="AK4322" s="464"/>
      <c r="AL4322" s="464"/>
      <c r="AM4322" s="464"/>
      <c r="AN4322" s="464"/>
      <c r="AO4322" s="464"/>
      <c r="AP4322" s="464"/>
      <c r="AQ4322" s="464"/>
      <c r="AR4322" s="464"/>
      <c r="AS4322" s="464"/>
      <c r="AT4322" s="464"/>
      <c r="AU4322" s="464"/>
      <c r="AV4322" s="464"/>
      <c r="AW4322" s="464"/>
      <c r="AX4322" s="464"/>
      <c r="AY4322" s="464"/>
      <c r="AZ4322" s="464"/>
      <c r="BA4322" s="464"/>
      <c r="BB4322" s="464"/>
      <c r="BC4322" s="464"/>
      <c r="BD4322" s="464"/>
      <c r="BE4322" s="464"/>
      <c r="BF4322" s="464"/>
      <c r="BG4322" s="464"/>
      <c r="BH4322" s="464"/>
      <c r="BI4322" s="464"/>
      <c r="BJ4322" s="464"/>
      <c r="BK4322" s="464"/>
      <c r="BL4322" s="464"/>
    </row>
    <row r="4323" spans="1:64">
      <c r="A4323" s="406"/>
      <c r="B4323" s="406"/>
      <c r="C4323" s="417" t="s">
        <v>1502</v>
      </c>
      <c r="D4323" s="432">
        <v>0.15</v>
      </c>
      <c r="E4323" s="406" t="s">
        <v>1149</v>
      </c>
      <c r="F4323" s="432">
        <f>'[161]Civil-SOR'!$G$106</f>
        <v>145</v>
      </c>
      <c r="G4323" s="431">
        <v>1</v>
      </c>
      <c r="H4323" s="406" t="s">
        <v>1361</v>
      </c>
      <c r="I4323" s="459">
        <f t="shared" si="954"/>
        <v>21.75</v>
      </c>
      <c r="J4323" s="462"/>
      <c r="K4323" s="463"/>
      <c r="L4323" s="463"/>
      <c r="M4323" s="464"/>
      <c r="N4323" s="464"/>
      <c r="O4323" s="464"/>
      <c r="P4323" s="464"/>
      <c r="Q4323" s="464"/>
      <c r="R4323" s="464"/>
      <c r="S4323" s="464"/>
      <c r="T4323" s="464"/>
      <c r="U4323" s="464"/>
      <c r="V4323" s="464"/>
      <c r="W4323" s="464"/>
      <c r="X4323" s="464"/>
      <c r="Y4323" s="464"/>
      <c r="Z4323" s="464"/>
      <c r="AA4323" s="464"/>
      <c r="AB4323" s="464"/>
      <c r="AC4323" s="464"/>
      <c r="AD4323" s="464"/>
      <c r="AE4323" s="464"/>
      <c r="AF4323" s="464"/>
      <c r="AG4323" s="464"/>
      <c r="AH4323" s="464"/>
      <c r="AI4323" s="464"/>
      <c r="AJ4323" s="464"/>
      <c r="AK4323" s="464"/>
      <c r="AL4323" s="464"/>
      <c r="AM4323" s="464"/>
      <c r="AN4323" s="464"/>
      <c r="AO4323" s="464"/>
      <c r="AP4323" s="464"/>
      <c r="AQ4323" s="464"/>
      <c r="AR4323" s="464"/>
      <c r="AS4323" s="464"/>
      <c r="AT4323" s="464"/>
      <c r="AU4323" s="464"/>
      <c r="AV4323" s="464"/>
      <c r="AW4323" s="464"/>
      <c r="AX4323" s="464"/>
      <c r="AY4323" s="464"/>
      <c r="AZ4323" s="464"/>
      <c r="BA4323" s="464"/>
      <c r="BB4323" s="464"/>
      <c r="BC4323" s="464"/>
      <c r="BD4323" s="464"/>
      <c r="BE4323" s="464"/>
      <c r="BF4323" s="464"/>
      <c r="BG4323" s="464"/>
      <c r="BH4323" s="464"/>
      <c r="BI4323" s="464"/>
      <c r="BJ4323" s="464"/>
      <c r="BK4323" s="464"/>
      <c r="BL4323" s="464"/>
    </row>
    <row r="4324" spans="1:64" ht="13">
      <c r="A4324" s="406"/>
      <c r="B4324" s="406"/>
      <c r="C4324" s="427" t="s">
        <v>1489</v>
      </c>
      <c r="D4324" s="432"/>
      <c r="E4324" s="406"/>
      <c r="F4324" s="432"/>
      <c r="G4324" s="431"/>
      <c r="H4324" s="406"/>
      <c r="I4324" s="432"/>
      <c r="J4324" s="462"/>
      <c r="K4324" s="463"/>
      <c r="L4324" s="463"/>
      <c r="M4324" s="464"/>
      <c r="N4324" s="464"/>
      <c r="O4324" s="464"/>
      <c r="P4324" s="464"/>
      <c r="Q4324" s="464"/>
      <c r="R4324" s="464"/>
      <c r="S4324" s="464"/>
      <c r="T4324" s="464"/>
      <c r="U4324" s="464"/>
      <c r="V4324" s="464"/>
      <c r="W4324" s="464"/>
      <c r="X4324" s="464"/>
      <c r="Y4324" s="464"/>
      <c r="Z4324" s="464"/>
      <c r="AA4324" s="464"/>
      <c r="AB4324" s="464"/>
      <c r="AC4324" s="464"/>
      <c r="AD4324" s="464"/>
      <c r="AE4324" s="464"/>
      <c r="AF4324" s="464"/>
      <c r="AG4324" s="464"/>
      <c r="AH4324" s="464"/>
      <c r="AI4324" s="464"/>
      <c r="AJ4324" s="464"/>
      <c r="AK4324" s="464"/>
      <c r="AL4324" s="464"/>
      <c r="AM4324" s="464"/>
      <c r="AN4324" s="464"/>
      <c r="AO4324" s="464"/>
      <c r="AP4324" s="464"/>
      <c r="AQ4324" s="464"/>
      <c r="AR4324" s="464"/>
      <c r="AS4324" s="464"/>
      <c r="AT4324" s="464"/>
      <c r="AU4324" s="464"/>
      <c r="AV4324" s="464"/>
      <c r="AW4324" s="464"/>
      <c r="AX4324" s="464"/>
      <c r="AY4324" s="464"/>
      <c r="AZ4324" s="464"/>
      <c r="BA4324" s="464"/>
      <c r="BB4324" s="464"/>
      <c r="BC4324" s="464"/>
      <c r="BD4324" s="464"/>
      <c r="BE4324" s="464"/>
      <c r="BF4324" s="464"/>
      <c r="BG4324" s="464"/>
      <c r="BH4324" s="464"/>
      <c r="BI4324" s="464"/>
      <c r="BJ4324" s="464"/>
      <c r="BK4324" s="464"/>
      <c r="BL4324" s="464"/>
    </row>
    <row r="4325" spans="1:64">
      <c r="A4325" s="406"/>
      <c r="B4325" s="406"/>
      <c r="C4325" s="417" t="s">
        <v>1460</v>
      </c>
      <c r="D4325" s="432">
        <v>0.12</v>
      </c>
      <c r="E4325" s="406" t="s">
        <v>375</v>
      </c>
      <c r="F4325" s="432">
        <f>'[161]Civil-SOR'!$G$291</f>
        <v>685</v>
      </c>
      <c r="G4325" s="431">
        <v>1</v>
      </c>
      <c r="H4325" s="406" t="s">
        <v>678</v>
      </c>
      <c r="I4325" s="459">
        <f t="shared" ref="I4325:I4332" si="956">IF(G4325="",D4325*F4325,(D4325*F4325/G4325))</f>
        <v>82.2</v>
      </c>
      <c r="J4325" s="462"/>
      <c r="K4325" s="463"/>
      <c r="L4325" s="463"/>
      <c r="M4325" s="464"/>
      <c r="N4325" s="464"/>
      <c r="O4325" s="464"/>
      <c r="P4325" s="464"/>
      <c r="Q4325" s="464"/>
      <c r="R4325" s="464"/>
      <c r="S4325" s="464"/>
      <c r="T4325" s="464"/>
      <c r="U4325" s="464"/>
      <c r="V4325" s="464"/>
      <c r="W4325" s="464"/>
      <c r="X4325" s="464"/>
      <c r="Y4325" s="464"/>
      <c r="Z4325" s="464"/>
      <c r="AA4325" s="464"/>
      <c r="AB4325" s="464"/>
      <c r="AC4325" s="464"/>
      <c r="AD4325" s="464"/>
      <c r="AE4325" s="464"/>
      <c r="AF4325" s="464"/>
      <c r="AG4325" s="464"/>
      <c r="AH4325" s="464"/>
      <c r="AI4325" s="464"/>
      <c r="AJ4325" s="464"/>
      <c r="AK4325" s="464"/>
      <c r="AL4325" s="464"/>
      <c r="AM4325" s="464"/>
      <c r="AN4325" s="464"/>
      <c r="AO4325" s="464"/>
      <c r="AP4325" s="464"/>
      <c r="AQ4325" s="464"/>
      <c r="AR4325" s="464"/>
      <c r="AS4325" s="464"/>
      <c r="AT4325" s="464"/>
      <c r="AU4325" s="464"/>
      <c r="AV4325" s="464"/>
      <c r="AW4325" s="464"/>
      <c r="AX4325" s="464"/>
      <c r="AY4325" s="464"/>
      <c r="AZ4325" s="464"/>
      <c r="BA4325" s="464"/>
      <c r="BB4325" s="464"/>
      <c r="BC4325" s="464"/>
      <c r="BD4325" s="464"/>
      <c r="BE4325" s="464"/>
      <c r="BF4325" s="464"/>
      <c r="BG4325" s="464"/>
      <c r="BH4325" s="464"/>
      <c r="BI4325" s="464"/>
      <c r="BJ4325" s="464"/>
      <c r="BK4325" s="464"/>
      <c r="BL4325" s="464"/>
    </row>
    <row r="4326" spans="1:64">
      <c r="A4326" s="406"/>
      <c r="B4326" s="406"/>
      <c r="C4326" s="417" t="s">
        <v>1461</v>
      </c>
      <c r="D4326" s="432">
        <v>0.12</v>
      </c>
      <c r="E4326" s="406" t="s">
        <v>375</v>
      </c>
      <c r="F4326" s="432">
        <f>'[161]Civil-SOR'!$G$300</f>
        <v>550</v>
      </c>
      <c r="G4326" s="431">
        <v>1</v>
      </c>
      <c r="H4326" s="406" t="s">
        <v>678</v>
      </c>
      <c r="I4326" s="459">
        <f t="shared" si="956"/>
        <v>66</v>
      </c>
      <c r="J4326" s="462"/>
      <c r="K4326" s="463"/>
      <c r="L4326" s="463"/>
      <c r="M4326" s="464"/>
      <c r="N4326" s="464"/>
      <c r="O4326" s="464"/>
      <c r="P4326" s="464"/>
      <c r="Q4326" s="464"/>
      <c r="R4326" s="464"/>
      <c r="S4326" s="464"/>
      <c r="T4326" s="464"/>
      <c r="U4326" s="464"/>
      <c r="V4326" s="464"/>
      <c r="W4326" s="464"/>
      <c r="X4326" s="464"/>
      <c r="Y4326" s="464"/>
      <c r="Z4326" s="464"/>
      <c r="AA4326" s="464"/>
      <c r="AB4326" s="464"/>
      <c r="AC4326" s="464"/>
      <c r="AD4326" s="464"/>
      <c r="AE4326" s="464"/>
      <c r="AF4326" s="464"/>
      <c r="AG4326" s="464"/>
      <c r="AH4326" s="464"/>
      <c r="AI4326" s="464"/>
      <c r="AJ4326" s="464"/>
      <c r="AK4326" s="464"/>
      <c r="AL4326" s="464"/>
      <c r="AM4326" s="464"/>
      <c r="AN4326" s="464"/>
      <c r="AO4326" s="464"/>
      <c r="AP4326" s="464"/>
      <c r="AQ4326" s="464"/>
      <c r="AR4326" s="464"/>
      <c r="AS4326" s="464"/>
      <c r="AT4326" s="464"/>
      <c r="AU4326" s="464"/>
      <c r="AV4326" s="464"/>
      <c r="AW4326" s="464"/>
      <c r="AX4326" s="464"/>
      <c r="AY4326" s="464"/>
      <c r="AZ4326" s="464"/>
      <c r="BA4326" s="464"/>
      <c r="BB4326" s="464"/>
      <c r="BC4326" s="464"/>
      <c r="BD4326" s="464"/>
      <c r="BE4326" s="464"/>
      <c r="BF4326" s="464"/>
      <c r="BG4326" s="464"/>
      <c r="BH4326" s="464"/>
      <c r="BI4326" s="464"/>
      <c r="BJ4326" s="464"/>
      <c r="BK4326" s="464"/>
      <c r="BL4326" s="464"/>
    </row>
    <row r="4327" spans="1:64">
      <c r="A4327" s="406"/>
      <c r="B4327" s="406"/>
      <c r="C4327" s="417" t="s">
        <v>1385</v>
      </c>
      <c r="D4327" s="432">
        <v>2.4E-2</v>
      </c>
      <c r="E4327" s="406" t="s">
        <v>375</v>
      </c>
      <c r="F4327" s="432">
        <f>'[161]Civil-SOR'!$G$296</f>
        <v>665</v>
      </c>
      <c r="G4327" s="431">
        <v>1</v>
      </c>
      <c r="H4327" s="406" t="s">
        <v>678</v>
      </c>
      <c r="I4327" s="459">
        <f t="shared" si="956"/>
        <v>15.96</v>
      </c>
      <c r="J4327" s="462"/>
      <c r="K4327" s="463"/>
      <c r="L4327" s="463"/>
      <c r="M4327" s="464"/>
      <c r="N4327" s="464"/>
      <c r="O4327" s="464"/>
      <c r="P4327" s="464"/>
      <c r="Q4327" s="464"/>
      <c r="R4327" s="464"/>
      <c r="S4327" s="464"/>
      <c r="T4327" s="464"/>
      <c r="U4327" s="464"/>
      <c r="V4327" s="464"/>
      <c r="W4327" s="464"/>
      <c r="X4327" s="464"/>
      <c r="Y4327" s="464"/>
      <c r="Z4327" s="464"/>
      <c r="AA4327" s="464"/>
      <c r="AB4327" s="464"/>
      <c r="AC4327" s="464"/>
      <c r="AD4327" s="464"/>
      <c r="AE4327" s="464"/>
      <c r="AF4327" s="464"/>
      <c r="AG4327" s="464"/>
      <c r="AH4327" s="464"/>
      <c r="AI4327" s="464"/>
      <c r="AJ4327" s="464"/>
      <c r="AK4327" s="464"/>
      <c r="AL4327" s="464"/>
      <c r="AM4327" s="464"/>
      <c r="AN4327" s="464"/>
      <c r="AO4327" s="464"/>
      <c r="AP4327" s="464"/>
      <c r="AQ4327" s="464"/>
      <c r="AR4327" s="464"/>
      <c r="AS4327" s="464"/>
      <c r="AT4327" s="464"/>
      <c r="AU4327" s="464"/>
      <c r="AV4327" s="464"/>
      <c r="AW4327" s="464"/>
      <c r="AX4327" s="464"/>
      <c r="AY4327" s="464"/>
      <c r="AZ4327" s="464"/>
      <c r="BA4327" s="464"/>
      <c r="BB4327" s="464"/>
      <c r="BC4327" s="464"/>
      <c r="BD4327" s="464"/>
      <c r="BE4327" s="464"/>
      <c r="BF4327" s="464"/>
      <c r="BG4327" s="464"/>
      <c r="BH4327" s="464"/>
      <c r="BI4327" s="464"/>
      <c r="BJ4327" s="464"/>
      <c r="BK4327" s="464"/>
      <c r="BL4327" s="464"/>
    </row>
    <row r="4328" spans="1:64">
      <c r="A4328" s="406"/>
      <c r="B4328" s="406"/>
      <c r="C4328" s="417" t="s">
        <v>1386</v>
      </c>
      <c r="D4328" s="441">
        <v>2.4E-2</v>
      </c>
      <c r="E4328" s="406" t="s">
        <v>375</v>
      </c>
      <c r="F4328" s="432">
        <f>'[161]Civil-SOR'!$G$303</f>
        <v>550</v>
      </c>
      <c r="G4328" s="431">
        <v>1</v>
      </c>
      <c r="H4328" s="406" t="s">
        <v>678</v>
      </c>
      <c r="I4328" s="459">
        <f t="shared" si="956"/>
        <v>13.200000000000001</v>
      </c>
      <c r="J4328" s="462"/>
      <c r="K4328" s="463"/>
      <c r="L4328" s="463"/>
      <c r="M4328" s="464"/>
      <c r="N4328" s="464"/>
      <c r="O4328" s="464"/>
      <c r="P4328" s="464"/>
      <c r="Q4328" s="464"/>
      <c r="R4328" s="464"/>
      <c r="S4328" s="464"/>
      <c r="T4328" s="464"/>
      <c r="U4328" s="464"/>
      <c r="V4328" s="464"/>
      <c r="W4328" s="464"/>
      <c r="X4328" s="464"/>
      <c r="Y4328" s="464"/>
      <c r="Z4328" s="464"/>
      <c r="AA4328" s="464"/>
      <c r="AB4328" s="464"/>
      <c r="AC4328" s="464"/>
      <c r="AD4328" s="464"/>
      <c r="AE4328" s="464"/>
      <c r="AF4328" s="464"/>
      <c r="AG4328" s="464"/>
      <c r="AH4328" s="464"/>
      <c r="AI4328" s="464"/>
      <c r="AJ4328" s="464"/>
      <c r="AK4328" s="464"/>
      <c r="AL4328" s="464"/>
      <c r="AM4328" s="464"/>
      <c r="AN4328" s="464"/>
      <c r="AO4328" s="464"/>
      <c r="AP4328" s="464"/>
      <c r="AQ4328" s="464"/>
      <c r="AR4328" s="464"/>
      <c r="AS4328" s="464"/>
      <c r="AT4328" s="464"/>
      <c r="AU4328" s="464"/>
      <c r="AV4328" s="464"/>
      <c r="AW4328" s="464"/>
      <c r="AX4328" s="464"/>
      <c r="AY4328" s="464"/>
      <c r="AZ4328" s="464"/>
      <c r="BA4328" s="464"/>
      <c r="BB4328" s="464"/>
      <c r="BC4328" s="464"/>
      <c r="BD4328" s="464"/>
      <c r="BE4328" s="464"/>
      <c r="BF4328" s="464"/>
      <c r="BG4328" s="464"/>
      <c r="BH4328" s="464"/>
      <c r="BI4328" s="464"/>
      <c r="BJ4328" s="464"/>
      <c r="BK4328" s="464"/>
      <c r="BL4328" s="464"/>
    </row>
    <row r="4329" spans="1:64" ht="25">
      <c r="A4329" s="406"/>
      <c r="B4329" s="406"/>
      <c r="C4329" s="417" t="s">
        <v>1462</v>
      </c>
      <c r="D4329" s="441">
        <v>1.2E-2</v>
      </c>
      <c r="E4329" s="406" t="s">
        <v>375</v>
      </c>
      <c r="F4329" s="432">
        <f>'[161]Civil-SOR'!G297</f>
        <v>675</v>
      </c>
      <c r="G4329" s="431">
        <v>1</v>
      </c>
      <c r="H4329" s="406" t="s">
        <v>678</v>
      </c>
      <c r="I4329" s="459">
        <f t="shared" si="956"/>
        <v>8.1</v>
      </c>
      <c r="J4329" s="462"/>
      <c r="K4329" s="463"/>
      <c r="L4329" s="463"/>
      <c r="M4329" s="464"/>
      <c r="N4329" s="464"/>
      <c r="O4329" s="464"/>
      <c r="P4329" s="464"/>
      <c r="Q4329" s="464"/>
      <c r="R4329" s="464"/>
      <c r="S4329" s="464"/>
      <c r="T4329" s="464"/>
      <c r="U4329" s="464"/>
      <c r="V4329" s="464"/>
      <c r="W4329" s="464"/>
      <c r="X4329" s="464"/>
      <c r="Y4329" s="464"/>
      <c r="Z4329" s="464"/>
      <c r="AA4329" s="464"/>
      <c r="AB4329" s="464"/>
      <c r="AC4329" s="464"/>
      <c r="AD4329" s="464"/>
      <c r="AE4329" s="464"/>
      <c r="AF4329" s="464"/>
      <c r="AG4329" s="464"/>
      <c r="AH4329" s="464"/>
      <c r="AI4329" s="464"/>
      <c r="AJ4329" s="464"/>
      <c r="AK4329" s="464"/>
      <c r="AL4329" s="464"/>
      <c r="AM4329" s="464"/>
      <c r="AN4329" s="464"/>
      <c r="AO4329" s="464"/>
      <c r="AP4329" s="464"/>
      <c r="AQ4329" s="464"/>
      <c r="AR4329" s="464"/>
      <c r="AS4329" s="464"/>
      <c r="AT4329" s="464"/>
      <c r="AU4329" s="464"/>
      <c r="AV4329" s="464"/>
      <c r="AW4329" s="464"/>
      <c r="AX4329" s="464"/>
      <c r="AY4329" s="464"/>
      <c r="AZ4329" s="464"/>
      <c r="BA4329" s="464"/>
      <c r="BB4329" s="464"/>
      <c r="BC4329" s="464"/>
      <c r="BD4329" s="464"/>
      <c r="BE4329" s="464"/>
      <c r="BF4329" s="464"/>
      <c r="BG4329" s="464"/>
      <c r="BH4329" s="464"/>
      <c r="BI4329" s="464"/>
      <c r="BJ4329" s="464"/>
      <c r="BK4329" s="464"/>
      <c r="BL4329" s="464"/>
    </row>
    <row r="4330" spans="1:64">
      <c r="A4330" s="406"/>
      <c r="B4330" s="406"/>
      <c r="C4330" s="417" t="s">
        <v>1463</v>
      </c>
      <c r="D4330" s="441">
        <v>1.2E-2</v>
      </c>
      <c r="E4330" s="406" t="s">
        <v>375</v>
      </c>
      <c r="F4330" s="432">
        <f>'[161]Civil-SOR'!G297</f>
        <v>675</v>
      </c>
      <c r="G4330" s="431">
        <v>1</v>
      </c>
      <c r="H4330" s="406" t="s">
        <v>678</v>
      </c>
      <c r="I4330" s="459">
        <f t="shared" si="956"/>
        <v>8.1</v>
      </c>
      <c r="J4330" s="462"/>
      <c r="K4330" s="463"/>
      <c r="L4330" s="463"/>
      <c r="M4330" s="464"/>
      <c r="N4330" s="464"/>
      <c r="O4330" s="464"/>
      <c r="P4330" s="464"/>
      <c r="Q4330" s="464"/>
      <c r="R4330" s="464"/>
      <c r="S4330" s="464"/>
      <c r="T4330" s="464"/>
      <c r="U4330" s="464"/>
      <c r="V4330" s="464"/>
      <c r="W4330" s="464"/>
      <c r="X4330" s="464"/>
      <c r="Y4330" s="464"/>
      <c r="Z4330" s="464"/>
      <c r="AA4330" s="464"/>
      <c r="AB4330" s="464"/>
      <c r="AC4330" s="464"/>
      <c r="AD4330" s="464"/>
      <c r="AE4330" s="464"/>
      <c r="AF4330" s="464"/>
      <c r="AG4330" s="464"/>
      <c r="AH4330" s="464"/>
      <c r="AI4330" s="464"/>
      <c r="AJ4330" s="464"/>
      <c r="AK4330" s="464"/>
      <c r="AL4330" s="464"/>
      <c r="AM4330" s="464"/>
      <c r="AN4330" s="464"/>
      <c r="AO4330" s="464"/>
      <c r="AP4330" s="464"/>
      <c r="AQ4330" s="464"/>
      <c r="AR4330" s="464"/>
      <c r="AS4330" s="464"/>
      <c r="AT4330" s="464"/>
      <c r="AU4330" s="464"/>
      <c r="AV4330" s="464"/>
      <c r="AW4330" s="464"/>
      <c r="AX4330" s="464"/>
      <c r="AY4330" s="464"/>
      <c r="AZ4330" s="464"/>
      <c r="BA4330" s="464"/>
      <c r="BB4330" s="464"/>
      <c r="BC4330" s="464"/>
      <c r="BD4330" s="464"/>
      <c r="BE4330" s="464"/>
      <c r="BF4330" s="464"/>
      <c r="BG4330" s="464"/>
      <c r="BH4330" s="464"/>
      <c r="BI4330" s="464"/>
      <c r="BJ4330" s="464"/>
      <c r="BK4330" s="464"/>
      <c r="BL4330" s="464"/>
    </row>
    <row r="4331" spans="1:64">
      <c r="A4331" s="406"/>
      <c r="B4331" s="406"/>
      <c r="C4331" s="417" t="s">
        <v>1465</v>
      </c>
      <c r="D4331" s="441">
        <v>7.1999999999999995E-2</v>
      </c>
      <c r="E4331" s="406" t="s">
        <v>375</v>
      </c>
      <c r="F4331" s="432">
        <f>'[161]Civil-SOR'!$G$307</f>
        <v>520</v>
      </c>
      <c r="G4331" s="431">
        <v>1</v>
      </c>
      <c r="H4331" s="406" t="s">
        <v>678</v>
      </c>
      <c r="I4331" s="459">
        <f t="shared" si="956"/>
        <v>37.44</v>
      </c>
      <c r="J4331" s="462"/>
      <c r="K4331" s="463"/>
      <c r="L4331" s="463"/>
      <c r="M4331" s="464"/>
      <c r="N4331" s="464"/>
      <c r="O4331" s="464"/>
      <c r="P4331" s="464"/>
      <c r="Q4331" s="464"/>
      <c r="R4331" s="464"/>
      <c r="S4331" s="464"/>
      <c r="T4331" s="464"/>
      <c r="U4331" s="464"/>
      <c r="V4331" s="464"/>
      <c r="W4331" s="464"/>
      <c r="X4331" s="464"/>
      <c r="Y4331" s="464"/>
      <c r="Z4331" s="464"/>
      <c r="AA4331" s="464"/>
      <c r="AB4331" s="464"/>
      <c r="AC4331" s="464"/>
      <c r="AD4331" s="464"/>
      <c r="AE4331" s="464"/>
      <c r="AF4331" s="464"/>
      <c r="AG4331" s="464"/>
      <c r="AH4331" s="464"/>
      <c r="AI4331" s="464"/>
      <c r="AJ4331" s="464"/>
      <c r="AK4331" s="464"/>
      <c r="AL4331" s="464"/>
      <c r="AM4331" s="464"/>
      <c r="AN4331" s="464"/>
      <c r="AO4331" s="464"/>
      <c r="AP4331" s="464"/>
      <c r="AQ4331" s="464"/>
      <c r="AR4331" s="464"/>
      <c r="AS4331" s="464"/>
      <c r="AT4331" s="464"/>
      <c r="AU4331" s="464"/>
      <c r="AV4331" s="464"/>
      <c r="AW4331" s="464"/>
      <c r="AX4331" s="464"/>
      <c r="AY4331" s="464"/>
      <c r="AZ4331" s="464"/>
      <c r="BA4331" s="464"/>
      <c r="BB4331" s="464"/>
      <c r="BC4331" s="464"/>
      <c r="BD4331" s="464"/>
      <c r="BE4331" s="464"/>
      <c r="BF4331" s="464"/>
      <c r="BG4331" s="464"/>
      <c r="BH4331" s="464"/>
      <c r="BI4331" s="464"/>
      <c r="BJ4331" s="464"/>
      <c r="BK4331" s="464"/>
      <c r="BL4331" s="464"/>
    </row>
    <row r="4332" spans="1:64">
      <c r="A4332" s="406"/>
      <c r="B4332" s="406"/>
      <c r="C4332" s="417" t="str">
        <f>[161]Input!$C$47</f>
        <v>Add for MA @ 40%</v>
      </c>
      <c r="D4332" s="432">
        <f>[161]Input!$D$47</f>
        <v>0.4</v>
      </c>
      <c r="E4332" s="406"/>
      <c r="F4332" s="432">
        <f>SUM(I4325:I4331)</f>
        <v>230.99999999999997</v>
      </c>
      <c r="G4332" s="431"/>
      <c r="H4332" s="406"/>
      <c r="I4332" s="459">
        <f t="shared" si="956"/>
        <v>92.399999999999991</v>
      </c>
      <c r="J4332" s="462"/>
      <c r="K4332" s="463"/>
      <c r="L4332" s="463"/>
      <c r="M4332" s="464"/>
      <c r="N4332" s="464"/>
      <c r="O4332" s="464"/>
      <c r="P4332" s="464"/>
      <c r="Q4332" s="464"/>
      <c r="R4332" s="464"/>
      <c r="S4332" s="464"/>
      <c r="T4332" s="464"/>
      <c r="U4332" s="464"/>
      <c r="V4332" s="464"/>
      <c r="W4332" s="464"/>
      <c r="X4332" s="464"/>
      <c r="Y4332" s="464"/>
      <c r="Z4332" s="464"/>
      <c r="AA4332" s="464"/>
      <c r="AB4332" s="464"/>
      <c r="AC4332" s="464"/>
      <c r="AD4332" s="464"/>
      <c r="AE4332" s="464"/>
      <c r="AF4332" s="464"/>
      <c r="AG4332" s="464"/>
      <c r="AH4332" s="464"/>
      <c r="AI4332" s="464"/>
      <c r="AJ4332" s="464"/>
      <c r="AK4332" s="464"/>
      <c r="AL4332" s="464"/>
      <c r="AM4332" s="464"/>
      <c r="AN4332" s="464"/>
      <c r="AO4332" s="464"/>
      <c r="AP4332" s="464"/>
      <c r="AQ4332" s="464"/>
      <c r="AR4332" s="464"/>
      <c r="AS4332" s="464"/>
      <c r="AT4332" s="464"/>
      <c r="AU4332" s="464"/>
      <c r="AV4332" s="464"/>
      <c r="AW4332" s="464"/>
      <c r="AX4332" s="464"/>
      <c r="AY4332" s="464"/>
      <c r="AZ4332" s="464"/>
      <c r="BA4332" s="464"/>
      <c r="BB4332" s="464"/>
      <c r="BC4332" s="464"/>
      <c r="BD4332" s="464"/>
      <c r="BE4332" s="464"/>
      <c r="BF4332" s="464"/>
      <c r="BG4332" s="464"/>
      <c r="BH4332" s="464"/>
      <c r="BI4332" s="464"/>
      <c r="BJ4332" s="464"/>
      <c r="BK4332" s="464"/>
      <c r="BL4332" s="464"/>
    </row>
    <row r="4333" spans="1:64" ht="13">
      <c r="A4333" s="406"/>
      <c r="B4333" s="406"/>
      <c r="C4333" s="427" t="s">
        <v>1466</v>
      </c>
      <c r="D4333" s="432"/>
      <c r="E4333" s="406"/>
      <c r="F4333" s="432"/>
      <c r="G4333" s="431"/>
      <c r="H4333" s="406"/>
      <c r="I4333" s="432"/>
      <c r="J4333" s="462"/>
      <c r="K4333" s="463"/>
      <c r="L4333" s="463"/>
      <c r="M4333" s="464"/>
      <c r="N4333" s="464"/>
      <c r="O4333" s="464"/>
      <c r="P4333" s="464"/>
      <c r="Q4333" s="464"/>
      <c r="R4333" s="464"/>
      <c r="S4333" s="464"/>
      <c r="T4333" s="464"/>
      <c r="U4333" s="464"/>
      <c r="V4333" s="464"/>
      <c r="W4333" s="464"/>
      <c r="X4333" s="464"/>
      <c r="Y4333" s="464"/>
      <c r="Z4333" s="464"/>
      <c r="AA4333" s="464"/>
      <c r="AB4333" s="464"/>
      <c r="AC4333" s="464"/>
      <c r="AD4333" s="464"/>
      <c r="AE4333" s="464"/>
      <c r="AF4333" s="464"/>
      <c r="AG4333" s="464"/>
      <c r="AH4333" s="464"/>
      <c r="AI4333" s="464"/>
      <c r="AJ4333" s="464"/>
      <c r="AK4333" s="464"/>
      <c r="AL4333" s="464"/>
      <c r="AM4333" s="464"/>
      <c r="AN4333" s="464"/>
      <c r="AO4333" s="464"/>
      <c r="AP4333" s="464"/>
      <c r="AQ4333" s="464"/>
      <c r="AR4333" s="464"/>
      <c r="AS4333" s="464"/>
      <c r="AT4333" s="464"/>
      <c r="AU4333" s="464"/>
      <c r="AV4333" s="464"/>
      <c r="AW4333" s="464"/>
      <c r="AX4333" s="464"/>
      <c r="AY4333" s="464"/>
      <c r="AZ4333" s="464"/>
      <c r="BA4333" s="464"/>
      <c r="BB4333" s="464"/>
      <c r="BC4333" s="464"/>
      <c r="BD4333" s="464"/>
      <c r="BE4333" s="464"/>
      <c r="BF4333" s="464"/>
      <c r="BG4333" s="464"/>
      <c r="BH4333" s="464"/>
      <c r="BI4333" s="464"/>
      <c r="BJ4333" s="464"/>
      <c r="BK4333" s="464"/>
      <c r="BL4333" s="464"/>
    </row>
    <row r="4334" spans="1:64" ht="25">
      <c r="A4334" s="406"/>
      <c r="B4334" s="406"/>
      <c r="C4334" s="417" t="s">
        <v>1503</v>
      </c>
      <c r="D4334" s="432">
        <v>0.32</v>
      </c>
      <c r="E4334" s="406" t="s">
        <v>830</v>
      </c>
      <c r="F4334" s="432">
        <f>'[161]Civil-SOR'!$G$194</f>
        <v>146</v>
      </c>
      <c r="G4334" s="431">
        <v>1</v>
      </c>
      <c r="H4334" s="406" t="s">
        <v>797</v>
      </c>
      <c r="I4334" s="459">
        <f t="shared" ref="I4334:I4335" si="957">IF(G4334="",D4334*F4334,(D4334*F4334/G4334))</f>
        <v>46.72</v>
      </c>
      <c r="J4334" s="462"/>
      <c r="K4334" s="463"/>
      <c r="L4334" s="463"/>
      <c r="M4334" s="464"/>
      <c r="N4334" s="464"/>
      <c r="O4334" s="464"/>
      <c r="P4334" s="464"/>
      <c r="Q4334" s="464"/>
      <c r="R4334" s="464"/>
      <c r="S4334" s="464"/>
      <c r="T4334" s="464"/>
      <c r="U4334" s="464"/>
      <c r="V4334" s="464"/>
      <c r="W4334" s="464"/>
      <c r="X4334" s="464"/>
      <c r="Y4334" s="464"/>
      <c r="Z4334" s="464"/>
      <c r="AA4334" s="464"/>
      <c r="AB4334" s="464"/>
      <c r="AC4334" s="464"/>
      <c r="AD4334" s="464"/>
      <c r="AE4334" s="464"/>
      <c r="AF4334" s="464"/>
      <c r="AG4334" s="464"/>
      <c r="AH4334" s="464"/>
      <c r="AI4334" s="464"/>
      <c r="AJ4334" s="464"/>
      <c r="AK4334" s="464"/>
      <c r="AL4334" s="464"/>
      <c r="AM4334" s="464"/>
      <c r="AN4334" s="464"/>
      <c r="AO4334" s="464"/>
      <c r="AP4334" s="464"/>
      <c r="AQ4334" s="464"/>
      <c r="AR4334" s="464"/>
      <c r="AS4334" s="464"/>
      <c r="AT4334" s="464"/>
      <c r="AU4334" s="464"/>
      <c r="AV4334" s="464"/>
      <c r="AW4334" s="464"/>
      <c r="AX4334" s="464"/>
      <c r="AY4334" s="464"/>
      <c r="AZ4334" s="464"/>
      <c r="BA4334" s="464"/>
      <c r="BB4334" s="464"/>
      <c r="BC4334" s="464"/>
      <c r="BD4334" s="464"/>
      <c r="BE4334" s="464"/>
      <c r="BF4334" s="464"/>
      <c r="BG4334" s="464"/>
      <c r="BH4334" s="464"/>
      <c r="BI4334" s="464"/>
      <c r="BJ4334" s="464"/>
      <c r="BK4334" s="464"/>
      <c r="BL4334" s="464"/>
    </row>
    <row r="4335" spans="1:64" ht="25">
      <c r="A4335" s="406"/>
      <c r="B4335" s="406"/>
      <c r="C4335" s="417" t="s">
        <v>1504</v>
      </c>
      <c r="D4335" s="432">
        <v>0.32</v>
      </c>
      <c r="E4335" s="406" t="s">
        <v>830</v>
      </c>
      <c r="F4335" s="432">
        <f>'[161]Civil-SOR'!$G$195</f>
        <v>137</v>
      </c>
      <c r="G4335" s="431">
        <v>1</v>
      </c>
      <c r="H4335" s="406" t="s">
        <v>797</v>
      </c>
      <c r="I4335" s="459">
        <f t="shared" si="957"/>
        <v>43.84</v>
      </c>
      <c r="J4335" s="462"/>
      <c r="K4335" s="463"/>
      <c r="L4335" s="463"/>
      <c r="M4335" s="464"/>
      <c r="N4335" s="464"/>
      <c r="O4335" s="464"/>
      <c r="P4335" s="464"/>
      <c r="Q4335" s="464"/>
      <c r="R4335" s="464"/>
      <c r="S4335" s="464"/>
      <c r="T4335" s="464"/>
      <c r="U4335" s="464"/>
      <c r="V4335" s="464"/>
      <c r="W4335" s="464"/>
      <c r="X4335" s="464"/>
      <c r="Y4335" s="464"/>
      <c r="Z4335" s="464"/>
      <c r="AA4335" s="464"/>
      <c r="AB4335" s="464"/>
      <c r="AC4335" s="464"/>
      <c r="AD4335" s="464"/>
      <c r="AE4335" s="464"/>
      <c r="AF4335" s="464"/>
      <c r="AG4335" s="464"/>
      <c r="AH4335" s="464"/>
      <c r="AI4335" s="464"/>
      <c r="AJ4335" s="464"/>
      <c r="AK4335" s="464"/>
      <c r="AL4335" s="464"/>
      <c r="AM4335" s="464"/>
      <c r="AN4335" s="464"/>
      <c r="AO4335" s="464"/>
      <c r="AP4335" s="464"/>
      <c r="AQ4335" s="464"/>
      <c r="AR4335" s="464"/>
      <c r="AS4335" s="464"/>
      <c r="AT4335" s="464"/>
      <c r="AU4335" s="464"/>
      <c r="AV4335" s="464"/>
      <c r="AW4335" s="464"/>
      <c r="AX4335" s="464"/>
      <c r="AY4335" s="464"/>
      <c r="AZ4335" s="464"/>
      <c r="BA4335" s="464"/>
      <c r="BB4335" s="464"/>
      <c r="BC4335" s="464"/>
      <c r="BD4335" s="464"/>
      <c r="BE4335" s="464"/>
      <c r="BF4335" s="464"/>
      <c r="BG4335" s="464"/>
      <c r="BH4335" s="464"/>
      <c r="BI4335" s="464"/>
      <c r="BJ4335" s="464"/>
      <c r="BK4335" s="464"/>
      <c r="BL4335" s="464"/>
    </row>
    <row r="4336" spans="1:64" ht="13">
      <c r="A4336" s="406"/>
      <c r="B4336" s="406"/>
      <c r="C4336" s="417"/>
      <c r="D4336" s="432"/>
      <c r="E4336" s="406"/>
      <c r="F4336" s="432"/>
      <c r="G4336" s="431"/>
      <c r="H4336" s="406"/>
      <c r="I4336" s="461">
        <f>SUM(I4316:I4335)</f>
        <v>977.55000000000018</v>
      </c>
      <c r="J4336" s="462"/>
      <c r="K4336" s="463"/>
      <c r="L4336" s="463"/>
      <c r="M4336" s="464"/>
      <c r="N4336" s="464"/>
      <c r="O4336" s="464"/>
      <c r="P4336" s="464"/>
      <c r="Q4336" s="464"/>
      <c r="R4336" s="464"/>
      <c r="S4336" s="464"/>
      <c r="T4336" s="464"/>
      <c r="U4336" s="464"/>
      <c r="V4336" s="464"/>
      <c r="W4336" s="464"/>
      <c r="X4336" s="464"/>
      <c r="Y4336" s="464"/>
      <c r="Z4336" s="464"/>
      <c r="AA4336" s="464"/>
      <c r="AB4336" s="464"/>
      <c r="AC4336" s="464"/>
      <c r="AD4336" s="464"/>
      <c r="AE4336" s="464"/>
      <c r="AF4336" s="464"/>
      <c r="AG4336" s="464"/>
      <c r="AH4336" s="464"/>
      <c r="AI4336" s="464"/>
      <c r="AJ4336" s="464"/>
      <c r="AK4336" s="464"/>
      <c r="AL4336" s="464"/>
      <c r="AM4336" s="464"/>
      <c r="AN4336" s="464"/>
      <c r="AO4336" s="464"/>
      <c r="AP4336" s="464"/>
      <c r="AQ4336" s="464"/>
      <c r="AR4336" s="464"/>
      <c r="AS4336" s="464"/>
      <c r="AT4336" s="464"/>
      <c r="AU4336" s="464"/>
      <c r="AV4336" s="464"/>
      <c r="AW4336" s="464"/>
      <c r="AX4336" s="464"/>
      <c r="AY4336" s="464"/>
      <c r="AZ4336" s="464"/>
      <c r="BA4336" s="464"/>
      <c r="BB4336" s="464"/>
      <c r="BC4336" s="464"/>
      <c r="BD4336" s="464"/>
      <c r="BE4336" s="464"/>
      <c r="BF4336" s="464"/>
      <c r="BG4336" s="464"/>
      <c r="BH4336" s="464"/>
      <c r="BI4336" s="464"/>
      <c r="BJ4336" s="464"/>
      <c r="BK4336" s="464"/>
      <c r="BL4336" s="464"/>
    </row>
    <row r="4337" spans="1:64">
      <c r="A4337" s="406"/>
      <c r="B4337" s="406"/>
      <c r="C4337" s="417" t="s">
        <v>1505</v>
      </c>
      <c r="D4337" s="432">
        <v>0.01</v>
      </c>
      <c r="E4337" s="406"/>
      <c r="F4337" s="432">
        <f>I4336</f>
        <v>977.55000000000018</v>
      </c>
      <c r="G4337" s="431"/>
      <c r="H4337" s="406"/>
      <c r="I4337" s="459">
        <f>IF(G4337="",D4337*F4337,(D4337*F4337/G4337))</f>
        <v>9.7755000000000027</v>
      </c>
      <c r="J4337" s="462"/>
      <c r="K4337" s="463"/>
      <c r="L4337" s="463"/>
      <c r="M4337" s="464"/>
      <c r="N4337" s="464"/>
      <c r="O4337" s="464"/>
      <c r="P4337" s="464"/>
      <c r="Q4337" s="464"/>
      <c r="R4337" s="464"/>
      <c r="S4337" s="464"/>
      <c r="T4337" s="464"/>
      <c r="U4337" s="464"/>
      <c r="V4337" s="464"/>
      <c r="W4337" s="464"/>
      <c r="X4337" s="464"/>
      <c r="Y4337" s="464"/>
      <c r="Z4337" s="464"/>
      <c r="AA4337" s="464"/>
      <c r="AB4337" s="464"/>
      <c r="AC4337" s="464"/>
      <c r="AD4337" s="464"/>
      <c r="AE4337" s="464"/>
      <c r="AF4337" s="464"/>
      <c r="AG4337" s="464"/>
      <c r="AH4337" s="464"/>
      <c r="AI4337" s="464"/>
      <c r="AJ4337" s="464"/>
      <c r="AK4337" s="464"/>
      <c r="AL4337" s="464"/>
      <c r="AM4337" s="464"/>
      <c r="AN4337" s="464"/>
      <c r="AO4337" s="464"/>
      <c r="AP4337" s="464"/>
      <c r="AQ4337" s="464"/>
      <c r="AR4337" s="464"/>
      <c r="AS4337" s="464"/>
      <c r="AT4337" s="464"/>
      <c r="AU4337" s="464"/>
      <c r="AV4337" s="464"/>
      <c r="AW4337" s="464"/>
      <c r="AX4337" s="464"/>
      <c r="AY4337" s="464"/>
      <c r="AZ4337" s="464"/>
      <c r="BA4337" s="464"/>
      <c r="BB4337" s="464"/>
      <c r="BC4337" s="464"/>
      <c r="BD4337" s="464"/>
      <c r="BE4337" s="464"/>
      <c r="BF4337" s="464"/>
      <c r="BG4337" s="464"/>
      <c r="BH4337" s="464"/>
      <c r="BI4337" s="464"/>
      <c r="BJ4337" s="464"/>
      <c r="BK4337" s="464"/>
      <c r="BL4337" s="464"/>
    </row>
    <row r="4338" spans="1:64" ht="13">
      <c r="A4338" s="406"/>
      <c r="B4338" s="406"/>
      <c r="C4338" s="417" t="s">
        <v>1506</v>
      </c>
      <c r="D4338" s="432"/>
      <c r="E4338" s="406"/>
      <c r="F4338" s="432"/>
      <c r="G4338" s="431"/>
      <c r="H4338" s="406"/>
      <c r="I4338" s="422">
        <f>SUM(I4336:I4337)</f>
        <v>987.32550000000015</v>
      </c>
      <c r="J4338" s="462"/>
      <c r="K4338" s="463"/>
      <c r="L4338" s="463"/>
      <c r="M4338" s="464"/>
      <c r="N4338" s="464"/>
      <c r="O4338" s="464"/>
      <c r="P4338" s="464"/>
      <c r="Q4338" s="464"/>
      <c r="R4338" s="464"/>
      <c r="S4338" s="464"/>
      <c r="T4338" s="464"/>
      <c r="U4338" s="464"/>
      <c r="V4338" s="464"/>
      <c r="W4338" s="464"/>
      <c r="X4338" s="464"/>
      <c r="Y4338" s="464"/>
      <c r="Z4338" s="464"/>
      <c r="AA4338" s="464"/>
      <c r="AB4338" s="464"/>
      <c r="AC4338" s="464"/>
      <c r="AD4338" s="464"/>
      <c r="AE4338" s="464"/>
      <c r="AF4338" s="464"/>
      <c r="AG4338" s="464"/>
      <c r="AH4338" s="464"/>
      <c r="AI4338" s="464"/>
      <c r="AJ4338" s="464"/>
      <c r="AK4338" s="464"/>
      <c r="AL4338" s="464"/>
      <c r="AM4338" s="464"/>
      <c r="AN4338" s="464"/>
      <c r="AO4338" s="464"/>
      <c r="AP4338" s="464"/>
      <c r="AQ4338" s="464"/>
      <c r="AR4338" s="464"/>
      <c r="AS4338" s="464"/>
      <c r="AT4338" s="464"/>
      <c r="AU4338" s="464"/>
      <c r="AV4338" s="464"/>
      <c r="AW4338" s="464"/>
      <c r="AX4338" s="464"/>
      <c r="AY4338" s="464"/>
      <c r="AZ4338" s="464"/>
      <c r="BA4338" s="464"/>
      <c r="BB4338" s="464"/>
      <c r="BC4338" s="464"/>
      <c r="BD4338" s="464"/>
      <c r="BE4338" s="464"/>
      <c r="BF4338" s="464"/>
      <c r="BG4338" s="464"/>
      <c r="BH4338" s="464"/>
      <c r="BI4338" s="464"/>
      <c r="BJ4338" s="464"/>
      <c r="BK4338" s="464"/>
      <c r="BL4338" s="464"/>
    </row>
    <row r="4339" spans="1:64" ht="25">
      <c r="A4339" s="406"/>
      <c r="B4339" s="406"/>
      <c r="C4339" s="417" t="str">
        <f>[161]Input!$C$48</f>
        <v>Overheads &amp; Contractors Profit @ 13.615%</v>
      </c>
      <c r="D4339" s="444">
        <f>[161]Input!$D$48</f>
        <v>0.13614999999999999</v>
      </c>
      <c r="E4339" s="406"/>
      <c r="F4339" s="432">
        <f>I4338</f>
        <v>987.32550000000015</v>
      </c>
      <c r="G4339" s="431"/>
      <c r="H4339" s="406"/>
      <c r="I4339" s="459">
        <f>IF(G4339="",D4339*F4339,(D4339*F4339/G4339))</f>
        <v>134.42436682500002</v>
      </c>
      <c r="J4339" s="462"/>
      <c r="K4339" s="463"/>
      <c r="L4339" s="463"/>
      <c r="M4339" s="464"/>
      <c r="N4339" s="464"/>
      <c r="O4339" s="464"/>
      <c r="P4339" s="464"/>
      <c r="Q4339" s="464"/>
      <c r="R4339" s="464"/>
      <c r="S4339" s="464"/>
      <c r="T4339" s="464"/>
      <c r="U4339" s="464"/>
      <c r="V4339" s="464"/>
      <c r="W4339" s="464"/>
      <c r="X4339" s="464"/>
      <c r="Y4339" s="464"/>
      <c r="Z4339" s="464"/>
      <c r="AA4339" s="464"/>
      <c r="AB4339" s="464"/>
      <c r="AC4339" s="464"/>
      <c r="AD4339" s="464"/>
      <c r="AE4339" s="464"/>
      <c r="AF4339" s="464"/>
      <c r="AG4339" s="464"/>
      <c r="AH4339" s="464"/>
      <c r="AI4339" s="464"/>
      <c r="AJ4339" s="464"/>
      <c r="AK4339" s="464"/>
      <c r="AL4339" s="464"/>
      <c r="AM4339" s="464"/>
      <c r="AN4339" s="464"/>
      <c r="AO4339" s="464"/>
      <c r="AP4339" s="464"/>
      <c r="AQ4339" s="464"/>
      <c r="AR4339" s="464"/>
      <c r="AS4339" s="464"/>
      <c r="AT4339" s="464"/>
      <c r="AU4339" s="464"/>
      <c r="AV4339" s="464"/>
      <c r="AW4339" s="464"/>
      <c r="AX4339" s="464"/>
      <c r="AY4339" s="464"/>
      <c r="AZ4339" s="464"/>
      <c r="BA4339" s="464"/>
      <c r="BB4339" s="464"/>
      <c r="BC4339" s="464"/>
      <c r="BD4339" s="464"/>
      <c r="BE4339" s="464"/>
      <c r="BF4339" s="464"/>
      <c r="BG4339" s="464"/>
      <c r="BH4339" s="464"/>
      <c r="BI4339" s="464"/>
      <c r="BJ4339" s="464"/>
      <c r="BK4339" s="464"/>
      <c r="BL4339" s="464"/>
    </row>
    <row r="4340" spans="1:64" ht="13">
      <c r="A4340" s="406"/>
      <c r="B4340" s="406"/>
      <c r="C4340" s="427" t="s">
        <v>742</v>
      </c>
      <c r="D4340" s="432"/>
      <c r="E4340" s="406"/>
      <c r="F4340" s="432"/>
      <c r="G4340" s="431"/>
      <c r="H4340" s="406"/>
      <c r="I4340" s="432">
        <f>SUM(I4338:I4339)</f>
        <v>1121.7498668250003</v>
      </c>
      <c r="J4340" s="462"/>
      <c r="K4340" s="463"/>
      <c r="L4340" s="463"/>
      <c r="M4340" s="464"/>
      <c r="N4340" s="464"/>
      <c r="O4340" s="464"/>
      <c r="P4340" s="464"/>
      <c r="Q4340" s="464"/>
      <c r="R4340" s="464"/>
      <c r="S4340" s="464"/>
      <c r="T4340" s="464"/>
      <c r="U4340" s="464"/>
      <c r="V4340" s="464"/>
      <c r="W4340" s="464"/>
      <c r="X4340" s="464"/>
      <c r="Y4340" s="464"/>
      <c r="Z4340" s="464"/>
      <c r="AA4340" s="464"/>
      <c r="AB4340" s="464"/>
      <c r="AC4340" s="464"/>
      <c r="AD4340" s="464"/>
      <c r="AE4340" s="464"/>
      <c r="AF4340" s="464"/>
      <c r="AG4340" s="464"/>
      <c r="AH4340" s="464"/>
      <c r="AI4340" s="464"/>
      <c r="AJ4340" s="464"/>
      <c r="AK4340" s="464"/>
      <c r="AL4340" s="464"/>
      <c r="AM4340" s="464"/>
      <c r="AN4340" s="464"/>
      <c r="AO4340" s="464"/>
      <c r="AP4340" s="464"/>
      <c r="AQ4340" s="464"/>
      <c r="AR4340" s="464"/>
      <c r="AS4340" s="464"/>
      <c r="AT4340" s="464"/>
      <c r="AU4340" s="464"/>
      <c r="AV4340" s="464"/>
      <c r="AW4340" s="464"/>
      <c r="AX4340" s="464"/>
      <c r="AY4340" s="464"/>
      <c r="AZ4340" s="464"/>
      <c r="BA4340" s="464"/>
      <c r="BB4340" s="464"/>
      <c r="BC4340" s="464"/>
      <c r="BD4340" s="464"/>
      <c r="BE4340" s="464"/>
      <c r="BF4340" s="464"/>
      <c r="BG4340" s="464"/>
      <c r="BH4340" s="464"/>
      <c r="BI4340" s="464"/>
      <c r="BJ4340" s="464"/>
      <c r="BK4340" s="464"/>
      <c r="BL4340" s="464"/>
    </row>
    <row r="4341" spans="1:64" ht="13">
      <c r="A4341" s="426"/>
      <c r="B4341" s="426"/>
      <c r="C4341" s="496"/>
      <c r="D4341" s="409"/>
      <c r="E4341" s="426"/>
      <c r="F4341" s="409"/>
      <c r="G4341" s="410"/>
      <c r="H4341" s="474" t="s">
        <v>774</v>
      </c>
      <c r="I4341" s="434">
        <f>ROUND(I4340,0)</f>
        <v>1122</v>
      </c>
      <c r="J4341" s="411"/>
      <c r="K4341" s="412"/>
      <c r="L4341" s="412"/>
      <c r="M4341" s="413"/>
      <c r="N4341" s="413"/>
      <c r="O4341" s="413"/>
      <c r="P4341" s="413"/>
      <c r="Q4341" s="413"/>
      <c r="R4341" s="413"/>
      <c r="S4341" s="413"/>
      <c r="T4341" s="413"/>
      <c r="U4341" s="413"/>
      <c r="V4341" s="413"/>
      <c r="W4341" s="413"/>
      <c r="X4341" s="413"/>
      <c r="Y4341" s="413"/>
      <c r="Z4341" s="413"/>
      <c r="AA4341" s="413"/>
      <c r="AB4341" s="413"/>
      <c r="AC4341" s="413"/>
      <c r="AD4341" s="413"/>
      <c r="AE4341" s="413"/>
      <c r="AF4341" s="413"/>
      <c r="AG4341" s="413"/>
      <c r="AH4341" s="413"/>
      <c r="AI4341" s="413"/>
      <c r="AJ4341" s="413"/>
      <c r="AK4341" s="413"/>
      <c r="AL4341" s="413"/>
      <c r="AM4341" s="413"/>
      <c r="AN4341" s="413"/>
      <c r="AO4341" s="413"/>
      <c r="AP4341" s="413"/>
      <c r="AQ4341" s="413"/>
      <c r="AR4341" s="413"/>
      <c r="AS4341" s="413"/>
      <c r="AT4341" s="413"/>
      <c r="AU4341" s="413"/>
      <c r="AV4341" s="413"/>
      <c r="AW4341" s="413"/>
      <c r="AX4341" s="413"/>
      <c r="AY4341" s="413"/>
      <c r="AZ4341" s="413"/>
      <c r="BA4341" s="413"/>
      <c r="BB4341" s="413"/>
      <c r="BC4341" s="413"/>
      <c r="BD4341" s="413"/>
      <c r="BE4341" s="413"/>
      <c r="BF4341" s="413"/>
      <c r="BG4341" s="413"/>
      <c r="BH4341" s="413"/>
      <c r="BI4341" s="413"/>
      <c r="BJ4341" s="413"/>
      <c r="BK4341" s="413"/>
      <c r="BL4341" s="413"/>
    </row>
    <row r="4342" spans="1:64">
      <c r="A4342" s="426"/>
      <c r="B4342" s="426"/>
      <c r="C4342" s="417"/>
      <c r="D4342" s="409"/>
      <c r="E4342" s="426"/>
      <c r="F4342" s="409"/>
      <c r="G4342" s="410"/>
      <c r="H4342" s="676"/>
      <c r="I4342" s="408"/>
      <c r="J4342" s="400"/>
      <c r="K4342" s="401"/>
      <c r="L4342" s="401"/>
      <c r="M4342" s="404"/>
      <c r="N4342" s="404"/>
      <c r="O4342" s="404"/>
      <c r="P4342" s="404"/>
      <c r="Q4342" s="404"/>
      <c r="R4342" s="404"/>
      <c r="S4342" s="404"/>
      <c r="T4342" s="404"/>
      <c r="U4342" s="404"/>
      <c r="V4342" s="404"/>
      <c r="W4342" s="404"/>
      <c r="X4342" s="404"/>
      <c r="Y4342" s="404"/>
      <c r="Z4342" s="404"/>
      <c r="AA4342" s="404"/>
      <c r="AB4342" s="404"/>
      <c r="AC4342" s="404"/>
      <c r="AD4342" s="404"/>
      <c r="AE4342" s="404"/>
      <c r="AF4342" s="404"/>
      <c r="AG4342" s="404"/>
      <c r="AH4342" s="404"/>
      <c r="AI4342" s="404"/>
      <c r="AJ4342" s="404"/>
      <c r="AK4342" s="404"/>
      <c r="AL4342" s="404"/>
      <c r="AM4342" s="404"/>
      <c r="AN4342" s="404"/>
      <c r="AO4342" s="404"/>
      <c r="AP4342" s="404"/>
      <c r="AQ4342" s="404"/>
      <c r="AR4342" s="404"/>
      <c r="AS4342" s="404"/>
      <c r="AT4342" s="404"/>
      <c r="AU4342" s="404"/>
      <c r="AV4342" s="404"/>
      <c r="AW4342" s="404"/>
      <c r="AX4342" s="404"/>
      <c r="AY4342" s="404"/>
      <c r="AZ4342" s="404"/>
      <c r="BA4342" s="404"/>
      <c r="BB4342" s="404"/>
      <c r="BC4342" s="404"/>
      <c r="BD4342" s="404"/>
      <c r="BE4342" s="404"/>
      <c r="BF4342" s="404"/>
      <c r="BG4342" s="404"/>
      <c r="BH4342" s="404"/>
      <c r="BI4342" s="404"/>
      <c r="BJ4342" s="404"/>
      <c r="BK4342" s="404"/>
      <c r="BL4342" s="404"/>
    </row>
    <row r="4343" spans="1:64" ht="103.75" customHeight="1">
      <c r="A4343" s="1292">
        <f>1+A4311</f>
        <v>28</v>
      </c>
      <c r="B4343" s="1292"/>
      <c r="C4343" s="1276" t="s">
        <v>1507</v>
      </c>
      <c r="D4343" s="1276"/>
      <c r="E4343" s="1276"/>
      <c r="F4343" s="1276"/>
      <c r="G4343" s="1276"/>
      <c r="H4343" s="1276"/>
      <c r="I4343" s="1276"/>
      <c r="J4343" s="400"/>
      <c r="K4343" s="401"/>
      <c r="L4343" s="401"/>
      <c r="M4343" s="404"/>
      <c r="N4343" s="404"/>
      <c r="O4343" s="404"/>
      <c r="P4343" s="404"/>
      <c r="Q4343" s="404"/>
      <c r="R4343" s="404"/>
      <c r="S4343" s="404"/>
      <c r="T4343" s="404"/>
      <c r="U4343" s="404"/>
      <c r="V4343" s="404"/>
      <c r="W4343" s="404"/>
      <c r="X4343" s="404"/>
      <c r="Y4343" s="404"/>
      <c r="Z4343" s="404"/>
      <c r="AA4343" s="404"/>
      <c r="AB4343" s="404"/>
      <c r="AC4343" s="404"/>
      <c r="AD4343" s="404"/>
      <c r="AE4343" s="404"/>
      <c r="AF4343" s="404"/>
      <c r="AG4343" s="404"/>
      <c r="AH4343" s="404"/>
      <c r="AI4343" s="404"/>
      <c r="AJ4343" s="404"/>
      <c r="AK4343" s="404"/>
      <c r="AL4343" s="404"/>
      <c r="AM4343" s="404"/>
      <c r="AN4343" s="404"/>
      <c r="AO4343" s="404"/>
      <c r="AP4343" s="404"/>
      <c r="AQ4343" s="404"/>
      <c r="AR4343" s="404"/>
      <c r="AS4343" s="404"/>
      <c r="AT4343" s="404"/>
      <c r="AU4343" s="404"/>
      <c r="AV4343" s="404"/>
      <c r="AW4343" s="404"/>
      <c r="AX4343" s="404"/>
      <c r="AY4343" s="404"/>
      <c r="AZ4343" s="404"/>
      <c r="BA4343" s="404"/>
      <c r="BB4343" s="404"/>
      <c r="BC4343" s="404"/>
      <c r="BD4343" s="404"/>
      <c r="BE4343" s="404"/>
      <c r="BF4343" s="404"/>
      <c r="BG4343" s="404"/>
      <c r="BH4343" s="404"/>
      <c r="BI4343" s="404"/>
      <c r="BJ4343" s="404"/>
      <c r="BK4343" s="404"/>
      <c r="BL4343" s="404"/>
    </row>
    <row r="4344" spans="1:64" ht="12.75" customHeight="1">
      <c r="A4344" s="426"/>
      <c r="B4344" s="426"/>
      <c r="C4344" s="1294" t="s">
        <v>1451</v>
      </c>
      <c r="D4344" s="1294"/>
      <c r="E4344" s="1294"/>
      <c r="F4344" s="409"/>
      <c r="G4344" s="410"/>
      <c r="H4344" s="426"/>
      <c r="I4344" s="409"/>
      <c r="J4344" s="400"/>
      <c r="K4344" s="401"/>
      <c r="L4344" s="401"/>
      <c r="M4344" s="404"/>
      <c r="N4344" s="404"/>
      <c r="O4344" s="404"/>
      <c r="P4344" s="404"/>
      <c r="Q4344" s="404"/>
      <c r="R4344" s="404"/>
      <c r="S4344" s="404"/>
      <c r="T4344" s="404"/>
      <c r="U4344" s="404"/>
      <c r="V4344" s="404"/>
      <c r="W4344" s="404"/>
      <c r="X4344" s="404"/>
      <c r="Y4344" s="404"/>
      <c r="Z4344" s="404"/>
      <c r="AA4344" s="404"/>
      <c r="AB4344" s="404"/>
      <c r="AC4344" s="404"/>
      <c r="AD4344" s="404"/>
      <c r="AE4344" s="404"/>
      <c r="AF4344" s="404"/>
      <c r="AG4344" s="404"/>
      <c r="AH4344" s="404"/>
      <c r="AI4344" s="404"/>
      <c r="AJ4344" s="404"/>
      <c r="AK4344" s="404"/>
      <c r="AL4344" s="404"/>
      <c r="AM4344" s="404"/>
      <c r="AN4344" s="404"/>
      <c r="AO4344" s="404"/>
      <c r="AP4344" s="404"/>
      <c r="AQ4344" s="404"/>
      <c r="AR4344" s="404"/>
      <c r="AS4344" s="404"/>
      <c r="AT4344" s="404"/>
      <c r="AU4344" s="404"/>
      <c r="AV4344" s="404"/>
      <c r="AW4344" s="404"/>
      <c r="AX4344" s="404"/>
      <c r="AY4344" s="404"/>
      <c r="AZ4344" s="404"/>
      <c r="BA4344" s="404"/>
      <c r="BB4344" s="404"/>
      <c r="BC4344" s="404"/>
      <c r="BD4344" s="404"/>
      <c r="BE4344" s="404"/>
      <c r="BF4344" s="404"/>
      <c r="BG4344" s="404"/>
      <c r="BH4344" s="404"/>
      <c r="BI4344" s="404"/>
      <c r="BJ4344" s="404"/>
      <c r="BK4344" s="404"/>
      <c r="BL4344" s="404"/>
    </row>
    <row r="4345" spans="1:64">
      <c r="A4345" s="426"/>
      <c r="B4345" s="426"/>
      <c r="C4345" s="417" t="s">
        <v>1452</v>
      </c>
      <c r="D4345" s="409"/>
      <c r="E4345" s="426"/>
      <c r="F4345" s="409"/>
      <c r="G4345" s="410"/>
      <c r="H4345" s="426"/>
      <c r="I4345" s="409"/>
      <c r="J4345" s="400"/>
      <c r="K4345" s="401"/>
      <c r="L4345" s="401"/>
      <c r="M4345" s="404"/>
      <c r="N4345" s="404"/>
      <c r="O4345" s="404"/>
      <c r="P4345" s="404"/>
      <c r="Q4345" s="404"/>
      <c r="R4345" s="404"/>
      <c r="S4345" s="404"/>
      <c r="T4345" s="404"/>
      <c r="U4345" s="404"/>
      <c r="V4345" s="404"/>
      <c r="W4345" s="404"/>
      <c r="X4345" s="404"/>
      <c r="Y4345" s="404"/>
      <c r="Z4345" s="404"/>
      <c r="AA4345" s="404"/>
      <c r="AB4345" s="404"/>
      <c r="AC4345" s="404"/>
      <c r="AD4345" s="404"/>
      <c r="AE4345" s="404"/>
      <c r="AF4345" s="404"/>
      <c r="AG4345" s="404"/>
      <c r="AH4345" s="404"/>
      <c r="AI4345" s="404"/>
      <c r="AJ4345" s="404"/>
      <c r="AK4345" s="404"/>
      <c r="AL4345" s="404"/>
      <c r="AM4345" s="404"/>
      <c r="AN4345" s="404"/>
      <c r="AO4345" s="404"/>
      <c r="AP4345" s="404"/>
      <c r="AQ4345" s="404"/>
      <c r="AR4345" s="404"/>
      <c r="AS4345" s="404"/>
      <c r="AT4345" s="404"/>
      <c r="AU4345" s="404"/>
      <c r="AV4345" s="404"/>
      <c r="AW4345" s="404"/>
      <c r="AX4345" s="404"/>
      <c r="AY4345" s="404"/>
      <c r="AZ4345" s="404"/>
      <c r="BA4345" s="404"/>
      <c r="BB4345" s="404"/>
      <c r="BC4345" s="404"/>
      <c r="BD4345" s="404"/>
      <c r="BE4345" s="404"/>
      <c r="BF4345" s="404"/>
      <c r="BG4345" s="404"/>
      <c r="BH4345" s="404"/>
      <c r="BI4345" s="404"/>
      <c r="BJ4345" s="404"/>
      <c r="BK4345" s="404"/>
      <c r="BL4345" s="404"/>
    </row>
    <row r="4346" spans="1:64" ht="13">
      <c r="A4346" s="426"/>
      <c r="B4346" s="426"/>
      <c r="C4346" s="427" t="s">
        <v>1215</v>
      </c>
      <c r="D4346" s="409"/>
      <c r="E4346" s="426"/>
      <c r="F4346" s="409"/>
      <c r="G4346" s="410"/>
      <c r="H4346" s="426"/>
      <c r="I4346" s="409"/>
      <c r="J4346" s="400"/>
      <c r="K4346" s="401"/>
      <c r="L4346" s="401"/>
      <c r="M4346" s="404"/>
      <c r="N4346" s="404"/>
      <c r="O4346" s="404"/>
      <c r="P4346" s="404"/>
      <c r="Q4346" s="404"/>
      <c r="R4346" s="404"/>
      <c r="S4346" s="404"/>
      <c r="T4346" s="404"/>
      <c r="U4346" s="404"/>
      <c r="V4346" s="404"/>
      <c r="W4346" s="404"/>
      <c r="X4346" s="404"/>
      <c r="Y4346" s="404"/>
      <c r="Z4346" s="404"/>
      <c r="AA4346" s="404"/>
      <c r="AB4346" s="404"/>
      <c r="AC4346" s="404"/>
      <c r="AD4346" s="404"/>
      <c r="AE4346" s="404"/>
      <c r="AF4346" s="404"/>
      <c r="AG4346" s="404"/>
      <c r="AH4346" s="404"/>
      <c r="AI4346" s="404"/>
      <c r="AJ4346" s="404"/>
      <c r="AK4346" s="404"/>
      <c r="AL4346" s="404"/>
      <c r="AM4346" s="404"/>
      <c r="AN4346" s="404"/>
      <c r="AO4346" s="404"/>
      <c r="AP4346" s="404"/>
      <c r="AQ4346" s="404"/>
      <c r="AR4346" s="404"/>
      <c r="AS4346" s="404"/>
      <c r="AT4346" s="404"/>
      <c r="AU4346" s="404"/>
      <c r="AV4346" s="404"/>
      <c r="AW4346" s="404"/>
      <c r="AX4346" s="404"/>
      <c r="AY4346" s="404"/>
      <c r="AZ4346" s="404"/>
      <c r="BA4346" s="404"/>
      <c r="BB4346" s="404"/>
      <c r="BC4346" s="404"/>
      <c r="BD4346" s="404"/>
      <c r="BE4346" s="404"/>
      <c r="BF4346" s="404"/>
      <c r="BG4346" s="404"/>
      <c r="BH4346" s="404"/>
      <c r="BI4346" s="404"/>
      <c r="BJ4346" s="404"/>
      <c r="BK4346" s="404"/>
      <c r="BL4346" s="404"/>
    </row>
    <row r="4347" spans="1:64" ht="25">
      <c r="A4347" s="426"/>
      <c r="B4347" s="426"/>
      <c r="C4347" s="417" t="s">
        <v>1508</v>
      </c>
      <c r="D4347" s="409">
        <v>1</v>
      </c>
      <c r="E4347" s="426" t="s">
        <v>17</v>
      </c>
      <c r="F4347" s="409">
        <v>599</v>
      </c>
      <c r="G4347" s="410">
        <v>1</v>
      </c>
      <c r="H4347" s="426" t="s">
        <v>17</v>
      </c>
      <c r="I4347" s="408">
        <f t="shared" ref="I4347:I4352" si="958">IF(G4347="",D4347*F4347,(D4347*F4347/G4347))</f>
        <v>599</v>
      </c>
      <c r="J4347" s="400"/>
      <c r="K4347" s="401"/>
      <c r="L4347" s="401"/>
      <c r="M4347" s="404"/>
      <c r="N4347" s="404"/>
      <c r="O4347" s="404"/>
      <c r="P4347" s="404"/>
      <c r="Q4347" s="404"/>
      <c r="R4347" s="404"/>
      <c r="S4347" s="404"/>
      <c r="T4347" s="404"/>
      <c r="U4347" s="404"/>
      <c r="V4347" s="404"/>
      <c r="W4347" s="404"/>
      <c r="X4347" s="404"/>
      <c r="Y4347" s="404"/>
      <c r="Z4347" s="404"/>
      <c r="AA4347" s="404"/>
      <c r="AB4347" s="404"/>
      <c r="AC4347" s="404"/>
      <c r="AD4347" s="404"/>
      <c r="AE4347" s="404"/>
      <c r="AF4347" s="404"/>
      <c r="AG4347" s="404"/>
      <c r="AH4347" s="404"/>
      <c r="AI4347" s="404"/>
      <c r="AJ4347" s="404"/>
      <c r="AK4347" s="404"/>
      <c r="AL4347" s="404"/>
      <c r="AM4347" s="404"/>
      <c r="AN4347" s="404"/>
      <c r="AO4347" s="404"/>
      <c r="AP4347" s="404"/>
      <c r="AQ4347" s="404"/>
      <c r="AR4347" s="404"/>
      <c r="AS4347" s="404"/>
      <c r="AT4347" s="404"/>
      <c r="AU4347" s="404"/>
      <c r="AV4347" s="404"/>
      <c r="AW4347" s="404"/>
      <c r="AX4347" s="404"/>
      <c r="AY4347" s="404"/>
      <c r="AZ4347" s="404"/>
      <c r="BA4347" s="404"/>
      <c r="BB4347" s="404"/>
      <c r="BC4347" s="404"/>
      <c r="BD4347" s="404"/>
      <c r="BE4347" s="404"/>
      <c r="BF4347" s="404"/>
      <c r="BG4347" s="404"/>
      <c r="BH4347" s="404"/>
      <c r="BI4347" s="404"/>
      <c r="BJ4347" s="404"/>
      <c r="BK4347" s="404"/>
      <c r="BL4347" s="404"/>
    </row>
    <row r="4348" spans="1:64" ht="25">
      <c r="A4348" s="426"/>
      <c r="B4348" s="426"/>
      <c r="C4348" s="417" t="s">
        <v>1509</v>
      </c>
      <c r="D4348" s="409">
        <v>0.4</v>
      </c>
      <c r="E4348" s="426" t="s">
        <v>1052</v>
      </c>
      <c r="F4348" s="409">
        <f>'[161]Civil-SOR'!G93</f>
        <v>42</v>
      </c>
      <c r="G4348" s="410">
        <v>1</v>
      </c>
      <c r="H4348" s="426" t="s">
        <v>1052</v>
      </c>
      <c r="I4348" s="408">
        <f t="shared" si="958"/>
        <v>16.8</v>
      </c>
      <c r="J4348" s="400"/>
      <c r="K4348" s="401"/>
      <c r="L4348" s="401"/>
      <c r="M4348" s="404"/>
      <c r="N4348" s="404"/>
      <c r="O4348" s="404"/>
      <c r="P4348" s="404"/>
      <c r="Q4348" s="404"/>
      <c r="R4348" s="404"/>
      <c r="S4348" s="404"/>
      <c r="T4348" s="404"/>
      <c r="U4348" s="404"/>
      <c r="V4348" s="404"/>
      <c r="W4348" s="404"/>
      <c r="X4348" s="404"/>
      <c r="Y4348" s="404"/>
      <c r="Z4348" s="404"/>
      <c r="AA4348" s="404"/>
      <c r="AB4348" s="404"/>
      <c r="AC4348" s="404"/>
      <c r="AD4348" s="404"/>
      <c r="AE4348" s="404"/>
      <c r="AF4348" s="404"/>
      <c r="AG4348" s="404"/>
      <c r="AH4348" s="404"/>
      <c r="AI4348" s="404"/>
      <c r="AJ4348" s="404"/>
      <c r="AK4348" s="404"/>
      <c r="AL4348" s="404"/>
      <c r="AM4348" s="404"/>
      <c r="AN4348" s="404"/>
      <c r="AO4348" s="404"/>
      <c r="AP4348" s="404"/>
      <c r="AQ4348" s="404"/>
      <c r="AR4348" s="404"/>
      <c r="AS4348" s="404"/>
      <c r="AT4348" s="404"/>
      <c r="AU4348" s="404"/>
      <c r="AV4348" s="404"/>
      <c r="AW4348" s="404"/>
      <c r="AX4348" s="404"/>
      <c r="AY4348" s="404"/>
      <c r="AZ4348" s="404"/>
      <c r="BA4348" s="404"/>
      <c r="BB4348" s="404"/>
      <c r="BC4348" s="404"/>
      <c r="BD4348" s="404"/>
      <c r="BE4348" s="404"/>
      <c r="BF4348" s="404"/>
      <c r="BG4348" s="404"/>
      <c r="BH4348" s="404"/>
      <c r="BI4348" s="404"/>
      <c r="BJ4348" s="404"/>
      <c r="BK4348" s="404"/>
      <c r="BL4348" s="404"/>
    </row>
    <row r="4349" spans="1:64" ht="37.5">
      <c r="A4349" s="426"/>
      <c r="B4349" s="426"/>
      <c r="C4349" s="417" t="s">
        <v>1510</v>
      </c>
      <c r="D4349" s="409">
        <v>1.6</v>
      </c>
      <c r="E4349" s="426" t="s">
        <v>1052</v>
      </c>
      <c r="F4349" s="409">
        <f>'[161]Civil-SOR'!G94</f>
        <v>52</v>
      </c>
      <c r="G4349" s="410">
        <v>1</v>
      </c>
      <c r="H4349" s="426" t="s">
        <v>1052</v>
      </c>
      <c r="I4349" s="408">
        <f t="shared" si="958"/>
        <v>83.2</v>
      </c>
      <c r="J4349" s="400"/>
      <c r="K4349" s="401"/>
      <c r="L4349" s="401"/>
      <c r="M4349" s="404"/>
      <c r="N4349" s="404"/>
      <c r="O4349" s="404"/>
      <c r="P4349" s="404"/>
      <c r="Q4349" s="404"/>
      <c r="R4349" s="404"/>
      <c r="S4349" s="404"/>
      <c r="T4349" s="404"/>
      <c r="U4349" s="404"/>
      <c r="V4349" s="404"/>
      <c r="W4349" s="404"/>
      <c r="X4349" s="404"/>
      <c r="Y4349" s="404"/>
      <c r="Z4349" s="404"/>
      <c r="AA4349" s="404"/>
      <c r="AB4349" s="404"/>
      <c r="AC4349" s="404"/>
      <c r="AD4349" s="404"/>
      <c r="AE4349" s="404"/>
      <c r="AF4349" s="404"/>
      <c r="AG4349" s="404"/>
      <c r="AH4349" s="404"/>
      <c r="AI4349" s="404"/>
      <c r="AJ4349" s="404"/>
      <c r="AK4349" s="404"/>
      <c r="AL4349" s="404"/>
      <c r="AM4349" s="404"/>
      <c r="AN4349" s="404"/>
      <c r="AO4349" s="404"/>
      <c r="AP4349" s="404"/>
      <c r="AQ4349" s="404"/>
      <c r="AR4349" s="404"/>
      <c r="AS4349" s="404"/>
      <c r="AT4349" s="404"/>
      <c r="AU4349" s="404"/>
      <c r="AV4349" s="404"/>
      <c r="AW4349" s="404"/>
      <c r="AX4349" s="404"/>
      <c r="AY4349" s="404"/>
      <c r="AZ4349" s="404"/>
      <c r="BA4349" s="404"/>
      <c r="BB4349" s="404"/>
      <c r="BC4349" s="404"/>
      <c r="BD4349" s="404"/>
      <c r="BE4349" s="404"/>
      <c r="BF4349" s="404"/>
      <c r="BG4349" s="404"/>
      <c r="BH4349" s="404"/>
      <c r="BI4349" s="404"/>
      <c r="BJ4349" s="404"/>
      <c r="BK4349" s="404"/>
      <c r="BL4349" s="404"/>
    </row>
    <row r="4350" spans="1:64" ht="25">
      <c r="A4350" s="426"/>
      <c r="B4350" s="426"/>
      <c r="C4350" s="417" t="s">
        <v>1511</v>
      </c>
      <c r="D4350" s="409">
        <v>1.6</v>
      </c>
      <c r="E4350" s="426" t="s">
        <v>1052</v>
      </c>
      <c r="F4350" s="409">
        <f>'[161]Civil-SOR'!G96</f>
        <v>48</v>
      </c>
      <c r="G4350" s="410">
        <v>1</v>
      </c>
      <c r="H4350" s="426" t="s">
        <v>1052</v>
      </c>
      <c r="I4350" s="408">
        <f t="shared" si="958"/>
        <v>76.800000000000011</v>
      </c>
      <c r="J4350" s="400"/>
      <c r="K4350" s="401"/>
      <c r="L4350" s="401"/>
      <c r="M4350" s="404"/>
      <c r="N4350" s="404"/>
      <c r="O4350" s="404"/>
      <c r="P4350" s="404"/>
      <c r="Q4350" s="404"/>
      <c r="R4350" s="404"/>
      <c r="S4350" s="404"/>
      <c r="T4350" s="404"/>
      <c r="U4350" s="404"/>
      <c r="V4350" s="404"/>
      <c r="W4350" s="404"/>
      <c r="X4350" s="404"/>
      <c r="Y4350" s="404"/>
      <c r="Z4350" s="404"/>
      <c r="AA4350" s="404"/>
      <c r="AB4350" s="404"/>
      <c r="AC4350" s="404"/>
      <c r="AD4350" s="404"/>
      <c r="AE4350" s="404"/>
      <c r="AF4350" s="404"/>
      <c r="AG4350" s="404"/>
      <c r="AH4350" s="404"/>
      <c r="AI4350" s="404"/>
      <c r="AJ4350" s="404"/>
      <c r="AK4350" s="404"/>
      <c r="AL4350" s="404"/>
      <c r="AM4350" s="404"/>
      <c r="AN4350" s="404"/>
      <c r="AO4350" s="404"/>
      <c r="AP4350" s="404"/>
      <c r="AQ4350" s="404"/>
      <c r="AR4350" s="404"/>
      <c r="AS4350" s="404"/>
      <c r="AT4350" s="404"/>
      <c r="AU4350" s="404"/>
      <c r="AV4350" s="404"/>
      <c r="AW4350" s="404"/>
      <c r="AX4350" s="404"/>
      <c r="AY4350" s="404"/>
      <c r="AZ4350" s="404"/>
      <c r="BA4350" s="404"/>
      <c r="BB4350" s="404"/>
      <c r="BC4350" s="404"/>
      <c r="BD4350" s="404"/>
      <c r="BE4350" s="404"/>
      <c r="BF4350" s="404"/>
      <c r="BG4350" s="404"/>
      <c r="BH4350" s="404"/>
      <c r="BI4350" s="404"/>
      <c r="BJ4350" s="404"/>
      <c r="BK4350" s="404"/>
      <c r="BL4350" s="404"/>
    </row>
    <row r="4351" spans="1:64" ht="25">
      <c r="A4351" s="426"/>
      <c r="B4351" s="426"/>
      <c r="C4351" s="417" t="s">
        <v>1512</v>
      </c>
      <c r="D4351" s="409">
        <v>1.28</v>
      </c>
      <c r="E4351" s="426" t="s">
        <v>1052</v>
      </c>
      <c r="F4351" s="409">
        <f>'[161]Civil-SOR'!G109</f>
        <v>12</v>
      </c>
      <c r="G4351" s="410">
        <v>1</v>
      </c>
      <c r="H4351" s="426" t="s">
        <v>1052</v>
      </c>
      <c r="I4351" s="408">
        <f t="shared" si="958"/>
        <v>15.36</v>
      </c>
      <c r="J4351" s="400"/>
      <c r="K4351" s="401"/>
      <c r="L4351" s="401"/>
      <c r="M4351" s="404"/>
      <c r="N4351" s="404"/>
      <c r="O4351" s="404"/>
      <c r="P4351" s="404"/>
      <c r="Q4351" s="404"/>
      <c r="R4351" s="404"/>
      <c r="S4351" s="404"/>
      <c r="T4351" s="404"/>
      <c r="U4351" s="404"/>
      <c r="V4351" s="404"/>
      <c r="W4351" s="404"/>
      <c r="X4351" s="404"/>
      <c r="Y4351" s="404"/>
      <c r="Z4351" s="404"/>
      <c r="AA4351" s="404"/>
      <c r="AB4351" s="404"/>
      <c r="AC4351" s="404"/>
      <c r="AD4351" s="404"/>
      <c r="AE4351" s="404"/>
      <c r="AF4351" s="404"/>
      <c r="AG4351" s="404"/>
      <c r="AH4351" s="404"/>
      <c r="AI4351" s="404"/>
      <c r="AJ4351" s="404"/>
      <c r="AK4351" s="404"/>
      <c r="AL4351" s="404"/>
      <c r="AM4351" s="404"/>
      <c r="AN4351" s="404"/>
      <c r="AO4351" s="404"/>
      <c r="AP4351" s="404"/>
      <c r="AQ4351" s="404"/>
      <c r="AR4351" s="404"/>
      <c r="AS4351" s="404"/>
      <c r="AT4351" s="404"/>
      <c r="AU4351" s="404"/>
      <c r="AV4351" s="404"/>
      <c r="AW4351" s="404"/>
      <c r="AX4351" s="404"/>
      <c r="AY4351" s="404"/>
      <c r="AZ4351" s="404"/>
      <c r="BA4351" s="404"/>
      <c r="BB4351" s="404"/>
      <c r="BC4351" s="404"/>
      <c r="BD4351" s="404"/>
      <c r="BE4351" s="404"/>
      <c r="BF4351" s="404"/>
      <c r="BG4351" s="404"/>
      <c r="BH4351" s="404"/>
      <c r="BI4351" s="404"/>
      <c r="BJ4351" s="404"/>
      <c r="BK4351" s="404"/>
      <c r="BL4351" s="404"/>
    </row>
    <row r="4352" spans="1:64">
      <c r="A4352" s="426"/>
      <c r="B4352" s="426"/>
      <c r="C4352" s="417" t="s">
        <v>1513</v>
      </c>
      <c r="D4352" s="409">
        <v>1.28</v>
      </c>
      <c r="E4352" s="426" t="s">
        <v>375</v>
      </c>
      <c r="F4352" s="409">
        <f>'[161]Civil-SOR'!G101</f>
        <v>5</v>
      </c>
      <c r="G4352" s="410">
        <v>1</v>
      </c>
      <c r="H4352" s="426" t="s">
        <v>678</v>
      </c>
      <c r="I4352" s="408">
        <f t="shared" si="958"/>
        <v>6.4</v>
      </c>
      <c r="J4352" s="400"/>
      <c r="K4352" s="401"/>
      <c r="L4352" s="401"/>
      <c r="M4352" s="404"/>
      <c r="N4352" s="404"/>
      <c r="O4352" s="404"/>
      <c r="P4352" s="404"/>
      <c r="Q4352" s="404"/>
      <c r="R4352" s="404"/>
      <c r="S4352" s="404"/>
      <c r="T4352" s="404"/>
      <c r="U4352" s="404"/>
      <c r="V4352" s="404"/>
      <c r="W4352" s="404"/>
      <c r="X4352" s="404"/>
      <c r="Y4352" s="404"/>
      <c r="Z4352" s="404"/>
      <c r="AA4352" s="404"/>
      <c r="AB4352" s="404"/>
      <c r="AC4352" s="404"/>
      <c r="AD4352" s="404"/>
      <c r="AE4352" s="404"/>
      <c r="AF4352" s="404"/>
      <c r="AG4352" s="404"/>
      <c r="AH4352" s="404"/>
      <c r="AI4352" s="404"/>
      <c r="AJ4352" s="404"/>
      <c r="AK4352" s="404"/>
      <c r="AL4352" s="404"/>
      <c r="AM4352" s="404"/>
      <c r="AN4352" s="404"/>
      <c r="AO4352" s="404"/>
      <c r="AP4352" s="404"/>
      <c r="AQ4352" s="404"/>
      <c r="AR4352" s="404"/>
      <c r="AS4352" s="404"/>
      <c r="AT4352" s="404"/>
      <c r="AU4352" s="404"/>
      <c r="AV4352" s="404"/>
      <c r="AW4352" s="404"/>
      <c r="AX4352" s="404"/>
      <c r="AY4352" s="404"/>
      <c r="AZ4352" s="404"/>
      <c r="BA4352" s="404"/>
      <c r="BB4352" s="404"/>
      <c r="BC4352" s="404"/>
      <c r="BD4352" s="404"/>
      <c r="BE4352" s="404"/>
      <c r="BF4352" s="404"/>
      <c r="BG4352" s="404"/>
      <c r="BH4352" s="404"/>
      <c r="BI4352" s="404"/>
      <c r="BJ4352" s="404"/>
      <c r="BK4352" s="404"/>
      <c r="BL4352" s="404"/>
    </row>
    <row r="4353" spans="1:64" ht="13">
      <c r="A4353" s="426"/>
      <c r="B4353" s="426"/>
      <c r="C4353" s="427" t="s">
        <v>1459</v>
      </c>
      <c r="D4353" s="409"/>
      <c r="E4353" s="426"/>
      <c r="F4353" s="409"/>
      <c r="G4353" s="410"/>
      <c r="H4353" s="426"/>
      <c r="I4353" s="409"/>
      <c r="J4353" s="400"/>
      <c r="K4353" s="401"/>
      <c r="L4353" s="401"/>
      <c r="M4353" s="404"/>
      <c r="N4353" s="404"/>
      <c r="O4353" s="404"/>
      <c r="P4353" s="404"/>
      <c r="Q4353" s="404"/>
      <c r="R4353" s="404"/>
      <c r="S4353" s="404"/>
      <c r="T4353" s="404"/>
      <c r="U4353" s="404"/>
      <c r="V4353" s="404"/>
      <c r="W4353" s="404"/>
      <c r="X4353" s="404"/>
      <c r="Y4353" s="404"/>
      <c r="Z4353" s="404"/>
      <c r="AA4353" s="404"/>
      <c r="AB4353" s="404"/>
      <c r="AC4353" s="404"/>
      <c r="AD4353" s="404"/>
      <c r="AE4353" s="404"/>
      <c r="AF4353" s="404"/>
      <c r="AG4353" s="404"/>
      <c r="AH4353" s="404"/>
      <c r="AI4353" s="404"/>
      <c r="AJ4353" s="404"/>
      <c r="AK4353" s="404"/>
      <c r="AL4353" s="404"/>
      <c r="AM4353" s="404"/>
      <c r="AN4353" s="404"/>
      <c r="AO4353" s="404"/>
      <c r="AP4353" s="404"/>
      <c r="AQ4353" s="404"/>
      <c r="AR4353" s="404"/>
      <c r="AS4353" s="404"/>
      <c r="AT4353" s="404"/>
      <c r="AU4353" s="404"/>
      <c r="AV4353" s="404"/>
      <c r="AW4353" s="404"/>
      <c r="AX4353" s="404"/>
      <c r="AY4353" s="404"/>
      <c r="AZ4353" s="404"/>
      <c r="BA4353" s="404"/>
      <c r="BB4353" s="404"/>
      <c r="BC4353" s="404"/>
      <c r="BD4353" s="404"/>
      <c r="BE4353" s="404"/>
      <c r="BF4353" s="404"/>
      <c r="BG4353" s="404"/>
      <c r="BH4353" s="404"/>
      <c r="BI4353" s="404"/>
      <c r="BJ4353" s="404"/>
      <c r="BK4353" s="404"/>
      <c r="BL4353" s="404"/>
    </row>
    <row r="4354" spans="1:64">
      <c r="A4354" s="426"/>
      <c r="B4354" s="426"/>
      <c r="C4354" s="417" t="s">
        <v>1460</v>
      </c>
      <c r="D4354" s="409">
        <v>0.12</v>
      </c>
      <c r="E4354" s="426" t="s">
        <v>375</v>
      </c>
      <c r="F4354" s="432">
        <f>'[161]Civil-SOR'!$G$291</f>
        <v>685</v>
      </c>
      <c r="G4354" s="410">
        <v>1</v>
      </c>
      <c r="H4354" s="426" t="s">
        <v>678</v>
      </c>
      <c r="I4354" s="408">
        <f t="shared" ref="I4354:I4361" si="959">IF(G4354="",D4354*F4354,(D4354*F4354/G4354))</f>
        <v>82.2</v>
      </c>
      <c r="J4354" s="400"/>
      <c r="K4354" s="401"/>
      <c r="L4354" s="401"/>
      <c r="M4354" s="404"/>
      <c r="N4354" s="404"/>
      <c r="O4354" s="404"/>
      <c r="P4354" s="404"/>
      <c r="Q4354" s="404"/>
      <c r="R4354" s="404"/>
      <c r="S4354" s="404"/>
      <c r="T4354" s="404"/>
      <c r="U4354" s="404"/>
      <c r="V4354" s="404"/>
      <c r="W4354" s="404"/>
      <c r="X4354" s="404"/>
      <c r="Y4354" s="404"/>
      <c r="Z4354" s="404"/>
      <c r="AA4354" s="404"/>
      <c r="AB4354" s="404"/>
      <c r="AC4354" s="404"/>
      <c r="AD4354" s="404"/>
      <c r="AE4354" s="404"/>
      <c r="AF4354" s="404"/>
      <c r="AG4354" s="404"/>
      <c r="AH4354" s="404"/>
      <c r="AI4354" s="404"/>
      <c r="AJ4354" s="404"/>
      <c r="AK4354" s="404"/>
      <c r="AL4354" s="404"/>
      <c r="AM4354" s="404"/>
      <c r="AN4354" s="404"/>
      <c r="AO4354" s="404"/>
      <c r="AP4354" s="404"/>
      <c r="AQ4354" s="404"/>
      <c r="AR4354" s="404"/>
      <c r="AS4354" s="404"/>
      <c r="AT4354" s="404"/>
      <c r="AU4354" s="404"/>
      <c r="AV4354" s="404"/>
      <c r="AW4354" s="404"/>
      <c r="AX4354" s="404"/>
      <c r="AY4354" s="404"/>
      <c r="AZ4354" s="404"/>
      <c r="BA4354" s="404"/>
      <c r="BB4354" s="404"/>
      <c r="BC4354" s="404"/>
      <c r="BD4354" s="404"/>
      <c r="BE4354" s="404"/>
      <c r="BF4354" s="404"/>
      <c r="BG4354" s="404"/>
      <c r="BH4354" s="404"/>
      <c r="BI4354" s="404"/>
      <c r="BJ4354" s="404"/>
      <c r="BK4354" s="404"/>
      <c r="BL4354" s="404"/>
    </row>
    <row r="4355" spans="1:64">
      <c r="A4355" s="426"/>
      <c r="B4355" s="426"/>
      <c r="C4355" s="417" t="s">
        <v>1461</v>
      </c>
      <c r="D4355" s="409">
        <v>0.12</v>
      </c>
      <c r="E4355" s="426" t="s">
        <v>375</v>
      </c>
      <c r="F4355" s="432">
        <f>'[161]Civil-SOR'!$G$300</f>
        <v>550</v>
      </c>
      <c r="G4355" s="410">
        <v>1</v>
      </c>
      <c r="H4355" s="426" t="s">
        <v>678</v>
      </c>
      <c r="I4355" s="408">
        <f t="shared" si="959"/>
        <v>66</v>
      </c>
      <c r="J4355" s="400"/>
      <c r="K4355" s="401"/>
      <c r="L4355" s="401"/>
      <c r="M4355" s="404"/>
      <c r="N4355" s="404"/>
      <c r="O4355" s="404"/>
      <c r="P4355" s="404"/>
      <c r="Q4355" s="404"/>
      <c r="R4355" s="404"/>
      <c r="S4355" s="404"/>
      <c r="T4355" s="404"/>
      <c r="U4355" s="404"/>
      <c r="V4355" s="404"/>
      <c r="W4355" s="404"/>
      <c r="X4355" s="404"/>
      <c r="Y4355" s="404"/>
      <c r="Z4355" s="404"/>
      <c r="AA4355" s="404"/>
      <c r="AB4355" s="404"/>
      <c r="AC4355" s="404"/>
      <c r="AD4355" s="404"/>
      <c r="AE4355" s="404"/>
      <c r="AF4355" s="404"/>
      <c r="AG4355" s="404"/>
      <c r="AH4355" s="404"/>
      <c r="AI4355" s="404"/>
      <c r="AJ4355" s="404"/>
      <c r="AK4355" s="404"/>
      <c r="AL4355" s="404"/>
      <c r="AM4355" s="404"/>
      <c r="AN4355" s="404"/>
      <c r="AO4355" s="404"/>
      <c r="AP4355" s="404"/>
      <c r="AQ4355" s="404"/>
      <c r="AR4355" s="404"/>
      <c r="AS4355" s="404"/>
      <c r="AT4355" s="404"/>
      <c r="AU4355" s="404"/>
      <c r="AV4355" s="404"/>
      <c r="AW4355" s="404"/>
      <c r="AX4355" s="404"/>
      <c r="AY4355" s="404"/>
      <c r="AZ4355" s="404"/>
      <c r="BA4355" s="404"/>
      <c r="BB4355" s="404"/>
      <c r="BC4355" s="404"/>
      <c r="BD4355" s="404"/>
      <c r="BE4355" s="404"/>
      <c r="BF4355" s="404"/>
      <c r="BG4355" s="404"/>
      <c r="BH4355" s="404"/>
      <c r="BI4355" s="404"/>
      <c r="BJ4355" s="404"/>
      <c r="BK4355" s="404"/>
      <c r="BL4355" s="404"/>
    </row>
    <row r="4356" spans="1:64">
      <c r="A4356" s="426"/>
      <c r="B4356" s="426"/>
      <c r="C4356" s="417" t="s">
        <v>1385</v>
      </c>
      <c r="D4356" s="491">
        <v>2.4E-2</v>
      </c>
      <c r="E4356" s="426" t="s">
        <v>375</v>
      </c>
      <c r="F4356" s="432">
        <f>'[161]Civil-SOR'!$G$296</f>
        <v>665</v>
      </c>
      <c r="G4356" s="410">
        <v>1</v>
      </c>
      <c r="H4356" s="426" t="s">
        <v>678</v>
      </c>
      <c r="I4356" s="408">
        <f t="shared" si="959"/>
        <v>15.96</v>
      </c>
      <c r="J4356" s="400"/>
      <c r="K4356" s="401"/>
      <c r="L4356" s="401"/>
      <c r="M4356" s="404"/>
      <c r="N4356" s="404"/>
      <c r="O4356" s="404"/>
      <c r="P4356" s="404"/>
      <c r="Q4356" s="404"/>
      <c r="R4356" s="404"/>
      <c r="S4356" s="404"/>
      <c r="T4356" s="404"/>
      <c r="U4356" s="404"/>
      <c r="V4356" s="404"/>
      <c r="W4356" s="404"/>
      <c r="X4356" s="404"/>
      <c r="Y4356" s="404"/>
      <c r="Z4356" s="404"/>
      <c r="AA4356" s="404"/>
      <c r="AB4356" s="404"/>
      <c r="AC4356" s="404"/>
      <c r="AD4356" s="404"/>
      <c r="AE4356" s="404"/>
      <c r="AF4356" s="404"/>
      <c r="AG4356" s="404"/>
      <c r="AH4356" s="404"/>
      <c r="AI4356" s="404"/>
      <c r="AJ4356" s="404"/>
      <c r="AK4356" s="404"/>
      <c r="AL4356" s="404"/>
      <c r="AM4356" s="404"/>
      <c r="AN4356" s="404"/>
      <c r="AO4356" s="404"/>
      <c r="AP4356" s="404"/>
      <c r="AQ4356" s="404"/>
      <c r="AR4356" s="404"/>
      <c r="AS4356" s="404"/>
      <c r="AT4356" s="404"/>
      <c r="AU4356" s="404"/>
      <c r="AV4356" s="404"/>
      <c r="AW4356" s="404"/>
      <c r="AX4356" s="404"/>
      <c r="AY4356" s="404"/>
      <c r="AZ4356" s="404"/>
      <c r="BA4356" s="404"/>
      <c r="BB4356" s="404"/>
      <c r="BC4356" s="404"/>
      <c r="BD4356" s="404"/>
      <c r="BE4356" s="404"/>
      <c r="BF4356" s="404"/>
      <c r="BG4356" s="404"/>
      <c r="BH4356" s="404"/>
      <c r="BI4356" s="404"/>
      <c r="BJ4356" s="404"/>
      <c r="BK4356" s="404"/>
      <c r="BL4356" s="404"/>
    </row>
    <row r="4357" spans="1:64">
      <c r="A4357" s="426"/>
      <c r="B4357" s="426"/>
      <c r="C4357" s="417" t="s">
        <v>1386</v>
      </c>
      <c r="D4357" s="491">
        <v>2.4E-2</v>
      </c>
      <c r="E4357" s="426" t="s">
        <v>375</v>
      </c>
      <c r="F4357" s="432">
        <f>'[161]Civil-SOR'!$G$303</f>
        <v>550</v>
      </c>
      <c r="G4357" s="410">
        <v>1</v>
      </c>
      <c r="H4357" s="426" t="s">
        <v>678</v>
      </c>
      <c r="I4357" s="408">
        <f t="shared" si="959"/>
        <v>13.200000000000001</v>
      </c>
      <c r="J4357" s="400"/>
      <c r="K4357" s="401"/>
      <c r="L4357" s="401"/>
      <c r="M4357" s="404"/>
      <c r="N4357" s="404"/>
      <c r="O4357" s="404"/>
      <c r="P4357" s="404"/>
      <c r="Q4357" s="404"/>
      <c r="R4357" s="404"/>
      <c r="S4357" s="404"/>
      <c r="T4357" s="404"/>
      <c r="U4357" s="404"/>
      <c r="V4357" s="404"/>
      <c r="W4357" s="404"/>
      <c r="X4357" s="404"/>
      <c r="Y4357" s="404"/>
      <c r="Z4357" s="404"/>
      <c r="AA4357" s="404"/>
      <c r="AB4357" s="404"/>
      <c r="AC4357" s="404"/>
      <c r="AD4357" s="404"/>
      <c r="AE4357" s="404"/>
      <c r="AF4357" s="404"/>
      <c r="AG4357" s="404"/>
      <c r="AH4357" s="404"/>
      <c r="AI4357" s="404"/>
      <c r="AJ4357" s="404"/>
      <c r="AK4357" s="404"/>
      <c r="AL4357" s="404"/>
      <c r="AM4357" s="404"/>
      <c r="AN4357" s="404"/>
      <c r="AO4357" s="404"/>
      <c r="AP4357" s="404"/>
      <c r="AQ4357" s="404"/>
      <c r="AR4357" s="404"/>
      <c r="AS4357" s="404"/>
      <c r="AT4357" s="404"/>
      <c r="AU4357" s="404"/>
      <c r="AV4357" s="404"/>
      <c r="AW4357" s="404"/>
      <c r="AX4357" s="404"/>
      <c r="AY4357" s="404"/>
      <c r="AZ4357" s="404"/>
      <c r="BA4357" s="404"/>
      <c r="BB4357" s="404"/>
      <c r="BC4357" s="404"/>
      <c r="BD4357" s="404"/>
      <c r="BE4357" s="404"/>
      <c r="BF4357" s="404"/>
      <c r="BG4357" s="404"/>
      <c r="BH4357" s="404"/>
      <c r="BI4357" s="404"/>
      <c r="BJ4357" s="404"/>
      <c r="BK4357" s="404"/>
      <c r="BL4357" s="404"/>
    </row>
    <row r="4358" spans="1:64" ht="25">
      <c r="A4358" s="426"/>
      <c r="B4358" s="426"/>
      <c r="C4358" s="417" t="s">
        <v>1462</v>
      </c>
      <c r="D4358" s="491">
        <v>1.2E-2</v>
      </c>
      <c r="E4358" s="426" t="s">
        <v>375</v>
      </c>
      <c r="F4358" s="432">
        <f>'[161]Civil-SOR'!$G$297</f>
        <v>675</v>
      </c>
      <c r="G4358" s="410">
        <v>1</v>
      </c>
      <c r="H4358" s="426" t="s">
        <v>678</v>
      </c>
      <c r="I4358" s="408">
        <f t="shared" si="959"/>
        <v>8.1</v>
      </c>
      <c r="J4358" s="400"/>
      <c r="K4358" s="401"/>
      <c r="L4358" s="401"/>
      <c r="M4358" s="404"/>
      <c r="N4358" s="404"/>
      <c r="O4358" s="404"/>
      <c r="P4358" s="404"/>
      <c r="Q4358" s="404"/>
      <c r="R4358" s="404"/>
      <c r="S4358" s="404"/>
      <c r="T4358" s="404"/>
      <c r="U4358" s="404"/>
      <c r="V4358" s="404"/>
      <c r="W4358" s="404"/>
      <c r="X4358" s="404"/>
      <c r="Y4358" s="404"/>
      <c r="Z4358" s="404"/>
      <c r="AA4358" s="404"/>
      <c r="AB4358" s="404"/>
      <c r="AC4358" s="404"/>
      <c r="AD4358" s="404"/>
      <c r="AE4358" s="404"/>
      <c r="AF4358" s="404"/>
      <c r="AG4358" s="404"/>
      <c r="AH4358" s="404"/>
      <c r="AI4358" s="404"/>
      <c r="AJ4358" s="404"/>
      <c r="AK4358" s="404"/>
      <c r="AL4358" s="404"/>
      <c r="AM4358" s="404"/>
      <c r="AN4358" s="404"/>
      <c r="AO4358" s="404"/>
      <c r="AP4358" s="404"/>
      <c r="AQ4358" s="404"/>
      <c r="AR4358" s="404"/>
      <c r="AS4358" s="404"/>
      <c r="AT4358" s="404"/>
      <c r="AU4358" s="404"/>
      <c r="AV4358" s="404"/>
      <c r="AW4358" s="404"/>
      <c r="AX4358" s="404"/>
      <c r="AY4358" s="404"/>
      <c r="AZ4358" s="404"/>
      <c r="BA4358" s="404"/>
      <c r="BB4358" s="404"/>
      <c r="BC4358" s="404"/>
      <c r="BD4358" s="404"/>
      <c r="BE4358" s="404"/>
      <c r="BF4358" s="404"/>
      <c r="BG4358" s="404"/>
      <c r="BH4358" s="404"/>
      <c r="BI4358" s="404"/>
      <c r="BJ4358" s="404"/>
      <c r="BK4358" s="404"/>
      <c r="BL4358" s="404"/>
    </row>
    <row r="4359" spans="1:64">
      <c r="A4359" s="426"/>
      <c r="B4359" s="426"/>
      <c r="C4359" s="417" t="s">
        <v>1463</v>
      </c>
      <c r="D4359" s="491">
        <v>1.2E-2</v>
      </c>
      <c r="E4359" s="426" t="s">
        <v>375</v>
      </c>
      <c r="F4359" s="432">
        <f>'[161]Civil-SOR'!$G$297</f>
        <v>675</v>
      </c>
      <c r="G4359" s="410">
        <v>1</v>
      </c>
      <c r="H4359" s="426" t="s">
        <v>678</v>
      </c>
      <c r="I4359" s="408">
        <f t="shared" si="959"/>
        <v>8.1</v>
      </c>
      <c r="J4359" s="400"/>
      <c r="K4359" s="401"/>
      <c r="L4359" s="401"/>
      <c r="M4359" s="404"/>
      <c r="N4359" s="404"/>
      <c r="O4359" s="404"/>
      <c r="P4359" s="404"/>
      <c r="Q4359" s="404"/>
      <c r="R4359" s="404"/>
      <c r="S4359" s="404"/>
      <c r="T4359" s="404"/>
      <c r="U4359" s="404"/>
      <c r="V4359" s="404"/>
      <c r="W4359" s="404"/>
      <c r="X4359" s="404"/>
      <c r="Y4359" s="404"/>
      <c r="Z4359" s="404"/>
      <c r="AA4359" s="404"/>
      <c r="AB4359" s="404"/>
      <c r="AC4359" s="404"/>
      <c r="AD4359" s="404"/>
      <c r="AE4359" s="404"/>
      <c r="AF4359" s="404"/>
      <c r="AG4359" s="404"/>
      <c r="AH4359" s="404"/>
      <c r="AI4359" s="404"/>
      <c r="AJ4359" s="404"/>
      <c r="AK4359" s="404"/>
      <c r="AL4359" s="404"/>
      <c r="AM4359" s="404"/>
      <c r="AN4359" s="404"/>
      <c r="AO4359" s="404"/>
      <c r="AP4359" s="404"/>
      <c r="AQ4359" s="404"/>
      <c r="AR4359" s="404"/>
      <c r="AS4359" s="404"/>
      <c r="AT4359" s="404"/>
      <c r="AU4359" s="404"/>
      <c r="AV4359" s="404"/>
      <c r="AW4359" s="404"/>
      <c r="AX4359" s="404"/>
      <c r="AY4359" s="404"/>
      <c r="AZ4359" s="404"/>
      <c r="BA4359" s="404"/>
      <c r="BB4359" s="404"/>
      <c r="BC4359" s="404"/>
      <c r="BD4359" s="404"/>
      <c r="BE4359" s="404"/>
      <c r="BF4359" s="404"/>
      <c r="BG4359" s="404"/>
      <c r="BH4359" s="404"/>
      <c r="BI4359" s="404"/>
      <c r="BJ4359" s="404"/>
      <c r="BK4359" s="404"/>
      <c r="BL4359" s="404"/>
    </row>
    <row r="4360" spans="1:64">
      <c r="A4360" s="426"/>
      <c r="B4360" s="426"/>
      <c r="C4360" s="417" t="s">
        <v>1465</v>
      </c>
      <c r="D4360" s="491">
        <v>7.1999999999999995E-2</v>
      </c>
      <c r="E4360" s="426" t="s">
        <v>375</v>
      </c>
      <c r="F4360" s="432">
        <f>'[161]Civil-SOR'!$G$307</f>
        <v>520</v>
      </c>
      <c r="G4360" s="410">
        <v>1</v>
      </c>
      <c r="H4360" s="426" t="s">
        <v>678</v>
      </c>
      <c r="I4360" s="408">
        <f t="shared" si="959"/>
        <v>37.44</v>
      </c>
      <c r="J4360" s="400"/>
      <c r="K4360" s="401"/>
      <c r="L4360" s="401"/>
      <c r="M4360" s="404"/>
      <c r="N4360" s="404"/>
      <c r="O4360" s="404"/>
      <c r="P4360" s="404"/>
      <c r="Q4360" s="404"/>
      <c r="R4360" s="404"/>
      <c r="S4360" s="404"/>
      <c r="T4360" s="404"/>
      <c r="U4360" s="404"/>
      <c r="V4360" s="404"/>
      <c r="W4360" s="404"/>
      <c r="X4360" s="404"/>
      <c r="Y4360" s="404"/>
      <c r="Z4360" s="404"/>
      <c r="AA4360" s="404"/>
      <c r="AB4360" s="404"/>
      <c r="AC4360" s="404"/>
      <c r="AD4360" s="404"/>
      <c r="AE4360" s="404"/>
      <c r="AF4360" s="404"/>
      <c r="AG4360" s="404"/>
      <c r="AH4360" s="404"/>
      <c r="AI4360" s="404"/>
      <c r="AJ4360" s="404"/>
      <c r="AK4360" s="404"/>
      <c r="AL4360" s="404"/>
      <c r="AM4360" s="404"/>
      <c r="AN4360" s="404"/>
      <c r="AO4360" s="404"/>
      <c r="AP4360" s="404"/>
      <c r="AQ4360" s="404"/>
      <c r="AR4360" s="404"/>
      <c r="AS4360" s="404"/>
      <c r="AT4360" s="404"/>
      <c r="AU4360" s="404"/>
      <c r="AV4360" s="404"/>
      <c r="AW4360" s="404"/>
      <c r="AX4360" s="404"/>
      <c r="AY4360" s="404"/>
      <c r="AZ4360" s="404"/>
      <c r="BA4360" s="404"/>
      <c r="BB4360" s="404"/>
      <c r="BC4360" s="404"/>
      <c r="BD4360" s="404"/>
      <c r="BE4360" s="404"/>
      <c r="BF4360" s="404"/>
      <c r="BG4360" s="404"/>
      <c r="BH4360" s="404"/>
      <c r="BI4360" s="404"/>
      <c r="BJ4360" s="404"/>
      <c r="BK4360" s="404"/>
      <c r="BL4360" s="404"/>
    </row>
    <row r="4361" spans="1:64">
      <c r="A4361" s="426"/>
      <c r="B4361" s="426"/>
      <c r="C4361" s="417" t="str">
        <f>[161]Input!$C$47</f>
        <v>Add for MA @ 40%</v>
      </c>
      <c r="D4361" s="432">
        <f>[161]Input!$D$47</f>
        <v>0.4</v>
      </c>
      <c r="E4361" s="426"/>
      <c r="F4361" s="409">
        <f>SUM(I4354:I4360)</f>
        <v>230.99999999999997</v>
      </c>
      <c r="G4361" s="410"/>
      <c r="H4361" s="426"/>
      <c r="I4361" s="408">
        <f t="shared" si="959"/>
        <v>92.399999999999991</v>
      </c>
      <c r="J4361" s="400"/>
      <c r="K4361" s="401"/>
      <c r="L4361" s="401"/>
      <c r="M4361" s="404"/>
      <c r="N4361" s="404"/>
      <c r="O4361" s="404"/>
      <c r="P4361" s="404"/>
      <c r="Q4361" s="404"/>
      <c r="R4361" s="404"/>
      <c r="S4361" s="404"/>
      <c r="T4361" s="404"/>
      <c r="U4361" s="404"/>
      <c r="V4361" s="404"/>
      <c r="W4361" s="404"/>
      <c r="X4361" s="404"/>
      <c r="Y4361" s="404"/>
      <c r="Z4361" s="404"/>
      <c r="AA4361" s="404"/>
      <c r="AB4361" s="404"/>
      <c r="AC4361" s="404"/>
      <c r="AD4361" s="404"/>
      <c r="AE4361" s="404"/>
      <c r="AF4361" s="404"/>
      <c r="AG4361" s="404"/>
      <c r="AH4361" s="404"/>
      <c r="AI4361" s="404"/>
      <c r="AJ4361" s="404"/>
      <c r="AK4361" s="404"/>
      <c r="AL4361" s="404"/>
      <c r="AM4361" s="404"/>
      <c r="AN4361" s="404"/>
      <c r="AO4361" s="404"/>
      <c r="AP4361" s="404"/>
      <c r="AQ4361" s="404"/>
      <c r="AR4361" s="404"/>
      <c r="AS4361" s="404"/>
      <c r="AT4361" s="404"/>
      <c r="AU4361" s="404"/>
      <c r="AV4361" s="404"/>
      <c r="AW4361" s="404"/>
      <c r="AX4361" s="404"/>
      <c r="AY4361" s="404"/>
      <c r="AZ4361" s="404"/>
      <c r="BA4361" s="404"/>
      <c r="BB4361" s="404"/>
      <c r="BC4361" s="404"/>
      <c r="BD4361" s="404"/>
      <c r="BE4361" s="404"/>
      <c r="BF4361" s="404"/>
      <c r="BG4361" s="404"/>
      <c r="BH4361" s="404"/>
      <c r="BI4361" s="404"/>
      <c r="BJ4361" s="404"/>
      <c r="BK4361" s="404"/>
      <c r="BL4361" s="404"/>
    </row>
    <row r="4362" spans="1:64" ht="13">
      <c r="A4362" s="426"/>
      <c r="B4362" s="426"/>
      <c r="C4362" s="427" t="s">
        <v>1466</v>
      </c>
      <c r="D4362" s="409"/>
      <c r="E4362" s="426"/>
      <c r="F4362" s="409"/>
      <c r="G4362" s="410"/>
      <c r="H4362" s="426"/>
      <c r="I4362" s="409"/>
      <c r="J4362" s="400"/>
      <c r="K4362" s="401"/>
      <c r="L4362" s="401"/>
      <c r="M4362" s="404"/>
      <c r="N4362" s="404"/>
      <c r="O4362" s="404"/>
      <c r="P4362" s="404"/>
      <c r="Q4362" s="404"/>
      <c r="R4362" s="404"/>
      <c r="S4362" s="404"/>
      <c r="T4362" s="404"/>
      <c r="U4362" s="404"/>
      <c r="V4362" s="404"/>
      <c r="W4362" s="404"/>
      <c r="X4362" s="404"/>
      <c r="Y4362" s="404"/>
      <c r="Z4362" s="404"/>
      <c r="AA4362" s="404"/>
      <c r="AB4362" s="404"/>
      <c r="AC4362" s="404"/>
      <c r="AD4362" s="404"/>
      <c r="AE4362" s="404"/>
      <c r="AF4362" s="404"/>
      <c r="AG4362" s="404"/>
      <c r="AH4362" s="404"/>
      <c r="AI4362" s="404"/>
      <c r="AJ4362" s="404"/>
      <c r="AK4362" s="404"/>
      <c r="AL4362" s="404"/>
      <c r="AM4362" s="404"/>
      <c r="AN4362" s="404"/>
      <c r="AO4362" s="404"/>
      <c r="AP4362" s="404"/>
      <c r="AQ4362" s="404"/>
      <c r="AR4362" s="404"/>
      <c r="AS4362" s="404"/>
      <c r="AT4362" s="404"/>
      <c r="AU4362" s="404"/>
      <c r="AV4362" s="404"/>
      <c r="AW4362" s="404"/>
      <c r="AX4362" s="404"/>
      <c r="AY4362" s="404"/>
      <c r="AZ4362" s="404"/>
      <c r="BA4362" s="404"/>
      <c r="BB4362" s="404"/>
      <c r="BC4362" s="404"/>
      <c r="BD4362" s="404"/>
      <c r="BE4362" s="404"/>
      <c r="BF4362" s="404"/>
      <c r="BG4362" s="404"/>
      <c r="BH4362" s="404"/>
      <c r="BI4362" s="404"/>
      <c r="BJ4362" s="404"/>
      <c r="BK4362" s="404"/>
      <c r="BL4362" s="404"/>
    </row>
    <row r="4363" spans="1:64" ht="25">
      <c r="A4363" s="426"/>
      <c r="B4363" s="426"/>
      <c r="C4363" s="417" t="s">
        <v>1514</v>
      </c>
      <c r="D4363" s="409">
        <v>0.32</v>
      </c>
      <c r="E4363" s="426" t="s">
        <v>830</v>
      </c>
      <c r="F4363" s="432">
        <f>'[161]Civil-SOR'!$G$194</f>
        <v>146</v>
      </c>
      <c r="G4363" s="410">
        <v>1</v>
      </c>
      <c r="H4363" s="426" t="s">
        <v>678</v>
      </c>
      <c r="I4363" s="408">
        <f t="shared" ref="I4363:I4364" si="960">IF(G4363="",D4363*F4363,(D4363*F4363/G4363))</f>
        <v>46.72</v>
      </c>
      <c r="J4363" s="400"/>
      <c r="K4363" s="401"/>
      <c r="L4363" s="401"/>
      <c r="M4363" s="404"/>
      <c r="N4363" s="404"/>
      <c r="O4363" s="404"/>
      <c r="P4363" s="404"/>
      <c r="Q4363" s="404"/>
      <c r="R4363" s="404"/>
      <c r="S4363" s="404"/>
      <c r="T4363" s="404"/>
      <c r="U4363" s="404"/>
      <c r="V4363" s="404"/>
      <c r="W4363" s="404"/>
      <c r="X4363" s="404"/>
      <c r="Y4363" s="404"/>
      <c r="Z4363" s="404"/>
      <c r="AA4363" s="404"/>
      <c r="AB4363" s="404"/>
      <c r="AC4363" s="404"/>
      <c r="AD4363" s="404"/>
      <c r="AE4363" s="404"/>
      <c r="AF4363" s="404"/>
      <c r="AG4363" s="404"/>
      <c r="AH4363" s="404"/>
      <c r="AI4363" s="404"/>
      <c r="AJ4363" s="404"/>
      <c r="AK4363" s="404"/>
      <c r="AL4363" s="404"/>
      <c r="AM4363" s="404"/>
      <c r="AN4363" s="404"/>
      <c r="AO4363" s="404"/>
      <c r="AP4363" s="404"/>
      <c r="AQ4363" s="404"/>
      <c r="AR4363" s="404"/>
      <c r="AS4363" s="404"/>
      <c r="AT4363" s="404"/>
      <c r="AU4363" s="404"/>
      <c r="AV4363" s="404"/>
      <c r="AW4363" s="404"/>
      <c r="AX4363" s="404"/>
      <c r="AY4363" s="404"/>
      <c r="AZ4363" s="404"/>
      <c r="BA4363" s="404"/>
      <c r="BB4363" s="404"/>
      <c r="BC4363" s="404"/>
      <c r="BD4363" s="404"/>
      <c r="BE4363" s="404"/>
      <c r="BF4363" s="404"/>
      <c r="BG4363" s="404"/>
      <c r="BH4363" s="404"/>
      <c r="BI4363" s="404"/>
      <c r="BJ4363" s="404"/>
      <c r="BK4363" s="404"/>
      <c r="BL4363" s="404"/>
    </row>
    <row r="4364" spans="1:64" ht="25">
      <c r="A4364" s="426"/>
      <c r="B4364" s="426"/>
      <c r="C4364" s="417" t="s">
        <v>1504</v>
      </c>
      <c r="D4364" s="409">
        <v>0.32</v>
      </c>
      <c r="E4364" s="426" t="s">
        <v>830</v>
      </c>
      <c r="F4364" s="432">
        <f>'[161]Civil-SOR'!$G$195</f>
        <v>137</v>
      </c>
      <c r="G4364" s="410">
        <v>1</v>
      </c>
      <c r="H4364" s="426" t="s">
        <v>678</v>
      </c>
      <c r="I4364" s="408">
        <f t="shared" si="960"/>
        <v>43.84</v>
      </c>
      <c r="J4364" s="400"/>
      <c r="K4364" s="401"/>
      <c r="L4364" s="401"/>
      <c r="M4364" s="404"/>
      <c r="N4364" s="404"/>
      <c r="O4364" s="404"/>
      <c r="P4364" s="404"/>
      <c r="Q4364" s="404"/>
      <c r="R4364" s="404"/>
      <c r="S4364" s="404"/>
      <c r="T4364" s="404"/>
      <c r="U4364" s="404"/>
      <c r="V4364" s="404"/>
      <c r="W4364" s="404"/>
      <c r="X4364" s="404"/>
      <c r="Y4364" s="404"/>
      <c r="Z4364" s="404"/>
      <c r="AA4364" s="404"/>
      <c r="AB4364" s="404"/>
      <c r="AC4364" s="404"/>
      <c r="AD4364" s="404"/>
      <c r="AE4364" s="404"/>
      <c r="AF4364" s="404"/>
      <c r="AG4364" s="404"/>
      <c r="AH4364" s="404"/>
      <c r="AI4364" s="404"/>
      <c r="AJ4364" s="404"/>
      <c r="AK4364" s="404"/>
      <c r="AL4364" s="404"/>
      <c r="AM4364" s="404"/>
      <c r="AN4364" s="404"/>
      <c r="AO4364" s="404"/>
      <c r="AP4364" s="404"/>
      <c r="AQ4364" s="404"/>
      <c r="AR4364" s="404"/>
      <c r="AS4364" s="404"/>
      <c r="AT4364" s="404"/>
      <c r="AU4364" s="404"/>
      <c r="AV4364" s="404"/>
      <c r="AW4364" s="404"/>
      <c r="AX4364" s="404"/>
      <c r="AY4364" s="404"/>
      <c r="AZ4364" s="404"/>
      <c r="BA4364" s="404"/>
      <c r="BB4364" s="404"/>
      <c r="BC4364" s="404"/>
      <c r="BD4364" s="404"/>
      <c r="BE4364" s="404"/>
      <c r="BF4364" s="404"/>
      <c r="BG4364" s="404"/>
      <c r="BH4364" s="404"/>
      <c r="BI4364" s="404"/>
      <c r="BJ4364" s="404"/>
      <c r="BK4364" s="404"/>
      <c r="BL4364" s="404"/>
    </row>
    <row r="4365" spans="1:64" ht="13">
      <c r="A4365" s="426"/>
      <c r="B4365" s="426"/>
      <c r="C4365" s="417"/>
      <c r="D4365" s="409"/>
      <c r="E4365" s="426"/>
      <c r="F4365" s="409"/>
      <c r="G4365" s="410"/>
      <c r="H4365" s="426"/>
      <c r="I4365" s="414">
        <f>SUM(I4347:I4364)</f>
        <v>1211.5200000000002</v>
      </c>
      <c r="J4365" s="400"/>
      <c r="K4365" s="401"/>
      <c r="L4365" s="401"/>
      <c r="M4365" s="404"/>
      <c r="N4365" s="404"/>
      <c r="O4365" s="404"/>
      <c r="P4365" s="404"/>
      <c r="Q4365" s="404"/>
      <c r="R4365" s="404"/>
      <c r="S4365" s="404"/>
      <c r="T4365" s="404"/>
      <c r="U4365" s="404"/>
      <c r="V4365" s="404"/>
      <c r="W4365" s="404"/>
      <c r="X4365" s="404"/>
      <c r="Y4365" s="404"/>
      <c r="Z4365" s="404"/>
      <c r="AA4365" s="404"/>
      <c r="AB4365" s="404"/>
      <c r="AC4365" s="404"/>
      <c r="AD4365" s="404"/>
      <c r="AE4365" s="404"/>
      <c r="AF4365" s="404"/>
      <c r="AG4365" s="404"/>
      <c r="AH4365" s="404"/>
      <c r="AI4365" s="404"/>
      <c r="AJ4365" s="404"/>
      <c r="AK4365" s="404"/>
      <c r="AL4365" s="404"/>
      <c r="AM4365" s="404"/>
      <c r="AN4365" s="404"/>
      <c r="AO4365" s="404"/>
      <c r="AP4365" s="404"/>
      <c r="AQ4365" s="404"/>
      <c r="AR4365" s="404"/>
      <c r="AS4365" s="404"/>
      <c r="AT4365" s="404"/>
      <c r="AU4365" s="404"/>
      <c r="AV4365" s="404"/>
      <c r="AW4365" s="404"/>
      <c r="AX4365" s="404"/>
      <c r="AY4365" s="404"/>
      <c r="AZ4365" s="404"/>
      <c r="BA4365" s="404"/>
      <c r="BB4365" s="404"/>
      <c r="BC4365" s="404"/>
      <c r="BD4365" s="404"/>
      <c r="BE4365" s="404"/>
      <c r="BF4365" s="404"/>
      <c r="BG4365" s="404"/>
      <c r="BH4365" s="404"/>
      <c r="BI4365" s="404"/>
      <c r="BJ4365" s="404"/>
      <c r="BK4365" s="404"/>
      <c r="BL4365" s="404"/>
    </row>
    <row r="4366" spans="1:64">
      <c r="A4366" s="426"/>
      <c r="B4366" s="426"/>
      <c r="C4366" s="417" t="s">
        <v>1469</v>
      </c>
      <c r="D4366" s="409">
        <v>0.01</v>
      </c>
      <c r="E4366" s="426"/>
      <c r="F4366" s="409">
        <f>I4365</f>
        <v>1211.5200000000002</v>
      </c>
      <c r="G4366" s="410"/>
      <c r="H4366" s="426"/>
      <c r="I4366" s="408">
        <f>IF(G4366="",D4366*F4366,(D4366*F4366/G4366))</f>
        <v>12.115200000000002</v>
      </c>
      <c r="J4366" s="400"/>
      <c r="K4366" s="401"/>
      <c r="L4366" s="401"/>
      <c r="M4366" s="404"/>
      <c r="N4366" s="404"/>
      <c r="O4366" s="404"/>
      <c r="P4366" s="404"/>
      <c r="Q4366" s="404"/>
      <c r="R4366" s="404"/>
      <c r="S4366" s="404"/>
      <c r="T4366" s="404"/>
      <c r="U4366" s="404"/>
      <c r="V4366" s="404"/>
      <c r="W4366" s="404"/>
      <c r="X4366" s="404"/>
      <c r="Y4366" s="404"/>
      <c r="Z4366" s="404"/>
      <c r="AA4366" s="404"/>
      <c r="AB4366" s="404"/>
      <c r="AC4366" s="404"/>
      <c r="AD4366" s="404"/>
      <c r="AE4366" s="404"/>
      <c r="AF4366" s="404"/>
      <c r="AG4366" s="404"/>
      <c r="AH4366" s="404"/>
      <c r="AI4366" s="404"/>
      <c r="AJ4366" s="404"/>
      <c r="AK4366" s="404"/>
      <c r="AL4366" s="404"/>
      <c r="AM4366" s="404"/>
      <c r="AN4366" s="404"/>
      <c r="AO4366" s="404"/>
      <c r="AP4366" s="404"/>
      <c r="AQ4366" s="404"/>
      <c r="AR4366" s="404"/>
      <c r="AS4366" s="404"/>
      <c r="AT4366" s="404"/>
      <c r="AU4366" s="404"/>
      <c r="AV4366" s="404"/>
      <c r="AW4366" s="404"/>
      <c r="AX4366" s="404"/>
      <c r="AY4366" s="404"/>
      <c r="AZ4366" s="404"/>
      <c r="BA4366" s="404"/>
      <c r="BB4366" s="404"/>
      <c r="BC4366" s="404"/>
      <c r="BD4366" s="404"/>
      <c r="BE4366" s="404"/>
      <c r="BF4366" s="404"/>
      <c r="BG4366" s="404"/>
      <c r="BH4366" s="404"/>
      <c r="BI4366" s="404"/>
      <c r="BJ4366" s="404"/>
      <c r="BK4366" s="404"/>
      <c r="BL4366" s="404"/>
    </row>
    <row r="4367" spans="1:64" ht="13">
      <c r="A4367" s="426"/>
      <c r="B4367" s="426"/>
      <c r="C4367" s="427" t="s">
        <v>1470</v>
      </c>
      <c r="D4367" s="409"/>
      <c r="E4367" s="426"/>
      <c r="F4367" s="409"/>
      <c r="G4367" s="410"/>
      <c r="H4367" s="426"/>
      <c r="I4367" s="434">
        <f>SUM(I4365:I4366)</f>
        <v>1223.6352000000002</v>
      </c>
      <c r="J4367" s="400"/>
      <c r="K4367" s="401"/>
      <c r="L4367" s="401"/>
      <c r="M4367" s="404"/>
      <c r="N4367" s="404"/>
      <c r="O4367" s="404"/>
      <c r="P4367" s="404"/>
      <c r="Q4367" s="404"/>
      <c r="R4367" s="404"/>
      <c r="S4367" s="404"/>
      <c r="T4367" s="404"/>
      <c r="U4367" s="404"/>
      <c r="V4367" s="404"/>
      <c r="W4367" s="404"/>
      <c r="X4367" s="404"/>
      <c r="Y4367" s="404"/>
      <c r="Z4367" s="404"/>
      <c r="AA4367" s="404"/>
      <c r="AB4367" s="404"/>
      <c r="AC4367" s="404"/>
      <c r="AD4367" s="404"/>
      <c r="AE4367" s="404"/>
      <c r="AF4367" s="404"/>
      <c r="AG4367" s="404"/>
      <c r="AH4367" s="404"/>
      <c r="AI4367" s="404"/>
      <c r="AJ4367" s="404"/>
      <c r="AK4367" s="404"/>
      <c r="AL4367" s="404"/>
      <c r="AM4367" s="404"/>
      <c r="AN4367" s="404"/>
      <c r="AO4367" s="404"/>
      <c r="AP4367" s="404"/>
      <c r="AQ4367" s="404"/>
      <c r="AR4367" s="404"/>
      <c r="AS4367" s="404"/>
      <c r="AT4367" s="404"/>
      <c r="AU4367" s="404"/>
      <c r="AV4367" s="404"/>
      <c r="AW4367" s="404"/>
      <c r="AX4367" s="404"/>
      <c r="AY4367" s="404"/>
      <c r="AZ4367" s="404"/>
      <c r="BA4367" s="404"/>
      <c r="BB4367" s="404"/>
      <c r="BC4367" s="404"/>
      <c r="BD4367" s="404"/>
      <c r="BE4367" s="404"/>
      <c r="BF4367" s="404"/>
      <c r="BG4367" s="404"/>
      <c r="BH4367" s="404"/>
      <c r="BI4367" s="404"/>
      <c r="BJ4367" s="404"/>
      <c r="BK4367" s="404"/>
      <c r="BL4367" s="404"/>
    </row>
    <row r="4368" spans="1:64" ht="25">
      <c r="A4368" s="426"/>
      <c r="B4368" s="426"/>
      <c r="C4368" s="417" t="str">
        <f>[161]Input!$C$48</f>
        <v>Overheads &amp; Contractors Profit @ 13.615%</v>
      </c>
      <c r="D4368" s="444">
        <f>[161]Input!$D$48</f>
        <v>0.13614999999999999</v>
      </c>
      <c r="E4368" s="426"/>
      <c r="F4368" s="409">
        <f>I4367</f>
        <v>1223.6352000000002</v>
      </c>
      <c r="G4368" s="410"/>
      <c r="H4368" s="426"/>
      <c r="I4368" s="408">
        <f>IF(G4368="",D4368*F4368,(D4368*F4368/G4368))</f>
        <v>166.59793248000003</v>
      </c>
      <c r="J4368" s="400"/>
      <c r="K4368" s="401"/>
      <c r="L4368" s="401"/>
      <c r="M4368" s="404"/>
      <c r="N4368" s="404"/>
      <c r="O4368" s="404"/>
      <c r="P4368" s="404"/>
      <c r="Q4368" s="404"/>
      <c r="R4368" s="404"/>
      <c r="S4368" s="404"/>
      <c r="T4368" s="404"/>
      <c r="U4368" s="404"/>
      <c r="V4368" s="404"/>
      <c r="W4368" s="404"/>
      <c r="X4368" s="404"/>
      <c r="Y4368" s="404"/>
      <c r="Z4368" s="404"/>
      <c r="AA4368" s="404"/>
      <c r="AB4368" s="404"/>
      <c r="AC4368" s="404"/>
      <c r="AD4368" s="404"/>
      <c r="AE4368" s="404"/>
      <c r="AF4368" s="404"/>
      <c r="AG4368" s="404"/>
      <c r="AH4368" s="404"/>
      <c r="AI4368" s="404"/>
      <c r="AJ4368" s="404"/>
      <c r="AK4368" s="404"/>
      <c r="AL4368" s="404"/>
      <c r="AM4368" s="404"/>
      <c r="AN4368" s="404"/>
      <c r="AO4368" s="404"/>
      <c r="AP4368" s="404"/>
      <c r="AQ4368" s="404"/>
      <c r="AR4368" s="404"/>
      <c r="AS4368" s="404"/>
      <c r="AT4368" s="404"/>
      <c r="AU4368" s="404"/>
      <c r="AV4368" s="404"/>
      <c r="AW4368" s="404"/>
      <c r="AX4368" s="404"/>
      <c r="AY4368" s="404"/>
      <c r="AZ4368" s="404"/>
      <c r="BA4368" s="404"/>
      <c r="BB4368" s="404"/>
      <c r="BC4368" s="404"/>
      <c r="BD4368" s="404"/>
      <c r="BE4368" s="404"/>
      <c r="BF4368" s="404"/>
      <c r="BG4368" s="404"/>
      <c r="BH4368" s="404"/>
      <c r="BI4368" s="404"/>
      <c r="BJ4368" s="404"/>
      <c r="BK4368" s="404"/>
      <c r="BL4368" s="404"/>
    </row>
    <row r="4369" spans="1:64" ht="13">
      <c r="A4369" s="426"/>
      <c r="B4369" s="426"/>
      <c r="C4369" s="427" t="s">
        <v>742</v>
      </c>
      <c r="D4369" s="409"/>
      <c r="E4369" s="426"/>
      <c r="F4369" s="409"/>
      <c r="G4369" s="410"/>
      <c r="H4369" s="426"/>
      <c r="I4369" s="409">
        <f>SUM(I4367:I4368)</f>
        <v>1390.2331324800002</v>
      </c>
      <c r="J4369" s="400"/>
      <c r="K4369" s="401"/>
      <c r="L4369" s="401"/>
      <c r="M4369" s="404"/>
      <c r="N4369" s="404"/>
      <c r="O4369" s="404"/>
      <c r="P4369" s="404"/>
      <c r="Q4369" s="404"/>
      <c r="R4369" s="404"/>
      <c r="S4369" s="404"/>
      <c r="T4369" s="404"/>
      <c r="U4369" s="404"/>
      <c r="V4369" s="404"/>
      <c r="W4369" s="404"/>
      <c r="X4369" s="404"/>
      <c r="Y4369" s="404"/>
      <c r="Z4369" s="404"/>
      <c r="AA4369" s="404"/>
      <c r="AB4369" s="404"/>
      <c r="AC4369" s="404"/>
      <c r="AD4369" s="404"/>
      <c r="AE4369" s="404"/>
      <c r="AF4369" s="404"/>
      <c r="AG4369" s="404"/>
      <c r="AH4369" s="404"/>
      <c r="AI4369" s="404"/>
      <c r="AJ4369" s="404"/>
      <c r="AK4369" s="404"/>
      <c r="AL4369" s="404"/>
      <c r="AM4369" s="404"/>
      <c r="AN4369" s="404"/>
      <c r="AO4369" s="404"/>
      <c r="AP4369" s="404"/>
      <c r="AQ4369" s="404"/>
      <c r="AR4369" s="404"/>
      <c r="AS4369" s="404"/>
      <c r="AT4369" s="404"/>
      <c r="AU4369" s="404"/>
      <c r="AV4369" s="404"/>
      <c r="AW4369" s="404"/>
      <c r="AX4369" s="404"/>
      <c r="AY4369" s="404"/>
      <c r="AZ4369" s="404"/>
      <c r="BA4369" s="404"/>
      <c r="BB4369" s="404"/>
      <c r="BC4369" s="404"/>
      <c r="BD4369" s="404"/>
      <c r="BE4369" s="404"/>
      <c r="BF4369" s="404"/>
      <c r="BG4369" s="404"/>
      <c r="BH4369" s="404"/>
      <c r="BI4369" s="404"/>
      <c r="BJ4369" s="404"/>
      <c r="BK4369" s="404"/>
      <c r="BL4369" s="404"/>
    </row>
    <row r="4370" spans="1:64" ht="13">
      <c r="A4370" s="426"/>
      <c r="B4370" s="426"/>
      <c r="C4370" s="417"/>
      <c r="D4370" s="409"/>
      <c r="E4370" s="426"/>
      <c r="F4370" s="409"/>
      <c r="G4370" s="410"/>
      <c r="H4370" s="474" t="s">
        <v>774</v>
      </c>
      <c r="I4370" s="492">
        <f>ROUND(I4369,0)</f>
        <v>1390</v>
      </c>
      <c r="J4370" s="400"/>
      <c r="K4370" s="401"/>
      <c r="L4370" s="401"/>
      <c r="M4370" s="404"/>
      <c r="N4370" s="404"/>
      <c r="O4370" s="404"/>
      <c r="P4370" s="404"/>
      <c r="Q4370" s="404"/>
      <c r="R4370" s="404"/>
      <c r="S4370" s="404"/>
      <c r="T4370" s="404"/>
      <c r="U4370" s="404"/>
      <c r="V4370" s="404"/>
      <c r="W4370" s="404"/>
      <c r="X4370" s="404"/>
      <c r="Y4370" s="404"/>
      <c r="Z4370" s="404"/>
      <c r="AA4370" s="404"/>
      <c r="AB4370" s="404"/>
      <c r="AC4370" s="404"/>
      <c r="AD4370" s="404"/>
      <c r="AE4370" s="404"/>
      <c r="AF4370" s="404"/>
      <c r="AG4370" s="404"/>
      <c r="AH4370" s="404"/>
      <c r="AI4370" s="404"/>
      <c r="AJ4370" s="404"/>
      <c r="AK4370" s="404"/>
      <c r="AL4370" s="404"/>
      <c r="AM4370" s="404"/>
      <c r="AN4370" s="404"/>
      <c r="AO4370" s="404"/>
      <c r="AP4370" s="404"/>
      <c r="AQ4370" s="404"/>
      <c r="AR4370" s="404"/>
      <c r="AS4370" s="404"/>
      <c r="AT4370" s="404"/>
      <c r="AU4370" s="404"/>
      <c r="AV4370" s="404"/>
      <c r="AW4370" s="404"/>
      <c r="AX4370" s="404"/>
      <c r="AY4370" s="404"/>
      <c r="AZ4370" s="404"/>
      <c r="BA4370" s="404"/>
      <c r="BB4370" s="404"/>
      <c r="BC4370" s="404"/>
      <c r="BD4370" s="404"/>
      <c r="BE4370" s="404"/>
      <c r="BF4370" s="404"/>
      <c r="BG4370" s="404"/>
      <c r="BH4370" s="404"/>
      <c r="BI4370" s="404"/>
      <c r="BJ4370" s="404"/>
      <c r="BK4370" s="404"/>
      <c r="BL4370" s="404"/>
    </row>
    <row r="4371" spans="1:64">
      <c r="A4371" s="426"/>
      <c r="B4371" s="426"/>
      <c r="C4371" s="417"/>
      <c r="D4371" s="409"/>
      <c r="E4371" s="426"/>
      <c r="F4371" s="409"/>
      <c r="G4371" s="410"/>
      <c r="H4371" s="676"/>
      <c r="I4371" s="408"/>
      <c r="J4371" s="400"/>
      <c r="K4371" s="401"/>
      <c r="L4371" s="401"/>
      <c r="M4371" s="404"/>
      <c r="N4371" s="404"/>
      <c r="O4371" s="404"/>
      <c r="P4371" s="404"/>
      <c r="Q4371" s="404"/>
      <c r="R4371" s="404"/>
      <c r="S4371" s="404"/>
      <c r="T4371" s="404"/>
      <c r="U4371" s="404"/>
      <c r="V4371" s="404"/>
      <c r="W4371" s="404"/>
      <c r="X4371" s="404"/>
      <c r="Y4371" s="404"/>
      <c r="Z4371" s="404"/>
      <c r="AA4371" s="404"/>
      <c r="AB4371" s="404"/>
      <c r="AC4371" s="404"/>
      <c r="AD4371" s="404"/>
      <c r="AE4371" s="404"/>
      <c r="AF4371" s="404"/>
      <c r="AG4371" s="404"/>
      <c r="AH4371" s="404"/>
      <c r="AI4371" s="404"/>
      <c r="AJ4371" s="404"/>
      <c r="AK4371" s="404"/>
      <c r="AL4371" s="404"/>
      <c r="AM4371" s="404"/>
      <c r="AN4371" s="404"/>
      <c r="AO4371" s="404"/>
      <c r="AP4371" s="404"/>
      <c r="AQ4371" s="404"/>
      <c r="AR4371" s="404"/>
      <c r="AS4371" s="404"/>
      <c r="AT4371" s="404"/>
      <c r="AU4371" s="404"/>
      <c r="AV4371" s="404"/>
      <c r="AW4371" s="404"/>
      <c r="AX4371" s="404"/>
      <c r="AY4371" s="404"/>
      <c r="AZ4371" s="404"/>
      <c r="BA4371" s="404"/>
      <c r="BB4371" s="404"/>
      <c r="BC4371" s="404"/>
      <c r="BD4371" s="404"/>
      <c r="BE4371" s="404"/>
      <c r="BF4371" s="404"/>
      <c r="BG4371" s="404"/>
      <c r="BH4371" s="404"/>
      <c r="BI4371" s="404"/>
      <c r="BJ4371" s="404"/>
      <c r="BK4371" s="404"/>
      <c r="BL4371" s="404"/>
    </row>
    <row r="4372" spans="1:64" ht="100.75" customHeight="1">
      <c r="A4372" s="1280">
        <f>A4311+1</f>
        <v>28</v>
      </c>
      <c r="B4372" s="1280"/>
      <c r="C4372" s="1276" t="s">
        <v>1515</v>
      </c>
      <c r="D4372" s="1276"/>
      <c r="E4372" s="1276"/>
      <c r="F4372" s="1276"/>
      <c r="G4372" s="1276"/>
      <c r="H4372" s="1276"/>
      <c r="I4372" s="407"/>
      <c r="J4372" s="400"/>
      <c r="K4372" s="401"/>
      <c r="L4372" s="401"/>
      <c r="M4372" s="404"/>
      <c r="N4372" s="404"/>
      <c r="O4372" s="404"/>
      <c r="P4372" s="404"/>
      <c r="Q4372" s="404"/>
      <c r="R4372" s="404"/>
      <c r="S4372" s="404"/>
      <c r="T4372" s="404"/>
      <c r="U4372" s="404"/>
      <c r="V4372" s="404"/>
      <c r="W4372" s="404"/>
      <c r="X4372" s="404"/>
      <c r="Y4372" s="404"/>
      <c r="Z4372" s="404"/>
      <c r="AA4372" s="404"/>
      <c r="AB4372" s="404"/>
      <c r="AC4372" s="404"/>
      <c r="AD4372" s="404"/>
      <c r="AE4372" s="404"/>
      <c r="AF4372" s="404"/>
      <c r="AG4372" s="404"/>
      <c r="AH4372" s="404"/>
      <c r="AI4372" s="404"/>
      <c r="AJ4372" s="404"/>
      <c r="AK4372" s="404"/>
      <c r="AL4372" s="404"/>
      <c r="AM4372" s="404"/>
      <c r="AN4372" s="404"/>
      <c r="AO4372" s="404"/>
      <c r="AP4372" s="404"/>
      <c r="AQ4372" s="404"/>
      <c r="AR4372" s="404"/>
      <c r="AS4372" s="404"/>
      <c r="AT4372" s="404"/>
      <c r="AU4372" s="404"/>
      <c r="AV4372" s="404"/>
      <c r="AW4372" s="404"/>
      <c r="AX4372" s="404"/>
      <c r="AY4372" s="404"/>
      <c r="AZ4372" s="404"/>
      <c r="BA4372" s="404"/>
      <c r="BB4372" s="404"/>
      <c r="BC4372" s="404"/>
      <c r="BD4372" s="404"/>
      <c r="BE4372" s="404"/>
      <c r="BF4372" s="404"/>
      <c r="BG4372" s="404"/>
      <c r="BH4372" s="404"/>
      <c r="BI4372" s="404"/>
      <c r="BJ4372" s="404"/>
      <c r="BK4372" s="404"/>
      <c r="BL4372" s="404"/>
    </row>
    <row r="4373" spans="1:64" ht="13">
      <c r="A4373" s="426"/>
      <c r="B4373" s="426"/>
      <c r="C4373" s="455" t="s">
        <v>1516</v>
      </c>
      <c r="D4373" s="409"/>
      <c r="E4373" s="426"/>
      <c r="F4373" s="409"/>
      <c r="G4373" s="410"/>
      <c r="H4373" s="426"/>
      <c r="I4373" s="409"/>
      <c r="J4373" s="400"/>
      <c r="K4373" s="401"/>
      <c r="L4373" s="401"/>
      <c r="M4373" s="404"/>
      <c r="N4373" s="404"/>
      <c r="O4373" s="404"/>
      <c r="P4373" s="404"/>
      <c r="Q4373" s="404"/>
      <c r="R4373" s="404"/>
      <c r="S4373" s="404"/>
      <c r="T4373" s="404"/>
      <c r="U4373" s="404"/>
      <c r="V4373" s="404"/>
      <c r="W4373" s="404"/>
      <c r="X4373" s="404"/>
      <c r="Y4373" s="404"/>
      <c r="Z4373" s="404"/>
      <c r="AA4373" s="404"/>
      <c r="AB4373" s="404"/>
      <c r="AC4373" s="404"/>
      <c r="AD4373" s="404"/>
      <c r="AE4373" s="404"/>
      <c r="AF4373" s="404"/>
      <c r="AG4373" s="404"/>
      <c r="AH4373" s="404"/>
      <c r="AI4373" s="404"/>
      <c r="AJ4373" s="404"/>
      <c r="AK4373" s="404"/>
      <c r="AL4373" s="404"/>
      <c r="AM4373" s="404"/>
      <c r="AN4373" s="404"/>
      <c r="AO4373" s="404"/>
      <c r="AP4373" s="404"/>
      <c r="AQ4373" s="404"/>
      <c r="AR4373" s="404"/>
      <c r="AS4373" s="404"/>
      <c r="AT4373" s="404"/>
      <c r="AU4373" s="404"/>
      <c r="AV4373" s="404"/>
      <c r="AW4373" s="404"/>
      <c r="AX4373" s="404"/>
      <c r="AY4373" s="404"/>
      <c r="AZ4373" s="404"/>
      <c r="BA4373" s="404"/>
      <c r="BB4373" s="404"/>
      <c r="BC4373" s="404"/>
      <c r="BD4373" s="404"/>
      <c r="BE4373" s="404"/>
      <c r="BF4373" s="404"/>
      <c r="BG4373" s="404"/>
      <c r="BH4373" s="404"/>
      <c r="BI4373" s="404"/>
      <c r="BJ4373" s="404"/>
      <c r="BK4373" s="404"/>
      <c r="BL4373" s="404"/>
    </row>
    <row r="4374" spans="1:64">
      <c r="A4374" s="426"/>
      <c r="B4374" s="426"/>
      <c r="C4374" s="417" t="s">
        <v>1452</v>
      </c>
      <c r="D4374" s="409"/>
      <c r="E4374" s="426"/>
      <c r="F4374" s="409"/>
      <c r="G4374" s="410"/>
      <c r="H4374" s="426"/>
      <c r="I4374" s="409"/>
      <c r="J4374" s="400"/>
      <c r="K4374" s="401"/>
      <c r="L4374" s="401"/>
      <c r="M4374" s="404"/>
      <c r="N4374" s="404"/>
      <c r="O4374" s="404"/>
      <c r="P4374" s="404"/>
      <c r="Q4374" s="404"/>
      <c r="R4374" s="404"/>
      <c r="S4374" s="404"/>
      <c r="T4374" s="404"/>
      <c r="U4374" s="404"/>
      <c r="V4374" s="404"/>
      <c r="W4374" s="404"/>
      <c r="X4374" s="404"/>
      <c r="Y4374" s="404"/>
      <c r="Z4374" s="404"/>
      <c r="AA4374" s="404"/>
      <c r="AB4374" s="404"/>
      <c r="AC4374" s="404"/>
      <c r="AD4374" s="404"/>
      <c r="AE4374" s="404"/>
      <c r="AF4374" s="404"/>
      <c r="AG4374" s="404"/>
      <c r="AH4374" s="404"/>
      <c r="AI4374" s="404"/>
      <c r="AJ4374" s="404"/>
      <c r="AK4374" s="404"/>
      <c r="AL4374" s="404"/>
      <c r="AM4374" s="404"/>
      <c r="AN4374" s="404"/>
      <c r="AO4374" s="404"/>
      <c r="AP4374" s="404"/>
      <c r="AQ4374" s="404"/>
      <c r="AR4374" s="404"/>
      <c r="AS4374" s="404"/>
      <c r="AT4374" s="404"/>
      <c r="AU4374" s="404"/>
      <c r="AV4374" s="404"/>
      <c r="AW4374" s="404"/>
      <c r="AX4374" s="404"/>
      <c r="AY4374" s="404"/>
      <c r="AZ4374" s="404"/>
      <c r="BA4374" s="404"/>
      <c r="BB4374" s="404"/>
      <c r="BC4374" s="404"/>
      <c r="BD4374" s="404"/>
      <c r="BE4374" s="404"/>
      <c r="BF4374" s="404"/>
      <c r="BG4374" s="404"/>
      <c r="BH4374" s="404"/>
      <c r="BI4374" s="404"/>
      <c r="BJ4374" s="404"/>
      <c r="BK4374" s="404"/>
      <c r="BL4374" s="404"/>
    </row>
    <row r="4375" spans="1:64" ht="13">
      <c r="A4375" s="426"/>
      <c r="B4375" s="426"/>
      <c r="C4375" s="427" t="s">
        <v>1215</v>
      </c>
      <c r="D4375" s="409"/>
      <c r="E4375" s="426"/>
      <c r="F4375" s="409"/>
      <c r="G4375" s="410"/>
      <c r="H4375" s="426"/>
      <c r="I4375" s="409"/>
      <c r="J4375" s="400"/>
      <c r="K4375" s="401"/>
      <c r="L4375" s="401"/>
      <c r="M4375" s="404"/>
      <c r="N4375" s="404"/>
      <c r="O4375" s="404"/>
      <c r="P4375" s="404"/>
      <c r="Q4375" s="404"/>
      <c r="R4375" s="404"/>
      <c r="S4375" s="404"/>
      <c r="T4375" s="404"/>
      <c r="U4375" s="404"/>
      <c r="V4375" s="404"/>
      <c r="W4375" s="404"/>
      <c r="X4375" s="404"/>
      <c r="Y4375" s="404"/>
      <c r="Z4375" s="404"/>
      <c r="AA4375" s="404"/>
      <c r="AB4375" s="404"/>
      <c r="AC4375" s="404"/>
      <c r="AD4375" s="404"/>
      <c r="AE4375" s="404"/>
      <c r="AF4375" s="404"/>
      <c r="AG4375" s="404"/>
      <c r="AH4375" s="404"/>
      <c r="AI4375" s="404"/>
      <c r="AJ4375" s="404"/>
      <c r="AK4375" s="404"/>
      <c r="AL4375" s="404"/>
      <c r="AM4375" s="404"/>
      <c r="AN4375" s="404"/>
      <c r="AO4375" s="404"/>
      <c r="AP4375" s="404"/>
      <c r="AQ4375" s="404"/>
      <c r="AR4375" s="404"/>
      <c r="AS4375" s="404"/>
      <c r="AT4375" s="404"/>
      <c r="AU4375" s="404"/>
      <c r="AV4375" s="404"/>
      <c r="AW4375" s="404"/>
      <c r="AX4375" s="404"/>
      <c r="AY4375" s="404"/>
      <c r="AZ4375" s="404"/>
      <c r="BA4375" s="404"/>
      <c r="BB4375" s="404"/>
      <c r="BC4375" s="404"/>
      <c r="BD4375" s="404"/>
      <c r="BE4375" s="404"/>
      <c r="BF4375" s="404"/>
      <c r="BG4375" s="404"/>
      <c r="BH4375" s="404"/>
      <c r="BI4375" s="404"/>
      <c r="BJ4375" s="404"/>
      <c r="BK4375" s="404"/>
      <c r="BL4375" s="404"/>
    </row>
    <row r="4376" spans="1:64">
      <c r="A4376" s="406"/>
      <c r="B4376" s="406"/>
      <c r="C4376" s="417" t="s">
        <v>1517</v>
      </c>
      <c r="D4376" s="432">
        <v>1</v>
      </c>
      <c r="E4376" s="406" t="s">
        <v>17</v>
      </c>
      <c r="F4376" s="432">
        <f>'[161]Civil-SOR'!$G$86</f>
        <v>28</v>
      </c>
      <c r="G4376" s="431">
        <v>1</v>
      </c>
      <c r="H4376" s="406" t="s">
        <v>17</v>
      </c>
      <c r="I4376" s="459">
        <f t="shared" ref="I4376:I4380" si="961">IF(G4376="",D4376*F4376,(D4376*F4376/G4376))</f>
        <v>28</v>
      </c>
      <c r="J4376" s="462"/>
      <c r="K4376" s="463"/>
      <c r="L4376" s="463"/>
      <c r="M4376" s="464"/>
      <c r="N4376" s="464"/>
      <c r="O4376" s="464"/>
      <c r="P4376" s="464"/>
      <c r="Q4376" s="464"/>
      <c r="R4376" s="464"/>
      <c r="S4376" s="464"/>
      <c r="T4376" s="464"/>
      <c r="U4376" s="464"/>
      <c r="V4376" s="464"/>
      <c r="W4376" s="464"/>
      <c r="X4376" s="464"/>
      <c r="Y4376" s="464"/>
      <c r="Z4376" s="464"/>
      <c r="AA4376" s="464"/>
      <c r="AB4376" s="464"/>
      <c r="AC4376" s="464"/>
      <c r="AD4376" s="464"/>
      <c r="AE4376" s="464"/>
      <c r="AF4376" s="464"/>
      <c r="AG4376" s="464"/>
      <c r="AH4376" s="464"/>
      <c r="AI4376" s="464"/>
      <c r="AJ4376" s="464"/>
      <c r="AK4376" s="464"/>
      <c r="AL4376" s="464"/>
      <c r="AM4376" s="464"/>
      <c r="AN4376" s="464"/>
      <c r="AO4376" s="464"/>
      <c r="AP4376" s="464"/>
      <c r="AQ4376" s="464"/>
      <c r="AR4376" s="464"/>
      <c r="AS4376" s="464"/>
      <c r="AT4376" s="464"/>
      <c r="AU4376" s="464"/>
      <c r="AV4376" s="464"/>
      <c r="AW4376" s="464"/>
      <c r="AX4376" s="464"/>
      <c r="AY4376" s="464"/>
      <c r="AZ4376" s="464"/>
      <c r="BA4376" s="464"/>
      <c r="BB4376" s="464"/>
      <c r="BC4376" s="464"/>
      <c r="BD4376" s="464"/>
      <c r="BE4376" s="464"/>
      <c r="BF4376" s="464"/>
      <c r="BG4376" s="464"/>
      <c r="BH4376" s="464"/>
      <c r="BI4376" s="464"/>
      <c r="BJ4376" s="464"/>
      <c r="BK4376" s="464"/>
      <c r="BL4376" s="464"/>
    </row>
    <row r="4377" spans="1:64" ht="25">
      <c r="A4377" s="406"/>
      <c r="B4377" s="406"/>
      <c r="C4377" s="417" t="s">
        <v>1518</v>
      </c>
      <c r="D4377" s="432">
        <v>0.4</v>
      </c>
      <c r="E4377" s="406" t="s">
        <v>1052</v>
      </c>
      <c r="F4377" s="432">
        <f>'[161]Civil-SOR'!$G$97</f>
        <v>29</v>
      </c>
      <c r="G4377" s="431">
        <v>1</v>
      </c>
      <c r="H4377" s="406" t="s">
        <v>1052</v>
      </c>
      <c r="I4377" s="459">
        <f t="shared" si="961"/>
        <v>11.600000000000001</v>
      </c>
      <c r="J4377" s="462"/>
      <c r="K4377" s="463"/>
      <c r="L4377" s="463"/>
      <c r="M4377" s="464"/>
      <c r="N4377" s="464"/>
      <c r="O4377" s="464"/>
      <c r="P4377" s="464"/>
      <c r="Q4377" s="464"/>
      <c r="R4377" s="464"/>
      <c r="S4377" s="464"/>
      <c r="T4377" s="464"/>
      <c r="U4377" s="464"/>
      <c r="V4377" s="464"/>
      <c r="W4377" s="464"/>
      <c r="X4377" s="464"/>
      <c r="Y4377" s="464"/>
      <c r="Z4377" s="464"/>
      <c r="AA4377" s="464"/>
      <c r="AB4377" s="464"/>
      <c r="AC4377" s="464"/>
      <c r="AD4377" s="464"/>
      <c r="AE4377" s="464"/>
      <c r="AF4377" s="464"/>
      <c r="AG4377" s="464"/>
      <c r="AH4377" s="464"/>
      <c r="AI4377" s="464"/>
      <c r="AJ4377" s="464"/>
      <c r="AK4377" s="464"/>
      <c r="AL4377" s="464"/>
      <c r="AM4377" s="464"/>
      <c r="AN4377" s="464"/>
      <c r="AO4377" s="464"/>
      <c r="AP4377" s="464"/>
      <c r="AQ4377" s="464"/>
      <c r="AR4377" s="464"/>
      <c r="AS4377" s="464"/>
      <c r="AT4377" s="464"/>
      <c r="AU4377" s="464"/>
      <c r="AV4377" s="464"/>
      <c r="AW4377" s="464"/>
      <c r="AX4377" s="464"/>
      <c r="AY4377" s="464"/>
      <c r="AZ4377" s="464"/>
      <c r="BA4377" s="464"/>
      <c r="BB4377" s="464"/>
      <c r="BC4377" s="464"/>
      <c r="BD4377" s="464"/>
      <c r="BE4377" s="464"/>
      <c r="BF4377" s="464"/>
      <c r="BG4377" s="464"/>
      <c r="BH4377" s="464"/>
      <c r="BI4377" s="464"/>
      <c r="BJ4377" s="464"/>
      <c r="BK4377" s="464"/>
      <c r="BL4377" s="464"/>
    </row>
    <row r="4378" spans="1:64" ht="25">
      <c r="A4378" s="406"/>
      <c r="B4378" s="406"/>
      <c r="C4378" s="417" t="s">
        <v>1519</v>
      </c>
      <c r="D4378" s="432">
        <v>3.2</v>
      </c>
      <c r="E4378" s="406" t="s">
        <v>1052</v>
      </c>
      <c r="F4378" s="432">
        <f>'[161]Civil-SOR'!$G$98</f>
        <v>36</v>
      </c>
      <c r="G4378" s="431">
        <v>1</v>
      </c>
      <c r="H4378" s="406" t="s">
        <v>1052</v>
      </c>
      <c r="I4378" s="459">
        <f t="shared" si="961"/>
        <v>115.2</v>
      </c>
      <c r="J4378" s="462"/>
      <c r="K4378" s="463"/>
      <c r="L4378" s="463"/>
      <c r="M4378" s="464"/>
      <c r="N4378" s="464"/>
      <c r="O4378" s="464"/>
      <c r="P4378" s="464"/>
      <c r="Q4378" s="464"/>
      <c r="R4378" s="464"/>
      <c r="S4378" s="464"/>
      <c r="T4378" s="464"/>
      <c r="U4378" s="464"/>
      <c r="V4378" s="464"/>
      <c r="W4378" s="464"/>
      <c r="X4378" s="464"/>
      <c r="Y4378" s="464"/>
      <c r="Z4378" s="464"/>
      <c r="AA4378" s="464"/>
      <c r="AB4378" s="464"/>
      <c r="AC4378" s="464"/>
      <c r="AD4378" s="464"/>
      <c r="AE4378" s="464"/>
      <c r="AF4378" s="464"/>
      <c r="AG4378" s="464"/>
      <c r="AH4378" s="464"/>
      <c r="AI4378" s="464"/>
      <c r="AJ4378" s="464"/>
      <c r="AK4378" s="464"/>
      <c r="AL4378" s="464"/>
      <c r="AM4378" s="464"/>
      <c r="AN4378" s="464"/>
      <c r="AO4378" s="464"/>
      <c r="AP4378" s="464"/>
      <c r="AQ4378" s="464"/>
      <c r="AR4378" s="464"/>
      <c r="AS4378" s="464"/>
      <c r="AT4378" s="464"/>
      <c r="AU4378" s="464"/>
      <c r="AV4378" s="464"/>
      <c r="AW4378" s="464"/>
      <c r="AX4378" s="464"/>
      <c r="AY4378" s="464"/>
      <c r="AZ4378" s="464"/>
      <c r="BA4378" s="464"/>
      <c r="BB4378" s="464"/>
      <c r="BC4378" s="464"/>
      <c r="BD4378" s="464"/>
      <c r="BE4378" s="464"/>
      <c r="BF4378" s="464"/>
      <c r="BG4378" s="464"/>
      <c r="BH4378" s="464"/>
      <c r="BI4378" s="464"/>
      <c r="BJ4378" s="464"/>
      <c r="BK4378" s="464"/>
      <c r="BL4378" s="464"/>
    </row>
    <row r="4379" spans="1:64" ht="25">
      <c r="A4379" s="406"/>
      <c r="B4379" s="406"/>
      <c r="C4379" s="417" t="s">
        <v>1520</v>
      </c>
      <c r="D4379" s="432">
        <v>1.28</v>
      </c>
      <c r="E4379" s="406" t="s">
        <v>375</v>
      </c>
      <c r="F4379" s="432">
        <f>'[161]Civil-SOR'!$G$109</f>
        <v>12</v>
      </c>
      <c r="G4379" s="431">
        <v>1</v>
      </c>
      <c r="H4379" s="406" t="s">
        <v>678</v>
      </c>
      <c r="I4379" s="459">
        <f t="shared" si="961"/>
        <v>15.36</v>
      </c>
      <c r="J4379" s="462"/>
      <c r="K4379" s="463"/>
      <c r="L4379" s="463"/>
      <c r="M4379" s="464"/>
      <c r="N4379" s="464"/>
      <c r="O4379" s="464"/>
      <c r="P4379" s="464"/>
      <c r="Q4379" s="464"/>
      <c r="R4379" s="464"/>
      <c r="S4379" s="464"/>
      <c r="T4379" s="464"/>
      <c r="U4379" s="464"/>
      <c r="V4379" s="464"/>
      <c r="W4379" s="464"/>
      <c r="X4379" s="464"/>
      <c r="Y4379" s="464"/>
      <c r="Z4379" s="464"/>
      <c r="AA4379" s="464"/>
      <c r="AB4379" s="464"/>
      <c r="AC4379" s="464"/>
      <c r="AD4379" s="464"/>
      <c r="AE4379" s="464"/>
      <c r="AF4379" s="464"/>
      <c r="AG4379" s="464"/>
      <c r="AH4379" s="464"/>
      <c r="AI4379" s="464"/>
      <c r="AJ4379" s="464"/>
      <c r="AK4379" s="464"/>
      <c r="AL4379" s="464"/>
      <c r="AM4379" s="464"/>
      <c r="AN4379" s="464"/>
      <c r="AO4379" s="464"/>
      <c r="AP4379" s="464"/>
      <c r="AQ4379" s="464"/>
      <c r="AR4379" s="464"/>
      <c r="AS4379" s="464"/>
      <c r="AT4379" s="464"/>
      <c r="AU4379" s="464"/>
      <c r="AV4379" s="464"/>
      <c r="AW4379" s="464"/>
      <c r="AX4379" s="464"/>
      <c r="AY4379" s="464"/>
      <c r="AZ4379" s="464"/>
      <c r="BA4379" s="464"/>
      <c r="BB4379" s="464"/>
      <c r="BC4379" s="464"/>
      <c r="BD4379" s="464"/>
      <c r="BE4379" s="464"/>
      <c r="BF4379" s="464"/>
      <c r="BG4379" s="464"/>
      <c r="BH4379" s="464"/>
      <c r="BI4379" s="464"/>
      <c r="BJ4379" s="464"/>
      <c r="BK4379" s="464"/>
      <c r="BL4379" s="464"/>
    </row>
    <row r="4380" spans="1:64">
      <c r="A4380" s="406"/>
      <c r="B4380" s="406"/>
      <c r="C4380" s="417" t="s">
        <v>1521</v>
      </c>
      <c r="D4380" s="432">
        <v>1.28</v>
      </c>
      <c r="E4380" s="406" t="s">
        <v>375</v>
      </c>
      <c r="F4380" s="432">
        <f>'[161]Civil-SOR'!$G$100</f>
        <v>5</v>
      </c>
      <c r="G4380" s="431">
        <v>1</v>
      </c>
      <c r="H4380" s="406" t="s">
        <v>678</v>
      </c>
      <c r="I4380" s="459">
        <f t="shared" si="961"/>
        <v>6.4</v>
      </c>
      <c r="J4380" s="462"/>
      <c r="K4380" s="463"/>
      <c r="L4380" s="463"/>
      <c r="M4380" s="464"/>
      <c r="N4380" s="464"/>
      <c r="O4380" s="464"/>
      <c r="P4380" s="464"/>
      <c r="Q4380" s="464"/>
      <c r="R4380" s="464"/>
      <c r="S4380" s="464"/>
      <c r="T4380" s="464"/>
      <c r="U4380" s="464"/>
      <c r="V4380" s="464"/>
      <c r="W4380" s="464"/>
      <c r="X4380" s="464"/>
      <c r="Y4380" s="464"/>
      <c r="Z4380" s="464"/>
      <c r="AA4380" s="464"/>
      <c r="AB4380" s="464"/>
      <c r="AC4380" s="464"/>
      <c r="AD4380" s="464"/>
      <c r="AE4380" s="464"/>
      <c r="AF4380" s="464"/>
      <c r="AG4380" s="464"/>
      <c r="AH4380" s="464"/>
      <c r="AI4380" s="464"/>
      <c r="AJ4380" s="464"/>
      <c r="AK4380" s="464"/>
      <c r="AL4380" s="464"/>
      <c r="AM4380" s="464"/>
      <c r="AN4380" s="464"/>
      <c r="AO4380" s="464"/>
      <c r="AP4380" s="464"/>
      <c r="AQ4380" s="464"/>
      <c r="AR4380" s="464"/>
      <c r="AS4380" s="464"/>
      <c r="AT4380" s="464"/>
      <c r="AU4380" s="464"/>
      <c r="AV4380" s="464"/>
      <c r="AW4380" s="464"/>
      <c r="AX4380" s="464"/>
      <c r="AY4380" s="464"/>
      <c r="AZ4380" s="464"/>
      <c r="BA4380" s="464"/>
      <c r="BB4380" s="464"/>
      <c r="BC4380" s="464"/>
      <c r="BD4380" s="464"/>
      <c r="BE4380" s="464"/>
      <c r="BF4380" s="464"/>
      <c r="BG4380" s="464"/>
      <c r="BH4380" s="464"/>
      <c r="BI4380" s="464"/>
      <c r="BJ4380" s="464"/>
      <c r="BK4380" s="464"/>
      <c r="BL4380" s="464"/>
    </row>
    <row r="4381" spans="1:64" ht="13">
      <c r="A4381" s="406"/>
      <c r="B4381" s="406"/>
      <c r="C4381" s="427" t="s">
        <v>1459</v>
      </c>
      <c r="D4381" s="432"/>
      <c r="E4381" s="406"/>
      <c r="F4381" s="432"/>
      <c r="G4381" s="431"/>
      <c r="H4381" s="406"/>
      <c r="I4381" s="432"/>
      <c r="J4381" s="462"/>
      <c r="K4381" s="463"/>
      <c r="L4381" s="463"/>
      <c r="M4381" s="464"/>
      <c r="N4381" s="464"/>
      <c r="O4381" s="464"/>
      <c r="P4381" s="464"/>
      <c r="Q4381" s="464"/>
      <c r="R4381" s="464"/>
      <c r="S4381" s="464"/>
      <c r="T4381" s="464"/>
      <c r="U4381" s="464"/>
      <c r="V4381" s="464"/>
      <c r="W4381" s="464"/>
      <c r="X4381" s="464"/>
      <c r="Y4381" s="464"/>
      <c r="Z4381" s="464"/>
      <c r="AA4381" s="464"/>
      <c r="AB4381" s="464"/>
      <c r="AC4381" s="464"/>
      <c r="AD4381" s="464"/>
      <c r="AE4381" s="464"/>
      <c r="AF4381" s="464"/>
      <c r="AG4381" s="464"/>
      <c r="AH4381" s="464"/>
      <c r="AI4381" s="464"/>
      <c r="AJ4381" s="464"/>
      <c r="AK4381" s="464"/>
      <c r="AL4381" s="464"/>
      <c r="AM4381" s="464"/>
      <c r="AN4381" s="464"/>
      <c r="AO4381" s="464"/>
      <c r="AP4381" s="464"/>
      <c r="AQ4381" s="464"/>
      <c r="AR4381" s="464"/>
      <c r="AS4381" s="464"/>
      <c r="AT4381" s="464"/>
      <c r="AU4381" s="464"/>
      <c r="AV4381" s="464"/>
      <c r="AW4381" s="464"/>
      <c r="AX4381" s="464"/>
      <c r="AY4381" s="464"/>
      <c r="AZ4381" s="464"/>
      <c r="BA4381" s="464"/>
      <c r="BB4381" s="464"/>
      <c r="BC4381" s="464"/>
      <c r="BD4381" s="464"/>
      <c r="BE4381" s="464"/>
      <c r="BF4381" s="464"/>
      <c r="BG4381" s="464"/>
      <c r="BH4381" s="464"/>
      <c r="BI4381" s="464"/>
      <c r="BJ4381" s="464"/>
      <c r="BK4381" s="464"/>
      <c r="BL4381" s="464"/>
    </row>
    <row r="4382" spans="1:64">
      <c r="A4382" s="406"/>
      <c r="B4382" s="406"/>
      <c r="C4382" s="417" t="s">
        <v>1460</v>
      </c>
      <c r="D4382" s="441">
        <v>0.108</v>
      </c>
      <c r="E4382" s="406" t="s">
        <v>375</v>
      </c>
      <c r="F4382" s="432">
        <f>'[161]Civil-SOR'!$G$291</f>
        <v>685</v>
      </c>
      <c r="G4382" s="431">
        <v>1</v>
      </c>
      <c r="H4382" s="406" t="s">
        <v>678</v>
      </c>
      <c r="I4382" s="459">
        <f t="shared" ref="I4382:I4387" si="962">IF(G4382="",D4382*F4382,(D4382*F4382/G4382))</f>
        <v>73.98</v>
      </c>
      <c r="J4382" s="462"/>
      <c r="K4382" s="463"/>
      <c r="L4382" s="463"/>
      <c r="M4382" s="464"/>
      <c r="N4382" s="464"/>
      <c r="O4382" s="464"/>
      <c r="P4382" s="464"/>
      <c r="Q4382" s="464"/>
      <c r="R4382" s="464"/>
      <c r="S4382" s="464"/>
      <c r="T4382" s="464"/>
      <c r="U4382" s="464"/>
      <c r="V4382" s="464"/>
      <c r="W4382" s="464"/>
      <c r="X4382" s="464"/>
      <c r="Y4382" s="464"/>
      <c r="Z4382" s="464"/>
      <c r="AA4382" s="464"/>
      <c r="AB4382" s="464"/>
      <c r="AC4382" s="464"/>
      <c r="AD4382" s="464"/>
      <c r="AE4382" s="464"/>
      <c r="AF4382" s="464"/>
      <c r="AG4382" s="464"/>
      <c r="AH4382" s="464"/>
      <c r="AI4382" s="464"/>
      <c r="AJ4382" s="464"/>
      <c r="AK4382" s="464"/>
      <c r="AL4382" s="464"/>
      <c r="AM4382" s="464"/>
      <c r="AN4382" s="464"/>
      <c r="AO4382" s="464"/>
      <c r="AP4382" s="464"/>
      <c r="AQ4382" s="464"/>
      <c r="AR4382" s="464"/>
      <c r="AS4382" s="464"/>
      <c r="AT4382" s="464"/>
      <c r="AU4382" s="464"/>
      <c r="AV4382" s="464"/>
      <c r="AW4382" s="464"/>
      <c r="AX4382" s="464"/>
      <c r="AY4382" s="464"/>
      <c r="AZ4382" s="464"/>
      <c r="BA4382" s="464"/>
      <c r="BB4382" s="464"/>
      <c r="BC4382" s="464"/>
      <c r="BD4382" s="464"/>
      <c r="BE4382" s="464"/>
      <c r="BF4382" s="464"/>
      <c r="BG4382" s="464"/>
      <c r="BH4382" s="464"/>
      <c r="BI4382" s="464"/>
      <c r="BJ4382" s="464"/>
      <c r="BK4382" s="464"/>
      <c r="BL4382" s="464"/>
    </row>
    <row r="4383" spans="1:64">
      <c r="A4383" s="406"/>
      <c r="B4383" s="406"/>
      <c r="C4383" s="417" t="s">
        <v>1461</v>
      </c>
      <c r="D4383" s="441">
        <v>0.108</v>
      </c>
      <c r="E4383" s="406" t="s">
        <v>375</v>
      </c>
      <c r="F4383" s="432">
        <f>'[161]Civil-SOR'!$G$300</f>
        <v>550</v>
      </c>
      <c r="G4383" s="431">
        <v>1</v>
      </c>
      <c r="H4383" s="406" t="s">
        <v>678</v>
      </c>
      <c r="I4383" s="459">
        <f t="shared" si="962"/>
        <v>59.4</v>
      </c>
      <c r="J4383" s="462"/>
      <c r="K4383" s="463"/>
      <c r="L4383" s="463"/>
      <c r="M4383" s="464"/>
      <c r="N4383" s="464"/>
      <c r="O4383" s="464"/>
      <c r="P4383" s="464"/>
      <c r="Q4383" s="464"/>
      <c r="R4383" s="464"/>
      <c r="S4383" s="464"/>
      <c r="T4383" s="464"/>
      <c r="U4383" s="464"/>
      <c r="V4383" s="464"/>
      <c r="W4383" s="464"/>
      <c r="X4383" s="464"/>
      <c r="Y4383" s="464"/>
      <c r="Z4383" s="464"/>
      <c r="AA4383" s="464"/>
      <c r="AB4383" s="464"/>
      <c r="AC4383" s="464"/>
      <c r="AD4383" s="464"/>
      <c r="AE4383" s="464"/>
      <c r="AF4383" s="464"/>
      <c r="AG4383" s="464"/>
      <c r="AH4383" s="464"/>
      <c r="AI4383" s="464"/>
      <c r="AJ4383" s="464"/>
      <c r="AK4383" s="464"/>
      <c r="AL4383" s="464"/>
      <c r="AM4383" s="464"/>
      <c r="AN4383" s="464"/>
      <c r="AO4383" s="464"/>
      <c r="AP4383" s="464"/>
      <c r="AQ4383" s="464"/>
      <c r="AR4383" s="464"/>
      <c r="AS4383" s="464"/>
      <c r="AT4383" s="464"/>
      <c r="AU4383" s="464"/>
      <c r="AV4383" s="464"/>
      <c r="AW4383" s="464"/>
      <c r="AX4383" s="464"/>
      <c r="AY4383" s="464"/>
      <c r="AZ4383" s="464"/>
      <c r="BA4383" s="464"/>
      <c r="BB4383" s="464"/>
      <c r="BC4383" s="464"/>
      <c r="BD4383" s="464"/>
      <c r="BE4383" s="464"/>
      <c r="BF4383" s="464"/>
      <c r="BG4383" s="464"/>
      <c r="BH4383" s="464"/>
      <c r="BI4383" s="464"/>
      <c r="BJ4383" s="464"/>
      <c r="BK4383" s="464"/>
      <c r="BL4383" s="464"/>
    </row>
    <row r="4384" spans="1:64" ht="25">
      <c r="A4384" s="406"/>
      <c r="B4384" s="406"/>
      <c r="C4384" s="417" t="s">
        <v>1462</v>
      </c>
      <c r="D4384" s="432">
        <v>0.02</v>
      </c>
      <c r="E4384" s="406" t="s">
        <v>375</v>
      </c>
      <c r="F4384" s="432">
        <f>'[161]Civil-SOR'!G302</f>
        <v>550</v>
      </c>
      <c r="G4384" s="431">
        <v>1</v>
      </c>
      <c r="H4384" s="406" t="s">
        <v>678</v>
      </c>
      <c r="I4384" s="459">
        <f t="shared" si="962"/>
        <v>11</v>
      </c>
      <c r="J4384" s="462"/>
      <c r="K4384" s="463"/>
      <c r="L4384" s="463"/>
      <c r="M4384" s="464"/>
      <c r="N4384" s="464"/>
      <c r="O4384" s="464"/>
      <c r="P4384" s="464"/>
      <c r="Q4384" s="464"/>
      <c r="R4384" s="464"/>
      <c r="S4384" s="464"/>
      <c r="T4384" s="464"/>
      <c r="U4384" s="464"/>
      <c r="V4384" s="464"/>
      <c r="W4384" s="464"/>
      <c r="X4384" s="464"/>
      <c r="Y4384" s="464"/>
      <c r="Z4384" s="464"/>
      <c r="AA4384" s="464"/>
      <c r="AB4384" s="464"/>
      <c r="AC4384" s="464"/>
      <c r="AD4384" s="464"/>
      <c r="AE4384" s="464"/>
      <c r="AF4384" s="464"/>
      <c r="AG4384" s="464"/>
      <c r="AH4384" s="464"/>
      <c r="AI4384" s="464"/>
      <c r="AJ4384" s="464"/>
      <c r="AK4384" s="464"/>
      <c r="AL4384" s="464"/>
      <c r="AM4384" s="464"/>
      <c r="AN4384" s="464"/>
      <c r="AO4384" s="464"/>
      <c r="AP4384" s="464"/>
      <c r="AQ4384" s="464"/>
      <c r="AR4384" s="464"/>
      <c r="AS4384" s="464"/>
      <c r="AT4384" s="464"/>
      <c r="AU4384" s="464"/>
      <c r="AV4384" s="464"/>
      <c r="AW4384" s="464"/>
      <c r="AX4384" s="464"/>
      <c r="AY4384" s="464"/>
      <c r="AZ4384" s="464"/>
      <c r="BA4384" s="464"/>
      <c r="BB4384" s="464"/>
      <c r="BC4384" s="464"/>
      <c r="BD4384" s="464"/>
      <c r="BE4384" s="464"/>
      <c r="BF4384" s="464"/>
      <c r="BG4384" s="464"/>
      <c r="BH4384" s="464"/>
      <c r="BI4384" s="464"/>
      <c r="BJ4384" s="464"/>
      <c r="BK4384" s="464"/>
      <c r="BL4384" s="464"/>
    </row>
    <row r="4385" spans="1:64">
      <c r="A4385" s="406"/>
      <c r="B4385" s="406"/>
      <c r="C4385" s="417" t="s">
        <v>1463</v>
      </c>
      <c r="D4385" s="432">
        <v>0.04</v>
      </c>
      <c r="E4385" s="406" t="s">
        <v>375</v>
      </c>
      <c r="F4385" s="432">
        <f>+F4384</f>
        <v>550</v>
      </c>
      <c r="G4385" s="431">
        <v>1</v>
      </c>
      <c r="H4385" s="406" t="s">
        <v>678</v>
      </c>
      <c r="I4385" s="459">
        <f t="shared" si="962"/>
        <v>22</v>
      </c>
      <c r="J4385" s="462"/>
      <c r="K4385" s="463"/>
      <c r="L4385" s="463"/>
      <c r="M4385" s="464"/>
      <c r="N4385" s="464"/>
      <c r="O4385" s="464"/>
      <c r="P4385" s="464"/>
      <c r="Q4385" s="464"/>
      <c r="R4385" s="464"/>
      <c r="S4385" s="464"/>
      <c r="T4385" s="464"/>
      <c r="U4385" s="464"/>
      <c r="V4385" s="464"/>
      <c r="W4385" s="464"/>
      <c r="X4385" s="464"/>
      <c r="Y4385" s="464"/>
      <c r="Z4385" s="464"/>
      <c r="AA4385" s="464"/>
      <c r="AB4385" s="464"/>
      <c r="AC4385" s="464"/>
      <c r="AD4385" s="464"/>
      <c r="AE4385" s="464"/>
      <c r="AF4385" s="464"/>
      <c r="AG4385" s="464"/>
      <c r="AH4385" s="464"/>
      <c r="AI4385" s="464"/>
      <c r="AJ4385" s="464"/>
      <c r="AK4385" s="464"/>
      <c r="AL4385" s="464"/>
      <c r="AM4385" s="464"/>
      <c r="AN4385" s="464"/>
      <c r="AO4385" s="464"/>
      <c r="AP4385" s="464"/>
      <c r="AQ4385" s="464"/>
      <c r="AR4385" s="464"/>
      <c r="AS4385" s="464"/>
      <c r="AT4385" s="464"/>
      <c r="AU4385" s="464"/>
      <c r="AV4385" s="464"/>
      <c r="AW4385" s="464"/>
      <c r="AX4385" s="464"/>
      <c r="AY4385" s="464"/>
      <c r="AZ4385" s="464"/>
      <c r="BA4385" s="464"/>
      <c r="BB4385" s="464"/>
      <c r="BC4385" s="464"/>
      <c r="BD4385" s="464"/>
      <c r="BE4385" s="464"/>
      <c r="BF4385" s="464"/>
      <c r="BG4385" s="464"/>
      <c r="BH4385" s="464"/>
      <c r="BI4385" s="464"/>
      <c r="BJ4385" s="464"/>
      <c r="BK4385" s="464"/>
      <c r="BL4385" s="464"/>
    </row>
    <row r="4386" spans="1:64">
      <c r="A4386" s="406"/>
      <c r="B4386" s="406"/>
      <c r="C4386" s="417" t="s">
        <v>1465</v>
      </c>
      <c r="D4386" s="432">
        <v>0.2</v>
      </c>
      <c r="E4386" s="406" t="s">
        <v>375</v>
      </c>
      <c r="F4386" s="432">
        <f>'[161]Civil-SOR'!$G$307</f>
        <v>520</v>
      </c>
      <c r="G4386" s="431">
        <v>1</v>
      </c>
      <c r="H4386" s="406" t="s">
        <v>678</v>
      </c>
      <c r="I4386" s="459">
        <f t="shared" si="962"/>
        <v>104</v>
      </c>
      <c r="J4386" s="462"/>
      <c r="K4386" s="463"/>
      <c r="L4386" s="463"/>
      <c r="M4386" s="464"/>
      <c r="N4386" s="464"/>
      <c r="O4386" s="464"/>
      <c r="P4386" s="464"/>
      <c r="Q4386" s="464"/>
      <c r="R4386" s="464"/>
      <c r="S4386" s="464"/>
      <c r="T4386" s="464"/>
      <c r="U4386" s="464"/>
      <c r="V4386" s="464"/>
      <c r="W4386" s="464"/>
      <c r="X4386" s="464"/>
      <c r="Y4386" s="464"/>
      <c r="Z4386" s="464"/>
      <c r="AA4386" s="464"/>
      <c r="AB4386" s="464"/>
      <c r="AC4386" s="464"/>
      <c r="AD4386" s="464"/>
      <c r="AE4386" s="464"/>
      <c r="AF4386" s="464"/>
      <c r="AG4386" s="464"/>
      <c r="AH4386" s="464"/>
      <c r="AI4386" s="464"/>
      <c r="AJ4386" s="464"/>
      <c r="AK4386" s="464"/>
      <c r="AL4386" s="464"/>
      <c r="AM4386" s="464"/>
      <c r="AN4386" s="464"/>
      <c r="AO4386" s="464"/>
      <c r="AP4386" s="464"/>
      <c r="AQ4386" s="464"/>
      <c r="AR4386" s="464"/>
      <c r="AS4386" s="464"/>
      <c r="AT4386" s="464"/>
      <c r="AU4386" s="464"/>
      <c r="AV4386" s="464"/>
      <c r="AW4386" s="464"/>
      <c r="AX4386" s="464"/>
      <c r="AY4386" s="464"/>
      <c r="AZ4386" s="464"/>
      <c r="BA4386" s="464"/>
      <c r="BB4386" s="464"/>
      <c r="BC4386" s="464"/>
      <c r="BD4386" s="464"/>
      <c r="BE4386" s="464"/>
      <c r="BF4386" s="464"/>
      <c r="BG4386" s="464"/>
      <c r="BH4386" s="464"/>
      <c r="BI4386" s="464"/>
      <c r="BJ4386" s="464"/>
      <c r="BK4386" s="464"/>
      <c r="BL4386" s="464"/>
    </row>
    <row r="4387" spans="1:64">
      <c r="A4387" s="406"/>
      <c r="B4387" s="406"/>
      <c r="C4387" s="417" t="str">
        <f>[161]Input!$C$47</f>
        <v>Add for MA @ 40%</v>
      </c>
      <c r="D4387" s="432">
        <f>[161]Input!$D$47</f>
        <v>0.4</v>
      </c>
      <c r="E4387" s="406"/>
      <c r="F4387" s="432">
        <f>SUM(I4382:I4386)</f>
        <v>270.38</v>
      </c>
      <c r="G4387" s="431"/>
      <c r="H4387" s="406"/>
      <c r="I4387" s="459">
        <f t="shared" si="962"/>
        <v>108.152</v>
      </c>
      <c r="J4387" s="462"/>
      <c r="K4387" s="463"/>
      <c r="L4387" s="463"/>
      <c r="M4387" s="464"/>
      <c r="N4387" s="464"/>
      <c r="O4387" s="464"/>
      <c r="P4387" s="464"/>
      <c r="Q4387" s="464"/>
      <c r="R4387" s="464"/>
      <c r="S4387" s="464"/>
      <c r="T4387" s="464"/>
      <c r="U4387" s="464"/>
      <c r="V4387" s="464"/>
      <c r="W4387" s="464"/>
      <c r="X4387" s="464"/>
      <c r="Y4387" s="464"/>
      <c r="Z4387" s="464"/>
      <c r="AA4387" s="464"/>
      <c r="AB4387" s="464"/>
      <c r="AC4387" s="464"/>
      <c r="AD4387" s="464"/>
      <c r="AE4387" s="464"/>
      <c r="AF4387" s="464"/>
      <c r="AG4387" s="464"/>
      <c r="AH4387" s="464"/>
      <c r="AI4387" s="464"/>
      <c r="AJ4387" s="464"/>
      <c r="AK4387" s="464"/>
      <c r="AL4387" s="464"/>
      <c r="AM4387" s="464"/>
      <c r="AN4387" s="464"/>
      <c r="AO4387" s="464"/>
      <c r="AP4387" s="464"/>
      <c r="AQ4387" s="464"/>
      <c r="AR4387" s="464"/>
      <c r="AS4387" s="464"/>
      <c r="AT4387" s="464"/>
      <c r="AU4387" s="464"/>
      <c r="AV4387" s="464"/>
      <c r="AW4387" s="464"/>
      <c r="AX4387" s="464"/>
      <c r="AY4387" s="464"/>
      <c r="AZ4387" s="464"/>
      <c r="BA4387" s="464"/>
      <c r="BB4387" s="464"/>
      <c r="BC4387" s="464"/>
      <c r="BD4387" s="464"/>
      <c r="BE4387" s="464"/>
      <c r="BF4387" s="464"/>
      <c r="BG4387" s="464"/>
      <c r="BH4387" s="464"/>
      <c r="BI4387" s="464"/>
      <c r="BJ4387" s="464"/>
      <c r="BK4387" s="464"/>
      <c r="BL4387" s="464"/>
    </row>
    <row r="4388" spans="1:64" ht="13">
      <c r="A4388" s="406"/>
      <c r="B4388" s="406"/>
      <c r="C4388" s="427" t="s">
        <v>1466</v>
      </c>
      <c r="D4388" s="432"/>
      <c r="E4388" s="406"/>
      <c r="F4388" s="432"/>
      <c r="G4388" s="431"/>
      <c r="H4388" s="406"/>
      <c r="I4388" s="432"/>
      <c r="J4388" s="462"/>
      <c r="K4388" s="463"/>
      <c r="L4388" s="463"/>
      <c r="M4388" s="464"/>
      <c r="N4388" s="464"/>
      <c r="O4388" s="464"/>
      <c r="P4388" s="464"/>
      <c r="Q4388" s="464"/>
      <c r="R4388" s="464"/>
      <c r="S4388" s="464"/>
      <c r="T4388" s="464"/>
      <c r="U4388" s="464"/>
      <c r="V4388" s="464"/>
      <c r="W4388" s="464"/>
      <c r="X4388" s="464"/>
      <c r="Y4388" s="464"/>
      <c r="Z4388" s="464"/>
      <c r="AA4388" s="464"/>
      <c r="AB4388" s="464"/>
      <c r="AC4388" s="464"/>
      <c r="AD4388" s="464"/>
      <c r="AE4388" s="464"/>
      <c r="AF4388" s="464"/>
      <c r="AG4388" s="464"/>
      <c r="AH4388" s="464"/>
      <c r="AI4388" s="464"/>
      <c r="AJ4388" s="464"/>
      <c r="AK4388" s="464"/>
      <c r="AL4388" s="464"/>
      <c r="AM4388" s="464"/>
      <c r="AN4388" s="464"/>
      <c r="AO4388" s="464"/>
      <c r="AP4388" s="464"/>
      <c r="AQ4388" s="464"/>
      <c r="AR4388" s="464"/>
      <c r="AS4388" s="464"/>
      <c r="AT4388" s="464"/>
      <c r="AU4388" s="464"/>
      <c r="AV4388" s="464"/>
      <c r="AW4388" s="464"/>
      <c r="AX4388" s="464"/>
      <c r="AY4388" s="464"/>
      <c r="AZ4388" s="464"/>
      <c r="BA4388" s="464"/>
      <c r="BB4388" s="464"/>
      <c r="BC4388" s="464"/>
      <c r="BD4388" s="464"/>
      <c r="BE4388" s="464"/>
      <c r="BF4388" s="464"/>
      <c r="BG4388" s="464"/>
      <c r="BH4388" s="464"/>
      <c r="BI4388" s="464"/>
      <c r="BJ4388" s="464"/>
      <c r="BK4388" s="464"/>
      <c r="BL4388" s="464"/>
    </row>
    <row r="4389" spans="1:64" ht="25">
      <c r="A4389" s="406"/>
      <c r="B4389" s="406"/>
      <c r="C4389" s="417" t="s">
        <v>1514</v>
      </c>
      <c r="D4389" s="432">
        <v>0.16</v>
      </c>
      <c r="E4389" s="406" t="s">
        <v>830</v>
      </c>
      <c r="F4389" s="432">
        <f>'[161]Civil-SOR'!$G$194</f>
        <v>146</v>
      </c>
      <c r="G4389" s="431">
        <v>1</v>
      </c>
      <c r="H4389" s="406" t="s">
        <v>678</v>
      </c>
      <c r="I4389" s="459">
        <f t="shared" ref="I4389:I4390" si="963">IF(G4389="",D4389*F4389,(D4389*F4389/G4389))</f>
        <v>23.36</v>
      </c>
      <c r="J4389" s="462"/>
      <c r="K4389" s="463"/>
      <c r="L4389" s="463"/>
      <c r="M4389" s="464"/>
      <c r="N4389" s="464"/>
      <c r="O4389" s="464"/>
      <c r="P4389" s="464"/>
      <c r="Q4389" s="464"/>
      <c r="R4389" s="464"/>
      <c r="S4389" s="464"/>
      <c r="T4389" s="464"/>
      <c r="U4389" s="464"/>
      <c r="V4389" s="464"/>
      <c r="W4389" s="464"/>
      <c r="X4389" s="464"/>
      <c r="Y4389" s="464"/>
      <c r="Z4389" s="464"/>
      <c r="AA4389" s="464"/>
      <c r="AB4389" s="464"/>
      <c r="AC4389" s="464"/>
      <c r="AD4389" s="464"/>
      <c r="AE4389" s="464"/>
      <c r="AF4389" s="464"/>
      <c r="AG4389" s="464"/>
      <c r="AH4389" s="464"/>
      <c r="AI4389" s="464"/>
      <c r="AJ4389" s="464"/>
      <c r="AK4389" s="464"/>
      <c r="AL4389" s="464"/>
      <c r="AM4389" s="464"/>
      <c r="AN4389" s="464"/>
      <c r="AO4389" s="464"/>
      <c r="AP4389" s="464"/>
      <c r="AQ4389" s="464"/>
      <c r="AR4389" s="464"/>
      <c r="AS4389" s="464"/>
      <c r="AT4389" s="464"/>
      <c r="AU4389" s="464"/>
      <c r="AV4389" s="464"/>
      <c r="AW4389" s="464"/>
      <c r="AX4389" s="464"/>
      <c r="AY4389" s="464"/>
      <c r="AZ4389" s="464"/>
      <c r="BA4389" s="464"/>
      <c r="BB4389" s="464"/>
      <c r="BC4389" s="464"/>
      <c r="BD4389" s="464"/>
      <c r="BE4389" s="464"/>
      <c r="BF4389" s="464"/>
      <c r="BG4389" s="464"/>
      <c r="BH4389" s="464"/>
      <c r="BI4389" s="464"/>
      <c r="BJ4389" s="464"/>
      <c r="BK4389" s="464"/>
      <c r="BL4389" s="464"/>
    </row>
    <row r="4390" spans="1:64" ht="25">
      <c r="A4390" s="406"/>
      <c r="B4390" s="406"/>
      <c r="C4390" s="417" t="s">
        <v>1504</v>
      </c>
      <c r="D4390" s="432">
        <v>0.32</v>
      </c>
      <c r="E4390" s="406" t="s">
        <v>830</v>
      </c>
      <c r="F4390" s="432">
        <f>'[161]Civil-SOR'!$G$195</f>
        <v>137</v>
      </c>
      <c r="G4390" s="431">
        <v>1</v>
      </c>
      <c r="H4390" s="406" t="s">
        <v>678</v>
      </c>
      <c r="I4390" s="459">
        <f t="shared" si="963"/>
        <v>43.84</v>
      </c>
      <c r="J4390" s="462"/>
      <c r="K4390" s="463"/>
      <c r="L4390" s="463"/>
      <c r="M4390" s="464"/>
      <c r="N4390" s="464"/>
      <c r="O4390" s="464"/>
      <c r="P4390" s="464"/>
      <c r="Q4390" s="464"/>
      <c r="R4390" s="464"/>
      <c r="S4390" s="464"/>
      <c r="T4390" s="464"/>
      <c r="U4390" s="464"/>
      <c r="V4390" s="464"/>
      <c r="W4390" s="464"/>
      <c r="X4390" s="464"/>
      <c r="Y4390" s="464"/>
      <c r="Z4390" s="464"/>
      <c r="AA4390" s="464"/>
      <c r="AB4390" s="464"/>
      <c r="AC4390" s="464"/>
      <c r="AD4390" s="464"/>
      <c r="AE4390" s="464"/>
      <c r="AF4390" s="464"/>
      <c r="AG4390" s="464"/>
      <c r="AH4390" s="464"/>
      <c r="AI4390" s="464"/>
      <c r="AJ4390" s="464"/>
      <c r="AK4390" s="464"/>
      <c r="AL4390" s="464"/>
      <c r="AM4390" s="464"/>
      <c r="AN4390" s="464"/>
      <c r="AO4390" s="464"/>
      <c r="AP4390" s="464"/>
      <c r="AQ4390" s="464"/>
      <c r="AR4390" s="464"/>
      <c r="AS4390" s="464"/>
      <c r="AT4390" s="464"/>
      <c r="AU4390" s="464"/>
      <c r="AV4390" s="464"/>
      <c r="AW4390" s="464"/>
      <c r="AX4390" s="464"/>
      <c r="AY4390" s="464"/>
      <c r="AZ4390" s="464"/>
      <c r="BA4390" s="464"/>
      <c r="BB4390" s="464"/>
      <c r="BC4390" s="464"/>
      <c r="BD4390" s="464"/>
      <c r="BE4390" s="464"/>
      <c r="BF4390" s="464"/>
      <c r="BG4390" s="464"/>
      <c r="BH4390" s="464"/>
      <c r="BI4390" s="464"/>
      <c r="BJ4390" s="464"/>
      <c r="BK4390" s="464"/>
      <c r="BL4390" s="464"/>
    </row>
    <row r="4391" spans="1:64" ht="13">
      <c r="A4391" s="406"/>
      <c r="B4391" s="406"/>
      <c r="C4391" s="417"/>
      <c r="D4391" s="432"/>
      <c r="E4391" s="406"/>
      <c r="F4391" s="432"/>
      <c r="G4391" s="431"/>
      <c r="H4391" s="406"/>
      <c r="I4391" s="461">
        <f>SUM(I4376:I4390)</f>
        <v>622.29200000000003</v>
      </c>
      <c r="J4391" s="462"/>
      <c r="K4391" s="463"/>
      <c r="L4391" s="463"/>
      <c r="M4391" s="464"/>
      <c r="N4391" s="464"/>
      <c r="O4391" s="464"/>
      <c r="P4391" s="464"/>
      <c r="Q4391" s="464"/>
      <c r="R4391" s="464"/>
      <c r="S4391" s="464"/>
      <c r="T4391" s="464"/>
      <c r="U4391" s="464"/>
      <c r="V4391" s="464"/>
      <c r="W4391" s="464"/>
      <c r="X4391" s="464"/>
      <c r="Y4391" s="464"/>
      <c r="Z4391" s="464"/>
      <c r="AA4391" s="464"/>
      <c r="AB4391" s="464"/>
      <c r="AC4391" s="464"/>
      <c r="AD4391" s="464"/>
      <c r="AE4391" s="464"/>
      <c r="AF4391" s="464"/>
      <c r="AG4391" s="464"/>
      <c r="AH4391" s="464"/>
      <c r="AI4391" s="464"/>
      <c r="AJ4391" s="464"/>
      <c r="AK4391" s="464"/>
      <c r="AL4391" s="464"/>
      <c r="AM4391" s="464"/>
      <c r="AN4391" s="464"/>
      <c r="AO4391" s="464"/>
      <c r="AP4391" s="464"/>
      <c r="AQ4391" s="464"/>
      <c r="AR4391" s="464"/>
      <c r="AS4391" s="464"/>
      <c r="AT4391" s="464"/>
      <c r="AU4391" s="464"/>
      <c r="AV4391" s="464"/>
      <c r="AW4391" s="464"/>
      <c r="AX4391" s="464"/>
      <c r="AY4391" s="464"/>
      <c r="AZ4391" s="464"/>
      <c r="BA4391" s="464"/>
      <c r="BB4391" s="464"/>
      <c r="BC4391" s="464"/>
      <c r="BD4391" s="464"/>
      <c r="BE4391" s="464"/>
      <c r="BF4391" s="464"/>
      <c r="BG4391" s="464"/>
      <c r="BH4391" s="464"/>
      <c r="BI4391" s="464"/>
      <c r="BJ4391" s="464"/>
      <c r="BK4391" s="464"/>
      <c r="BL4391" s="464"/>
    </row>
    <row r="4392" spans="1:64">
      <c r="A4392" s="406"/>
      <c r="B4392" s="406"/>
      <c r="C4392" s="417" t="s">
        <v>1469</v>
      </c>
      <c r="D4392" s="432">
        <v>0.01</v>
      </c>
      <c r="E4392" s="406"/>
      <c r="F4392" s="432">
        <f>I4391</f>
        <v>622.29200000000003</v>
      </c>
      <c r="G4392" s="431"/>
      <c r="H4392" s="406"/>
      <c r="I4392" s="459">
        <f>IF(G4392="",D4392*F4392,(D4392*F4392/G4392))</f>
        <v>6.2229200000000002</v>
      </c>
      <c r="J4392" s="462"/>
      <c r="K4392" s="463"/>
      <c r="L4392" s="463"/>
      <c r="M4392" s="464"/>
      <c r="N4392" s="464"/>
      <c r="O4392" s="464"/>
      <c r="P4392" s="464"/>
      <c r="Q4392" s="464"/>
      <c r="R4392" s="464"/>
      <c r="S4392" s="464"/>
      <c r="T4392" s="464"/>
      <c r="U4392" s="464"/>
      <c r="V4392" s="464"/>
      <c r="W4392" s="464"/>
      <c r="X4392" s="464"/>
      <c r="Y4392" s="464"/>
      <c r="Z4392" s="464"/>
      <c r="AA4392" s="464"/>
      <c r="AB4392" s="464"/>
      <c r="AC4392" s="464"/>
      <c r="AD4392" s="464"/>
      <c r="AE4392" s="464"/>
      <c r="AF4392" s="464"/>
      <c r="AG4392" s="464"/>
      <c r="AH4392" s="464"/>
      <c r="AI4392" s="464"/>
      <c r="AJ4392" s="464"/>
      <c r="AK4392" s="464"/>
      <c r="AL4392" s="464"/>
      <c r="AM4392" s="464"/>
      <c r="AN4392" s="464"/>
      <c r="AO4392" s="464"/>
      <c r="AP4392" s="464"/>
      <c r="AQ4392" s="464"/>
      <c r="AR4392" s="464"/>
      <c r="AS4392" s="464"/>
      <c r="AT4392" s="464"/>
      <c r="AU4392" s="464"/>
      <c r="AV4392" s="464"/>
      <c r="AW4392" s="464"/>
      <c r="AX4392" s="464"/>
      <c r="AY4392" s="464"/>
      <c r="AZ4392" s="464"/>
      <c r="BA4392" s="464"/>
      <c r="BB4392" s="464"/>
      <c r="BC4392" s="464"/>
      <c r="BD4392" s="464"/>
      <c r="BE4392" s="464"/>
      <c r="BF4392" s="464"/>
      <c r="BG4392" s="464"/>
      <c r="BH4392" s="464"/>
      <c r="BI4392" s="464"/>
      <c r="BJ4392" s="464"/>
      <c r="BK4392" s="464"/>
      <c r="BL4392" s="464"/>
    </row>
    <row r="4393" spans="1:64" ht="13">
      <c r="A4393" s="406"/>
      <c r="B4393" s="406"/>
      <c r="C4393" s="427" t="s">
        <v>1506</v>
      </c>
      <c r="D4393" s="432"/>
      <c r="E4393" s="406"/>
      <c r="F4393" s="432"/>
      <c r="G4393" s="431"/>
      <c r="H4393" s="406"/>
      <c r="I4393" s="422">
        <f>SUM(I4391:I4392)</f>
        <v>628.51492000000007</v>
      </c>
      <c r="J4393" s="462"/>
      <c r="K4393" s="463"/>
      <c r="L4393" s="463"/>
      <c r="M4393" s="464"/>
      <c r="N4393" s="464"/>
      <c r="O4393" s="464"/>
      <c r="P4393" s="464"/>
      <c r="Q4393" s="464"/>
      <c r="R4393" s="464"/>
      <c r="S4393" s="464"/>
      <c r="T4393" s="464"/>
      <c r="U4393" s="464"/>
      <c r="V4393" s="464"/>
      <c r="W4393" s="464"/>
      <c r="X4393" s="464"/>
      <c r="Y4393" s="464"/>
      <c r="Z4393" s="464"/>
      <c r="AA4393" s="464"/>
      <c r="AB4393" s="464"/>
      <c r="AC4393" s="464"/>
      <c r="AD4393" s="464"/>
      <c r="AE4393" s="464"/>
      <c r="AF4393" s="464"/>
      <c r="AG4393" s="464"/>
      <c r="AH4393" s="464"/>
      <c r="AI4393" s="464"/>
      <c r="AJ4393" s="464"/>
      <c r="AK4393" s="464"/>
      <c r="AL4393" s="464"/>
      <c r="AM4393" s="464"/>
      <c r="AN4393" s="464"/>
      <c r="AO4393" s="464"/>
      <c r="AP4393" s="464"/>
      <c r="AQ4393" s="464"/>
      <c r="AR4393" s="464"/>
      <c r="AS4393" s="464"/>
      <c r="AT4393" s="464"/>
      <c r="AU4393" s="464"/>
      <c r="AV4393" s="464"/>
      <c r="AW4393" s="464"/>
      <c r="AX4393" s="464"/>
      <c r="AY4393" s="464"/>
      <c r="AZ4393" s="464"/>
      <c r="BA4393" s="464"/>
      <c r="BB4393" s="464"/>
      <c r="BC4393" s="464"/>
      <c r="BD4393" s="464"/>
      <c r="BE4393" s="464"/>
      <c r="BF4393" s="464"/>
      <c r="BG4393" s="464"/>
      <c r="BH4393" s="464"/>
      <c r="BI4393" s="464"/>
      <c r="BJ4393" s="464"/>
      <c r="BK4393" s="464"/>
      <c r="BL4393" s="464"/>
    </row>
    <row r="4394" spans="1:64" ht="25">
      <c r="A4394" s="406"/>
      <c r="B4394" s="406"/>
      <c r="C4394" s="417" t="str">
        <f>[161]Input!$C$48</f>
        <v>Overheads &amp; Contractors Profit @ 13.615%</v>
      </c>
      <c r="D4394" s="444">
        <f>[161]Input!$D$48</f>
        <v>0.13614999999999999</v>
      </c>
      <c r="E4394" s="406"/>
      <c r="F4394" s="432">
        <f>I4393</f>
        <v>628.51492000000007</v>
      </c>
      <c r="G4394" s="431"/>
      <c r="H4394" s="406"/>
      <c r="I4394" s="459">
        <f>IF(G4394="",D4394*F4394,(D4394*F4394/G4394))</f>
        <v>85.572306358000006</v>
      </c>
      <c r="J4394" s="462"/>
      <c r="K4394" s="463"/>
      <c r="L4394" s="463"/>
      <c r="M4394" s="464"/>
      <c r="N4394" s="464"/>
      <c r="O4394" s="464"/>
      <c r="P4394" s="464"/>
      <c r="Q4394" s="464"/>
      <c r="R4394" s="464"/>
      <c r="S4394" s="464"/>
      <c r="T4394" s="464"/>
      <c r="U4394" s="464"/>
      <c r="V4394" s="464"/>
      <c r="W4394" s="464"/>
      <c r="X4394" s="464"/>
      <c r="Y4394" s="464"/>
      <c r="Z4394" s="464"/>
      <c r="AA4394" s="464"/>
      <c r="AB4394" s="464"/>
      <c r="AC4394" s="464"/>
      <c r="AD4394" s="464"/>
      <c r="AE4394" s="464"/>
      <c r="AF4394" s="464"/>
      <c r="AG4394" s="464"/>
      <c r="AH4394" s="464"/>
      <c r="AI4394" s="464"/>
      <c r="AJ4394" s="464"/>
      <c r="AK4394" s="464"/>
      <c r="AL4394" s="464"/>
      <c r="AM4394" s="464"/>
      <c r="AN4394" s="464"/>
      <c r="AO4394" s="464"/>
      <c r="AP4394" s="464"/>
      <c r="AQ4394" s="464"/>
      <c r="AR4394" s="464"/>
      <c r="AS4394" s="464"/>
      <c r="AT4394" s="464"/>
      <c r="AU4394" s="464"/>
      <c r="AV4394" s="464"/>
      <c r="AW4394" s="464"/>
      <c r="AX4394" s="464"/>
      <c r="AY4394" s="464"/>
      <c r="AZ4394" s="464"/>
      <c r="BA4394" s="464"/>
      <c r="BB4394" s="464"/>
      <c r="BC4394" s="464"/>
      <c r="BD4394" s="464"/>
      <c r="BE4394" s="464"/>
      <c r="BF4394" s="464"/>
      <c r="BG4394" s="464"/>
      <c r="BH4394" s="464"/>
      <c r="BI4394" s="464"/>
      <c r="BJ4394" s="464"/>
      <c r="BK4394" s="464"/>
      <c r="BL4394" s="464"/>
    </row>
    <row r="4395" spans="1:64" ht="13">
      <c r="A4395" s="426"/>
      <c r="B4395" s="426"/>
      <c r="C4395" s="481" t="s">
        <v>742</v>
      </c>
      <c r="D4395" s="409"/>
      <c r="E4395" s="426"/>
      <c r="F4395" s="409"/>
      <c r="G4395" s="410"/>
      <c r="H4395" s="426"/>
      <c r="I4395" s="409">
        <f>SUM(I4393:I4394)</f>
        <v>714.08722635800007</v>
      </c>
      <c r="J4395" s="411"/>
      <c r="K4395" s="412"/>
      <c r="L4395" s="412"/>
      <c r="M4395" s="413"/>
      <c r="N4395" s="413"/>
      <c r="O4395" s="413"/>
      <c r="P4395" s="413"/>
      <c r="Q4395" s="413"/>
      <c r="R4395" s="413"/>
      <c r="S4395" s="413"/>
      <c r="T4395" s="413"/>
      <c r="U4395" s="413"/>
      <c r="V4395" s="413"/>
      <c r="W4395" s="413"/>
      <c r="X4395" s="413"/>
      <c r="Y4395" s="413"/>
      <c r="Z4395" s="413"/>
      <c r="AA4395" s="413"/>
      <c r="AB4395" s="413"/>
      <c r="AC4395" s="413"/>
      <c r="AD4395" s="413"/>
      <c r="AE4395" s="413"/>
      <c r="AF4395" s="413"/>
      <c r="AG4395" s="413"/>
      <c r="AH4395" s="413"/>
      <c r="AI4395" s="413"/>
      <c r="AJ4395" s="413"/>
      <c r="AK4395" s="413"/>
      <c r="AL4395" s="413"/>
      <c r="AM4395" s="413"/>
      <c r="AN4395" s="413"/>
      <c r="AO4395" s="413"/>
      <c r="AP4395" s="413"/>
      <c r="AQ4395" s="413"/>
      <c r="AR4395" s="413"/>
      <c r="AS4395" s="413"/>
      <c r="AT4395" s="413"/>
      <c r="AU4395" s="413"/>
      <c r="AV4395" s="413"/>
      <c r="AW4395" s="413"/>
      <c r="AX4395" s="413"/>
      <c r="AY4395" s="413"/>
      <c r="AZ4395" s="413"/>
      <c r="BA4395" s="413"/>
      <c r="BB4395" s="413"/>
      <c r="BC4395" s="413"/>
      <c r="BD4395" s="413"/>
      <c r="BE4395" s="413"/>
      <c r="BF4395" s="413"/>
      <c r="BG4395" s="413"/>
      <c r="BH4395" s="413"/>
      <c r="BI4395" s="413"/>
      <c r="BJ4395" s="413"/>
      <c r="BK4395" s="413"/>
      <c r="BL4395" s="413"/>
    </row>
    <row r="4396" spans="1:64" ht="13">
      <c r="A4396" s="426"/>
      <c r="B4396" s="426"/>
      <c r="C4396" s="496"/>
      <c r="D4396" s="409"/>
      <c r="E4396" s="426"/>
      <c r="F4396" s="409"/>
      <c r="G4396" s="410"/>
      <c r="H4396" s="474" t="s">
        <v>774</v>
      </c>
      <c r="I4396" s="434">
        <f>ROUND(I4395,0)</f>
        <v>714</v>
      </c>
      <c r="J4396" s="411"/>
      <c r="K4396" s="412"/>
      <c r="L4396" s="412"/>
      <c r="M4396" s="413"/>
      <c r="N4396" s="413"/>
      <c r="O4396" s="413"/>
      <c r="P4396" s="413"/>
      <c r="Q4396" s="413"/>
      <c r="R4396" s="413"/>
      <c r="S4396" s="413"/>
      <c r="T4396" s="413"/>
      <c r="U4396" s="413"/>
      <c r="V4396" s="413"/>
      <c r="W4396" s="413"/>
      <c r="X4396" s="413"/>
      <c r="Y4396" s="413"/>
      <c r="Z4396" s="413"/>
      <c r="AA4396" s="413"/>
      <c r="AB4396" s="413"/>
      <c r="AC4396" s="413"/>
      <c r="AD4396" s="413"/>
      <c r="AE4396" s="413"/>
      <c r="AF4396" s="413"/>
      <c r="AG4396" s="413"/>
      <c r="AH4396" s="413"/>
      <c r="AI4396" s="413"/>
      <c r="AJ4396" s="413"/>
      <c r="AK4396" s="413"/>
      <c r="AL4396" s="413"/>
      <c r="AM4396" s="413"/>
      <c r="AN4396" s="413"/>
      <c r="AO4396" s="413"/>
      <c r="AP4396" s="413"/>
      <c r="AQ4396" s="413"/>
      <c r="AR4396" s="413"/>
      <c r="AS4396" s="413"/>
      <c r="AT4396" s="413"/>
      <c r="AU4396" s="413"/>
      <c r="AV4396" s="413"/>
      <c r="AW4396" s="413"/>
      <c r="AX4396" s="413"/>
      <c r="AY4396" s="413"/>
      <c r="AZ4396" s="413"/>
      <c r="BA4396" s="413"/>
      <c r="BB4396" s="413"/>
      <c r="BC4396" s="413"/>
      <c r="BD4396" s="413"/>
      <c r="BE4396" s="413"/>
      <c r="BF4396" s="413"/>
      <c r="BG4396" s="413"/>
      <c r="BH4396" s="413"/>
      <c r="BI4396" s="413"/>
      <c r="BJ4396" s="413"/>
      <c r="BK4396" s="413"/>
      <c r="BL4396" s="413"/>
    </row>
    <row r="4397" spans="1:64">
      <c r="A4397" s="426"/>
      <c r="B4397" s="426"/>
      <c r="C4397" s="417"/>
      <c r="D4397" s="409"/>
      <c r="E4397" s="426"/>
      <c r="F4397" s="409"/>
      <c r="G4397" s="410"/>
      <c r="H4397" s="676"/>
      <c r="I4397" s="408"/>
      <c r="J4397" s="400"/>
      <c r="K4397" s="401"/>
      <c r="L4397" s="401"/>
      <c r="M4397" s="404"/>
      <c r="N4397" s="404"/>
      <c r="O4397" s="404"/>
      <c r="P4397" s="404"/>
      <c r="Q4397" s="404"/>
      <c r="R4397" s="404"/>
      <c r="S4397" s="404"/>
      <c r="T4397" s="404"/>
      <c r="U4397" s="404"/>
      <c r="V4397" s="404"/>
      <c r="W4397" s="404"/>
      <c r="X4397" s="404"/>
      <c r="Y4397" s="404"/>
      <c r="Z4397" s="404"/>
      <c r="AA4397" s="404"/>
      <c r="AB4397" s="404"/>
      <c r="AC4397" s="404"/>
      <c r="AD4397" s="404"/>
      <c r="AE4397" s="404"/>
      <c r="AF4397" s="404"/>
      <c r="AG4397" s="404"/>
      <c r="AH4397" s="404"/>
      <c r="AI4397" s="404"/>
      <c r="AJ4397" s="404"/>
      <c r="AK4397" s="404"/>
      <c r="AL4397" s="404"/>
      <c r="AM4397" s="404"/>
      <c r="AN4397" s="404"/>
      <c r="AO4397" s="404"/>
      <c r="AP4397" s="404"/>
      <c r="AQ4397" s="404"/>
      <c r="AR4397" s="404"/>
      <c r="AS4397" s="404"/>
      <c r="AT4397" s="404"/>
      <c r="AU4397" s="404"/>
      <c r="AV4397" s="404"/>
      <c r="AW4397" s="404"/>
      <c r="AX4397" s="404"/>
      <c r="AY4397" s="404"/>
      <c r="AZ4397" s="404"/>
      <c r="BA4397" s="404"/>
      <c r="BB4397" s="404"/>
      <c r="BC4397" s="404"/>
      <c r="BD4397" s="404"/>
      <c r="BE4397" s="404"/>
      <c r="BF4397" s="404"/>
      <c r="BG4397" s="404"/>
      <c r="BH4397" s="404"/>
      <c r="BI4397" s="404"/>
      <c r="BJ4397" s="404"/>
      <c r="BK4397" s="404"/>
      <c r="BL4397" s="404"/>
    </row>
    <row r="4398" spans="1:64" ht="57.4" customHeight="1">
      <c r="A4398" s="1280">
        <f>1+A4372</f>
        <v>29</v>
      </c>
      <c r="B4398" s="1280"/>
      <c r="C4398" s="1276" t="s">
        <v>1522</v>
      </c>
      <c r="D4398" s="1276"/>
      <c r="E4398" s="1276"/>
      <c r="F4398" s="1276"/>
      <c r="G4398" s="1276"/>
      <c r="H4398" s="1276"/>
      <c r="I4398" s="407"/>
      <c r="J4398" s="400"/>
      <c r="K4398" s="401"/>
      <c r="L4398" s="401"/>
      <c r="M4398" s="404"/>
      <c r="N4398" s="404"/>
      <c r="O4398" s="404"/>
      <c r="P4398" s="404"/>
      <c r="Q4398" s="404"/>
      <c r="R4398" s="404"/>
      <c r="S4398" s="404"/>
      <c r="T4398" s="404"/>
      <c r="U4398" s="404"/>
      <c r="V4398" s="404"/>
      <c r="W4398" s="404"/>
      <c r="X4398" s="404"/>
      <c r="Y4398" s="404"/>
      <c r="Z4398" s="404"/>
      <c r="AA4398" s="404"/>
      <c r="AB4398" s="404"/>
      <c r="AC4398" s="404"/>
      <c r="AD4398" s="404"/>
      <c r="AE4398" s="404"/>
      <c r="AF4398" s="404"/>
      <c r="AG4398" s="404"/>
      <c r="AH4398" s="404"/>
      <c r="AI4398" s="404"/>
      <c r="AJ4398" s="404"/>
      <c r="AK4398" s="404"/>
      <c r="AL4398" s="404"/>
      <c r="AM4398" s="404"/>
      <c r="AN4398" s="404"/>
      <c r="AO4398" s="404"/>
      <c r="AP4398" s="404"/>
      <c r="AQ4398" s="404"/>
      <c r="AR4398" s="404"/>
      <c r="AS4398" s="404"/>
      <c r="AT4398" s="404"/>
      <c r="AU4398" s="404"/>
      <c r="AV4398" s="404"/>
      <c r="AW4398" s="404"/>
      <c r="AX4398" s="404"/>
      <c r="AY4398" s="404"/>
      <c r="AZ4398" s="404"/>
      <c r="BA4398" s="404"/>
      <c r="BB4398" s="404"/>
      <c r="BC4398" s="404"/>
      <c r="BD4398" s="404"/>
      <c r="BE4398" s="404"/>
      <c r="BF4398" s="404"/>
      <c r="BG4398" s="404"/>
      <c r="BH4398" s="404"/>
      <c r="BI4398" s="404"/>
      <c r="BJ4398" s="404"/>
      <c r="BK4398" s="404"/>
      <c r="BL4398" s="404"/>
    </row>
    <row r="4399" spans="1:64">
      <c r="A4399" s="406"/>
      <c r="B4399" s="406"/>
      <c r="C4399" s="435" t="s">
        <v>1523</v>
      </c>
      <c r="D4399" s="459">
        <v>5.03</v>
      </c>
      <c r="E4399" s="458" t="s">
        <v>833</v>
      </c>
      <c r="F4399" s="459">
        <f>'[161]Civil-SOR'!$G$46</f>
        <v>75</v>
      </c>
      <c r="G4399" s="458">
        <v>1</v>
      </c>
      <c r="H4399" s="599" t="str">
        <f t="shared" ref="H4399:H4400" si="964">IF(E4399="","",IF(E4399="No.","Each",IF(E4399="Nos.","Each",E4399)))</f>
        <v>Kgs</v>
      </c>
      <c r="I4399" s="459">
        <f t="shared" ref="I4399:I4402" si="965">IF(G4399="",D4399*F4399,(D4399*F4399/G4399))</f>
        <v>377.25</v>
      </c>
      <c r="J4399" s="462"/>
      <c r="K4399" s="463"/>
      <c r="L4399" s="463"/>
      <c r="M4399" s="464"/>
      <c r="N4399" s="464"/>
      <c r="O4399" s="464"/>
      <c r="P4399" s="464"/>
      <c r="Q4399" s="464"/>
      <c r="R4399" s="464"/>
      <c r="S4399" s="464"/>
      <c r="T4399" s="464"/>
      <c r="U4399" s="464"/>
      <c r="V4399" s="464"/>
      <c r="W4399" s="464"/>
      <c r="X4399" s="464"/>
      <c r="Y4399" s="464"/>
      <c r="Z4399" s="464"/>
      <c r="AA4399" s="464"/>
      <c r="AB4399" s="464"/>
      <c r="AC4399" s="464"/>
      <c r="AD4399" s="464"/>
      <c r="AE4399" s="464"/>
      <c r="AF4399" s="464"/>
      <c r="AG4399" s="464"/>
      <c r="AH4399" s="464"/>
      <c r="AI4399" s="464"/>
      <c r="AJ4399" s="464"/>
      <c r="AK4399" s="464"/>
      <c r="AL4399" s="464"/>
      <c r="AM4399" s="464"/>
      <c r="AN4399" s="464"/>
      <c r="AO4399" s="464"/>
      <c r="AP4399" s="464"/>
      <c r="AQ4399" s="464"/>
      <c r="AR4399" s="464"/>
      <c r="AS4399" s="464"/>
      <c r="AT4399" s="464"/>
      <c r="AU4399" s="464"/>
      <c r="AV4399" s="464"/>
      <c r="AW4399" s="464"/>
      <c r="AX4399" s="464"/>
      <c r="AY4399" s="464"/>
      <c r="AZ4399" s="464"/>
      <c r="BA4399" s="464"/>
      <c r="BB4399" s="464"/>
      <c r="BC4399" s="464"/>
      <c r="BD4399" s="464"/>
      <c r="BE4399" s="464"/>
      <c r="BF4399" s="464"/>
      <c r="BG4399" s="464"/>
      <c r="BH4399" s="464"/>
      <c r="BI4399" s="464"/>
      <c r="BJ4399" s="464"/>
      <c r="BK4399" s="464"/>
      <c r="BL4399" s="464"/>
    </row>
    <row r="4400" spans="1:64" ht="25">
      <c r="A4400" s="406"/>
      <c r="B4400" s="406"/>
      <c r="C4400" s="435" t="s">
        <v>1524</v>
      </c>
      <c r="D4400" s="459">
        <f t="shared" ref="D4400:D4401" si="966">D4399</f>
        <v>5.03</v>
      </c>
      <c r="E4400" s="458" t="s">
        <v>833</v>
      </c>
      <c r="F4400" s="459">
        <f>'[161]Civil-SOR'!$G$202</f>
        <v>37</v>
      </c>
      <c r="G4400" s="458">
        <v>1</v>
      </c>
      <c r="H4400" s="599" t="str">
        <f t="shared" si="964"/>
        <v>Kgs</v>
      </c>
      <c r="I4400" s="459">
        <f t="shared" si="965"/>
        <v>186.11</v>
      </c>
      <c r="J4400" s="462"/>
      <c r="K4400" s="463"/>
      <c r="L4400" s="463"/>
      <c r="M4400" s="464"/>
      <c r="N4400" s="464"/>
      <c r="O4400" s="464"/>
      <c r="P4400" s="464"/>
      <c r="Q4400" s="464"/>
      <c r="R4400" s="464"/>
      <c r="S4400" s="464"/>
      <c r="T4400" s="464"/>
      <c r="U4400" s="464"/>
      <c r="V4400" s="464"/>
      <c r="W4400" s="464"/>
      <c r="X4400" s="464"/>
      <c r="Y4400" s="464"/>
      <c r="Z4400" s="464"/>
      <c r="AA4400" s="464"/>
      <c r="AB4400" s="464"/>
      <c r="AC4400" s="464"/>
      <c r="AD4400" s="464"/>
      <c r="AE4400" s="464"/>
      <c r="AF4400" s="464"/>
      <c r="AG4400" s="464"/>
      <c r="AH4400" s="464"/>
      <c r="AI4400" s="464"/>
      <c r="AJ4400" s="464"/>
      <c r="AK4400" s="464"/>
      <c r="AL4400" s="464"/>
      <c r="AM4400" s="464"/>
      <c r="AN4400" s="464"/>
      <c r="AO4400" s="464"/>
      <c r="AP4400" s="464"/>
      <c r="AQ4400" s="464"/>
      <c r="AR4400" s="464"/>
      <c r="AS4400" s="464"/>
      <c r="AT4400" s="464"/>
      <c r="AU4400" s="464"/>
      <c r="AV4400" s="464"/>
      <c r="AW4400" s="464"/>
      <c r="AX4400" s="464"/>
      <c r="AY4400" s="464"/>
      <c r="AZ4400" s="464"/>
      <c r="BA4400" s="464"/>
      <c r="BB4400" s="464"/>
      <c r="BC4400" s="464"/>
      <c r="BD4400" s="464"/>
      <c r="BE4400" s="464"/>
      <c r="BF4400" s="464"/>
      <c r="BG4400" s="464"/>
      <c r="BH4400" s="464"/>
      <c r="BI4400" s="464"/>
      <c r="BJ4400" s="464"/>
      <c r="BK4400" s="464"/>
      <c r="BL4400" s="464"/>
    </row>
    <row r="4401" spans="1:64">
      <c r="A4401" s="406"/>
      <c r="B4401" s="406"/>
      <c r="C4401" s="435" t="s">
        <v>1525</v>
      </c>
      <c r="D4401" s="459">
        <f t="shared" si="966"/>
        <v>5.03</v>
      </c>
      <c r="E4401" s="458" t="s">
        <v>833</v>
      </c>
      <c r="F4401" s="459">
        <f>'[161]Civil-SOR'!$G$203</f>
        <v>6</v>
      </c>
      <c r="G4401" s="458"/>
      <c r="H4401" s="458" t="s">
        <v>833</v>
      </c>
      <c r="I4401" s="459">
        <f t="shared" si="965"/>
        <v>30.18</v>
      </c>
      <c r="J4401" s="462"/>
      <c r="K4401" s="463"/>
      <c r="L4401" s="463"/>
      <c r="M4401" s="464"/>
      <c r="N4401" s="464"/>
      <c r="O4401" s="464"/>
      <c r="P4401" s="464"/>
      <c r="Q4401" s="464"/>
      <c r="R4401" s="464"/>
      <c r="S4401" s="464"/>
      <c r="T4401" s="464"/>
      <c r="U4401" s="464"/>
      <c r="V4401" s="464"/>
      <c r="W4401" s="464"/>
      <c r="X4401" s="464"/>
      <c r="Y4401" s="464"/>
      <c r="Z4401" s="464"/>
      <c r="AA4401" s="464"/>
      <c r="AB4401" s="464"/>
      <c r="AC4401" s="464"/>
      <c r="AD4401" s="464"/>
      <c r="AE4401" s="464"/>
      <c r="AF4401" s="464"/>
      <c r="AG4401" s="464"/>
      <c r="AH4401" s="464"/>
      <c r="AI4401" s="464"/>
      <c r="AJ4401" s="464"/>
      <c r="AK4401" s="464"/>
      <c r="AL4401" s="464"/>
      <c r="AM4401" s="464"/>
      <c r="AN4401" s="464"/>
      <c r="AO4401" s="464"/>
      <c r="AP4401" s="464"/>
      <c r="AQ4401" s="464"/>
      <c r="AR4401" s="464"/>
      <c r="AS4401" s="464"/>
      <c r="AT4401" s="464"/>
      <c r="AU4401" s="464"/>
      <c r="AV4401" s="464"/>
      <c r="AW4401" s="464"/>
      <c r="AX4401" s="464"/>
      <c r="AY4401" s="464"/>
      <c r="AZ4401" s="464"/>
      <c r="BA4401" s="464"/>
      <c r="BB4401" s="464"/>
      <c r="BC4401" s="464"/>
      <c r="BD4401" s="464"/>
      <c r="BE4401" s="464"/>
      <c r="BF4401" s="464"/>
      <c r="BG4401" s="464"/>
      <c r="BH4401" s="464"/>
      <c r="BI4401" s="464"/>
      <c r="BJ4401" s="464"/>
      <c r="BK4401" s="464"/>
      <c r="BL4401" s="464"/>
    </row>
    <row r="4402" spans="1:64">
      <c r="A4402" s="406"/>
      <c r="B4402" s="406"/>
      <c r="C4402" s="417" t="str">
        <f>[161]Input!$C$47</f>
        <v>Add for MA @ 40%</v>
      </c>
      <c r="D4402" s="622">
        <f>[161]Input!$D$47</f>
        <v>0.4</v>
      </c>
      <c r="E4402" s="458"/>
      <c r="F4402" s="459">
        <f>I4400*40%+I4401</f>
        <v>104.624</v>
      </c>
      <c r="G4402" s="406"/>
      <c r="H4402" s="406"/>
      <c r="I4402" s="459">
        <f t="shared" si="965"/>
        <v>41.849600000000002</v>
      </c>
      <c r="J4402" s="462"/>
      <c r="K4402" s="463"/>
      <c r="L4402" s="463"/>
      <c r="M4402" s="464"/>
      <c r="N4402" s="464"/>
      <c r="O4402" s="464"/>
      <c r="P4402" s="464"/>
      <c r="Q4402" s="464"/>
      <c r="R4402" s="464"/>
      <c r="S4402" s="464"/>
      <c r="T4402" s="464"/>
      <c r="U4402" s="464"/>
      <c r="V4402" s="464"/>
      <c r="W4402" s="464"/>
      <c r="X4402" s="464"/>
      <c r="Y4402" s="464"/>
      <c r="Z4402" s="464"/>
      <c r="AA4402" s="464"/>
      <c r="AB4402" s="464"/>
      <c r="AC4402" s="464"/>
      <c r="AD4402" s="464"/>
      <c r="AE4402" s="464"/>
      <c r="AF4402" s="464"/>
      <c r="AG4402" s="464"/>
      <c r="AH4402" s="464"/>
      <c r="AI4402" s="464"/>
      <c r="AJ4402" s="464"/>
      <c r="AK4402" s="464"/>
      <c r="AL4402" s="464"/>
      <c r="AM4402" s="464"/>
      <c r="AN4402" s="464"/>
      <c r="AO4402" s="464"/>
      <c r="AP4402" s="464"/>
      <c r="AQ4402" s="464"/>
      <c r="AR4402" s="464"/>
      <c r="AS4402" s="464"/>
      <c r="AT4402" s="464"/>
      <c r="AU4402" s="464"/>
      <c r="AV4402" s="464"/>
      <c r="AW4402" s="464"/>
      <c r="AX4402" s="464"/>
      <c r="AY4402" s="464"/>
      <c r="AZ4402" s="464"/>
      <c r="BA4402" s="464"/>
      <c r="BB4402" s="464"/>
      <c r="BC4402" s="464"/>
      <c r="BD4402" s="464"/>
      <c r="BE4402" s="464"/>
      <c r="BF4402" s="464"/>
      <c r="BG4402" s="464"/>
      <c r="BH4402" s="464"/>
      <c r="BI4402" s="464"/>
      <c r="BJ4402" s="464"/>
      <c r="BK4402" s="464"/>
      <c r="BL4402" s="464"/>
    </row>
    <row r="4403" spans="1:64" ht="13">
      <c r="A4403" s="406"/>
      <c r="B4403" s="406"/>
      <c r="C4403" s="473" t="s">
        <v>1032</v>
      </c>
      <c r="D4403" s="459"/>
      <c r="E4403" s="471"/>
      <c r="F4403" s="458"/>
      <c r="G4403" s="458"/>
      <c r="H4403" s="407"/>
      <c r="I4403" s="461">
        <f>SUM(I4399:I4402)</f>
        <v>635.38959999999997</v>
      </c>
      <c r="J4403" s="462"/>
      <c r="K4403" s="463"/>
      <c r="L4403" s="463"/>
      <c r="M4403" s="464"/>
      <c r="N4403" s="464"/>
      <c r="O4403" s="464"/>
      <c r="P4403" s="464"/>
      <c r="Q4403" s="464"/>
      <c r="R4403" s="464"/>
      <c r="S4403" s="464"/>
      <c r="T4403" s="464"/>
      <c r="U4403" s="464"/>
      <c r="V4403" s="464"/>
      <c r="W4403" s="464"/>
      <c r="X4403" s="464"/>
      <c r="Y4403" s="464"/>
      <c r="Z4403" s="464"/>
      <c r="AA4403" s="464"/>
      <c r="AB4403" s="464"/>
      <c r="AC4403" s="464"/>
      <c r="AD4403" s="464"/>
      <c r="AE4403" s="464"/>
      <c r="AF4403" s="464"/>
      <c r="AG4403" s="464"/>
      <c r="AH4403" s="464"/>
      <c r="AI4403" s="464"/>
      <c r="AJ4403" s="464"/>
      <c r="AK4403" s="464"/>
      <c r="AL4403" s="464"/>
      <c r="AM4403" s="464"/>
      <c r="AN4403" s="464"/>
      <c r="AO4403" s="464"/>
      <c r="AP4403" s="464"/>
      <c r="AQ4403" s="464"/>
      <c r="AR4403" s="464"/>
      <c r="AS4403" s="464"/>
      <c r="AT4403" s="464"/>
      <c r="AU4403" s="464"/>
      <c r="AV4403" s="464"/>
      <c r="AW4403" s="464"/>
      <c r="AX4403" s="464"/>
      <c r="AY4403" s="464"/>
      <c r="AZ4403" s="464"/>
      <c r="BA4403" s="464"/>
      <c r="BB4403" s="464"/>
      <c r="BC4403" s="464"/>
      <c r="BD4403" s="464"/>
      <c r="BE4403" s="464"/>
      <c r="BF4403" s="464"/>
      <c r="BG4403" s="464"/>
      <c r="BH4403" s="464"/>
      <c r="BI4403" s="464"/>
      <c r="BJ4403" s="464"/>
      <c r="BK4403" s="464"/>
      <c r="BL4403" s="464"/>
    </row>
    <row r="4404" spans="1:64" ht="25">
      <c r="A4404" s="406"/>
      <c r="B4404" s="406"/>
      <c r="C4404" s="435" t="str">
        <f>[161]Input!$C$48</f>
        <v>Overheads &amp; Contractors Profit @ 13.615%</v>
      </c>
      <c r="D4404" s="465">
        <f>[161]Input!$D$48</f>
        <v>0.13614999999999999</v>
      </c>
      <c r="E4404" s="471"/>
      <c r="F4404" s="459">
        <f>I4403</f>
        <v>635.38959999999997</v>
      </c>
      <c r="G4404" s="458"/>
      <c r="H4404" s="407"/>
      <c r="I4404" s="459">
        <f>IF(G4404="",D4404*F4404,(D4404*F4404/G4404))</f>
        <v>86.508294039999996</v>
      </c>
      <c r="J4404" s="462"/>
      <c r="K4404" s="463"/>
      <c r="L4404" s="463"/>
      <c r="M4404" s="464"/>
      <c r="N4404" s="464"/>
      <c r="O4404" s="464"/>
      <c r="P4404" s="464"/>
      <c r="Q4404" s="464"/>
      <c r="R4404" s="464"/>
      <c r="S4404" s="464"/>
      <c r="T4404" s="464"/>
      <c r="U4404" s="464"/>
      <c r="V4404" s="464"/>
      <c r="W4404" s="464"/>
      <c r="X4404" s="464"/>
      <c r="Y4404" s="464"/>
      <c r="Z4404" s="464"/>
      <c r="AA4404" s="464"/>
      <c r="AB4404" s="464"/>
      <c r="AC4404" s="464"/>
      <c r="AD4404" s="464"/>
      <c r="AE4404" s="464"/>
      <c r="AF4404" s="464"/>
      <c r="AG4404" s="464"/>
      <c r="AH4404" s="464"/>
      <c r="AI4404" s="464"/>
      <c r="AJ4404" s="464"/>
      <c r="AK4404" s="464"/>
      <c r="AL4404" s="464"/>
      <c r="AM4404" s="464"/>
      <c r="AN4404" s="464"/>
      <c r="AO4404" s="464"/>
      <c r="AP4404" s="464"/>
      <c r="AQ4404" s="464"/>
      <c r="AR4404" s="464"/>
      <c r="AS4404" s="464"/>
      <c r="AT4404" s="464"/>
      <c r="AU4404" s="464"/>
      <c r="AV4404" s="464"/>
      <c r="AW4404" s="464"/>
      <c r="AX4404" s="464"/>
      <c r="AY4404" s="464"/>
      <c r="AZ4404" s="464"/>
      <c r="BA4404" s="464"/>
      <c r="BB4404" s="464"/>
      <c r="BC4404" s="464"/>
      <c r="BD4404" s="464"/>
      <c r="BE4404" s="464"/>
      <c r="BF4404" s="464"/>
      <c r="BG4404" s="464"/>
      <c r="BH4404" s="464"/>
      <c r="BI4404" s="464"/>
      <c r="BJ4404" s="464"/>
      <c r="BK4404" s="464"/>
      <c r="BL4404" s="464"/>
    </row>
    <row r="4405" spans="1:64" ht="13">
      <c r="A4405" s="426"/>
      <c r="B4405" s="426"/>
      <c r="C4405" s="455"/>
      <c r="D4405" s="408"/>
      <c r="E4405" s="415"/>
      <c r="F4405" s="454"/>
      <c r="G4405" s="454"/>
      <c r="H4405" s="474"/>
      <c r="I4405" s="414">
        <f>SUM(I4403:I4404)</f>
        <v>721.89789403999998</v>
      </c>
      <c r="J4405" s="400"/>
      <c r="K4405" s="401"/>
      <c r="L4405" s="401"/>
      <c r="M4405" s="404"/>
      <c r="N4405" s="404"/>
      <c r="O4405" s="404"/>
      <c r="P4405" s="404"/>
      <c r="Q4405" s="404"/>
      <c r="R4405" s="404"/>
      <c r="S4405" s="404"/>
      <c r="T4405" s="404"/>
      <c r="U4405" s="404"/>
      <c r="V4405" s="404"/>
      <c r="W4405" s="404"/>
      <c r="X4405" s="404"/>
      <c r="Y4405" s="404"/>
      <c r="Z4405" s="404"/>
      <c r="AA4405" s="404"/>
      <c r="AB4405" s="404"/>
      <c r="AC4405" s="404"/>
      <c r="AD4405" s="404"/>
      <c r="AE4405" s="404"/>
      <c r="AF4405" s="404"/>
      <c r="AG4405" s="404"/>
      <c r="AH4405" s="404"/>
      <c r="AI4405" s="404"/>
      <c r="AJ4405" s="404"/>
      <c r="AK4405" s="404"/>
      <c r="AL4405" s="404"/>
      <c r="AM4405" s="404"/>
      <c r="AN4405" s="404"/>
      <c r="AO4405" s="404"/>
      <c r="AP4405" s="404"/>
      <c r="AQ4405" s="404"/>
      <c r="AR4405" s="404"/>
      <c r="AS4405" s="404"/>
      <c r="AT4405" s="404"/>
      <c r="AU4405" s="404"/>
      <c r="AV4405" s="404"/>
      <c r="AW4405" s="404"/>
      <c r="AX4405" s="404"/>
      <c r="AY4405" s="404"/>
      <c r="AZ4405" s="404"/>
      <c r="BA4405" s="404"/>
      <c r="BB4405" s="404"/>
      <c r="BC4405" s="404"/>
      <c r="BD4405" s="404"/>
      <c r="BE4405" s="404"/>
      <c r="BF4405" s="404"/>
      <c r="BG4405" s="404"/>
      <c r="BH4405" s="404"/>
      <c r="BI4405" s="404"/>
      <c r="BJ4405" s="404"/>
      <c r="BK4405" s="404"/>
      <c r="BL4405" s="404"/>
    </row>
    <row r="4406" spans="1:64" ht="13">
      <c r="A4406" s="426"/>
      <c r="B4406" s="426"/>
      <c r="C4406" s="710"/>
      <c r="D4406" s="408"/>
      <c r="E4406" s="415"/>
      <c r="F4406" s="454"/>
      <c r="G4406" s="454"/>
      <c r="H4406" s="474" t="s">
        <v>774</v>
      </c>
      <c r="I4406" s="414">
        <f>ROUND(I4405,0)</f>
        <v>722</v>
      </c>
      <c r="J4406" s="411"/>
      <c r="K4406" s="412"/>
      <c r="L4406" s="412"/>
      <c r="M4406" s="413"/>
      <c r="N4406" s="413"/>
      <c r="O4406" s="413"/>
      <c r="P4406" s="413"/>
      <c r="Q4406" s="413"/>
      <c r="R4406" s="413"/>
      <c r="S4406" s="413"/>
      <c r="T4406" s="413"/>
      <c r="U4406" s="413"/>
      <c r="V4406" s="413"/>
      <c r="W4406" s="413"/>
      <c r="X4406" s="413"/>
      <c r="Y4406" s="413"/>
      <c r="Z4406" s="413"/>
      <c r="AA4406" s="413"/>
      <c r="AB4406" s="413"/>
      <c r="AC4406" s="413"/>
      <c r="AD4406" s="413"/>
      <c r="AE4406" s="413"/>
      <c r="AF4406" s="413"/>
      <c r="AG4406" s="413"/>
      <c r="AH4406" s="413"/>
      <c r="AI4406" s="413"/>
      <c r="AJ4406" s="413"/>
      <c r="AK4406" s="413"/>
      <c r="AL4406" s="413"/>
      <c r="AM4406" s="413"/>
      <c r="AN4406" s="413"/>
      <c r="AO4406" s="413"/>
      <c r="AP4406" s="413"/>
      <c r="AQ4406" s="413"/>
      <c r="AR4406" s="413"/>
      <c r="AS4406" s="413"/>
      <c r="AT4406" s="413"/>
      <c r="AU4406" s="413"/>
      <c r="AV4406" s="413"/>
      <c r="AW4406" s="413"/>
      <c r="AX4406" s="413"/>
      <c r="AY4406" s="413"/>
      <c r="AZ4406" s="413"/>
      <c r="BA4406" s="413"/>
      <c r="BB4406" s="413"/>
      <c r="BC4406" s="413"/>
      <c r="BD4406" s="413"/>
      <c r="BE4406" s="413"/>
      <c r="BF4406" s="413"/>
      <c r="BG4406" s="413"/>
      <c r="BH4406" s="413"/>
      <c r="BI4406" s="413"/>
      <c r="BJ4406" s="413"/>
      <c r="BK4406" s="413"/>
      <c r="BL4406" s="413"/>
    </row>
    <row r="4407" spans="1:64">
      <c r="A4407" s="426"/>
      <c r="B4407" s="426"/>
      <c r="C4407" s="417"/>
      <c r="D4407" s="409"/>
      <c r="E4407" s="426"/>
      <c r="F4407" s="409"/>
      <c r="G4407" s="410"/>
      <c r="H4407" s="676"/>
      <c r="I4407" s="408"/>
      <c r="J4407" s="400"/>
      <c r="K4407" s="401"/>
      <c r="L4407" s="401"/>
      <c r="M4407" s="404"/>
      <c r="N4407" s="404"/>
      <c r="O4407" s="404"/>
      <c r="P4407" s="404"/>
      <c r="Q4407" s="404"/>
      <c r="R4407" s="404"/>
      <c r="S4407" s="404"/>
      <c r="T4407" s="404"/>
      <c r="U4407" s="404"/>
      <c r="V4407" s="404"/>
      <c r="W4407" s="404"/>
      <c r="X4407" s="404"/>
      <c r="Y4407" s="404"/>
      <c r="Z4407" s="404"/>
      <c r="AA4407" s="404"/>
      <c r="AB4407" s="404"/>
      <c r="AC4407" s="404"/>
      <c r="AD4407" s="404"/>
      <c r="AE4407" s="404"/>
      <c r="AF4407" s="404"/>
      <c r="AG4407" s="404"/>
      <c r="AH4407" s="404"/>
      <c r="AI4407" s="404"/>
      <c r="AJ4407" s="404"/>
      <c r="AK4407" s="404"/>
      <c r="AL4407" s="404"/>
      <c r="AM4407" s="404"/>
      <c r="AN4407" s="404"/>
      <c r="AO4407" s="404"/>
      <c r="AP4407" s="404"/>
      <c r="AQ4407" s="404"/>
      <c r="AR4407" s="404"/>
      <c r="AS4407" s="404"/>
      <c r="AT4407" s="404"/>
      <c r="AU4407" s="404"/>
      <c r="AV4407" s="404"/>
      <c r="AW4407" s="404"/>
      <c r="AX4407" s="404"/>
      <c r="AY4407" s="404"/>
      <c r="AZ4407" s="404"/>
      <c r="BA4407" s="404"/>
      <c r="BB4407" s="404"/>
      <c r="BC4407" s="404"/>
      <c r="BD4407" s="404"/>
      <c r="BE4407" s="404"/>
      <c r="BF4407" s="404"/>
      <c r="BG4407" s="404"/>
      <c r="BH4407" s="404"/>
      <c r="BI4407" s="404"/>
      <c r="BJ4407" s="404"/>
      <c r="BK4407" s="404"/>
      <c r="BL4407" s="404"/>
    </row>
    <row r="4408" spans="1:64" ht="58.9" customHeight="1">
      <c r="A4408" s="1280">
        <f>A4398+1</f>
        <v>30</v>
      </c>
      <c r="B4408" s="1280"/>
      <c r="C4408" s="1276" t="s">
        <v>1526</v>
      </c>
      <c r="D4408" s="1276"/>
      <c r="E4408" s="1276"/>
      <c r="F4408" s="1276"/>
      <c r="G4408" s="1276"/>
      <c r="H4408" s="1276"/>
      <c r="I4408" s="407"/>
      <c r="J4408" s="400"/>
      <c r="K4408" s="401"/>
      <c r="L4408" s="401"/>
      <c r="M4408" s="404"/>
      <c r="N4408" s="404"/>
      <c r="O4408" s="404"/>
      <c r="P4408" s="404"/>
      <c r="Q4408" s="404"/>
      <c r="R4408" s="404"/>
      <c r="S4408" s="404"/>
      <c r="T4408" s="404"/>
      <c r="U4408" s="404"/>
      <c r="V4408" s="404"/>
      <c r="W4408" s="404"/>
      <c r="X4408" s="404"/>
      <c r="Y4408" s="404"/>
      <c r="Z4408" s="404"/>
      <c r="AA4408" s="404"/>
      <c r="AB4408" s="404"/>
      <c r="AC4408" s="404"/>
      <c r="AD4408" s="404"/>
      <c r="AE4408" s="404"/>
      <c r="AF4408" s="404"/>
      <c r="AG4408" s="404"/>
      <c r="AH4408" s="404"/>
      <c r="AI4408" s="404"/>
      <c r="AJ4408" s="404"/>
      <c r="AK4408" s="404"/>
      <c r="AL4408" s="404"/>
      <c r="AM4408" s="404"/>
      <c r="AN4408" s="404"/>
      <c r="AO4408" s="404"/>
      <c r="AP4408" s="404"/>
      <c r="AQ4408" s="404"/>
      <c r="AR4408" s="404"/>
      <c r="AS4408" s="404"/>
      <c r="AT4408" s="404"/>
      <c r="AU4408" s="404"/>
      <c r="AV4408" s="404"/>
      <c r="AW4408" s="404"/>
      <c r="AX4408" s="404"/>
      <c r="AY4408" s="404"/>
      <c r="AZ4408" s="404"/>
      <c r="BA4408" s="404"/>
      <c r="BB4408" s="404"/>
      <c r="BC4408" s="404"/>
      <c r="BD4408" s="404"/>
      <c r="BE4408" s="404"/>
      <c r="BF4408" s="404"/>
      <c r="BG4408" s="404"/>
      <c r="BH4408" s="404"/>
      <c r="BI4408" s="404"/>
      <c r="BJ4408" s="404"/>
      <c r="BK4408" s="404"/>
      <c r="BL4408" s="404"/>
    </row>
    <row r="4409" spans="1:64" ht="13">
      <c r="A4409" s="426"/>
      <c r="B4409" s="426"/>
      <c r="C4409" s="455" t="s">
        <v>1127</v>
      </c>
      <c r="D4409" s="426"/>
      <c r="E4409" s="426"/>
      <c r="F4409" s="426"/>
      <c r="G4409" s="426"/>
      <c r="H4409" s="426"/>
      <c r="I4409" s="409"/>
      <c r="J4409" s="400"/>
      <c r="K4409" s="401"/>
      <c r="L4409" s="401"/>
      <c r="M4409" s="404"/>
      <c r="N4409" s="404"/>
      <c r="O4409" s="404"/>
      <c r="P4409" s="404"/>
      <c r="Q4409" s="404"/>
      <c r="R4409" s="404"/>
      <c r="S4409" s="404"/>
      <c r="T4409" s="404"/>
      <c r="U4409" s="404"/>
      <c r="V4409" s="404"/>
      <c r="W4409" s="404"/>
      <c r="X4409" s="404"/>
      <c r="Y4409" s="404"/>
      <c r="Z4409" s="404"/>
      <c r="AA4409" s="404"/>
      <c r="AB4409" s="404"/>
      <c r="AC4409" s="404"/>
      <c r="AD4409" s="404"/>
      <c r="AE4409" s="404"/>
      <c r="AF4409" s="404"/>
      <c r="AG4409" s="404"/>
      <c r="AH4409" s="404"/>
      <c r="AI4409" s="404"/>
      <c r="AJ4409" s="404"/>
      <c r="AK4409" s="404"/>
      <c r="AL4409" s="404"/>
      <c r="AM4409" s="404"/>
      <c r="AN4409" s="404"/>
      <c r="AO4409" s="404"/>
      <c r="AP4409" s="404"/>
      <c r="AQ4409" s="404"/>
      <c r="AR4409" s="404"/>
      <c r="AS4409" s="404"/>
      <c r="AT4409" s="404"/>
      <c r="AU4409" s="404"/>
      <c r="AV4409" s="404"/>
      <c r="AW4409" s="404"/>
      <c r="AX4409" s="404"/>
      <c r="AY4409" s="404"/>
      <c r="AZ4409" s="404"/>
      <c r="BA4409" s="404"/>
      <c r="BB4409" s="404"/>
      <c r="BC4409" s="404"/>
      <c r="BD4409" s="404"/>
      <c r="BE4409" s="404"/>
      <c r="BF4409" s="404"/>
      <c r="BG4409" s="404"/>
      <c r="BH4409" s="404"/>
      <c r="BI4409" s="404"/>
      <c r="BJ4409" s="404"/>
      <c r="BK4409" s="404"/>
      <c r="BL4409" s="404"/>
    </row>
    <row r="4410" spans="1:64" ht="13">
      <c r="A4410" s="426"/>
      <c r="B4410" s="426"/>
      <c r="C4410" s="455" t="s">
        <v>1168</v>
      </c>
      <c r="D4410" s="426"/>
      <c r="E4410" s="426"/>
      <c r="F4410" s="426"/>
      <c r="G4410" s="426"/>
      <c r="H4410" s="426"/>
      <c r="I4410" s="409"/>
      <c r="J4410" s="400"/>
      <c r="K4410" s="401"/>
      <c r="L4410" s="401"/>
      <c r="M4410" s="404"/>
      <c r="N4410" s="404"/>
      <c r="O4410" s="404"/>
      <c r="P4410" s="404"/>
      <c r="Q4410" s="404"/>
      <c r="R4410" s="404"/>
      <c r="S4410" s="404"/>
      <c r="T4410" s="404"/>
      <c r="U4410" s="404"/>
      <c r="V4410" s="404"/>
      <c r="W4410" s="404"/>
      <c r="X4410" s="404"/>
      <c r="Y4410" s="404"/>
      <c r="Z4410" s="404"/>
      <c r="AA4410" s="404"/>
      <c r="AB4410" s="404"/>
      <c r="AC4410" s="404"/>
      <c r="AD4410" s="404"/>
      <c r="AE4410" s="404"/>
      <c r="AF4410" s="404"/>
      <c r="AG4410" s="404"/>
      <c r="AH4410" s="404"/>
      <c r="AI4410" s="404"/>
      <c r="AJ4410" s="404"/>
      <c r="AK4410" s="404"/>
      <c r="AL4410" s="404"/>
      <c r="AM4410" s="404"/>
      <c r="AN4410" s="404"/>
      <c r="AO4410" s="404"/>
      <c r="AP4410" s="404"/>
      <c r="AQ4410" s="404"/>
      <c r="AR4410" s="404"/>
      <c r="AS4410" s="404"/>
      <c r="AT4410" s="404"/>
      <c r="AU4410" s="404"/>
      <c r="AV4410" s="404"/>
      <c r="AW4410" s="404"/>
      <c r="AX4410" s="404"/>
      <c r="AY4410" s="404"/>
      <c r="AZ4410" s="404"/>
      <c r="BA4410" s="404"/>
      <c r="BB4410" s="404"/>
      <c r="BC4410" s="404"/>
      <c r="BD4410" s="404"/>
      <c r="BE4410" s="404"/>
      <c r="BF4410" s="404"/>
      <c r="BG4410" s="404"/>
      <c r="BH4410" s="404"/>
      <c r="BI4410" s="404"/>
      <c r="BJ4410" s="404"/>
      <c r="BK4410" s="404"/>
      <c r="BL4410" s="404"/>
    </row>
    <row r="4411" spans="1:64" ht="25">
      <c r="A4411" s="406"/>
      <c r="B4411" s="406"/>
      <c r="C4411" s="435" t="s">
        <v>1527</v>
      </c>
      <c r="D4411" s="406">
        <v>103.09</v>
      </c>
      <c r="E4411" s="406" t="s">
        <v>833</v>
      </c>
      <c r="F4411" s="432">
        <f>'[161]Civil-SOR'!$G$35</f>
        <v>68</v>
      </c>
      <c r="G4411" s="406">
        <v>1</v>
      </c>
      <c r="H4411" s="406" t="s">
        <v>312</v>
      </c>
      <c r="I4411" s="432">
        <f t="shared" ref="I4411:I4417" si="967">IF(G4411="",D4411*F4411,(D4411*F4411/G4411))</f>
        <v>7010.12</v>
      </c>
      <c r="J4411" s="462"/>
      <c r="K4411" s="463"/>
      <c r="L4411" s="463"/>
      <c r="M4411" s="464"/>
      <c r="N4411" s="464"/>
      <c r="O4411" s="464"/>
      <c r="P4411" s="464"/>
      <c r="Q4411" s="464"/>
      <c r="R4411" s="464"/>
      <c r="S4411" s="464"/>
      <c r="T4411" s="464"/>
      <c r="U4411" s="464"/>
      <c r="V4411" s="464"/>
      <c r="W4411" s="464"/>
      <c r="X4411" s="464"/>
      <c r="Y4411" s="464"/>
      <c r="Z4411" s="464"/>
      <c r="AA4411" s="464"/>
      <c r="AB4411" s="464"/>
      <c r="AC4411" s="464"/>
      <c r="AD4411" s="464"/>
      <c r="AE4411" s="464"/>
      <c r="AF4411" s="464"/>
      <c r="AG4411" s="464"/>
      <c r="AH4411" s="464"/>
      <c r="AI4411" s="464"/>
      <c r="AJ4411" s="464"/>
      <c r="AK4411" s="464"/>
      <c r="AL4411" s="464"/>
      <c r="AM4411" s="464"/>
      <c r="AN4411" s="464"/>
      <c r="AO4411" s="464"/>
      <c r="AP4411" s="464"/>
      <c r="AQ4411" s="464"/>
      <c r="AR4411" s="464"/>
      <c r="AS4411" s="464"/>
      <c r="AT4411" s="464"/>
      <c r="AU4411" s="464"/>
      <c r="AV4411" s="464"/>
      <c r="AW4411" s="464"/>
      <c r="AX4411" s="464"/>
      <c r="AY4411" s="464"/>
      <c r="AZ4411" s="464"/>
      <c r="BA4411" s="464"/>
      <c r="BB4411" s="464"/>
      <c r="BC4411" s="464"/>
      <c r="BD4411" s="464"/>
      <c r="BE4411" s="464"/>
      <c r="BF4411" s="464"/>
      <c r="BG4411" s="464"/>
      <c r="BH4411" s="464"/>
      <c r="BI4411" s="464"/>
      <c r="BJ4411" s="464"/>
      <c r="BK4411" s="464"/>
      <c r="BL4411" s="464"/>
    </row>
    <row r="4412" spans="1:64" ht="25">
      <c r="A4412" s="406"/>
      <c r="B4412" s="406"/>
      <c r="C4412" s="435" t="s">
        <v>1528</v>
      </c>
      <c r="D4412" s="406">
        <v>47.91</v>
      </c>
      <c r="E4412" s="406" t="s">
        <v>375</v>
      </c>
      <c r="F4412" s="432">
        <f>'[161]Civil-SOR'!$G$37</f>
        <v>8</v>
      </c>
      <c r="G4412" s="406">
        <v>1</v>
      </c>
      <c r="H4412" s="406" t="s">
        <v>678</v>
      </c>
      <c r="I4412" s="432">
        <f t="shared" si="967"/>
        <v>383.28</v>
      </c>
      <c r="J4412" s="462"/>
      <c r="K4412" s="463"/>
      <c r="L4412" s="463"/>
      <c r="M4412" s="464"/>
      <c r="N4412" s="464"/>
      <c r="O4412" s="464"/>
      <c r="P4412" s="464"/>
      <c r="Q4412" s="464"/>
      <c r="R4412" s="464"/>
      <c r="S4412" s="464"/>
      <c r="T4412" s="464"/>
      <c r="U4412" s="464"/>
      <c r="V4412" s="464"/>
      <c r="W4412" s="464"/>
      <c r="X4412" s="464"/>
      <c r="Y4412" s="464"/>
      <c r="Z4412" s="464"/>
      <c r="AA4412" s="464"/>
      <c r="AB4412" s="464"/>
      <c r="AC4412" s="464"/>
      <c r="AD4412" s="464"/>
      <c r="AE4412" s="464"/>
      <c r="AF4412" s="464"/>
      <c r="AG4412" s="464"/>
      <c r="AH4412" s="464"/>
      <c r="AI4412" s="464"/>
      <c r="AJ4412" s="464"/>
      <c r="AK4412" s="464"/>
      <c r="AL4412" s="464"/>
      <c r="AM4412" s="464"/>
      <c r="AN4412" s="464"/>
      <c r="AO4412" s="464"/>
      <c r="AP4412" s="464"/>
      <c r="AQ4412" s="464"/>
      <c r="AR4412" s="464"/>
      <c r="AS4412" s="464"/>
      <c r="AT4412" s="464"/>
      <c r="AU4412" s="464"/>
      <c r="AV4412" s="464"/>
      <c r="AW4412" s="464"/>
      <c r="AX4412" s="464"/>
      <c r="AY4412" s="464"/>
      <c r="AZ4412" s="464"/>
      <c r="BA4412" s="464"/>
      <c r="BB4412" s="464"/>
      <c r="BC4412" s="464"/>
      <c r="BD4412" s="464"/>
      <c r="BE4412" s="464"/>
      <c r="BF4412" s="464"/>
      <c r="BG4412" s="464"/>
      <c r="BH4412" s="464"/>
      <c r="BI4412" s="464"/>
      <c r="BJ4412" s="464"/>
      <c r="BK4412" s="464"/>
      <c r="BL4412" s="464"/>
    </row>
    <row r="4413" spans="1:64" ht="37.5">
      <c r="A4413" s="406"/>
      <c r="B4413" s="406"/>
      <c r="C4413" s="435" t="s">
        <v>1529</v>
      </c>
      <c r="D4413" s="406">
        <v>43.9</v>
      </c>
      <c r="E4413" s="406" t="s">
        <v>375</v>
      </c>
      <c r="F4413" s="432">
        <f>'[161]Civil-SOR'!$G$38</f>
        <v>12</v>
      </c>
      <c r="G4413" s="406">
        <v>1</v>
      </c>
      <c r="H4413" s="406" t="s">
        <v>678</v>
      </c>
      <c r="I4413" s="432">
        <f t="shared" si="967"/>
        <v>526.79999999999995</v>
      </c>
      <c r="J4413" s="462"/>
      <c r="K4413" s="463"/>
      <c r="L4413" s="463"/>
      <c r="M4413" s="464"/>
      <c r="N4413" s="464"/>
      <c r="O4413" s="464"/>
      <c r="P4413" s="464"/>
      <c r="Q4413" s="464"/>
      <c r="R4413" s="464"/>
      <c r="S4413" s="464"/>
      <c r="T4413" s="464"/>
      <c r="U4413" s="464"/>
      <c r="V4413" s="464"/>
      <c r="W4413" s="464"/>
      <c r="X4413" s="464"/>
      <c r="Y4413" s="464"/>
      <c r="Z4413" s="464"/>
      <c r="AA4413" s="464"/>
      <c r="AB4413" s="464"/>
      <c r="AC4413" s="464"/>
      <c r="AD4413" s="464"/>
      <c r="AE4413" s="464"/>
      <c r="AF4413" s="464"/>
      <c r="AG4413" s="464"/>
      <c r="AH4413" s="464"/>
      <c r="AI4413" s="464"/>
      <c r="AJ4413" s="464"/>
      <c r="AK4413" s="464"/>
      <c r="AL4413" s="464"/>
      <c r="AM4413" s="464"/>
      <c r="AN4413" s="464"/>
      <c r="AO4413" s="464"/>
      <c r="AP4413" s="464"/>
      <c r="AQ4413" s="464"/>
      <c r="AR4413" s="464"/>
      <c r="AS4413" s="464"/>
      <c r="AT4413" s="464"/>
      <c r="AU4413" s="464"/>
      <c r="AV4413" s="464"/>
      <c r="AW4413" s="464"/>
      <c r="AX4413" s="464"/>
      <c r="AY4413" s="464"/>
      <c r="AZ4413" s="464"/>
      <c r="BA4413" s="464"/>
      <c r="BB4413" s="464"/>
      <c r="BC4413" s="464"/>
      <c r="BD4413" s="464"/>
      <c r="BE4413" s="464"/>
      <c r="BF4413" s="464"/>
      <c r="BG4413" s="464"/>
      <c r="BH4413" s="464"/>
      <c r="BI4413" s="464"/>
      <c r="BJ4413" s="464"/>
      <c r="BK4413" s="464"/>
      <c r="BL4413" s="464"/>
    </row>
    <row r="4414" spans="1:64" ht="25">
      <c r="A4414" s="406"/>
      <c r="B4414" s="406"/>
      <c r="C4414" s="435" t="s">
        <v>1530</v>
      </c>
      <c r="D4414" s="406">
        <v>91.82</v>
      </c>
      <c r="E4414" s="406" t="s">
        <v>375</v>
      </c>
      <c r="F4414" s="432">
        <f>'[161]Civil-SOR'!$G$40</f>
        <v>4</v>
      </c>
      <c r="G4414" s="406">
        <v>1</v>
      </c>
      <c r="H4414" s="406" t="s">
        <v>678</v>
      </c>
      <c r="I4414" s="432">
        <f t="shared" si="967"/>
        <v>367.28</v>
      </c>
      <c r="J4414" s="462"/>
      <c r="K4414" s="463"/>
      <c r="L4414" s="463"/>
      <c r="M4414" s="464"/>
      <c r="N4414" s="464"/>
      <c r="O4414" s="464"/>
      <c r="P4414" s="464"/>
      <c r="Q4414" s="464"/>
      <c r="R4414" s="464"/>
      <c r="S4414" s="464"/>
      <c r="T4414" s="464"/>
      <c r="U4414" s="464"/>
      <c r="V4414" s="464"/>
      <c r="W4414" s="464"/>
      <c r="X4414" s="464"/>
      <c r="Y4414" s="464"/>
      <c r="Z4414" s="464"/>
      <c r="AA4414" s="464"/>
      <c r="AB4414" s="464"/>
      <c r="AC4414" s="464"/>
      <c r="AD4414" s="464"/>
      <c r="AE4414" s="464"/>
      <c r="AF4414" s="464"/>
      <c r="AG4414" s="464"/>
      <c r="AH4414" s="464"/>
      <c r="AI4414" s="464"/>
      <c r="AJ4414" s="464"/>
      <c r="AK4414" s="464"/>
      <c r="AL4414" s="464"/>
      <c r="AM4414" s="464"/>
      <c r="AN4414" s="464"/>
      <c r="AO4414" s="464"/>
      <c r="AP4414" s="464"/>
      <c r="AQ4414" s="464"/>
      <c r="AR4414" s="464"/>
      <c r="AS4414" s="464"/>
      <c r="AT4414" s="464"/>
      <c r="AU4414" s="464"/>
      <c r="AV4414" s="464"/>
      <c r="AW4414" s="464"/>
      <c r="AX4414" s="464"/>
      <c r="AY4414" s="464"/>
      <c r="AZ4414" s="464"/>
      <c r="BA4414" s="464"/>
      <c r="BB4414" s="464"/>
      <c r="BC4414" s="464"/>
      <c r="BD4414" s="464"/>
      <c r="BE4414" s="464"/>
      <c r="BF4414" s="464"/>
      <c r="BG4414" s="464"/>
      <c r="BH4414" s="464"/>
      <c r="BI4414" s="464"/>
      <c r="BJ4414" s="464"/>
      <c r="BK4414" s="464"/>
      <c r="BL4414" s="464"/>
    </row>
    <row r="4415" spans="1:64">
      <c r="A4415" s="406"/>
      <c r="B4415" s="406"/>
      <c r="C4415" s="435" t="s">
        <v>1531</v>
      </c>
      <c r="D4415" s="406">
        <v>91.82</v>
      </c>
      <c r="E4415" s="406" t="s">
        <v>375</v>
      </c>
      <c r="F4415" s="432">
        <f>'[161]Civil-SOR'!$G$41</f>
        <v>4</v>
      </c>
      <c r="G4415" s="406">
        <v>1</v>
      </c>
      <c r="H4415" s="406" t="s">
        <v>678</v>
      </c>
      <c r="I4415" s="432">
        <f t="shared" si="967"/>
        <v>367.28</v>
      </c>
      <c r="J4415" s="462"/>
      <c r="K4415" s="463"/>
      <c r="L4415" s="463"/>
      <c r="M4415" s="464"/>
      <c r="N4415" s="464"/>
      <c r="O4415" s="464"/>
      <c r="P4415" s="464"/>
      <c r="Q4415" s="464"/>
      <c r="R4415" s="464"/>
      <c r="S4415" s="464"/>
      <c r="T4415" s="464"/>
      <c r="U4415" s="464"/>
      <c r="V4415" s="464"/>
      <c r="W4415" s="464"/>
      <c r="X4415" s="464"/>
      <c r="Y4415" s="464"/>
      <c r="Z4415" s="464"/>
      <c r="AA4415" s="464"/>
      <c r="AB4415" s="464"/>
      <c r="AC4415" s="464"/>
      <c r="AD4415" s="464"/>
      <c r="AE4415" s="464"/>
      <c r="AF4415" s="464"/>
      <c r="AG4415" s="464"/>
      <c r="AH4415" s="464"/>
      <c r="AI4415" s="464"/>
      <c r="AJ4415" s="464"/>
      <c r="AK4415" s="464"/>
      <c r="AL4415" s="464"/>
      <c r="AM4415" s="464"/>
      <c r="AN4415" s="464"/>
      <c r="AO4415" s="464"/>
      <c r="AP4415" s="464"/>
      <c r="AQ4415" s="464"/>
      <c r="AR4415" s="464"/>
      <c r="AS4415" s="464"/>
      <c r="AT4415" s="464"/>
      <c r="AU4415" s="464"/>
      <c r="AV4415" s="464"/>
      <c r="AW4415" s="464"/>
      <c r="AX4415" s="464"/>
      <c r="AY4415" s="464"/>
      <c r="AZ4415" s="464"/>
      <c r="BA4415" s="464"/>
      <c r="BB4415" s="464"/>
      <c r="BC4415" s="464"/>
      <c r="BD4415" s="464"/>
      <c r="BE4415" s="464"/>
      <c r="BF4415" s="464"/>
      <c r="BG4415" s="464"/>
      <c r="BH4415" s="464"/>
      <c r="BI4415" s="464"/>
      <c r="BJ4415" s="464"/>
      <c r="BK4415" s="464"/>
      <c r="BL4415" s="464"/>
    </row>
    <row r="4416" spans="1:64">
      <c r="A4416" s="406"/>
      <c r="B4416" s="406"/>
      <c r="C4416" s="435" t="s">
        <v>1532</v>
      </c>
      <c r="D4416" s="406">
        <v>0.14000000000000001</v>
      </c>
      <c r="E4416" s="406" t="s">
        <v>1149</v>
      </c>
      <c r="F4416" s="432">
        <f>'[161]Civil-SOR'!$G$59</f>
        <v>236</v>
      </c>
      <c r="G4416" s="406">
        <v>1</v>
      </c>
      <c r="H4416" s="406" t="s">
        <v>1361</v>
      </c>
      <c r="I4416" s="432">
        <f t="shared" si="967"/>
        <v>33.040000000000006</v>
      </c>
      <c r="J4416" s="462"/>
      <c r="K4416" s="463"/>
      <c r="L4416" s="463"/>
      <c r="M4416" s="464"/>
      <c r="N4416" s="464"/>
      <c r="O4416" s="464"/>
      <c r="P4416" s="464"/>
      <c r="Q4416" s="464"/>
      <c r="R4416" s="464"/>
      <c r="S4416" s="464"/>
      <c r="T4416" s="464"/>
      <c r="U4416" s="464"/>
      <c r="V4416" s="464"/>
      <c r="W4416" s="464"/>
      <c r="X4416" s="464"/>
      <c r="Y4416" s="464"/>
      <c r="Z4416" s="464"/>
      <c r="AA4416" s="464"/>
      <c r="AB4416" s="464"/>
      <c r="AC4416" s="464"/>
      <c r="AD4416" s="464"/>
      <c r="AE4416" s="464"/>
      <c r="AF4416" s="464"/>
      <c r="AG4416" s="464"/>
      <c r="AH4416" s="464"/>
      <c r="AI4416" s="464"/>
      <c r="AJ4416" s="464"/>
      <c r="AK4416" s="464"/>
      <c r="AL4416" s="464"/>
      <c r="AM4416" s="464"/>
      <c r="AN4416" s="464"/>
      <c r="AO4416" s="464"/>
      <c r="AP4416" s="464"/>
      <c r="AQ4416" s="464"/>
      <c r="AR4416" s="464"/>
      <c r="AS4416" s="464"/>
      <c r="AT4416" s="464"/>
      <c r="AU4416" s="464"/>
      <c r="AV4416" s="464"/>
      <c r="AW4416" s="464"/>
      <c r="AX4416" s="464"/>
      <c r="AY4416" s="464"/>
      <c r="AZ4416" s="464"/>
      <c r="BA4416" s="464"/>
      <c r="BB4416" s="464"/>
      <c r="BC4416" s="464"/>
      <c r="BD4416" s="464"/>
      <c r="BE4416" s="464"/>
      <c r="BF4416" s="464"/>
      <c r="BG4416" s="464"/>
      <c r="BH4416" s="464"/>
      <c r="BI4416" s="464"/>
      <c r="BJ4416" s="464"/>
      <c r="BK4416" s="464"/>
      <c r="BL4416" s="464"/>
    </row>
    <row r="4417" spans="1:64">
      <c r="A4417" s="406"/>
      <c r="B4417" s="406"/>
      <c r="C4417" s="435" t="s">
        <v>1533</v>
      </c>
      <c r="D4417" s="406">
        <v>0.2</v>
      </c>
      <c r="E4417" s="406" t="s">
        <v>1149</v>
      </c>
      <c r="F4417" s="432">
        <f>'[161]Civil-SOR'!$G$70</f>
        <v>289</v>
      </c>
      <c r="G4417" s="406">
        <v>1</v>
      </c>
      <c r="H4417" s="406" t="s">
        <v>1361</v>
      </c>
      <c r="I4417" s="432">
        <f t="shared" si="967"/>
        <v>57.800000000000004</v>
      </c>
      <c r="J4417" s="462"/>
      <c r="K4417" s="463"/>
      <c r="L4417" s="463"/>
      <c r="M4417" s="464"/>
      <c r="N4417" s="464"/>
      <c r="O4417" s="464"/>
      <c r="P4417" s="464"/>
      <c r="Q4417" s="464"/>
      <c r="R4417" s="464"/>
      <c r="S4417" s="464"/>
      <c r="T4417" s="464"/>
      <c r="U4417" s="464"/>
      <c r="V4417" s="464"/>
      <c r="W4417" s="464"/>
      <c r="X4417" s="464"/>
      <c r="Y4417" s="464"/>
      <c r="Z4417" s="464"/>
      <c r="AA4417" s="464"/>
      <c r="AB4417" s="464"/>
      <c r="AC4417" s="464"/>
      <c r="AD4417" s="464"/>
      <c r="AE4417" s="464"/>
      <c r="AF4417" s="464"/>
      <c r="AG4417" s="464"/>
      <c r="AH4417" s="464"/>
      <c r="AI4417" s="464"/>
      <c r="AJ4417" s="464"/>
      <c r="AK4417" s="464"/>
      <c r="AL4417" s="464"/>
      <c r="AM4417" s="464"/>
      <c r="AN4417" s="464"/>
      <c r="AO4417" s="464"/>
      <c r="AP4417" s="464"/>
      <c r="AQ4417" s="464"/>
      <c r="AR4417" s="464"/>
      <c r="AS4417" s="464"/>
      <c r="AT4417" s="464"/>
      <c r="AU4417" s="464"/>
      <c r="AV4417" s="464"/>
      <c r="AW4417" s="464"/>
      <c r="AX4417" s="464"/>
      <c r="AY4417" s="464"/>
      <c r="AZ4417" s="464"/>
      <c r="BA4417" s="464"/>
      <c r="BB4417" s="464"/>
      <c r="BC4417" s="464"/>
      <c r="BD4417" s="464"/>
      <c r="BE4417" s="464"/>
      <c r="BF4417" s="464"/>
      <c r="BG4417" s="464"/>
      <c r="BH4417" s="464"/>
      <c r="BI4417" s="464"/>
      <c r="BJ4417" s="464"/>
      <c r="BK4417" s="464"/>
      <c r="BL4417" s="464"/>
    </row>
    <row r="4418" spans="1:64" ht="13">
      <c r="A4418" s="406"/>
      <c r="B4418" s="406"/>
      <c r="C4418" s="473" t="s">
        <v>1043</v>
      </c>
      <c r="D4418" s="406"/>
      <c r="E4418" s="406"/>
      <c r="F4418" s="432"/>
      <c r="G4418" s="406"/>
      <c r="H4418" s="406"/>
      <c r="I4418" s="432"/>
      <c r="J4418" s="462"/>
      <c r="K4418" s="463"/>
      <c r="L4418" s="463"/>
      <c r="M4418" s="464"/>
      <c r="N4418" s="464"/>
      <c r="O4418" s="464"/>
      <c r="P4418" s="464"/>
      <c r="Q4418" s="464"/>
      <c r="R4418" s="464"/>
      <c r="S4418" s="464"/>
      <c r="T4418" s="464"/>
      <c r="U4418" s="464"/>
      <c r="V4418" s="464"/>
      <c r="W4418" s="464"/>
      <c r="X4418" s="464"/>
      <c r="Y4418" s="464"/>
      <c r="Z4418" s="464"/>
      <c r="AA4418" s="464"/>
      <c r="AB4418" s="464"/>
      <c r="AC4418" s="464"/>
      <c r="AD4418" s="464"/>
      <c r="AE4418" s="464"/>
      <c r="AF4418" s="464"/>
      <c r="AG4418" s="464"/>
      <c r="AH4418" s="464"/>
      <c r="AI4418" s="464"/>
      <c r="AJ4418" s="464"/>
      <c r="AK4418" s="464"/>
      <c r="AL4418" s="464"/>
      <c r="AM4418" s="464"/>
      <c r="AN4418" s="464"/>
      <c r="AO4418" s="464"/>
      <c r="AP4418" s="464"/>
      <c r="AQ4418" s="464"/>
      <c r="AR4418" s="464"/>
      <c r="AS4418" s="464"/>
      <c r="AT4418" s="464"/>
      <c r="AU4418" s="464"/>
      <c r="AV4418" s="464"/>
      <c r="AW4418" s="464"/>
      <c r="AX4418" s="464"/>
      <c r="AY4418" s="464"/>
      <c r="AZ4418" s="464"/>
      <c r="BA4418" s="464"/>
      <c r="BB4418" s="464"/>
      <c r="BC4418" s="464"/>
      <c r="BD4418" s="464"/>
      <c r="BE4418" s="464"/>
      <c r="BF4418" s="464"/>
      <c r="BG4418" s="464"/>
      <c r="BH4418" s="464"/>
      <c r="BI4418" s="464"/>
      <c r="BJ4418" s="464"/>
      <c r="BK4418" s="464"/>
      <c r="BL4418" s="464"/>
    </row>
    <row r="4419" spans="1:64">
      <c r="A4419" s="406"/>
      <c r="B4419" s="406"/>
      <c r="C4419" s="435" t="s">
        <v>1534</v>
      </c>
      <c r="D4419" s="406"/>
      <c r="E4419" s="406"/>
      <c r="F4419" s="432"/>
      <c r="G4419" s="406"/>
      <c r="H4419" s="406"/>
      <c r="I4419" s="432"/>
      <c r="J4419" s="462"/>
      <c r="K4419" s="463"/>
      <c r="L4419" s="463"/>
      <c r="M4419" s="464"/>
      <c r="N4419" s="464"/>
      <c r="O4419" s="464"/>
      <c r="P4419" s="464"/>
      <c r="Q4419" s="464"/>
      <c r="R4419" s="464"/>
      <c r="S4419" s="464"/>
      <c r="T4419" s="464"/>
      <c r="U4419" s="464"/>
      <c r="V4419" s="464"/>
      <c r="W4419" s="464"/>
      <c r="X4419" s="464"/>
      <c r="Y4419" s="464"/>
      <c r="Z4419" s="464"/>
      <c r="AA4419" s="464"/>
      <c r="AB4419" s="464"/>
      <c r="AC4419" s="464"/>
      <c r="AD4419" s="464"/>
      <c r="AE4419" s="464"/>
      <c r="AF4419" s="464"/>
      <c r="AG4419" s="464"/>
      <c r="AH4419" s="464"/>
      <c r="AI4419" s="464"/>
      <c r="AJ4419" s="464"/>
      <c r="AK4419" s="464"/>
      <c r="AL4419" s="464"/>
      <c r="AM4419" s="464"/>
      <c r="AN4419" s="464"/>
      <c r="AO4419" s="464"/>
      <c r="AP4419" s="464"/>
      <c r="AQ4419" s="464"/>
      <c r="AR4419" s="464"/>
      <c r="AS4419" s="464"/>
      <c r="AT4419" s="464"/>
      <c r="AU4419" s="464"/>
      <c r="AV4419" s="464"/>
      <c r="AW4419" s="464"/>
      <c r="AX4419" s="464"/>
      <c r="AY4419" s="464"/>
      <c r="AZ4419" s="464"/>
      <c r="BA4419" s="464"/>
      <c r="BB4419" s="464"/>
      <c r="BC4419" s="464"/>
      <c r="BD4419" s="464"/>
      <c r="BE4419" s="464"/>
      <c r="BF4419" s="464"/>
      <c r="BG4419" s="464"/>
      <c r="BH4419" s="464"/>
      <c r="BI4419" s="464"/>
      <c r="BJ4419" s="464"/>
      <c r="BK4419" s="464"/>
      <c r="BL4419" s="464"/>
    </row>
    <row r="4420" spans="1:64">
      <c r="A4420" s="406"/>
      <c r="B4420" s="406"/>
      <c r="C4420" s="435" t="s">
        <v>1535</v>
      </c>
      <c r="D4420" s="406">
        <v>0.84</v>
      </c>
      <c r="E4420" s="406" t="s">
        <v>375</v>
      </c>
      <c r="F4420" s="432">
        <f>'[161]Civil-SOR'!$G$300</f>
        <v>550</v>
      </c>
      <c r="G4420" s="406">
        <v>1</v>
      </c>
      <c r="H4420" s="406" t="s">
        <v>678</v>
      </c>
      <c r="I4420" s="432">
        <f t="shared" ref="I4420:I4421" si="968">IF(G4420="",D4420*F4420,(D4420*F4420/G4420))</f>
        <v>462</v>
      </c>
      <c r="J4420" s="462"/>
      <c r="K4420" s="463"/>
      <c r="L4420" s="463"/>
      <c r="M4420" s="464"/>
      <c r="N4420" s="464"/>
      <c r="O4420" s="464"/>
      <c r="P4420" s="464"/>
      <c r="Q4420" s="464"/>
      <c r="R4420" s="464"/>
      <c r="S4420" s="464"/>
      <c r="T4420" s="464"/>
      <c r="U4420" s="464"/>
      <c r="V4420" s="464"/>
      <c r="W4420" s="464"/>
      <c r="X4420" s="464"/>
      <c r="Y4420" s="464"/>
      <c r="Z4420" s="464"/>
      <c r="AA4420" s="464"/>
      <c r="AB4420" s="464"/>
      <c r="AC4420" s="464"/>
      <c r="AD4420" s="464"/>
      <c r="AE4420" s="464"/>
      <c r="AF4420" s="464"/>
      <c r="AG4420" s="464"/>
      <c r="AH4420" s="464"/>
      <c r="AI4420" s="464"/>
      <c r="AJ4420" s="464"/>
      <c r="AK4420" s="464"/>
      <c r="AL4420" s="464"/>
      <c r="AM4420" s="464"/>
      <c r="AN4420" s="464"/>
      <c r="AO4420" s="464"/>
      <c r="AP4420" s="464"/>
      <c r="AQ4420" s="464"/>
      <c r="AR4420" s="464"/>
      <c r="AS4420" s="464"/>
      <c r="AT4420" s="464"/>
      <c r="AU4420" s="464"/>
      <c r="AV4420" s="464"/>
      <c r="AW4420" s="464"/>
      <c r="AX4420" s="464"/>
      <c r="AY4420" s="464"/>
      <c r="AZ4420" s="464"/>
      <c r="BA4420" s="464"/>
      <c r="BB4420" s="464"/>
      <c r="BC4420" s="464"/>
      <c r="BD4420" s="464"/>
      <c r="BE4420" s="464"/>
      <c r="BF4420" s="464"/>
      <c r="BG4420" s="464"/>
      <c r="BH4420" s="464"/>
      <c r="BI4420" s="464"/>
      <c r="BJ4420" s="464"/>
      <c r="BK4420" s="464"/>
      <c r="BL4420" s="464"/>
    </row>
    <row r="4421" spans="1:64">
      <c r="A4421" s="406"/>
      <c r="B4421" s="406"/>
      <c r="C4421" s="435" t="s">
        <v>1536</v>
      </c>
      <c r="D4421" s="406">
        <v>0.91</v>
      </c>
      <c r="E4421" s="406" t="s">
        <v>375</v>
      </c>
      <c r="F4421" s="432">
        <f>'[161]Civil-SOR'!$G$307</f>
        <v>520</v>
      </c>
      <c r="G4421" s="406">
        <v>1</v>
      </c>
      <c r="H4421" s="406" t="s">
        <v>678</v>
      </c>
      <c r="I4421" s="432">
        <f t="shared" si="968"/>
        <v>473.2</v>
      </c>
      <c r="J4421" s="462"/>
      <c r="K4421" s="463"/>
      <c r="L4421" s="463"/>
      <c r="M4421" s="464"/>
      <c r="N4421" s="464"/>
      <c r="O4421" s="464"/>
      <c r="P4421" s="464"/>
      <c r="Q4421" s="464"/>
      <c r="R4421" s="464"/>
      <c r="S4421" s="464"/>
      <c r="T4421" s="464"/>
      <c r="U4421" s="464"/>
      <c r="V4421" s="464"/>
      <c r="W4421" s="464"/>
      <c r="X4421" s="464"/>
      <c r="Y4421" s="464"/>
      <c r="Z4421" s="464"/>
      <c r="AA4421" s="464"/>
      <c r="AB4421" s="464"/>
      <c r="AC4421" s="464"/>
      <c r="AD4421" s="464"/>
      <c r="AE4421" s="464"/>
      <c r="AF4421" s="464"/>
      <c r="AG4421" s="464"/>
      <c r="AH4421" s="464"/>
      <c r="AI4421" s="464"/>
      <c r="AJ4421" s="464"/>
      <c r="AK4421" s="464"/>
      <c r="AL4421" s="464"/>
      <c r="AM4421" s="464"/>
      <c r="AN4421" s="464"/>
      <c r="AO4421" s="464"/>
      <c r="AP4421" s="464"/>
      <c r="AQ4421" s="464"/>
      <c r="AR4421" s="464"/>
      <c r="AS4421" s="464"/>
      <c r="AT4421" s="464"/>
      <c r="AU4421" s="464"/>
      <c r="AV4421" s="464"/>
      <c r="AW4421" s="464"/>
      <c r="AX4421" s="464"/>
      <c r="AY4421" s="464"/>
      <c r="AZ4421" s="464"/>
      <c r="BA4421" s="464"/>
      <c r="BB4421" s="464"/>
      <c r="BC4421" s="464"/>
      <c r="BD4421" s="464"/>
      <c r="BE4421" s="464"/>
      <c r="BF4421" s="464"/>
      <c r="BG4421" s="464"/>
      <c r="BH4421" s="464"/>
      <c r="BI4421" s="464"/>
      <c r="BJ4421" s="464"/>
      <c r="BK4421" s="464"/>
      <c r="BL4421" s="464"/>
    </row>
    <row r="4422" spans="1:64">
      <c r="A4422" s="406"/>
      <c r="B4422" s="406"/>
      <c r="C4422" s="435" t="s">
        <v>1537</v>
      </c>
      <c r="D4422" s="406"/>
      <c r="E4422" s="406"/>
      <c r="F4422" s="432"/>
      <c r="G4422" s="406"/>
      <c r="H4422" s="406"/>
      <c r="I4422" s="432"/>
      <c r="J4422" s="462"/>
      <c r="K4422" s="463"/>
      <c r="L4422" s="463"/>
      <c r="M4422" s="464"/>
      <c r="N4422" s="464"/>
      <c r="O4422" s="464"/>
      <c r="P4422" s="464"/>
      <c r="Q4422" s="464"/>
      <c r="R4422" s="464"/>
      <c r="S4422" s="464"/>
      <c r="T4422" s="464"/>
      <c r="U4422" s="464"/>
      <c r="V4422" s="464"/>
      <c r="W4422" s="464"/>
      <c r="X4422" s="464"/>
      <c r="Y4422" s="464"/>
      <c r="Z4422" s="464"/>
      <c r="AA4422" s="464"/>
      <c r="AB4422" s="464"/>
      <c r="AC4422" s="464"/>
      <c r="AD4422" s="464"/>
      <c r="AE4422" s="464"/>
      <c r="AF4422" s="464"/>
      <c r="AG4422" s="464"/>
      <c r="AH4422" s="464"/>
      <c r="AI4422" s="464"/>
      <c r="AJ4422" s="464"/>
      <c r="AK4422" s="464"/>
      <c r="AL4422" s="464"/>
      <c r="AM4422" s="464"/>
      <c r="AN4422" s="464"/>
      <c r="AO4422" s="464"/>
      <c r="AP4422" s="464"/>
      <c r="AQ4422" s="464"/>
      <c r="AR4422" s="464"/>
      <c r="AS4422" s="464"/>
      <c r="AT4422" s="464"/>
      <c r="AU4422" s="464"/>
      <c r="AV4422" s="464"/>
      <c r="AW4422" s="464"/>
      <c r="AX4422" s="464"/>
      <c r="AY4422" s="464"/>
      <c r="AZ4422" s="464"/>
      <c r="BA4422" s="464"/>
      <c r="BB4422" s="464"/>
      <c r="BC4422" s="464"/>
      <c r="BD4422" s="464"/>
      <c r="BE4422" s="464"/>
      <c r="BF4422" s="464"/>
      <c r="BG4422" s="464"/>
      <c r="BH4422" s="464"/>
      <c r="BI4422" s="464"/>
      <c r="BJ4422" s="464"/>
      <c r="BK4422" s="464"/>
      <c r="BL4422" s="464"/>
    </row>
    <row r="4423" spans="1:64">
      <c r="A4423" s="406"/>
      <c r="B4423" s="406"/>
      <c r="C4423" s="435" t="s">
        <v>1343</v>
      </c>
      <c r="D4423" s="406">
        <v>1.7999999999999999E-2</v>
      </c>
      <c r="E4423" s="406" t="s">
        <v>375</v>
      </c>
      <c r="F4423" s="432">
        <f>'[161]Civil-SOR'!$G$296</f>
        <v>665</v>
      </c>
      <c r="G4423" s="406">
        <v>1</v>
      </c>
      <c r="H4423" s="406" t="s">
        <v>678</v>
      </c>
      <c r="I4423" s="432">
        <f t="shared" ref="I4423:I4425" si="969">IF(G4423="",D4423*F4423,(D4423*F4423/G4423))</f>
        <v>11.969999999999999</v>
      </c>
      <c r="J4423" s="462"/>
      <c r="K4423" s="463"/>
      <c r="L4423" s="463"/>
      <c r="M4423" s="464"/>
      <c r="N4423" s="464"/>
      <c r="O4423" s="464"/>
      <c r="P4423" s="464"/>
      <c r="Q4423" s="464"/>
      <c r="R4423" s="464"/>
      <c r="S4423" s="464"/>
      <c r="T4423" s="464"/>
      <c r="U4423" s="464"/>
      <c r="V4423" s="464"/>
      <c r="W4423" s="464"/>
      <c r="X4423" s="464"/>
      <c r="Y4423" s="464"/>
      <c r="Z4423" s="464"/>
      <c r="AA4423" s="464"/>
      <c r="AB4423" s="464"/>
      <c r="AC4423" s="464"/>
      <c r="AD4423" s="464"/>
      <c r="AE4423" s="464"/>
      <c r="AF4423" s="464"/>
      <c r="AG4423" s="464"/>
      <c r="AH4423" s="464"/>
      <c r="AI4423" s="464"/>
      <c r="AJ4423" s="464"/>
      <c r="AK4423" s="464"/>
      <c r="AL4423" s="464"/>
      <c r="AM4423" s="464"/>
      <c r="AN4423" s="464"/>
      <c r="AO4423" s="464"/>
      <c r="AP4423" s="464"/>
      <c r="AQ4423" s="464"/>
      <c r="AR4423" s="464"/>
      <c r="AS4423" s="464"/>
      <c r="AT4423" s="464"/>
      <c r="AU4423" s="464"/>
      <c r="AV4423" s="464"/>
      <c r="AW4423" s="464"/>
      <c r="AX4423" s="464"/>
      <c r="AY4423" s="464"/>
      <c r="AZ4423" s="464"/>
      <c r="BA4423" s="464"/>
      <c r="BB4423" s="464"/>
      <c r="BC4423" s="464"/>
      <c r="BD4423" s="464"/>
      <c r="BE4423" s="464"/>
      <c r="BF4423" s="464"/>
      <c r="BG4423" s="464"/>
      <c r="BH4423" s="464"/>
      <c r="BI4423" s="464"/>
      <c r="BJ4423" s="464"/>
      <c r="BK4423" s="464"/>
      <c r="BL4423" s="464"/>
    </row>
    <row r="4424" spans="1:64">
      <c r="A4424" s="406"/>
      <c r="B4424" s="406"/>
      <c r="C4424" s="435" t="s">
        <v>1343</v>
      </c>
      <c r="D4424" s="406">
        <v>4.2000000000000003E-2</v>
      </c>
      <c r="E4424" s="406" t="s">
        <v>375</v>
      </c>
      <c r="F4424" s="432">
        <f>'[161]Civil-SOR'!$G$303</f>
        <v>550</v>
      </c>
      <c r="G4424" s="406">
        <v>1</v>
      </c>
      <c r="H4424" s="406" t="s">
        <v>678</v>
      </c>
      <c r="I4424" s="432">
        <f t="shared" si="969"/>
        <v>23.1</v>
      </c>
      <c r="J4424" s="462"/>
      <c r="K4424" s="463"/>
      <c r="L4424" s="463"/>
      <c r="M4424" s="464"/>
      <c r="N4424" s="464"/>
      <c r="O4424" s="464"/>
      <c r="P4424" s="464"/>
      <c r="Q4424" s="464"/>
      <c r="R4424" s="464"/>
      <c r="S4424" s="464"/>
      <c r="T4424" s="464"/>
      <c r="U4424" s="464"/>
      <c r="V4424" s="464"/>
      <c r="W4424" s="464"/>
      <c r="X4424" s="464"/>
      <c r="Y4424" s="464"/>
      <c r="Z4424" s="464"/>
      <c r="AA4424" s="464"/>
      <c r="AB4424" s="464"/>
      <c r="AC4424" s="464"/>
      <c r="AD4424" s="464"/>
      <c r="AE4424" s="464"/>
      <c r="AF4424" s="464"/>
      <c r="AG4424" s="464"/>
      <c r="AH4424" s="464"/>
      <c r="AI4424" s="464"/>
      <c r="AJ4424" s="464"/>
      <c r="AK4424" s="464"/>
      <c r="AL4424" s="464"/>
      <c r="AM4424" s="464"/>
      <c r="AN4424" s="464"/>
      <c r="AO4424" s="464"/>
      <c r="AP4424" s="464"/>
      <c r="AQ4424" s="464"/>
      <c r="AR4424" s="464"/>
      <c r="AS4424" s="464"/>
      <c r="AT4424" s="464"/>
      <c r="AU4424" s="464"/>
      <c r="AV4424" s="464"/>
      <c r="AW4424" s="464"/>
      <c r="AX4424" s="464"/>
      <c r="AY4424" s="464"/>
      <c r="AZ4424" s="464"/>
      <c r="BA4424" s="464"/>
      <c r="BB4424" s="464"/>
      <c r="BC4424" s="464"/>
      <c r="BD4424" s="464"/>
      <c r="BE4424" s="464"/>
      <c r="BF4424" s="464"/>
      <c r="BG4424" s="464"/>
      <c r="BH4424" s="464"/>
      <c r="BI4424" s="464"/>
      <c r="BJ4424" s="464"/>
      <c r="BK4424" s="464"/>
      <c r="BL4424" s="464"/>
    </row>
    <row r="4425" spans="1:64">
      <c r="A4425" s="406"/>
      <c r="B4425" s="406"/>
      <c r="C4425" s="435" t="s">
        <v>1538</v>
      </c>
      <c r="D4425" s="406">
        <v>0.06</v>
      </c>
      <c r="E4425" s="406" t="s">
        <v>375</v>
      </c>
      <c r="F4425" s="432">
        <f>'[161]Civil-SOR'!$G$307</f>
        <v>520</v>
      </c>
      <c r="G4425" s="406">
        <v>1</v>
      </c>
      <c r="H4425" s="406" t="s">
        <v>678</v>
      </c>
      <c r="I4425" s="432">
        <f t="shared" si="969"/>
        <v>31.2</v>
      </c>
      <c r="J4425" s="462"/>
      <c r="K4425" s="463"/>
      <c r="L4425" s="463"/>
      <c r="M4425" s="464"/>
      <c r="N4425" s="464"/>
      <c r="O4425" s="464"/>
      <c r="P4425" s="464"/>
      <c r="Q4425" s="464"/>
      <c r="R4425" s="464"/>
      <c r="S4425" s="464"/>
      <c r="T4425" s="464"/>
      <c r="U4425" s="464"/>
      <c r="V4425" s="464"/>
      <c r="W4425" s="464"/>
      <c r="X4425" s="464"/>
      <c r="Y4425" s="464"/>
      <c r="Z4425" s="464"/>
      <c r="AA4425" s="464"/>
      <c r="AB4425" s="464"/>
      <c r="AC4425" s="464"/>
      <c r="AD4425" s="464"/>
      <c r="AE4425" s="464"/>
      <c r="AF4425" s="464"/>
      <c r="AG4425" s="464"/>
      <c r="AH4425" s="464"/>
      <c r="AI4425" s="464"/>
      <c r="AJ4425" s="464"/>
      <c r="AK4425" s="464"/>
      <c r="AL4425" s="464"/>
      <c r="AM4425" s="464"/>
      <c r="AN4425" s="464"/>
      <c r="AO4425" s="464"/>
      <c r="AP4425" s="464"/>
      <c r="AQ4425" s="464"/>
      <c r="AR4425" s="464"/>
      <c r="AS4425" s="464"/>
      <c r="AT4425" s="464"/>
      <c r="AU4425" s="464"/>
      <c r="AV4425" s="464"/>
      <c r="AW4425" s="464"/>
      <c r="AX4425" s="464"/>
      <c r="AY4425" s="464"/>
      <c r="AZ4425" s="464"/>
      <c r="BA4425" s="464"/>
      <c r="BB4425" s="464"/>
      <c r="BC4425" s="464"/>
      <c r="BD4425" s="464"/>
      <c r="BE4425" s="464"/>
      <c r="BF4425" s="464"/>
      <c r="BG4425" s="464"/>
      <c r="BH4425" s="464"/>
      <c r="BI4425" s="464"/>
      <c r="BJ4425" s="464"/>
      <c r="BK4425" s="464"/>
      <c r="BL4425" s="464"/>
    </row>
    <row r="4426" spans="1:64">
      <c r="A4426" s="406"/>
      <c r="B4426" s="406"/>
      <c r="C4426" s="435" t="s">
        <v>1539</v>
      </c>
      <c r="D4426" s="406"/>
      <c r="E4426" s="406"/>
      <c r="F4426" s="432"/>
      <c r="G4426" s="406"/>
      <c r="H4426" s="406"/>
      <c r="I4426" s="432"/>
      <c r="J4426" s="462"/>
      <c r="K4426" s="463"/>
      <c r="L4426" s="463"/>
      <c r="M4426" s="464"/>
      <c r="N4426" s="464"/>
      <c r="O4426" s="464"/>
      <c r="P4426" s="464"/>
      <c r="Q4426" s="464"/>
      <c r="R4426" s="464"/>
      <c r="S4426" s="464"/>
      <c r="T4426" s="464"/>
      <c r="U4426" s="464"/>
      <c r="V4426" s="464"/>
      <c r="W4426" s="464"/>
      <c r="X4426" s="464"/>
      <c r="Y4426" s="464"/>
      <c r="Z4426" s="464"/>
      <c r="AA4426" s="464"/>
      <c r="AB4426" s="464"/>
      <c r="AC4426" s="464"/>
      <c r="AD4426" s="464"/>
      <c r="AE4426" s="464"/>
      <c r="AF4426" s="464"/>
      <c r="AG4426" s="464"/>
      <c r="AH4426" s="464"/>
      <c r="AI4426" s="464"/>
      <c r="AJ4426" s="464"/>
      <c r="AK4426" s="464"/>
      <c r="AL4426" s="464"/>
      <c r="AM4426" s="464"/>
      <c r="AN4426" s="464"/>
      <c r="AO4426" s="464"/>
      <c r="AP4426" s="464"/>
      <c r="AQ4426" s="464"/>
      <c r="AR4426" s="464"/>
      <c r="AS4426" s="464"/>
      <c r="AT4426" s="464"/>
      <c r="AU4426" s="464"/>
      <c r="AV4426" s="464"/>
      <c r="AW4426" s="464"/>
      <c r="AX4426" s="464"/>
      <c r="AY4426" s="464"/>
      <c r="AZ4426" s="464"/>
      <c r="BA4426" s="464"/>
      <c r="BB4426" s="464"/>
      <c r="BC4426" s="464"/>
      <c r="BD4426" s="464"/>
      <c r="BE4426" s="464"/>
      <c r="BF4426" s="464"/>
      <c r="BG4426" s="464"/>
      <c r="BH4426" s="464"/>
      <c r="BI4426" s="464"/>
      <c r="BJ4426" s="464"/>
      <c r="BK4426" s="464"/>
      <c r="BL4426" s="464"/>
    </row>
    <row r="4427" spans="1:64">
      <c r="A4427" s="406"/>
      <c r="B4427" s="406"/>
      <c r="C4427" s="435" t="s">
        <v>1343</v>
      </c>
      <c r="D4427" s="406">
        <v>4.2000000000000003E-2</v>
      </c>
      <c r="E4427" s="406" t="s">
        <v>375</v>
      </c>
      <c r="F4427" s="432">
        <f>'[161]Civil-SOR'!$G$296</f>
        <v>665</v>
      </c>
      <c r="G4427" s="406">
        <v>1</v>
      </c>
      <c r="H4427" s="406" t="s">
        <v>678</v>
      </c>
      <c r="I4427" s="432">
        <f t="shared" ref="I4427:I4430" si="970">IF(G4427="",D4427*F4427,(D4427*F4427/G4427))</f>
        <v>27.930000000000003</v>
      </c>
      <c r="J4427" s="462"/>
      <c r="K4427" s="463"/>
      <c r="L4427" s="463"/>
      <c r="M4427" s="464"/>
      <c r="N4427" s="464"/>
      <c r="O4427" s="464"/>
      <c r="P4427" s="464"/>
      <c r="Q4427" s="464"/>
      <c r="R4427" s="464"/>
      <c r="S4427" s="464"/>
      <c r="T4427" s="464"/>
      <c r="U4427" s="464"/>
      <c r="V4427" s="464"/>
      <c r="W4427" s="464"/>
      <c r="X4427" s="464"/>
      <c r="Y4427" s="464"/>
      <c r="Z4427" s="464"/>
      <c r="AA4427" s="464"/>
      <c r="AB4427" s="464"/>
      <c r="AC4427" s="464"/>
      <c r="AD4427" s="464"/>
      <c r="AE4427" s="464"/>
      <c r="AF4427" s="464"/>
      <c r="AG4427" s="464"/>
      <c r="AH4427" s="464"/>
      <c r="AI4427" s="464"/>
      <c r="AJ4427" s="464"/>
      <c r="AK4427" s="464"/>
      <c r="AL4427" s="464"/>
      <c r="AM4427" s="464"/>
      <c r="AN4427" s="464"/>
      <c r="AO4427" s="464"/>
      <c r="AP4427" s="464"/>
      <c r="AQ4427" s="464"/>
      <c r="AR4427" s="464"/>
      <c r="AS4427" s="464"/>
      <c r="AT4427" s="464"/>
      <c r="AU4427" s="464"/>
      <c r="AV4427" s="464"/>
      <c r="AW4427" s="464"/>
      <c r="AX4427" s="464"/>
      <c r="AY4427" s="464"/>
      <c r="AZ4427" s="464"/>
      <c r="BA4427" s="464"/>
      <c r="BB4427" s="464"/>
      <c r="BC4427" s="464"/>
      <c r="BD4427" s="464"/>
      <c r="BE4427" s="464"/>
      <c r="BF4427" s="464"/>
      <c r="BG4427" s="464"/>
      <c r="BH4427" s="464"/>
      <c r="BI4427" s="464"/>
      <c r="BJ4427" s="464"/>
      <c r="BK4427" s="464"/>
      <c r="BL4427" s="464"/>
    </row>
    <row r="4428" spans="1:64">
      <c r="A4428" s="406"/>
      <c r="B4428" s="406"/>
      <c r="C4428" s="435" t="s">
        <v>1343</v>
      </c>
      <c r="D4428" s="406">
        <v>9.8000000000000004E-2</v>
      </c>
      <c r="E4428" s="406" t="s">
        <v>375</v>
      </c>
      <c r="F4428" s="432">
        <f>'[161]Civil-SOR'!$G$303</f>
        <v>550</v>
      </c>
      <c r="G4428" s="406">
        <v>1</v>
      </c>
      <c r="H4428" s="406" t="s">
        <v>678</v>
      </c>
      <c r="I4428" s="432">
        <f t="shared" si="970"/>
        <v>53.9</v>
      </c>
      <c r="J4428" s="462"/>
      <c r="K4428" s="463"/>
      <c r="L4428" s="463"/>
      <c r="M4428" s="464"/>
      <c r="N4428" s="464"/>
      <c r="O4428" s="464"/>
      <c r="P4428" s="464"/>
      <c r="Q4428" s="464"/>
      <c r="R4428" s="464"/>
      <c r="S4428" s="464"/>
      <c r="T4428" s="464"/>
      <c r="U4428" s="464"/>
      <c r="V4428" s="464"/>
      <c r="W4428" s="464"/>
      <c r="X4428" s="464"/>
      <c r="Y4428" s="464"/>
      <c r="Z4428" s="464"/>
      <c r="AA4428" s="464"/>
      <c r="AB4428" s="464"/>
      <c r="AC4428" s="464"/>
      <c r="AD4428" s="464"/>
      <c r="AE4428" s="464"/>
      <c r="AF4428" s="464"/>
      <c r="AG4428" s="464"/>
      <c r="AH4428" s="464"/>
      <c r="AI4428" s="464"/>
      <c r="AJ4428" s="464"/>
      <c r="AK4428" s="464"/>
      <c r="AL4428" s="464"/>
      <c r="AM4428" s="464"/>
      <c r="AN4428" s="464"/>
      <c r="AO4428" s="464"/>
      <c r="AP4428" s="464"/>
      <c r="AQ4428" s="464"/>
      <c r="AR4428" s="464"/>
      <c r="AS4428" s="464"/>
      <c r="AT4428" s="464"/>
      <c r="AU4428" s="464"/>
      <c r="AV4428" s="464"/>
      <c r="AW4428" s="464"/>
      <c r="AX4428" s="464"/>
      <c r="AY4428" s="464"/>
      <c r="AZ4428" s="464"/>
      <c r="BA4428" s="464"/>
      <c r="BB4428" s="464"/>
      <c r="BC4428" s="464"/>
      <c r="BD4428" s="464"/>
      <c r="BE4428" s="464"/>
      <c r="BF4428" s="464"/>
      <c r="BG4428" s="464"/>
      <c r="BH4428" s="464"/>
      <c r="BI4428" s="464"/>
      <c r="BJ4428" s="464"/>
      <c r="BK4428" s="464"/>
      <c r="BL4428" s="464"/>
    </row>
    <row r="4429" spans="1:64">
      <c r="A4429" s="406"/>
      <c r="B4429" s="406"/>
      <c r="C4429" s="435" t="s">
        <v>1540</v>
      </c>
      <c r="D4429" s="406">
        <v>0.14000000000000001</v>
      </c>
      <c r="E4429" s="406" t="s">
        <v>375</v>
      </c>
      <c r="F4429" s="432">
        <f>'[161]Civil-SOR'!$G$307</f>
        <v>520</v>
      </c>
      <c r="G4429" s="406">
        <v>1</v>
      </c>
      <c r="H4429" s="406" t="s">
        <v>678</v>
      </c>
      <c r="I4429" s="432">
        <f t="shared" si="970"/>
        <v>72.800000000000011</v>
      </c>
      <c r="J4429" s="462"/>
      <c r="K4429" s="463"/>
      <c r="L4429" s="463"/>
      <c r="M4429" s="464"/>
      <c r="N4429" s="464"/>
      <c r="O4429" s="464"/>
      <c r="P4429" s="464"/>
      <c r="Q4429" s="464"/>
      <c r="R4429" s="464"/>
      <c r="S4429" s="464"/>
      <c r="T4429" s="464"/>
      <c r="U4429" s="464"/>
      <c r="V4429" s="464"/>
      <c r="W4429" s="464"/>
      <c r="X4429" s="464"/>
      <c r="Y4429" s="464"/>
      <c r="Z4429" s="464"/>
      <c r="AA4429" s="464"/>
      <c r="AB4429" s="464"/>
      <c r="AC4429" s="464"/>
      <c r="AD4429" s="464"/>
      <c r="AE4429" s="464"/>
      <c r="AF4429" s="464"/>
      <c r="AG4429" s="464"/>
      <c r="AH4429" s="464"/>
      <c r="AI4429" s="464"/>
      <c r="AJ4429" s="464"/>
      <c r="AK4429" s="464"/>
      <c r="AL4429" s="464"/>
      <c r="AM4429" s="464"/>
      <c r="AN4429" s="464"/>
      <c r="AO4429" s="464"/>
      <c r="AP4429" s="464"/>
      <c r="AQ4429" s="464"/>
      <c r="AR4429" s="464"/>
      <c r="AS4429" s="464"/>
      <c r="AT4429" s="464"/>
      <c r="AU4429" s="464"/>
      <c r="AV4429" s="464"/>
      <c r="AW4429" s="464"/>
      <c r="AX4429" s="464"/>
      <c r="AY4429" s="464"/>
      <c r="AZ4429" s="464"/>
      <c r="BA4429" s="464"/>
      <c r="BB4429" s="464"/>
      <c r="BC4429" s="464"/>
      <c r="BD4429" s="464"/>
      <c r="BE4429" s="464"/>
      <c r="BF4429" s="464"/>
      <c r="BG4429" s="464"/>
      <c r="BH4429" s="464"/>
      <c r="BI4429" s="464"/>
      <c r="BJ4429" s="464"/>
      <c r="BK4429" s="464"/>
      <c r="BL4429" s="464"/>
    </row>
    <row r="4430" spans="1:64">
      <c r="A4430" s="406"/>
      <c r="B4430" s="406"/>
      <c r="C4430" s="435" t="str">
        <f>[161]Input!$C$47</f>
        <v>Add for MA @ 40%</v>
      </c>
      <c r="D4430" s="406">
        <f>[161]Input!$D$47</f>
        <v>0.4</v>
      </c>
      <c r="E4430" s="406"/>
      <c r="F4430" s="406">
        <f>SUM(I4420:I4429)</f>
        <v>1156.1000000000001</v>
      </c>
      <c r="G4430" s="406"/>
      <c r="H4430" s="406"/>
      <c r="I4430" s="432">
        <f t="shared" si="970"/>
        <v>462.44000000000005</v>
      </c>
      <c r="J4430" s="462"/>
      <c r="K4430" s="463"/>
      <c r="L4430" s="463"/>
      <c r="M4430" s="464"/>
      <c r="N4430" s="464"/>
      <c r="O4430" s="464"/>
      <c r="P4430" s="464"/>
      <c r="Q4430" s="464"/>
      <c r="R4430" s="464"/>
      <c r="S4430" s="464"/>
      <c r="T4430" s="464"/>
      <c r="U4430" s="464"/>
      <c r="V4430" s="464"/>
      <c r="W4430" s="464"/>
      <c r="X4430" s="464"/>
      <c r="Y4430" s="464"/>
      <c r="Z4430" s="464"/>
      <c r="AA4430" s="464"/>
      <c r="AB4430" s="464"/>
      <c r="AC4430" s="464"/>
      <c r="AD4430" s="464"/>
      <c r="AE4430" s="464"/>
      <c r="AF4430" s="464"/>
      <c r="AG4430" s="464"/>
      <c r="AH4430" s="464"/>
      <c r="AI4430" s="464"/>
      <c r="AJ4430" s="464"/>
      <c r="AK4430" s="464"/>
      <c r="AL4430" s="464"/>
      <c r="AM4430" s="464"/>
      <c r="AN4430" s="464"/>
      <c r="AO4430" s="464"/>
      <c r="AP4430" s="464"/>
      <c r="AQ4430" s="464"/>
      <c r="AR4430" s="464"/>
      <c r="AS4430" s="464"/>
      <c r="AT4430" s="464"/>
      <c r="AU4430" s="464"/>
      <c r="AV4430" s="464"/>
      <c r="AW4430" s="464"/>
      <c r="AX4430" s="464"/>
      <c r="AY4430" s="464"/>
      <c r="AZ4430" s="464"/>
      <c r="BA4430" s="464"/>
      <c r="BB4430" s="464"/>
      <c r="BC4430" s="464"/>
      <c r="BD4430" s="464"/>
      <c r="BE4430" s="464"/>
      <c r="BF4430" s="464"/>
      <c r="BG4430" s="464"/>
      <c r="BH4430" s="464"/>
      <c r="BI4430" s="464"/>
      <c r="BJ4430" s="464"/>
      <c r="BK4430" s="464"/>
      <c r="BL4430" s="464"/>
    </row>
    <row r="4431" spans="1:64" ht="13">
      <c r="A4431" s="406"/>
      <c r="B4431" s="406"/>
      <c r="C4431" s="473" t="s">
        <v>741</v>
      </c>
      <c r="D4431" s="406"/>
      <c r="E4431" s="406"/>
      <c r="F4431" s="406"/>
      <c r="G4431" s="406"/>
      <c r="H4431" s="406"/>
      <c r="I4431" s="432">
        <f>SUM(I4411:I4430)</f>
        <v>10364.140000000001</v>
      </c>
      <c r="J4431" s="462"/>
      <c r="K4431" s="463"/>
      <c r="L4431" s="463"/>
      <c r="M4431" s="464"/>
      <c r="N4431" s="464"/>
      <c r="O4431" s="464"/>
      <c r="P4431" s="464"/>
      <c r="Q4431" s="464"/>
      <c r="R4431" s="464"/>
      <c r="S4431" s="464"/>
      <c r="T4431" s="464"/>
      <c r="U4431" s="464"/>
      <c r="V4431" s="464"/>
      <c r="W4431" s="464"/>
      <c r="X4431" s="464"/>
      <c r="Y4431" s="464"/>
      <c r="Z4431" s="464"/>
      <c r="AA4431" s="464"/>
      <c r="AB4431" s="464"/>
      <c r="AC4431" s="464"/>
      <c r="AD4431" s="464"/>
      <c r="AE4431" s="464"/>
      <c r="AF4431" s="464"/>
      <c r="AG4431" s="464"/>
      <c r="AH4431" s="464"/>
      <c r="AI4431" s="464"/>
      <c r="AJ4431" s="464"/>
      <c r="AK4431" s="464"/>
      <c r="AL4431" s="464"/>
      <c r="AM4431" s="464"/>
      <c r="AN4431" s="464"/>
      <c r="AO4431" s="464"/>
      <c r="AP4431" s="464"/>
      <c r="AQ4431" s="464"/>
      <c r="AR4431" s="464"/>
      <c r="AS4431" s="464"/>
      <c r="AT4431" s="464"/>
      <c r="AU4431" s="464"/>
      <c r="AV4431" s="464"/>
      <c r="AW4431" s="464"/>
      <c r="AX4431" s="464"/>
      <c r="AY4431" s="464"/>
      <c r="AZ4431" s="464"/>
      <c r="BA4431" s="464"/>
      <c r="BB4431" s="464"/>
      <c r="BC4431" s="464"/>
      <c r="BD4431" s="464"/>
      <c r="BE4431" s="464"/>
      <c r="BF4431" s="464"/>
      <c r="BG4431" s="464"/>
      <c r="BH4431" s="464"/>
      <c r="BI4431" s="464"/>
      <c r="BJ4431" s="464"/>
      <c r="BK4431" s="464"/>
      <c r="BL4431" s="464"/>
    </row>
    <row r="4432" spans="1:64" ht="13">
      <c r="A4432" s="406"/>
      <c r="B4432" s="406"/>
      <c r="C4432" s="473" t="s">
        <v>742</v>
      </c>
      <c r="D4432" s="406"/>
      <c r="E4432" s="406"/>
      <c r="F4432" s="406"/>
      <c r="G4432" s="406"/>
      <c r="H4432" s="406"/>
      <c r="I4432" s="432">
        <f>I4431/10</f>
        <v>1036.4140000000002</v>
      </c>
      <c r="J4432" s="462"/>
      <c r="K4432" s="463"/>
      <c r="L4432" s="463"/>
      <c r="M4432" s="464"/>
      <c r="N4432" s="464"/>
      <c r="O4432" s="464"/>
      <c r="P4432" s="464"/>
      <c r="Q4432" s="464"/>
      <c r="R4432" s="464"/>
      <c r="S4432" s="464"/>
      <c r="T4432" s="464"/>
      <c r="U4432" s="464"/>
      <c r="V4432" s="464"/>
      <c r="W4432" s="464"/>
      <c r="X4432" s="464"/>
      <c r="Y4432" s="464"/>
      <c r="Z4432" s="464"/>
      <c r="AA4432" s="464"/>
      <c r="AB4432" s="464"/>
      <c r="AC4432" s="464"/>
      <c r="AD4432" s="464"/>
      <c r="AE4432" s="464"/>
      <c r="AF4432" s="464"/>
      <c r="AG4432" s="464"/>
      <c r="AH4432" s="464"/>
      <c r="AI4432" s="464"/>
      <c r="AJ4432" s="464"/>
      <c r="AK4432" s="464"/>
      <c r="AL4432" s="464"/>
      <c r="AM4432" s="464"/>
      <c r="AN4432" s="464"/>
      <c r="AO4432" s="464"/>
      <c r="AP4432" s="464"/>
      <c r="AQ4432" s="464"/>
      <c r="AR4432" s="464"/>
      <c r="AS4432" s="464"/>
      <c r="AT4432" s="464"/>
      <c r="AU4432" s="464"/>
      <c r="AV4432" s="464"/>
      <c r="AW4432" s="464"/>
      <c r="AX4432" s="464"/>
      <c r="AY4432" s="464"/>
      <c r="AZ4432" s="464"/>
      <c r="BA4432" s="464"/>
      <c r="BB4432" s="464"/>
      <c r="BC4432" s="464"/>
      <c r="BD4432" s="464"/>
      <c r="BE4432" s="464"/>
      <c r="BF4432" s="464"/>
      <c r="BG4432" s="464"/>
      <c r="BH4432" s="464"/>
      <c r="BI4432" s="464"/>
      <c r="BJ4432" s="464"/>
      <c r="BK4432" s="464"/>
      <c r="BL4432" s="464"/>
    </row>
    <row r="4433" spans="1:64" ht="25">
      <c r="A4433" s="406"/>
      <c r="B4433" s="406"/>
      <c r="C4433" s="435" t="str">
        <f>[161]Input!$C$48</f>
        <v>Overheads &amp; Contractors Profit @ 13.615%</v>
      </c>
      <c r="D4433" s="406">
        <f>[161]Input!$D$48</f>
        <v>0.13614999999999999</v>
      </c>
      <c r="E4433" s="406"/>
      <c r="F4433" s="406">
        <f>I4432</f>
        <v>1036.4140000000002</v>
      </c>
      <c r="G4433" s="406"/>
      <c r="H4433" s="406"/>
      <c r="I4433" s="432">
        <f>IF(G4433="",D4433*F4433,(D4433*F4433/G4433))</f>
        <v>141.10776610000002</v>
      </c>
      <c r="J4433" s="462"/>
      <c r="K4433" s="463"/>
      <c r="L4433" s="463"/>
      <c r="M4433" s="464"/>
      <c r="N4433" s="464"/>
      <c r="O4433" s="464"/>
      <c r="P4433" s="464"/>
      <c r="Q4433" s="464"/>
      <c r="R4433" s="464"/>
      <c r="S4433" s="464"/>
      <c r="T4433" s="464"/>
      <c r="U4433" s="464"/>
      <c r="V4433" s="464"/>
      <c r="W4433" s="464"/>
      <c r="X4433" s="464"/>
      <c r="Y4433" s="464"/>
      <c r="Z4433" s="464"/>
      <c r="AA4433" s="464"/>
      <c r="AB4433" s="464"/>
      <c r="AC4433" s="464"/>
      <c r="AD4433" s="464"/>
      <c r="AE4433" s="464"/>
      <c r="AF4433" s="464"/>
      <c r="AG4433" s="464"/>
      <c r="AH4433" s="464"/>
      <c r="AI4433" s="464"/>
      <c r="AJ4433" s="464"/>
      <c r="AK4433" s="464"/>
      <c r="AL4433" s="464"/>
      <c r="AM4433" s="464"/>
      <c r="AN4433" s="464"/>
      <c r="AO4433" s="464"/>
      <c r="AP4433" s="464"/>
      <c r="AQ4433" s="464"/>
      <c r="AR4433" s="464"/>
      <c r="AS4433" s="464"/>
      <c r="AT4433" s="464"/>
      <c r="AU4433" s="464"/>
      <c r="AV4433" s="464"/>
      <c r="AW4433" s="464"/>
      <c r="AX4433" s="464"/>
      <c r="AY4433" s="464"/>
      <c r="AZ4433" s="464"/>
      <c r="BA4433" s="464"/>
      <c r="BB4433" s="464"/>
      <c r="BC4433" s="464"/>
      <c r="BD4433" s="464"/>
      <c r="BE4433" s="464"/>
      <c r="BF4433" s="464"/>
      <c r="BG4433" s="464"/>
      <c r="BH4433" s="464"/>
      <c r="BI4433" s="464"/>
      <c r="BJ4433" s="464"/>
      <c r="BK4433" s="464"/>
      <c r="BL4433" s="464"/>
    </row>
    <row r="4434" spans="1:64" ht="13">
      <c r="A4434" s="406"/>
      <c r="B4434" s="406"/>
      <c r="C4434" s="473" t="s">
        <v>742</v>
      </c>
      <c r="D4434" s="406"/>
      <c r="E4434" s="406"/>
      <c r="F4434" s="406"/>
      <c r="G4434" s="406"/>
      <c r="H4434" s="406"/>
      <c r="I4434" s="432">
        <f>SUM(I4432:I4433)</f>
        <v>1177.5217661000001</v>
      </c>
      <c r="J4434" s="462"/>
      <c r="K4434" s="463"/>
      <c r="L4434" s="463"/>
      <c r="M4434" s="464"/>
      <c r="N4434" s="464"/>
      <c r="O4434" s="464"/>
      <c r="P4434" s="464"/>
      <c r="Q4434" s="464"/>
      <c r="R4434" s="464"/>
      <c r="S4434" s="464"/>
      <c r="T4434" s="464"/>
      <c r="U4434" s="464"/>
      <c r="V4434" s="464"/>
      <c r="W4434" s="464"/>
      <c r="X4434" s="464"/>
      <c r="Y4434" s="464"/>
      <c r="Z4434" s="464"/>
      <c r="AA4434" s="464"/>
      <c r="AB4434" s="464"/>
      <c r="AC4434" s="464"/>
      <c r="AD4434" s="464"/>
      <c r="AE4434" s="464"/>
      <c r="AF4434" s="464"/>
      <c r="AG4434" s="464"/>
      <c r="AH4434" s="464"/>
      <c r="AI4434" s="464"/>
      <c r="AJ4434" s="464"/>
      <c r="AK4434" s="464"/>
      <c r="AL4434" s="464"/>
      <c r="AM4434" s="464"/>
      <c r="AN4434" s="464"/>
      <c r="AO4434" s="464"/>
      <c r="AP4434" s="464"/>
      <c r="AQ4434" s="464"/>
      <c r="AR4434" s="464"/>
      <c r="AS4434" s="464"/>
      <c r="AT4434" s="464"/>
      <c r="AU4434" s="464"/>
      <c r="AV4434" s="464"/>
      <c r="AW4434" s="464"/>
      <c r="AX4434" s="464"/>
      <c r="AY4434" s="464"/>
      <c r="AZ4434" s="464"/>
      <c r="BA4434" s="464"/>
      <c r="BB4434" s="464"/>
      <c r="BC4434" s="464"/>
      <c r="BD4434" s="464"/>
      <c r="BE4434" s="464"/>
      <c r="BF4434" s="464"/>
      <c r="BG4434" s="464"/>
      <c r="BH4434" s="464"/>
      <c r="BI4434" s="464"/>
      <c r="BJ4434" s="464"/>
      <c r="BK4434" s="464"/>
      <c r="BL4434" s="464"/>
    </row>
    <row r="4435" spans="1:64" ht="13">
      <c r="A4435" s="406"/>
      <c r="B4435" s="406"/>
      <c r="C4435" s="435"/>
      <c r="D4435" s="406"/>
      <c r="E4435" s="406"/>
      <c r="F4435" s="406"/>
      <c r="G4435" s="406"/>
      <c r="H4435" s="407" t="s">
        <v>1322</v>
      </c>
      <c r="I4435" s="422">
        <f>ROUND(I4434,0)</f>
        <v>1178</v>
      </c>
      <c r="J4435" s="462"/>
      <c r="K4435" s="463"/>
      <c r="L4435" s="463"/>
      <c r="M4435" s="464"/>
      <c r="N4435" s="464"/>
      <c r="O4435" s="464"/>
      <c r="P4435" s="464"/>
      <c r="Q4435" s="464"/>
      <c r="R4435" s="464"/>
      <c r="S4435" s="464"/>
      <c r="T4435" s="464"/>
      <c r="U4435" s="464"/>
      <c r="V4435" s="464"/>
      <c r="W4435" s="464"/>
      <c r="X4435" s="464"/>
      <c r="Y4435" s="464"/>
      <c r="Z4435" s="464"/>
      <c r="AA4435" s="464"/>
      <c r="AB4435" s="464"/>
      <c r="AC4435" s="464"/>
      <c r="AD4435" s="464"/>
      <c r="AE4435" s="464"/>
      <c r="AF4435" s="464"/>
      <c r="AG4435" s="464"/>
      <c r="AH4435" s="464"/>
      <c r="AI4435" s="464"/>
      <c r="AJ4435" s="464"/>
      <c r="AK4435" s="464"/>
      <c r="AL4435" s="464"/>
      <c r="AM4435" s="464"/>
      <c r="AN4435" s="464"/>
      <c r="AO4435" s="464"/>
      <c r="AP4435" s="464"/>
      <c r="AQ4435" s="464"/>
      <c r="AR4435" s="464"/>
      <c r="AS4435" s="464"/>
      <c r="AT4435" s="464"/>
      <c r="AU4435" s="464"/>
      <c r="AV4435" s="464"/>
      <c r="AW4435" s="464"/>
      <c r="AX4435" s="464"/>
      <c r="AY4435" s="464"/>
      <c r="AZ4435" s="464"/>
      <c r="BA4435" s="464"/>
      <c r="BB4435" s="464"/>
      <c r="BC4435" s="464"/>
      <c r="BD4435" s="464"/>
      <c r="BE4435" s="464"/>
      <c r="BF4435" s="464"/>
      <c r="BG4435" s="464"/>
      <c r="BH4435" s="464"/>
      <c r="BI4435" s="464"/>
      <c r="BJ4435" s="464"/>
      <c r="BK4435" s="464"/>
      <c r="BL4435" s="464"/>
    </row>
    <row r="4436" spans="1:64">
      <c r="A4436" s="426"/>
      <c r="B4436" s="426"/>
      <c r="C4436" s="417"/>
      <c r="D4436" s="409"/>
      <c r="E4436" s="426"/>
      <c r="F4436" s="409"/>
      <c r="G4436" s="410"/>
      <c r="H4436" s="426"/>
      <c r="I4436" s="409"/>
      <c r="J4436" s="400"/>
      <c r="K4436" s="401"/>
      <c r="L4436" s="401"/>
      <c r="M4436" s="404"/>
      <c r="N4436" s="404"/>
      <c r="O4436" s="404"/>
      <c r="P4436" s="404"/>
      <c r="Q4436" s="404"/>
      <c r="R4436" s="404"/>
      <c r="S4436" s="404"/>
      <c r="T4436" s="404"/>
      <c r="U4436" s="404"/>
      <c r="V4436" s="404"/>
      <c r="W4436" s="404"/>
      <c r="X4436" s="404"/>
      <c r="Y4436" s="404"/>
      <c r="Z4436" s="404"/>
      <c r="AA4436" s="404"/>
      <c r="AB4436" s="404"/>
      <c r="AC4436" s="404"/>
      <c r="AD4436" s="404"/>
      <c r="AE4436" s="404"/>
      <c r="AF4436" s="404"/>
      <c r="AG4436" s="404"/>
      <c r="AH4436" s="404"/>
      <c r="AI4436" s="404"/>
      <c r="AJ4436" s="404"/>
      <c r="AK4436" s="404"/>
      <c r="AL4436" s="404"/>
      <c r="AM4436" s="404"/>
      <c r="AN4436" s="404"/>
      <c r="AO4436" s="404"/>
      <c r="AP4436" s="404"/>
      <c r="AQ4436" s="404"/>
      <c r="AR4436" s="404"/>
      <c r="AS4436" s="404"/>
      <c r="AT4436" s="404"/>
      <c r="AU4436" s="404"/>
      <c r="AV4436" s="404"/>
      <c r="AW4436" s="404"/>
      <c r="AX4436" s="404"/>
      <c r="AY4436" s="404"/>
      <c r="AZ4436" s="404"/>
      <c r="BA4436" s="404"/>
      <c r="BB4436" s="404"/>
      <c r="BC4436" s="404"/>
      <c r="BD4436" s="404"/>
      <c r="BE4436" s="404"/>
      <c r="BF4436" s="404"/>
      <c r="BG4436" s="404"/>
      <c r="BH4436" s="404"/>
      <c r="BI4436" s="404"/>
      <c r="BJ4436" s="404"/>
      <c r="BK4436" s="404"/>
      <c r="BL4436" s="404"/>
    </row>
    <row r="4437" spans="1:64" ht="92.5" customHeight="1">
      <c r="A4437" s="1280">
        <f>1+A4398</f>
        <v>30</v>
      </c>
      <c r="B4437" s="1280"/>
      <c r="C4437" s="1291" t="s">
        <v>1541</v>
      </c>
      <c r="D4437" s="1291"/>
      <c r="E4437" s="1291"/>
      <c r="F4437" s="1291"/>
      <c r="G4437" s="1291"/>
      <c r="H4437" s="1291"/>
      <c r="I4437" s="407"/>
      <c r="J4437" s="400"/>
      <c r="K4437" s="401"/>
      <c r="L4437" s="401"/>
      <c r="M4437" s="404"/>
      <c r="N4437" s="404"/>
      <c r="O4437" s="404"/>
      <c r="P4437" s="404"/>
      <c r="Q4437" s="404"/>
      <c r="R4437" s="404"/>
      <c r="S4437" s="404"/>
      <c r="T4437" s="404"/>
      <c r="U4437" s="404"/>
      <c r="V4437" s="404"/>
      <c r="W4437" s="404"/>
      <c r="X4437" s="404"/>
      <c r="Y4437" s="404"/>
      <c r="Z4437" s="404"/>
      <c r="AA4437" s="404"/>
      <c r="AB4437" s="404"/>
      <c r="AC4437" s="404"/>
      <c r="AD4437" s="404"/>
      <c r="AE4437" s="404"/>
      <c r="AF4437" s="404"/>
      <c r="AG4437" s="404"/>
      <c r="AH4437" s="404"/>
      <c r="AI4437" s="404"/>
      <c r="AJ4437" s="404"/>
      <c r="AK4437" s="404"/>
      <c r="AL4437" s="404"/>
      <c r="AM4437" s="404"/>
      <c r="AN4437" s="404"/>
      <c r="AO4437" s="404"/>
      <c r="AP4437" s="404"/>
      <c r="AQ4437" s="404"/>
      <c r="AR4437" s="404"/>
      <c r="AS4437" s="404"/>
      <c r="AT4437" s="404"/>
      <c r="AU4437" s="404"/>
      <c r="AV4437" s="404"/>
      <c r="AW4437" s="404"/>
      <c r="AX4437" s="404"/>
      <c r="AY4437" s="404"/>
      <c r="AZ4437" s="404"/>
      <c r="BA4437" s="404"/>
      <c r="BB4437" s="404"/>
      <c r="BC4437" s="404"/>
      <c r="BD4437" s="404"/>
      <c r="BE4437" s="404"/>
      <c r="BF4437" s="404"/>
      <c r="BG4437" s="404"/>
      <c r="BH4437" s="404"/>
      <c r="BI4437" s="404"/>
      <c r="BJ4437" s="404"/>
      <c r="BK4437" s="404"/>
      <c r="BL4437" s="404"/>
    </row>
    <row r="4438" spans="1:64">
      <c r="A4438" s="426"/>
      <c r="B4438" s="426"/>
      <c r="C4438" s="469" t="s">
        <v>1127</v>
      </c>
      <c r="D4438" s="406"/>
      <c r="E4438" s="406"/>
      <c r="F4438" s="406"/>
      <c r="G4438" s="406"/>
      <c r="H4438" s="406"/>
      <c r="I4438" s="432"/>
      <c r="J4438" s="400"/>
      <c r="K4438" s="401"/>
      <c r="L4438" s="401"/>
      <c r="M4438" s="404"/>
      <c r="N4438" s="404"/>
      <c r="O4438" s="404"/>
      <c r="P4438" s="404"/>
      <c r="Q4438" s="404"/>
      <c r="R4438" s="404"/>
      <c r="S4438" s="404"/>
      <c r="T4438" s="404"/>
      <c r="U4438" s="404"/>
      <c r="V4438" s="404"/>
      <c r="W4438" s="404"/>
      <c r="X4438" s="404"/>
      <c r="Y4438" s="404"/>
      <c r="Z4438" s="404"/>
      <c r="AA4438" s="404"/>
      <c r="AB4438" s="404"/>
      <c r="AC4438" s="404"/>
      <c r="AD4438" s="404"/>
      <c r="AE4438" s="404"/>
      <c r="AF4438" s="404"/>
      <c r="AG4438" s="404"/>
      <c r="AH4438" s="404"/>
      <c r="AI4438" s="404"/>
      <c r="AJ4438" s="404"/>
      <c r="AK4438" s="404"/>
      <c r="AL4438" s="404"/>
      <c r="AM4438" s="404"/>
      <c r="AN4438" s="404"/>
      <c r="AO4438" s="404"/>
      <c r="AP4438" s="404"/>
      <c r="AQ4438" s="404"/>
      <c r="AR4438" s="404"/>
      <c r="AS4438" s="404"/>
      <c r="AT4438" s="404"/>
      <c r="AU4438" s="404"/>
      <c r="AV4438" s="404"/>
      <c r="AW4438" s="404"/>
      <c r="AX4438" s="404"/>
      <c r="AY4438" s="404"/>
      <c r="AZ4438" s="404"/>
      <c r="BA4438" s="404"/>
      <c r="BB4438" s="404"/>
      <c r="BC4438" s="404"/>
      <c r="BD4438" s="404"/>
      <c r="BE4438" s="404"/>
      <c r="BF4438" s="404"/>
      <c r="BG4438" s="404"/>
      <c r="BH4438" s="404"/>
      <c r="BI4438" s="404"/>
      <c r="BJ4438" s="404"/>
      <c r="BK4438" s="404"/>
      <c r="BL4438" s="404"/>
    </row>
    <row r="4439" spans="1:64" ht="13">
      <c r="A4439" s="426"/>
      <c r="B4439" s="426"/>
      <c r="C4439" s="427" t="s">
        <v>1168</v>
      </c>
      <c r="D4439" s="409"/>
      <c r="E4439" s="426"/>
      <c r="F4439" s="409"/>
      <c r="G4439" s="410"/>
      <c r="H4439" s="676"/>
      <c r="I4439" s="408"/>
      <c r="J4439" s="400"/>
      <c r="K4439" s="401"/>
      <c r="L4439" s="401"/>
      <c r="M4439" s="404"/>
      <c r="N4439" s="404"/>
      <c r="O4439" s="404"/>
      <c r="P4439" s="404"/>
      <c r="Q4439" s="404"/>
      <c r="R4439" s="404"/>
      <c r="S4439" s="404"/>
      <c r="T4439" s="404"/>
      <c r="U4439" s="404"/>
      <c r="V4439" s="404"/>
      <c r="W4439" s="404"/>
      <c r="X4439" s="404"/>
      <c r="Y4439" s="404"/>
      <c r="Z4439" s="404"/>
      <c r="AA4439" s="404"/>
      <c r="AB4439" s="404"/>
      <c r="AC4439" s="404"/>
      <c r="AD4439" s="404"/>
      <c r="AE4439" s="404"/>
      <c r="AF4439" s="404"/>
      <c r="AG4439" s="404"/>
      <c r="AH4439" s="404"/>
      <c r="AI4439" s="404"/>
      <c r="AJ4439" s="404"/>
      <c r="AK4439" s="404"/>
      <c r="AL4439" s="404"/>
      <c r="AM4439" s="404"/>
      <c r="AN4439" s="404"/>
      <c r="AO4439" s="404"/>
      <c r="AP4439" s="404"/>
      <c r="AQ4439" s="404"/>
      <c r="AR4439" s="404"/>
      <c r="AS4439" s="404"/>
      <c r="AT4439" s="404"/>
      <c r="AU4439" s="404"/>
      <c r="AV4439" s="404"/>
      <c r="AW4439" s="404"/>
      <c r="AX4439" s="404"/>
      <c r="AY4439" s="404"/>
      <c r="AZ4439" s="404"/>
      <c r="BA4439" s="404"/>
      <c r="BB4439" s="404"/>
      <c r="BC4439" s="404"/>
      <c r="BD4439" s="404"/>
      <c r="BE4439" s="404"/>
      <c r="BF4439" s="404"/>
      <c r="BG4439" s="404"/>
      <c r="BH4439" s="404"/>
      <c r="BI4439" s="404"/>
      <c r="BJ4439" s="404"/>
      <c r="BK4439" s="404"/>
      <c r="BL4439" s="404"/>
    </row>
    <row r="4440" spans="1:64" ht="25">
      <c r="A4440" s="406"/>
      <c r="B4440" s="406"/>
      <c r="C4440" s="417" t="s">
        <v>1542</v>
      </c>
      <c r="D4440" s="432">
        <v>10.5</v>
      </c>
      <c r="E4440" s="406" t="s">
        <v>17</v>
      </c>
      <c r="F4440" s="432">
        <f>'[161]Civil-SOR'!$G$36</f>
        <v>434</v>
      </c>
      <c r="G4440" s="431">
        <v>1</v>
      </c>
      <c r="H4440" s="676" t="s">
        <v>17</v>
      </c>
      <c r="I4440" s="459">
        <f t="shared" ref="I4440:I4444" si="971">IF(G4440="",D4440*F4440,(D4440*F4440/G4440))</f>
        <v>4557</v>
      </c>
      <c r="J4440" s="735"/>
      <c r="K4440" s="463"/>
      <c r="L4440" s="463"/>
      <c r="M4440" s="464"/>
      <c r="N4440" s="464"/>
      <c r="O4440" s="464"/>
      <c r="P4440" s="464"/>
      <c r="Q4440" s="464"/>
      <c r="R4440" s="464"/>
      <c r="S4440" s="464"/>
      <c r="T4440" s="464"/>
      <c r="U4440" s="464"/>
      <c r="V4440" s="464"/>
      <c r="W4440" s="464"/>
      <c r="X4440" s="464"/>
      <c r="Y4440" s="464"/>
      <c r="Z4440" s="464"/>
      <c r="AA4440" s="464"/>
      <c r="AB4440" s="464"/>
      <c r="AC4440" s="464"/>
      <c r="AD4440" s="464"/>
      <c r="AE4440" s="464"/>
      <c r="AF4440" s="464"/>
      <c r="AG4440" s="464"/>
      <c r="AH4440" s="464"/>
      <c r="AI4440" s="464"/>
      <c r="AJ4440" s="464"/>
      <c r="AK4440" s="464"/>
      <c r="AL4440" s="464"/>
      <c r="AM4440" s="464"/>
      <c r="AN4440" s="464"/>
      <c r="AO4440" s="464"/>
      <c r="AP4440" s="464"/>
      <c r="AQ4440" s="464"/>
      <c r="AR4440" s="464"/>
      <c r="AS4440" s="464"/>
      <c r="AT4440" s="464"/>
      <c r="AU4440" s="464"/>
      <c r="AV4440" s="464"/>
      <c r="AW4440" s="464"/>
      <c r="AX4440" s="464"/>
      <c r="AY4440" s="464"/>
      <c r="AZ4440" s="464"/>
      <c r="BA4440" s="464"/>
      <c r="BB4440" s="464"/>
      <c r="BC4440" s="464"/>
      <c r="BD4440" s="464"/>
      <c r="BE4440" s="464"/>
      <c r="BF4440" s="464"/>
      <c r="BG4440" s="464"/>
      <c r="BH4440" s="464"/>
      <c r="BI4440" s="464"/>
      <c r="BJ4440" s="464"/>
      <c r="BK4440" s="464"/>
      <c r="BL4440" s="464"/>
    </row>
    <row r="4441" spans="1:64" ht="25">
      <c r="A4441" s="406"/>
      <c r="B4441" s="406"/>
      <c r="C4441" s="417" t="s">
        <v>1543</v>
      </c>
      <c r="D4441" s="406">
        <v>47.91</v>
      </c>
      <c r="E4441" s="406" t="s">
        <v>375</v>
      </c>
      <c r="F4441" s="432">
        <f>'[161]Civil-SOR'!$G$37</f>
        <v>8</v>
      </c>
      <c r="G4441" s="431">
        <v>1</v>
      </c>
      <c r="H4441" s="676" t="s">
        <v>678</v>
      </c>
      <c r="I4441" s="459">
        <f t="shared" si="971"/>
        <v>383.28</v>
      </c>
      <c r="J4441" s="735"/>
      <c r="K4441" s="463"/>
      <c r="L4441" s="463"/>
      <c r="M4441" s="464"/>
      <c r="N4441" s="464"/>
      <c r="O4441" s="464"/>
      <c r="P4441" s="464"/>
      <c r="Q4441" s="464"/>
      <c r="R4441" s="464"/>
      <c r="S4441" s="464"/>
      <c r="T4441" s="464"/>
      <c r="U4441" s="464"/>
      <c r="V4441" s="464"/>
      <c r="W4441" s="464"/>
      <c r="X4441" s="464"/>
      <c r="Y4441" s="464"/>
      <c r="Z4441" s="464"/>
      <c r="AA4441" s="464"/>
      <c r="AB4441" s="464"/>
      <c r="AC4441" s="464"/>
      <c r="AD4441" s="464"/>
      <c r="AE4441" s="464"/>
      <c r="AF4441" s="464"/>
      <c r="AG4441" s="464"/>
      <c r="AH4441" s="464"/>
      <c r="AI4441" s="464"/>
      <c r="AJ4441" s="464"/>
      <c r="AK4441" s="464"/>
      <c r="AL4441" s="464"/>
      <c r="AM4441" s="464"/>
      <c r="AN4441" s="464"/>
      <c r="AO4441" s="464"/>
      <c r="AP4441" s="464"/>
      <c r="AQ4441" s="464"/>
      <c r="AR4441" s="464"/>
      <c r="AS4441" s="464"/>
      <c r="AT4441" s="464"/>
      <c r="AU4441" s="464"/>
      <c r="AV4441" s="464"/>
      <c r="AW4441" s="464"/>
      <c r="AX4441" s="464"/>
      <c r="AY4441" s="464"/>
      <c r="AZ4441" s="464"/>
      <c r="BA4441" s="464"/>
      <c r="BB4441" s="464"/>
      <c r="BC4441" s="464"/>
      <c r="BD4441" s="464"/>
      <c r="BE4441" s="464"/>
      <c r="BF4441" s="464"/>
      <c r="BG4441" s="464"/>
      <c r="BH4441" s="464"/>
      <c r="BI4441" s="464"/>
      <c r="BJ4441" s="464"/>
      <c r="BK4441" s="464"/>
      <c r="BL4441" s="464"/>
    </row>
    <row r="4442" spans="1:64" ht="37.5">
      <c r="A4442" s="406"/>
      <c r="B4442" s="406"/>
      <c r="C4442" s="417" t="s">
        <v>1544</v>
      </c>
      <c r="D4442" s="432">
        <v>43.9</v>
      </c>
      <c r="E4442" s="406" t="s">
        <v>375</v>
      </c>
      <c r="F4442" s="432">
        <f>'[161]Civil-SOR'!$G$38</f>
        <v>12</v>
      </c>
      <c r="G4442" s="431">
        <v>1</v>
      </c>
      <c r="H4442" s="676" t="s">
        <v>678</v>
      </c>
      <c r="I4442" s="459">
        <f t="shared" si="971"/>
        <v>526.79999999999995</v>
      </c>
      <c r="J4442" s="735"/>
      <c r="K4442" s="463"/>
      <c r="L4442" s="463"/>
      <c r="M4442" s="464"/>
      <c r="N4442" s="464"/>
      <c r="O4442" s="464"/>
      <c r="P4442" s="464"/>
      <c r="Q4442" s="464"/>
      <c r="R4442" s="464"/>
      <c r="S4442" s="464"/>
      <c r="T4442" s="464"/>
      <c r="U4442" s="464"/>
      <c r="V4442" s="464"/>
      <c r="W4442" s="464"/>
      <c r="X4442" s="464"/>
      <c r="Y4442" s="464"/>
      <c r="Z4442" s="464"/>
      <c r="AA4442" s="464"/>
      <c r="AB4442" s="464"/>
      <c r="AC4442" s="464"/>
      <c r="AD4442" s="464"/>
      <c r="AE4442" s="464"/>
      <c r="AF4442" s="464"/>
      <c r="AG4442" s="464"/>
      <c r="AH4442" s="464"/>
      <c r="AI4442" s="464"/>
      <c r="AJ4442" s="464"/>
      <c r="AK4442" s="464"/>
      <c r="AL4442" s="464"/>
      <c r="AM4442" s="464"/>
      <c r="AN4442" s="464"/>
      <c r="AO4442" s="464"/>
      <c r="AP4442" s="464"/>
      <c r="AQ4442" s="464"/>
      <c r="AR4442" s="464"/>
      <c r="AS4442" s="464"/>
      <c r="AT4442" s="464"/>
      <c r="AU4442" s="464"/>
      <c r="AV4442" s="464"/>
      <c r="AW4442" s="464"/>
      <c r="AX4442" s="464"/>
      <c r="AY4442" s="464"/>
      <c r="AZ4442" s="464"/>
      <c r="BA4442" s="464"/>
      <c r="BB4442" s="464"/>
      <c r="BC4442" s="464"/>
      <c r="BD4442" s="464"/>
      <c r="BE4442" s="464"/>
      <c r="BF4442" s="464"/>
      <c r="BG4442" s="464"/>
      <c r="BH4442" s="464"/>
      <c r="BI4442" s="464"/>
      <c r="BJ4442" s="464"/>
      <c r="BK4442" s="464"/>
      <c r="BL4442" s="464"/>
    </row>
    <row r="4443" spans="1:64" ht="25">
      <c r="A4443" s="406"/>
      <c r="B4443" s="406"/>
      <c r="C4443" s="417" t="s">
        <v>1545</v>
      </c>
      <c r="D4443" s="432">
        <v>91.82</v>
      </c>
      <c r="E4443" s="406" t="s">
        <v>375</v>
      </c>
      <c r="F4443" s="432">
        <f>'[161]Civil-SOR'!$G$40</f>
        <v>4</v>
      </c>
      <c r="G4443" s="431">
        <v>1</v>
      </c>
      <c r="H4443" s="676" t="s">
        <v>678</v>
      </c>
      <c r="I4443" s="459">
        <f t="shared" si="971"/>
        <v>367.28</v>
      </c>
      <c r="J4443" s="735"/>
      <c r="K4443" s="463"/>
      <c r="L4443" s="463"/>
      <c r="M4443" s="464"/>
      <c r="N4443" s="464"/>
      <c r="O4443" s="464"/>
      <c r="P4443" s="464"/>
      <c r="Q4443" s="464"/>
      <c r="R4443" s="464"/>
      <c r="S4443" s="464"/>
      <c r="T4443" s="464"/>
      <c r="U4443" s="464"/>
      <c r="V4443" s="464"/>
      <c r="W4443" s="464"/>
      <c r="X4443" s="464"/>
      <c r="Y4443" s="464"/>
      <c r="Z4443" s="464"/>
      <c r="AA4443" s="464"/>
      <c r="AB4443" s="464"/>
      <c r="AC4443" s="464"/>
      <c r="AD4443" s="464"/>
      <c r="AE4443" s="464"/>
      <c r="AF4443" s="464"/>
      <c r="AG4443" s="464"/>
      <c r="AH4443" s="464"/>
      <c r="AI4443" s="464"/>
      <c r="AJ4443" s="464"/>
      <c r="AK4443" s="464"/>
      <c r="AL4443" s="464"/>
      <c r="AM4443" s="464"/>
      <c r="AN4443" s="464"/>
      <c r="AO4443" s="464"/>
      <c r="AP4443" s="464"/>
      <c r="AQ4443" s="464"/>
      <c r="AR4443" s="464"/>
      <c r="AS4443" s="464"/>
      <c r="AT4443" s="464"/>
      <c r="AU4443" s="464"/>
      <c r="AV4443" s="464"/>
      <c r="AW4443" s="464"/>
      <c r="AX4443" s="464"/>
      <c r="AY4443" s="464"/>
      <c r="AZ4443" s="464"/>
      <c r="BA4443" s="464"/>
      <c r="BB4443" s="464"/>
      <c r="BC4443" s="464"/>
      <c r="BD4443" s="464"/>
      <c r="BE4443" s="464"/>
      <c r="BF4443" s="464"/>
      <c r="BG4443" s="464"/>
      <c r="BH4443" s="464"/>
      <c r="BI4443" s="464"/>
      <c r="BJ4443" s="464"/>
      <c r="BK4443" s="464"/>
      <c r="BL4443" s="464"/>
    </row>
    <row r="4444" spans="1:64">
      <c r="A4444" s="406"/>
      <c r="B4444" s="406"/>
      <c r="C4444" s="417" t="s">
        <v>1531</v>
      </c>
      <c r="D4444" s="432">
        <v>91.82</v>
      </c>
      <c r="E4444" s="406" t="s">
        <v>375</v>
      </c>
      <c r="F4444" s="432">
        <f>'[161]Civil-SOR'!$G$41</f>
        <v>4</v>
      </c>
      <c r="G4444" s="431">
        <v>1</v>
      </c>
      <c r="H4444" s="676" t="s">
        <v>678</v>
      </c>
      <c r="I4444" s="459">
        <f t="shared" si="971"/>
        <v>367.28</v>
      </c>
      <c r="J4444" s="735"/>
      <c r="K4444" s="463"/>
      <c r="L4444" s="463"/>
      <c r="M4444" s="464"/>
      <c r="N4444" s="464"/>
      <c r="O4444" s="464"/>
      <c r="P4444" s="464"/>
      <c r="Q4444" s="464"/>
      <c r="R4444" s="464"/>
      <c r="S4444" s="464"/>
      <c r="T4444" s="464"/>
      <c r="U4444" s="464"/>
      <c r="V4444" s="464"/>
      <c r="W4444" s="464"/>
      <c r="X4444" s="464"/>
      <c r="Y4444" s="464"/>
      <c r="Z4444" s="464"/>
      <c r="AA4444" s="464"/>
      <c r="AB4444" s="464"/>
      <c r="AC4444" s="464"/>
      <c r="AD4444" s="464"/>
      <c r="AE4444" s="464"/>
      <c r="AF4444" s="464"/>
      <c r="AG4444" s="464"/>
      <c r="AH4444" s="464"/>
      <c r="AI4444" s="464"/>
      <c r="AJ4444" s="464"/>
      <c r="AK4444" s="464"/>
      <c r="AL4444" s="464"/>
      <c r="AM4444" s="464"/>
      <c r="AN4444" s="464"/>
      <c r="AO4444" s="464"/>
      <c r="AP4444" s="464"/>
      <c r="AQ4444" s="464"/>
      <c r="AR4444" s="464"/>
      <c r="AS4444" s="464"/>
      <c r="AT4444" s="464"/>
      <c r="AU4444" s="464"/>
      <c r="AV4444" s="464"/>
      <c r="AW4444" s="464"/>
      <c r="AX4444" s="464"/>
      <c r="AY4444" s="464"/>
      <c r="AZ4444" s="464"/>
      <c r="BA4444" s="464"/>
      <c r="BB4444" s="464"/>
      <c r="BC4444" s="464"/>
      <c r="BD4444" s="464"/>
      <c r="BE4444" s="464"/>
      <c r="BF4444" s="464"/>
      <c r="BG4444" s="464"/>
      <c r="BH4444" s="464"/>
      <c r="BI4444" s="464"/>
      <c r="BJ4444" s="464"/>
      <c r="BK4444" s="464"/>
      <c r="BL4444" s="464"/>
    </row>
    <row r="4445" spans="1:64" ht="13">
      <c r="A4445" s="406"/>
      <c r="B4445" s="406"/>
      <c r="C4445" s="427" t="s">
        <v>1043</v>
      </c>
      <c r="D4445" s="432"/>
      <c r="E4445" s="406"/>
      <c r="F4445" s="432"/>
      <c r="G4445" s="431"/>
      <c r="H4445" s="676"/>
      <c r="I4445" s="459"/>
      <c r="J4445" s="735"/>
      <c r="K4445" s="463"/>
      <c r="L4445" s="463"/>
      <c r="M4445" s="464"/>
      <c r="N4445" s="464"/>
      <c r="O4445" s="464"/>
      <c r="P4445" s="464"/>
      <c r="Q4445" s="464"/>
      <c r="R4445" s="464"/>
      <c r="S4445" s="464"/>
      <c r="T4445" s="464"/>
      <c r="U4445" s="464"/>
      <c r="V4445" s="464"/>
      <c r="W4445" s="464"/>
      <c r="X4445" s="464"/>
      <c r="Y4445" s="464"/>
      <c r="Z4445" s="464"/>
      <c r="AA4445" s="464"/>
      <c r="AB4445" s="464"/>
      <c r="AC4445" s="464"/>
      <c r="AD4445" s="464"/>
      <c r="AE4445" s="464"/>
      <c r="AF4445" s="464"/>
      <c r="AG4445" s="464"/>
      <c r="AH4445" s="464"/>
      <c r="AI4445" s="464"/>
      <c r="AJ4445" s="464"/>
      <c r="AK4445" s="464"/>
      <c r="AL4445" s="464"/>
      <c r="AM4445" s="464"/>
      <c r="AN4445" s="464"/>
      <c r="AO4445" s="464"/>
      <c r="AP4445" s="464"/>
      <c r="AQ4445" s="464"/>
      <c r="AR4445" s="464"/>
      <c r="AS4445" s="464"/>
      <c r="AT4445" s="464"/>
      <c r="AU4445" s="464"/>
      <c r="AV4445" s="464"/>
      <c r="AW4445" s="464"/>
      <c r="AX4445" s="464"/>
      <c r="AY4445" s="464"/>
      <c r="AZ4445" s="464"/>
      <c r="BA4445" s="464"/>
      <c r="BB4445" s="464"/>
      <c r="BC4445" s="464"/>
      <c r="BD4445" s="464"/>
      <c r="BE4445" s="464"/>
      <c r="BF4445" s="464"/>
      <c r="BG4445" s="464"/>
      <c r="BH4445" s="464"/>
      <c r="BI4445" s="464"/>
      <c r="BJ4445" s="464"/>
      <c r="BK4445" s="464"/>
      <c r="BL4445" s="464"/>
    </row>
    <row r="4446" spans="1:64">
      <c r="A4446" s="406"/>
      <c r="B4446" s="406"/>
      <c r="C4446" s="417" t="s">
        <v>1534</v>
      </c>
      <c r="D4446" s="432"/>
      <c r="E4446" s="406"/>
      <c r="F4446" s="432"/>
      <c r="G4446" s="431"/>
      <c r="H4446" s="676"/>
      <c r="I4446" s="459"/>
      <c r="J4446" s="735"/>
      <c r="K4446" s="463"/>
      <c r="L4446" s="463"/>
      <c r="M4446" s="464"/>
      <c r="N4446" s="464"/>
      <c r="O4446" s="464"/>
      <c r="P4446" s="464"/>
      <c r="Q4446" s="464"/>
      <c r="R4446" s="464"/>
      <c r="S4446" s="464"/>
      <c r="T4446" s="464"/>
      <c r="U4446" s="464"/>
      <c r="V4446" s="464"/>
      <c r="W4446" s="464"/>
      <c r="X4446" s="464"/>
      <c r="Y4446" s="464"/>
      <c r="Z4446" s="464"/>
      <c r="AA4446" s="464"/>
      <c r="AB4446" s="464"/>
      <c r="AC4446" s="464"/>
      <c r="AD4446" s="464"/>
      <c r="AE4446" s="464"/>
      <c r="AF4446" s="464"/>
      <c r="AG4446" s="464"/>
      <c r="AH4446" s="464"/>
      <c r="AI4446" s="464"/>
      <c r="AJ4446" s="464"/>
      <c r="AK4446" s="464"/>
      <c r="AL4446" s="464"/>
      <c r="AM4446" s="464"/>
      <c r="AN4446" s="464"/>
      <c r="AO4446" s="464"/>
      <c r="AP4446" s="464"/>
      <c r="AQ4446" s="464"/>
      <c r="AR4446" s="464"/>
      <c r="AS4446" s="464"/>
      <c r="AT4446" s="464"/>
      <c r="AU4446" s="464"/>
      <c r="AV4446" s="464"/>
      <c r="AW4446" s="464"/>
      <c r="AX4446" s="464"/>
      <c r="AY4446" s="464"/>
      <c r="AZ4446" s="464"/>
      <c r="BA4446" s="464"/>
      <c r="BB4446" s="464"/>
      <c r="BC4446" s="464"/>
      <c r="BD4446" s="464"/>
      <c r="BE4446" s="464"/>
      <c r="BF4446" s="464"/>
      <c r="BG4446" s="464"/>
      <c r="BH4446" s="464"/>
      <c r="BI4446" s="464"/>
      <c r="BJ4446" s="464"/>
      <c r="BK4446" s="464"/>
      <c r="BL4446" s="464"/>
    </row>
    <row r="4447" spans="1:64">
      <c r="A4447" s="406"/>
      <c r="B4447" s="406"/>
      <c r="C4447" s="417" t="s">
        <v>1535</v>
      </c>
      <c r="D4447" s="432">
        <v>0.84</v>
      </c>
      <c r="E4447" s="406" t="s">
        <v>375</v>
      </c>
      <c r="F4447" s="432">
        <f>'[161]Civil-SOR'!$G$300</f>
        <v>550</v>
      </c>
      <c r="G4447" s="431">
        <v>1</v>
      </c>
      <c r="H4447" s="676" t="s">
        <v>678</v>
      </c>
      <c r="I4447" s="459">
        <f t="shared" ref="I4447:I4449" si="972">IF(G4447="",D4447*F4447,(D4447*F4447/G4447))</f>
        <v>462</v>
      </c>
      <c r="J4447" s="735"/>
      <c r="K4447" s="463"/>
      <c r="L4447" s="463"/>
      <c r="M4447" s="464"/>
      <c r="N4447" s="464"/>
      <c r="O4447" s="464"/>
      <c r="P4447" s="464"/>
      <c r="Q4447" s="464"/>
      <c r="R4447" s="464"/>
      <c r="S4447" s="464"/>
      <c r="T4447" s="464"/>
      <c r="U4447" s="464"/>
      <c r="V4447" s="464"/>
      <c r="W4447" s="464"/>
      <c r="X4447" s="464"/>
      <c r="Y4447" s="464"/>
      <c r="Z4447" s="464"/>
      <c r="AA4447" s="464"/>
      <c r="AB4447" s="464"/>
      <c r="AC4447" s="464"/>
      <c r="AD4447" s="464"/>
      <c r="AE4447" s="464"/>
      <c r="AF4447" s="464"/>
      <c r="AG4447" s="464"/>
      <c r="AH4447" s="464"/>
      <c r="AI4447" s="464"/>
      <c r="AJ4447" s="464"/>
      <c r="AK4447" s="464"/>
      <c r="AL4447" s="464"/>
      <c r="AM4447" s="464"/>
      <c r="AN4447" s="464"/>
      <c r="AO4447" s="464"/>
      <c r="AP4447" s="464"/>
      <c r="AQ4447" s="464"/>
      <c r="AR4447" s="464"/>
      <c r="AS4447" s="464"/>
      <c r="AT4447" s="464"/>
      <c r="AU4447" s="464"/>
      <c r="AV4447" s="464"/>
      <c r="AW4447" s="464"/>
      <c r="AX4447" s="464"/>
      <c r="AY4447" s="464"/>
      <c r="AZ4447" s="464"/>
      <c r="BA4447" s="464"/>
      <c r="BB4447" s="464"/>
      <c r="BC4447" s="464"/>
      <c r="BD4447" s="464"/>
      <c r="BE4447" s="464"/>
      <c r="BF4447" s="464"/>
      <c r="BG4447" s="464"/>
      <c r="BH4447" s="464"/>
      <c r="BI4447" s="464"/>
      <c r="BJ4447" s="464"/>
      <c r="BK4447" s="464"/>
      <c r="BL4447" s="464"/>
    </row>
    <row r="4448" spans="1:64">
      <c r="A4448" s="406"/>
      <c r="B4448" s="406"/>
      <c r="C4448" s="417" t="s">
        <v>1536</v>
      </c>
      <c r="D4448" s="432">
        <v>0.91</v>
      </c>
      <c r="E4448" s="406" t="s">
        <v>375</v>
      </c>
      <c r="F4448" s="432">
        <f>'[161]Civil-SOR'!$G$307</f>
        <v>520</v>
      </c>
      <c r="G4448" s="431">
        <v>1</v>
      </c>
      <c r="H4448" s="676" t="s">
        <v>678</v>
      </c>
      <c r="I4448" s="459">
        <f t="shared" si="972"/>
        <v>473.2</v>
      </c>
      <c r="J4448" s="735"/>
      <c r="K4448" s="463"/>
      <c r="L4448" s="463"/>
      <c r="M4448" s="464"/>
      <c r="N4448" s="464"/>
      <c r="O4448" s="464"/>
      <c r="P4448" s="464"/>
      <c r="Q4448" s="464"/>
      <c r="R4448" s="464"/>
      <c r="S4448" s="464"/>
      <c r="T4448" s="464"/>
      <c r="U4448" s="464"/>
      <c r="V4448" s="464"/>
      <c r="W4448" s="464"/>
      <c r="X4448" s="464"/>
      <c r="Y4448" s="464"/>
      <c r="Z4448" s="464"/>
      <c r="AA4448" s="464"/>
      <c r="AB4448" s="464"/>
      <c r="AC4448" s="464"/>
      <c r="AD4448" s="464"/>
      <c r="AE4448" s="464"/>
      <c r="AF4448" s="464"/>
      <c r="AG4448" s="464"/>
      <c r="AH4448" s="464"/>
      <c r="AI4448" s="464"/>
      <c r="AJ4448" s="464"/>
      <c r="AK4448" s="464"/>
      <c r="AL4448" s="464"/>
      <c r="AM4448" s="464"/>
      <c r="AN4448" s="464"/>
      <c r="AO4448" s="464"/>
      <c r="AP4448" s="464"/>
      <c r="AQ4448" s="464"/>
      <c r="AR4448" s="464"/>
      <c r="AS4448" s="464"/>
      <c r="AT4448" s="464"/>
      <c r="AU4448" s="464"/>
      <c r="AV4448" s="464"/>
      <c r="AW4448" s="464"/>
      <c r="AX4448" s="464"/>
      <c r="AY4448" s="464"/>
      <c r="AZ4448" s="464"/>
      <c r="BA4448" s="464"/>
      <c r="BB4448" s="464"/>
      <c r="BC4448" s="464"/>
      <c r="BD4448" s="464"/>
      <c r="BE4448" s="464"/>
      <c r="BF4448" s="464"/>
      <c r="BG4448" s="464"/>
      <c r="BH4448" s="464"/>
      <c r="BI4448" s="464"/>
      <c r="BJ4448" s="464"/>
      <c r="BK4448" s="464"/>
      <c r="BL4448" s="464"/>
    </row>
    <row r="4449" spans="1:64">
      <c r="A4449" s="406"/>
      <c r="B4449" s="406"/>
      <c r="C4449" s="417" t="str">
        <f>[161]Input!$C$47</f>
        <v>Add for MA @ 40%</v>
      </c>
      <c r="D4449" s="432">
        <f>[161]Input!$D$47</f>
        <v>0.4</v>
      </c>
      <c r="E4449" s="406"/>
      <c r="F4449" s="432">
        <f>SUM(I4447:I4448)</f>
        <v>935.2</v>
      </c>
      <c r="G4449" s="431"/>
      <c r="H4449" s="676"/>
      <c r="I4449" s="459">
        <f t="shared" si="972"/>
        <v>374.08000000000004</v>
      </c>
      <c r="J4449" s="735"/>
      <c r="K4449" s="463"/>
      <c r="L4449" s="463"/>
      <c r="M4449" s="464"/>
      <c r="N4449" s="464"/>
      <c r="O4449" s="464"/>
      <c r="P4449" s="464"/>
      <c r="Q4449" s="464"/>
      <c r="R4449" s="464"/>
      <c r="S4449" s="464"/>
      <c r="T4449" s="464"/>
      <c r="U4449" s="464"/>
      <c r="V4449" s="464"/>
      <c r="W4449" s="464"/>
      <c r="X4449" s="464"/>
      <c r="Y4449" s="464"/>
      <c r="Z4449" s="464"/>
      <c r="AA4449" s="464"/>
      <c r="AB4449" s="464"/>
      <c r="AC4449" s="464"/>
      <c r="AD4449" s="464"/>
      <c r="AE4449" s="464"/>
      <c r="AF4449" s="464"/>
      <c r="AG4449" s="464"/>
      <c r="AH4449" s="464"/>
      <c r="AI4449" s="464"/>
      <c r="AJ4449" s="464"/>
      <c r="AK4449" s="464"/>
      <c r="AL4449" s="464"/>
      <c r="AM4449" s="464"/>
      <c r="AN4449" s="464"/>
      <c r="AO4449" s="464"/>
      <c r="AP4449" s="464"/>
      <c r="AQ4449" s="464"/>
      <c r="AR4449" s="464"/>
      <c r="AS4449" s="464"/>
      <c r="AT4449" s="464"/>
      <c r="AU4449" s="464"/>
      <c r="AV4449" s="464"/>
      <c r="AW4449" s="464"/>
      <c r="AX4449" s="464"/>
      <c r="AY4449" s="464"/>
      <c r="AZ4449" s="464"/>
      <c r="BA4449" s="464"/>
      <c r="BB4449" s="464"/>
      <c r="BC4449" s="464"/>
      <c r="BD4449" s="464"/>
      <c r="BE4449" s="464"/>
      <c r="BF4449" s="464"/>
      <c r="BG4449" s="464"/>
      <c r="BH4449" s="464"/>
      <c r="BI4449" s="464"/>
      <c r="BJ4449" s="464"/>
      <c r="BK4449" s="464"/>
      <c r="BL4449" s="464"/>
    </row>
    <row r="4450" spans="1:64" ht="13">
      <c r="A4450" s="406"/>
      <c r="B4450" s="406"/>
      <c r="C4450" s="427" t="s">
        <v>741</v>
      </c>
      <c r="D4450" s="432"/>
      <c r="E4450" s="406"/>
      <c r="F4450" s="432"/>
      <c r="G4450" s="431"/>
      <c r="H4450" s="676"/>
      <c r="I4450" s="459">
        <f>SUM(I4440:I4449)</f>
        <v>7510.9199999999992</v>
      </c>
      <c r="J4450" s="735"/>
      <c r="K4450" s="463"/>
      <c r="L4450" s="463"/>
      <c r="M4450" s="464"/>
      <c r="N4450" s="464"/>
      <c r="O4450" s="464"/>
      <c r="P4450" s="464"/>
      <c r="Q4450" s="464"/>
      <c r="R4450" s="464"/>
      <c r="S4450" s="464"/>
      <c r="T4450" s="464"/>
      <c r="U4450" s="464"/>
      <c r="V4450" s="464"/>
      <c r="W4450" s="464"/>
      <c r="X4450" s="464"/>
      <c r="Y4450" s="464"/>
      <c r="Z4450" s="464"/>
      <c r="AA4450" s="464"/>
      <c r="AB4450" s="464"/>
      <c r="AC4450" s="464"/>
      <c r="AD4450" s="464"/>
      <c r="AE4450" s="464"/>
      <c r="AF4450" s="464"/>
      <c r="AG4450" s="464"/>
      <c r="AH4450" s="464"/>
      <c r="AI4450" s="464"/>
      <c r="AJ4450" s="464"/>
      <c r="AK4450" s="464"/>
      <c r="AL4450" s="464"/>
      <c r="AM4450" s="464"/>
      <c r="AN4450" s="464"/>
      <c r="AO4450" s="464"/>
      <c r="AP4450" s="464"/>
      <c r="AQ4450" s="464"/>
      <c r="AR4450" s="464"/>
      <c r="AS4450" s="464"/>
      <c r="AT4450" s="464"/>
      <c r="AU4450" s="464"/>
      <c r="AV4450" s="464"/>
      <c r="AW4450" s="464"/>
      <c r="AX4450" s="464"/>
      <c r="AY4450" s="464"/>
      <c r="AZ4450" s="464"/>
      <c r="BA4450" s="464"/>
      <c r="BB4450" s="464"/>
      <c r="BC4450" s="464"/>
      <c r="BD4450" s="464"/>
      <c r="BE4450" s="464"/>
      <c r="BF4450" s="464"/>
      <c r="BG4450" s="464"/>
      <c r="BH4450" s="464"/>
      <c r="BI4450" s="464"/>
      <c r="BJ4450" s="464"/>
      <c r="BK4450" s="464"/>
      <c r="BL4450" s="464"/>
    </row>
    <row r="4451" spans="1:64" ht="13">
      <c r="A4451" s="406"/>
      <c r="B4451" s="406"/>
      <c r="C4451" s="427" t="s">
        <v>742</v>
      </c>
      <c r="D4451" s="432"/>
      <c r="E4451" s="406"/>
      <c r="F4451" s="432"/>
      <c r="G4451" s="431"/>
      <c r="H4451" s="676"/>
      <c r="I4451" s="459">
        <f>I4450/10</f>
        <v>751.09199999999987</v>
      </c>
      <c r="J4451" s="735"/>
      <c r="K4451" s="463"/>
      <c r="L4451" s="463"/>
      <c r="M4451" s="464"/>
      <c r="N4451" s="464"/>
      <c r="O4451" s="464"/>
      <c r="P4451" s="464"/>
      <c r="Q4451" s="464"/>
      <c r="R4451" s="464"/>
      <c r="S4451" s="464"/>
      <c r="T4451" s="464"/>
      <c r="U4451" s="464"/>
      <c r="V4451" s="464"/>
      <c r="W4451" s="464"/>
      <c r="X4451" s="464"/>
      <c r="Y4451" s="464"/>
      <c r="Z4451" s="464"/>
      <c r="AA4451" s="464"/>
      <c r="AB4451" s="464"/>
      <c r="AC4451" s="464"/>
      <c r="AD4451" s="464"/>
      <c r="AE4451" s="464"/>
      <c r="AF4451" s="464"/>
      <c r="AG4451" s="464"/>
      <c r="AH4451" s="464"/>
      <c r="AI4451" s="464"/>
      <c r="AJ4451" s="464"/>
      <c r="AK4451" s="464"/>
      <c r="AL4451" s="464"/>
      <c r="AM4451" s="464"/>
      <c r="AN4451" s="464"/>
      <c r="AO4451" s="464"/>
      <c r="AP4451" s="464"/>
      <c r="AQ4451" s="464"/>
      <c r="AR4451" s="464"/>
      <c r="AS4451" s="464"/>
      <c r="AT4451" s="464"/>
      <c r="AU4451" s="464"/>
      <c r="AV4451" s="464"/>
      <c r="AW4451" s="464"/>
      <c r="AX4451" s="464"/>
      <c r="AY4451" s="464"/>
      <c r="AZ4451" s="464"/>
      <c r="BA4451" s="464"/>
      <c r="BB4451" s="464"/>
      <c r="BC4451" s="464"/>
      <c r="BD4451" s="464"/>
      <c r="BE4451" s="464"/>
      <c r="BF4451" s="464"/>
      <c r="BG4451" s="464"/>
      <c r="BH4451" s="464"/>
      <c r="BI4451" s="464"/>
      <c r="BJ4451" s="464"/>
      <c r="BK4451" s="464"/>
      <c r="BL4451" s="464"/>
    </row>
    <row r="4452" spans="1:64" ht="25">
      <c r="A4452" s="406"/>
      <c r="B4452" s="406"/>
      <c r="C4452" s="417" t="str">
        <f>[161]Input!$C$48</f>
        <v>Overheads &amp; Contractors Profit @ 13.615%</v>
      </c>
      <c r="D4452" s="444">
        <f>[161]Input!$D$48</f>
        <v>0.13614999999999999</v>
      </c>
      <c r="E4452" s="406"/>
      <c r="F4452" s="432">
        <f>I4451</f>
        <v>751.09199999999987</v>
      </c>
      <c r="G4452" s="431"/>
      <c r="H4452" s="676"/>
      <c r="I4452" s="459">
        <f>IF(G4452="",D4452*F4452,(D4452*F4452/G4452))</f>
        <v>102.26117579999998</v>
      </c>
      <c r="J4452" s="735"/>
      <c r="K4452" s="463"/>
      <c r="L4452" s="463"/>
      <c r="M4452" s="464"/>
      <c r="N4452" s="464"/>
      <c r="O4452" s="464"/>
      <c r="P4452" s="464"/>
      <c r="Q4452" s="464"/>
      <c r="R4452" s="464"/>
      <c r="S4452" s="464"/>
      <c r="T4452" s="464"/>
      <c r="U4452" s="464"/>
      <c r="V4452" s="464"/>
      <c r="W4452" s="464"/>
      <c r="X4452" s="464"/>
      <c r="Y4452" s="464"/>
      <c r="Z4452" s="464"/>
      <c r="AA4452" s="464"/>
      <c r="AB4452" s="464"/>
      <c r="AC4452" s="464"/>
      <c r="AD4452" s="464"/>
      <c r="AE4452" s="464"/>
      <c r="AF4452" s="464"/>
      <c r="AG4452" s="464"/>
      <c r="AH4452" s="464"/>
      <c r="AI4452" s="464"/>
      <c r="AJ4452" s="464"/>
      <c r="AK4452" s="464"/>
      <c r="AL4452" s="464"/>
      <c r="AM4452" s="464"/>
      <c r="AN4452" s="464"/>
      <c r="AO4452" s="464"/>
      <c r="AP4452" s="464"/>
      <c r="AQ4452" s="464"/>
      <c r="AR4452" s="464"/>
      <c r="AS4452" s="464"/>
      <c r="AT4452" s="464"/>
      <c r="AU4452" s="464"/>
      <c r="AV4452" s="464"/>
      <c r="AW4452" s="464"/>
      <c r="AX4452" s="464"/>
      <c r="AY4452" s="464"/>
      <c r="AZ4452" s="464"/>
      <c r="BA4452" s="464"/>
      <c r="BB4452" s="464"/>
      <c r="BC4452" s="464"/>
      <c r="BD4452" s="464"/>
      <c r="BE4452" s="464"/>
      <c r="BF4452" s="464"/>
      <c r="BG4452" s="464"/>
      <c r="BH4452" s="464"/>
      <c r="BI4452" s="464"/>
      <c r="BJ4452" s="464"/>
      <c r="BK4452" s="464"/>
      <c r="BL4452" s="464"/>
    </row>
    <row r="4453" spans="1:64" ht="13">
      <c r="A4453" s="406"/>
      <c r="B4453" s="406"/>
      <c r="C4453" s="481" t="s">
        <v>742</v>
      </c>
      <c r="D4453" s="432"/>
      <c r="E4453" s="406"/>
      <c r="F4453" s="432"/>
      <c r="G4453" s="431"/>
      <c r="H4453" s="676"/>
      <c r="I4453" s="459">
        <f>SUM(I4451:I4452)</f>
        <v>853.3531757999998</v>
      </c>
      <c r="J4453" s="743"/>
      <c r="K4453" s="424"/>
      <c r="L4453" s="424"/>
      <c r="M4453" s="425"/>
      <c r="N4453" s="425"/>
      <c r="O4453" s="425"/>
      <c r="P4453" s="425"/>
      <c r="Q4453" s="425"/>
      <c r="R4453" s="425"/>
      <c r="S4453" s="425"/>
      <c r="T4453" s="425"/>
      <c r="U4453" s="425"/>
      <c r="V4453" s="425"/>
      <c r="W4453" s="425"/>
      <c r="X4453" s="425"/>
      <c r="Y4453" s="425"/>
      <c r="Z4453" s="425"/>
      <c r="AA4453" s="425"/>
      <c r="AB4453" s="425"/>
      <c r="AC4453" s="425"/>
      <c r="AD4453" s="425"/>
      <c r="AE4453" s="425"/>
      <c r="AF4453" s="425"/>
      <c r="AG4453" s="425"/>
      <c r="AH4453" s="425"/>
      <c r="AI4453" s="425"/>
      <c r="AJ4453" s="425"/>
      <c r="AK4453" s="425"/>
      <c r="AL4453" s="425"/>
      <c r="AM4453" s="425"/>
      <c r="AN4453" s="425"/>
      <c r="AO4453" s="425"/>
      <c r="AP4453" s="425"/>
      <c r="AQ4453" s="425"/>
      <c r="AR4453" s="425"/>
      <c r="AS4453" s="425"/>
      <c r="AT4453" s="425"/>
      <c r="AU4453" s="425"/>
      <c r="AV4453" s="425"/>
      <c r="AW4453" s="425"/>
      <c r="AX4453" s="425"/>
      <c r="AY4453" s="425"/>
      <c r="AZ4453" s="425"/>
      <c r="BA4453" s="425"/>
      <c r="BB4453" s="425"/>
      <c r="BC4453" s="425"/>
      <c r="BD4453" s="425"/>
      <c r="BE4453" s="425"/>
      <c r="BF4453" s="425"/>
      <c r="BG4453" s="425"/>
      <c r="BH4453" s="425"/>
      <c r="BI4453" s="425"/>
      <c r="BJ4453" s="425"/>
      <c r="BK4453" s="425"/>
      <c r="BL4453" s="425"/>
    </row>
    <row r="4454" spans="1:64" ht="13">
      <c r="A4454" s="426"/>
      <c r="B4454" s="426"/>
      <c r="C4454" s="496"/>
      <c r="D4454" s="409"/>
      <c r="E4454" s="426"/>
      <c r="F4454" s="409"/>
      <c r="G4454" s="410"/>
      <c r="H4454" s="415" t="s">
        <v>1322</v>
      </c>
      <c r="I4454" s="434">
        <f>ROUND(I4453,0)</f>
        <v>853</v>
      </c>
      <c r="J4454" s="411"/>
      <c r="K4454" s="412"/>
      <c r="L4454" s="412"/>
      <c r="M4454" s="413"/>
      <c r="N4454" s="413"/>
      <c r="O4454" s="413"/>
      <c r="P4454" s="413"/>
      <c r="Q4454" s="413"/>
      <c r="R4454" s="413"/>
      <c r="S4454" s="413"/>
      <c r="T4454" s="413"/>
      <c r="U4454" s="413"/>
      <c r="V4454" s="413"/>
      <c r="W4454" s="413"/>
      <c r="X4454" s="413"/>
      <c r="Y4454" s="413"/>
      <c r="Z4454" s="413"/>
      <c r="AA4454" s="413"/>
      <c r="AB4454" s="413"/>
      <c r="AC4454" s="413"/>
      <c r="AD4454" s="413"/>
      <c r="AE4454" s="413"/>
      <c r="AF4454" s="413"/>
      <c r="AG4454" s="413"/>
      <c r="AH4454" s="413"/>
      <c r="AI4454" s="413"/>
      <c r="AJ4454" s="413"/>
      <c r="AK4454" s="413"/>
      <c r="AL4454" s="413"/>
      <c r="AM4454" s="413"/>
      <c r="AN4454" s="413"/>
      <c r="AO4454" s="413"/>
      <c r="AP4454" s="413"/>
      <c r="AQ4454" s="413"/>
      <c r="AR4454" s="413"/>
      <c r="AS4454" s="413"/>
      <c r="AT4454" s="413"/>
      <c r="AU4454" s="413"/>
      <c r="AV4454" s="413"/>
      <c r="AW4454" s="413"/>
      <c r="AX4454" s="413"/>
      <c r="AY4454" s="413"/>
      <c r="AZ4454" s="413"/>
      <c r="BA4454" s="413"/>
      <c r="BB4454" s="413"/>
      <c r="BC4454" s="413"/>
      <c r="BD4454" s="413"/>
      <c r="BE4454" s="413"/>
      <c r="BF4454" s="413"/>
      <c r="BG4454" s="413"/>
      <c r="BH4454" s="413"/>
      <c r="BI4454" s="413"/>
      <c r="BJ4454" s="413"/>
      <c r="BK4454" s="413"/>
      <c r="BL4454" s="413"/>
    </row>
    <row r="4455" spans="1:64">
      <c r="A4455" s="426"/>
      <c r="B4455" s="426"/>
      <c r="C4455" s="417"/>
      <c r="D4455" s="409"/>
      <c r="E4455" s="426"/>
      <c r="F4455" s="409"/>
      <c r="G4455" s="410"/>
      <c r="H4455" s="426"/>
      <c r="I4455" s="409"/>
      <c r="J4455" s="400"/>
      <c r="K4455" s="401"/>
      <c r="L4455" s="401"/>
      <c r="M4455" s="404"/>
      <c r="N4455" s="404"/>
      <c r="O4455" s="404"/>
      <c r="P4455" s="404"/>
      <c r="Q4455" s="404"/>
      <c r="R4455" s="404"/>
      <c r="S4455" s="404"/>
      <c r="T4455" s="404"/>
      <c r="U4455" s="404"/>
      <c r="V4455" s="404"/>
      <c r="W4455" s="404"/>
      <c r="X4455" s="404"/>
      <c r="Y4455" s="404"/>
      <c r="Z4455" s="404"/>
      <c r="AA4455" s="404"/>
      <c r="AB4455" s="404"/>
      <c r="AC4455" s="404"/>
      <c r="AD4455" s="404"/>
      <c r="AE4455" s="404"/>
      <c r="AF4455" s="404"/>
      <c r="AG4455" s="404"/>
      <c r="AH4455" s="404"/>
      <c r="AI4455" s="404"/>
      <c r="AJ4455" s="404"/>
      <c r="AK4455" s="404"/>
      <c r="AL4455" s="404"/>
      <c r="AM4455" s="404"/>
      <c r="AN4455" s="404"/>
      <c r="AO4455" s="404"/>
      <c r="AP4455" s="404"/>
      <c r="AQ4455" s="404"/>
      <c r="AR4455" s="404"/>
      <c r="AS4455" s="404"/>
      <c r="AT4455" s="404"/>
      <c r="AU4455" s="404"/>
      <c r="AV4455" s="404"/>
      <c r="AW4455" s="404"/>
      <c r="AX4455" s="404"/>
      <c r="AY4455" s="404"/>
      <c r="AZ4455" s="404"/>
      <c r="BA4455" s="404"/>
      <c r="BB4455" s="404"/>
      <c r="BC4455" s="404"/>
      <c r="BD4455" s="404"/>
      <c r="BE4455" s="404"/>
      <c r="BF4455" s="404"/>
      <c r="BG4455" s="404"/>
      <c r="BH4455" s="404"/>
      <c r="BI4455" s="404"/>
      <c r="BJ4455" s="404"/>
      <c r="BK4455" s="404"/>
      <c r="BL4455" s="404"/>
    </row>
    <row r="4456" spans="1:64" ht="47.9" customHeight="1">
      <c r="A4456" s="1280">
        <f>A4437+1</f>
        <v>31</v>
      </c>
      <c r="B4456" s="1280"/>
      <c r="C4456" s="1276" t="s">
        <v>1546</v>
      </c>
      <c r="D4456" s="1276"/>
      <c r="E4456" s="1276"/>
      <c r="F4456" s="1276"/>
      <c r="G4456" s="1276"/>
      <c r="H4456" s="1276"/>
      <c r="I4456" s="407"/>
      <c r="J4456" s="400"/>
      <c r="K4456" s="401"/>
      <c r="L4456" s="401"/>
      <c r="M4456" s="404"/>
      <c r="N4456" s="404"/>
      <c r="O4456" s="404"/>
      <c r="P4456" s="404"/>
      <c r="Q4456" s="404"/>
      <c r="R4456" s="404"/>
      <c r="S4456" s="404"/>
      <c r="T4456" s="404"/>
      <c r="U4456" s="404"/>
      <c r="V4456" s="404"/>
      <c r="W4456" s="404"/>
      <c r="X4456" s="404"/>
      <c r="Y4456" s="404"/>
      <c r="Z4456" s="404"/>
      <c r="AA4456" s="404"/>
      <c r="AB4456" s="404"/>
      <c r="AC4456" s="404"/>
      <c r="AD4456" s="404"/>
      <c r="AE4456" s="404"/>
      <c r="AF4456" s="404"/>
      <c r="AG4456" s="404"/>
      <c r="AH4456" s="404"/>
      <c r="AI4456" s="404"/>
      <c r="AJ4456" s="404"/>
      <c r="AK4456" s="404"/>
      <c r="AL4456" s="404"/>
      <c r="AM4456" s="404"/>
      <c r="AN4456" s="404"/>
      <c r="AO4456" s="404"/>
      <c r="AP4456" s="404"/>
      <c r="AQ4456" s="404"/>
      <c r="AR4456" s="404"/>
      <c r="AS4456" s="404"/>
      <c r="AT4456" s="404"/>
      <c r="AU4456" s="404"/>
      <c r="AV4456" s="404"/>
      <c r="AW4456" s="404"/>
      <c r="AX4456" s="404"/>
      <c r="AY4456" s="404"/>
      <c r="AZ4456" s="404"/>
      <c r="BA4456" s="404"/>
      <c r="BB4456" s="404"/>
      <c r="BC4456" s="404"/>
      <c r="BD4456" s="404"/>
      <c r="BE4456" s="404"/>
      <c r="BF4456" s="404"/>
      <c r="BG4456" s="404"/>
      <c r="BH4456" s="404"/>
      <c r="BI4456" s="404"/>
      <c r="BJ4456" s="404"/>
      <c r="BK4456" s="404"/>
      <c r="BL4456" s="404"/>
    </row>
    <row r="4457" spans="1:64">
      <c r="A4457" s="426"/>
      <c r="B4457" s="426"/>
      <c r="C4457" s="469" t="s">
        <v>1547</v>
      </c>
      <c r="D4457" s="426">
        <v>1</v>
      </c>
      <c r="E4457" s="426" t="s">
        <v>678</v>
      </c>
      <c r="F4457" s="409">
        <f>'[161]Civil-SOR'!G397</f>
        <v>195</v>
      </c>
      <c r="G4457" s="426">
        <v>1</v>
      </c>
      <c r="H4457" s="456" t="str">
        <f>IF(E4457="","",IF(E4457="No.","Each",IF(E4457="Nos.","Each",E4457)))</f>
        <v>Each</v>
      </c>
      <c r="I4457" s="409">
        <f>F4457*D4457</f>
        <v>195</v>
      </c>
      <c r="J4457" s="400"/>
      <c r="K4457" s="401"/>
      <c r="L4457" s="401"/>
      <c r="M4457" s="404"/>
      <c r="N4457" s="404"/>
      <c r="O4457" s="404"/>
      <c r="P4457" s="404"/>
      <c r="Q4457" s="404"/>
      <c r="R4457" s="404"/>
      <c r="S4457" s="404"/>
      <c r="T4457" s="404"/>
      <c r="U4457" s="404"/>
      <c r="V4457" s="404"/>
      <c r="W4457" s="404"/>
      <c r="X4457" s="404"/>
      <c r="Y4457" s="404"/>
      <c r="Z4457" s="404"/>
      <c r="AA4457" s="404"/>
      <c r="AB4457" s="404"/>
      <c r="AC4457" s="404"/>
      <c r="AD4457" s="404"/>
      <c r="AE4457" s="404"/>
      <c r="AF4457" s="404"/>
      <c r="AG4457" s="404"/>
      <c r="AH4457" s="404"/>
      <c r="AI4457" s="404"/>
      <c r="AJ4457" s="404"/>
      <c r="AK4457" s="404"/>
      <c r="AL4457" s="404"/>
      <c r="AM4457" s="404"/>
      <c r="AN4457" s="404"/>
      <c r="AO4457" s="404"/>
      <c r="AP4457" s="404"/>
      <c r="AQ4457" s="404"/>
      <c r="AR4457" s="404"/>
      <c r="AS4457" s="404"/>
      <c r="AT4457" s="404"/>
      <c r="AU4457" s="404"/>
      <c r="AV4457" s="404"/>
      <c r="AW4457" s="404"/>
      <c r="AX4457" s="404"/>
      <c r="AY4457" s="404"/>
      <c r="AZ4457" s="404"/>
      <c r="BA4457" s="404"/>
      <c r="BB4457" s="404"/>
      <c r="BC4457" s="404"/>
      <c r="BD4457" s="404"/>
      <c r="BE4457" s="404"/>
      <c r="BF4457" s="404"/>
      <c r="BG4457" s="404"/>
      <c r="BH4457" s="404"/>
      <c r="BI4457" s="404"/>
      <c r="BJ4457" s="404"/>
      <c r="BK4457" s="404"/>
      <c r="BL4457" s="404"/>
    </row>
    <row r="4458" spans="1:64" ht="13">
      <c r="A4458" s="426"/>
      <c r="B4458" s="426"/>
      <c r="C4458" s="455" t="s">
        <v>1548</v>
      </c>
      <c r="D4458" s="426"/>
      <c r="E4458" s="426"/>
      <c r="F4458" s="426"/>
      <c r="G4458" s="426"/>
      <c r="H4458" s="434"/>
      <c r="I4458" s="434">
        <f>SUM(I4457:I4457)</f>
        <v>195</v>
      </c>
      <c r="J4458" s="400"/>
      <c r="K4458" s="401"/>
      <c r="L4458" s="401"/>
      <c r="M4458" s="404"/>
      <c r="N4458" s="404"/>
      <c r="O4458" s="404"/>
      <c r="P4458" s="404"/>
      <c r="Q4458" s="404"/>
      <c r="R4458" s="404"/>
      <c r="S4458" s="404"/>
      <c r="T4458" s="404"/>
      <c r="U4458" s="404"/>
      <c r="V4458" s="404"/>
      <c r="W4458" s="404"/>
      <c r="X4458" s="404"/>
      <c r="Y4458" s="404"/>
      <c r="Z4458" s="404"/>
      <c r="AA4458" s="404"/>
      <c r="AB4458" s="404"/>
      <c r="AC4458" s="404"/>
      <c r="AD4458" s="404"/>
      <c r="AE4458" s="404"/>
      <c r="AF4458" s="404"/>
      <c r="AG4458" s="404"/>
      <c r="AH4458" s="404"/>
      <c r="AI4458" s="404"/>
      <c r="AJ4458" s="404"/>
      <c r="AK4458" s="404"/>
      <c r="AL4458" s="404"/>
      <c r="AM4458" s="404"/>
      <c r="AN4458" s="404"/>
      <c r="AO4458" s="404"/>
      <c r="AP4458" s="404"/>
      <c r="AQ4458" s="404"/>
      <c r="AR4458" s="404"/>
      <c r="AS4458" s="404"/>
      <c r="AT4458" s="404"/>
      <c r="AU4458" s="404"/>
      <c r="AV4458" s="404"/>
      <c r="AW4458" s="404"/>
      <c r="AX4458" s="404"/>
      <c r="AY4458" s="404"/>
      <c r="AZ4458" s="404"/>
      <c r="BA4458" s="404"/>
      <c r="BB4458" s="404"/>
      <c r="BC4458" s="404"/>
      <c r="BD4458" s="404"/>
      <c r="BE4458" s="404"/>
      <c r="BF4458" s="404"/>
      <c r="BG4458" s="404"/>
      <c r="BH4458" s="404"/>
      <c r="BI4458" s="404"/>
      <c r="BJ4458" s="404"/>
      <c r="BK4458" s="404"/>
      <c r="BL4458" s="404"/>
    </row>
    <row r="4459" spans="1:64" ht="25">
      <c r="A4459" s="406"/>
      <c r="B4459" s="406"/>
      <c r="C4459" s="417" t="str">
        <f>[161]Input!$C$48</f>
        <v>Overheads &amp; Contractors Profit @ 13.615%</v>
      </c>
      <c r="D4459" s="444">
        <f>[161]Input!$D$48</f>
        <v>0.13614999999999999</v>
      </c>
      <c r="E4459" s="459"/>
      <c r="F4459" s="459">
        <f>I4458</f>
        <v>195</v>
      </c>
      <c r="G4459" s="460"/>
      <c r="H4459" s="406"/>
      <c r="I4459" s="459">
        <f>IF(G4459="",D4459*F4459,(D4459*F4459/G4459))</f>
        <v>26.549249999999997</v>
      </c>
      <c r="J4459" s="462"/>
      <c r="K4459" s="463"/>
      <c r="L4459" s="463"/>
      <c r="M4459" s="464"/>
      <c r="N4459" s="464"/>
      <c r="O4459" s="464"/>
      <c r="P4459" s="464"/>
      <c r="Q4459" s="464"/>
      <c r="R4459" s="464"/>
      <c r="S4459" s="464"/>
      <c r="T4459" s="464"/>
      <c r="U4459" s="464"/>
      <c r="V4459" s="464"/>
      <c r="W4459" s="464"/>
      <c r="X4459" s="464"/>
      <c r="Y4459" s="464"/>
      <c r="Z4459" s="464"/>
      <c r="AA4459" s="464"/>
      <c r="AB4459" s="464"/>
      <c r="AC4459" s="464"/>
      <c r="AD4459" s="464"/>
      <c r="AE4459" s="464"/>
      <c r="AF4459" s="464"/>
      <c r="AG4459" s="464"/>
      <c r="AH4459" s="464"/>
      <c r="AI4459" s="464"/>
      <c r="AJ4459" s="464"/>
      <c r="AK4459" s="464"/>
      <c r="AL4459" s="464"/>
      <c r="AM4459" s="464"/>
      <c r="AN4459" s="464"/>
      <c r="AO4459" s="464"/>
      <c r="AP4459" s="464"/>
      <c r="AQ4459" s="464"/>
      <c r="AR4459" s="464"/>
      <c r="AS4459" s="464"/>
      <c r="AT4459" s="464"/>
      <c r="AU4459" s="464"/>
      <c r="AV4459" s="464"/>
      <c r="AW4459" s="464"/>
      <c r="AX4459" s="464"/>
      <c r="AY4459" s="464"/>
      <c r="AZ4459" s="464"/>
      <c r="BA4459" s="464"/>
      <c r="BB4459" s="464"/>
      <c r="BC4459" s="464"/>
      <c r="BD4459" s="464"/>
      <c r="BE4459" s="464"/>
      <c r="BF4459" s="464"/>
      <c r="BG4459" s="464"/>
      <c r="BH4459" s="464"/>
      <c r="BI4459" s="464"/>
      <c r="BJ4459" s="464"/>
      <c r="BK4459" s="464"/>
      <c r="BL4459" s="464"/>
    </row>
    <row r="4460" spans="1:64" ht="13">
      <c r="A4460" s="426"/>
      <c r="B4460" s="426"/>
      <c r="C4460" s="417"/>
      <c r="D4460" s="408"/>
      <c r="E4460" s="408"/>
      <c r="F4460" s="408"/>
      <c r="G4460" s="430"/>
      <c r="H4460" s="474"/>
      <c r="I4460" s="414">
        <f>SUM(I4458:I4459)</f>
        <v>221.54925</v>
      </c>
      <c r="J4460" s="400"/>
      <c r="K4460" s="401"/>
      <c r="L4460" s="401"/>
      <c r="M4460" s="404"/>
      <c r="N4460" s="404"/>
      <c r="O4460" s="404"/>
      <c r="P4460" s="404"/>
      <c r="Q4460" s="404"/>
      <c r="R4460" s="404"/>
      <c r="S4460" s="404"/>
      <c r="T4460" s="404"/>
      <c r="U4460" s="404"/>
      <c r="V4460" s="404"/>
      <c r="W4460" s="404"/>
      <c r="X4460" s="404"/>
      <c r="Y4460" s="404"/>
      <c r="Z4460" s="404"/>
      <c r="AA4460" s="404"/>
      <c r="AB4460" s="404"/>
      <c r="AC4460" s="404"/>
      <c r="AD4460" s="404"/>
      <c r="AE4460" s="404"/>
      <c r="AF4460" s="404"/>
      <c r="AG4460" s="404"/>
      <c r="AH4460" s="404"/>
      <c r="AI4460" s="404"/>
      <c r="AJ4460" s="404"/>
      <c r="AK4460" s="404"/>
      <c r="AL4460" s="404"/>
      <c r="AM4460" s="404"/>
      <c r="AN4460" s="404"/>
      <c r="AO4460" s="404"/>
      <c r="AP4460" s="404"/>
      <c r="AQ4460" s="404"/>
      <c r="AR4460" s="404"/>
      <c r="AS4460" s="404"/>
      <c r="AT4460" s="404"/>
      <c r="AU4460" s="404"/>
      <c r="AV4460" s="404"/>
      <c r="AW4460" s="404"/>
      <c r="AX4460" s="404"/>
      <c r="AY4460" s="404"/>
      <c r="AZ4460" s="404"/>
      <c r="BA4460" s="404"/>
      <c r="BB4460" s="404"/>
      <c r="BC4460" s="404"/>
      <c r="BD4460" s="404"/>
      <c r="BE4460" s="404"/>
      <c r="BF4460" s="404"/>
      <c r="BG4460" s="404"/>
      <c r="BH4460" s="404"/>
      <c r="BI4460" s="404"/>
      <c r="BJ4460" s="404"/>
      <c r="BK4460" s="404"/>
      <c r="BL4460" s="404"/>
    </row>
    <row r="4461" spans="1:64" ht="13">
      <c r="A4461" s="426"/>
      <c r="B4461" s="426"/>
      <c r="C4461" s="417"/>
      <c r="D4461" s="408"/>
      <c r="E4461" s="408"/>
      <c r="F4461" s="408"/>
      <c r="G4461" s="430"/>
      <c r="H4461" s="474" t="s">
        <v>774</v>
      </c>
      <c r="I4461" s="414">
        <f>ROUND(I4460,0)</f>
        <v>222</v>
      </c>
      <c r="J4461" s="400"/>
      <c r="K4461" s="401"/>
      <c r="L4461" s="401"/>
      <c r="M4461" s="404"/>
      <c r="N4461" s="404"/>
      <c r="O4461" s="404"/>
      <c r="P4461" s="404"/>
      <c r="Q4461" s="404"/>
      <c r="R4461" s="404"/>
      <c r="S4461" s="404"/>
      <c r="T4461" s="404"/>
      <c r="U4461" s="404"/>
      <c r="V4461" s="404"/>
      <c r="W4461" s="404"/>
      <c r="X4461" s="404"/>
      <c r="Y4461" s="404"/>
      <c r="Z4461" s="404"/>
      <c r="AA4461" s="404"/>
      <c r="AB4461" s="404"/>
      <c r="AC4461" s="404"/>
      <c r="AD4461" s="404"/>
      <c r="AE4461" s="404"/>
      <c r="AF4461" s="404"/>
      <c r="AG4461" s="404"/>
      <c r="AH4461" s="404"/>
      <c r="AI4461" s="404"/>
      <c r="AJ4461" s="404"/>
      <c r="AK4461" s="404"/>
      <c r="AL4461" s="404"/>
      <c r="AM4461" s="404"/>
      <c r="AN4461" s="404"/>
      <c r="AO4461" s="404"/>
      <c r="AP4461" s="404"/>
      <c r="AQ4461" s="404"/>
      <c r="AR4461" s="404"/>
      <c r="AS4461" s="404"/>
      <c r="AT4461" s="404"/>
      <c r="AU4461" s="404"/>
      <c r="AV4461" s="404"/>
      <c r="AW4461" s="404"/>
      <c r="AX4461" s="404"/>
      <c r="AY4461" s="404"/>
      <c r="AZ4461" s="404"/>
      <c r="BA4461" s="404"/>
      <c r="BB4461" s="404"/>
      <c r="BC4461" s="404"/>
      <c r="BD4461" s="404"/>
      <c r="BE4461" s="404"/>
      <c r="BF4461" s="404"/>
      <c r="BG4461" s="404"/>
      <c r="BH4461" s="404"/>
      <c r="BI4461" s="404"/>
      <c r="BJ4461" s="404"/>
      <c r="BK4461" s="404"/>
      <c r="BL4461" s="404"/>
    </row>
    <row r="4462" spans="1:64" ht="13">
      <c r="A4462" s="426"/>
      <c r="B4462" s="426"/>
      <c r="C4462" s="417"/>
      <c r="D4462" s="408"/>
      <c r="E4462" s="408"/>
      <c r="F4462" s="408"/>
      <c r="G4462" s="430"/>
      <c r="H4462" s="474"/>
      <c r="I4462" s="414"/>
      <c r="J4462" s="400"/>
      <c r="K4462" s="401"/>
      <c r="L4462" s="401"/>
      <c r="M4462" s="404"/>
      <c r="N4462" s="404"/>
      <c r="O4462" s="404"/>
      <c r="P4462" s="404"/>
      <c r="Q4462" s="404"/>
      <c r="R4462" s="404"/>
      <c r="S4462" s="404"/>
      <c r="T4462" s="404"/>
      <c r="U4462" s="404"/>
      <c r="V4462" s="404"/>
      <c r="W4462" s="404"/>
      <c r="X4462" s="404"/>
      <c r="Y4462" s="404"/>
      <c r="Z4462" s="404"/>
      <c r="AA4462" s="404"/>
      <c r="AB4462" s="404"/>
      <c r="AC4462" s="404"/>
      <c r="AD4462" s="404"/>
      <c r="AE4462" s="404"/>
      <c r="AF4462" s="404"/>
      <c r="AG4462" s="404"/>
      <c r="AH4462" s="404"/>
      <c r="AI4462" s="404"/>
      <c r="AJ4462" s="404"/>
      <c r="AK4462" s="404"/>
      <c r="AL4462" s="404"/>
      <c r="AM4462" s="404"/>
      <c r="AN4462" s="404"/>
      <c r="AO4462" s="404"/>
      <c r="AP4462" s="404"/>
      <c r="AQ4462" s="404"/>
      <c r="AR4462" s="404"/>
      <c r="AS4462" s="404"/>
      <c r="AT4462" s="404"/>
      <c r="AU4462" s="404"/>
      <c r="AV4462" s="404"/>
      <c r="AW4462" s="404"/>
      <c r="AX4462" s="404"/>
      <c r="AY4462" s="404"/>
      <c r="AZ4462" s="404"/>
      <c r="BA4462" s="404"/>
      <c r="BB4462" s="404"/>
      <c r="BC4462" s="404"/>
      <c r="BD4462" s="404"/>
      <c r="BE4462" s="404"/>
      <c r="BF4462" s="404"/>
      <c r="BG4462" s="404"/>
      <c r="BH4462" s="404"/>
      <c r="BI4462" s="404"/>
      <c r="BJ4462" s="404"/>
      <c r="BK4462" s="404"/>
      <c r="BL4462" s="404"/>
    </row>
    <row r="4463" spans="1:64" ht="25.4" customHeight="1">
      <c r="A4463" s="1280">
        <f>1+A4456</f>
        <v>32</v>
      </c>
      <c r="B4463" s="1280"/>
      <c r="C4463" s="1291" t="s">
        <v>1549</v>
      </c>
      <c r="D4463" s="1291"/>
      <c r="E4463" s="1291"/>
      <c r="F4463" s="1291"/>
      <c r="G4463" s="1291"/>
      <c r="H4463" s="1291"/>
      <c r="I4463" s="1291"/>
      <c r="J4463" s="400"/>
      <c r="K4463" s="401"/>
      <c r="L4463" s="401"/>
      <c r="M4463" s="404"/>
      <c r="N4463" s="404"/>
      <c r="O4463" s="404"/>
      <c r="P4463" s="404"/>
      <c r="Q4463" s="404"/>
      <c r="R4463" s="404"/>
      <c r="S4463" s="404"/>
      <c r="T4463" s="404"/>
      <c r="U4463" s="404"/>
      <c r="V4463" s="404"/>
      <c r="W4463" s="404"/>
      <c r="X4463" s="404"/>
      <c r="Y4463" s="404"/>
      <c r="Z4463" s="404"/>
      <c r="AA4463" s="404"/>
      <c r="AB4463" s="404"/>
      <c r="AC4463" s="404"/>
      <c r="AD4463" s="404"/>
      <c r="AE4463" s="404"/>
      <c r="AF4463" s="404"/>
      <c r="AG4463" s="404"/>
      <c r="AH4463" s="404"/>
      <c r="AI4463" s="404"/>
      <c r="AJ4463" s="404"/>
      <c r="AK4463" s="404"/>
      <c r="AL4463" s="404"/>
      <c r="AM4463" s="404"/>
      <c r="AN4463" s="404"/>
      <c r="AO4463" s="404"/>
      <c r="AP4463" s="404"/>
      <c r="AQ4463" s="404"/>
      <c r="AR4463" s="404"/>
      <c r="AS4463" s="404"/>
      <c r="AT4463" s="404"/>
      <c r="AU4463" s="404"/>
      <c r="AV4463" s="404"/>
      <c r="AW4463" s="404"/>
      <c r="AX4463" s="404"/>
      <c r="AY4463" s="404"/>
      <c r="AZ4463" s="404"/>
      <c r="BA4463" s="404"/>
      <c r="BB4463" s="404"/>
      <c r="BC4463" s="404"/>
      <c r="BD4463" s="404"/>
      <c r="BE4463" s="404"/>
      <c r="BF4463" s="404"/>
      <c r="BG4463" s="404"/>
      <c r="BH4463" s="404"/>
      <c r="BI4463" s="404"/>
      <c r="BJ4463" s="404"/>
      <c r="BK4463" s="404"/>
      <c r="BL4463" s="404"/>
    </row>
    <row r="4464" spans="1:64">
      <c r="A4464" s="426"/>
      <c r="B4464" s="426"/>
      <c r="C4464" s="417" t="s">
        <v>1550</v>
      </c>
      <c r="D4464" s="426">
        <v>1</v>
      </c>
      <c r="E4464" s="426" t="s">
        <v>678</v>
      </c>
      <c r="F4464" s="409">
        <v>3498</v>
      </c>
      <c r="G4464" s="426">
        <v>1</v>
      </c>
      <c r="H4464" s="456" t="str">
        <f>IF(E4464="","",IF(E4464="No.","Each",IF(E4464="Nos.","Each",E4464)))</f>
        <v>Each</v>
      </c>
      <c r="I4464" s="409">
        <f>F4464*D4464</f>
        <v>3498</v>
      </c>
      <c r="J4464" s="400"/>
      <c r="K4464" s="401"/>
      <c r="L4464" s="401"/>
      <c r="M4464" s="404"/>
      <c r="N4464" s="404"/>
      <c r="O4464" s="404"/>
      <c r="P4464" s="404"/>
      <c r="Q4464" s="404"/>
      <c r="R4464" s="404"/>
      <c r="S4464" s="404"/>
      <c r="T4464" s="404"/>
      <c r="U4464" s="404"/>
      <c r="V4464" s="404"/>
      <c r="W4464" s="404"/>
      <c r="X4464" s="404"/>
      <c r="Y4464" s="404"/>
      <c r="Z4464" s="404"/>
      <c r="AA4464" s="404"/>
      <c r="AB4464" s="404"/>
      <c r="AC4464" s="404"/>
      <c r="AD4464" s="404"/>
      <c r="AE4464" s="404"/>
      <c r="AF4464" s="404"/>
      <c r="AG4464" s="404"/>
      <c r="AH4464" s="404"/>
      <c r="AI4464" s="404"/>
      <c r="AJ4464" s="404"/>
      <c r="AK4464" s="404"/>
      <c r="AL4464" s="404"/>
      <c r="AM4464" s="404"/>
      <c r="AN4464" s="404"/>
      <c r="AO4464" s="404"/>
      <c r="AP4464" s="404"/>
      <c r="AQ4464" s="404"/>
      <c r="AR4464" s="404"/>
      <c r="AS4464" s="404"/>
      <c r="AT4464" s="404"/>
      <c r="AU4464" s="404"/>
      <c r="AV4464" s="404"/>
      <c r="AW4464" s="404"/>
      <c r="AX4464" s="404"/>
      <c r="AY4464" s="404"/>
      <c r="AZ4464" s="404"/>
      <c r="BA4464" s="404"/>
      <c r="BB4464" s="404"/>
      <c r="BC4464" s="404"/>
      <c r="BD4464" s="404"/>
      <c r="BE4464" s="404"/>
      <c r="BF4464" s="404"/>
      <c r="BG4464" s="404"/>
      <c r="BH4464" s="404"/>
      <c r="BI4464" s="404"/>
      <c r="BJ4464" s="404"/>
      <c r="BK4464" s="404"/>
      <c r="BL4464" s="404"/>
    </row>
    <row r="4465" spans="1:64" ht="13">
      <c r="A4465" s="426"/>
      <c r="B4465" s="426"/>
      <c r="C4465" s="473" t="s">
        <v>1548</v>
      </c>
      <c r="D4465" s="426"/>
      <c r="E4465" s="426"/>
      <c r="F4465" s="426"/>
      <c r="G4465" s="426"/>
      <c r="H4465" s="434"/>
      <c r="I4465" s="434">
        <f>SUM(I4464:I4464)</f>
        <v>3498</v>
      </c>
      <c r="J4465" s="400"/>
      <c r="K4465" s="401"/>
      <c r="L4465" s="401"/>
      <c r="M4465" s="404"/>
      <c r="N4465" s="404"/>
      <c r="O4465" s="404"/>
      <c r="P4465" s="404"/>
      <c r="Q4465" s="404"/>
      <c r="R4465" s="404"/>
      <c r="S4465" s="404"/>
      <c r="T4465" s="404"/>
      <c r="U4465" s="404"/>
      <c r="V4465" s="404"/>
      <c r="W4465" s="404"/>
      <c r="X4465" s="404"/>
      <c r="Y4465" s="404"/>
      <c r="Z4465" s="404"/>
      <c r="AA4465" s="404"/>
      <c r="AB4465" s="404"/>
      <c r="AC4465" s="404"/>
      <c r="AD4465" s="404"/>
      <c r="AE4465" s="404"/>
      <c r="AF4465" s="404"/>
      <c r="AG4465" s="404"/>
      <c r="AH4465" s="404"/>
      <c r="AI4465" s="404"/>
      <c r="AJ4465" s="404"/>
      <c r="AK4465" s="404"/>
      <c r="AL4465" s="404"/>
      <c r="AM4465" s="404"/>
      <c r="AN4465" s="404"/>
      <c r="AO4465" s="404"/>
      <c r="AP4465" s="404"/>
      <c r="AQ4465" s="404"/>
      <c r="AR4465" s="404"/>
      <c r="AS4465" s="404"/>
      <c r="AT4465" s="404"/>
      <c r="AU4465" s="404"/>
      <c r="AV4465" s="404"/>
      <c r="AW4465" s="404"/>
      <c r="AX4465" s="404"/>
      <c r="AY4465" s="404"/>
      <c r="AZ4465" s="404"/>
      <c r="BA4465" s="404"/>
      <c r="BB4465" s="404"/>
      <c r="BC4465" s="404"/>
      <c r="BD4465" s="404"/>
      <c r="BE4465" s="404"/>
      <c r="BF4465" s="404"/>
      <c r="BG4465" s="404"/>
      <c r="BH4465" s="404"/>
      <c r="BI4465" s="404"/>
      <c r="BJ4465" s="404"/>
      <c r="BK4465" s="404"/>
      <c r="BL4465" s="404"/>
    </row>
    <row r="4466" spans="1:64" ht="25">
      <c r="A4466" s="406"/>
      <c r="B4466" s="406"/>
      <c r="C4466" s="417" t="str">
        <f>[161]Input!$C$48</f>
        <v>Overheads &amp; Contractors Profit @ 13.615%</v>
      </c>
      <c r="D4466" s="444">
        <f>[161]Input!$D$48</f>
        <v>0.13614999999999999</v>
      </c>
      <c r="E4466" s="459"/>
      <c r="F4466" s="459">
        <f>I4465</f>
        <v>3498</v>
      </c>
      <c r="G4466" s="460"/>
      <c r="H4466" s="406"/>
      <c r="I4466" s="459">
        <f>IF(G4466="",D4466*F4466,(D4466*F4466/G4466))</f>
        <v>476.2527</v>
      </c>
      <c r="J4466" s="400"/>
      <c r="K4466" s="401"/>
      <c r="L4466" s="401"/>
      <c r="M4466" s="404"/>
      <c r="N4466" s="404"/>
      <c r="O4466" s="404"/>
      <c r="P4466" s="404"/>
      <c r="Q4466" s="404"/>
      <c r="R4466" s="404"/>
      <c r="S4466" s="404"/>
      <c r="T4466" s="404"/>
      <c r="U4466" s="404"/>
      <c r="V4466" s="404"/>
      <c r="W4466" s="404"/>
      <c r="X4466" s="404"/>
      <c r="Y4466" s="404"/>
      <c r="Z4466" s="404"/>
      <c r="AA4466" s="404"/>
      <c r="AB4466" s="404"/>
      <c r="AC4466" s="404"/>
      <c r="AD4466" s="404"/>
      <c r="AE4466" s="404"/>
      <c r="AF4466" s="404"/>
      <c r="AG4466" s="404"/>
      <c r="AH4466" s="404"/>
      <c r="AI4466" s="404"/>
      <c r="AJ4466" s="404"/>
      <c r="AK4466" s="404"/>
      <c r="AL4466" s="404"/>
      <c r="AM4466" s="404"/>
      <c r="AN4466" s="404"/>
      <c r="AO4466" s="404"/>
      <c r="AP4466" s="404"/>
      <c r="AQ4466" s="404"/>
      <c r="AR4466" s="404"/>
      <c r="AS4466" s="404"/>
      <c r="AT4466" s="404"/>
      <c r="AU4466" s="404"/>
      <c r="AV4466" s="404"/>
      <c r="AW4466" s="404"/>
      <c r="AX4466" s="404"/>
      <c r="AY4466" s="404"/>
      <c r="AZ4466" s="404"/>
      <c r="BA4466" s="404"/>
      <c r="BB4466" s="404"/>
      <c r="BC4466" s="404"/>
      <c r="BD4466" s="404"/>
      <c r="BE4466" s="404"/>
      <c r="BF4466" s="404"/>
      <c r="BG4466" s="404"/>
      <c r="BH4466" s="404"/>
      <c r="BI4466" s="404"/>
      <c r="BJ4466" s="404"/>
      <c r="BK4466" s="404"/>
      <c r="BL4466" s="404"/>
    </row>
    <row r="4467" spans="1:64" ht="13">
      <c r="A4467" s="426"/>
      <c r="B4467" s="426"/>
      <c r="C4467" s="417"/>
      <c r="D4467" s="408"/>
      <c r="E4467" s="408"/>
      <c r="F4467" s="408"/>
      <c r="G4467" s="430"/>
      <c r="H4467" s="474"/>
      <c r="I4467" s="414">
        <f>SUM(I4465:I4466)</f>
        <v>3974.2527</v>
      </c>
      <c r="J4467" s="400"/>
      <c r="K4467" s="401"/>
      <c r="L4467" s="401"/>
      <c r="M4467" s="404"/>
      <c r="N4467" s="404"/>
      <c r="O4467" s="404"/>
      <c r="P4467" s="404"/>
      <c r="Q4467" s="404"/>
      <c r="R4467" s="404"/>
      <c r="S4467" s="404"/>
      <c r="T4467" s="404"/>
      <c r="U4467" s="404"/>
      <c r="V4467" s="404"/>
      <c r="W4467" s="404"/>
      <c r="X4467" s="404"/>
      <c r="Y4467" s="404"/>
      <c r="Z4467" s="404"/>
      <c r="AA4467" s="404"/>
      <c r="AB4467" s="404"/>
      <c r="AC4467" s="404"/>
      <c r="AD4467" s="404"/>
      <c r="AE4467" s="404"/>
      <c r="AF4467" s="404"/>
      <c r="AG4467" s="404"/>
      <c r="AH4467" s="404"/>
      <c r="AI4467" s="404"/>
      <c r="AJ4467" s="404"/>
      <c r="AK4467" s="404"/>
      <c r="AL4467" s="404"/>
      <c r="AM4467" s="404"/>
      <c r="AN4467" s="404"/>
      <c r="AO4467" s="404"/>
      <c r="AP4467" s="404"/>
      <c r="AQ4467" s="404"/>
      <c r="AR4467" s="404"/>
      <c r="AS4467" s="404"/>
      <c r="AT4467" s="404"/>
      <c r="AU4467" s="404"/>
      <c r="AV4467" s="404"/>
      <c r="AW4467" s="404"/>
      <c r="AX4467" s="404"/>
      <c r="AY4467" s="404"/>
      <c r="AZ4467" s="404"/>
      <c r="BA4467" s="404"/>
      <c r="BB4467" s="404"/>
      <c r="BC4467" s="404"/>
      <c r="BD4467" s="404"/>
      <c r="BE4467" s="404"/>
      <c r="BF4467" s="404"/>
      <c r="BG4467" s="404"/>
      <c r="BH4467" s="404"/>
      <c r="BI4467" s="404"/>
      <c r="BJ4467" s="404"/>
      <c r="BK4467" s="404"/>
      <c r="BL4467" s="404"/>
    </row>
    <row r="4468" spans="1:64" ht="13">
      <c r="A4468" s="426"/>
      <c r="B4468" s="426"/>
      <c r="C4468" s="417"/>
      <c r="D4468" s="408"/>
      <c r="E4468" s="408"/>
      <c r="F4468" s="408"/>
      <c r="G4468" s="430"/>
      <c r="H4468" s="474" t="s">
        <v>774</v>
      </c>
      <c r="I4468" s="414">
        <f>ROUND(I4467,0)</f>
        <v>3974</v>
      </c>
      <c r="J4468" s="400"/>
      <c r="K4468" s="401"/>
      <c r="L4468" s="401"/>
      <c r="M4468" s="404"/>
      <c r="N4468" s="404"/>
      <c r="O4468" s="404"/>
      <c r="P4468" s="404"/>
      <c r="Q4468" s="404"/>
      <c r="R4468" s="404"/>
      <c r="S4468" s="404"/>
      <c r="T4468" s="404"/>
      <c r="U4468" s="404"/>
      <c r="V4468" s="404"/>
      <c r="W4468" s="404"/>
      <c r="X4468" s="404"/>
      <c r="Y4468" s="404"/>
      <c r="Z4468" s="404"/>
      <c r="AA4468" s="404"/>
      <c r="AB4468" s="404"/>
      <c r="AC4468" s="404"/>
      <c r="AD4468" s="404"/>
      <c r="AE4468" s="404"/>
      <c r="AF4468" s="404"/>
      <c r="AG4468" s="404"/>
      <c r="AH4468" s="404"/>
      <c r="AI4468" s="404"/>
      <c r="AJ4468" s="404"/>
      <c r="AK4468" s="404"/>
      <c r="AL4468" s="404"/>
      <c r="AM4468" s="404"/>
      <c r="AN4468" s="404"/>
      <c r="AO4468" s="404"/>
      <c r="AP4468" s="404"/>
      <c r="AQ4468" s="404"/>
      <c r="AR4468" s="404"/>
      <c r="AS4468" s="404"/>
      <c r="AT4468" s="404"/>
      <c r="AU4468" s="404"/>
      <c r="AV4468" s="404"/>
      <c r="AW4468" s="404"/>
      <c r="AX4468" s="404"/>
      <c r="AY4468" s="404"/>
      <c r="AZ4468" s="404"/>
      <c r="BA4468" s="404"/>
      <c r="BB4468" s="404"/>
      <c r="BC4468" s="404"/>
      <c r="BD4468" s="404"/>
      <c r="BE4468" s="404"/>
      <c r="BF4468" s="404"/>
      <c r="BG4468" s="404"/>
      <c r="BH4468" s="404"/>
      <c r="BI4468" s="404"/>
      <c r="BJ4468" s="404"/>
      <c r="BK4468" s="404"/>
      <c r="BL4468" s="404"/>
    </row>
    <row r="4469" spans="1:64" ht="92.5" customHeight="1">
      <c r="A4469" s="1280">
        <f>A4456+1</f>
        <v>32</v>
      </c>
      <c r="B4469" s="1280"/>
      <c r="C4469" s="1276" t="s">
        <v>1551</v>
      </c>
      <c r="D4469" s="1276"/>
      <c r="E4469" s="1276"/>
      <c r="F4469" s="1276"/>
      <c r="G4469" s="1276"/>
      <c r="H4469" s="1276"/>
      <c r="I4469" s="1276"/>
      <c r="J4469" s="400"/>
      <c r="K4469" s="401"/>
      <c r="L4469" s="401"/>
      <c r="M4469" s="404"/>
      <c r="N4469" s="404"/>
      <c r="O4469" s="404"/>
      <c r="P4469" s="404"/>
      <c r="Q4469" s="404"/>
      <c r="R4469" s="404"/>
      <c r="S4469" s="404"/>
      <c r="T4469" s="404"/>
      <c r="U4469" s="404"/>
      <c r="V4469" s="404"/>
      <c r="W4469" s="404"/>
      <c r="X4469" s="404"/>
      <c r="Y4469" s="404"/>
      <c r="Z4469" s="404"/>
      <c r="AA4469" s="404"/>
      <c r="AB4469" s="404"/>
      <c r="AC4469" s="404"/>
      <c r="AD4469" s="404"/>
      <c r="AE4469" s="404"/>
      <c r="AF4469" s="404"/>
      <c r="AG4469" s="404"/>
      <c r="AH4469" s="404"/>
      <c r="AI4469" s="404"/>
      <c r="AJ4469" s="404"/>
      <c r="AK4469" s="404"/>
      <c r="AL4469" s="404"/>
      <c r="AM4469" s="404"/>
      <c r="AN4469" s="404"/>
      <c r="AO4469" s="404"/>
      <c r="AP4469" s="404"/>
      <c r="AQ4469" s="404"/>
      <c r="AR4469" s="404"/>
      <c r="AS4469" s="404"/>
      <c r="AT4469" s="404"/>
      <c r="AU4469" s="404"/>
      <c r="AV4469" s="404"/>
      <c r="AW4469" s="404"/>
      <c r="AX4469" s="404"/>
      <c r="AY4469" s="404"/>
      <c r="AZ4469" s="404"/>
      <c r="BA4469" s="404"/>
      <c r="BB4469" s="404"/>
      <c r="BC4469" s="404"/>
      <c r="BD4469" s="404"/>
      <c r="BE4469" s="404"/>
      <c r="BF4469" s="404"/>
      <c r="BG4469" s="404"/>
      <c r="BH4469" s="404"/>
      <c r="BI4469" s="404"/>
      <c r="BJ4469" s="404"/>
      <c r="BK4469" s="404"/>
      <c r="BL4469" s="404"/>
    </row>
    <row r="4470" spans="1:64">
      <c r="A4470" s="426"/>
      <c r="B4470" s="426"/>
      <c r="C4470" s="469" t="s">
        <v>1552</v>
      </c>
      <c r="D4470" s="409">
        <v>17.5</v>
      </c>
      <c r="E4470" s="426" t="s">
        <v>1052</v>
      </c>
      <c r="F4470" s="409">
        <v>6.8</v>
      </c>
      <c r="G4470" s="426" t="s">
        <v>1553</v>
      </c>
      <c r="H4470" s="409">
        <f t="shared" ref="H4470:H4472" si="973">F4470*D4470</f>
        <v>119</v>
      </c>
      <c r="I4470" s="409" t="s">
        <v>833</v>
      </c>
      <c r="J4470" s="400"/>
      <c r="K4470" s="401"/>
      <c r="L4470" s="401"/>
      <c r="M4470" s="404"/>
      <c r="N4470" s="404"/>
      <c r="O4470" s="404"/>
      <c r="P4470" s="404"/>
      <c r="Q4470" s="404"/>
      <c r="R4470" s="404"/>
      <c r="S4470" s="404"/>
      <c r="T4470" s="404"/>
      <c r="U4470" s="404"/>
      <c r="V4470" s="404"/>
      <c r="W4470" s="404"/>
      <c r="X4470" s="404"/>
      <c r="Y4470" s="404"/>
      <c r="Z4470" s="404"/>
      <c r="AA4470" s="404"/>
      <c r="AB4470" s="404"/>
      <c r="AC4470" s="404"/>
      <c r="AD4470" s="404"/>
      <c r="AE4470" s="404"/>
      <c r="AF4470" s="404"/>
      <c r="AG4470" s="404"/>
      <c r="AH4470" s="404"/>
      <c r="AI4470" s="404"/>
      <c r="AJ4470" s="404"/>
      <c r="AK4470" s="404"/>
      <c r="AL4470" s="404"/>
      <c r="AM4470" s="404"/>
      <c r="AN4470" s="404"/>
      <c r="AO4470" s="404"/>
      <c r="AP4470" s="404"/>
      <c r="AQ4470" s="404"/>
      <c r="AR4470" s="404"/>
      <c r="AS4470" s="404"/>
      <c r="AT4470" s="404"/>
      <c r="AU4470" s="404"/>
      <c r="AV4470" s="404"/>
      <c r="AW4470" s="404"/>
      <c r="AX4470" s="404"/>
      <c r="AY4470" s="404"/>
      <c r="AZ4470" s="404"/>
      <c r="BA4470" s="404"/>
      <c r="BB4470" s="404"/>
      <c r="BC4470" s="404"/>
      <c r="BD4470" s="404"/>
      <c r="BE4470" s="404"/>
      <c r="BF4470" s="404"/>
      <c r="BG4470" s="404"/>
      <c r="BH4470" s="404"/>
      <c r="BI4470" s="404"/>
      <c r="BJ4470" s="404"/>
      <c r="BK4470" s="404"/>
      <c r="BL4470" s="404"/>
    </row>
    <row r="4471" spans="1:64">
      <c r="A4471" s="426"/>
      <c r="B4471" s="426"/>
      <c r="C4471" s="469" t="s">
        <v>1554</v>
      </c>
      <c r="D4471" s="409">
        <v>24.5</v>
      </c>
      <c r="E4471" s="426" t="s">
        <v>1052</v>
      </c>
      <c r="F4471" s="409">
        <v>3</v>
      </c>
      <c r="G4471" s="426" t="s">
        <v>1553</v>
      </c>
      <c r="H4471" s="409">
        <f t="shared" si="973"/>
        <v>73.5</v>
      </c>
      <c r="I4471" s="409" t="s">
        <v>833</v>
      </c>
      <c r="J4471" s="400"/>
      <c r="K4471" s="401"/>
      <c r="L4471" s="401"/>
      <c r="M4471" s="404"/>
      <c r="N4471" s="404"/>
      <c r="O4471" s="404"/>
      <c r="P4471" s="404"/>
      <c r="Q4471" s="404"/>
      <c r="R4471" s="404"/>
      <c r="S4471" s="404"/>
      <c r="T4471" s="404"/>
      <c r="U4471" s="404"/>
      <c r="V4471" s="404"/>
      <c r="W4471" s="404"/>
      <c r="X4471" s="404"/>
      <c r="Y4471" s="404"/>
      <c r="Z4471" s="404"/>
      <c r="AA4471" s="404"/>
      <c r="AB4471" s="404"/>
      <c r="AC4471" s="404"/>
      <c r="AD4471" s="404"/>
      <c r="AE4471" s="404"/>
      <c r="AF4471" s="404"/>
      <c r="AG4471" s="404"/>
      <c r="AH4471" s="404"/>
      <c r="AI4471" s="404"/>
      <c r="AJ4471" s="404"/>
      <c r="AK4471" s="404"/>
      <c r="AL4471" s="404"/>
      <c r="AM4471" s="404"/>
      <c r="AN4471" s="404"/>
      <c r="AO4471" s="404"/>
      <c r="AP4471" s="404"/>
      <c r="AQ4471" s="404"/>
      <c r="AR4471" s="404"/>
      <c r="AS4471" s="404"/>
      <c r="AT4471" s="404"/>
      <c r="AU4471" s="404"/>
      <c r="AV4471" s="404"/>
      <c r="AW4471" s="404"/>
      <c r="AX4471" s="404"/>
      <c r="AY4471" s="404"/>
      <c r="AZ4471" s="404"/>
      <c r="BA4471" s="404"/>
      <c r="BB4471" s="404"/>
      <c r="BC4471" s="404"/>
      <c r="BD4471" s="404"/>
      <c r="BE4471" s="404"/>
      <c r="BF4471" s="404"/>
      <c r="BG4471" s="404"/>
      <c r="BH4471" s="404"/>
      <c r="BI4471" s="404"/>
      <c r="BJ4471" s="404"/>
      <c r="BK4471" s="404"/>
      <c r="BL4471" s="404"/>
    </row>
    <row r="4472" spans="1:64">
      <c r="A4472" s="426"/>
      <c r="B4472" s="426"/>
      <c r="C4472" s="469" t="s">
        <v>1555</v>
      </c>
      <c r="D4472" s="426">
        <v>131.25</v>
      </c>
      <c r="E4472" s="426" t="s">
        <v>1052</v>
      </c>
      <c r="F4472" s="409">
        <v>4.91</v>
      </c>
      <c r="G4472" s="426" t="s">
        <v>1553</v>
      </c>
      <c r="H4472" s="409">
        <f t="shared" si="973"/>
        <v>644.4375</v>
      </c>
      <c r="I4472" s="409" t="s">
        <v>833</v>
      </c>
      <c r="J4472" s="400"/>
      <c r="K4472" s="401"/>
      <c r="L4472" s="401"/>
      <c r="M4472" s="404"/>
      <c r="N4472" s="404"/>
      <c r="O4472" s="404"/>
      <c r="P4472" s="404"/>
      <c r="Q4472" s="404"/>
      <c r="R4472" s="404"/>
      <c r="S4472" s="404"/>
      <c r="T4472" s="404"/>
      <c r="U4472" s="404"/>
      <c r="V4472" s="404"/>
      <c r="W4472" s="404"/>
      <c r="X4472" s="404"/>
      <c r="Y4472" s="404"/>
      <c r="Z4472" s="404"/>
      <c r="AA4472" s="404"/>
      <c r="AB4472" s="404"/>
      <c r="AC4472" s="404"/>
      <c r="AD4472" s="404"/>
      <c r="AE4472" s="404"/>
      <c r="AF4472" s="404"/>
      <c r="AG4472" s="404"/>
      <c r="AH4472" s="404"/>
      <c r="AI4472" s="404"/>
      <c r="AJ4472" s="404"/>
      <c r="AK4472" s="404"/>
      <c r="AL4472" s="404"/>
      <c r="AM4472" s="404"/>
      <c r="AN4472" s="404"/>
      <c r="AO4472" s="404"/>
      <c r="AP4472" s="404"/>
      <c r="AQ4472" s="404"/>
      <c r="AR4472" s="404"/>
      <c r="AS4472" s="404"/>
      <c r="AT4472" s="404"/>
      <c r="AU4472" s="404"/>
      <c r="AV4472" s="404"/>
      <c r="AW4472" s="404"/>
      <c r="AX4472" s="404"/>
      <c r="AY4472" s="404"/>
      <c r="AZ4472" s="404"/>
      <c r="BA4472" s="404"/>
      <c r="BB4472" s="404"/>
      <c r="BC4472" s="404"/>
      <c r="BD4472" s="404"/>
      <c r="BE4472" s="404"/>
      <c r="BF4472" s="404"/>
      <c r="BG4472" s="404"/>
      <c r="BH4472" s="404"/>
      <c r="BI4472" s="404"/>
      <c r="BJ4472" s="404"/>
      <c r="BK4472" s="404"/>
      <c r="BL4472" s="404"/>
    </row>
    <row r="4473" spans="1:64" ht="13">
      <c r="A4473" s="426"/>
      <c r="B4473" s="426"/>
      <c r="C4473" s="469"/>
      <c r="D4473" s="426"/>
      <c r="E4473" s="426"/>
      <c r="F4473" s="426"/>
      <c r="G4473" s="426"/>
      <c r="H4473" s="434">
        <f>SUM(H4470:H4472)</f>
        <v>836.9375</v>
      </c>
      <c r="I4473" s="434" t="s">
        <v>833</v>
      </c>
      <c r="J4473" s="400"/>
      <c r="K4473" s="401"/>
      <c r="L4473" s="401"/>
      <c r="M4473" s="404"/>
      <c r="N4473" s="404"/>
      <c r="O4473" s="404"/>
      <c r="P4473" s="404"/>
      <c r="Q4473" s="404"/>
      <c r="R4473" s="404"/>
      <c r="S4473" s="404"/>
      <c r="T4473" s="404"/>
      <c r="U4473" s="404"/>
      <c r="V4473" s="404"/>
      <c r="W4473" s="404"/>
      <c r="X4473" s="404"/>
      <c r="Y4473" s="404"/>
      <c r="Z4473" s="404"/>
      <c r="AA4473" s="404"/>
      <c r="AB4473" s="404"/>
      <c r="AC4473" s="404"/>
      <c r="AD4473" s="404"/>
      <c r="AE4473" s="404"/>
      <c r="AF4473" s="404"/>
      <c r="AG4473" s="404"/>
      <c r="AH4473" s="404"/>
      <c r="AI4473" s="404"/>
      <c r="AJ4473" s="404"/>
      <c r="AK4473" s="404"/>
      <c r="AL4473" s="404"/>
      <c r="AM4473" s="404"/>
      <c r="AN4473" s="404"/>
      <c r="AO4473" s="404"/>
      <c r="AP4473" s="404"/>
      <c r="AQ4473" s="404"/>
      <c r="AR4473" s="404"/>
      <c r="AS4473" s="404"/>
      <c r="AT4473" s="404"/>
      <c r="AU4473" s="404"/>
      <c r="AV4473" s="404"/>
      <c r="AW4473" s="404"/>
      <c r="AX4473" s="404"/>
      <c r="AY4473" s="404"/>
      <c r="AZ4473" s="404"/>
      <c r="BA4473" s="404"/>
      <c r="BB4473" s="404"/>
      <c r="BC4473" s="404"/>
      <c r="BD4473" s="404"/>
      <c r="BE4473" s="404"/>
      <c r="BF4473" s="404"/>
      <c r="BG4473" s="404"/>
      <c r="BH4473" s="404"/>
      <c r="BI4473" s="404"/>
      <c r="BJ4473" s="404"/>
      <c r="BK4473" s="404"/>
      <c r="BL4473" s="404"/>
    </row>
    <row r="4474" spans="1:64" ht="25">
      <c r="A4474" s="426"/>
      <c r="B4474" s="426"/>
      <c r="C4474" s="468" t="s">
        <v>1556</v>
      </c>
      <c r="D4474" s="426"/>
      <c r="E4474" s="426"/>
      <c r="F4474" s="426"/>
      <c r="G4474" s="426"/>
      <c r="H4474" s="434">
        <v>152</v>
      </c>
      <c r="I4474" s="434" t="s">
        <v>833</v>
      </c>
      <c r="J4474" s="400"/>
      <c r="K4474" s="401"/>
      <c r="L4474" s="401"/>
      <c r="M4474" s="404"/>
      <c r="N4474" s="404"/>
      <c r="O4474" s="404"/>
      <c r="P4474" s="404"/>
      <c r="Q4474" s="404"/>
      <c r="R4474" s="404"/>
      <c r="S4474" s="404"/>
      <c r="T4474" s="404"/>
      <c r="U4474" s="404"/>
      <c r="V4474" s="404"/>
      <c r="W4474" s="404"/>
      <c r="X4474" s="404"/>
      <c r="Y4474" s="404"/>
      <c r="Z4474" s="404"/>
      <c r="AA4474" s="404"/>
      <c r="AB4474" s="404"/>
      <c r="AC4474" s="404"/>
      <c r="AD4474" s="404"/>
      <c r="AE4474" s="404"/>
      <c r="AF4474" s="404"/>
      <c r="AG4474" s="404"/>
      <c r="AH4474" s="404"/>
      <c r="AI4474" s="404"/>
      <c r="AJ4474" s="404"/>
      <c r="AK4474" s="404"/>
      <c r="AL4474" s="404"/>
      <c r="AM4474" s="404"/>
      <c r="AN4474" s="404"/>
      <c r="AO4474" s="404"/>
      <c r="AP4474" s="404"/>
      <c r="AQ4474" s="404"/>
      <c r="AR4474" s="404"/>
      <c r="AS4474" s="404"/>
      <c r="AT4474" s="404"/>
      <c r="AU4474" s="404"/>
      <c r="AV4474" s="404"/>
      <c r="AW4474" s="404"/>
      <c r="AX4474" s="404"/>
      <c r="AY4474" s="404"/>
      <c r="AZ4474" s="404"/>
      <c r="BA4474" s="404"/>
      <c r="BB4474" s="404"/>
      <c r="BC4474" s="404"/>
      <c r="BD4474" s="404"/>
      <c r="BE4474" s="404"/>
      <c r="BF4474" s="404"/>
      <c r="BG4474" s="404"/>
      <c r="BH4474" s="404"/>
      <c r="BI4474" s="404"/>
      <c r="BJ4474" s="404"/>
      <c r="BK4474" s="404"/>
      <c r="BL4474" s="404"/>
    </row>
    <row r="4475" spans="1:64" ht="13">
      <c r="A4475" s="426"/>
      <c r="B4475" s="426"/>
      <c r="C4475" s="455" t="s">
        <v>1557</v>
      </c>
      <c r="D4475" s="426"/>
      <c r="E4475" s="426"/>
      <c r="F4475" s="426"/>
      <c r="G4475" s="426"/>
      <c r="H4475" s="434"/>
      <c r="I4475" s="409"/>
      <c r="J4475" s="400"/>
      <c r="K4475" s="401"/>
      <c r="L4475" s="401"/>
      <c r="M4475" s="404"/>
      <c r="N4475" s="404"/>
      <c r="O4475" s="404"/>
      <c r="P4475" s="404"/>
      <c r="Q4475" s="404"/>
      <c r="R4475" s="404"/>
      <c r="S4475" s="404"/>
      <c r="T4475" s="404"/>
      <c r="U4475" s="404"/>
      <c r="V4475" s="404"/>
      <c r="W4475" s="404"/>
      <c r="X4475" s="404"/>
      <c r="Y4475" s="404"/>
      <c r="Z4475" s="404"/>
      <c r="AA4475" s="404"/>
      <c r="AB4475" s="404"/>
      <c r="AC4475" s="404"/>
      <c r="AD4475" s="404"/>
      <c r="AE4475" s="404"/>
      <c r="AF4475" s="404"/>
      <c r="AG4475" s="404"/>
      <c r="AH4475" s="404"/>
      <c r="AI4475" s="404"/>
      <c r="AJ4475" s="404"/>
      <c r="AK4475" s="404"/>
      <c r="AL4475" s="404"/>
      <c r="AM4475" s="404"/>
      <c r="AN4475" s="404"/>
      <c r="AO4475" s="404"/>
      <c r="AP4475" s="404"/>
      <c r="AQ4475" s="404"/>
      <c r="AR4475" s="404"/>
      <c r="AS4475" s="404"/>
      <c r="AT4475" s="404"/>
      <c r="AU4475" s="404"/>
      <c r="AV4475" s="404"/>
      <c r="AW4475" s="404"/>
      <c r="AX4475" s="404"/>
      <c r="AY4475" s="404"/>
      <c r="AZ4475" s="404"/>
      <c r="BA4475" s="404"/>
      <c r="BB4475" s="404"/>
      <c r="BC4475" s="404"/>
      <c r="BD4475" s="404"/>
      <c r="BE4475" s="404"/>
      <c r="BF4475" s="404"/>
      <c r="BG4475" s="404"/>
      <c r="BH4475" s="404"/>
      <c r="BI4475" s="404"/>
      <c r="BJ4475" s="404"/>
      <c r="BK4475" s="404"/>
      <c r="BL4475" s="404"/>
    </row>
    <row r="4476" spans="1:64">
      <c r="A4476" s="426"/>
      <c r="B4476" s="426"/>
      <c r="C4476" s="469" t="s">
        <v>1558</v>
      </c>
      <c r="D4476" s="409">
        <f t="shared" ref="D4476:D4478" si="974">H4470</f>
        <v>119</v>
      </c>
      <c r="E4476" s="426" t="s">
        <v>833</v>
      </c>
      <c r="F4476" s="409">
        <f>[161]LEAD!$N$10</f>
        <v>61000</v>
      </c>
      <c r="G4476" s="426">
        <v>1</v>
      </c>
      <c r="H4476" s="426" t="s">
        <v>122</v>
      </c>
      <c r="I4476" s="409">
        <f t="shared" ref="I4476:I4478" si="975">D4476*F4476/1000</f>
        <v>7259</v>
      </c>
      <c r="J4476" s="400"/>
      <c r="K4476" s="401"/>
      <c r="L4476" s="401"/>
      <c r="M4476" s="404"/>
      <c r="N4476" s="404"/>
      <c r="O4476" s="404"/>
      <c r="P4476" s="404"/>
      <c r="Q4476" s="404"/>
      <c r="R4476" s="404"/>
      <c r="S4476" s="404"/>
      <c r="T4476" s="404"/>
      <c r="U4476" s="404"/>
      <c r="V4476" s="404"/>
      <c r="W4476" s="404"/>
      <c r="X4476" s="404"/>
      <c r="Y4476" s="404"/>
      <c r="Z4476" s="404"/>
      <c r="AA4476" s="404"/>
      <c r="AB4476" s="404"/>
      <c r="AC4476" s="404"/>
      <c r="AD4476" s="404"/>
      <c r="AE4476" s="404"/>
      <c r="AF4476" s="404"/>
      <c r="AG4476" s="404"/>
      <c r="AH4476" s="404"/>
      <c r="AI4476" s="404"/>
      <c r="AJ4476" s="404"/>
      <c r="AK4476" s="404"/>
      <c r="AL4476" s="404"/>
      <c r="AM4476" s="404"/>
      <c r="AN4476" s="404"/>
      <c r="AO4476" s="404"/>
      <c r="AP4476" s="404"/>
      <c r="AQ4476" s="404"/>
      <c r="AR4476" s="404"/>
      <c r="AS4476" s="404"/>
      <c r="AT4476" s="404"/>
      <c r="AU4476" s="404"/>
      <c r="AV4476" s="404"/>
      <c r="AW4476" s="404"/>
      <c r="AX4476" s="404"/>
      <c r="AY4476" s="404"/>
      <c r="AZ4476" s="404"/>
      <c r="BA4476" s="404"/>
      <c r="BB4476" s="404"/>
      <c r="BC4476" s="404"/>
      <c r="BD4476" s="404"/>
      <c r="BE4476" s="404"/>
      <c r="BF4476" s="404"/>
      <c r="BG4476" s="404"/>
      <c r="BH4476" s="404"/>
      <c r="BI4476" s="404"/>
      <c r="BJ4476" s="404"/>
      <c r="BK4476" s="404"/>
      <c r="BL4476" s="404"/>
    </row>
    <row r="4477" spans="1:64">
      <c r="A4477" s="426"/>
      <c r="B4477" s="426"/>
      <c r="C4477" s="469" t="s">
        <v>1559</v>
      </c>
      <c r="D4477" s="409">
        <f t="shared" si="974"/>
        <v>73.5</v>
      </c>
      <c r="E4477" s="426" t="s">
        <v>833</v>
      </c>
      <c r="F4477" s="409">
        <f>[161]LEAD!$N$11</f>
        <v>62000</v>
      </c>
      <c r="G4477" s="426">
        <v>1</v>
      </c>
      <c r="H4477" s="426" t="s">
        <v>122</v>
      </c>
      <c r="I4477" s="409">
        <f t="shared" si="975"/>
        <v>4557</v>
      </c>
      <c r="J4477" s="400"/>
      <c r="K4477" s="401"/>
      <c r="L4477" s="401"/>
      <c r="M4477" s="404"/>
      <c r="N4477" s="404"/>
      <c r="O4477" s="404"/>
      <c r="P4477" s="404"/>
      <c r="Q4477" s="404"/>
      <c r="R4477" s="404"/>
      <c r="S4477" s="404"/>
      <c r="T4477" s="404"/>
      <c r="U4477" s="404"/>
      <c r="V4477" s="404"/>
      <c r="W4477" s="404"/>
      <c r="X4477" s="404"/>
      <c r="Y4477" s="404"/>
      <c r="Z4477" s="404"/>
      <c r="AA4477" s="404"/>
      <c r="AB4477" s="404"/>
      <c r="AC4477" s="404"/>
      <c r="AD4477" s="404"/>
      <c r="AE4477" s="404"/>
      <c r="AF4477" s="404"/>
      <c r="AG4477" s="404"/>
      <c r="AH4477" s="404"/>
      <c r="AI4477" s="404"/>
      <c r="AJ4477" s="404"/>
      <c r="AK4477" s="404"/>
      <c r="AL4477" s="404"/>
      <c r="AM4477" s="404"/>
      <c r="AN4477" s="404"/>
      <c r="AO4477" s="404"/>
      <c r="AP4477" s="404"/>
      <c r="AQ4477" s="404"/>
      <c r="AR4477" s="404"/>
      <c r="AS4477" s="404"/>
      <c r="AT4477" s="404"/>
      <c r="AU4477" s="404"/>
      <c r="AV4477" s="404"/>
      <c r="AW4477" s="404"/>
      <c r="AX4477" s="404"/>
      <c r="AY4477" s="404"/>
      <c r="AZ4477" s="404"/>
      <c r="BA4477" s="404"/>
      <c r="BB4477" s="404"/>
      <c r="BC4477" s="404"/>
      <c r="BD4477" s="404"/>
      <c r="BE4477" s="404"/>
      <c r="BF4477" s="404"/>
      <c r="BG4477" s="404"/>
      <c r="BH4477" s="404"/>
      <c r="BI4477" s="404"/>
      <c r="BJ4477" s="404"/>
      <c r="BK4477" s="404"/>
      <c r="BL4477" s="404"/>
    </row>
    <row r="4478" spans="1:64">
      <c r="A4478" s="426"/>
      <c r="B4478" s="426"/>
      <c r="C4478" s="469" t="s">
        <v>1560</v>
      </c>
      <c r="D4478" s="409">
        <f t="shared" si="974"/>
        <v>644.4375</v>
      </c>
      <c r="E4478" s="426" t="s">
        <v>833</v>
      </c>
      <c r="F4478" s="409">
        <f>[161]LEAD!$N$10</f>
        <v>61000</v>
      </c>
      <c r="G4478" s="426">
        <v>1</v>
      </c>
      <c r="H4478" s="426" t="s">
        <v>122</v>
      </c>
      <c r="I4478" s="409">
        <f t="shared" si="975"/>
        <v>39310.6875</v>
      </c>
      <c r="J4478" s="400"/>
      <c r="K4478" s="401"/>
      <c r="L4478" s="401"/>
      <c r="M4478" s="404"/>
      <c r="N4478" s="404"/>
      <c r="O4478" s="404"/>
      <c r="P4478" s="404"/>
      <c r="Q4478" s="404"/>
      <c r="R4478" s="404"/>
      <c r="S4478" s="404"/>
      <c r="T4478" s="404"/>
      <c r="U4478" s="404"/>
      <c r="V4478" s="404"/>
      <c r="W4478" s="404"/>
      <c r="X4478" s="404"/>
      <c r="Y4478" s="404"/>
      <c r="Z4478" s="404"/>
      <c r="AA4478" s="404"/>
      <c r="AB4478" s="404"/>
      <c r="AC4478" s="404"/>
      <c r="AD4478" s="404"/>
      <c r="AE4478" s="404"/>
      <c r="AF4478" s="404"/>
      <c r="AG4478" s="404"/>
      <c r="AH4478" s="404"/>
      <c r="AI4478" s="404"/>
      <c r="AJ4478" s="404"/>
      <c r="AK4478" s="404"/>
      <c r="AL4478" s="404"/>
      <c r="AM4478" s="404"/>
      <c r="AN4478" s="404"/>
      <c r="AO4478" s="404"/>
      <c r="AP4478" s="404"/>
      <c r="AQ4478" s="404"/>
      <c r="AR4478" s="404"/>
      <c r="AS4478" s="404"/>
      <c r="AT4478" s="404"/>
      <c r="AU4478" s="404"/>
      <c r="AV4478" s="404"/>
      <c r="AW4478" s="404"/>
      <c r="AX4478" s="404"/>
      <c r="AY4478" s="404"/>
      <c r="AZ4478" s="404"/>
      <c r="BA4478" s="404"/>
      <c r="BB4478" s="404"/>
      <c r="BC4478" s="404"/>
      <c r="BD4478" s="404"/>
      <c r="BE4478" s="404"/>
      <c r="BF4478" s="404"/>
      <c r="BG4478" s="404"/>
      <c r="BH4478" s="404"/>
      <c r="BI4478" s="404"/>
      <c r="BJ4478" s="404"/>
      <c r="BK4478" s="404"/>
      <c r="BL4478" s="404"/>
    </row>
    <row r="4479" spans="1:64">
      <c r="A4479" s="426"/>
      <c r="B4479" s="426"/>
      <c r="C4479" s="469" t="s">
        <v>1561</v>
      </c>
      <c r="D4479" s="409">
        <f>H4474</f>
        <v>152</v>
      </c>
      <c r="E4479" s="426" t="s">
        <v>833</v>
      </c>
      <c r="F4479" s="744">
        <v>50</v>
      </c>
      <c r="G4479" s="426">
        <v>1</v>
      </c>
      <c r="H4479" s="426" t="s">
        <v>833</v>
      </c>
      <c r="I4479" s="409">
        <f t="shared" ref="I4479:I4482" si="976">D4479*F4479</f>
        <v>7600</v>
      </c>
      <c r="J4479" s="400"/>
      <c r="K4479" s="401"/>
      <c r="L4479" s="401"/>
      <c r="M4479" s="404"/>
      <c r="N4479" s="404"/>
      <c r="O4479" s="404"/>
      <c r="P4479" s="404"/>
      <c r="Q4479" s="404"/>
      <c r="R4479" s="404"/>
      <c r="S4479" s="404"/>
      <c r="T4479" s="404"/>
      <c r="U4479" s="404"/>
      <c r="V4479" s="404"/>
      <c r="W4479" s="404"/>
      <c r="X4479" s="404"/>
      <c r="Y4479" s="404"/>
      <c r="Z4479" s="404"/>
      <c r="AA4479" s="404"/>
      <c r="AB4479" s="404"/>
      <c r="AC4479" s="404"/>
      <c r="AD4479" s="404"/>
      <c r="AE4479" s="404"/>
      <c r="AF4479" s="404"/>
      <c r="AG4479" s="404"/>
      <c r="AH4479" s="404"/>
      <c r="AI4479" s="404"/>
      <c r="AJ4479" s="404"/>
      <c r="AK4479" s="404"/>
      <c r="AL4479" s="404"/>
      <c r="AM4479" s="404"/>
      <c r="AN4479" s="404"/>
      <c r="AO4479" s="404"/>
      <c r="AP4479" s="404"/>
      <c r="AQ4479" s="404"/>
      <c r="AR4479" s="404"/>
      <c r="AS4479" s="404"/>
      <c r="AT4479" s="404"/>
      <c r="AU4479" s="404"/>
      <c r="AV4479" s="404"/>
      <c r="AW4479" s="404"/>
      <c r="AX4479" s="404"/>
      <c r="AY4479" s="404"/>
      <c r="AZ4479" s="404"/>
      <c r="BA4479" s="404"/>
      <c r="BB4479" s="404"/>
      <c r="BC4479" s="404"/>
      <c r="BD4479" s="404"/>
      <c r="BE4479" s="404"/>
      <c r="BF4479" s="404"/>
      <c r="BG4479" s="404"/>
      <c r="BH4479" s="404"/>
      <c r="BI4479" s="404"/>
      <c r="BJ4479" s="404"/>
      <c r="BK4479" s="404"/>
      <c r="BL4479" s="404"/>
    </row>
    <row r="4480" spans="1:64">
      <c r="A4480" s="426"/>
      <c r="B4480" s="426"/>
      <c r="C4480" s="469" t="s">
        <v>1562</v>
      </c>
      <c r="D4480" s="410">
        <v>6</v>
      </c>
      <c r="E4480" s="426" t="s">
        <v>375</v>
      </c>
      <c r="F4480" s="744">
        <v>450</v>
      </c>
      <c r="G4480" s="426">
        <v>1</v>
      </c>
      <c r="H4480" s="426" t="s">
        <v>572</v>
      </c>
      <c r="I4480" s="409">
        <f t="shared" si="976"/>
        <v>2700</v>
      </c>
      <c r="J4480" s="400"/>
      <c r="K4480" s="401"/>
      <c r="L4480" s="401"/>
      <c r="M4480" s="404"/>
      <c r="N4480" s="404"/>
      <c r="O4480" s="404"/>
      <c r="P4480" s="404"/>
      <c r="Q4480" s="404"/>
      <c r="R4480" s="404"/>
      <c r="S4480" s="404"/>
      <c r="T4480" s="404"/>
      <c r="U4480" s="404"/>
      <c r="V4480" s="404"/>
      <c r="W4480" s="404"/>
      <c r="X4480" s="404"/>
      <c r="Y4480" s="404"/>
      <c r="Z4480" s="404"/>
      <c r="AA4480" s="404"/>
      <c r="AB4480" s="404"/>
      <c r="AC4480" s="404"/>
      <c r="AD4480" s="404"/>
      <c r="AE4480" s="404"/>
      <c r="AF4480" s="404"/>
      <c r="AG4480" s="404"/>
      <c r="AH4480" s="404"/>
      <c r="AI4480" s="404"/>
      <c r="AJ4480" s="404"/>
      <c r="AK4480" s="404"/>
      <c r="AL4480" s="404"/>
      <c r="AM4480" s="404"/>
      <c r="AN4480" s="404"/>
      <c r="AO4480" s="404"/>
      <c r="AP4480" s="404"/>
      <c r="AQ4480" s="404"/>
      <c r="AR4480" s="404"/>
      <c r="AS4480" s="404"/>
      <c r="AT4480" s="404"/>
      <c r="AU4480" s="404"/>
      <c r="AV4480" s="404"/>
      <c r="AW4480" s="404"/>
      <c r="AX4480" s="404"/>
      <c r="AY4480" s="404"/>
      <c r="AZ4480" s="404"/>
      <c r="BA4480" s="404"/>
      <c r="BB4480" s="404"/>
      <c r="BC4480" s="404"/>
      <c r="BD4480" s="404"/>
      <c r="BE4480" s="404"/>
      <c r="BF4480" s="404"/>
      <c r="BG4480" s="404"/>
      <c r="BH4480" s="404"/>
      <c r="BI4480" s="404"/>
      <c r="BJ4480" s="404"/>
      <c r="BK4480" s="404"/>
      <c r="BL4480" s="404"/>
    </row>
    <row r="4481" spans="1:64">
      <c r="A4481" s="426"/>
      <c r="B4481" s="426"/>
      <c r="C4481" s="469" t="s">
        <v>1563</v>
      </c>
      <c r="D4481" s="410">
        <v>2</v>
      </c>
      <c r="E4481" s="426" t="s">
        <v>375</v>
      </c>
      <c r="F4481" s="744">
        <v>750</v>
      </c>
      <c r="G4481" s="426">
        <v>1</v>
      </c>
      <c r="H4481" s="426" t="s">
        <v>572</v>
      </c>
      <c r="I4481" s="409">
        <f t="shared" si="976"/>
        <v>1500</v>
      </c>
      <c r="J4481" s="400"/>
      <c r="K4481" s="401"/>
      <c r="L4481" s="401"/>
      <c r="M4481" s="404"/>
      <c r="N4481" s="404"/>
      <c r="O4481" s="404"/>
      <c r="P4481" s="404"/>
      <c r="Q4481" s="404"/>
      <c r="R4481" s="404"/>
      <c r="S4481" s="404"/>
      <c r="T4481" s="404"/>
      <c r="U4481" s="404"/>
      <c r="V4481" s="404"/>
      <c r="W4481" s="404"/>
      <c r="X4481" s="404"/>
      <c r="Y4481" s="404"/>
      <c r="Z4481" s="404"/>
      <c r="AA4481" s="404"/>
      <c r="AB4481" s="404"/>
      <c r="AC4481" s="404"/>
      <c r="AD4481" s="404"/>
      <c r="AE4481" s="404"/>
      <c r="AF4481" s="404"/>
      <c r="AG4481" s="404"/>
      <c r="AH4481" s="404"/>
      <c r="AI4481" s="404"/>
      <c r="AJ4481" s="404"/>
      <c r="AK4481" s="404"/>
      <c r="AL4481" s="404"/>
      <c r="AM4481" s="404"/>
      <c r="AN4481" s="404"/>
      <c r="AO4481" s="404"/>
      <c r="AP4481" s="404"/>
      <c r="AQ4481" s="404"/>
      <c r="AR4481" s="404"/>
      <c r="AS4481" s="404"/>
      <c r="AT4481" s="404"/>
      <c r="AU4481" s="404"/>
      <c r="AV4481" s="404"/>
      <c r="AW4481" s="404"/>
      <c r="AX4481" s="404"/>
      <c r="AY4481" s="404"/>
      <c r="AZ4481" s="404"/>
      <c r="BA4481" s="404"/>
      <c r="BB4481" s="404"/>
      <c r="BC4481" s="404"/>
      <c r="BD4481" s="404"/>
      <c r="BE4481" s="404"/>
      <c r="BF4481" s="404"/>
      <c r="BG4481" s="404"/>
      <c r="BH4481" s="404"/>
      <c r="BI4481" s="404"/>
      <c r="BJ4481" s="404"/>
      <c r="BK4481" s="404"/>
      <c r="BL4481" s="404"/>
    </row>
    <row r="4482" spans="1:64">
      <c r="A4482" s="426"/>
      <c r="B4482" s="426"/>
      <c r="C4482" s="469" t="s">
        <v>1564</v>
      </c>
      <c r="D4482" s="410">
        <v>2</v>
      </c>
      <c r="E4482" s="426" t="s">
        <v>375</v>
      </c>
      <c r="F4482" s="744">
        <v>450</v>
      </c>
      <c r="G4482" s="426">
        <v>1</v>
      </c>
      <c r="H4482" s="426" t="s">
        <v>572</v>
      </c>
      <c r="I4482" s="409">
        <f t="shared" si="976"/>
        <v>900</v>
      </c>
      <c r="J4482" s="400"/>
      <c r="K4482" s="401"/>
      <c r="L4482" s="401"/>
      <c r="M4482" s="404"/>
      <c r="N4482" s="404"/>
      <c r="O4482" s="404"/>
      <c r="P4482" s="404"/>
      <c r="Q4482" s="404"/>
      <c r="R4482" s="404"/>
      <c r="S4482" s="404"/>
      <c r="T4482" s="404"/>
      <c r="U4482" s="404"/>
      <c r="V4482" s="404"/>
      <c r="W4482" s="404"/>
      <c r="X4482" s="404"/>
      <c r="Y4482" s="404"/>
      <c r="Z4482" s="404"/>
      <c r="AA4482" s="404"/>
      <c r="AB4482" s="404"/>
      <c r="AC4482" s="404"/>
      <c r="AD4482" s="404"/>
      <c r="AE4482" s="404"/>
      <c r="AF4482" s="404"/>
      <c r="AG4482" s="404"/>
      <c r="AH4482" s="404"/>
      <c r="AI4482" s="404"/>
      <c r="AJ4482" s="404"/>
      <c r="AK4482" s="404"/>
      <c r="AL4482" s="404"/>
      <c r="AM4482" s="404"/>
      <c r="AN4482" s="404"/>
      <c r="AO4482" s="404"/>
      <c r="AP4482" s="404"/>
      <c r="AQ4482" s="404"/>
      <c r="AR4482" s="404"/>
      <c r="AS4482" s="404"/>
      <c r="AT4482" s="404"/>
      <c r="AU4482" s="404"/>
      <c r="AV4482" s="404"/>
      <c r="AW4482" s="404"/>
      <c r="AX4482" s="404"/>
      <c r="AY4482" s="404"/>
      <c r="AZ4482" s="404"/>
      <c r="BA4482" s="404"/>
      <c r="BB4482" s="404"/>
      <c r="BC4482" s="404"/>
      <c r="BD4482" s="404"/>
      <c r="BE4482" s="404"/>
      <c r="BF4482" s="404"/>
      <c r="BG4482" s="404"/>
      <c r="BH4482" s="404"/>
      <c r="BI4482" s="404"/>
      <c r="BJ4482" s="404"/>
      <c r="BK4482" s="404"/>
      <c r="BL4482" s="404"/>
    </row>
    <row r="4483" spans="1:64">
      <c r="A4483" s="426"/>
      <c r="B4483" s="426"/>
      <c r="C4483" s="469" t="s">
        <v>1565</v>
      </c>
      <c r="D4483" s="409"/>
      <c r="E4483" s="426"/>
      <c r="F4483" s="409"/>
      <c r="G4483" s="426"/>
      <c r="H4483" s="426"/>
      <c r="I4483" s="409">
        <v>1000</v>
      </c>
      <c r="J4483" s="400"/>
      <c r="K4483" s="401"/>
      <c r="L4483" s="401"/>
      <c r="M4483" s="404"/>
      <c r="N4483" s="404"/>
      <c r="O4483" s="404"/>
      <c r="P4483" s="404"/>
      <c r="Q4483" s="404"/>
      <c r="R4483" s="404"/>
      <c r="S4483" s="404"/>
      <c r="T4483" s="404"/>
      <c r="U4483" s="404"/>
      <c r="V4483" s="404"/>
      <c r="W4483" s="404"/>
      <c r="X4483" s="404"/>
      <c r="Y4483" s="404"/>
      <c r="Z4483" s="404"/>
      <c r="AA4483" s="404"/>
      <c r="AB4483" s="404"/>
      <c r="AC4483" s="404"/>
      <c r="AD4483" s="404"/>
      <c r="AE4483" s="404"/>
      <c r="AF4483" s="404"/>
      <c r="AG4483" s="404"/>
      <c r="AH4483" s="404"/>
      <c r="AI4483" s="404"/>
      <c r="AJ4483" s="404"/>
      <c r="AK4483" s="404"/>
      <c r="AL4483" s="404"/>
      <c r="AM4483" s="404"/>
      <c r="AN4483" s="404"/>
      <c r="AO4483" s="404"/>
      <c r="AP4483" s="404"/>
      <c r="AQ4483" s="404"/>
      <c r="AR4483" s="404"/>
      <c r="AS4483" s="404"/>
      <c r="AT4483" s="404"/>
      <c r="AU4483" s="404"/>
      <c r="AV4483" s="404"/>
      <c r="AW4483" s="404"/>
      <c r="AX4483" s="404"/>
      <c r="AY4483" s="404"/>
      <c r="AZ4483" s="404"/>
      <c r="BA4483" s="404"/>
      <c r="BB4483" s="404"/>
      <c r="BC4483" s="404"/>
      <c r="BD4483" s="404"/>
      <c r="BE4483" s="404"/>
      <c r="BF4483" s="404"/>
      <c r="BG4483" s="404"/>
      <c r="BH4483" s="404"/>
      <c r="BI4483" s="404"/>
      <c r="BJ4483" s="404"/>
      <c r="BK4483" s="404"/>
      <c r="BL4483" s="404"/>
    </row>
    <row r="4484" spans="1:64">
      <c r="A4484" s="426"/>
      <c r="B4484" s="426"/>
      <c r="C4484" s="469" t="s">
        <v>1566</v>
      </c>
      <c r="D4484" s="426">
        <v>16.875</v>
      </c>
      <c r="E4484" s="426" t="s">
        <v>62</v>
      </c>
      <c r="F4484" s="409">
        <f>(I4088+$I$4092+$I$4093)+($I$4092+$I$4093)*[161]Input!$D$47</f>
        <v>677.11</v>
      </c>
      <c r="G4484" s="410">
        <v>10</v>
      </c>
      <c r="H4484" s="426" t="s">
        <v>62</v>
      </c>
      <c r="I4484" s="409">
        <f t="shared" ref="I4484:I4485" si="977">D4484*F4484/10</f>
        <v>1142.6231250000001</v>
      </c>
      <c r="J4484" s="400"/>
      <c r="K4484" s="401"/>
      <c r="L4484" s="401"/>
      <c r="M4484" s="404"/>
      <c r="N4484" s="404"/>
      <c r="O4484" s="404"/>
      <c r="P4484" s="404"/>
      <c r="Q4484" s="404"/>
      <c r="R4484" s="404"/>
      <c r="S4484" s="404"/>
      <c r="T4484" s="404"/>
      <c r="U4484" s="404"/>
      <c r="V4484" s="404"/>
      <c r="W4484" s="404"/>
      <c r="X4484" s="404"/>
      <c r="Y4484" s="404"/>
      <c r="Z4484" s="404"/>
      <c r="AA4484" s="404"/>
      <c r="AB4484" s="404"/>
      <c r="AC4484" s="404"/>
      <c r="AD4484" s="404"/>
      <c r="AE4484" s="404"/>
      <c r="AF4484" s="404"/>
      <c r="AG4484" s="404"/>
      <c r="AH4484" s="404"/>
      <c r="AI4484" s="404"/>
      <c r="AJ4484" s="404"/>
      <c r="AK4484" s="404"/>
      <c r="AL4484" s="404"/>
      <c r="AM4484" s="404"/>
      <c r="AN4484" s="404"/>
      <c r="AO4484" s="404"/>
      <c r="AP4484" s="404"/>
      <c r="AQ4484" s="404"/>
      <c r="AR4484" s="404"/>
      <c r="AS4484" s="404"/>
      <c r="AT4484" s="404"/>
      <c r="AU4484" s="404"/>
      <c r="AV4484" s="404"/>
      <c r="AW4484" s="404"/>
      <c r="AX4484" s="404"/>
      <c r="AY4484" s="404"/>
      <c r="AZ4484" s="404"/>
      <c r="BA4484" s="404"/>
      <c r="BB4484" s="404"/>
      <c r="BC4484" s="404"/>
      <c r="BD4484" s="404"/>
      <c r="BE4484" s="404"/>
      <c r="BF4484" s="404"/>
      <c r="BG4484" s="404"/>
      <c r="BH4484" s="404"/>
      <c r="BI4484" s="404"/>
      <c r="BJ4484" s="404"/>
      <c r="BK4484" s="404"/>
      <c r="BL4484" s="404"/>
    </row>
    <row r="4485" spans="1:64">
      <c r="A4485" s="426"/>
      <c r="B4485" s="426"/>
      <c r="C4485" s="469" t="s">
        <v>1567</v>
      </c>
      <c r="D4485" s="426">
        <v>16.875</v>
      </c>
      <c r="E4485" s="426" t="s">
        <v>62</v>
      </c>
      <c r="F4485" s="409">
        <f>(I4089+$I$4095+$I$4096)+($I$4095+$I$4096)*[161]Input!$D$47</f>
        <v>1143.23</v>
      </c>
      <c r="G4485" s="410">
        <v>10</v>
      </c>
      <c r="H4485" s="426" t="s">
        <v>62</v>
      </c>
      <c r="I4485" s="409">
        <f t="shared" si="977"/>
        <v>1929.2006249999999</v>
      </c>
      <c r="J4485" s="400"/>
      <c r="K4485" s="401"/>
      <c r="L4485" s="401"/>
      <c r="M4485" s="404"/>
      <c r="N4485" s="404"/>
      <c r="O4485" s="404"/>
      <c r="P4485" s="404"/>
      <c r="Q4485" s="404"/>
      <c r="R4485" s="404"/>
      <c r="S4485" s="404"/>
      <c r="T4485" s="404"/>
      <c r="U4485" s="404"/>
      <c r="V4485" s="404"/>
      <c r="W4485" s="404"/>
      <c r="X4485" s="404"/>
      <c r="Y4485" s="404"/>
      <c r="Z4485" s="404"/>
      <c r="AA4485" s="404"/>
      <c r="AB4485" s="404"/>
      <c r="AC4485" s="404"/>
      <c r="AD4485" s="404"/>
      <c r="AE4485" s="404"/>
      <c r="AF4485" s="404"/>
      <c r="AG4485" s="404"/>
      <c r="AH4485" s="404"/>
      <c r="AI4485" s="404"/>
      <c r="AJ4485" s="404"/>
      <c r="AK4485" s="404"/>
      <c r="AL4485" s="404"/>
      <c r="AM4485" s="404"/>
      <c r="AN4485" s="404"/>
      <c r="AO4485" s="404"/>
      <c r="AP4485" s="404"/>
      <c r="AQ4485" s="404"/>
      <c r="AR4485" s="404"/>
      <c r="AS4485" s="404"/>
      <c r="AT4485" s="404"/>
      <c r="AU4485" s="404"/>
      <c r="AV4485" s="404"/>
      <c r="AW4485" s="404"/>
      <c r="AX4485" s="404"/>
      <c r="AY4485" s="404"/>
      <c r="AZ4485" s="404"/>
      <c r="BA4485" s="404"/>
      <c r="BB4485" s="404"/>
      <c r="BC4485" s="404"/>
      <c r="BD4485" s="404"/>
      <c r="BE4485" s="404"/>
      <c r="BF4485" s="404"/>
      <c r="BG4485" s="404"/>
      <c r="BH4485" s="404"/>
      <c r="BI4485" s="404"/>
      <c r="BJ4485" s="404"/>
      <c r="BK4485" s="404"/>
      <c r="BL4485" s="404"/>
    </row>
    <row r="4486" spans="1:64">
      <c r="A4486" s="426"/>
      <c r="B4486" s="426"/>
      <c r="C4486" s="469" t="s">
        <v>1330</v>
      </c>
      <c r="D4486" s="409">
        <f>SUM(D4476:D4479)</f>
        <v>988.9375</v>
      </c>
      <c r="E4486" s="426" t="s">
        <v>833</v>
      </c>
      <c r="F4486" s="409">
        <f>'[161]Civil-SOR'!$G$202</f>
        <v>37</v>
      </c>
      <c r="G4486" s="410">
        <v>1</v>
      </c>
      <c r="H4486" s="426" t="s">
        <v>312</v>
      </c>
      <c r="I4486" s="409">
        <f t="shared" ref="I4486:I4488" si="978">D4486*F4486</f>
        <v>36590.6875</v>
      </c>
      <c r="J4486" s="400"/>
      <c r="K4486" s="401"/>
      <c r="L4486" s="401"/>
      <c r="M4486" s="404"/>
      <c r="N4486" s="404"/>
      <c r="O4486" s="404"/>
      <c r="P4486" s="404"/>
      <c r="Q4486" s="404"/>
      <c r="R4486" s="404"/>
      <c r="S4486" s="404"/>
      <c r="T4486" s="404"/>
      <c r="U4486" s="404"/>
      <c r="V4486" s="404"/>
      <c r="W4486" s="404"/>
      <c r="X4486" s="404"/>
      <c r="Y4486" s="404"/>
      <c r="Z4486" s="404"/>
      <c r="AA4486" s="404"/>
      <c r="AB4486" s="404"/>
      <c r="AC4486" s="404"/>
      <c r="AD4486" s="404"/>
      <c r="AE4486" s="404"/>
      <c r="AF4486" s="404"/>
      <c r="AG4486" s="404"/>
      <c r="AH4486" s="404"/>
      <c r="AI4486" s="404"/>
      <c r="AJ4486" s="404"/>
      <c r="AK4486" s="404"/>
      <c r="AL4486" s="404"/>
      <c r="AM4486" s="404"/>
      <c r="AN4486" s="404"/>
      <c r="AO4486" s="404"/>
      <c r="AP4486" s="404"/>
      <c r="AQ4486" s="404"/>
      <c r="AR4486" s="404"/>
      <c r="AS4486" s="404"/>
      <c r="AT4486" s="404"/>
      <c r="AU4486" s="404"/>
      <c r="AV4486" s="404"/>
      <c r="AW4486" s="404"/>
      <c r="AX4486" s="404"/>
      <c r="AY4486" s="404"/>
      <c r="AZ4486" s="404"/>
      <c r="BA4486" s="404"/>
      <c r="BB4486" s="404"/>
      <c r="BC4486" s="404"/>
      <c r="BD4486" s="404"/>
      <c r="BE4486" s="404"/>
      <c r="BF4486" s="404"/>
      <c r="BG4486" s="404"/>
      <c r="BH4486" s="404"/>
      <c r="BI4486" s="404"/>
      <c r="BJ4486" s="404"/>
      <c r="BK4486" s="404"/>
      <c r="BL4486" s="404"/>
    </row>
    <row r="4487" spans="1:64">
      <c r="A4487" s="426"/>
      <c r="B4487" s="426"/>
      <c r="C4487" s="469" t="s">
        <v>1568</v>
      </c>
      <c r="D4487" s="409">
        <f>D4486</f>
        <v>988.9375</v>
      </c>
      <c r="E4487" s="426" t="s">
        <v>833</v>
      </c>
      <c r="F4487" s="409">
        <f>'[161]Civil-SOR'!$G$203</f>
        <v>6</v>
      </c>
      <c r="G4487" s="410">
        <v>1</v>
      </c>
      <c r="H4487" s="426" t="s">
        <v>312</v>
      </c>
      <c r="I4487" s="409">
        <f t="shared" si="978"/>
        <v>5933.625</v>
      </c>
      <c r="J4487" s="400"/>
      <c r="K4487" s="401"/>
      <c r="L4487" s="401"/>
      <c r="M4487" s="404"/>
      <c r="N4487" s="404"/>
      <c r="O4487" s="404"/>
      <c r="P4487" s="404"/>
      <c r="Q4487" s="404"/>
      <c r="R4487" s="404"/>
      <c r="S4487" s="404"/>
      <c r="T4487" s="404"/>
      <c r="U4487" s="404"/>
      <c r="V4487" s="404"/>
      <c r="W4487" s="404"/>
      <c r="X4487" s="404"/>
      <c r="Y4487" s="404"/>
      <c r="Z4487" s="404"/>
      <c r="AA4487" s="404"/>
      <c r="AB4487" s="404"/>
      <c r="AC4487" s="404"/>
      <c r="AD4487" s="404"/>
      <c r="AE4487" s="404"/>
      <c r="AF4487" s="404"/>
      <c r="AG4487" s="404"/>
      <c r="AH4487" s="404"/>
      <c r="AI4487" s="404"/>
      <c r="AJ4487" s="404"/>
      <c r="AK4487" s="404"/>
      <c r="AL4487" s="404"/>
      <c r="AM4487" s="404"/>
      <c r="AN4487" s="404"/>
      <c r="AO4487" s="404"/>
      <c r="AP4487" s="404"/>
      <c r="AQ4487" s="404"/>
      <c r="AR4487" s="404"/>
      <c r="AS4487" s="404"/>
      <c r="AT4487" s="404"/>
      <c r="AU4487" s="404"/>
      <c r="AV4487" s="404"/>
      <c r="AW4487" s="404"/>
      <c r="AX4487" s="404"/>
      <c r="AY4487" s="404"/>
      <c r="AZ4487" s="404"/>
      <c r="BA4487" s="404"/>
      <c r="BB4487" s="404"/>
      <c r="BC4487" s="404"/>
      <c r="BD4487" s="404"/>
      <c r="BE4487" s="404"/>
      <c r="BF4487" s="404"/>
      <c r="BG4487" s="404"/>
      <c r="BH4487" s="404"/>
      <c r="BI4487" s="404"/>
      <c r="BJ4487" s="404"/>
      <c r="BK4487" s="404"/>
      <c r="BL4487" s="404"/>
    </row>
    <row r="4488" spans="1:64">
      <c r="A4488" s="426"/>
      <c r="B4488" s="426"/>
      <c r="C4488" s="417" t="str">
        <f>[161]Input!$C$47</f>
        <v>Add for MA @ 40%</v>
      </c>
      <c r="D4488" s="409">
        <f>[161]Input!$D$47</f>
        <v>0.4</v>
      </c>
      <c r="E4488" s="426"/>
      <c r="F4488" s="409">
        <f>I4486*40%+I4487</f>
        <v>20569.900000000001</v>
      </c>
      <c r="G4488" s="410"/>
      <c r="H4488" s="426"/>
      <c r="I4488" s="409">
        <f t="shared" si="978"/>
        <v>8227.9600000000009</v>
      </c>
      <c r="J4488" s="400"/>
      <c r="K4488" s="401"/>
      <c r="L4488" s="401"/>
      <c r="M4488" s="404"/>
      <c r="N4488" s="404"/>
      <c r="O4488" s="404"/>
      <c r="P4488" s="404"/>
      <c r="Q4488" s="404"/>
      <c r="R4488" s="404"/>
      <c r="S4488" s="404"/>
      <c r="T4488" s="404"/>
      <c r="U4488" s="404"/>
      <c r="V4488" s="404"/>
      <c r="W4488" s="404"/>
      <c r="X4488" s="404"/>
      <c r="Y4488" s="404"/>
      <c r="Z4488" s="404"/>
      <c r="AA4488" s="404"/>
      <c r="AB4488" s="404"/>
      <c r="AC4488" s="404"/>
      <c r="AD4488" s="404"/>
      <c r="AE4488" s="404"/>
      <c r="AF4488" s="404"/>
      <c r="AG4488" s="404"/>
      <c r="AH4488" s="404"/>
      <c r="AI4488" s="404"/>
      <c r="AJ4488" s="404"/>
      <c r="AK4488" s="404"/>
      <c r="AL4488" s="404"/>
      <c r="AM4488" s="404"/>
      <c r="AN4488" s="404"/>
      <c r="AO4488" s="404"/>
      <c r="AP4488" s="404"/>
      <c r="AQ4488" s="404"/>
      <c r="AR4488" s="404"/>
      <c r="AS4488" s="404"/>
      <c r="AT4488" s="404"/>
      <c r="AU4488" s="404"/>
      <c r="AV4488" s="404"/>
      <c r="AW4488" s="404"/>
      <c r="AX4488" s="404"/>
      <c r="AY4488" s="404"/>
      <c r="AZ4488" s="404"/>
      <c r="BA4488" s="404"/>
      <c r="BB4488" s="404"/>
      <c r="BC4488" s="404"/>
      <c r="BD4488" s="404"/>
      <c r="BE4488" s="404"/>
      <c r="BF4488" s="404"/>
      <c r="BG4488" s="404"/>
      <c r="BH4488" s="404"/>
      <c r="BI4488" s="404"/>
      <c r="BJ4488" s="404"/>
      <c r="BK4488" s="404"/>
      <c r="BL4488" s="404"/>
    </row>
    <row r="4489" spans="1:64">
      <c r="A4489" s="426"/>
      <c r="B4489" s="426"/>
      <c r="C4489" s="469" t="s">
        <v>1569</v>
      </c>
      <c r="D4489" s="426">
        <v>4</v>
      </c>
      <c r="E4489" s="426" t="s">
        <v>375</v>
      </c>
      <c r="F4489" s="426"/>
      <c r="G4489" s="410"/>
      <c r="H4489" s="426" t="s">
        <v>1570</v>
      </c>
      <c r="I4489" s="409">
        <v>2000</v>
      </c>
      <c r="J4489" s="400"/>
      <c r="K4489" s="401"/>
      <c r="L4489" s="401"/>
      <c r="M4489" s="404"/>
      <c r="N4489" s="404"/>
      <c r="O4489" s="404"/>
      <c r="P4489" s="404"/>
      <c r="Q4489" s="404"/>
      <c r="R4489" s="404"/>
      <c r="S4489" s="404"/>
      <c r="T4489" s="404"/>
      <c r="U4489" s="404"/>
      <c r="V4489" s="404"/>
      <c r="W4489" s="404"/>
      <c r="X4489" s="404"/>
      <c r="Y4489" s="404"/>
      <c r="Z4489" s="404"/>
      <c r="AA4489" s="404"/>
      <c r="AB4489" s="404"/>
      <c r="AC4489" s="404"/>
      <c r="AD4489" s="404"/>
      <c r="AE4489" s="404"/>
      <c r="AF4489" s="404"/>
      <c r="AG4489" s="404"/>
      <c r="AH4489" s="404"/>
      <c r="AI4489" s="404"/>
      <c r="AJ4489" s="404"/>
      <c r="AK4489" s="404"/>
      <c r="AL4489" s="404"/>
      <c r="AM4489" s="404"/>
      <c r="AN4489" s="404"/>
      <c r="AO4489" s="404"/>
      <c r="AP4489" s="404"/>
      <c r="AQ4489" s="404"/>
      <c r="AR4489" s="404"/>
      <c r="AS4489" s="404"/>
      <c r="AT4489" s="404"/>
      <c r="AU4489" s="404"/>
      <c r="AV4489" s="404"/>
      <c r="AW4489" s="404"/>
      <c r="AX4489" s="404"/>
      <c r="AY4489" s="404"/>
      <c r="AZ4489" s="404"/>
      <c r="BA4489" s="404"/>
      <c r="BB4489" s="404"/>
      <c r="BC4489" s="404"/>
      <c r="BD4489" s="404"/>
      <c r="BE4489" s="404"/>
      <c r="BF4489" s="404"/>
      <c r="BG4489" s="404"/>
      <c r="BH4489" s="404"/>
      <c r="BI4489" s="404"/>
      <c r="BJ4489" s="404"/>
      <c r="BK4489" s="404"/>
      <c r="BL4489" s="404"/>
    </row>
    <row r="4490" spans="1:64">
      <c r="A4490" s="426"/>
      <c r="B4490" s="426"/>
      <c r="C4490" s="469" t="s">
        <v>1571</v>
      </c>
      <c r="D4490" s="426"/>
      <c r="E4490" s="426"/>
      <c r="F4490" s="426"/>
      <c r="G4490" s="410"/>
      <c r="H4490" s="426"/>
      <c r="I4490" s="409">
        <v>237.53</v>
      </c>
      <c r="J4490" s="400"/>
      <c r="K4490" s="401"/>
      <c r="L4490" s="401"/>
      <c r="M4490" s="404"/>
      <c r="N4490" s="404"/>
      <c r="O4490" s="404"/>
      <c r="P4490" s="404"/>
      <c r="Q4490" s="404"/>
      <c r="R4490" s="404"/>
      <c r="S4490" s="404"/>
      <c r="T4490" s="404"/>
      <c r="U4490" s="404"/>
      <c r="V4490" s="404"/>
      <c r="W4490" s="404"/>
      <c r="X4490" s="404"/>
      <c r="Y4490" s="404"/>
      <c r="Z4490" s="404"/>
      <c r="AA4490" s="404"/>
      <c r="AB4490" s="404"/>
      <c r="AC4490" s="404"/>
      <c r="AD4490" s="404"/>
      <c r="AE4490" s="404"/>
      <c r="AF4490" s="404"/>
      <c r="AG4490" s="404"/>
      <c r="AH4490" s="404"/>
      <c r="AI4490" s="404"/>
      <c r="AJ4490" s="404"/>
      <c r="AK4490" s="404"/>
      <c r="AL4490" s="404"/>
      <c r="AM4490" s="404"/>
      <c r="AN4490" s="404"/>
      <c r="AO4490" s="404"/>
      <c r="AP4490" s="404"/>
      <c r="AQ4490" s="404"/>
      <c r="AR4490" s="404"/>
      <c r="AS4490" s="404"/>
      <c r="AT4490" s="404"/>
      <c r="AU4490" s="404"/>
      <c r="AV4490" s="404"/>
      <c r="AW4490" s="404"/>
      <c r="AX4490" s="404"/>
      <c r="AY4490" s="404"/>
      <c r="AZ4490" s="404"/>
      <c r="BA4490" s="404"/>
      <c r="BB4490" s="404"/>
      <c r="BC4490" s="404"/>
      <c r="BD4490" s="404"/>
      <c r="BE4490" s="404"/>
      <c r="BF4490" s="404"/>
      <c r="BG4490" s="404"/>
      <c r="BH4490" s="404"/>
      <c r="BI4490" s="404"/>
      <c r="BJ4490" s="404"/>
      <c r="BK4490" s="404"/>
      <c r="BL4490" s="404"/>
    </row>
    <row r="4491" spans="1:64">
      <c r="A4491" s="426"/>
      <c r="B4491" s="426"/>
      <c r="C4491" s="469"/>
      <c r="D4491" s="426"/>
      <c r="E4491" s="426"/>
      <c r="F4491" s="426"/>
      <c r="G4491" s="426"/>
      <c r="H4491" s="426"/>
      <c r="I4491" s="409">
        <f>SUM(I4476:I4490)</f>
        <v>120888.31375</v>
      </c>
      <c r="J4491" s="400"/>
      <c r="K4491" s="401"/>
      <c r="L4491" s="401"/>
      <c r="M4491" s="404"/>
      <c r="N4491" s="404"/>
      <c r="O4491" s="404"/>
      <c r="P4491" s="404"/>
      <c r="Q4491" s="404"/>
      <c r="R4491" s="404"/>
      <c r="S4491" s="404"/>
      <c r="T4491" s="404"/>
      <c r="U4491" s="404"/>
      <c r="V4491" s="404"/>
      <c r="W4491" s="404"/>
      <c r="X4491" s="404"/>
      <c r="Y4491" s="404"/>
      <c r="Z4491" s="404"/>
      <c r="AA4491" s="404"/>
      <c r="AB4491" s="404"/>
      <c r="AC4491" s="404"/>
      <c r="AD4491" s="404"/>
      <c r="AE4491" s="404"/>
      <c r="AF4491" s="404"/>
      <c r="AG4491" s="404"/>
      <c r="AH4491" s="404"/>
      <c r="AI4491" s="404"/>
      <c r="AJ4491" s="404"/>
      <c r="AK4491" s="404"/>
      <c r="AL4491" s="404"/>
      <c r="AM4491" s="404"/>
      <c r="AN4491" s="404"/>
      <c r="AO4491" s="404"/>
      <c r="AP4491" s="404"/>
      <c r="AQ4491" s="404"/>
      <c r="AR4491" s="404"/>
      <c r="AS4491" s="404"/>
      <c r="AT4491" s="404"/>
      <c r="AU4491" s="404"/>
      <c r="AV4491" s="404"/>
      <c r="AW4491" s="404"/>
      <c r="AX4491" s="404"/>
      <c r="AY4491" s="404"/>
      <c r="AZ4491" s="404"/>
      <c r="BA4491" s="404"/>
      <c r="BB4491" s="404"/>
      <c r="BC4491" s="404"/>
      <c r="BD4491" s="404"/>
      <c r="BE4491" s="404"/>
      <c r="BF4491" s="404"/>
      <c r="BG4491" s="404"/>
      <c r="BH4491" s="404"/>
      <c r="BI4491" s="404"/>
      <c r="BJ4491" s="404"/>
      <c r="BK4491" s="404"/>
      <c r="BL4491" s="404"/>
    </row>
    <row r="4492" spans="1:64" ht="25">
      <c r="A4492" s="426"/>
      <c r="B4492" s="426"/>
      <c r="C4492" s="417" t="str">
        <f>[161]Input!$C$48</f>
        <v>Overheads &amp; Contractors Profit @ 13.615%</v>
      </c>
      <c r="D4492" s="494">
        <f>[161]Input!$D$48</f>
        <v>0.13614999999999999</v>
      </c>
      <c r="E4492" s="426"/>
      <c r="F4492" s="409">
        <f>I4491</f>
        <v>120888.31375</v>
      </c>
      <c r="G4492" s="426"/>
      <c r="H4492" s="426"/>
      <c r="I4492" s="409">
        <f>D4492*F4492</f>
        <v>16458.943917062501</v>
      </c>
      <c r="J4492" s="400"/>
      <c r="K4492" s="401"/>
      <c r="L4492" s="401"/>
      <c r="M4492" s="404"/>
      <c r="N4492" s="404"/>
      <c r="O4492" s="404"/>
      <c r="P4492" s="404"/>
      <c r="Q4492" s="404"/>
      <c r="R4492" s="404"/>
      <c r="S4492" s="404"/>
      <c r="T4492" s="404"/>
      <c r="U4492" s="404"/>
      <c r="V4492" s="404"/>
      <c r="W4492" s="404"/>
      <c r="X4492" s="404"/>
      <c r="Y4492" s="404"/>
      <c r="Z4492" s="404"/>
      <c r="AA4492" s="404"/>
      <c r="AB4492" s="404"/>
      <c r="AC4492" s="404"/>
      <c r="AD4492" s="404"/>
      <c r="AE4492" s="404"/>
      <c r="AF4492" s="404"/>
      <c r="AG4492" s="404"/>
      <c r="AH4492" s="404"/>
      <c r="AI4492" s="404"/>
      <c r="AJ4492" s="404"/>
      <c r="AK4492" s="404"/>
      <c r="AL4492" s="404"/>
      <c r="AM4492" s="404"/>
      <c r="AN4492" s="404"/>
      <c r="AO4492" s="404"/>
      <c r="AP4492" s="404"/>
      <c r="AQ4492" s="404"/>
      <c r="AR4492" s="404"/>
      <c r="AS4492" s="404"/>
      <c r="AT4492" s="404"/>
      <c r="AU4492" s="404"/>
      <c r="AV4492" s="404"/>
      <c r="AW4492" s="404"/>
      <c r="AX4492" s="404"/>
      <c r="AY4492" s="404"/>
      <c r="AZ4492" s="404"/>
      <c r="BA4492" s="404"/>
      <c r="BB4492" s="404"/>
      <c r="BC4492" s="404"/>
      <c r="BD4492" s="404"/>
      <c r="BE4492" s="404"/>
      <c r="BF4492" s="404"/>
      <c r="BG4492" s="404"/>
      <c r="BH4492" s="404"/>
      <c r="BI4492" s="404"/>
      <c r="BJ4492" s="404"/>
      <c r="BK4492" s="404"/>
      <c r="BL4492" s="404"/>
    </row>
    <row r="4493" spans="1:64" ht="13">
      <c r="A4493" s="426"/>
      <c r="B4493" s="426"/>
      <c r="C4493" s="455" t="s">
        <v>1572</v>
      </c>
      <c r="D4493" s="426"/>
      <c r="E4493" s="426"/>
      <c r="F4493" s="426"/>
      <c r="G4493" s="426"/>
      <c r="H4493" s="426"/>
      <c r="I4493" s="409">
        <f>SUM(I4491:I4492)</f>
        <v>137347.25766706251</v>
      </c>
      <c r="J4493" s="400"/>
      <c r="K4493" s="401"/>
      <c r="L4493" s="401"/>
      <c r="M4493" s="404"/>
      <c r="N4493" s="404"/>
      <c r="O4493" s="404"/>
      <c r="P4493" s="404"/>
      <c r="Q4493" s="404"/>
      <c r="R4493" s="404"/>
      <c r="S4493" s="404"/>
      <c r="T4493" s="404"/>
      <c r="U4493" s="404"/>
      <c r="V4493" s="404"/>
      <c r="W4493" s="404"/>
      <c r="X4493" s="404"/>
      <c r="Y4493" s="404"/>
      <c r="Z4493" s="404"/>
      <c r="AA4493" s="404"/>
      <c r="AB4493" s="404"/>
      <c r="AC4493" s="404"/>
      <c r="AD4493" s="404"/>
      <c r="AE4493" s="404"/>
      <c r="AF4493" s="404"/>
      <c r="AG4493" s="404"/>
      <c r="AH4493" s="404"/>
      <c r="AI4493" s="404"/>
      <c r="AJ4493" s="404"/>
      <c r="AK4493" s="404"/>
      <c r="AL4493" s="404"/>
      <c r="AM4493" s="404"/>
      <c r="AN4493" s="404"/>
      <c r="AO4493" s="404"/>
      <c r="AP4493" s="404"/>
      <c r="AQ4493" s="404"/>
      <c r="AR4493" s="404"/>
      <c r="AS4493" s="404"/>
      <c r="AT4493" s="404"/>
      <c r="AU4493" s="404"/>
      <c r="AV4493" s="404"/>
      <c r="AW4493" s="404"/>
      <c r="AX4493" s="404"/>
      <c r="AY4493" s="404"/>
      <c r="AZ4493" s="404"/>
      <c r="BA4493" s="404"/>
      <c r="BB4493" s="404"/>
      <c r="BC4493" s="404"/>
      <c r="BD4493" s="404"/>
      <c r="BE4493" s="404"/>
      <c r="BF4493" s="404"/>
      <c r="BG4493" s="404"/>
      <c r="BH4493" s="404"/>
      <c r="BI4493" s="404"/>
      <c r="BJ4493" s="404"/>
      <c r="BK4493" s="404"/>
      <c r="BL4493" s="404"/>
    </row>
    <row r="4494" spans="1:64" ht="13">
      <c r="A4494" s="426"/>
      <c r="B4494" s="426"/>
      <c r="C4494" s="455" t="s">
        <v>686</v>
      </c>
      <c r="D4494" s="426"/>
      <c r="E4494" s="426"/>
      <c r="F4494" s="426"/>
      <c r="G4494" s="426"/>
      <c r="H4494" s="426"/>
      <c r="I4494" s="409">
        <f>I4493/33.75</f>
        <v>4069.5483753203707</v>
      </c>
      <c r="J4494" s="400"/>
      <c r="K4494" s="401"/>
      <c r="L4494" s="401"/>
      <c r="M4494" s="404"/>
      <c r="N4494" s="404"/>
      <c r="O4494" s="404"/>
      <c r="P4494" s="404"/>
      <c r="Q4494" s="404"/>
      <c r="R4494" s="404"/>
      <c r="S4494" s="404"/>
      <c r="T4494" s="404"/>
      <c r="U4494" s="404"/>
      <c r="V4494" s="404"/>
      <c r="W4494" s="404"/>
      <c r="X4494" s="404"/>
      <c r="Y4494" s="404"/>
      <c r="Z4494" s="404"/>
      <c r="AA4494" s="404"/>
      <c r="AB4494" s="404"/>
      <c r="AC4494" s="404"/>
      <c r="AD4494" s="404"/>
      <c r="AE4494" s="404"/>
      <c r="AF4494" s="404"/>
      <c r="AG4494" s="404"/>
      <c r="AH4494" s="404"/>
      <c r="AI4494" s="404"/>
      <c r="AJ4494" s="404"/>
      <c r="AK4494" s="404"/>
      <c r="AL4494" s="404"/>
      <c r="AM4494" s="404"/>
      <c r="AN4494" s="404"/>
      <c r="AO4494" s="404"/>
      <c r="AP4494" s="404"/>
      <c r="AQ4494" s="404"/>
      <c r="AR4494" s="404"/>
      <c r="AS4494" s="404"/>
      <c r="AT4494" s="404"/>
      <c r="AU4494" s="404"/>
      <c r="AV4494" s="404"/>
      <c r="AW4494" s="404"/>
      <c r="AX4494" s="404"/>
      <c r="AY4494" s="404"/>
      <c r="AZ4494" s="404"/>
      <c r="BA4494" s="404"/>
      <c r="BB4494" s="404"/>
      <c r="BC4494" s="404"/>
      <c r="BD4494" s="404"/>
      <c r="BE4494" s="404"/>
      <c r="BF4494" s="404"/>
      <c r="BG4494" s="404"/>
      <c r="BH4494" s="404"/>
      <c r="BI4494" s="404"/>
      <c r="BJ4494" s="404"/>
      <c r="BK4494" s="404"/>
      <c r="BL4494" s="404"/>
    </row>
    <row r="4495" spans="1:64" ht="13">
      <c r="A4495" s="426"/>
      <c r="B4495" s="426"/>
      <c r="C4495" s="469"/>
      <c r="D4495" s="426"/>
      <c r="E4495" s="426"/>
      <c r="F4495" s="426"/>
      <c r="G4495" s="426" t="s">
        <v>774</v>
      </c>
      <c r="H4495" s="426"/>
      <c r="I4495" s="434">
        <f>ROUND(I4494,0)</f>
        <v>4070</v>
      </c>
      <c r="J4495" s="400"/>
      <c r="K4495" s="401"/>
      <c r="L4495" s="401"/>
      <c r="M4495" s="404"/>
      <c r="N4495" s="404"/>
      <c r="O4495" s="404"/>
      <c r="P4495" s="404"/>
      <c r="Q4495" s="404"/>
      <c r="R4495" s="404"/>
      <c r="S4495" s="404"/>
      <c r="T4495" s="404"/>
      <c r="U4495" s="404"/>
      <c r="V4495" s="404"/>
      <c r="W4495" s="404"/>
      <c r="X4495" s="404"/>
      <c r="Y4495" s="404"/>
      <c r="Z4495" s="404"/>
      <c r="AA4495" s="404"/>
      <c r="AB4495" s="404"/>
      <c r="AC4495" s="404"/>
      <c r="AD4495" s="404"/>
      <c r="AE4495" s="404"/>
      <c r="AF4495" s="404"/>
      <c r="AG4495" s="404"/>
      <c r="AH4495" s="404"/>
      <c r="AI4495" s="404"/>
      <c r="AJ4495" s="404"/>
      <c r="AK4495" s="404"/>
      <c r="AL4495" s="404"/>
      <c r="AM4495" s="404"/>
      <c r="AN4495" s="404"/>
      <c r="AO4495" s="404"/>
      <c r="AP4495" s="404"/>
      <c r="AQ4495" s="404"/>
      <c r="AR4495" s="404"/>
      <c r="AS4495" s="404"/>
      <c r="AT4495" s="404"/>
      <c r="AU4495" s="404"/>
      <c r="AV4495" s="404"/>
      <c r="AW4495" s="404"/>
      <c r="AX4495" s="404"/>
      <c r="AY4495" s="404"/>
      <c r="AZ4495" s="404"/>
      <c r="BA4495" s="404"/>
      <c r="BB4495" s="404"/>
      <c r="BC4495" s="404"/>
      <c r="BD4495" s="404"/>
      <c r="BE4495" s="404"/>
      <c r="BF4495" s="404"/>
      <c r="BG4495" s="404"/>
      <c r="BH4495" s="404"/>
      <c r="BI4495" s="404"/>
      <c r="BJ4495" s="404"/>
      <c r="BK4495" s="404"/>
      <c r="BL4495" s="404"/>
    </row>
    <row r="4496" spans="1:64">
      <c r="A4496" s="426"/>
      <c r="B4496" s="426"/>
      <c r="C4496" s="469"/>
      <c r="D4496" s="426"/>
      <c r="E4496" s="426"/>
      <c r="F4496" s="426"/>
      <c r="G4496" s="426"/>
      <c r="H4496" s="426"/>
      <c r="I4496" s="409"/>
      <c r="J4496" s="400"/>
      <c r="K4496" s="401"/>
      <c r="L4496" s="401"/>
      <c r="M4496" s="404"/>
      <c r="N4496" s="404"/>
      <c r="O4496" s="404"/>
      <c r="P4496" s="404"/>
      <c r="Q4496" s="404"/>
      <c r="R4496" s="404"/>
      <c r="S4496" s="404"/>
      <c r="T4496" s="404"/>
      <c r="U4496" s="404"/>
      <c r="V4496" s="404"/>
      <c r="W4496" s="404"/>
      <c r="X4496" s="404"/>
      <c r="Y4496" s="404"/>
      <c r="Z4496" s="404"/>
      <c r="AA4496" s="404"/>
      <c r="AB4496" s="404"/>
      <c r="AC4496" s="404"/>
      <c r="AD4496" s="404"/>
      <c r="AE4496" s="404"/>
      <c r="AF4496" s="404"/>
      <c r="AG4496" s="404"/>
      <c r="AH4496" s="404"/>
      <c r="AI4496" s="404"/>
      <c r="AJ4496" s="404"/>
      <c r="AK4496" s="404"/>
      <c r="AL4496" s="404"/>
      <c r="AM4496" s="404"/>
      <c r="AN4496" s="404"/>
      <c r="AO4496" s="404"/>
      <c r="AP4496" s="404"/>
      <c r="AQ4496" s="404"/>
      <c r="AR4496" s="404"/>
      <c r="AS4496" s="404"/>
      <c r="AT4496" s="404"/>
      <c r="AU4496" s="404"/>
      <c r="AV4496" s="404"/>
      <c r="AW4496" s="404"/>
      <c r="AX4496" s="404"/>
      <c r="AY4496" s="404"/>
      <c r="AZ4496" s="404"/>
      <c r="BA4496" s="404"/>
      <c r="BB4496" s="404"/>
      <c r="BC4496" s="404"/>
      <c r="BD4496" s="404"/>
      <c r="BE4496" s="404"/>
      <c r="BF4496" s="404"/>
      <c r="BG4496" s="404"/>
      <c r="BH4496" s="404"/>
      <c r="BI4496" s="404"/>
      <c r="BJ4496" s="404"/>
      <c r="BK4496" s="404"/>
      <c r="BL4496" s="404"/>
    </row>
    <row r="4497" spans="1:64" ht="70.150000000000006" customHeight="1">
      <c r="A4497" s="426">
        <f>A4469+1</f>
        <v>33</v>
      </c>
      <c r="B4497" s="426"/>
      <c r="C4497" s="1276" t="s">
        <v>1573</v>
      </c>
      <c r="D4497" s="1276"/>
      <c r="E4497" s="1276"/>
      <c r="F4497" s="1276"/>
      <c r="G4497" s="1276"/>
      <c r="H4497" s="1276"/>
      <c r="I4497" s="1276"/>
      <c r="J4497" s="400"/>
      <c r="K4497" s="401"/>
      <c r="L4497" s="401"/>
      <c r="M4497" s="404"/>
      <c r="N4497" s="404"/>
      <c r="O4497" s="404"/>
      <c r="P4497" s="404"/>
      <c r="Q4497" s="404"/>
      <c r="R4497" s="404"/>
      <c r="S4497" s="404"/>
      <c r="T4497" s="404"/>
      <c r="U4497" s="404"/>
      <c r="V4497" s="404"/>
      <c r="W4497" s="404"/>
      <c r="X4497" s="404"/>
      <c r="Y4497" s="404"/>
      <c r="Z4497" s="404"/>
      <c r="AA4497" s="404"/>
      <c r="AB4497" s="404"/>
      <c r="AC4497" s="404"/>
      <c r="AD4497" s="404"/>
      <c r="AE4497" s="404"/>
      <c r="AF4497" s="404"/>
      <c r="AG4497" s="404"/>
      <c r="AH4497" s="404"/>
      <c r="AI4497" s="404"/>
      <c r="AJ4497" s="404"/>
      <c r="AK4497" s="404"/>
      <c r="AL4497" s="404"/>
      <c r="AM4497" s="404"/>
      <c r="AN4497" s="404"/>
      <c r="AO4497" s="404"/>
      <c r="AP4497" s="404"/>
      <c r="AQ4497" s="404"/>
      <c r="AR4497" s="404"/>
      <c r="AS4497" s="404"/>
      <c r="AT4497" s="404"/>
      <c r="AU4497" s="404"/>
      <c r="AV4497" s="404"/>
      <c r="AW4497" s="404"/>
      <c r="AX4497" s="404"/>
      <c r="AY4497" s="404"/>
      <c r="AZ4497" s="404"/>
      <c r="BA4497" s="404"/>
      <c r="BB4497" s="404"/>
      <c r="BC4497" s="404"/>
      <c r="BD4497" s="404"/>
      <c r="BE4497" s="404"/>
      <c r="BF4497" s="404"/>
      <c r="BG4497" s="404"/>
      <c r="BH4497" s="404"/>
      <c r="BI4497" s="404"/>
      <c r="BJ4497" s="404"/>
      <c r="BK4497" s="404"/>
      <c r="BL4497" s="404"/>
    </row>
    <row r="4498" spans="1:64">
      <c r="A4498" s="426"/>
      <c r="B4498" s="426"/>
      <c r="C4498" s="469" t="s">
        <v>1552</v>
      </c>
      <c r="D4498" s="409">
        <v>9</v>
      </c>
      <c r="E4498" s="426" t="s">
        <v>1052</v>
      </c>
      <c r="F4498" s="409">
        <v>6.8</v>
      </c>
      <c r="G4498" s="426" t="s">
        <v>1553</v>
      </c>
      <c r="H4498" s="409">
        <f t="shared" ref="H4498:H4500" si="979">F4498*D4498</f>
        <v>61.199999999999996</v>
      </c>
      <c r="I4498" s="409" t="s">
        <v>833</v>
      </c>
      <c r="J4498" s="400"/>
      <c r="K4498" s="401"/>
      <c r="L4498" s="401"/>
      <c r="M4498" s="404"/>
      <c r="N4498" s="404"/>
      <c r="O4498" s="404"/>
      <c r="P4498" s="404"/>
      <c r="Q4498" s="404"/>
      <c r="R4498" s="404"/>
      <c r="S4498" s="404"/>
      <c r="T4498" s="404"/>
      <c r="U4498" s="404"/>
      <c r="V4498" s="404"/>
      <c r="W4498" s="404"/>
      <c r="X4498" s="404"/>
      <c r="Y4498" s="404"/>
      <c r="Z4498" s="404"/>
      <c r="AA4498" s="404"/>
      <c r="AB4498" s="404"/>
      <c r="AC4498" s="404"/>
      <c r="AD4498" s="404"/>
      <c r="AE4498" s="404"/>
      <c r="AF4498" s="404"/>
      <c r="AG4498" s="404"/>
      <c r="AH4498" s="404"/>
      <c r="AI4498" s="404"/>
      <c r="AJ4498" s="404"/>
      <c r="AK4498" s="404"/>
      <c r="AL4498" s="404"/>
      <c r="AM4498" s="404"/>
      <c r="AN4498" s="404"/>
      <c r="AO4498" s="404"/>
      <c r="AP4498" s="404"/>
      <c r="AQ4498" s="404"/>
      <c r="AR4498" s="404"/>
      <c r="AS4498" s="404"/>
      <c r="AT4498" s="404"/>
      <c r="AU4498" s="404"/>
      <c r="AV4498" s="404"/>
      <c r="AW4498" s="404"/>
      <c r="AX4498" s="404"/>
      <c r="AY4498" s="404"/>
      <c r="AZ4498" s="404"/>
      <c r="BA4498" s="404"/>
      <c r="BB4498" s="404"/>
      <c r="BC4498" s="404"/>
      <c r="BD4498" s="404"/>
      <c r="BE4498" s="404"/>
      <c r="BF4498" s="404"/>
      <c r="BG4498" s="404"/>
      <c r="BH4498" s="404"/>
      <c r="BI4498" s="404"/>
      <c r="BJ4498" s="404"/>
      <c r="BK4498" s="404"/>
      <c r="BL4498" s="404"/>
    </row>
    <row r="4499" spans="1:64">
      <c r="A4499" s="426"/>
      <c r="B4499" s="426"/>
      <c r="C4499" s="469" t="s">
        <v>1574</v>
      </c>
      <c r="D4499" s="426">
        <v>6</v>
      </c>
      <c r="E4499" s="426" t="s">
        <v>1052</v>
      </c>
      <c r="F4499" s="409">
        <v>3.56</v>
      </c>
      <c r="G4499" s="426" t="s">
        <v>1553</v>
      </c>
      <c r="H4499" s="409">
        <f t="shared" si="979"/>
        <v>21.36</v>
      </c>
      <c r="I4499" s="409" t="s">
        <v>833</v>
      </c>
      <c r="J4499" s="400"/>
      <c r="K4499" s="401"/>
      <c r="L4499" s="401"/>
      <c r="M4499" s="404"/>
      <c r="N4499" s="404"/>
      <c r="O4499" s="404"/>
      <c r="P4499" s="404"/>
      <c r="Q4499" s="404"/>
      <c r="R4499" s="404"/>
      <c r="S4499" s="404"/>
      <c r="T4499" s="404"/>
      <c r="U4499" s="404"/>
      <c r="V4499" s="404"/>
      <c r="W4499" s="404"/>
      <c r="X4499" s="404"/>
      <c r="Y4499" s="404"/>
      <c r="Z4499" s="404"/>
      <c r="AA4499" s="404"/>
      <c r="AB4499" s="404"/>
      <c r="AC4499" s="404"/>
      <c r="AD4499" s="404"/>
      <c r="AE4499" s="404"/>
      <c r="AF4499" s="404"/>
      <c r="AG4499" s="404"/>
      <c r="AH4499" s="404"/>
      <c r="AI4499" s="404"/>
      <c r="AJ4499" s="404"/>
      <c r="AK4499" s="404"/>
      <c r="AL4499" s="404"/>
      <c r="AM4499" s="404"/>
      <c r="AN4499" s="404"/>
      <c r="AO4499" s="404"/>
      <c r="AP4499" s="404"/>
      <c r="AQ4499" s="404"/>
      <c r="AR4499" s="404"/>
      <c r="AS4499" s="404"/>
      <c r="AT4499" s="404"/>
      <c r="AU4499" s="404"/>
      <c r="AV4499" s="404"/>
      <c r="AW4499" s="404"/>
      <c r="AX4499" s="404"/>
      <c r="AY4499" s="404"/>
      <c r="AZ4499" s="404"/>
      <c r="BA4499" s="404"/>
      <c r="BB4499" s="404"/>
      <c r="BC4499" s="404"/>
      <c r="BD4499" s="404"/>
      <c r="BE4499" s="404"/>
      <c r="BF4499" s="404"/>
      <c r="BG4499" s="404"/>
      <c r="BH4499" s="404"/>
      <c r="BI4499" s="404"/>
      <c r="BJ4499" s="404"/>
      <c r="BK4499" s="404"/>
      <c r="BL4499" s="404"/>
    </row>
    <row r="4500" spans="1:64">
      <c r="A4500" s="426"/>
      <c r="B4500" s="426"/>
      <c r="C4500" s="469" t="s">
        <v>1575</v>
      </c>
      <c r="D4500" s="426">
        <v>33</v>
      </c>
      <c r="E4500" s="426" t="s">
        <v>1052</v>
      </c>
      <c r="F4500" s="409">
        <v>4.91</v>
      </c>
      <c r="G4500" s="426" t="s">
        <v>1553</v>
      </c>
      <c r="H4500" s="409">
        <f t="shared" si="979"/>
        <v>162.03</v>
      </c>
      <c r="I4500" s="409" t="s">
        <v>833</v>
      </c>
      <c r="J4500" s="400"/>
      <c r="K4500" s="401"/>
      <c r="L4500" s="401"/>
      <c r="M4500" s="404"/>
      <c r="N4500" s="404"/>
      <c r="O4500" s="404"/>
      <c r="P4500" s="404"/>
      <c r="Q4500" s="404"/>
      <c r="R4500" s="404"/>
      <c r="S4500" s="404"/>
      <c r="T4500" s="404"/>
      <c r="U4500" s="404"/>
      <c r="V4500" s="404"/>
      <c r="W4500" s="404"/>
      <c r="X4500" s="404"/>
      <c r="Y4500" s="404"/>
      <c r="Z4500" s="404"/>
      <c r="AA4500" s="404"/>
      <c r="AB4500" s="404"/>
      <c r="AC4500" s="404"/>
      <c r="AD4500" s="404"/>
      <c r="AE4500" s="404"/>
      <c r="AF4500" s="404"/>
      <c r="AG4500" s="404"/>
      <c r="AH4500" s="404"/>
      <c r="AI4500" s="404"/>
      <c r="AJ4500" s="404"/>
      <c r="AK4500" s="404"/>
      <c r="AL4500" s="404"/>
      <c r="AM4500" s="404"/>
      <c r="AN4500" s="404"/>
      <c r="AO4500" s="404"/>
      <c r="AP4500" s="404"/>
      <c r="AQ4500" s="404"/>
      <c r="AR4500" s="404"/>
      <c r="AS4500" s="404"/>
      <c r="AT4500" s="404"/>
      <c r="AU4500" s="404"/>
      <c r="AV4500" s="404"/>
      <c r="AW4500" s="404"/>
      <c r="AX4500" s="404"/>
      <c r="AY4500" s="404"/>
      <c r="AZ4500" s="404"/>
      <c r="BA4500" s="404"/>
      <c r="BB4500" s="404"/>
      <c r="BC4500" s="404"/>
      <c r="BD4500" s="404"/>
      <c r="BE4500" s="404"/>
      <c r="BF4500" s="404"/>
      <c r="BG4500" s="404"/>
      <c r="BH4500" s="404"/>
      <c r="BI4500" s="404"/>
      <c r="BJ4500" s="404"/>
      <c r="BK4500" s="404"/>
      <c r="BL4500" s="404"/>
    </row>
    <row r="4501" spans="1:64" ht="13">
      <c r="A4501" s="426"/>
      <c r="B4501" s="426"/>
      <c r="C4501" s="469"/>
      <c r="D4501" s="426"/>
      <c r="E4501" s="426"/>
      <c r="F4501" s="426"/>
      <c r="G4501" s="426"/>
      <c r="H4501" s="434">
        <f>SUM(H4498:H4500)</f>
        <v>244.59</v>
      </c>
      <c r="I4501" s="409" t="s">
        <v>833</v>
      </c>
      <c r="J4501" s="400"/>
      <c r="K4501" s="401"/>
      <c r="L4501" s="401"/>
      <c r="M4501" s="404"/>
      <c r="N4501" s="404"/>
      <c r="O4501" s="404"/>
      <c r="P4501" s="404"/>
      <c r="Q4501" s="404"/>
      <c r="R4501" s="404"/>
      <c r="S4501" s="404"/>
      <c r="T4501" s="404"/>
      <c r="U4501" s="404"/>
      <c r="V4501" s="404"/>
      <c r="W4501" s="404"/>
      <c r="X4501" s="404"/>
      <c r="Y4501" s="404"/>
      <c r="Z4501" s="404"/>
      <c r="AA4501" s="404"/>
      <c r="AB4501" s="404"/>
      <c r="AC4501" s="404"/>
      <c r="AD4501" s="404"/>
      <c r="AE4501" s="404"/>
      <c r="AF4501" s="404"/>
      <c r="AG4501" s="404"/>
      <c r="AH4501" s="404"/>
      <c r="AI4501" s="404"/>
      <c r="AJ4501" s="404"/>
      <c r="AK4501" s="404"/>
      <c r="AL4501" s="404"/>
      <c r="AM4501" s="404"/>
      <c r="AN4501" s="404"/>
      <c r="AO4501" s="404"/>
      <c r="AP4501" s="404"/>
      <c r="AQ4501" s="404"/>
      <c r="AR4501" s="404"/>
      <c r="AS4501" s="404"/>
      <c r="AT4501" s="404"/>
      <c r="AU4501" s="404"/>
      <c r="AV4501" s="404"/>
      <c r="AW4501" s="404"/>
      <c r="AX4501" s="404"/>
      <c r="AY4501" s="404"/>
      <c r="AZ4501" s="404"/>
      <c r="BA4501" s="404"/>
      <c r="BB4501" s="404"/>
      <c r="BC4501" s="404"/>
      <c r="BD4501" s="404"/>
      <c r="BE4501" s="404"/>
      <c r="BF4501" s="404"/>
      <c r="BG4501" s="404"/>
      <c r="BH4501" s="404"/>
      <c r="BI4501" s="404"/>
      <c r="BJ4501" s="404"/>
      <c r="BK4501" s="404"/>
      <c r="BL4501" s="404"/>
    </row>
    <row r="4502" spans="1:64" ht="13">
      <c r="A4502" s="426"/>
      <c r="B4502" s="426"/>
      <c r="C4502" s="469" t="s">
        <v>1576</v>
      </c>
      <c r="D4502" s="426"/>
      <c r="E4502" s="426"/>
      <c r="F4502" s="426"/>
      <c r="G4502" s="426"/>
      <c r="H4502" s="434">
        <f t="shared" ref="H4502:H4503" si="980">12*2</f>
        <v>24</v>
      </c>
      <c r="I4502" s="409" t="s">
        <v>833</v>
      </c>
      <c r="J4502" s="400"/>
      <c r="K4502" s="401"/>
      <c r="L4502" s="401"/>
      <c r="M4502" s="404"/>
      <c r="N4502" s="404"/>
      <c r="O4502" s="404"/>
      <c r="P4502" s="404"/>
      <c r="Q4502" s="404"/>
      <c r="R4502" s="404"/>
      <c r="S4502" s="404"/>
      <c r="T4502" s="404"/>
      <c r="U4502" s="404"/>
      <c r="V4502" s="404"/>
      <c r="W4502" s="404"/>
      <c r="X4502" s="404"/>
      <c r="Y4502" s="404"/>
      <c r="Z4502" s="404"/>
      <c r="AA4502" s="404"/>
      <c r="AB4502" s="404"/>
      <c r="AC4502" s="404"/>
      <c r="AD4502" s="404"/>
      <c r="AE4502" s="404"/>
      <c r="AF4502" s="404"/>
      <c r="AG4502" s="404"/>
      <c r="AH4502" s="404"/>
      <c r="AI4502" s="404"/>
      <c r="AJ4502" s="404"/>
      <c r="AK4502" s="404"/>
      <c r="AL4502" s="404"/>
      <c r="AM4502" s="404"/>
      <c r="AN4502" s="404"/>
      <c r="AO4502" s="404"/>
      <c r="AP4502" s="404"/>
      <c r="AQ4502" s="404"/>
      <c r="AR4502" s="404"/>
      <c r="AS4502" s="404"/>
      <c r="AT4502" s="404"/>
      <c r="AU4502" s="404"/>
      <c r="AV4502" s="404"/>
      <c r="AW4502" s="404"/>
      <c r="AX4502" s="404"/>
      <c r="AY4502" s="404"/>
      <c r="AZ4502" s="404"/>
      <c r="BA4502" s="404"/>
      <c r="BB4502" s="404"/>
      <c r="BC4502" s="404"/>
      <c r="BD4502" s="404"/>
      <c r="BE4502" s="404"/>
      <c r="BF4502" s="404"/>
      <c r="BG4502" s="404"/>
      <c r="BH4502" s="404"/>
      <c r="BI4502" s="404"/>
      <c r="BJ4502" s="404"/>
      <c r="BK4502" s="404"/>
      <c r="BL4502" s="404"/>
    </row>
    <row r="4503" spans="1:64" ht="13">
      <c r="A4503" s="426"/>
      <c r="B4503" s="426"/>
      <c r="C4503" s="469" t="s">
        <v>1577</v>
      </c>
      <c r="D4503" s="426"/>
      <c r="E4503" s="426"/>
      <c r="F4503" s="426"/>
      <c r="G4503" s="426"/>
      <c r="H4503" s="434">
        <f t="shared" si="980"/>
        <v>24</v>
      </c>
      <c r="I4503" s="409" t="s">
        <v>833</v>
      </c>
      <c r="J4503" s="400"/>
      <c r="K4503" s="401"/>
      <c r="L4503" s="401"/>
      <c r="M4503" s="404"/>
      <c r="N4503" s="404"/>
      <c r="O4503" s="404"/>
      <c r="P4503" s="404"/>
      <c r="Q4503" s="404"/>
      <c r="R4503" s="404"/>
      <c r="S4503" s="404"/>
      <c r="T4503" s="404"/>
      <c r="U4503" s="404"/>
      <c r="V4503" s="404"/>
      <c r="W4503" s="404"/>
      <c r="X4503" s="404"/>
      <c r="Y4503" s="404"/>
      <c r="Z4503" s="404"/>
      <c r="AA4503" s="404"/>
      <c r="AB4503" s="404"/>
      <c r="AC4503" s="404"/>
      <c r="AD4503" s="404"/>
      <c r="AE4503" s="404"/>
      <c r="AF4503" s="404"/>
      <c r="AG4503" s="404"/>
      <c r="AH4503" s="404"/>
      <c r="AI4503" s="404"/>
      <c r="AJ4503" s="404"/>
      <c r="AK4503" s="404"/>
      <c r="AL4503" s="404"/>
      <c r="AM4503" s="404"/>
      <c r="AN4503" s="404"/>
      <c r="AO4503" s="404"/>
      <c r="AP4503" s="404"/>
      <c r="AQ4503" s="404"/>
      <c r="AR4503" s="404"/>
      <c r="AS4503" s="404"/>
      <c r="AT4503" s="404"/>
      <c r="AU4503" s="404"/>
      <c r="AV4503" s="404"/>
      <c r="AW4503" s="404"/>
      <c r="AX4503" s="404"/>
      <c r="AY4503" s="404"/>
      <c r="AZ4503" s="404"/>
      <c r="BA4503" s="404"/>
      <c r="BB4503" s="404"/>
      <c r="BC4503" s="404"/>
      <c r="BD4503" s="404"/>
      <c r="BE4503" s="404"/>
      <c r="BF4503" s="404"/>
      <c r="BG4503" s="404"/>
      <c r="BH4503" s="404"/>
      <c r="BI4503" s="404"/>
      <c r="BJ4503" s="404"/>
      <c r="BK4503" s="404"/>
      <c r="BL4503" s="404"/>
    </row>
    <row r="4504" spans="1:64" ht="13">
      <c r="A4504" s="426"/>
      <c r="B4504" s="426"/>
      <c r="C4504" s="455" t="s">
        <v>1557</v>
      </c>
      <c r="D4504" s="426"/>
      <c r="E4504" s="426"/>
      <c r="F4504" s="426"/>
      <c r="G4504" s="426"/>
      <c r="H4504" s="434"/>
      <c r="I4504" s="409"/>
      <c r="J4504" s="400"/>
      <c r="K4504" s="401"/>
      <c r="L4504" s="401"/>
      <c r="M4504" s="404"/>
      <c r="N4504" s="404"/>
      <c r="O4504" s="404"/>
      <c r="P4504" s="404"/>
      <c r="Q4504" s="404"/>
      <c r="R4504" s="404"/>
      <c r="S4504" s="404"/>
      <c r="T4504" s="404"/>
      <c r="U4504" s="404"/>
      <c r="V4504" s="404"/>
      <c r="W4504" s="404"/>
      <c r="X4504" s="404"/>
      <c r="Y4504" s="404"/>
      <c r="Z4504" s="404"/>
      <c r="AA4504" s="404"/>
      <c r="AB4504" s="404"/>
      <c r="AC4504" s="404"/>
      <c r="AD4504" s="404"/>
      <c r="AE4504" s="404"/>
      <c r="AF4504" s="404"/>
      <c r="AG4504" s="404"/>
      <c r="AH4504" s="404"/>
      <c r="AI4504" s="404"/>
      <c r="AJ4504" s="404"/>
      <c r="AK4504" s="404"/>
      <c r="AL4504" s="404"/>
      <c r="AM4504" s="404"/>
      <c r="AN4504" s="404"/>
      <c r="AO4504" s="404"/>
      <c r="AP4504" s="404"/>
      <c r="AQ4504" s="404"/>
      <c r="AR4504" s="404"/>
      <c r="AS4504" s="404"/>
      <c r="AT4504" s="404"/>
      <c r="AU4504" s="404"/>
      <c r="AV4504" s="404"/>
      <c r="AW4504" s="404"/>
      <c r="AX4504" s="404"/>
      <c r="AY4504" s="404"/>
      <c r="AZ4504" s="404"/>
      <c r="BA4504" s="404"/>
      <c r="BB4504" s="404"/>
      <c r="BC4504" s="404"/>
      <c r="BD4504" s="404"/>
      <c r="BE4504" s="404"/>
      <c r="BF4504" s="404"/>
      <c r="BG4504" s="404"/>
      <c r="BH4504" s="404"/>
      <c r="BI4504" s="404"/>
      <c r="BJ4504" s="404"/>
      <c r="BK4504" s="404"/>
      <c r="BL4504" s="404"/>
    </row>
    <row r="4505" spans="1:64">
      <c r="A4505" s="426"/>
      <c r="B4505" s="426"/>
      <c r="C4505" s="469" t="s">
        <v>1558</v>
      </c>
      <c r="D4505" s="409">
        <f t="shared" ref="D4505:D4507" si="981">H4498</f>
        <v>61.199999999999996</v>
      </c>
      <c r="E4505" s="426" t="s">
        <v>833</v>
      </c>
      <c r="F4505" s="409">
        <f>[161]LEAD!$N$10</f>
        <v>61000</v>
      </c>
      <c r="G4505" s="410">
        <v>1</v>
      </c>
      <c r="H4505" s="426" t="s">
        <v>122</v>
      </c>
      <c r="I4505" s="409">
        <f t="shared" ref="I4505:I4507" si="982">D4505*F4505/1000</f>
        <v>3733.1999999999994</v>
      </c>
      <c r="J4505" s="400"/>
      <c r="K4505" s="401"/>
      <c r="L4505" s="401"/>
      <c r="M4505" s="404"/>
      <c r="N4505" s="404"/>
      <c r="O4505" s="404"/>
      <c r="P4505" s="404"/>
      <c r="Q4505" s="404"/>
      <c r="R4505" s="404"/>
      <c r="S4505" s="404"/>
      <c r="T4505" s="404"/>
      <c r="U4505" s="404"/>
      <c r="V4505" s="404"/>
      <c r="W4505" s="404"/>
      <c r="X4505" s="404"/>
      <c r="Y4505" s="404"/>
      <c r="Z4505" s="404"/>
      <c r="AA4505" s="404"/>
      <c r="AB4505" s="404"/>
      <c r="AC4505" s="404"/>
      <c r="AD4505" s="404"/>
      <c r="AE4505" s="404"/>
      <c r="AF4505" s="404"/>
      <c r="AG4505" s="404"/>
      <c r="AH4505" s="404"/>
      <c r="AI4505" s="404"/>
      <c r="AJ4505" s="404"/>
      <c r="AK4505" s="404"/>
      <c r="AL4505" s="404"/>
      <c r="AM4505" s="404"/>
      <c r="AN4505" s="404"/>
      <c r="AO4505" s="404"/>
      <c r="AP4505" s="404"/>
      <c r="AQ4505" s="404"/>
      <c r="AR4505" s="404"/>
      <c r="AS4505" s="404"/>
      <c r="AT4505" s="404"/>
      <c r="AU4505" s="404"/>
      <c r="AV4505" s="404"/>
      <c r="AW4505" s="404"/>
      <c r="AX4505" s="404"/>
      <c r="AY4505" s="404"/>
      <c r="AZ4505" s="404"/>
      <c r="BA4505" s="404"/>
      <c r="BB4505" s="404"/>
      <c r="BC4505" s="404"/>
      <c r="BD4505" s="404"/>
      <c r="BE4505" s="404"/>
      <c r="BF4505" s="404"/>
      <c r="BG4505" s="404"/>
      <c r="BH4505" s="404"/>
      <c r="BI4505" s="404"/>
      <c r="BJ4505" s="404"/>
      <c r="BK4505" s="404"/>
      <c r="BL4505" s="404"/>
    </row>
    <row r="4506" spans="1:64">
      <c r="A4506" s="426"/>
      <c r="B4506" s="426"/>
      <c r="C4506" s="469" t="s">
        <v>1578</v>
      </c>
      <c r="D4506" s="409">
        <f t="shared" si="981"/>
        <v>21.36</v>
      </c>
      <c r="E4506" s="426" t="s">
        <v>833</v>
      </c>
      <c r="F4506" s="409">
        <f>[161]LEAD!$N$11</f>
        <v>62000</v>
      </c>
      <c r="G4506" s="410">
        <v>1</v>
      </c>
      <c r="H4506" s="426" t="s">
        <v>122</v>
      </c>
      <c r="I4506" s="409">
        <f t="shared" si="982"/>
        <v>1324.32</v>
      </c>
      <c r="J4506" s="400"/>
      <c r="K4506" s="401"/>
      <c r="L4506" s="401"/>
      <c r="M4506" s="404"/>
      <c r="N4506" s="404"/>
      <c r="O4506" s="404"/>
      <c r="P4506" s="404"/>
      <c r="Q4506" s="404"/>
      <c r="R4506" s="404"/>
      <c r="S4506" s="404"/>
      <c r="T4506" s="404"/>
      <c r="U4506" s="404"/>
      <c r="V4506" s="404"/>
      <c r="W4506" s="404"/>
      <c r="X4506" s="404"/>
      <c r="Y4506" s="404"/>
      <c r="Z4506" s="404"/>
      <c r="AA4506" s="404"/>
      <c r="AB4506" s="404"/>
      <c r="AC4506" s="404"/>
      <c r="AD4506" s="404"/>
      <c r="AE4506" s="404"/>
      <c r="AF4506" s="404"/>
      <c r="AG4506" s="404"/>
      <c r="AH4506" s="404"/>
      <c r="AI4506" s="404"/>
      <c r="AJ4506" s="404"/>
      <c r="AK4506" s="404"/>
      <c r="AL4506" s="404"/>
      <c r="AM4506" s="404"/>
      <c r="AN4506" s="404"/>
      <c r="AO4506" s="404"/>
      <c r="AP4506" s="404"/>
      <c r="AQ4506" s="404"/>
      <c r="AR4506" s="404"/>
      <c r="AS4506" s="404"/>
      <c r="AT4506" s="404"/>
      <c r="AU4506" s="404"/>
      <c r="AV4506" s="404"/>
      <c r="AW4506" s="404"/>
      <c r="AX4506" s="404"/>
      <c r="AY4506" s="404"/>
      <c r="AZ4506" s="404"/>
      <c r="BA4506" s="404"/>
      <c r="BB4506" s="404"/>
      <c r="BC4506" s="404"/>
      <c r="BD4506" s="404"/>
      <c r="BE4506" s="404"/>
      <c r="BF4506" s="404"/>
      <c r="BG4506" s="404"/>
      <c r="BH4506" s="404"/>
      <c r="BI4506" s="404"/>
      <c r="BJ4506" s="404"/>
      <c r="BK4506" s="404"/>
      <c r="BL4506" s="404"/>
    </row>
    <row r="4507" spans="1:64">
      <c r="A4507" s="426"/>
      <c r="B4507" s="426"/>
      <c r="C4507" s="469" t="s">
        <v>1579</v>
      </c>
      <c r="D4507" s="409">
        <f t="shared" si="981"/>
        <v>162.03</v>
      </c>
      <c r="E4507" s="426" t="s">
        <v>833</v>
      </c>
      <c r="F4507" s="409">
        <f>[161]LEAD!$N$10</f>
        <v>61000</v>
      </c>
      <c r="G4507" s="410">
        <v>1</v>
      </c>
      <c r="H4507" s="426" t="s">
        <v>122</v>
      </c>
      <c r="I4507" s="409">
        <f t="shared" si="982"/>
        <v>9883.83</v>
      </c>
      <c r="J4507" s="400"/>
      <c r="K4507" s="401"/>
      <c r="L4507" s="401"/>
      <c r="M4507" s="404"/>
      <c r="N4507" s="404"/>
      <c r="O4507" s="404"/>
      <c r="P4507" s="404"/>
      <c r="Q4507" s="404"/>
      <c r="R4507" s="404"/>
      <c r="S4507" s="404"/>
      <c r="T4507" s="404"/>
      <c r="U4507" s="404"/>
      <c r="V4507" s="404"/>
      <c r="W4507" s="404"/>
      <c r="X4507" s="404"/>
      <c r="Y4507" s="404"/>
      <c r="Z4507" s="404"/>
      <c r="AA4507" s="404"/>
      <c r="AB4507" s="404"/>
      <c r="AC4507" s="404"/>
      <c r="AD4507" s="404"/>
      <c r="AE4507" s="404"/>
      <c r="AF4507" s="404"/>
      <c r="AG4507" s="404"/>
      <c r="AH4507" s="404"/>
      <c r="AI4507" s="404"/>
      <c r="AJ4507" s="404"/>
      <c r="AK4507" s="404"/>
      <c r="AL4507" s="404"/>
      <c r="AM4507" s="404"/>
      <c r="AN4507" s="404"/>
      <c r="AO4507" s="404"/>
      <c r="AP4507" s="404"/>
      <c r="AQ4507" s="404"/>
      <c r="AR4507" s="404"/>
      <c r="AS4507" s="404"/>
      <c r="AT4507" s="404"/>
      <c r="AU4507" s="404"/>
      <c r="AV4507" s="404"/>
      <c r="AW4507" s="404"/>
      <c r="AX4507" s="404"/>
      <c r="AY4507" s="404"/>
      <c r="AZ4507" s="404"/>
      <c r="BA4507" s="404"/>
      <c r="BB4507" s="404"/>
      <c r="BC4507" s="404"/>
      <c r="BD4507" s="404"/>
      <c r="BE4507" s="404"/>
      <c r="BF4507" s="404"/>
      <c r="BG4507" s="404"/>
      <c r="BH4507" s="404"/>
      <c r="BI4507" s="404"/>
      <c r="BJ4507" s="404"/>
      <c r="BK4507" s="404"/>
      <c r="BL4507" s="404"/>
    </row>
    <row r="4508" spans="1:64">
      <c r="A4508" s="426"/>
      <c r="B4508" s="426"/>
      <c r="C4508" s="469" t="s">
        <v>1561</v>
      </c>
      <c r="D4508" s="409">
        <f>H4502+H4503</f>
        <v>48</v>
      </c>
      <c r="E4508" s="426" t="s">
        <v>833</v>
      </c>
      <c r="F4508" s="744">
        <v>50</v>
      </c>
      <c r="G4508" s="410">
        <v>1</v>
      </c>
      <c r="H4508" s="426" t="s">
        <v>833</v>
      </c>
      <c r="I4508" s="409">
        <f t="shared" ref="I4508:I4510" si="983">D4508*F4508</f>
        <v>2400</v>
      </c>
      <c r="J4508" s="400"/>
      <c r="K4508" s="401"/>
      <c r="L4508" s="401"/>
      <c r="M4508" s="404"/>
      <c r="N4508" s="404"/>
      <c r="O4508" s="404"/>
      <c r="P4508" s="404"/>
      <c r="Q4508" s="404"/>
      <c r="R4508" s="404"/>
      <c r="S4508" s="404"/>
      <c r="T4508" s="404"/>
      <c r="U4508" s="404"/>
      <c r="V4508" s="404"/>
      <c r="W4508" s="404"/>
      <c r="X4508" s="404"/>
      <c r="Y4508" s="404"/>
      <c r="Z4508" s="404"/>
      <c r="AA4508" s="404"/>
      <c r="AB4508" s="404"/>
      <c r="AC4508" s="404"/>
      <c r="AD4508" s="404"/>
      <c r="AE4508" s="404"/>
      <c r="AF4508" s="404"/>
      <c r="AG4508" s="404"/>
      <c r="AH4508" s="404"/>
      <c r="AI4508" s="404"/>
      <c r="AJ4508" s="404"/>
      <c r="AK4508" s="404"/>
      <c r="AL4508" s="404"/>
      <c r="AM4508" s="404"/>
      <c r="AN4508" s="404"/>
      <c r="AO4508" s="404"/>
      <c r="AP4508" s="404"/>
      <c r="AQ4508" s="404"/>
      <c r="AR4508" s="404"/>
      <c r="AS4508" s="404"/>
      <c r="AT4508" s="404"/>
      <c r="AU4508" s="404"/>
      <c r="AV4508" s="404"/>
      <c r="AW4508" s="404"/>
      <c r="AX4508" s="404"/>
      <c r="AY4508" s="404"/>
      <c r="AZ4508" s="404"/>
      <c r="BA4508" s="404"/>
      <c r="BB4508" s="404"/>
      <c r="BC4508" s="404"/>
      <c r="BD4508" s="404"/>
      <c r="BE4508" s="404"/>
      <c r="BF4508" s="404"/>
      <c r="BG4508" s="404"/>
      <c r="BH4508" s="404"/>
      <c r="BI4508" s="404"/>
      <c r="BJ4508" s="404"/>
      <c r="BK4508" s="404"/>
      <c r="BL4508" s="404"/>
    </row>
    <row r="4509" spans="1:64">
      <c r="A4509" s="426"/>
      <c r="B4509" s="426"/>
      <c r="C4509" s="469" t="s">
        <v>1580</v>
      </c>
      <c r="D4509" s="410">
        <v>2</v>
      </c>
      <c r="E4509" s="426" t="s">
        <v>375</v>
      </c>
      <c r="F4509" s="409">
        <f>'[161]Civil-SOR'!$G$174</f>
        <v>185</v>
      </c>
      <c r="G4509" s="410">
        <v>1</v>
      </c>
      <c r="H4509" s="426" t="s">
        <v>572</v>
      </c>
      <c r="I4509" s="409">
        <f t="shared" si="983"/>
        <v>370</v>
      </c>
      <c r="J4509" s="400"/>
      <c r="K4509" s="401"/>
      <c r="L4509" s="401"/>
      <c r="M4509" s="404"/>
      <c r="N4509" s="404"/>
      <c r="O4509" s="404"/>
      <c r="P4509" s="404"/>
      <c r="Q4509" s="404"/>
      <c r="R4509" s="404"/>
      <c r="S4509" s="404"/>
      <c r="T4509" s="404"/>
      <c r="U4509" s="404"/>
      <c r="V4509" s="404"/>
      <c r="W4509" s="404"/>
      <c r="X4509" s="404"/>
      <c r="Y4509" s="404"/>
      <c r="Z4509" s="404"/>
      <c r="AA4509" s="404"/>
      <c r="AB4509" s="404"/>
      <c r="AC4509" s="404"/>
      <c r="AD4509" s="404"/>
      <c r="AE4509" s="404"/>
      <c r="AF4509" s="404"/>
      <c r="AG4509" s="404"/>
      <c r="AH4509" s="404"/>
      <c r="AI4509" s="404"/>
      <c r="AJ4509" s="404"/>
      <c r="AK4509" s="404"/>
      <c r="AL4509" s="404"/>
      <c r="AM4509" s="404"/>
      <c r="AN4509" s="404"/>
      <c r="AO4509" s="404"/>
      <c r="AP4509" s="404"/>
      <c r="AQ4509" s="404"/>
      <c r="AR4509" s="404"/>
      <c r="AS4509" s="404"/>
      <c r="AT4509" s="404"/>
      <c r="AU4509" s="404"/>
      <c r="AV4509" s="404"/>
      <c r="AW4509" s="404"/>
      <c r="AX4509" s="404"/>
      <c r="AY4509" s="404"/>
      <c r="AZ4509" s="404"/>
      <c r="BA4509" s="404"/>
      <c r="BB4509" s="404"/>
      <c r="BC4509" s="404"/>
      <c r="BD4509" s="404"/>
      <c r="BE4509" s="404"/>
      <c r="BF4509" s="404"/>
      <c r="BG4509" s="404"/>
      <c r="BH4509" s="404"/>
      <c r="BI4509" s="404"/>
      <c r="BJ4509" s="404"/>
      <c r="BK4509" s="404"/>
      <c r="BL4509" s="404"/>
    </row>
    <row r="4510" spans="1:64">
      <c r="A4510" s="426"/>
      <c r="B4510" s="426"/>
      <c r="C4510" s="469" t="s">
        <v>1581</v>
      </c>
      <c r="D4510" s="410">
        <v>3</v>
      </c>
      <c r="E4510" s="426" t="s">
        <v>375</v>
      </c>
      <c r="F4510" s="744">
        <v>450</v>
      </c>
      <c r="G4510" s="410">
        <v>1</v>
      </c>
      <c r="H4510" s="426" t="s">
        <v>572</v>
      </c>
      <c r="I4510" s="409">
        <f t="shared" si="983"/>
        <v>1350</v>
      </c>
      <c r="J4510" s="400"/>
      <c r="K4510" s="401"/>
      <c r="L4510" s="401"/>
      <c r="M4510" s="404"/>
      <c r="N4510" s="404"/>
      <c r="O4510" s="404"/>
      <c r="P4510" s="404"/>
      <c r="Q4510" s="404"/>
      <c r="R4510" s="404"/>
      <c r="S4510" s="404"/>
      <c r="T4510" s="404"/>
      <c r="U4510" s="404"/>
      <c r="V4510" s="404"/>
      <c r="W4510" s="404"/>
      <c r="X4510" s="404"/>
      <c r="Y4510" s="404"/>
      <c r="Z4510" s="404"/>
      <c r="AA4510" s="404"/>
      <c r="AB4510" s="404"/>
      <c r="AC4510" s="404"/>
      <c r="AD4510" s="404"/>
      <c r="AE4510" s="404"/>
      <c r="AF4510" s="404"/>
      <c r="AG4510" s="404"/>
      <c r="AH4510" s="404"/>
      <c r="AI4510" s="404"/>
      <c r="AJ4510" s="404"/>
      <c r="AK4510" s="404"/>
      <c r="AL4510" s="404"/>
      <c r="AM4510" s="404"/>
      <c r="AN4510" s="404"/>
      <c r="AO4510" s="404"/>
      <c r="AP4510" s="404"/>
      <c r="AQ4510" s="404"/>
      <c r="AR4510" s="404"/>
      <c r="AS4510" s="404"/>
      <c r="AT4510" s="404"/>
      <c r="AU4510" s="404"/>
      <c r="AV4510" s="404"/>
      <c r="AW4510" s="404"/>
      <c r="AX4510" s="404"/>
      <c r="AY4510" s="404"/>
      <c r="AZ4510" s="404"/>
      <c r="BA4510" s="404"/>
      <c r="BB4510" s="404"/>
      <c r="BC4510" s="404"/>
      <c r="BD4510" s="404"/>
      <c r="BE4510" s="404"/>
      <c r="BF4510" s="404"/>
      <c r="BG4510" s="404"/>
      <c r="BH4510" s="404"/>
      <c r="BI4510" s="404"/>
      <c r="BJ4510" s="404"/>
      <c r="BK4510" s="404"/>
      <c r="BL4510" s="404"/>
    </row>
    <row r="4511" spans="1:64">
      <c r="A4511" s="426"/>
      <c r="B4511" s="426"/>
      <c r="C4511" s="469" t="s">
        <v>1582</v>
      </c>
      <c r="D4511" s="426">
        <v>2.25</v>
      </c>
      <c r="E4511" s="426" t="s">
        <v>62</v>
      </c>
      <c r="F4511" s="409">
        <f t="shared" ref="F4511:F4512" si="984">F4484</f>
        <v>677.11</v>
      </c>
      <c r="G4511" s="410">
        <v>10</v>
      </c>
      <c r="H4511" s="426" t="s">
        <v>62</v>
      </c>
      <c r="I4511" s="409">
        <f t="shared" ref="I4511:I4512" si="985">D4511*F4511/10</f>
        <v>152.34975</v>
      </c>
      <c r="J4511" s="400"/>
      <c r="K4511" s="401"/>
      <c r="L4511" s="401"/>
      <c r="M4511" s="404"/>
      <c r="N4511" s="404"/>
      <c r="O4511" s="404"/>
      <c r="P4511" s="404"/>
      <c r="Q4511" s="404"/>
      <c r="R4511" s="404"/>
      <c r="S4511" s="404"/>
      <c r="T4511" s="404"/>
      <c r="U4511" s="404"/>
      <c r="V4511" s="404"/>
      <c r="W4511" s="404"/>
      <c r="X4511" s="404"/>
      <c r="Y4511" s="404"/>
      <c r="Z4511" s="404"/>
      <c r="AA4511" s="404"/>
      <c r="AB4511" s="404"/>
      <c r="AC4511" s="404"/>
      <c r="AD4511" s="404"/>
      <c r="AE4511" s="404"/>
      <c r="AF4511" s="404"/>
      <c r="AG4511" s="404"/>
      <c r="AH4511" s="404"/>
      <c r="AI4511" s="404"/>
      <c r="AJ4511" s="404"/>
      <c r="AK4511" s="404"/>
      <c r="AL4511" s="404"/>
      <c r="AM4511" s="404"/>
      <c r="AN4511" s="404"/>
      <c r="AO4511" s="404"/>
      <c r="AP4511" s="404"/>
      <c r="AQ4511" s="404"/>
      <c r="AR4511" s="404"/>
      <c r="AS4511" s="404"/>
      <c r="AT4511" s="404"/>
      <c r="AU4511" s="404"/>
      <c r="AV4511" s="404"/>
      <c r="AW4511" s="404"/>
      <c r="AX4511" s="404"/>
      <c r="AY4511" s="404"/>
      <c r="AZ4511" s="404"/>
      <c r="BA4511" s="404"/>
      <c r="BB4511" s="404"/>
      <c r="BC4511" s="404"/>
      <c r="BD4511" s="404"/>
      <c r="BE4511" s="404"/>
      <c r="BF4511" s="404"/>
      <c r="BG4511" s="404"/>
      <c r="BH4511" s="404"/>
      <c r="BI4511" s="404"/>
      <c r="BJ4511" s="404"/>
      <c r="BK4511" s="404"/>
      <c r="BL4511" s="404"/>
    </row>
    <row r="4512" spans="1:64">
      <c r="A4512" s="426"/>
      <c r="B4512" s="426"/>
      <c r="C4512" s="469" t="s">
        <v>1583</v>
      </c>
      <c r="D4512" s="426">
        <v>2.25</v>
      </c>
      <c r="E4512" s="426" t="s">
        <v>62</v>
      </c>
      <c r="F4512" s="409">
        <f t="shared" si="984"/>
        <v>1143.23</v>
      </c>
      <c r="G4512" s="410">
        <v>10</v>
      </c>
      <c r="H4512" s="426" t="s">
        <v>62</v>
      </c>
      <c r="I4512" s="409">
        <f t="shared" si="985"/>
        <v>257.22674999999998</v>
      </c>
      <c r="J4512" s="400"/>
      <c r="K4512" s="401"/>
      <c r="L4512" s="401"/>
      <c r="M4512" s="404"/>
      <c r="N4512" s="404"/>
      <c r="O4512" s="404"/>
      <c r="P4512" s="404"/>
      <c r="Q4512" s="404"/>
      <c r="R4512" s="404"/>
      <c r="S4512" s="404"/>
      <c r="T4512" s="404"/>
      <c r="U4512" s="404"/>
      <c r="V4512" s="404"/>
      <c r="W4512" s="404"/>
      <c r="X4512" s="404"/>
      <c r="Y4512" s="404"/>
      <c r="Z4512" s="404"/>
      <c r="AA4512" s="404"/>
      <c r="AB4512" s="404"/>
      <c r="AC4512" s="404"/>
      <c r="AD4512" s="404"/>
      <c r="AE4512" s="404"/>
      <c r="AF4512" s="404"/>
      <c r="AG4512" s="404"/>
      <c r="AH4512" s="404"/>
      <c r="AI4512" s="404"/>
      <c r="AJ4512" s="404"/>
      <c r="AK4512" s="404"/>
      <c r="AL4512" s="404"/>
      <c r="AM4512" s="404"/>
      <c r="AN4512" s="404"/>
      <c r="AO4512" s="404"/>
      <c r="AP4512" s="404"/>
      <c r="AQ4512" s="404"/>
      <c r="AR4512" s="404"/>
      <c r="AS4512" s="404"/>
      <c r="AT4512" s="404"/>
      <c r="AU4512" s="404"/>
      <c r="AV4512" s="404"/>
      <c r="AW4512" s="404"/>
      <c r="AX4512" s="404"/>
      <c r="AY4512" s="404"/>
      <c r="AZ4512" s="404"/>
      <c r="BA4512" s="404"/>
      <c r="BB4512" s="404"/>
      <c r="BC4512" s="404"/>
      <c r="BD4512" s="404"/>
      <c r="BE4512" s="404"/>
      <c r="BF4512" s="404"/>
      <c r="BG4512" s="404"/>
      <c r="BH4512" s="404"/>
      <c r="BI4512" s="404"/>
      <c r="BJ4512" s="404"/>
      <c r="BK4512" s="404"/>
      <c r="BL4512" s="404"/>
    </row>
    <row r="4513" spans="1:64">
      <c r="A4513" s="426"/>
      <c r="B4513" s="426"/>
      <c r="C4513" s="469" t="s">
        <v>1330</v>
      </c>
      <c r="D4513" s="409">
        <f>SUM(D4505:D4507)</f>
        <v>244.59</v>
      </c>
      <c r="E4513" s="426" t="s">
        <v>833</v>
      </c>
      <c r="F4513" s="409">
        <f>'[161]Civil-SOR'!$G$202</f>
        <v>37</v>
      </c>
      <c r="G4513" s="410">
        <v>1</v>
      </c>
      <c r="H4513" s="426" t="s">
        <v>312</v>
      </c>
      <c r="I4513" s="409">
        <f t="shared" ref="I4513:I4515" si="986">D4513*F4513</f>
        <v>9049.83</v>
      </c>
      <c r="J4513" s="400"/>
      <c r="K4513" s="401"/>
      <c r="L4513" s="401"/>
      <c r="M4513" s="404"/>
      <c r="N4513" s="404"/>
      <c r="O4513" s="404"/>
      <c r="P4513" s="404"/>
      <c r="Q4513" s="404"/>
      <c r="R4513" s="404"/>
      <c r="S4513" s="404"/>
      <c r="T4513" s="404"/>
      <c r="U4513" s="404"/>
      <c r="V4513" s="404"/>
      <c r="W4513" s="404"/>
      <c r="X4513" s="404"/>
      <c r="Y4513" s="404"/>
      <c r="Z4513" s="404"/>
      <c r="AA4513" s="404"/>
      <c r="AB4513" s="404"/>
      <c r="AC4513" s="404"/>
      <c r="AD4513" s="404"/>
      <c r="AE4513" s="404"/>
      <c r="AF4513" s="404"/>
      <c r="AG4513" s="404"/>
      <c r="AH4513" s="404"/>
      <c r="AI4513" s="404"/>
      <c r="AJ4513" s="404"/>
      <c r="AK4513" s="404"/>
      <c r="AL4513" s="404"/>
      <c r="AM4513" s="404"/>
      <c r="AN4513" s="404"/>
      <c r="AO4513" s="404"/>
      <c r="AP4513" s="404"/>
      <c r="AQ4513" s="404"/>
      <c r="AR4513" s="404"/>
      <c r="AS4513" s="404"/>
      <c r="AT4513" s="404"/>
      <c r="AU4513" s="404"/>
      <c r="AV4513" s="404"/>
      <c r="AW4513" s="404"/>
      <c r="AX4513" s="404"/>
      <c r="AY4513" s="404"/>
      <c r="AZ4513" s="404"/>
      <c r="BA4513" s="404"/>
      <c r="BB4513" s="404"/>
      <c r="BC4513" s="404"/>
      <c r="BD4513" s="404"/>
      <c r="BE4513" s="404"/>
      <c r="BF4513" s="404"/>
      <c r="BG4513" s="404"/>
      <c r="BH4513" s="404"/>
      <c r="BI4513" s="404"/>
      <c r="BJ4513" s="404"/>
      <c r="BK4513" s="404"/>
      <c r="BL4513" s="404"/>
    </row>
    <row r="4514" spans="1:64">
      <c r="A4514" s="426"/>
      <c r="B4514" s="426"/>
      <c r="C4514" s="469" t="s">
        <v>1568</v>
      </c>
      <c r="D4514" s="409">
        <f>D4513</f>
        <v>244.59</v>
      </c>
      <c r="E4514" s="426" t="s">
        <v>833</v>
      </c>
      <c r="F4514" s="409">
        <f>'[161]Civil-SOR'!$G$203</f>
        <v>6</v>
      </c>
      <c r="G4514" s="410">
        <v>1</v>
      </c>
      <c r="H4514" s="426" t="s">
        <v>312</v>
      </c>
      <c r="I4514" s="409">
        <f t="shared" si="986"/>
        <v>1467.54</v>
      </c>
      <c r="J4514" s="400"/>
      <c r="K4514" s="401"/>
      <c r="L4514" s="401"/>
      <c r="M4514" s="404"/>
      <c r="N4514" s="404"/>
      <c r="O4514" s="404"/>
      <c r="P4514" s="404"/>
      <c r="Q4514" s="404"/>
      <c r="R4514" s="404"/>
      <c r="S4514" s="404"/>
      <c r="T4514" s="404"/>
      <c r="U4514" s="404"/>
      <c r="V4514" s="404"/>
      <c r="W4514" s="404"/>
      <c r="X4514" s="404"/>
      <c r="Y4514" s="404"/>
      <c r="Z4514" s="404"/>
      <c r="AA4514" s="404"/>
      <c r="AB4514" s="404"/>
      <c r="AC4514" s="404"/>
      <c r="AD4514" s="404"/>
      <c r="AE4514" s="404"/>
      <c r="AF4514" s="404"/>
      <c r="AG4514" s="404"/>
      <c r="AH4514" s="404"/>
      <c r="AI4514" s="404"/>
      <c r="AJ4514" s="404"/>
      <c r="AK4514" s="404"/>
      <c r="AL4514" s="404"/>
      <c r="AM4514" s="404"/>
      <c r="AN4514" s="404"/>
      <c r="AO4514" s="404"/>
      <c r="AP4514" s="404"/>
      <c r="AQ4514" s="404"/>
      <c r="AR4514" s="404"/>
      <c r="AS4514" s="404"/>
      <c r="AT4514" s="404"/>
      <c r="AU4514" s="404"/>
      <c r="AV4514" s="404"/>
      <c r="AW4514" s="404"/>
      <c r="AX4514" s="404"/>
      <c r="AY4514" s="404"/>
      <c r="AZ4514" s="404"/>
      <c r="BA4514" s="404"/>
      <c r="BB4514" s="404"/>
      <c r="BC4514" s="404"/>
      <c r="BD4514" s="404"/>
      <c r="BE4514" s="404"/>
      <c r="BF4514" s="404"/>
      <c r="BG4514" s="404"/>
      <c r="BH4514" s="404"/>
      <c r="BI4514" s="404"/>
      <c r="BJ4514" s="404"/>
      <c r="BK4514" s="404"/>
      <c r="BL4514" s="404"/>
    </row>
    <row r="4515" spans="1:64">
      <c r="A4515" s="426"/>
      <c r="B4515" s="426"/>
      <c r="C4515" s="417" t="str">
        <f>[161]Input!$C$47</f>
        <v>Add for MA @ 40%</v>
      </c>
      <c r="D4515" s="409">
        <f>[161]Input!$D$47</f>
        <v>0.4</v>
      </c>
      <c r="E4515" s="426"/>
      <c r="F4515" s="409">
        <f>I4513*40%+I4514</f>
        <v>5087.4719999999998</v>
      </c>
      <c r="G4515" s="410"/>
      <c r="H4515" s="426"/>
      <c r="I4515" s="409">
        <f t="shared" si="986"/>
        <v>2034.9888000000001</v>
      </c>
      <c r="J4515" s="400"/>
      <c r="K4515" s="401"/>
      <c r="L4515" s="401"/>
      <c r="M4515" s="404"/>
      <c r="N4515" s="404"/>
      <c r="O4515" s="404"/>
      <c r="P4515" s="404"/>
      <c r="Q4515" s="404"/>
      <c r="R4515" s="404"/>
      <c r="S4515" s="404"/>
      <c r="T4515" s="404"/>
      <c r="U4515" s="404"/>
      <c r="V4515" s="404"/>
      <c r="W4515" s="404"/>
      <c r="X4515" s="404"/>
      <c r="Y4515" s="404"/>
      <c r="Z4515" s="404"/>
      <c r="AA4515" s="404"/>
      <c r="AB4515" s="404"/>
      <c r="AC4515" s="404"/>
      <c r="AD4515" s="404"/>
      <c r="AE4515" s="404"/>
      <c r="AF4515" s="404"/>
      <c r="AG4515" s="404"/>
      <c r="AH4515" s="404"/>
      <c r="AI4515" s="404"/>
      <c r="AJ4515" s="404"/>
      <c r="AK4515" s="404"/>
      <c r="AL4515" s="404"/>
      <c r="AM4515" s="404"/>
      <c r="AN4515" s="404"/>
      <c r="AO4515" s="404"/>
      <c r="AP4515" s="404"/>
      <c r="AQ4515" s="404"/>
      <c r="AR4515" s="404"/>
      <c r="AS4515" s="404"/>
      <c r="AT4515" s="404"/>
      <c r="AU4515" s="404"/>
      <c r="AV4515" s="404"/>
      <c r="AW4515" s="404"/>
      <c r="AX4515" s="404"/>
      <c r="AY4515" s="404"/>
      <c r="AZ4515" s="404"/>
      <c r="BA4515" s="404"/>
      <c r="BB4515" s="404"/>
      <c r="BC4515" s="404"/>
      <c r="BD4515" s="404"/>
      <c r="BE4515" s="404"/>
      <c r="BF4515" s="404"/>
      <c r="BG4515" s="404"/>
      <c r="BH4515" s="404"/>
      <c r="BI4515" s="404"/>
      <c r="BJ4515" s="404"/>
      <c r="BK4515" s="404"/>
      <c r="BL4515" s="404"/>
    </row>
    <row r="4516" spans="1:64">
      <c r="A4516" s="426"/>
      <c r="B4516" s="426"/>
      <c r="C4516" s="469" t="s">
        <v>1571</v>
      </c>
      <c r="D4516" s="426"/>
      <c r="E4516" s="426"/>
      <c r="F4516" s="426"/>
      <c r="G4516" s="410"/>
      <c r="H4516" s="426"/>
      <c r="I4516" s="409">
        <v>220.11</v>
      </c>
      <c r="J4516" s="400"/>
      <c r="K4516" s="401"/>
      <c r="L4516" s="401"/>
      <c r="M4516" s="404"/>
      <c r="N4516" s="404"/>
      <c r="O4516" s="404"/>
      <c r="P4516" s="404"/>
      <c r="Q4516" s="404"/>
      <c r="R4516" s="404"/>
      <c r="S4516" s="404"/>
      <c r="T4516" s="404"/>
      <c r="U4516" s="404"/>
      <c r="V4516" s="404"/>
      <c r="W4516" s="404"/>
      <c r="X4516" s="404"/>
      <c r="Y4516" s="404"/>
      <c r="Z4516" s="404"/>
      <c r="AA4516" s="404"/>
      <c r="AB4516" s="404"/>
      <c r="AC4516" s="404"/>
      <c r="AD4516" s="404"/>
      <c r="AE4516" s="404"/>
      <c r="AF4516" s="404"/>
      <c r="AG4516" s="404"/>
      <c r="AH4516" s="404"/>
      <c r="AI4516" s="404"/>
      <c r="AJ4516" s="404"/>
      <c r="AK4516" s="404"/>
      <c r="AL4516" s="404"/>
      <c r="AM4516" s="404"/>
      <c r="AN4516" s="404"/>
      <c r="AO4516" s="404"/>
      <c r="AP4516" s="404"/>
      <c r="AQ4516" s="404"/>
      <c r="AR4516" s="404"/>
      <c r="AS4516" s="404"/>
      <c r="AT4516" s="404"/>
      <c r="AU4516" s="404"/>
      <c r="AV4516" s="404"/>
      <c r="AW4516" s="404"/>
      <c r="AX4516" s="404"/>
      <c r="AY4516" s="404"/>
      <c r="AZ4516" s="404"/>
      <c r="BA4516" s="404"/>
      <c r="BB4516" s="404"/>
      <c r="BC4516" s="404"/>
      <c r="BD4516" s="404"/>
      <c r="BE4516" s="404"/>
      <c r="BF4516" s="404"/>
      <c r="BG4516" s="404"/>
      <c r="BH4516" s="404"/>
      <c r="BI4516" s="404"/>
      <c r="BJ4516" s="404"/>
      <c r="BK4516" s="404"/>
      <c r="BL4516" s="404"/>
    </row>
    <row r="4517" spans="1:64">
      <c r="A4517" s="426"/>
      <c r="B4517" s="426"/>
      <c r="C4517" s="469"/>
      <c r="D4517" s="426"/>
      <c r="E4517" s="426"/>
      <c r="F4517" s="426"/>
      <c r="G4517" s="410"/>
      <c r="H4517" s="426"/>
      <c r="I4517" s="409">
        <f>SUM(I4505:I4516)</f>
        <v>32243.395300000004</v>
      </c>
      <c r="J4517" s="400"/>
      <c r="K4517" s="401"/>
      <c r="L4517" s="401"/>
      <c r="M4517" s="404"/>
      <c r="N4517" s="404"/>
      <c r="O4517" s="404"/>
      <c r="P4517" s="404"/>
      <c r="Q4517" s="404"/>
      <c r="R4517" s="404"/>
      <c r="S4517" s="404"/>
      <c r="T4517" s="404"/>
      <c r="U4517" s="404"/>
      <c r="V4517" s="404"/>
      <c r="W4517" s="404"/>
      <c r="X4517" s="404"/>
      <c r="Y4517" s="404"/>
      <c r="Z4517" s="404"/>
      <c r="AA4517" s="404"/>
      <c r="AB4517" s="404"/>
      <c r="AC4517" s="404"/>
      <c r="AD4517" s="404"/>
      <c r="AE4517" s="404"/>
      <c r="AF4517" s="404"/>
      <c r="AG4517" s="404"/>
      <c r="AH4517" s="404"/>
      <c r="AI4517" s="404"/>
      <c r="AJ4517" s="404"/>
      <c r="AK4517" s="404"/>
      <c r="AL4517" s="404"/>
      <c r="AM4517" s="404"/>
      <c r="AN4517" s="404"/>
      <c r="AO4517" s="404"/>
      <c r="AP4517" s="404"/>
      <c r="AQ4517" s="404"/>
      <c r="AR4517" s="404"/>
      <c r="AS4517" s="404"/>
      <c r="AT4517" s="404"/>
      <c r="AU4517" s="404"/>
      <c r="AV4517" s="404"/>
      <c r="AW4517" s="404"/>
      <c r="AX4517" s="404"/>
      <c r="AY4517" s="404"/>
      <c r="AZ4517" s="404"/>
      <c r="BA4517" s="404"/>
      <c r="BB4517" s="404"/>
      <c r="BC4517" s="404"/>
      <c r="BD4517" s="404"/>
      <c r="BE4517" s="404"/>
      <c r="BF4517" s="404"/>
      <c r="BG4517" s="404"/>
      <c r="BH4517" s="404"/>
      <c r="BI4517" s="404"/>
      <c r="BJ4517" s="404"/>
      <c r="BK4517" s="404"/>
      <c r="BL4517" s="404"/>
    </row>
    <row r="4518" spans="1:64" ht="25">
      <c r="A4518" s="426"/>
      <c r="B4518" s="426"/>
      <c r="C4518" s="417" t="str">
        <f>[161]Input!$C$48</f>
        <v>Overheads &amp; Contractors Profit @ 13.615%</v>
      </c>
      <c r="D4518" s="494">
        <f>[161]Input!$D$48</f>
        <v>0.13614999999999999</v>
      </c>
      <c r="E4518" s="426"/>
      <c r="F4518" s="409">
        <f>I4517</f>
        <v>32243.395300000004</v>
      </c>
      <c r="G4518" s="410"/>
      <c r="H4518" s="426"/>
      <c r="I4518" s="409">
        <f>D4518*F4518</f>
        <v>4389.938270095</v>
      </c>
      <c r="J4518" s="400"/>
      <c r="K4518" s="401"/>
      <c r="L4518" s="401"/>
      <c r="M4518" s="404"/>
      <c r="N4518" s="404"/>
      <c r="O4518" s="404"/>
      <c r="P4518" s="404"/>
      <c r="Q4518" s="404"/>
      <c r="R4518" s="404"/>
      <c r="S4518" s="404"/>
      <c r="T4518" s="404"/>
      <c r="U4518" s="404"/>
      <c r="V4518" s="404"/>
      <c r="W4518" s="404"/>
      <c r="X4518" s="404"/>
      <c r="Y4518" s="404"/>
      <c r="Z4518" s="404"/>
      <c r="AA4518" s="404"/>
      <c r="AB4518" s="404"/>
      <c r="AC4518" s="404"/>
      <c r="AD4518" s="404"/>
      <c r="AE4518" s="404"/>
      <c r="AF4518" s="404"/>
      <c r="AG4518" s="404"/>
      <c r="AH4518" s="404"/>
      <c r="AI4518" s="404"/>
      <c r="AJ4518" s="404"/>
      <c r="AK4518" s="404"/>
      <c r="AL4518" s="404"/>
      <c r="AM4518" s="404"/>
      <c r="AN4518" s="404"/>
      <c r="AO4518" s="404"/>
      <c r="AP4518" s="404"/>
      <c r="AQ4518" s="404"/>
      <c r="AR4518" s="404"/>
      <c r="AS4518" s="404"/>
      <c r="AT4518" s="404"/>
      <c r="AU4518" s="404"/>
      <c r="AV4518" s="404"/>
      <c r="AW4518" s="404"/>
      <c r="AX4518" s="404"/>
      <c r="AY4518" s="404"/>
      <c r="AZ4518" s="404"/>
      <c r="BA4518" s="404"/>
      <c r="BB4518" s="404"/>
      <c r="BC4518" s="404"/>
      <c r="BD4518" s="404"/>
      <c r="BE4518" s="404"/>
      <c r="BF4518" s="404"/>
      <c r="BG4518" s="404"/>
      <c r="BH4518" s="404"/>
      <c r="BI4518" s="404"/>
      <c r="BJ4518" s="404"/>
      <c r="BK4518" s="404"/>
      <c r="BL4518" s="404"/>
    </row>
    <row r="4519" spans="1:64" ht="13">
      <c r="A4519" s="426"/>
      <c r="B4519" s="426"/>
      <c r="C4519" s="455" t="s">
        <v>1584</v>
      </c>
      <c r="D4519" s="426"/>
      <c r="E4519" s="426"/>
      <c r="F4519" s="426"/>
      <c r="G4519" s="410"/>
      <c r="H4519" s="426"/>
      <c r="I4519" s="409">
        <f>SUM(I4517:I4518)</f>
        <v>36633.333570095005</v>
      </c>
      <c r="J4519" s="400"/>
      <c r="K4519" s="401"/>
      <c r="L4519" s="401"/>
      <c r="M4519" s="404"/>
      <c r="N4519" s="404"/>
      <c r="O4519" s="404"/>
      <c r="P4519" s="404"/>
      <c r="Q4519" s="404"/>
      <c r="R4519" s="404"/>
      <c r="S4519" s="404"/>
      <c r="T4519" s="404"/>
      <c r="U4519" s="404"/>
      <c r="V4519" s="404"/>
      <c r="W4519" s="404"/>
      <c r="X4519" s="404"/>
      <c r="Y4519" s="404"/>
      <c r="Z4519" s="404"/>
      <c r="AA4519" s="404"/>
      <c r="AB4519" s="404"/>
      <c r="AC4519" s="404"/>
      <c r="AD4519" s="404"/>
      <c r="AE4519" s="404"/>
      <c r="AF4519" s="404"/>
      <c r="AG4519" s="404"/>
      <c r="AH4519" s="404"/>
      <c r="AI4519" s="404"/>
      <c r="AJ4519" s="404"/>
      <c r="AK4519" s="404"/>
      <c r="AL4519" s="404"/>
      <c r="AM4519" s="404"/>
      <c r="AN4519" s="404"/>
      <c r="AO4519" s="404"/>
      <c r="AP4519" s="404"/>
      <c r="AQ4519" s="404"/>
      <c r="AR4519" s="404"/>
      <c r="AS4519" s="404"/>
      <c r="AT4519" s="404"/>
      <c r="AU4519" s="404"/>
      <c r="AV4519" s="404"/>
      <c r="AW4519" s="404"/>
      <c r="AX4519" s="404"/>
      <c r="AY4519" s="404"/>
      <c r="AZ4519" s="404"/>
      <c r="BA4519" s="404"/>
      <c r="BB4519" s="404"/>
      <c r="BC4519" s="404"/>
      <c r="BD4519" s="404"/>
      <c r="BE4519" s="404"/>
      <c r="BF4519" s="404"/>
      <c r="BG4519" s="404"/>
      <c r="BH4519" s="404"/>
      <c r="BI4519" s="404"/>
      <c r="BJ4519" s="404"/>
      <c r="BK4519" s="404"/>
      <c r="BL4519" s="404"/>
    </row>
    <row r="4520" spans="1:64" ht="13">
      <c r="A4520" s="426"/>
      <c r="B4520" s="426"/>
      <c r="C4520" s="455" t="s">
        <v>1585</v>
      </c>
      <c r="D4520" s="426"/>
      <c r="E4520" s="426"/>
      <c r="F4520" s="426"/>
      <c r="G4520" s="410"/>
      <c r="H4520" s="426"/>
      <c r="I4520" s="409">
        <f>I4519/4.5</f>
        <v>8140.7407933544455</v>
      </c>
      <c r="J4520" s="400"/>
      <c r="K4520" s="401"/>
      <c r="L4520" s="401"/>
      <c r="M4520" s="404"/>
      <c r="N4520" s="404"/>
      <c r="O4520" s="404"/>
      <c r="P4520" s="404"/>
      <c r="Q4520" s="404"/>
      <c r="R4520" s="404"/>
      <c r="S4520" s="404"/>
      <c r="T4520" s="404"/>
      <c r="U4520" s="404"/>
      <c r="V4520" s="404"/>
      <c r="W4520" s="404"/>
      <c r="X4520" s="404"/>
      <c r="Y4520" s="404"/>
      <c r="Z4520" s="404"/>
      <c r="AA4520" s="404"/>
      <c r="AB4520" s="404"/>
      <c r="AC4520" s="404"/>
      <c r="AD4520" s="404"/>
      <c r="AE4520" s="404"/>
      <c r="AF4520" s="404"/>
      <c r="AG4520" s="404"/>
      <c r="AH4520" s="404"/>
      <c r="AI4520" s="404"/>
      <c r="AJ4520" s="404"/>
      <c r="AK4520" s="404"/>
      <c r="AL4520" s="404"/>
      <c r="AM4520" s="404"/>
      <c r="AN4520" s="404"/>
      <c r="AO4520" s="404"/>
      <c r="AP4520" s="404"/>
      <c r="AQ4520" s="404"/>
      <c r="AR4520" s="404"/>
      <c r="AS4520" s="404"/>
      <c r="AT4520" s="404"/>
      <c r="AU4520" s="404"/>
      <c r="AV4520" s="404"/>
      <c r="AW4520" s="404"/>
      <c r="AX4520" s="404"/>
      <c r="AY4520" s="404"/>
      <c r="AZ4520" s="404"/>
      <c r="BA4520" s="404"/>
      <c r="BB4520" s="404"/>
      <c r="BC4520" s="404"/>
      <c r="BD4520" s="404"/>
      <c r="BE4520" s="404"/>
      <c r="BF4520" s="404"/>
      <c r="BG4520" s="404"/>
      <c r="BH4520" s="404"/>
      <c r="BI4520" s="404"/>
      <c r="BJ4520" s="404"/>
      <c r="BK4520" s="404"/>
      <c r="BL4520" s="404"/>
    </row>
    <row r="4521" spans="1:64" ht="13">
      <c r="A4521" s="426"/>
      <c r="B4521" s="426"/>
      <c r="C4521" s="469"/>
      <c r="D4521" s="426"/>
      <c r="E4521" s="426"/>
      <c r="F4521" s="426"/>
      <c r="G4521" s="410"/>
      <c r="H4521" s="426" t="s">
        <v>774</v>
      </c>
      <c r="I4521" s="434">
        <f>ROUND(I4520,0)</f>
        <v>8141</v>
      </c>
      <c r="J4521" s="400"/>
      <c r="K4521" s="401"/>
      <c r="L4521" s="401"/>
      <c r="M4521" s="404"/>
      <c r="N4521" s="404"/>
      <c r="O4521" s="404"/>
      <c r="P4521" s="404"/>
      <c r="Q4521" s="404"/>
      <c r="R4521" s="404"/>
      <c r="S4521" s="404"/>
      <c r="T4521" s="404"/>
      <c r="U4521" s="404"/>
      <c r="V4521" s="404"/>
      <c r="W4521" s="404"/>
      <c r="X4521" s="404"/>
      <c r="Y4521" s="404"/>
      <c r="Z4521" s="404"/>
      <c r="AA4521" s="404"/>
      <c r="AB4521" s="404"/>
      <c r="AC4521" s="404"/>
      <c r="AD4521" s="404"/>
      <c r="AE4521" s="404"/>
      <c r="AF4521" s="404"/>
      <c r="AG4521" s="404"/>
      <c r="AH4521" s="404"/>
      <c r="AI4521" s="404"/>
      <c r="AJ4521" s="404"/>
      <c r="AK4521" s="404"/>
      <c r="AL4521" s="404"/>
      <c r="AM4521" s="404"/>
      <c r="AN4521" s="404"/>
      <c r="AO4521" s="404"/>
      <c r="AP4521" s="404"/>
      <c r="AQ4521" s="404"/>
      <c r="AR4521" s="404"/>
      <c r="AS4521" s="404"/>
      <c r="AT4521" s="404"/>
      <c r="AU4521" s="404"/>
      <c r="AV4521" s="404"/>
      <c r="AW4521" s="404"/>
      <c r="AX4521" s="404"/>
      <c r="AY4521" s="404"/>
      <c r="AZ4521" s="404"/>
      <c r="BA4521" s="404"/>
      <c r="BB4521" s="404"/>
      <c r="BC4521" s="404"/>
      <c r="BD4521" s="404"/>
      <c r="BE4521" s="404"/>
      <c r="BF4521" s="404"/>
      <c r="BG4521" s="404"/>
      <c r="BH4521" s="404"/>
      <c r="BI4521" s="404"/>
      <c r="BJ4521" s="404"/>
      <c r="BK4521" s="404"/>
      <c r="BL4521" s="404"/>
    </row>
    <row r="4522" spans="1:64">
      <c r="A4522" s="426"/>
      <c r="B4522" s="426"/>
      <c r="C4522" s="417"/>
      <c r="D4522" s="409"/>
      <c r="E4522" s="426"/>
      <c r="F4522" s="409"/>
      <c r="G4522" s="410"/>
      <c r="H4522" s="426"/>
      <c r="I4522" s="409"/>
      <c r="J4522" s="400"/>
      <c r="K4522" s="401"/>
      <c r="L4522" s="401"/>
      <c r="M4522" s="404"/>
      <c r="N4522" s="404"/>
      <c r="O4522" s="404"/>
      <c r="P4522" s="404"/>
      <c r="Q4522" s="404"/>
      <c r="R4522" s="404"/>
      <c r="S4522" s="404"/>
      <c r="T4522" s="404"/>
      <c r="U4522" s="404"/>
      <c r="V4522" s="404"/>
      <c r="W4522" s="404"/>
      <c r="X4522" s="404"/>
      <c r="Y4522" s="404"/>
      <c r="Z4522" s="404"/>
      <c r="AA4522" s="404"/>
      <c r="AB4522" s="404"/>
      <c r="AC4522" s="404"/>
      <c r="AD4522" s="404"/>
      <c r="AE4522" s="404"/>
      <c r="AF4522" s="404"/>
      <c r="AG4522" s="404"/>
      <c r="AH4522" s="404"/>
      <c r="AI4522" s="404"/>
      <c r="AJ4522" s="404"/>
      <c r="AK4522" s="404"/>
      <c r="AL4522" s="404"/>
      <c r="AM4522" s="404"/>
      <c r="AN4522" s="404"/>
      <c r="AO4522" s="404"/>
      <c r="AP4522" s="404"/>
      <c r="AQ4522" s="404"/>
      <c r="AR4522" s="404"/>
      <c r="AS4522" s="404"/>
      <c r="AT4522" s="404"/>
      <c r="AU4522" s="404"/>
      <c r="AV4522" s="404"/>
      <c r="AW4522" s="404"/>
      <c r="AX4522" s="404"/>
      <c r="AY4522" s="404"/>
      <c r="AZ4522" s="404"/>
      <c r="BA4522" s="404"/>
      <c r="BB4522" s="404"/>
      <c r="BC4522" s="404"/>
      <c r="BD4522" s="404"/>
      <c r="BE4522" s="404"/>
      <c r="BF4522" s="404"/>
      <c r="BG4522" s="404"/>
      <c r="BH4522" s="404"/>
      <c r="BI4522" s="404"/>
      <c r="BJ4522" s="404"/>
      <c r="BK4522" s="404"/>
      <c r="BL4522" s="404"/>
    </row>
    <row r="4523" spans="1:64" ht="115" customHeight="1">
      <c r="A4523" s="1280">
        <f>A4497+1</f>
        <v>34</v>
      </c>
      <c r="B4523" s="1280"/>
      <c r="C4523" s="1276" t="s">
        <v>1586</v>
      </c>
      <c r="D4523" s="1276"/>
      <c r="E4523" s="1276"/>
      <c r="F4523" s="1276"/>
      <c r="G4523" s="1276"/>
      <c r="H4523" s="1276"/>
      <c r="I4523" s="1276"/>
      <c r="J4523" s="400"/>
      <c r="K4523" s="401"/>
      <c r="L4523" s="401"/>
      <c r="M4523" s="404"/>
      <c r="N4523" s="404"/>
      <c r="O4523" s="404"/>
      <c r="P4523" s="404"/>
      <c r="Q4523" s="404"/>
      <c r="R4523" s="404"/>
      <c r="S4523" s="404"/>
      <c r="T4523" s="404"/>
      <c r="U4523" s="404"/>
      <c r="V4523" s="404"/>
      <c r="W4523" s="404"/>
      <c r="X4523" s="404"/>
      <c r="Y4523" s="404"/>
      <c r="Z4523" s="404"/>
      <c r="AA4523" s="404"/>
      <c r="AB4523" s="404"/>
      <c r="AC4523" s="404"/>
      <c r="AD4523" s="404"/>
      <c r="AE4523" s="404"/>
      <c r="AF4523" s="404"/>
      <c r="AG4523" s="404"/>
      <c r="AH4523" s="404"/>
      <c r="AI4523" s="404"/>
      <c r="AJ4523" s="404"/>
      <c r="AK4523" s="404"/>
      <c r="AL4523" s="404"/>
      <c r="AM4523" s="404"/>
      <c r="AN4523" s="404"/>
      <c r="AO4523" s="404"/>
      <c r="AP4523" s="404"/>
      <c r="AQ4523" s="404"/>
      <c r="AR4523" s="404"/>
      <c r="AS4523" s="404"/>
      <c r="AT4523" s="404"/>
      <c r="AU4523" s="404"/>
      <c r="AV4523" s="404"/>
      <c r="AW4523" s="404"/>
      <c r="AX4523" s="404"/>
      <c r="AY4523" s="404"/>
      <c r="AZ4523" s="404"/>
      <c r="BA4523" s="404"/>
      <c r="BB4523" s="404"/>
      <c r="BC4523" s="404"/>
      <c r="BD4523" s="404"/>
      <c r="BE4523" s="404"/>
      <c r="BF4523" s="404"/>
      <c r="BG4523" s="404"/>
      <c r="BH4523" s="404"/>
      <c r="BI4523" s="404"/>
      <c r="BJ4523" s="404"/>
      <c r="BK4523" s="404"/>
      <c r="BL4523" s="404"/>
    </row>
    <row r="4524" spans="1:64">
      <c r="A4524" s="426"/>
      <c r="B4524" s="426"/>
      <c r="C4524" s="445" t="s">
        <v>1587</v>
      </c>
      <c r="D4524" s="406">
        <f>3.74*1.45</f>
        <v>5.423</v>
      </c>
      <c r="E4524" s="406" t="s">
        <v>62</v>
      </c>
      <c r="F4524" s="406"/>
      <c r="G4524" s="406"/>
      <c r="H4524" s="406"/>
      <c r="I4524" s="432"/>
      <c r="J4524" s="400"/>
      <c r="K4524" s="401"/>
      <c r="L4524" s="401"/>
      <c r="M4524" s="404"/>
      <c r="N4524" s="404"/>
      <c r="O4524" s="404"/>
      <c r="P4524" s="404"/>
      <c r="Q4524" s="404"/>
      <c r="R4524" s="404"/>
      <c r="S4524" s="404"/>
      <c r="T4524" s="404"/>
      <c r="U4524" s="404"/>
      <c r="V4524" s="404"/>
      <c r="W4524" s="404"/>
      <c r="X4524" s="404"/>
      <c r="Y4524" s="404"/>
      <c r="Z4524" s="404"/>
      <c r="AA4524" s="404"/>
      <c r="AB4524" s="404"/>
      <c r="AC4524" s="404"/>
      <c r="AD4524" s="404"/>
      <c r="AE4524" s="404"/>
      <c r="AF4524" s="404"/>
      <c r="AG4524" s="404"/>
      <c r="AH4524" s="404"/>
      <c r="AI4524" s="404"/>
      <c r="AJ4524" s="404"/>
      <c r="AK4524" s="404"/>
      <c r="AL4524" s="404"/>
      <c r="AM4524" s="404"/>
      <c r="AN4524" s="404"/>
      <c r="AO4524" s="404"/>
      <c r="AP4524" s="404"/>
      <c r="AQ4524" s="404"/>
      <c r="AR4524" s="404"/>
      <c r="AS4524" s="404"/>
      <c r="AT4524" s="404"/>
      <c r="AU4524" s="404"/>
      <c r="AV4524" s="404"/>
      <c r="AW4524" s="404"/>
      <c r="AX4524" s="404"/>
      <c r="AY4524" s="404"/>
      <c r="AZ4524" s="404"/>
      <c r="BA4524" s="404"/>
      <c r="BB4524" s="404"/>
      <c r="BC4524" s="404"/>
      <c r="BD4524" s="404"/>
      <c r="BE4524" s="404"/>
      <c r="BF4524" s="404"/>
      <c r="BG4524" s="404"/>
      <c r="BH4524" s="404"/>
      <c r="BI4524" s="404"/>
      <c r="BJ4524" s="404"/>
      <c r="BK4524" s="404"/>
      <c r="BL4524" s="404"/>
    </row>
    <row r="4525" spans="1:64">
      <c r="A4525" s="426"/>
      <c r="B4525" s="426"/>
      <c r="C4525" s="445" t="s">
        <v>1588</v>
      </c>
      <c r="D4525" s="406">
        <v>5.35</v>
      </c>
      <c r="E4525" s="406" t="s">
        <v>57</v>
      </c>
      <c r="F4525" s="432">
        <f>$I$182</f>
        <v>3010.706608</v>
      </c>
      <c r="G4525" s="406">
        <v>10</v>
      </c>
      <c r="H4525" s="406" t="s">
        <v>57</v>
      </c>
      <c r="I4525" s="408">
        <f t="shared" ref="I4525:I4527" si="987">IF(G4525="",D4525*F4525,(D4525*F4525/G4525))</f>
        <v>1610.7280352799999</v>
      </c>
      <c r="J4525" s="400"/>
      <c r="K4525" s="401"/>
      <c r="L4525" s="401"/>
      <c r="M4525" s="404"/>
      <c r="N4525" s="404"/>
      <c r="O4525" s="404"/>
      <c r="P4525" s="404"/>
      <c r="Q4525" s="404"/>
      <c r="R4525" s="404"/>
      <c r="S4525" s="404"/>
      <c r="T4525" s="404"/>
      <c r="U4525" s="404"/>
      <c r="V4525" s="404"/>
      <c r="W4525" s="404"/>
      <c r="X4525" s="404"/>
      <c r="Y4525" s="404"/>
      <c r="Z4525" s="404"/>
      <c r="AA4525" s="404"/>
      <c r="AB4525" s="404"/>
      <c r="AC4525" s="404"/>
      <c r="AD4525" s="404"/>
      <c r="AE4525" s="404"/>
      <c r="AF4525" s="404"/>
      <c r="AG4525" s="404"/>
      <c r="AH4525" s="404"/>
      <c r="AI4525" s="404"/>
      <c r="AJ4525" s="404"/>
      <c r="AK4525" s="404"/>
      <c r="AL4525" s="404"/>
      <c r="AM4525" s="404"/>
      <c r="AN4525" s="404"/>
      <c r="AO4525" s="404"/>
      <c r="AP4525" s="404"/>
      <c r="AQ4525" s="404"/>
      <c r="AR4525" s="404"/>
      <c r="AS4525" s="404"/>
      <c r="AT4525" s="404"/>
      <c r="AU4525" s="404"/>
      <c r="AV4525" s="404"/>
      <c r="AW4525" s="404"/>
      <c r="AX4525" s="404"/>
      <c r="AY4525" s="404"/>
      <c r="AZ4525" s="404"/>
      <c r="BA4525" s="404"/>
      <c r="BB4525" s="404"/>
      <c r="BC4525" s="404"/>
      <c r="BD4525" s="404"/>
      <c r="BE4525" s="404"/>
      <c r="BF4525" s="404"/>
      <c r="BG4525" s="404"/>
      <c r="BH4525" s="404"/>
      <c r="BI4525" s="404"/>
      <c r="BJ4525" s="404"/>
      <c r="BK4525" s="404"/>
      <c r="BL4525" s="404"/>
    </row>
    <row r="4526" spans="1:64">
      <c r="A4526" s="426"/>
      <c r="B4526" s="426"/>
      <c r="C4526" s="745" t="s">
        <v>1589</v>
      </c>
      <c r="D4526" s="409">
        <v>1.34</v>
      </c>
      <c r="E4526" s="406" t="s">
        <v>57</v>
      </c>
      <c r="F4526" s="409">
        <f>$I$412</f>
        <v>4707.7235000000001</v>
      </c>
      <c r="G4526" s="406">
        <v>1</v>
      </c>
      <c r="H4526" s="406" t="s">
        <v>57</v>
      </c>
      <c r="I4526" s="408">
        <f t="shared" si="987"/>
        <v>6308.3494900000005</v>
      </c>
      <c r="J4526" s="400"/>
      <c r="K4526" s="401"/>
      <c r="L4526" s="401"/>
      <c r="M4526" s="404"/>
      <c r="N4526" s="404"/>
      <c r="O4526" s="404"/>
      <c r="P4526" s="404"/>
      <c r="Q4526" s="404"/>
      <c r="R4526" s="404"/>
      <c r="S4526" s="404"/>
      <c r="T4526" s="404"/>
      <c r="U4526" s="404"/>
      <c r="V4526" s="404"/>
      <c r="W4526" s="404"/>
      <c r="X4526" s="404"/>
      <c r="Y4526" s="404"/>
      <c r="Z4526" s="404"/>
      <c r="AA4526" s="404"/>
      <c r="AB4526" s="404"/>
      <c r="AC4526" s="404"/>
      <c r="AD4526" s="404"/>
      <c r="AE4526" s="404"/>
      <c r="AF4526" s="404"/>
      <c r="AG4526" s="404"/>
      <c r="AH4526" s="404"/>
      <c r="AI4526" s="404"/>
      <c r="AJ4526" s="404"/>
      <c r="AK4526" s="404"/>
      <c r="AL4526" s="404"/>
      <c r="AM4526" s="404"/>
      <c r="AN4526" s="404"/>
      <c r="AO4526" s="404"/>
      <c r="AP4526" s="404"/>
      <c r="AQ4526" s="404"/>
      <c r="AR4526" s="404"/>
      <c r="AS4526" s="404"/>
      <c r="AT4526" s="404"/>
      <c r="AU4526" s="404"/>
      <c r="AV4526" s="404"/>
      <c r="AW4526" s="404"/>
      <c r="AX4526" s="404"/>
      <c r="AY4526" s="404"/>
      <c r="AZ4526" s="404"/>
      <c r="BA4526" s="404"/>
      <c r="BB4526" s="404"/>
      <c r="BC4526" s="404"/>
      <c r="BD4526" s="404"/>
      <c r="BE4526" s="404"/>
      <c r="BF4526" s="404"/>
      <c r="BG4526" s="404"/>
      <c r="BH4526" s="404"/>
      <c r="BI4526" s="404"/>
      <c r="BJ4526" s="404"/>
      <c r="BK4526" s="404"/>
      <c r="BL4526" s="404"/>
    </row>
    <row r="4527" spans="1:64" ht="25">
      <c r="A4527" s="426"/>
      <c r="B4527" s="426"/>
      <c r="C4527" s="745" t="s">
        <v>1590</v>
      </c>
      <c r="D4527" s="409">
        <v>1.2</v>
      </c>
      <c r="E4527" s="406" t="s">
        <v>57</v>
      </c>
      <c r="F4527" s="409">
        <f>$I$1995</f>
        <v>5873.1034999999993</v>
      </c>
      <c r="G4527" s="406">
        <v>1</v>
      </c>
      <c r="H4527" s="406" t="s">
        <v>57</v>
      </c>
      <c r="I4527" s="408">
        <f t="shared" si="987"/>
        <v>7047.7241999999987</v>
      </c>
      <c r="J4527" s="400"/>
      <c r="K4527" s="401"/>
      <c r="L4527" s="401"/>
      <c r="M4527" s="404"/>
      <c r="N4527" s="404"/>
      <c r="O4527" s="404"/>
      <c r="P4527" s="404"/>
      <c r="Q4527" s="404"/>
      <c r="R4527" s="404"/>
      <c r="S4527" s="404"/>
      <c r="T4527" s="404"/>
      <c r="U4527" s="404"/>
      <c r="V4527" s="404"/>
      <c r="W4527" s="404"/>
      <c r="X4527" s="404"/>
      <c r="Y4527" s="404"/>
      <c r="Z4527" s="404"/>
      <c r="AA4527" s="404"/>
      <c r="AB4527" s="404"/>
      <c r="AC4527" s="404"/>
      <c r="AD4527" s="404"/>
      <c r="AE4527" s="404"/>
      <c r="AF4527" s="404"/>
      <c r="AG4527" s="404"/>
      <c r="AH4527" s="404"/>
      <c r="AI4527" s="404"/>
      <c r="AJ4527" s="404"/>
      <c r="AK4527" s="404"/>
      <c r="AL4527" s="404"/>
      <c r="AM4527" s="404"/>
      <c r="AN4527" s="404"/>
      <c r="AO4527" s="404"/>
      <c r="AP4527" s="404"/>
      <c r="AQ4527" s="404"/>
      <c r="AR4527" s="404"/>
      <c r="AS4527" s="404"/>
      <c r="AT4527" s="404"/>
      <c r="AU4527" s="404"/>
      <c r="AV4527" s="404"/>
      <c r="AW4527" s="404"/>
      <c r="AX4527" s="404"/>
      <c r="AY4527" s="404"/>
      <c r="AZ4527" s="404"/>
      <c r="BA4527" s="404"/>
      <c r="BB4527" s="404"/>
      <c r="BC4527" s="404"/>
      <c r="BD4527" s="404"/>
      <c r="BE4527" s="404"/>
      <c r="BF4527" s="404"/>
      <c r="BG4527" s="404"/>
      <c r="BH4527" s="404"/>
      <c r="BI4527" s="404"/>
      <c r="BJ4527" s="404"/>
      <c r="BK4527" s="404"/>
      <c r="BL4527" s="404"/>
    </row>
    <row r="4528" spans="1:64">
      <c r="A4528" s="426"/>
      <c r="B4528" s="426"/>
      <c r="C4528" s="745" t="s">
        <v>1591</v>
      </c>
      <c r="D4528" s="409">
        <v>239.66</v>
      </c>
      <c r="E4528" s="426" t="s">
        <v>833</v>
      </c>
      <c r="F4528" s="409">
        <f>[161]LEAD!$N$10</f>
        <v>61000</v>
      </c>
      <c r="G4528" s="406">
        <v>1</v>
      </c>
      <c r="H4528" s="426" t="s">
        <v>122</v>
      </c>
      <c r="I4528" s="408">
        <f t="shared" ref="I4528:I4530" si="988">IF(G4528="",D4528*F4528,(D4528*F4528/G4528))/1000</f>
        <v>14619.26</v>
      </c>
      <c r="J4528" s="400"/>
      <c r="K4528" s="401"/>
      <c r="L4528" s="401"/>
      <c r="M4528" s="404"/>
      <c r="N4528" s="404"/>
      <c r="O4528" s="404"/>
      <c r="P4528" s="404"/>
      <c r="Q4528" s="404"/>
      <c r="R4528" s="404"/>
      <c r="S4528" s="404"/>
      <c r="T4528" s="404"/>
      <c r="U4528" s="404"/>
      <c r="V4528" s="404"/>
      <c r="W4528" s="404"/>
      <c r="X4528" s="404"/>
      <c r="Y4528" s="404"/>
      <c r="Z4528" s="404"/>
      <c r="AA4528" s="404"/>
      <c r="AB4528" s="404"/>
      <c r="AC4528" s="404"/>
      <c r="AD4528" s="404"/>
      <c r="AE4528" s="404"/>
      <c r="AF4528" s="404"/>
      <c r="AG4528" s="404"/>
      <c r="AH4528" s="404"/>
      <c r="AI4528" s="404"/>
      <c r="AJ4528" s="404"/>
      <c r="AK4528" s="404"/>
      <c r="AL4528" s="404"/>
      <c r="AM4528" s="404"/>
      <c r="AN4528" s="404"/>
      <c r="AO4528" s="404"/>
      <c r="AP4528" s="404"/>
      <c r="AQ4528" s="404"/>
      <c r="AR4528" s="404"/>
      <c r="AS4528" s="404"/>
      <c r="AT4528" s="404"/>
      <c r="AU4528" s="404"/>
      <c r="AV4528" s="404"/>
      <c r="AW4528" s="404"/>
      <c r="AX4528" s="404"/>
      <c r="AY4528" s="404"/>
      <c r="AZ4528" s="404"/>
      <c r="BA4528" s="404"/>
      <c r="BB4528" s="404"/>
      <c r="BC4528" s="404"/>
      <c r="BD4528" s="404"/>
      <c r="BE4528" s="404"/>
      <c r="BF4528" s="404"/>
      <c r="BG4528" s="404"/>
      <c r="BH4528" s="404"/>
      <c r="BI4528" s="404"/>
      <c r="BJ4528" s="404"/>
      <c r="BK4528" s="404"/>
      <c r="BL4528" s="404"/>
    </row>
    <row r="4529" spans="1:64">
      <c r="A4529" s="426"/>
      <c r="B4529" s="426"/>
      <c r="C4529" s="745" t="s">
        <v>1592</v>
      </c>
      <c r="D4529" s="409">
        <v>154.11000000000001</v>
      </c>
      <c r="E4529" s="426" t="s">
        <v>833</v>
      </c>
      <c r="F4529" s="409">
        <f>[161]LEAD!$N$11</f>
        <v>62000</v>
      </c>
      <c r="G4529" s="406">
        <v>1</v>
      </c>
      <c r="H4529" s="426" t="s">
        <v>122</v>
      </c>
      <c r="I4529" s="408">
        <f t="shared" si="988"/>
        <v>9554.82</v>
      </c>
      <c r="J4529" s="400"/>
      <c r="K4529" s="401"/>
      <c r="L4529" s="401"/>
      <c r="M4529" s="404"/>
      <c r="N4529" s="404"/>
      <c r="O4529" s="404"/>
      <c r="P4529" s="404"/>
      <c r="Q4529" s="404"/>
      <c r="R4529" s="404"/>
      <c r="S4529" s="404"/>
      <c r="T4529" s="404"/>
      <c r="U4529" s="404"/>
      <c r="V4529" s="404"/>
      <c r="W4529" s="404"/>
      <c r="X4529" s="404"/>
      <c r="Y4529" s="404"/>
      <c r="Z4529" s="404"/>
      <c r="AA4529" s="404"/>
      <c r="AB4529" s="404"/>
      <c r="AC4529" s="404"/>
      <c r="AD4529" s="404"/>
      <c r="AE4529" s="404"/>
      <c r="AF4529" s="404"/>
      <c r="AG4529" s="404"/>
      <c r="AH4529" s="404"/>
      <c r="AI4529" s="404"/>
      <c r="AJ4529" s="404"/>
      <c r="AK4529" s="404"/>
      <c r="AL4529" s="404"/>
      <c r="AM4529" s="404"/>
      <c r="AN4529" s="404"/>
      <c r="AO4529" s="404"/>
      <c r="AP4529" s="404"/>
      <c r="AQ4529" s="404"/>
      <c r="AR4529" s="404"/>
      <c r="AS4529" s="404"/>
      <c r="AT4529" s="404"/>
      <c r="AU4529" s="404"/>
      <c r="AV4529" s="404"/>
      <c r="AW4529" s="404"/>
      <c r="AX4529" s="404"/>
      <c r="AY4529" s="404"/>
      <c r="AZ4529" s="404"/>
      <c r="BA4529" s="404"/>
      <c r="BB4529" s="404"/>
      <c r="BC4529" s="404"/>
      <c r="BD4529" s="404"/>
      <c r="BE4529" s="404"/>
      <c r="BF4529" s="404"/>
      <c r="BG4529" s="404"/>
      <c r="BH4529" s="404"/>
      <c r="BI4529" s="404"/>
      <c r="BJ4529" s="404"/>
      <c r="BK4529" s="404"/>
      <c r="BL4529" s="404"/>
    </row>
    <row r="4530" spans="1:64">
      <c r="A4530" s="426"/>
      <c r="B4530" s="426"/>
      <c r="C4530" s="745" t="s">
        <v>1593</v>
      </c>
      <c r="D4530" s="409">
        <v>71</v>
      </c>
      <c r="E4530" s="426" t="s">
        <v>833</v>
      </c>
      <c r="F4530" s="409">
        <f>[161]LEAD!$N$10</f>
        <v>61000</v>
      </c>
      <c r="G4530" s="406">
        <v>1</v>
      </c>
      <c r="H4530" s="406" t="s">
        <v>122</v>
      </c>
      <c r="I4530" s="408">
        <f t="shared" si="988"/>
        <v>4331</v>
      </c>
      <c r="J4530" s="400"/>
      <c r="K4530" s="401"/>
      <c r="L4530" s="401"/>
      <c r="M4530" s="404"/>
      <c r="N4530" s="404"/>
      <c r="O4530" s="404"/>
      <c r="P4530" s="404"/>
      <c r="Q4530" s="404"/>
      <c r="R4530" s="404"/>
      <c r="S4530" s="404"/>
      <c r="T4530" s="404"/>
      <c r="U4530" s="404"/>
      <c r="V4530" s="404"/>
      <c r="W4530" s="404"/>
      <c r="X4530" s="404"/>
      <c r="Y4530" s="404"/>
      <c r="Z4530" s="404"/>
      <c r="AA4530" s="404"/>
      <c r="AB4530" s="404"/>
      <c r="AC4530" s="404"/>
      <c r="AD4530" s="404"/>
      <c r="AE4530" s="404"/>
      <c r="AF4530" s="404"/>
      <c r="AG4530" s="404"/>
      <c r="AH4530" s="404"/>
      <c r="AI4530" s="404"/>
      <c r="AJ4530" s="404"/>
      <c r="AK4530" s="404"/>
      <c r="AL4530" s="404"/>
      <c r="AM4530" s="404"/>
      <c r="AN4530" s="404"/>
      <c r="AO4530" s="404"/>
      <c r="AP4530" s="404"/>
      <c r="AQ4530" s="404"/>
      <c r="AR4530" s="404"/>
      <c r="AS4530" s="404"/>
      <c r="AT4530" s="404"/>
      <c r="AU4530" s="404"/>
      <c r="AV4530" s="404"/>
      <c r="AW4530" s="404"/>
      <c r="AX4530" s="404"/>
      <c r="AY4530" s="404"/>
      <c r="AZ4530" s="404"/>
      <c r="BA4530" s="404"/>
      <c r="BB4530" s="404"/>
      <c r="BC4530" s="404"/>
      <c r="BD4530" s="404"/>
      <c r="BE4530" s="404"/>
      <c r="BF4530" s="404"/>
      <c r="BG4530" s="404"/>
      <c r="BH4530" s="404"/>
      <c r="BI4530" s="404"/>
      <c r="BJ4530" s="404"/>
      <c r="BK4530" s="404"/>
      <c r="BL4530" s="404"/>
    </row>
    <row r="4531" spans="1:64">
      <c r="A4531" s="426"/>
      <c r="B4531" s="426"/>
      <c r="C4531" s="469" t="s">
        <v>1330</v>
      </c>
      <c r="D4531" s="409">
        <f>SUM(D4528:D4530)</f>
        <v>464.77</v>
      </c>
      <c r="E4531" s="426" t="s">
        <v>833</v>
      </c>
      <c r="F4531" s="409">
        <f>'[161]Civil-SOR'!$G$202</f>
        <v>37</v>
      </c>
      <c r="G4531" s="410">
        <v>1</v>
      </c>
      <c r="H4531" s="426" t="s">
        <v>312</v>
      </c>
      <c r="I4531" s="409">
        <f t="shared" ref="I4531:I4533" si="989">D4531*F4531</f>
        <v>17196.489999999998</v>
      </c>
      <c r="J4531" s="400"/>
      <c r="K4531" s="401"/>
      <c r="L4531" s="401"/>
      <c r="M4531" s="404"/>
      <c r="N4531" s="404"/>
      <c r="O4531" s="404"/>
      <c r="P4531" s="404"/>
      <c r="Q4531" s="404"/>
      <c r="R4531" s="404"/>
      <c r="S4531" s="404"/>
      <c r="T4531" s="404"/>
      <c r="U4531" s="404"/>
      <c r="V4531" s="404"/>
      <c r="W4531" s="404"/>
      <c r="X4531" s="404"/>
      <c r="Y4531" s="404"/>
      <c r="Z4531" s="404"/>
      <c r="AA4531" s="404"/>
      <c r="AB4531" s="404"/>
      <c r="AC4531" s="404"/>
      <c r="AD4531" s="404"/>
      <c r="AE4531" s="404"/>
      <c r="AF4531" s="404"/>
      <c r="AG4531" s="404"/>
      <c r="AH4531" s="404"/>
      <c r="AI4531" s="404"/>
      <c r="AJ4531" s="404"/>
      <c r="AK4531" s="404"/>
      <c r="AL4531" s="404"/>
      <c r="AM4531" s="404"/>
      <c r="AN4531" s="404"/>
      <c r="AO4531" s="404"/>
      <c r="AP4531" s="404"/>
      <c r="AQ4531" s="404"/>
      <c r="AR4531" s="404"/>
      <c r="AS4531" s="404"/>
      <c r="AT4531" s="404"/>
      <c r="AU4531" s="404"/>
      <c r="AV4531" s="404"/>
      <c r="AW4531" s="404"/>
      <c r="AX4531" s="404"/>
      <c r="AY4531" s="404"/>
      <c r="AZ4531" s="404"/>
      <c r="BA4531" s="404"/>
      <c r="BB4531" s="404"/>
      <c r="BC4531" s="404"/>
      <c r="BD4531" s="404"/>
      <c r="BE4531" s="404"/>
      <c r="BF4531" s="404"/>
      <c r="BG4531" s="404"/>
      <c r="BH4531" s="404"/>
      <c r="BI4531" s="404"/>
      <c r="BJ4531" s="404"/>
      <c r="BK4531" s="404"/>
      <c r="BL4531" s="404"/>
    </row>
    <row r="4532" spans="1:64">
      <c r="A4532" s="426"/>
      <c r="B4532" s="426"/>
      <c r="C4532" s="469" t="s">
        <v>1568</v>
      </c>
      <c r="D4532" s="409">
        <f>D4531</f>
        <v>464.77</v>
      </c>
      <c r="E4532" s="426" t="s">
        <v>833</v>
      </c>
      <c r="F4532" s="409">
        <f>'[161]Civil-SOR'!$G$203</f>
        <v>6</v>
      </c>
      <c r="G4532" s="410">
        <v>1</v>
      </c>
      <c r="H4532" s="426" t="s">
        <v>312</v>
      </c>
      <c r="I4532" s="409">
        <f t="shared" si="989"/>
        <v>2788.62</v>
      </c>
      <c r="J4532" s="400"/>
      <c r="K4532" s="401"/>
      <c r="L4532" s="401"/>
      <c r="M4532" s="404"/>
      <c r="N4532" s="404"/>
      <c r="O4532" s="404"/>
      <c r="P4532" s="404"/>
      <c r="Q4532" s="404"/>
      <c r="R4532" s="404"/>
      <c r="S4532" s="404"/>
      <c r="T4532" s="404"/>
      <c r="U4532" s="404"/>
      <c r="V4532" s="404"/>
      <c r="W4532" s="404"/>
      <c r="X4532" s="404"/>
      <c r="Y4532" s="404"/>
      <c r="Z4532" s="404"/>
      <c r="AA4532" s="404"/>
      <c r="AB4532" s="404"/>
      <c r="AC4532" s="404"/>
      <c r="AD4532" s="404"/>
      <c r="AE4532" s="404"/>
      <c r="AF4532" s="404"/>
      <c r="AG4532" s="404"/>
      <c r="AH4532" s="404"/>
      <c r="AI4532" s="404"/>
      <c r="AJ4532" s="404"/>
      <c r="AK4532" s="404"/>
      <c r="AL4532" s="404"/>
      <c r="AM4532" s="404"/>
      <c r="AN4532" s="404"/>
      <c r="AO4532" s="404"/>
      <c r="AP4532" s="404"/>
      <c r="AQ4532" s="404"/>
      <c r="AR4532" s="404"/>
      <c r="AS4532" s="404"/>
      <c r="AT4532" s="404"/>
      <c r="AU4532" s="404"/>
      <c r="AV4532" s="404"/>
      <c r="AW4532" s="404"/>
      <c r="AX4532" s="404"/>
      <c r="AY4532" s="404"/>
      <c r="AZ4532" s="404"/>
      <c r="BA4532" s="404"/>
      <c r="BB4532" s="404"/>
      <c r="BC4532" s="404"/>
      <c r="BD4532" s="404"/>
      <c r="BE4532" s="404"/>
      <c r="BF4532" s="404"/>
      <c r="BG4532" s="404"/>
      <c r="BH4532" s="404"/>
      <c r="BI4532" s="404"/>
      <c r="BJ4532" s="404"/>
      <c r="BK4532" s="404"/>
      <c r="BL4532" s="404"/>
    </row>
    <row r="4533" spans="1:64">
      <c r="A4533" s="426"/>
      <c r="B4533" s="426"/>
      <c r="C4533" s="417" t="str">
        <f>[161]Input!$C$47</f>
        <v>Add for MA @ 40%</v>
      </c>
      <c r="D4533" s="409">
        <f>[161]Input!$D$47</f>
        <v>0.4</v>
      </c>
      <c r="E4533" s="426"/>
      <c r="F4533" s="409">
        <f>I4531*40%+I4532</f>
        <v>9667.2160000000003</v>
      </c>
      <c r="G4533" s="410"/>
      <c r="H4533" s="426"/>
      <c r="I4533" s="409">
        <f t="shared" si="989"/>
        <v>3866.8864000000003</v>
      </c>
      <c r="J4533" s="400"/>
      <c r="K4533" s="401"/>
      <c r="L4533" s="401"/>
      <c r="M4533" s="404"/>
      <c r="N4533" s="404"/>
      <c r="O4533" s="404"/>
      <c r="P4533" s="404"/>
      <c r="Q4533" s="404"/>
      <c r="R4533" s="404"/>
      <c r="S4533" s="404"/>
      <c r="T4533" s="404"/>
      <c r="U4533" s="404"/>
      <c r="V4533" s="404"/>
      <c r="W4533" s="404"/>
      <c r="X4533" s="404"/>
      <c r="Y4533" s="404"/>
      <c r="Z4533" s="404"/>
      <c r="AA4533" s="404"/>
      <c r="AB4533" s="404"/>
      <c r="AC4533" s="404"/>
      <c r="AD4533" s="404"/>
      <c r="AE4533" s="404"/>
      <c r="AF4533" s="404"/>
      <c r="AG4533" s="404"/>
      <c r="AH4533" s="404"/>
      <c r="AI4533" s="404"/>
      <c r="AJ4533" s="404"/>
      <c r="AK4533" s="404"/>
      <c r="AL4533" s="404"/>
      <c r="AM4533" s="404"/>
      <c r="AN4533" s="404"/>
      <c r="AO4533" s="404"/>
      <c r="AP4533" s="404"/>
      <c r="AQ4533" s="404"/>
      <c r="AR4533" s="404"/>
      <c r="AS4533" s="404"/>
      <c r="AT4533" s="404"/>
      <c r="AU4533" s="404"/>
      <c r="AV4533" s="404"/>
      <c r="AW4533" s="404"/>
      <c r="AX4533" s="404"/>
      <c r="AY4533" s="404"/>
      <c r="AZ4533" s="404"/>
      <c r="BA4533" s="404"/>
      <c r="BB4533" s="404"/>
      <c r="BC4533" s="404"/>
      <c r="BD4533" s="404"/>
      <c r="BE4533" s="404"/>
      <c r="BF4533" s="404"/>
      <c r="BG4533" s="404"/>
      <c r="BH4533" s="404"/>
      <c r="BI4533" s="404"/>
      <c r="BJ4533" s="404"/>
      <c r="BK4533" s="404"/>
      <c r="BL4533" s="404"/>
    </row>
    <row r="4534" spans="1:64">
      <c r="A4534" s="426"/>
      <c r="B4534" s="426"/>
      <c r="C4534" s="745" t="s">
        <v>1594</v>
      </c>
      <c r="D4534" s="409">
        <v>12.7</v>
      </c>
      <c r="E4534" s="426" t="s">
        <v>62</v>
      </c>
      <c r="F4534" s="409">
        <f>$I$2452</f>
        <v>274.56</v>
      </c>
      <c r="G4534" s="406">
        <v>1</v>
      </c>
      <c r="H4534" s="406" t="s">
        <v>62</v>
      </c>
      <c r="I4534" s="408">
        <f>IF(G4534="",D4534*F4534,(D4534*F4534/G4534))/10</f>
        <v>348.69119999999998</v>
      </c>
      <c r="J4534" s="400"/>
      <c r="K4534" s="401"/>
      <c r="L4534" s="401"/>
      <c r="M4534" s="404"/>
      <c r="N4534" s="404"/>
      <c r="O4534" s="404"/>
      <c r="P4534" s="404"/>
      <c r="Q4534" s="404"/>
      <c r="R4534" s="404"/>
      <c r="S4534" s="404"/>
      <c r="T4534" s="404"/>
      <c r="U4534" s="404"/>
      <c r="V4534" s="404"/>
      <c r="W4534" s="404"/>
      <c r="X4534" s="404"/>
      <c r="Y4534" s="404"/>
      <c r="Z4534" s="404"/>
      <c r="AA4534" s="404"/>
      <c r="AB4534" s="404"/>
      <c r="AC4534" s="404"/>
      <c r="AD4534" s="404"/>
      <c r="AE4534" s="404"/>
      <c r="AF4534" s="404"/>
      <c r="AG4534" s="404"/>
      <c r="AH4534" s="404"/>
      <c r="AI4534" s="404"/>
      <c r="AJ4534" s="404"/>
      <c r="AK4534" s="404"/>
      <c r="AL4534" s="404"/>
      <c r="AM4534" s="404"/>
      <c r="AN4534" s="404"/>
      <c r="AO4534" s="404"/>
      <c r="AP4534" s="404"/>
      <c r="AQ4534" s="404"/>
      <c r="AR4534" s="404"/>
      <c r="AS4534" s="404"/>
      <c r="AT4534" s="404"/>
      <c r="AU4534" s="404"/>
      <c r="AV4534" s="404"/>
      <c r="AW4534" s="404"/>
      <c r="AX4534" s="404"/>
      <c r="AY4534" s="404"/>
      <c r="AZ4534" s="404"/>
      <c r="BA4534" s="404"/>
      <c r="BB4534" s="404"/>
      <c r="BC4534" s="404"/>
      <c r="BD4534" s="404"/>
      <c r="BE4534" s="404"/>
      <c r="BF4534" s="404"/>
      <c r="BG4534" s="404"/>
      <c r="BH4534" s="404"/>
      <c r="BI4534" s="404"/>
      <c r="BJ4534" s="404"/>
      <c r="BK4534" s="404"/>
      <c r="BL4534" s="404"/>
    </row>
    <row r="4535" spans="1:64">
      <c r="A4535" s="426"/>
      <c r="B4535" s="426"/>
      <c r="C4535" s="745" t="s">
        <v>1595</v>
      </c>
      <c r="D4535" s="409">
        <v>47.7</v>
      </c>
      <c r="E4535" s="426" t="s">
        <v>1052</v>
      </c>
      <c r="F4535" s="409">
        <f>'[161]WS-SOR'!$G$53*90%</f>
        <v>474.3</v>
      </c>
      <c r="G4535" s="406">
        <v>1</v>
      </c>
      <c r="H4535" s="406" t="s">
        <v>1052</v>
      </c>
      <c r="I4535" s="408">
        <f>IF(G4535="",D4535*F4535,(D4535*F4535/G4535))</f>
        <v>22624.11</v>
      </c>
      <c r="J4535" s="400"/>
      <c r="K4535" s="401"/>
      <c r="L4535" s="401"/>
      <c r="M4535" s="404"/>
      <c r="N4535" s="404"/>
      <c r="O4535" s="404"/>
      <c r="P4535" s="404"/>
      <c r="Q4535" s="404"/>
      <c r="R4535" s="404"/>
      <c r="S4535" s="404"/>
      <c r="T4535" s="404"/>
      <c r="U4535" s="404"/>
      <c r="V4535" s="404"/>
      <c r="W4535" s="404"/>
      <c r="X4535" s="404"/>
      <c r="Y4535" s="404"/>
      <c r="Z4535" s="404"/>
      <c r="AA4535" s="404"/>
      <c r="AB4535" s="404"/>
      <c r="AC4535" s="404"/>
      <c r="AD4535" s="404"/>
      <c r="AE4535" s="404"/>
      <c r="AF4535" s="404"/>
      <c r="AG4535" s="404"/>
      <c r="AH4535" s="404"/>
      <c r="AI4535" s="404"/>
      <c r="AJ4535" s="404"/>
      <c r="AK4535" s="404"/>
      <c r="AL4535" s="404"/>
      <c r="AM4535" s="404"/>
      <c r="AN4535" s="404"/>
      <c r="AO4535" s="404"/>
      <c r="AP4535" s="404"/>
      <c r="AQ4535" s="404"/>
      <c r="AR4535" s="404"/>
      <c r="AS4535" s="404"/>
      <c r="AT4535" s="404"/>
      <c r="AU4535" s="404"/>
      <c r="AV4535" s="404"/>
      <c r="AW4535" s="404"/>
      <c r="AX4535" s="404"/>
      <c r="AY4535" s="404"/>
      <c r="AZ4535" s="404"/>
      <c r="BA4535" s="404"/>
      <c r="BB4535" s="404"/>
      <c r="BC4535" s="404"/>
      <c r="BD4535" s="404"/>
      <c r="BE4535" s="404"/>
      <c r="BF4535" s="404"/>
      <c r="BG4535" s="404"/>
      <c r="BH4535" s="404"/>
      <c r="BI4535" s="404"/>
      <c r="BJ4535" s="404"/>
      <c r="BK4535" s="404"/>
      <c r="BL4535" s="404"/>
    </row>
    <row r="4536" spans="1:64" ht="37.5">
      <c r="A4536" s="426"/>
      <c r="B4536" s="426"/>
      <c r="C4536" s="417" t="s">
        <v>1596</v>
      </c>
      <c r="D4536" s="406"/>
      <c r="E4536" s="406"/>
      <c r="F4536" s="406"/>
      <c r="G4536" s="426" t="s">
        <v>1570</v>
      </c>
      <c r="H4536" s="426"/>
      <c r="I4536" s="744">
        <v>214.54</v>
      </c>
      <c r="J4536" s="400"/>
      <c r="K4536" s="401"/>
      <c r="L4536" s="401"/>
      <c r="M4536" s="404"/>
      <c r="N4536" s="404"/>
      <c r="O4536" s="404"/>
      <c r="P4536" s="404"/>
      <c r="Q4536" s="404"/>
      <c r="R4536" s="404"/>
      <c r="S4536" s="404"/>
      <c r="T4536" s="404"/>
      <c r="U4536" s="404"/>
      <c r="V4536" s="404"/>
      <c r="W4536" s="404"/>
      <c r="X4536" s="404"/>
      <c r="Y4536" s="404"/>
      <c r="Z4536" s="404"/>
      <c r="AA4536" s="404"/>
      <c r="AB4536" s="404"/>
      <c r="AC4536" s="404"/>
      <c r="AD4536" s="404"/>
      <c r="AE4536" s="404"/>
      <c r="AF4536" s="404"/>
      <c r="AG4536" s="404"/>
      <c r="AH4536" s="404"/>
      <c r="AI4536" s="404"/>
      <c r="AJ4536" s="404"/>
      <c r="AK4536" s="404"/>
      <c r="AL4536" s="404"/>
      <c r="AM4536" s="404"/>
      <c r="AN4536" s="404"/>
      <c r="AO4536" s="404"/>
      <c r="AP4536" s="404"/>
      <c r="AQ4536" s="404"/>
      <c r="AR4536" s="404"/>
      <c r="AS4536" s="404"/>
      <c r="AT4536" s="404"/>
      <c r="AU4536" s="404"/>
      <c r="AV4536" s="404"/>
      <c r="AW4536" s="404"/>
      <c r="AX4536" s="404"/>
      <c r="AY4536" s="404"/>
      <c r="AZ4536" s="404"/>
      <c r="BA4536" s="404"/>
      <c r="BB4536" s="404"/>
      <c r="BC4536" s="404"/>
      <c r="BD4536" s="404"/>
      <c r="BE4536" s="404"/>
      <c r="BF4536" s="404"/>
      <c r="BG4536" s="404"/>
      <c r="BH4536" s="404"/>
      <c r="BI4536" s="404"/>
      <c r="BJ4536" s="404"/>
      <c r="BK4536" s="404"/>
      <c r="BL4536" s="404"/>
    </row>
    <row r="4537" spans="1:64" ht="13">
      <c r="A4537" s="426"/>
      <c r="B4537" s="426"/>
      <c r="C4537" s="745" t="s">
        <v>1597</v>
      </c>
      <c r="D4537" s="432"/>
      <c r="E4537" s="676"/>
      <c r="F4537" s="432"/>
      <c r="G4537" s="426"/>
      <c r="H4537" s="742"/>
      <c r="I4537" s="432">
        <f>SUM(I4525:I4536)</f>
        <v>90511.219325279992</v>
      </c>
      <c r="J4537" s="400"/>
      <c r="K4537" s="401"/>
      <c r="L4537" s="401"/>
      <c r="M4537" s="404"/>
      <c r="N4537" s="404"/>
      <c r="O4537" s="404"/>
      <c r="P4537" s="404"/>
      <c r="Q4537" s="404"/>
      <c r="R4537" s="404"/>
      <c r="S4537" s="404"/>
      <c r="T4537" s="404"/>
      <c r="U4537" s="404"/>
      <c r="V4537" s="404"/>
      <c r="W4537" s="404"/>
      <c r="X4537" s="404"/>
      <c r="Y4537" s="404"/>
      <c r="Z4537" s="404"/>
      <c r="AA4537" s="404"/>
      <c r="AB4537" s="404"/>
      <c r="AC4537" s="404"/>
      <c r="AD4537" s="404"/>
      <c r="AE4537" s="404"/>
      <c r="AF4537" s="404"/>
      <c r="AG4537" s="404"/>
      <c r="AH4537" s="404"/>
      <c r="AI4537" s="404"/>
      <c r="AJ4537" s="404"/>
      <c r="AK4537" s="404"/>
      <c r="AL4537" s="404"/>
      <c r="AM4537" s="404"/>
      <c r="AN4537" s="404"/>
      <c r="AO4537" s="404"/>
      <c r="AP4537" s="404"/>
      <c r="AQ4537" s="404"/>
      <c r="AR4537" s="404"/>
      <c r="AS4537" s="404"/>
      <c r="AT4537" s="404"/>
      <c r="AU4537" s="404"/>
      <c r="AV4537" s="404"/>
      <c r="AW4537" s="404"/>
      <c r="AX4537" s="404"/>
      <c r="AY4537" s="404"/>
      <c r="AZ4537" s="404"/>
      <c r="BA4537" s="404"/>
      <c r="BB4537" s="404"/>
      <c r="BC4537" s="404"/>
      <c r="BD4537" s="404"/>
      <c r="BE4537" s="404"/>
      <c r="BF4537" s="404"/>
      <c r="BG4537" s="404"/>
      <c r="BH4537" s="404"/>
      <c r="BI4537" s="404"/>
      <c r="BJ4537" s="404"/>
      <c r="BK4537" s="404"/>
      <c r="BL4537" s="404"/>
    </row>
    <row r="4538" spans="1:64" ht="13">
      <c r="A4538" s="426"/>
      <c r="B4538" s="426"/>
      <c r="C4538" s="741" t="s">
        <v>845</v>
      </c>
      <c r="D4538" s="409"/>
      <c r="E4538" s="426"/>
      <c r="F4538" s="409"/>
      <c r="G4538" s="426"/>
      <c r="H4538" s="426"/>
      <c r="I4538" s="409">
        <f>I4537/D4524</f>
        <v>16690.248815283052</v>
      </c>
      <c r="J4538" s="400"/>
      <c r="K4538" s="401"/>
      <c r="L4538" s="401"/>
      <c r="M4538" s="404"/>
      <c r="N4538" s="404"/>
      <c r="O4538" s="404"/>
      <c r="P4538" s="404"/>
      <c r="Q4538" s="404"/>
      <c r="R4538" s="404"/>
      <c r="S4538" s="404"/>
      <c r="T4538" s="404"/>
      <c r="U4538" s="404"/>
      <c r="V4538" s="404"/>
      <c r="W4538" s="404"/>
      <c r="X4538" s="404"/>
      <c r="Y4538" s="404"/>
      <c r="Z4538" s="404"/>
      <c r="AA4538" s="404"/>
      <c r="AB4538" s="404"/>
      <c r="AC4538" s="404"/>
      <c r="AD4538" s="404"/>
      <c r="AE4538" s="404"/>
      <c r="AF4538" s="404"/>
      <c r="AG4538" s="404"/>
      <c r="AH4538" s="404"/>
      <c r="AI4538" s="404"/>
      <c r="AJ4538" s="404"/>
      <c r="AK4538" s="404"/>
      <c r="AL4538" s="404"/>
      <c r="AM4538" s="404"/>
      <c r="AN4538" s="404"/>
      <c r="AO4538" s="404"/>
      <c r="AP4538" s="404"/>
      <c r="AQ4538" s="404"/>
      <c r="AR4538" s="404"/>
      <c r="AS4538" s="404"/>
      <c r="AT4538" s="404"/>
      <c r="AU4538" s="404"/>
      <c r="AV4538" s="404"/>
      <c r="AW4538" s="404"/>
      <c r="AX4538" s="404"/>
      <c r="AY4538" s="404"/>
      <c r="AZ4538" s="404"/>
      <c r="BA4538" s="404"/>
      <c r="BB4538" s="404"/>
      <c r="BC4538" s="404"/>
      <c r="BD4538" s="404"/>
      <c r="BE4538" s="404"/>
      <c r="BF4538" s="404"/>
      <c r="BG4538" s="404"/>
      <c r="BH4538" s="404"/>
      <c r="BI4538" s="404"/>
      <c r="BJ4538" s="404"/>
      <c r="BK4538" s="404"/>
      <c r="BL4538" s="404"/>
    </row>
    <row r="4539" spans="1:64" ht="13">
      <c r="A4539" s="426"/>
      <c r="B4539" s="426"/>
      <c r="C4539" s="469"/>
      <c r="D4539" s="409"/>
      <c r="E4539" s="426"/>
      <c r="F4539" s="409"/>
      <c r="G4539" s="426"/>
      <c r="H4539" s="426"/>
      <c r="I4539" s="434">
        <f>ROUND(I4538,0)</f>
        <v>16690</v>
      </c>
      <c r="J4539" s="400"/>
      <c r="K4539" s="401"/>
      <c r="L4539" s="401"/>
      <c r="M4539" s="404"/>
      <c r="N4539" s="404"/>
      <c r="O4539" s="404"/>
      <c r="P4539" s="404"/>
      <c r="Q4539" s="404"/>
      <c r="R4539" s="404"/>
      <c r="S4539" s="404"/>
      <c r="T4539" s="404"/>
      <c r="U4539" s="404"/>
      <c r="V4539" s="404"/>
      <c r="W4539" s="404"/>
      <c r="X4539" s="404"/>
      <c r="Y4539" s="404"/>
      <c r="Z4539" s="404"/>
      <c r="AA4539" s="404"/>
      <c r="AB4539" s="404"/>
      <c r="AC4539" s="404"/>
      <c r="AD4539" s="404"/>
      <c r="AE4539" s="404"/>
      <c r="AF4539" s="404"/>
      <c r="AG4539" s="404"/>
      <c r="AH4539" s="404"/>
      <c r="AI4539" s="404"/>
      <c r="AJ4539" s="404"/>
      <c r="AK4539" s="404"/>
      <c r="AL4539" s="404"/>
      <c r="AM4539" s="404"/>
      <c r="AN4539" s="404"/>
      <c r="AO4539" s="404"/>
      <c r="AP4539" s="404"/>
      <c r="AQ4539" s="404"/>
      <c r="AR4539" s="404"/>
      <c r="AS4539" s="404"/>
      <c r="AT4539" s="404"/>
      <c r="AU4539" s="404"/>
      <c r="AV4539" s="404"/>
      <c r="AW4539" s="404"/>
      <c r="AX4539" s="404"/>
      <c r="AY4539" s="404"/>
      <c r="AZ4539" s="404"/>
      <c r="BA4539" s="404"/>
      <c r="BB4539" s="404"/>
      <c r="BC4539" s="404"/>
      <c r="BD4539" s="404"/>
      <c r="BE4539" s="404"/>
      <c r="BF4539" s="404"/>
      <c r="BG4539" s="404"/>
      <c r="BH4539" s="404"/>
      <c r="BI4539" s="404"/>
      <c r="BJ4539" s="404"/>
      <c r="BK4539" s="404"/>
      <c r="BL4539" s="404"/>
    </row>
    <row r="4540" spans="1:64" ht="13">
      <c r="A4540" s="426"/>
      <c r="B4540" s="426"/>
      <c r="C4540" s="427" t="s">
        <v>1598</v>
      </c>
      <c r="D4540" s="409"/>
      <c r="E4540" s="426"/>
      <c r="F4540" s="409"/>
      <c r="G4540" s="410"/>
      <c r="H4540" s="426"/>
      <c r="I4540" s="409"/>
      <c r="J4540" s="446"/>
      <c r="K4540" s="447"/>
      <c r="L4540" s="447"/>
      <c r="M4540" s="448"/>
      <c r="N4540" s="448"/>
      <c r="O4540" s="448"/>
      <c r="P4540" s="448"/>
      <c r="Q4540" s="448"/>
      <c r="R4540" s="448"/>
      <c r="S4540" s="448"/>
      <c r="T4540" s="448"/>
      <c r="U4540" s="448"/>
      <c r="V4540" s="448"/>
      <c r="W4540" s="448"/>
      <c r="X4540" s="448"/>
      <c r="Y4540" s="448"/>
      <c r="Z4540" s="448"/>
      <c r="AA4540" s="448"/>
      <c r="AB4540" s="448"/>
      <c r="AC4540" s="448"/>
      <c r="AD4540" s="448"/>
      <c r="AE4540" s="448"/>
      <c r="AF4540" s="448"/>
      <c r="AG4540" s="448"/>
      <c r="AH4540" s="448"/>
      <c r="AI4540" s="448"/>
      <c r="AJ4540" s="448"/>
      <c r="AK4540" s="448"/>
      <c r="AL4540" s="448"/>
      <c r="AM4540" s="448"/>
      <c r="AN4540" s="448"/>
      <c r="AO4540" s="448"/>
      <c r="AP4540" s="448"/>
      <c r="AQ4540" s="448"/>
      <c r="AR4540" s="448"/>
      <c r="AS4540" s="448"/>
      <c r="AT4540" s="448"/>
      <c r="AU4540" s="448"/>
      <c r="AV4540" s="448"/>
      <c r="AW4540" s="448"/>
      <c r="AX4540" s="448"/>
      <c r="AY4540" s="448"/>
      <c r="AZ4540" s="448"/>
      <c r="BA4540" s="448"/>
      <c r="BB4540" s="448"/>
      <c r="BC4540" s="448"/>
      <c r="BD4540" s="448"/>
      <c r="BE4540" s="448"/>
      <c r="BF4540" s="448"/>
      <c r="BG4540" s="448"/>
      <c r="BH4540" s="448"/>
      <c r="BI4540" s="448"/>
      <c r="BJ4540" s="448"/>
      <c r="BK4540" s="448"/>
      <c r="BL4540" s="448"/>
    </row>
    <row r="4541" spans="1:64" ht="115" customHeight="1">
      <c r="A4541" s="1280">
        <f>A4523+1</f>
        <v>35</v>
      </c>
      <c r="B4541" s="1280"/>
      <c r="C4541" s="1291" t="s">
        <v>1599</v>
      </c>
      <c r="D4541" s="1291"/>
      <c r="E4541" s="1291"/>
      <c r="F4541" s="1291"/>
      <c r="G4541" s="1291"/>
      <c r="H4541" s="1291"/>
      <c r="I4541" s="1291"/>
      <c r="J4541" s="446"/>
      <c r="K4541" s="447"/>
      <c r="L4541" s="447"/>
      <c r="M4541" s="448"/>
      <c r="N4541" s="448"/>
      <c r="O4541" s="448"/>
      <c r="P4541" s="448"/>
      <c r="Q4541" s="448"/>
      <c r="R4541" s="448"/>
      <c r="S4541" s="448"/>
      <c r="T4541" s="448"/>
      <c r="U4541" s="448"/>
      <c r="V4541" s="448"/>
      <c r="W4541" s="448"/>
      <c r="X4541" s="448"/>
      <c r="Y4541" s="448"/>
      <c r="Z4541" s="448"/>
      <c r="AA4541" s="448"/>
      <c r="AB4541" s="448"/>
      <c r="AC4541" s="448"/>
      <c r="AD4541" s="448"/>
      <c r="AE4541" s="448"/>
      <c r="AF4541" s="448"/>
      <c r="AG4541" s="448"/>
      <c r="AH4541" s="448"/>
      <c r="AI4541" s="448"/>
      <c r="AJ4541" s="448"/>
      <c r="AK4541" s="448"/>
      <c r="AL4541" s="448"/>
      <c r="AM4541" s="448"/>
      <c r="AN4541" s="448"/>
      <c r="AO4541" s="448"/>
      <c r="AP4541" s="448"/>
      <c r="AQ4541" s="448"/>
      <c r="AR4541" s="448"/>
      <c r="AS4541" s="448"/>
      <c r="AT4541" s="448"/>
      <c r="AU4541" s="448"/>
      <c r="AV4541" s="448"/>
      <c r="AW4541" s="448"/>
      <c r="AX4541" s="448"/>
      <c r="AY4541" s="448"/>
      <c r="AZ4541" s="448"/>
      <c r="BA4541" s="448"/>
      <c r="BB4541" s="448"/>
      <c r="BC4541" s="448"/>
      <c r="BD4541" s="448"/>
      <c r="BE4541" s="448"/>
      <c r="BF4541" s="448"/>
      <c r="BG4541" s="448"/>
      <c r="BH4541" s="448"/>
      <c r="BI4541" s="448"/>
      <c r="BJ4541" s="448"/>
      <c r="BK4541" s="448"/>
      <c r="BL4541" s="448"/>
    </row>
    <row r="4542" spans="1:64">
      <c r="A4542" s="426"/>
      <c r="B4542" s="426"/>
      <c r="C4542" s="417" t="s">
        <v>1600</v>
      </c>
      <c r="D4542" s="409"/>
      <c r="E4542" s="426"/>
      <c r="F4542" s="409"/>
      <c r="G4542" s="410"/>
      <c r="H4542" s="426"/>
      <c r="I4542" s="409"/>
      <c r="J4542" s="446"/>
      <c r="K4542" s="447"/>
      <c r="L4542" s="447"/>
      <c r="M4542" s="448"/>
      <c r="N4542" s="448"/>
      <c r="O4542" s="448"/>
      <c r="P4542" s="448"/>
      <c r="Q4542" s="448"/>
      <c r="R4542" s="448"/>
      <c r="S4542" s="448"/>
      <c r="T4542" s="448"/>
      <c r="U4542" s="448"/>
      <c r="V4542" s="448"/>
      <c r="W4542" s="448"/>
      <c r="X4542" s="448"/>
      <c r="Y4542" s="448"/>
      <c r="Z4542" s="448"/>
      <c r="AA4542" s="448"/>
      <c r="AB4542" s="448"/>
      <c r="AC4542" s="448"/>
      <c r="AD4542" s="448"/>
      <c r="AE4542" s="448"/>
      <c r="AF4542" s="448"/>
      <c r="AG4542" s="448"/>
      <c r="AH4542" s="448"/>
      <c r="AI4542" s="448"/>
      <c r="AJ4542" s="448"/>
      <c r="AK4542" s="448"/>
      <c r="AL4542" s="448"/>
      <c r="AM4542" s="448"/>
      <c r="AN4542" s="448"/>
      <c r="AO4542" s="448"/>
      <c r="AP4542" s="448"/>
      <c r="AQ4542" s="448"/>
      <c r="AR4542" s="448"/>
      <c r="AS4542" s="448"/>
      <c r="AT4542" s="448"/>
      <c r="AU4542" s="448"/>
      <c r="AV4542" s="448"/>
      <c r="AW4542" s="448"/>
      <c r="AX4542" s="448"/>
      <c r="AY4542" s="448"/>
      <c r="AZ4542" s="448"/>
      <c r="BA4542" s="448"/>
      <c r="BB4542" s="448"/>
      <c r="BC4542" s="448"/>
      <c r="BD4542" s="448"/>
      <c r="BE4542" s="448"/>
      <c r="BF4542" s="448"/>
      <c r="BG4542" s="448"/>
      <c r="BH4542" s="448"/>
      <c r="BI4542" s="448"/>
      <c r="BJ4542" s="448"/>
      <c r="BK4542" s="448"/>
      <c r="BL4542" s="448"/>
    </row>
    <row r="4543" spans="1:64">
      <c r="A4543" s="426"/>
      <c r="B4543" s="426"/>
      <c r="C4543" s="417" t="s">
        <v>1601</v>
      </c>
      <c r="D4543" s="409"/>
      <c r="E4543" s="426"/>
      <c r="F4543" s="409"/>
      <c r="G4543" s="410"/>
      <c r="H4543" s="426"/>
      <c r="I4543" s="409"/>
      <c r="J4543" s="446"/>
      <c r="K4543" s="447"/>
      <c r="L4543" s="447"/>
      <c r="M4543" s="448"/>
      <c r="N4543" s="448"/>
      <c r="O4543" s="448"/>
      <c r="P4543" s="448"/>
      <c r="Q4543" s="448"/>
      <c r="R4543" s="448"/>
      <c r="S4543" s="448"/>
      <c r="T4543" s="448"/>
      <c r="U4543" s="448"/>
      <c r="V4543" s="448"/>
      <c r="W4543" s="448"/>
      <c r="X4543" s="448"/>
      <c r="Y4543" s="448"/>
      <c r="Z4543" s="448"/>
      <c r="AA4543" s="448"/>
      <c r="AB4543" s="448"/>
      <c r="AC4543" s="448"/>
      <c r="AD4543" s="448"/>
      <c r="AE4543" s="448"/>
      <c r="AF4543" s="448"/>
      <c r="AG4543" s="448"/>
      <c r="AH4543" s="448"/>
      <c r="AI4543" s="448"/>
      <c r="AJ4543" s="448"/>
      <c r="AK4543" s="448"/>
      <c r="AL4543" s="448"/>
      <c r="AM4543" s="448"/>
      <c r="AN4543" s="448"/>
      <c r="AO4543" s="448"/>
      <c r="AP4543" s="448"/>
      <c r="AQ4543" s="448"/>
      <c r="AR4543" s="448"/>
      <c r="AS4543" s="448"/>
      <c r="AT4543" s="448"/>
      <c r="AU4543" s="448"/>
      <c r="AV4543" s="448"/>
      <c r="AW4543" s="448"/>
      <c r="AX4543" s="448"/>
      <c r="AY4543" s="448"/>
      <c r="AZ4543" s="448"/>
      <c r="BA4543" s="448"/>
      <c r="BB4543" s="448"/>
      <c r="BC4543" s="448"/>
      <c r="BD4543" s="448"/>
      <c r="BE4543" s="448"/>
      <c r="BF4543" s="448"/>
      <c r="BG4543" s="448"/>
      <c r="BH4543" s="448"/>
      <c r="BI4543" s="448"/>
      <c r="BJ4543" s="448"/>
      <c r="BK4543" s="448"/>
      <c r="BL4543" s="448"/>
    </row>
    <row r="4544" spans="1:64">
      <c r="A4544" s="426"/>
      <c r="B4544" s="426"/>
      <c r="C4544" s="417" t="s">
        <v>1602</v>
      </c>
      <c r="D4544" s="409"/>
      <c r="E4544" s="426"/>
      <c r="F4544" s="409"/>
      <c r="G4544" s="410"/>
      <c r="H4544" s="426"/>
      <c r="I4544" s="409"/>
      <c r="J4544" s="446"/>
      <c r="K4544" s="447"/>
      <c r="L4544" s="447"/>
      <c r="M4544" s="448"/>
      <c r="N4544" s="448"/>
      <c r="O4544" s="448"/>
      <c r="P4544" s="448"/>
      <c r="Q4544" s="448"/>
      <c r="R4544" s="448"/>
      <c r="S4544" s="448"/>
      <c r="T4544" s="448"/>
      <c r="U4544" s="448"/>
      <c r="V4544" s="448"/>
      <c r="W4544" s="448"/>
      <c r="X4544" s="448"/>
      <c r="Y4544" s="448"/>
      <c r="Z4544" s="448"/>
      <c r="AA4544" s="448"/>
      <c r="AB4544" s="448"/>
      <c r="AC4544" s="448"/>
      <c r="AD4544" s="448"/>
      <c r="AE4544" s="448"/>
      <c r="AF4544" s="448"/>
      <c r="AG4544" s="448"/>
      <c r="AH4544" s="448"/>
      <c r="AI4544" s="448"/>
      <c r="AJ4544" s="448"/>
      <c r="AK4544" s="448"/>
      <c r="AL4544" s="448"/>
      <c r="AM4544" s="448"/>
      <c r="AN4544" s="448"/>
      <c r="AO4544" s="448"/>
      <c r="AP4544" s="448"/>
      <c r="AQ4544" s="448"/>
      <c r="AR4544" s="448"/>
      <c r="AS4544" s="448"/>
      <c r="AT4544" s="448"/>
      <c r="AU4544" s="448"/>
      <c r="AV4544" s="448"/>
      <c r="AW4544" s="448"/>
      <c r="AX4544" s="448"/>
      <c r="AY4544" s="448"/>
      <c r="AZ4544" s="448"/>
      <c r="BA4544" s="448"/>
      <c r="BB4544" s="448"/>
      <c r="BC4544" s="448"/>
      <c r="BD4544" s="448"/>
      <c r="BE4544" s="448"/>
      <c r="BF4544" s="448"/>
      <c r="BG4544" s="448"/>
      <c r="BH4544" s="448"/>
      <c r="BI4544" s="448"/>
      <c r="BJ4544" s="448"/>
      <c r="BK4544" s="448"/>
      <c r="BL4544" s="448"/>
    </row>
    <row r="4545" spans="1:64">
      <c r="A4545" s="426"/>
      <c r="B4545" s="426"/>
      <c r="C4545" s="417" t="s">
        <v>1603</v>
      </c>
      <c r="D4545" s="409" t="s">
        <v>1604</v>
      </c>
      <c r="E4545" s="426" t="s">
        <v>555</v>
      </c>
      <c r="F4545" s="409" t="s">
        <v>1604</v>
      </c>
      <c r="G4545" s="410"/>
      <c r="H4545" s="426"/>
      <c r="I4545" s="409"/>
      <c r="J4545" s="446"/>
      <c r="K4545" s="447"/>
      <c r="L4545" s="447"/>
      <c r="M4545" s="448"/>
      <c r="N4545" s="448"/>
      <c r="O4545" s="448"/>
      <c r="P4545" s="448"/>
      <c r="Q4545" s="448"/>
      <c r="R4545" s="448"/>
      <c r="S4545" s="448"/>
      <c r="T4545" s="448"/>
      <c r="U4545" s="448"/>
      <c r="V4545" s="448"/>
      <c r="W4545" s="448"/>
      <c r="X4545" s="448"/>
      <c r="Y4545" s="448"/>
      <c r="Z4545" s="448"/>
      <c r="AA4545" s="448"/>
      <c r="AB4545" s="448"/>
      <c r="AC4545" s="448"/>
      <c r="AD4545" s="448"/>
      <c r="AE4545" s="448"/>
      <c r="AF4545" s="448"/>
      <c r="AG4545" s="448"/>
      <c r="AH4545" s="448"/>
      <c r="AI4545" s="448"/>
      <c r="AJ4545" s="448"/>
      <c r="AK4545" s="448"/>
      <c r="AL4545" s="448"/>
      <c r="AM4545" s="448"/>
      <c r="AN4545" s="448"/>
      <c r="AO4545" s="448"/>
      <c r="AP4545" s="448"/>
      <c r="AQ4545" s="448"/>
      <c r="AR4545" s="448"/>
      <c r="AS4545" s="448"/>
      <c r="AT4545" s="448"/>
      <c r="AU4545" s="448"/>
      <c r="AV4545" s="448"/>
      <c r="AW4545" s="448"/>
      <c r="AX4545" s="448"/>
      <c r="AY4545" s="448"/>
      <c r="AZ4545" s="448"/>
      <c r="BA4545" s="448"/>
      <c r="BB4545" s="448"/>
      <c r="BC4545" s="448"/>
      <c r="BD4545" s="448"/>
      <c r="BE4545" s="448"/>
      <c r="BF4545" s="448"/>
      <c r="BG4545" s="448"/>
      <c r="BH4545" s="448"/>
      <c r="BI4545" s="448"/>
      <c r="BJ4545" s="448"/>
      <c r="BK4545" s="448"/>
      <c r="BL4545" s="448"/>
    </row>
    <row r="4546" spans="1:64">
      <c r="A4546" s="426"/>
      <c r="B4546" s="426"/>
      <c r="C4546" s="417" t="s">
        <v>1605</v>
      </c>
      <c r="D4546" s="409">
        <v>5</v>
      </c>
      <c r="E4546" s="426" t="s">
        <v>555</v>
      </c>
      <c r="F4546" s="409">
        <f>'[161]Civil-SOR'!G293</f>
        <v>580</v>
      </c>
      <c r="G4546" s="410">
        <v>1</v>
      </c>
      <c r="H4546" s="426" t="s">
        <v>678</v>
      </c>
      <c r="I4546" s="409">
        <f t="shared" ref="I4546:I4558" si="990">IF(G4546="",D4546*F4546,(D4546*F4546/G4546))</f>
        <v>2900</v>
      </c>
      <c r="J4546" s="446"/>
      <c r="K4546" s="447"/>
      <c r="L4546" s="447"/>
      <c r="M4546" s="448"/>
      <c r="N4546" s="448"/>
      <c r="O4546" s="448"/>
      <c r="P4546" s="448"/>
      <c r="Q4546" s="448"/>
      <c r="R4546" s="448"/>
      <c r="S4546" s="448"/>
      <c r="T4546" s="448"/>
      <c r="U4546" s="448"/>
      <c r="V4546" s="448"/>
      <c r="W4546" s="448"/>
      <c r="X4546" s="448"/>
      <c r="Y4546" s="448"/>
      <c r="Z4546" s="448"/>
      <c r="AA4546" s="448"/>
      <c r="AB4546" s="448"/>
      <c r="AC4546" s="448"/>
      <c r="AD4546" s="448"/>
      <c r="AE4546" s="448"/>
      <c r="AF4546" s="448"/>
      <c r="AG4546" s="448"/>
      <c r="AH4546" s="448"/>
      <c r="AI4546" s="448"/>
      <c r="AJ4546" s="448"/>
      <c r="AK4546" s="448"/>
      <c r="AL4546" s="448"/>
      <c r="AM4546" s="448"/>
      <c r="AN4546" s="448"/>
      <c r="AO4546" s="448"/>
      <c r="AP4546" s="448"/>
      <c r="AQ4546" s="448"/>
      <c r="AR4546" s="448"/>
      <c r="AS4546" s="448"/>
      <c r="AT4546" s="448"/>
      <c r="AU4546" s="448"/>
      <c r="AV4546" s="448"/>
      <c r="AW4546" s="448"/>
      <c r="AX4546" s="448"/>
      <c r="AY4546" s="448"/>
      <c r="AZ4546" s="448"/>
      <c r="BA4546" s="448"/>
      <c r="BB4546" s="448"/>
      <c r="BC4546" s="448"/>
      <c r="BD4546" s="448"/>
      <c r="BE4546" s="448"/>
      <c r="BF4546" s="448"/>
      <c r="BG4546" s="448"/>
      <c r="BH4546" s="448"/>
      <c r="BI4546" s="448"/>
      <c r="BJ4546" s="448"/>
      <c r="BK4546" s="448"/>
      <c r="BL4546" s="448"/>
    </row>
    <row r="4547" spans="1:64">
      <c r="A4547" s="426"/>
      <c r="B4547" s="426"/>
      <c r="C4547" s="417" t="s">
        <v>1606</v>
      </c>
      <c r="D4547" s="409">
        <v>5</v>
      </c>
      <c r="E4547" s="426" t="s">
        <v>555</v>
      </c>
      <c r="F4547" s="409">
        <f>'[161]Civil-SOR'!G302</f>
        <v>550</v>
      </c>
      <c r="G4547" s="410">
        <v>1</v>
      </c>
      <c r="H4547" s="426" t="s">
        <v>678</v>
      </c>
      <c r="I4547" s="409">
        <f t="shared" si="990"/>
        <v>2750</v>
      </c>
      <c r="J4547" s="446"/>
      <c r="K4547" s="447"/>
      <c r="L4547" s="447"/>
      <c r="M4547" s="448"/>
      <c r="N4547" s="448"/>
      <c r="O4547" s="448"/>
      <c r="P4547" s="448"/>
      <c r="Q4547" s="448"/>
      <c r="R4547" s="448"/>
      <c r="S4547" s="448"/>
      <c r="T4547" s="448"/>
      <c r="U4547" s="448"/>
      <c r="V4547" s="448"/>
      <c r="W4547" s="448"/>
      <c r="X4547" s="448"/>
      <c r="Y4547" s="448"/>
      <c r="Z4547" s="448"/>
      <c r="AA4547" s="448"/>
      <c r="AB4547" s="448"/>
      <c r="AC4547" s="448"/>
      <c r="AD4547" s="448"/>
      <c r="AE4547" s="448"/>
      <c r="AF4547" s="448"/>
      <c r="AG4547" s="448"/>
      <c r="AH4547" s="448"/>
      <c r="AI4547" s="448"/>
      <c r="AJ4547" s="448"/>
      <c r="AK4547" s="448"/>
      <c r="AL4547" s="448"/>
      <c r="AM4547" s="448"/>
      <c r="AN4547" s="448"/>
      <c r="AO4547" s="448"/>
      <c r="AP4547" s="448"/>
      <c r="AQ4547" s="448"/>
      <c r="AR4547" s="448"/>
      <c r="AS4547" s="448"/>
      <c r="AT4547" s="448"/>
      <c r="AU4547" s="448"/>
      <c r="AV4547" s="448"/>
      <c r="AW4547" s="448"/>
      <c r="AX4547" s="448"/>
      <c r="AY4547" s="448"/>
      <c r="AZ4547" s="448"/>
      <c r="BA4547" s="448"/>
      <c r="BB4547" s="448"/>
      <c r="BC4547" s="448"/>
      <c r="BD4547" s="448"/>
      <c r="BE4547" s="448"/>
      <c r="BF4547" s="448"/>
      <c r="BG4547" s="448"/>
      <c r="BH4547" s="448"/>
      <c r="BI4547" s="448"/>
      <c r="BJ4547" s="448"/>
      <c r="BK4547" s="448"/>
      <c r="BL4547" s="448"/>
    </row>
    <row r="4548" spans="1:64">
      <c r="A4548" s="426"/>
      <c r="B4548" s="426"/>
      <c r="C4548" s="417" t="s">
        <v>903</v>
      </c>
      <c r="D4548" s="409">
        <v>150</v>
      </c>
      <c r="E4548" s="426" t="s">
        <v>555</v>
      </c>
      <c r="F4548" s="409">
        <f>'[161]Civil-SOR'!G307</f>
        <v>520</v>
      </c>
      <c r="G4548" s="410">
        <v>1</v>
      </c>
      <c r="H4548" s="426" t="s">
        <v>678</v>
      </c>
      <c r="I4548" s="409">
        <f t="shared" si="990"/>
        <v>78000</v>
      </c>
      <c r="J4548" s="446"/>
      <c r="K4548" s="447"/>
      <c r="L4548" s="447"/>
      <c r="M4548" s="448"/>
      <c r="N4548" s="448"/>
      <c r="O4548" s="448"/>
      <c r="P4548" s="448"/>
      <c r="Q4548" s="448"/>
      <c r="R4548" s="448"/>
      <c r="S4548" s="448"/>
      <c r="T4548" s="448"/>
      <c r="U4548" s="448"/>
      <c r="V4548" s="448"/>
      <c r="W4548" s="448"/>
      <c r="X4548" s="448"/>
      <c r="Y4548" s="448"/>
      <c r="Z4548" s="448"/>
      <c r="AA4548" s="448"/>
      <c r="AB4548" s="448"/>
      <c r="AC4548" s="448"/>
      <c r="AD4548" s="448"/>
      <c r="AE4548" s="448"/>
      <c r="AF4548" s="448"/>
      <c r="AG4548" s="448"/>
      <c r="AH4548" s="448"/>
      <c r="AI4548" s="448"/>
      <c r="AJ4548" s="448"/>
      <c r="AK4548" s="448"/>
      <c r="AL4548" s="448"/>
      <c r="AM4548" s="448"/>
      <c r="AN4548" s="448"/>
      <c r="AO4548" s="448"/>
      <c r="AP4548" s="448"/>
      <c r="AQ4548" s="448"/>
      <c r="AR4548" s="448"/>
      <c r="AS4548" s="448"/>
      <c r="AT4548" s="448"/>
      <c r="AU4548" s="448"/>
      <c r="AV4548" s="448"/>
      <c r="AW4548" s="448"/>
      <c r="AX4548" s="448"/>
      <c r="AY4548" s="448"/>
      <c r="AZ4548" s="448"/>
      <c r="BA4548" s="448"/>
      <c r="BB4548" s="448"/>
      <c r="BC4548" s="448"/>
      <c r="BD4548" s="448"/>
      <c r="BE4548" s="448"/>
      <c r="BF4548" s="448"/>
      <c r="BG4548" s="448"/>
      <c r="BH4548" s="448"/>
      <c r="BI4548" s="448"/>
      <c r="BJ4548" s="448"/>
      <c r="BK4548" s="448"/>
      <c r="BL4548" s="448"/>
    </row>
    <row r="4549" spans="1:64">
      <c r="A4549" s="426"/>
      <c r="B4549" s="426"/>
      <c r="C4549" s="417" t="s">
        <v>1607</v>
      </c>
      <c r="D4549" s="409">
        <v>6</v>
      </c>
      <c r="E4549" s="426" t="s">
        <v>555</v>
      </c>
      <c r="F4549" s="409">
        <f>+F4548</f>
        <v>520</v>
      </c>
      <c r="G4549" s="410">
        <v>1</v>
      </c>
      <c r="H4549" s="426" t="s">
        <v>678</v>
      </c>
      <c r="I4549" s="409">
        <f t="shared" si="990"/>
        <v>3120</v>
      </c>
      <c r="J4549" s="446"/>
      <c r="K4549" s="447"/>
      <c r="L4549" s="447"/>
      <c r="M4549" s="448"/>
      <c r="N4549" s="448"/>
      <c r="O4549" s="448"/>
      <c r="P4549" s="448"/>
      <c r="Q4549" s="448"/>
      <c r="R4549" s="448"/>
      <c r="S4549" s="448"/>
      <c r="T4549" s="448"/>
      <c r="U4549" s="448"/>
      <c r="V4549" s="448"/>
      <c r="W4549" s="448"/>
      <c r="X4549" s="448"/>
      <c r="Y4549" s="448"/>
      <c r="Z4549" s="448"/>
      <c r="AA4549" s="448"/>
      <c r="AB4549" s="448"/>
      <c r="AC4549" s="448"/>
      <c r="AD4549" s="448"/>
      <c r="AE4549" s="448"/>
      <c r="AF4549" s="448"/>
      <c r="AG4549" s="448"/>
      <c r="AH4549" s="448"/>
      <c r="AI4549" s="448"/>
      <c r="AJ4549" s="448"/>
      <c r="AK4549" s="448"/>
      <c r="AL4549" s="448"/>
      <c r="AM4549" s="448"/>
      <c r="AN4549" s="448"/>
      <c r="AO4549" s="448"/>
      <c r="AP4549" s="448"/>
      <c r="AQ4549" s="448"/>
      <c r="AR4549" s="448"/>
      <c r="AS4549" s="448"/>
      <c r="AT4549" s="448"/>
      <c r="AU4549" s="448"/>
      <c r="AV4549" s="448"/>
      <c r="AW4549" s="448"/>
      <c r="AX4549" s="448"/>
      <c r="AY4549" s="448"/>
      <c r="AZ4549" s="448"/>
      <c r="BA4549" s="448"/>
      <c r="BB4549" s="448"/>
      <c r="BC4549" s="448"/>
      <c r="BD4549" s="448"/>
      <c r="BE4549" s="448"/>
      <c r="BF4549" s="448"/>
      <c r="BG4549" s="448"/>
      <c r="BH4549" s="448"/>
      <c r="BI4549" s="448"/>
      <c r="BJ4549" s="448"/>
      <c r="BK4549" s="448"/>
      <c r="BL4549" s="448"/>
    </row>
    <row r="4550" spans="1:64">
      <c r="A4550" s="426"/>
      <c r="B4550" s="426"/>
      <c r="C4550" s="417" t="str">
        <f>[161]Input!C$47</f>
        <v>Add for MA @ 40%</v>
      </c>
      <c r="D4550" s="746">
        <f>[161]Input!D$47</f>
        <v>0.4</v>
      </c>
      <c r="E4550" s="426"/>
      <c r="F4550" s="409">
        <f>+SUM(I4546:I4549)</f>
        <v>86770</v>
      </c>
      <c r="G4550" s="410"/>
      <c r="H4550" s="426"/>
      <c r="I4550" s="409">
        <f t="shared" si="990"/>
        <v>34708</v>
      </c>
      <c r="J4550" s="446"/>
      <c r="K4550" s="447"/>
      <c r="L4550" s="447"/>
      <c r="M4550" s="448"/>
      <c r="N4550" s="448"/>
      <c r="O4550" s="448"/>
      <c r="P4550" s="448"/>
      <c r="Q4550" s="448"/>
      <c r="R4550" s="448"/>
      <c r="S4550" s="448"/>
      <c r="T4550" s="448"/>
      <c r="U4550" s="448"/>
      <c r="V4550" s="448"/>
      <c r="W4550" s="448"/>
      <c r="X4550" s="448"/>
      <c r="Y4550" s="448"/>
      <c r="Z4550" s="448"/>
      <c r="AA4550" s="448"/>
      <c r="AB4550" s="448"/>
      <c r="AC4550" s="448"/>
      <c r="AD4550" s="448"/>
      <c r="AE4550" s="448"/>
      <c r="AF4550" s="448"/>
      <c r="AG4550" s="448"/>
      <c r="AH4550" s="448"/>
      <c r="AI4550" s="448"/>
      <c r="AJ4550" s="448"/>
      <c r="AK4550" s="448"/>
      <c r="AL4550" s="448"/>
      <c r="AM4550" s="448"/>
      <c r="AN4550" s="448"/>
      <c r="AO4550" s="448"/>
      <c r="AP4550" s="448"/>
      <c r="AQ4550" s="448"/>
      <c r="AR4550" s="448"/>
      <c r="AS4550" s="448"/>
      <c r="AT4550" s="448"/>
      <c r="AU4550" s="448"/>
      <c r="AV4550" s="448"/>
      <c r="AW4550" s="448"/>
      <c r="AX4550" s="448"/>
      <c r="AY4550" s="448"/>
      <c r="AZ4550" s="448"/>
      <c r="BA4550" s="448"/>
      <c r="BB4550" s="448"/>
      <c r="BC4550" s="448"/>
      <c r="BD4550" s="448"/>
      <c r="BE4550" s="448"/>
      <c r="BF4550" s="448"/>
      <c r="BG4550" s="448"/>
      <c r="BH4550" s="448"/>
      <c r="BI4550" s="448"/>
      <c r="BJ4550" s="448"/>
      <c r="BK4550" s="448"/>
      <c r="BL4550" s="448"/>
    </row>
    <row r="4551" spans="1:64">
      <c r="A4551" s="426"/>
      <c r="B4551" s="426"/>
      <c r="C4551" s="417" t="s">
        <v>1608</v>
      </c>
      <c r="D4551" s="409"/>
      <c r="E4551" s="426"/>
      <c r="F4551" s="409"/>
      <c r="G4551" s="410"/>
      <c r="H4551" s="426"/>
      <c r="I4551" s="409">
        <f t="shared" si="990"/>
        <v>0</v>
      </c>
      <c r="J4551" s="446"/>
      <c r="K4551" s="447"/>
      <c r="L4551" s="447"/>
      <c r="M4551" s="448"/>
      <c r="N4551" s="448"/>
      <c r="O4551" s="448"/>
      <c r="P4551" s="448"/>
      <c r="Q4551" s="448"/>
      <c r="R4551" s="448"/>
      <c r="S4551" s="448"/>
      <c r="T4551" s="448"/>
      <c r="U4551" s="448"/>
      <c r="V4551" s="448"/>
      <c r="W4551" s="448"/>
      <c r="X4551" s="448"/>
      <c r="Y4551" s="448"/>
      <c r="Z4551" s="448"/>
      <c r="AA4551" s="448"/>
      <c r="AB4551" s="448"/>
      <c r="AC4551" s="448"/>
      <c r="AD4551" s="448"/>
      <c r="AE4551" s="448"/>
      <c r="AF4551" s="448"/>
      <c r="AG4551" s="448"/>
      <c r="AH4551" s="448"/>
      <c r="AI4551" s="448"/>
      <c r="AJ4551" s="448"/>
      <c r="AK4551" s="448"/>
      <c r="AL4551" s="448"/>
      <c r="AM4551" s="448"/>
      <c r="AN4551" s="448"/>
      <c r="AO4551" s="448"/>
      <c r="AP4551" s="448"/>
      <c r="AQ4551" s="448"/>
      <c r="AR4551" s="448"/>
      <c r="AS4551" s="448"/>
      <c r="AT4551" s="448"/>
      <c r="AU4551" s="448"/>
      <c r="AV4551" s="448"/>
      <c r="AW4551" s="448"/>
      <c r="AX4551" s="448"/>
      <c r="AY4551" s="448"/>
      <c r="AZ4551" s="448"/>
      <c r="BA4551" s="448"/>
      <c r="BB4551" s="448"/>
      <c r="BC4551" s="448"/>
      <c r="BD4551" s="448"/>
      <c r="BE4551" s="448"/>
      <c r="BF4551" s="448"/>
      <c r="BG4551" s="448"/>
      <c r="BH4551" s="448"/>
      <c r="BI4551" s="448"/>
      <c r="BJ4551" s="448"/>
      <c r="BK4551" s="448"/>
      <c r="BL4551" s="448"/>
    </row>
    <row r="4552" spans="1:64" ht="37.5">
      <c r="A4552" s="426"/>
      <c r="B4552" s="426"/>
      <c r="C4552" s="417" t="s">
        <v>1609</v>
      </c>
      <c r="D4552" s="409">
        <v>36</v>
      </c>
      <c r="E4552" s="426" t="s">
        <v>1610</v>
      </c>
      <c r="F4552" s="409">
        <f>+'[161]Civil-SOR'!$G$330</f>
        <v>192.9</v>
      </c>
      <c r="G4552" s="410">
        <v>1</v>
      </c>
      <c r="H4552" s="426" t="s">
        <v>797</v>
      </c>
      <c r="I4552" s="409">
        <f t="shared" si="990"/>
        <v>6944.4000000000005</v>
      </c>
      <c r="J4552" s="446"/>
      <c r="K4552" s="447"/>
      <c r="L4552" s="447"/>
      <c r="M4552" s="448"/>
      <c r="N4552" s="448"/>
      <c r="O4552" s="448"/>
      <c r="P4552" s="448"/>
      <c r="Q4552" s="448"/>
      <c r="R4552" s="448"/>
      <c r="S4552" s="448"/>
      <c r="T4552" s="448"/>
      <c r="U4552" s="448"/>
      <c r="V4552" s="448"/>
      <c r="W4552" s="448"/>
      <c r="X4552" s="448"/>
      <c r="Y4552" s="448"/>
      <c r="Z4552" s="448"/>
      <c r="AA4552" s="448"/>
      <c r="AB4552" s="448"/>
      <c r="AC4552" s="448"/>
      <c r="AD4552" s="448"/>
      <c r="AE4552" s="448"/>
      <c r="AF4552" s="448"/>
      <c r="AG4552" s="448"/>
      <c r="AH4552" s="448"/>
      <c r="AI4552" s="448"/>
      <c r="AJ4552" s="448"/>
      <c r="AK4552" s="448"/>
      <c r="AL4552" s="448"/>
      <c r="AM4552" s="448"/>
      <c r="AN4552" s="448"/>
      <c r="AO4552" s="448"/>
      <c r="AP4552" s="448"/>
      <c r="AQ4552" s="448"/>
      <c r="AR4552" s="448"/>
      <c r="AS4552" s="448"/>
      <c r="AT4552" s="448"/>
      <c r="AU4552" s="448"/>
      <c r="AV4552" s="448"/>
      <c r="AW4552" s="448"/>
      <c r="AX4552" s="448"/>
      <c r="AY4552" s="448"/>
      <c r="AZ4552" s="448"/>
      <c r="BA4552" s="448"/>
      <c r="BB4552" s="448"/>
      <c r="BC4552" s="448"/>
      <c r="BD4552" s="448"/>
      <c r="BE4552" s="448"/>
      <c r="BF4552" s="448"/>
      <c r="BG4552" s="448"/>
      <c r="BH4552" s="448"/>
      <c r="BI4552" s="448"/>
      <c r="BJ4552" s="448"/>
      <c r="BK4552" s="448"/>
      <c r="BL4552" s="448"/>
    </row>
    <row r="4553" spans="1:64">
      <c r="A4553" s="426"/>
      <c r="B4553" s="426"/>
      <c r="C4553" s="417" t="s">
        <v>828</v>
      </c>
      <c r="D4553" s="409">
        <f>+D4552</f>
        <v>36</v>
      </c>
      <c r="E4553" s="426" t="s">
        <v>1610</v>
      </c>
      <c r="F4553" s="409">
        <f>+'[161]Civil-SOR'!$J$330</f>
        <v>302.89999999999998</v>
      </c>
      <c r="G4553" s="410">
        <v>1</v>
      </c>
      <c r="H4553" s="426" t="s">
        <v>797</v>
      </c>
      <c r="I4553" s="409">
        <f t="shared" si="990"/>
        <v>10904.4</v>
      </c>
      <c r="J4553" s="446"/>
      <c r="K4553" s="447"/>
      <c r="L4553" s="447"/>
      <c r="M4553" s="448"/>
      <c r="N4553" s="448"/>
      <c r="O4553" s="448"/>
      <c r="P4553" s="448"/>
      <c r="Q4553" s="448"/>
      <c r="R4553" s="448"/>
      <c r="S4553" s="448"/>
      <c r="T4553" s="448"/>
      <c r="U4553" s="448"/>
      <c r="V4553" s="448"/>
      <c r="W4553" s="448"/>
      <c r="X4553" s="448"/>
      <c r="Y4553" s="448"/>
      <c r="Z4553" s="448"/>
      <c r="AA4553" s="448"/>
      <c r="AB4553" s="448"/>
      <c r="AC4553" s="448"/>
      <c r="AD4553" s="448"/>
      <c r="AE4553" s="448"/>
      <c r="AF4553" s="448"/>
      <c r="AG4553" s="448"/>
      <c r="AH4553" s="448"/>
      <c r="AI4553" s="448"/>
      <c r="AJ4553" s="448"/>
      <c r="AK4553" s="448"/>
      <c r="AL4553" s="448"/>
      <c r="AM4553" s="448"/>
      <c r="AN4553" s="448"/>
      <c r="AO4553" s="448"/>
      <c r="AP4553" s="448"/>
      <c r="AQ4553" s="448"/>
      <c r="AR4553" s="448"/>
      <c r="AS4553" s="448"/>
      <c r="AT4553" s="448"/>
      <c r="AU4553" s="448"/>
      <c r="AV4553" s="448"/>
      <c r="AW4553" s="448"/>
      <c r="AX4553" s="448"/>
      <c r="AY4553" s="448"/>
      <c r="AZ4553" s="448"/>
      <c r="BA4553" s="448"/>
      <c r="BB4553" s="448"/>
      <c r="BC4553" s="448"/>
      <c r="BD4553" s="448"/>
      <c r="BE4553" s="448"/>
      <c r="BF4553" s="448"/>
      <c r="BG4553" s="448"/>
      <c r="BH4553" s="448"/>
      <c r="BI4553" s="448"/>
      <c r="BJ4553" s="448"/>
      <c r="BK4553" s="448"/>
      <c r="BL4553" s="448"/>
    </row>
    <row r="4554" spans="1:64">
      <c r="A4554" s="426"/>
      <c r="B4554" s="426"/>
      <c r="C4554" s="417" t="str">
        <f>[161]Input!C$47</f>
        <v>Add for MA @ 40%</v>
      </c>
      <c r="D4554" s="746">
        <f>[161]Input!D$47</f>
        <v>0.4</v>
      </c>
      <c r="E4554" s="426"/>
      <c r="F4554" s="409">
        <f>I4553</f>
        <v>10904.4</v>
      </c>
      <c r="G4554" s="410"/>
      <c r="H4554" s="426"/>
      <c r="I4554" s="409">
        <f t="shared" si="990"/>
        <v>4361.76</v>
      </c>
      <c r="J4554" s="446"/>
      <c r="K4554" s="447"/>
      <c r="L4554" s="447"/>
      <c r="M4554" s="448"/>
      <c r="N4554" s="448"/>
      <c r="O4554" s="448"/>
      <c r="P4554" s="448"/>
      <c r="Q4554" s="448"/>
      <c r="R4554" s="448"/>
      <c r="S4554" s="448"/>
      <c r="T4554" s="448"/>
      <c r="U4554" s="448"/>
      <c r="V4554" s="448"/>
      <c r="W4554" s="448"/>
      <c r="X4554" s="448"/>
      <c r="Y4554" s="448"/>
      <c r="Z4554" s="448"/>
      <c r="AA4554" s="448"/>
      <c r="AB4554" s="448"/>
      <c r="AC4554" s="448"/>
      <c r="AD4554" s="448"/>
      <c r="AE4554" s="448"/>
      <c r="AF4554" s="448"/>
      <c r="AG4554" s="448"/>
      <c r="AH4554" s="448"/>
      <c r="AI4554" s="448"/>
      <c r="AJ4554" s="448"/>
      <c r="AK4554" s="448"/>
      <c r="AL4554" s="448"/>
      <c r="AM4554" s="448"/>
      <c r="AN4554" s="448"/>
      <c r="AO4554" s="448"/>
      <c r="AP4554" s="448"/>
      <c r="AQ4554" s="448"/>
      <c r="AR4554" s="448"/>
      <c r="AS4554" s="448"/>
      <c r="AT4554" s="448"/>
      <c r="AU4554" s="448"/>
      <c r="AV4554" s="448"/>
      <c r="AW4554" s="448"/>
      <c r="AX4554" s="448"/>
      <c r="AY4554" s="448"/>
      <c r="AZ4554" s="448"/>
      <c r="BA4554" s="448"/>
      <c r="BB4554" s="448"/>
      <c r="BC4554" s="448"/>
      <c r="BD4554" s="448"/>
      <c r="BE4554" s="448"/>
      <c r="BF4554" s="448"/>
      <c r="BG4554" s="448"/>
      <c r="BH4554" s="448"/>
      <c r="BI4554" s="448"/>
      <c r="BJ4554" s="448"/>
      <c r="BK4554" s="448"/>
      <c r="BL4554" s="448"/>
    </row>
    <row r="4555" spans="1:64">
      <c r="A4555" s="426"/>
      <c r="B4555" s="426"/>
      <c r="C4555" s="417" t="s">
        <v>1611</v>
      </c>
      <c r="D4555" s="409">
        <v>9</v>
      </c>
      <c r="E4555" s="426" t="s">
        <v>1610</v>
      </c>
      <c r="F4555" s="409">
        <f>'[161]Civil-SOR'!G332</f>
        <v>36.5</v>
      </c>
      <c r="G4555" s="410">
        <v>1</v>
      </c>
      <c r="H4555" s="426" t="s">
        <v>797</v>
      </c>
      <c r="I4555" s="409">
        <f t="shared" si="990"/>
        <v>328.5</v>
      </c>
      <c r="J4555" s="446"/>
      <c r="K4555" s="447"/>
      <c r="L4555" s="447"/>
      <c r="M4555" s="448"/>
      <c r="N4555" s="448"/>
      <c r="O4555" s="448"/>
      <c r="P4555" s="448"/>
      <c r="Q4555" s="448"/>
      <c r="R4555" s="448"/>
      <c r="S4555" s="448"/>
      <c r="T4555" s="448"/>
      <c r="U4555" s="448"/>
      <c r="V4555" s="448"/>
      <c r="W4555" s="448"/>
      <c r="X4555" s="448"/>
      <c r="Y4555" s="448"/>
      <c r="Z4555" s="448"/>
      <c r="AA4555" s="448"/>
      <c r="AB4555" s="448"/>
      <c r="AC4555" s="448"/>
      <c r="AD4555" s="448"/>
      <c r="AE4555" s="448"/>
      <c r="AF4555" s="448"/>
      <c r="AG4555" s="448"/>
      <c r="AH4555" s="448"/>
      <c r="AI4555" s="448"/>
      <c r="AJ4555" s="448"/>
      <c r="AK4555" s="448"/>
      <c r="AL4555" s="448"/>
      <c r="AM4555" s="448"/>
      <c r="AN4555" s="448"/>
      <c r="AO4555" s="448"/>
      <c r="AP4555" s="448"/>
      <c r="AQ4555" s="448"/>
      <c r="AR4555" s="448"/>
      <c r="AS4555" s="448"/>
      <c r="AT4555" s="448"/>
      <c r="AU4555" s="448"/>
      <c r="AV4555" s="448"/>
      <c r="AW4555" s="448"/>
      <c r="AX4555" s="448"/>
      <c r="AY4555" s="448"/>
      <c r="AZ4555" s="448"/>
      <c r="BA4555" s="448"/>
      <c r="BB4555" s="448"/>
      <c r="BC4555" s="448"/>
      <c r="BD4555" s="448"/>
      <c r="BE4555" s="448"/>
      <c r="BF4555" s="448"/>
      <c r="BG4555" s="448"/>
      <c r="BH4555" s="448"/>
      <c r="BI4555" s="448"/>
      <c r="BJ4555" s="448"/>
      <c r="BK4555" s="448"/>
      <c r="BL4555" s="448"/>
    </row>
    <row r="4556" spans="1:64">
      <c r="A4556" s="426"/>
      <c r="B4556" s="426"/>
      <c r="C4556" s="417" t="s">
        <v>828</v>
      </c>
      <c r="D4556" s="409">
        <f>+D4555</f>
        <v>9</v>
      </c>
      <c r="E4556" s="426" t="s">
        <v>1610</v>
      </c>
      <c r="F4556" s="409">
        <f>'[161]Civil-SOR'!J332</f>
        <v>218</v>
      </c>
      <c r="G4556" s="410">
        <v>1</v>
      </c>
      <c r="H4556" s="426" t="s">
        <v>797</v>
      </c>
      <c r="I4556" s="409">
        <f t="shared" si="990"/>
        <v>1962</v>
      </c>
      <c r="J4556" s="446"/>
      <c r="K4556" s="447"/>
      <c r="L4556" s="447"/>
      <c r="M4556" s="448"/>
      <c r="N4556" s="448"/>
      <c r="O4556" s="448"/>
      <c r="P4556" s="448"/>
      <c r="Q4556" s="448"/>
      <c r="R4556" s="448"/>
      <c r="S4556" s="448"/>
      <c r="T4556" s="448"/>
      <c r="U4556" s="448"/>
      <c r="V4556" s="448"/>
      <c r="W4556" s="448"/>
      <c r="X4556" s="448"/>
      <c r="Y4556" s="448"/>
      <c r="Z4556" s="448"/>
      <c r="AA4556" s="448"/>
      <c r="AB4556" s="448"/>
      <c r="AC4556" s="448"/>
      <c r="AD4556" s="448"/>
      <c r="AE4556" s="448"/>
      <c r="AF4556" s="448"/>
      <c r="AG4556" s="448"/>
      <c r="AH4556" s="448"/>
      <c r="AI4556" s="448"/>
      <c r="AJ4556" s="448"/>
      <c r="AK4556" s="448"/>
      <c r="AL4556" s="448"/>
      <c r="AM4556" s="448"/>
      <c r="AN4556" s="448"/>
      <c r="AO4556" s="448"/>
      <c r="AP4556" s="448"/>
      <c r="AQ4556" s="448"/>
      <c r="AR4556" s="448"/>
      <c r="AS4556" s="448"/>
      <c r="AT4556" s="448"/>
      <c r="AU4556" s="448"/>
      <c r="AV4556" s="448"/>
      <c r="AW4556" s="448"/>
      <c r="AX4556" s="448"/>
      <c r="AY4556" s="448"/>
      <c r="AZ4556" s="448"/>
      <c r="BA4556" s="448"/>
      <c r="BB4556" s="448"/>
      <c r="BC4556" s="448"/>
      <c r="BD4556" s="448"/>
      <c r="BE4556" s="448"/>
      <c r="BF4556" s="448"/>
      <c r="BG4556" s="448"/>
      <c r="BH4556" s="448"/>
      <c r="BI4556" s="448"/>
      <c r="BJ4556" s="448"/>
      <c r="BK4556" s="448"/>
      <c r="BL4556" s="448"/>
    </row>
    <row r="4557" spans="1:64">
      <c r="A4557" s="426"/>
      <c r="B4557" s="426"/>
      <c r="C4557" s="417" t="str">
        <f>[161]Input!C$47</f>
        <v>Add for MA @ 40%</v>
      </c>
      <c r="D4557" s="746">
        <f>[161]Input!D$47</f>
        <v>0.4</v>
      </c>
      <c r="E4557" s="426"/>
      <c r="F4557" s="409">
        <f>I4556</f>
        <v>1962</v>
      </c>
      <c r="G4557" s="410"/>
      <c r="H4557" s="426"/>
      <c r="I4557" s="409">
        <f t="shared" si="990"/>
        <v>784.80000000000007</v>
      </c>
      <c r="J4557" s="446"/>
      <c r="K4557" s="447"/>
      <c r="L4557" s="447"/>
      <c r="M4557" s="448"/>
      <c r="N4557" s="448"/>
      <c r="O4557" s="448"/>
      <c r="P4557" s="448"/>
      <c r="Q4557" s="448"/>
      <c r="R4557" s="448"/>
      <c r="S4557" s="448"/>
      <c r="T4557" s="448"/>
      <c r="U4557" s="448"/>
      <c r="V4557" s="448"/>
      <c r="W4557" s="448"/>
      <c r="X4557" s="448"/>
      <c r="Y4557" s="448"/>
      <c r="Z4557" s="448"/>
      <c r="AA4557" s="448"/>
      <c r="AB4557" s="448"/>
      <c r="AC4557" s="448"/>
      <c r="AD4557" s="448"/>
      <c r="AE4557" s="448"/>
      <c r="AF4557" s="448"/>
      <c r="AG4557" s="448"/>
      <c r="AH4557" s="448"/>
      <c r="AI4557" s="448"/>
      <c r="AJ4557" s="448"/>
      <c r="AK4557" s="448"/>
      <c r="AL4557" s="448"/>
      <c r="AM4557" s="448"/>
      <c r="AN4557" s="448"/>
      <c r="AO4557" s="448"/>
      <c r="AP4557" s="448"/>
      <c r="AQ4557" s="448"/>
      <c r="AR4557" s="448"/>
      <c r="AS4557" s="448"/>
      <c r="AT4557" s="448"/>
      <c r="AU4557" s="448"/>
      <c r="AV4557" s="448"/>
      <c r="AW4557" s="448"/>
      <c r="AX4557" s="448"/>
      <c r="AY4557" s="448"/>
      <c r="AZ4557" s="448"/>
      <c r="BA4557" s="448"/>
      <c r="BB4557" s="448"/>
      <c r="BC4557" s="448"/>
      <c r="BD4557" s="448"/>
      <c r="BE4557" s="448"/>
      <c r="BF4557" s="448"/>
      <c r="BG4557" s="448"/>
      <c r="BH4557" s="448"/>
      <c r="BI4557" s="448"/>
      <c r="BJ4557" s="448"/>
      <c r="BK4557" s="448"/>
      <c r="BL4557" s="448"/>
    </row>
    <row r="4558" spans="1:64">
      <c r="A4558" s="426"/>
      <c r="B4558" s="426"/>
      <c r="C4558" s="417" t="s">
        <v>1612</v>
      </c>
      <c r="D4558" s="409">
        <v>5</v>
      </c>
      <c r="E4558" s="426" t="s">
        <v>1610</v>
      </c>
      <c r="F4558" s="409">
        <f>+'[161]Civil-SOR'!$G$357</f>
        <v>769</v>
      </c>
      <c r="G4558" s="410">
        <v>1</v>
      </c>
      <c r="H4558" s="426" t="s">
        <v>797</v>
      </c>
      <c r="I4558" s="409">
        <f t="shared" si="990"/>
        <v>3845</v>
      </c>
      <c r="J4558" s="446"/>
      <c r="K4558" s="447"/>
      <c r="L4558" s="447"/>
      <c r="M4558" s="448"/>
      <c r="N4558" s="448"/>
      <c r="O4558" s="448"/>
      <c r="P4558" s="448"/>
      <c r="Q4558" s="448"/>
      <c r="R4558" s="448"/>
      <c r="S4558" s="448"/>
      <c r="T4558" s="448"/>
      <c r="U4558" s="448"/>
      <c r="V4558" s="448"/>
      <c r="W4558" s="448"/>
      <c r="X4558" s="448"/>
      <c r="Y4558" s="448"/>
      <c r="Z4558" s="448"/>
      <c r="AA4558" s="448"/>
      <c r="AB4558" s="448"/>
      <c r="AC4558" s="448"/>
      <c r="AD4558" s="448"/>
      <c r="AE4558" s="448"/>
      <c r="AF4558" s="448"/>
      <c r="AG4558" s="448"/>
      <c r="AH4558" s="448"/>
      <c r="AI4558" s="448"/>
      <c r="AJ4558" s="448"/>
      <c r="AK4558" s="448"/>
      <c r="AL4558" s="448"/>
      <c r="AM4558" s="448"/>
      <c r="AN4558" s="448"/>
      <c r="AO4558" s="448"/>
      <c r="AP4558" s="448"/>
      <c r="AQ4558" s="448"/>
      <c r="AR4558" s="448"/>
      <c r="AS4558" s="448"/>
      <c r="AT4558" s="448"/>
      <c r="AU4558" s="448"/>
      <c r="AV4558" s="448"/>
      <c r="AW4558" s="448"/>
      <c r="AX4558" s="448"/>
      <c r="AY4558" s="448"/>
      <c r="AZ4558" s="448"/>
      <c r="BA4558" s="448"/>
      <c r="BB4558" s="448"/>
      <c r="BC4558" s="448"/>
      <c r="BD4558" s="448"/>
      <c r="BE4558" s="448"/>
      <c r="BF4558" s="448"/>
      <c r="BG4558" s="448"/>
      <c r="BH4558" s="448"/>
      <c r="BI4558" s="448"/>
      <c r="BJ4558" s="448"/>
      <c r="BK4558" s="448"/>
      <c r="BL4558" s="448"/>
    </row>
    <row r="4559" spans="1:64">
      <c r="A4559" s="426"/>
      <c r="B4559" s="426"/>
      <c r="C4559" s="417" t="s">
        <v>1613</v>
      </c>
      <c r="D4559" s="409"/>
      <c r="E4559" s="426"/>
      <c r="F4559" s="409"/>
      <c r="G4559" s="410"/>
      <c r="H4559" s="426"/>
      <c r="I4559" s="409"/>
      <c r="J4559" s="446"/>
      <c r="K4559" s="447"/>
      <c r="L4559" s="447"/>
      <c r="M4559" s="448"/>
      <c r="N4559" s="448"/>
      <c r="O4559" s="448"/>
      <c r="P4559" s="448"/>
      <c r="Q4559" s="448"/>
      <c r="R4559" s="448"/>
      <c r="S4559" s="448"/>
      <c r="T4559" s="448"/>
      <c r="U4559" s="448"/>
      <c r="V4559" s="448"/>
      <c r="W4559" s="448"/>
      <c r="X4559" s="448"/>
      <c r="Y4559" s="448"/>
      <c r="Z4559" s="448"/>
      <c r="AA4559" s="448"/>
      <c r="AB4559" s="448"/>
      <c r="AC4559" s="448"/>
      <c r="AD4559" s="448"/>
      <c r="AE4559" s="448"/>
      <c r="AF4559" s="448"/>
      <c r="AG4559" s="448"/>
      <c r="AH4559" s="448"/>
      <c r="AI4559" s="448"/>
      <c r="AJ4559" s="448"/>
      <c r="AK4559" s="448"/>
      <c r="AL4559" s="448"/>
      <c r="AM4559" s="448"/>
      <c r="AN4559" s="448"/>
      <c r="AO4559" s="448"/>
      <c r="AP4559" s="448"/>
      <c r="AQ4559" s="448"/>
      <c r="AR4559" s="448"/>
      <c r="AS4559" s="448"/>
      <c r="AT4559" s="448"/>
      <c r="AU4559" s="448"/>
      <c r="AV4559" s="448"/>
      <c r="AW4559" s="448"/>
      <c r="AX4559" s="448"/>
      <c r="AY4559" s="448"/>
      <c r="AZ4559" s="448"/>
      <c r="BA4559" s="448"/>
      <c r="BB4559" s="448"/>
      <c r="BC4559" s="448"/>
      <c r="BD4559" s="448"/>
      <c r="BE4559" s="448"/>
      <c r="BF4559" s="448"/>
      <c r="BG4559" s="448"/>
      <c r="BH4559" s="448"/>
      <c r="BI4559" s="448"/>
      <c r="BJ4559" s="448"/>
      <c r="BK4559" s="448"/>
      <c r="BL4559" s="448"/>
    </row>
    <row r="4560" spans="1:64" ht="50">
      <c r="A4560" s="426"/>
      <c r="B4560" s="426"/>
      <c r="C4560" s="417" t="s">
        <v>1614</v>
      </c>
      <c r="D4560" s="409"/>
      <c r="E4560" s="426"/>
      <c r="F4560" s="409"/>
      <c r="G4560" s="410"/>
      <c r="H4560" s="426"/>
      <c r="I4560" s="409"/>
      <c r="J4560" s="446"/>
      <c r="K4560" s="447"/>
      <c r="L4560" s="447"/>
      <c r="M4560" s="448"/>
      <c r="N4560" s="448"/>
      <c r="O4560" s="448"/>
      <c r="P4560" s="448"/>
      <c r="Q4560" s="448"/>
      <c r="R4560" s="448"/>
      <c r="S4560" s="448"/>
      <c r="T4560" s="448"/>
      <c r="U4560" s="448"/>
      <c r="V4560" s="448"/>
      <c r="W4560" s="448"/>
      <c r="X4560" s="448"/>
      <c r="Y4560" s="448"/>
      <c r="Z4560" s="448"/>
      <c r="AA4560" s="448"/>
      <c r="AB4560" s="448"/>
      <c r="AC4560" s="448"/>
      <c r="AD4560" s="448"/>
      <c r="AE4560" s="448"/>
      <c r="AF4560" s="448"/>
      <c r="AG4560" s="448"/>
      <c r="AH4560" s="448"/>
      <c r="AI4560" s="448"/>
      <c r="AJ4560" s="448"/>
      <c r="AK4560" s="448"/>
      <c r="AL4560" s="448"/>
      <c r="AM4560" s="448"/>
      <c r="AN4560" s="448"/>
      <c r="AO4560" s="448"/>
      <c r="AP4560" s="448"/>
      <c r="AQ4560" s="448"/>
      <c r="AR4560" s="448"/>
      <c r="AS4560" s="448"/>
      <c r="AT4560" s="448"/>
      <c r="AU4560" s="448"/>
      <c r="AV4560" s="448"/>
      <c r="AW4560" s="448"/>
      <c r="AX4560" s="448"/>
      <c r="AY4560" s="448"/>
      <c r="AZ4560" s="448"/>
      <c r="BA4560" s="448"/>
      <c r="BB4560" s="448"/>
      <c r="BC4560" s="448"/>
      <c r="BD4560" s="448"/>
      <c r="BE4560" s="448"/>
      <c r="BF4560" s="448"/>
      <c r="BG4560" s="448"/>
      <c r="BH4560" s="448"/>
      <c r="BI4560" s="448"/>
      <c r="BJ4560" s="448"/>
      <c r="BK4560" s="448"/>
      <c r="BL4560" s="448"/>
    </row>
    <row r="4561" spans="1:64">
      <c r="A4561" s="426"/>
      <c r="B4561" s="426"/>
      <c r="C4561" s="417" t="s">
        <v>1615</v>
      </c>
      <c r="D4561" s="409">
        <v>67.5</v>
      </c>
      <c r="E4561" s="426" t="s">
        <v>666</v>
      </c>
      <c r="F4561" s="409">
        <f>F16</f>
        <v>1447.96</v>
      </c>
      <c r="G4561" s="410">
        <v>1</v>
      </c>
      <c r="H4561" s="426" t="s">
        <v>57</v>
      </c>
      <c r="I4561" s="409">
        <f t="shared" ref="I4561:I4565" si="991">IF(G4561="",D4561*F4561,(D4561*F4561/G4561))</f>
        <v>97737.3</v>
      </c>
      <c r="J4561" s="446"/>
      <c r="K4561" s="447"/>
      <c r="L4561" s="447"/>
      <c r="M4561" s="448"/>
      <c r="N4561" s="448"/>
      <c r="O4561" s="448"/>
      <c r="P4561" s="448"/>
      <c r="Q4561" s="448"/>
      <c r="R4561" s="448"/>
      <c r="S4561" s="448"/>
      <c r="T4561" s="448"/>
      <c r="U4561" s="448"/>
      <c r="V4561" s="448"/>
      <c r="W4561" s="448"/>
      <c r="X4561" s="448"/>
      <c r="Y4561" s="448"/>
      <c r="Z4561" s="448"/>
      <c r="AA4561" s="448"/>
      <c r="AB4561" s="448"/>
      <c r="AC4561" s="448"/>
      <c r="AD4561" s="448"/>
      <c r="AE4561" s="448"/>
      <c r="AF4561" s="448"/>
      <c r="AG4561" s="448"/>
      <c r="AH4561" s="448"/>
      <c r="AI4561" s="448"/>
      <c r="AJ4561" s="448"/>
      <c r="AK4561" s="448"/>
      <c r="AL4561" s="448"/>
      <c r="AM4561" s="448"/>
      <c r="AN4561" s="448"/>
      <c r="AO4561" s="448"/>
      <c r="AP4561" s="448"/>
      <c r="AQ4561" s="448"/>
      <c r="AR4561" s="448"/>
      <c r="AS4561" s="448"/>
      <c r="AT4561" s="448"/>
      <c r="AU4561" s="448"/>
      <c r="AV4561" s="448"/>
      <c r="AW4561" s="448"/>
      <c r="AX4561" s="448"/>
      <c r="AY4561" s="448"/>
      <c r="AZ4561" s="448"/>
      <c r="BA4561" s="448"/>
      <c r="BB4561" s="448"/>
      <c r="BC4561" s="448"/>
      <c r="BD4561" s="448"/>
      <c r="BE4561" s="448"/>
      <c r="BF4561" s="448"/>
      <c r="BG4561" s="448"/>
      <c r="BH4561" s="448"/>
      <c r="BI4561" s="448"/>
      <c r="BJ4561" s="448"/>
      <c r="BK4561" s="448"/>
      <c r="BL4561" s="448"/>
    </row>
    <row r="4562" spans="1:64" ht="37.5">
      <c r="A4562" s="426"/>
      <c r="B4562" s="426"/>
      <c r="C4562" s="417" t="s">
        <v>1616</v>
      </c>
      <c r="D4562" s="409">
        <v>33.75</v>
      </c>
      <c r="E4562" s="426" t="s">
        <v>666</v>
      </c>
      <c r="F4562" s="409">
        <f>[161]LEAD!N12</f>
        <v>2253.91</v>
      </c>
      <c r="G4562" s="410">
        <v>1</v>
      </c>
      <c r="H4562" s="426" t="s">
        <v>57</v>
      </c>
      <c r="I4562" s="409">
        <f t="shared" si="991"/>
        <v>76069.462499999994</v>
      </c>
      <c r="J4562" s="446"/>
      <c r="K4562" s="447"/>
      <c r="L4562" s="447"/>
      <c r="M4562" s="448"/>
      <c r="N4562" s="448"/>
      <c r="O4562" s="448"/>
      <c r="P4562" s="448"/>
      <c r="Q4562" s="448"/>
      <c r="R4562" s="448"/>
      <c r="S4562" s="448"/>
      <c r="T4562" s="448"/>
      <c r="U4562" s="448"/>
      <c r="V4562" s="448"/>
      <c r="W4562" s="448"/>
      <c r="X4562" s="448"/>
      <c r="Y4562" s="448"/>
      <c r="Z4562" s="448"/>
      <c r="AA4562" s="448"/>
      <c r="AB4562" s="448"/>
      <c r="AC4562" s="448"/>
      <c r="AD4562" s="448"/>
      <c r="AE4562" s="448"/>
      <c r="AF4562" s="448"/>
      <c r="AG4562" s="448"/>
      <c r="AH4562" s="448"/>
      <c r="AI4562" s="448"/>
      <c r="AJ4562" s="448"/>
      <c r="AK4562" s="448"/>
      <c r="AL4562" s="448"/>
      <c r="AM4562" s="448"/>
      <c r="AN4562" s="448"/>
      <c r="AO4562" s="448"/>
      <c r="AP4562" s="448"/>
      <c r="AQ4562" s="448"/>
      <c r="AR4562" s="448"/>
      <c r="AS4562" s="448"/>
      <c r="AT4562" s="448"/>
      <c r="AU4562" s="448"/>
      <c r="AV4562" s="448"/>
      <c r="AW4562" s="448"/>
      <c r="AX4562" s="448"/>
      <c r="AY4562" s="448"/>
      <c r="AZ4562" s="448"/>
      <c r="BA4562" s="448"/>
      <c r="BB4562" s="448"/>
      <c r="BC4562" s="448"/>
      <c r="BD4562" s="448"/>
      <c r="BE4562" s="448"/>
      <c r="BF4562" s="448"/>
      <c r="BG4562" s="448"/>
      <c r="BH4562" s="448"/>
      <c r="BI4562" s="448"/>
      <c r="BJ4562" s="448"/>
      <c r="BK4562" s="448"/>
      <c r="BL4562" s="448"/>
    </row>
    <row r="4563" spans="1:64">
      <c r="A4563" s="426"/>
      <c r="B4563" s="426"/>
      <c r="C4563" s="417" t="s">
        <v>1617</v>
      </c>
      <c r="D4563" s="409">
        <v>26.25</v>
      </c>
      <c r="E4563" s="426" t="s">
        <v>122</v>
      </c>
      <c r="F4563" s="409">
        <f>[161]LEAD!N6</f>
        <v>5200</v>
      </c>
      <c r="G4563" s="410">
        <v>1</v>
      </c>
      <c r="H4563" s="426" t="s">
        <v>122</v>
      </c>
      <c r="I4563" s="409">
        <f t="shared" si="991"/>
        <v>136500</v>
      </c>
      <c r="J4563" s="446"/>
      <c r="K4563" s="447"/>
      <c r="L4563" s="447"/>
      <c r="M4563" s="448"/>
      <c r="N4563" s="448"/>
      <c r="O4563" s="448"/>
      <c r="P4563" s="448"/>
      <c r="Q4563" s="448"/>
      <c r="R4563" s="448"/>
      <c r="S4563" s="448"/>
      <c r="T4563" s="448"/>
      <c r="U4563" s="448"/>
      <c r="V4563" s="448"/>
      <c r="W4563" s="448"/>
      <c r="X4563" s="448"/>
      <c r="Y4563" s="448"/>
      <c r="Z4563" s="448"/>
      <c r="AA4563" s="448"/>
      <c r="AB4563" s="448"/>
      <c r="AC4563" s="448"/>
      <c r="AD4563" s="448"/>
      <c r="AE4563" s="448"/>
      <c r="AF4563" s="448"/>
      <c r="AG4563" s="448"/>
      <c r="AH4563" s="448"/>
      <c r="AI4563" s="448"/>
      <c r="AJ4563" s="448"/>
      <c r="AK4563" s="448"/>
      <c r="AL4563" s="448"/>
      <c r="AM4563" s="448"/>
      <c r="AN4563" s="448"/>
      <c r="AO4563" s="448"/>
      <c r="AP4563" s="448"/>
      <c r="AQ4563" s="448"/>
      <c r="AR4563" s="448"/>
      <c r="AS4563" s="448"/>
      <c r="AT4563" s="448"/>
      <c r="AU4563" s="448"/>
      <c r="AV4563" s="448"/>
      <c r="AW4563" s="448"/>
      <c r="AX4563" s="448"/>
      <c r="AY4563" s="448"/>
      <c r="AZ4563" s="448"/>
      <c r="BA4563" s="448"/>
      <c r="BB4563" s="448"/>
      <c r="BC4563" s="448"/>
      <c r="BD4563" s="448"/>
      <c r="BE4563" s="448"/>
      <c r="BF4563" s="448"/>
      <c r="BG4563" s="448"/>
      <c r="BH4563" s="448"/>
      <c r="BI4563" s="448"/>
      <c r="BJ4563" s="448"/>
      <c r="BK4563" s="448"/>
      <c r="BL4563" s="448"/>
    </row>
    <row r="4564" spans="1:64">
      <c r="A4564" s="426"/>
      <c r="B4564" s="426"/>
      <c r="C4564" s="417" t="s">
        <v>1618</v>
      </c>
      <c r="D4564" s="409">
        <v>18</v>
      </c>
      <c r="E4564" s="426" t="s">
        <v>877</v>
      </c>
      <c r="F4564" s="408">
        <f>[161]Input!$D$53</f>
        <v>108</v>
      </c>
      <c r="G4564" s="410">
        <v>1</v>
      </c>
      <c r="H4564" s="426" t="s">
        <v>877</v>
      </c>
      <c r="I4564" s="409">
        <f t="shared" si="991"/>
        <v>1944</v>
      </c>
      <c r="J4564" s="446"/>
      <c r="K4564" s="447"/>
      <c r="L4564" s="447"/>
      <c r="M4564" s="448"/>
      <c r="N4564" s="448"/>
      <c r="O4564" s="448"/>
      <c r="P4564" s="448"/>
      <c r="Q4564" s="448"/>
      <c r="R4564" s="448"/>
      <c r="S4564" s="448"/>
      <c r="T4564" s="448"/>
      <c r="U4564" s="448"/>
      <c r="V4564" s="448"/>
      <c r="W4564" s="448"/>
      <c r="X4564" s="448"/>
      <c r="Y4564" s="448"/>
      <c r="Z4564" s="448"/>
      <c r="AA4564" s="448"/>
      <c r="AB4564" s="448"/>
      <c r="AC4564" s="448"/>
      <c r="AD4564" s="448"/>
      <c r="AE4564" s="448"/>
      <c r="AF4564" s="448"/>
      <c r="AG4564" s="448"/>
      <c r="AH4564" s="448"/>
      <c r="AI4564" s="448"/>
      <c r="AJ4564" s="448"/>
      <c r="AK4564" s="448"/>
      <c r="AL4564" s="448"/>
      <c r="AM4564" s="448"/>
      <c r="AN4564" s="448"/>
      <c r="AO4564" s="448"/>
      <c r="AP4564" s="448"/>
      <c r="AQ4564" s="448"/>
      <c r="AR4564" s="448"/>
      <c r="AS4564" s="448"/>
      <c r="AT4564" s="448"/>
      <c r="AU4564" s="448"/>
      <c r="AV4564" s="448"/>
      <c r="AW4564" s="448"/>
      <c r="AX4564" s="448"/>
      <c r="AY4564" s="448"/>
      <c r="AZ4564" s="448"/>
      <c r="BA4564" s="448"/>
      <c r="BB4564" s="448"/>
      <c r="BC4564" s="448"/>
      <c r="BD4564" s="448"/>
      <c r="BE4564" s="448"/>
      <c r="BF4564" s="448"/>
      <c r="BG4564" s="448"/>
      <c r="BH4564" s="448"/>
      <c r="BI4564" s="448"/>
      <c r="BJ4564" s="448"/>
      <c r="BK4564" s="448"/>
      <c r="BL4564" s="448"/>
    </row>
    <row r="4565" spans="1:64" ht="50">
      <c r="A4565" s="426"/>
      <c r="B4565" s="426"/>
      <c r="C4565" s="417" t="s">
        <v>1619</v>
      </c>
      <c r="D4565" s="409">
        <v>1.5</v>
      </c>
      <c r="E4565" s="426" t="s">
        <v>62</v>
      </c>
      <c r="F4565" s="409"/>
      <c r="G4565" s="410">
        <v>1</v>
      </c>
      <c r="H4565" s="426" t="s">
        <v>62</v>
      </c>
      <c r="I4565" s="409">
        <f t="shared" si="991"/>
        <v>0</v>
      </c>
      <c r="J4565" s="446"/>
      <c r="K4565" s="447"/>
      <c r="L4565" s="447"/>
      <c r="M4565" s="448"/>
      <c r="N4565" s="448"/>
      <c r="O4565" s="448"/>
      <c r="P4565" s="448"/>
      <c r="Q4565" s="448"/>
      <c r="R4565" s="448"/>
      <c r="S4565" s="448"/>
      <c r="T4565" s="448"/>
      <c r="U4565" s="448"/>
      <c r="V4565" s="448"/>
      <c r="W4565" s="448"/>
      <c r="X4565" s="448"/>
      <c r="Y4565" s="448"/>
      <c r="Z4565" s="448"/>
      <c r="AA4565" s="448"/>
      <c r="AB4565" s="448"/>
      <c r="AC4565" s="448"/>
      <c r="AD4565" s="448"/>
      <c r="AE4565" s="448"/>
      <c r="AF4565" s="448"/>
      <c r="AG4565" s="448"/>
      <c r="AH4565" s="448"/>
      <c r="AI4565" s="448"/>
      <c r="AJ4565" s="448"/>
      <c r="AK4565" s="448"/>
      <c r="AL4565" s="448"/>
      <c r="AM4565" s="448"/>
      <c r="AN4565" s="448"/>
      <c r="AO4565" s="448"/>
      <c r="AP4565" s="448"/>
      <c r="AQ4565" s="448"/>
      <c r="AR4565" s="448"/>
      <c r="AS4565" s="448"/>
      <c r="AT4565" s="448"/>
      <c r="AU4565" s="448"/>
      <c r="AV4565" s="448"/>
      <c r="AW4565" s="448"/>
      <c r="AX4565" s="448"/>
      <c r="AY4565" s="448"/>
      <c r="AZ4565" s="448"/>
      <c r="BA4565" s="448"/>
      <c r="BB4565" s="448"/>
      <c r="BC4565" s="448"/>
      <c r="BD4565" s="448"/>
      <c r="BE4565" s="448"/>
      <c r="BF4565" s="448"/>
      <c r="BG4565" s="448"/>
      <c r="BH4565" s="448"/>
      <c r="BI4565" s="448"/>
      <c r="BJ4565" s="448"/>
      <c r="BK4565" s="448"/>
      <c r="BL4565" s="448"/>
    </row>
    <row r="4566" spans="1:64" ht="13">
      <c r="A4566" s="426"/>
      <c r="B4566" s="426"/>
      <c r="C4566" s="417"/>
      <c r="D4566" s="426"/>
      <c r="E4566" s="426"/>
      <c r="F4566" s="409"/>
      <c r="G4566" s="410"/>
      <c r="H4566" s="434" t="s">
        <v>1620</v>
      </c>
      <c r="I4566" s="434">
        <f>SUM(I4546:I4565)</f>
        <v>462859.62249999994</v>
      </c>
      <c r="J4566" s="446"/>
      <c r="K4566" s="447"/>
      <c r="L4566" s="447"/>
      <c r="M4566" s="448"/>
      <c r="N4566" s="448"/>
      <c r="O4566" s="448"/>
      <c r="P4566" s="448"/>
      <c r="Q4566" s="448"/>
      <c r="R4566" s="448"/>
      <c r="S4566" s="448"/>
      <c r="T4566" s="448"/>
      <c r="U4566" s="448"/>
      <c r="V4566" s="448"/>
      <c r="W4566" s="448"/>
      <c r="X4566" s="448"/>
      <c r="Y4566" s="448"/>
      <c r="Z4566" s="448"/>
      <c r="AA4566" s="448"/>
      <c r="AB4566" s="448"/>
      <c r="AC4566" s="448"/>
      <c r="AD4566" s="448"/>
      <c r="AE4566" s="448"/>
      <c r="AF4566" s="448"/>
      <c r="AG4566" s="448"/>
      <c r="AH4566" s="448"/>
      <c r="AI4566" s="448"/>
      <c r="AJ4566" s="448"/>
      <c r="AK4566" s="448"/>
      <c r="AL4566" s="448"/>
      <c r="AM4566" s="448"/>
      <c r="AN4566" s="448"/>
      <c r="AO4566" s="448"/>
      <c r="AP4566" s="448"/>
      <c r="AQ4566" s="448"/>
      <c r="AR4566" s="448"/>
      <c r="AS4566" s="448"/>
      <c r="AT4566" s="448"/>
      <c r="AU4566" s="448"/>
      <c r="AV4566" s="448"/>
      <c r="AW4566" s="448"/>
      <c r="AX4566" s="448"/>
      <c r="AY4566" s="448"/>
      <c r="AZ4566" s="448"/>
      <c r="BA4566" s="448"/>
      <c r="BB4566" s="448"/>
      <c r="BC4566" s="448"/>
      <c r="BD4566" s="448"/>
      <c r="BE4566" s="448"/>
      <c r="BF4566" s="448"/>
      <c r="BG4566" s="448"/>
      <c r="BH4566" s="448"/>
      <c r="BI4566" s="448"/>
      <c r="BJ4566" s="448"/>
      <c r="BK4566" s="448"/>
      <c r="BL4566" s="448"/>
    </row>
    <row r="4567" spans="1:64">
      <c r="A4567" s="426"/>
      <c r="B4567" s="426"/>
      <c r="C4567" s="417" t="s">
        <v>1621</v>
      </c>
      <c r="D4567" s="426"/>
      <c r="E4567" s="426"/>
      <c r="F4567" s="409"/>
      <c r="G4567" s="410"/>
      <c r="H4567" s="409"/>
      <c r="I4567" s="409">
        <f>ROUND(I4566*0.03,2)</f>
        <v>13885.79</v>
      </c>
      <c r="J4567" s="446"/>
      <c r="K4567" s="447"/>
      <c r="L4567" s="447"/>
      <c r="M4567" s="448"/>
      <c r="N4567" s="448"/>
      <c r="O4567" s="448"/>
      <c r="P4567" s="448"/>
      <c r="Q4567" s="448"/>
      <c r="R4567" s="448"/>
      <c r="S4567" s="448"/>
      <c r="T4567" s="448"/>
      <c r="U4567" s="448"/>
      <c r="V4567" s="448"/>
      <c r="W4567" s="448"/>
      <c r="X4567" s="448"/>
      <c r="Y4567" s="448"/>
      <c r="Z4567" s="448"/>
      <c r="AA4567" s="448"/>
      <c r="AB4567" s="448"/>
      <c r="AC4567" s="448"/>
      <c r="AD4567" s="448"/>
      <c r="AE4567" s="448"/>
      <c r="AF4567" s="448"/>
      <c r="AG4567" s="448"/>
      <c r="AH4567" s="448"/>
      <c r="AI4567" s="448"/>
      <c r="AJ4567" s="448"/>
      <c r="AK4567" s="448"/>
      <c r="AL4567" s="448"/>
      <c r="AM4567" s="448"/>
      <c r="AN4567" s="448"/>
      <c r="AO4567" s="448"/>
      <c r="AP4567" s="448"/>
      <c r="AQ4567" s="448"/>
      <c r="AR4567" s="448"/>
      <c r="AS4567" s="448"/>
      <c r="AT4567" s="448"/>
      <c r="AU4567" s="448"/>
      <c r="AV4567" s="448"/>
      <c r="AW4567" s="448"/>
      <c r="AX4567" s="448"/>
      <c r="AY4567" s="448"/>
      <c r="AZ4567" s="448"/>
      <c r="BA4567" s="448"/>
      <c r="BB4567" s="448"/>
      <c r="BC4567" s="448"/>
      <c r="BD4567" s="448"/>
      <c r="BE4567" s="448"/>
      <c r="BF4567" s="448"/>
      <c r="BG4567" s="448"/>
      <c r="BH4567" s="448"/>
      <c r="BI4567" s="448"/>
      <c r="BJ4567" s="448"/>
      <c r="BK4567" s="448"/>
      <c r="BL4567" s="448"/>
    </row>
    <row r="4568" spans="1:64" ht="13">
      <c r="A4568" s="426"/>
      <c r="B4568" s="426"/>
      <c r="C4568" s="417"/>
      <c r="D4568" s="426"/>
      <c r="E4568" s="426"/>
      <c r="F4568" s="409"/>
      <c r="G4568" s="410"/>
      <c r="H4568" s="434" t="s">
        <v>1620</v>
      </c>
      <c r="I4568" s="434">
        <f>SUM(I4566:I4567)</f>
        <v>476745.41249999992</v>
      </c>
      <c r="J4568" s="446"/>
      <c r="K4568" s="447"/>
      <c r="L4568" s="447"/>
      <c r="M4568" s="448"/>
      <c r="N4568" s="448"/>
      <c r="O4568" s="448"/>
      <c r="P4568" s="448"/>
      <c r="Q4568" s="448"/>
      <c r="R4568" s="448"/>
      <c r="S4568" s="448"/>
      <c r="T4568" s="448"/>
      <c r="U4568" s="448"/>
      <c r="V4568" s="448"/>
      <c r="W4568" s="448"/>
      <c r="X4568" s="448"/>
      <c r="Y4568" s="448"/>
      <c r="Z4568" s="448"/>
      <c r="AA4568" s="448"/>
      <c r="AB4568" s="448"/>
      <c r="AC4568" s="448"/>
      <c r="AD4568" s="448"/>
      <c r="AE4568" s="448"/>
      <c r="AF4568" s="448"/>
      <c r="AG4568" s="448"/>
      <c r="AH4568" s="448"/>
      <c r="AI4568" s="448"/>
      <c r="AJ4568" s="448"/>
      <c r="AK4568" s="448"/>
      <c r="AL4568" s="448"/>
      <c r="AM4568" s="448"/>
      <c r="AN4568" s="448"/>
      <c r="AO4568" s="448"/>
      <c r="AP4568" s="448"/>
      <c r="AQ4568" s="448"/>
      <c r="AR4568" s="448"/>
      <c r="AS4568" s="448"/>
      <c r="AT4568" s="448"/>
      <c r="AU4568" s="448"/>
      <c r="AV4568" s="448"/>
      <c r="AW4568" s="448"/>
      <c r="AX4568" s="448"/>
      <c r="AY4568" s="448"/>
      <c r="AZ4568" s="448"/>
      <c r="BA4568" s="448"/>
      <c r="BB4568" s="448"/>
      <c r="BC4568" s="448"/>
      <c r="BD4568" s="448"/>
      <c r="BE4568" s="448"/>
      <c r="BF4568" s="448"/>
      <c r="BG4568" s="448"/>
      <c r="BH4568" s="448"/>
      <c r="BI4568" s="448"/>
      <c r="BJ4568" s="448"/>
      <c r="BK4568" s="448"/>
      <c r="BL4568" s="448"/>
    </row>
    <row r="4569" spans="1:64" ht="25">
      <c r="A4569" s="426"/>
      <c r="B4569" s="426"/>
      <c r="C4569" s="417" t="str">
        <f>[161]Input!$C$48</f>
        <v>Overheads &amp; Contractors Profit @ 13.615%</v>
      </c>
      <c r="D4569" s="494">
        <f>[161]Input!$D$48</f>
        <v>0.13614999999999999</v>
      </c>
      <c r="E4569" s="426"/>
      <c r="F4569" s="409">
        <f>I4568</f>
        <v>476745.41249999992</v>
      </c>
      <c r="G4569" s="410"/>
      <c r="H4569" s="426"/>
      <c r="I4569" s="409">
        <f>D4569*F4569</f>
        <v>64908.887911874983</v>
      </c>
      <c r="J4569" s="446"/>
      <c r="K4569" s="447"/>
      <c r="L4569" s="447"/>
      <c r="M4569" s="448"/>
      <c r="N4569" s="448"/>
      <c r="O4569" s="448"/>
      <c r="P4569" s="448"/>
      <c r="Q4569" s="448"/>
      <c r="R4569" s="448"/>
      <c r="S4569" s="448"/>
      <c r="T4569" s="448"/>
      <c r="U4569" s="448"/>
      <c r="V4569" s="448"/>
      <c r="W4569" s="448"/>
      <c r="X4569" s="448"/>
      <c r="Y4569" s="448"/>
      <c r="Z4569" s="448"/>
      <c r="AA4569" s="448"/>
      <c r="AB4569" s="448"/>
      <c r="AC4569" s="448"/>
      <c r="AD4569" s="448"/>
      <c r="AE4569" s="448"/>
      <c r="AF4569" s="448"/>
      <c r="AG4569" s="448"/>
      <c r="AH4569" s="448"/>
      <c r="AI4569" s="448"/>
      <c r="AJ4569" s="448"/>
      <c r="AK4569" s="448"/>
      <c r="AL4569" s="448"/>
      <c r="AM4569" s="448"/>
      <c r="AN4569" s="448"/>
      <c r="AO4569" s="448"/>
      <c r="AP4569" s="448"/>
      <c r="AQ4569" s="448"/>
      <c r="AR4569" s="448"/>
      <c r="AS4569" s="448"/>
      <c r="AT4569" s="448"/>
      <c r="AU4569" s="448"/>
      <c r="AV4569" s="448"/>
      <c r="AW4569" s="448"/>
      <c r="AX4569" s="448"/>
      <c r="AY4569" s="448"/>
      <c r="AZ4569" s="448"/>
      <c r="BA4569" s="448"/>
      <c r="BB4569" s="448"/>
      <c r="BC4569" s="448"/>
      <c r="BD4569" s="448"/>
      <c r="BE4569" s="448"/>
      <c r="BF4569" s="448"/>
      <c r="BG4569" s="448"/>
      <c r="BH4569" s="448"/>
      <c r="BI4569" s="448"/>
      <c r="BJ4569" s="448"/>
      <c r="BK4569" s="448"/>
      <c r="BL4569" s="448"/>
    </row>
    <row r="4570" spans="1:64" ht="13">
      <c r="A4570" s="426"/>
      <c r="B4570" s="426"/>
      <c r="C4570" s="417"/>
      <c r="D4570" s="409" t="s">
        <v>1622</v>
      </c>
      <c r="E4570" s="426"/>
      <c r="F4570" s="409"/>
      <c r="G4570" s="410"/>
      <c r="H4570" s="426"/>
      <c r="I4570" s="434">
        <f>SUM(I4568:I4569)</f>
        <v>541654.30041187489</v>
      </c>
      <c r="J4570" s="446"/>
      <c r="K4570" s="447"/>
      <c r="L4570" s="447"/>
      <c r="M4570" s="448"/>
      <c r="N4570" s="448"/>
      <c r="O4570" s="448"/>
      <c r="P4570" s="448"/>
      <c r="Q4570" s="448"/>
      <c r="R4570" s="448"/>
      <c r="S4570" s="448"/>
      <c r="T4570" s="448"/>
      <c r="U4570" s="448"/>
      <c r="V4570" s="448"/>
      <c r="W4570" s="448"/>
      <c r="X4570" s="448"/>
      <c r="Y4570" s="448"/>
      <c r="Z4570" s="448"/>
      <c r="AA4570" s="448"/>
      <c r="AB4570" s="448"/>
      <c r="AC4570" s="448"/>
      <c r="AD4570" s="448"/>
      <c r="AE4570" s="448"/>
      <c r="AF4570" s="448"/>
      <c r="AG4570" s="448"/>
      <c r="AH4570" s="448"/>
      <c r="AI4570" s="448"/>
      <c r="AJ4570" s="448"/>
      <c r="AK4570" s="448"/>
      <c r="AL4570" s="448"/>
      <c r="AM4570" s="448"/>
      <c r="AN4570" s="448"/>
      <c r="AO4570" s="448"/>
      <c r="AP4570" s="448"/>
      <c r="AQ4570" s="448"/>
      <c r="AR4570" s="448"/>
      <c r="AS4570" s="448"/>
      <c r="AT4570" s="448"/>
      <c r="AU4570" s="448"/>
      <c r="AV4570" s="448"/>
      <c r="AW4570" s="448"/>
      <c r="AX4570" s="448"/>
      <c r="AY4570" s="448"/>
      <c r="AZ4570" s="448"/>
      <c r="BA4570" s="448"/>
      <c r="BB4570" s="448"/>
      <c r="BC4570" s="448"/>
      <c r="BD4570" s="448"/>
      <c r="BE4570" s="448"/>
      <c r="BF4570" s="448"/>
      <c r="BG4570" s="448"/>
      <c r="BH4570" s="448"/>
      <c r="BI4570" s="448"/>
      <c r="BJ4570" s="448"/>
      <c r="BK4570" s="448"/>
      <c r="BL4570" s="448"/>
    </row>
    <row r="4571" spans="1:64" ht="13">
      <c r="A4571" s="426"/>
      <c r="B4571" s="426"/>
      <c r="C4571" s="417" t="s">
        <v>1623</v>
      </c>
      <c r="D4571" s="409"/>
      <c r="E4571" s="426" t="s">
        <v>1624</v>
      </c>
      <c r="F4571" s="409"/>
      <c r="G4571" s="410"/>
      <c r="H4571" s="426"/>
      <c r="I4571" s="434">
        <f>ROUND(I4570/75,0)</f>
        <v>7222</v>
      </c>
      <c r="J4571" s="446"/>
      <c r="K4571" s="447">
        <f>+I4571*0.2</f>
        <v>1444.4</v>
      </c>
      <c r="L4571" s="447"/>
      <c r="M4571" s="448"/>
      <c r="N4571" s="448"/>
      <c r="O4571" s="448"/>
      <c r="P4571" s="448"/>
      <c r="Q4571" s="448"/>
      <c r="R4571" s="448"/>
      <c r="S4571" s="448"/>
      <c r="T4571" s="448"/>
      <c r="U4571" s="448"/>
      <c r="V4571" s="448"/>
      <c r="W4571" s="448"/>
      <c r="X4571" s="448"/>
      <c r="Y4571" s="448"/>
      <c r="Z4571" s="448"/>
      <c r="AA4571" s="448"/>
      <c r="AB4571" s="448"/>
      <c r="AC4571" s="448"/>
      <c r="AD4571" s="448"/>
      <c r="AE4571" s="448"/>
      <c r="AF4571" s="448"/>
      <c r="AG4571" s="448"/>
      <c r="AH4571" s="448"/>
      <c r="AI4571" s="448"/>
      <c r="AJ4571" s="448"/>
      <c r="AK4571" s="448"/>
      <c r="AL4571" s="448"/>
      <c r="AM4571" s="448"/>
      <c r="AN4571" s="448"/>
      <c r="AO4571" s="448"/>
      <c r="AP4571" s="448"/>
      <c r="AQ4571" s="448"/>
      <c r="AR4571" s="448"/>
      <c r="AS4571" s="448"/>
      <c r="AT4571" s="448"/>
      <c r="AU4571" s="448"/>
      <c r="AV4571" s="448"/>
      <c r="AW4571" s="448"/>
      <c r="AX4571" s="448"/>
      <c r="AY4571" s="448"/>
      <c r="AZ4571" s="448"/>
      <c r="BA4571" s="448"/>
      <c r="BB4571" s="448"/>
      <c r="BC4571" s="448"/>
      <c r="BD4571" s="448"/>
      <c r="BE4571" s="448"/>
      <c r="BF4571" s="448"/>
      <c r="BG4571" s="448"/>
      <c r="BH4571" s="448"/>
      <c r="BI4571" s="448"/>
      <c r="BJ4571" s="448"/>
      <c r="BK4571" s="448"/>
      <c r="BL4571" s="448"/>
    </row>
    <row r="4572" spans="1:64">
      <c r="A4572" s="426"/>
      <c r="B4572" s="426"/>
      <c r="C4572" s="417"/>
      <c r="D4572" s="409"/>
      <c r="E4572" s="426"/>
      <c r="F4572" s="409"/>
      <c r="G4572" s="410"/>
      <c r="H4572" s="426"/>
      <c r="I4572" s="409"/>
      <c r="J4572" s="400"/>
      <c r="K4572" s="401"/>
      <c r="L4572" s="401"/>
      <c r="M4572" s="404"/>
      <c r="N4572" s="404"/>
      <c r="O4572" s="404"/>
      <c r="P4572" s="404"/>
      <c r="Q4572" s="404"/>
      <c r="R4572" s="404"/>
      <c r="S4572" s="404"/>
      <c r="T4572" s="404"/>
      <c r="U4572" s="404"/>
      <c r="V4572" s="404"/>
      <c r="W4572" s="404"/>
      <c r="X4572" s="404"/>
      <c r="Y4572" s="404"/>
      <c r="Z4572" s="404"/>
      <c r="AA4572" s="404"/>
      <c r="AB4572" s="404"/>
      <c r="AC4572" s="404"/>
      <c r="AD4572" s="404"/>
      <c r="AE4572" s="404"/>
      <c r="AF4572" s="404"/>
      <c r="AG4572" s="404"/>
      <c r="AH4572" s="404"/>
      <c r="AI4572" s="404"/>
      <c r="AJ4572" s="404"/>
      <c r="AK4572" s="404"/>
      <c r="AL4572" s="404"/>
      <c r="AM4572" s="404"/>
      <c r="AN4572" s="404"/>
      <c r="AO4572" s="404"/>
      <c r="AP4572" s="404"/>
      <c r="AQ4572" s="404"/>
      <c r="AR4572" s="404"/>
      <c r="AS4572" s="404"/>
      <c r="AT4572" s="404"/>
      <c r="AU4572" s="404"/>
      <c r="AV4572" s="404"/>
      <c r="AW4572" s="404"/>
      <c r="AX4572" s="404"/>
      <c r="AY4572" s="404"/>
      <c r="AZ4572" s="404"/>
      <c r="BA4572" s="404"/>
      <c r="BB4572" s="404"/>
      <c r="BC4572" s="404"/>
      <c r="BD4572" s="404"/>
      <c r="BE4572" s="404"/>
      <c r="BF4572" s="404"/>
      <c r="BG4572" s="404"/>
      <c r="BH4572" s="404"/>
      <c r="BI4572" s="404"/>
      <c r="BJ4572" s="404"/>
      <c r="BK4572" s="404"/>
      <c r="BL4572" s="404"/>
    </row>
    <row r="4573" spans="1:64">
      <c r="A4573" s="426"/>
      <c r="B4573" s="426"/>
      <c r="C4573" s="417"/>
      <c r="D4573" s="409"/>
      <c r="E4573" s="426"/>
      <c r="F4573" s="409"/>
      <c r="G4573" s="410"/>
      <c r="H4573" s="426"/>
      <c r="I4573" s="409"/>
      <c r="J4573" s="400"/>
      <c r="K4573" s="401"/>
      <c r="L4573" s="401"/>
      <c r="M4573" s="404"/>
      <c r="N4573" s="404"/>
      <c r="O4573" s="404"/>
      <c r="P4573" s="404"/>
      <c r="Q4573" s="404"/>
      <c r="R4573" s="404"/>
      <c r="S4573" s="404"/>
      <c r="T4573" s="404"/>
      <c r="U4573" s="404"/>
      <c r="V4573" s="404"/>
      <c r="W4573" s="404"/>
      <c r="X4573" s="404"/>
      <c r="Y4573" s="404"/>
      <c r="Z4573" s="404"/>
      <c r="AA4573" s="404"/>
      <c r="AB4573" s="404"/>
      <c r="AC4573" s="404"/>
      <c r="AD4573" s="404"/>
      <c r="AE4573" s="404"/>
      <c r="AF4573" s="404"/>
      <c r="AG4573" s="404"/>
      <c r="AH4573" s="404"/>
      <c r="AI4573" s="404"/>
      <c r="AJ4573" s="404"/>
      <c r="AK4573" s="404"/>
      <c r="AL4573" s="404"/>
      <c r="AM4573" s="404"/>
      <c r="AN4573" s="404"/>
      <c r="AO4573" s="404"/>
      <c r="AP4573" s="404"/>
      <c r="AQ4573" s="404"/>
      <c r="AR4573" s="404"/>
      <c r="AS4573" s="404"/>
      <c r="AT4573" s="404"/>
      <c r="AU4573" s="404"/>
      <c r="AV4573" s="404"/>
      <c r="AW4573" s="404"/>
      <c r="AX4573" s="404"/>
      <c r="AY4573" s="404"/>
      <c r="AZ4573" s="404"/>
      <c r="BA4573" s="404"/>
      <c r="BB4573" s="404"/>
      <c r="BC4573" s="404"/>
      <c r="BD4573" s="404"/>
      <c r="BE4573" s="404"/>
      <c r="BF4573" s="404"/>
      <c r="BG4573" s="404"/>
      <c r="BH4573" s="404"/>
      <c r="BI4573" s="404"/>
      <c r="BJ4573" s="404"/>
      <c r="BK4573" s="404"/>
      <c r="BL4573" s="404"/>
    </row>
    <row r="4574" spans="1:64" ht="25.4" customHeight="1">
      <c r="A4574" s="410">
        <f>A4343+1</f>
        <v>29</v>
      </c>
      <c r="B4574" s="410"/>
      <c r="C4574" s="1276" t="s">
        <v>1625</v>
      </c>
      <c r="D4574" s="1276"/>
      <c r="E4574" s="1276"/>
      <c r="F4574" s="1276"/>
      <c r="G4574" s="1276"/>
      <c r="H4574" s="1276"/>
      <c r="I4574" s="1276"/>
      <c r="J4574" s="400"/>
      <c r="K4574" s="401"/>
      <c r="L4574" s="401"/>
      <c r="M4574" s="404"/>
      <c r="N4574" s="404"/>
      <c r="O4574" s="404"/>
      <c r="P4574" s="404"/>
      <c r="Q4574" s="404"/>
      <c r="R4574" s="404"/>
      <c r="S4574" s="404"/>
      <c r="T4574" s="404"/>
      <c r="U4574" s="404"/>
      <c r="V4574" s="404"/>
      <c r="W4574" s="404"/>
      <c r="X4574" s="404"/>
      <c r="Y4574" s="404"/>
      <c r="Z4574" s="404"/>
      <c r="AA4574" s="404"/>
      <c r="AB4574" s="404"/>
      <c r="AC4574" s="404"/>
      <c r="AD4574" s="404"/>
      <c r="AE4574" s="404"/>
      <c r="AF4574" s="404"/>
      <c r="AG4574" s="404"/>
      <c r="AH4574" s="404"/>
      <c r="AI4574" s="404"/>
      <c r="AJ4574" s="404"/>
      <c r="AK4574" s="404"/>
      <c r="AL4574" s="404"/>
      <c r="AM4574" s="404"/>
      <c r="AN4574" s="404"/>
      <c r="AO4574" s="404"/>
      <c r="AP4574" s="404"/>
      <c r="AQ4574" s="404"/>
      <c r="AR4574" s="404"/>
      <c r="AS4574" s="404"/>
      <c r="AT4574" s="404"/>
      <c r="AU4574" s="404"/>
      <c r="AV4574" s="404"/>
      <c r="AW4574" s="404"/>
      <c r="AX4574" s="404"/>
      <c r="AY4574" s="404"/>
      <c r="AZ4574" s="404"/>
      <c r="BA4574" s="404"/>
      <c r="BB4574" s="404"/>
      <c r="BC4574" s="404"/>
      <c r="BD4574" s="404"/>
      <c r="BE4574" s="404"/>
      <c r="BF4574" s="404"/>
      <c r="BG4574" s="404"/>
      <c r="BH4574" s="404"/>
      <c r="BI4574" s="404"/>
      <c r="BJ4574" s="404"/>
      <c r="BK4574" s="404"/>
      <c r="BL4574" s="404"/>
    </row>
    <row r="4575" spans="1:64">
      <c r="A4575" s="426"/>
      <c r="B4575" s="426"/>
      <c r="C4575" s="435" t="s">
        <v>1626</v>
      </c>
      <c r="D4575" s="426">
        <v>1</v>
      </c>
      <c r="E4575" s="426" t="s">
        <v>1052</v>
      </c>
      <c r="F4575" s="409">
        <v>130</v>
      </c>
      <c r="G4575" s="426">
        <v>1</v>
      </c>
      <c r="H4575" s="456" t="str">
        <f>IF(E4575="","",IF(E4575="No.","Each",IF(E4575="Nos.","Each",E4575)))</f>
        <v>RM</v>
      </c>
      <c r="I4575" s="409">
        <f>F4575*D4575</f>
        <v>130</v>
      </c>
      <c r="J4575" s="400"/>
      <c r="K4575" s="401"/>
      <c r="L4575" s="401"/>
      <c r="M4575" s="404"/>
      <c r="N4575" s="404"/>
      <c r="O4575" s="404"/>
      <c r="P4575" s="404"/>
      <c r="Q4575" s="404"/>
      <c r="R4575" s="404"/>
      <c r="S4575" s="404"/>
      <c r="T4575" s="404"/>
      <c r="U4575" s="404"/>
      <c r="V4575" s="404"/>
      <c r="W4575" s="404"/>
      <c r="X4575" s="404"/>
      <c r="Y4575" s="404"/>
      <c r="Z4575" s="404"/>
      <c r="AA4575" s="404"/>
      <c r="AB4575" s="404"/>
      <c r="AC4575" s="404"/>
      <c r="AD4575" s="404"/>
      <c r="AE4575" s="404"/>
      <c r="AF4575" s="404"/>
      <c r="AG4575" s="404"/>
      <c r="AH4575" s="404"/>
      <c r="AI4575" s="404"/>
      <c r="AJ4575" s="404"/>
      <c r="AK4575" s="404"/>
      <c r="AL4575" s="404"/>
      <c r="AM4575" s="404"/>
      <c r="AN4575" s="404"/>
      <c r="AO4575" s="404"/>
      <c r="AP4575" s="404"/>
      <c r="AQ4575" s="404"/>
      <c r="AR4575" s="404"/>
      <c r="AS4575" s="404"/>
      <c r="AT4575" s="404"/>
      <c r="AU4575" s="404"/>
      <c r="AV4575" s="404"/>
      <c r="AW4575" s="404"/>
      <c r="AX4575" s="404"/>
      <c r="AY4575" s="404"/>
      <c r="AZ4575" s="404"/>
      <c r="BA4575" s="404"/>
      <c r="BB4575" s="404"/>
      <c r="BC4575" s="404"/>
      <c r="BD4575" s="404"/>
      <c r="BE4575" s="404"/>
      <c r="BF4575" s="404"/>
      <c r="BG4575" s="404"/>
      <c r="BH4575" s="404"/>
      <c r="BI4575" s="404"/>
      <c r="BJ4575" s="404"/>
      <c r="BK4575" s="404"/>
      <c r="BL4575" s="404"/>
    </row>
    <row r="4576" spans="1:64" ht="13">
      <c r="A4576" s="426"/>
      <c r="B4576" s="426"/>
      <c r="C4576" s="473" t="s">
        <v>1548</v>
      </c>
      <c r="D4576" s="426"/>
      <c r="E4576" s="426"/>
      <c r="F4576" s="426"/>
      <c r="G4576" s="426"/>
      <c r="H4576" s="434"/>
      <c r="I4576" s="434">
        <f>SUM(I4575:I4575)</f>
        <v>130</v>
      </c>
      <c r="J4576" s="400"/>
      <c r="K4576" s="401"/>
      <c r="L4576" s="401"/>
      <c r="M4576" s="404"/>
      <c r="N4576" s="404"/>
      <c r="O4576" s="404"/>
      <c r="P4576" s="404"/>
      <c r="Q4576" s="404"/>
      <c r="R4576" s="404"/>
      <c r="S4576" s="404"/>
      <c r="T4576" s="404"/>
      <c r="U4576" s="404"/>
      <c r="V4576" s="404"/>
      <c r="W4576" s="404"/>
      <c r="X4576" s="404"/>
      <c r="Y4576" s="404"/>
      <c r="Z4576" s="404"/>
      <c r="AA4576" s="404"/>
      <c r="AB4576" s="404"/>
      <c r="AC4576" s="404"/>
      <c r="AD4576" s="404"/>
      <c r="AE4576" s="404"/>
      <c r="AF4576" s="404"/>
      <c r="AG4576" s="404"/>
      <c r="AH4576" s="404"/>
      <c r="AI4576" s="404"/>
      <c r="AJ4576" s="404"/>
      <c r="AK4576" s="404"/>
      <c r="AL4576" s="404"/>
      <c r="AM4576" s="404"/>
      <c r="AN4576" s="404"/>
      <c r="AO4576" s="404"/>
      <c r="AP4576" s="404"/>
      <c r="AQ4576" s="404"/>
      <c r="AR4576" s="404"/>
      <c r="AS4576" s="404"/>
      <c r="AT4576" s="404"/>
      <c r="AU4576" s="404"/>
      <c r="AV4576" s="404"/>
      <c r="AW4576" s="404"/>
      <c r="AX4576" s="404"/>
      <c r="AY4576" s="404"/>
      <c r="AZ4576" s="404"/>
      <c r="BA4576" s="404"/>
      <c r="BB4576" s="404"/>
      <c r="BC4576" s="404"/>
      <c r="BD4576" s="404"/>
      <c r="BE4576" s="404"/>
      <c r="BF4576" s="404"/>
      <c r="BG4576" s="404"/>
      <c r="BH4576" s="404"/>
      <c r="BI4576" s="404"/>
      <c r="BJ4576" s="404"/>
      <c r="BK4576" s="404"/>
      <c r="BL4576" s="404"/>
    </row>
    <row r="4577" spans="1:64" ht="25">
      <c r="A4577" s="406"/>
      <c r="B4577" s="406"/>
      <c r="C4577" s="417" t="str">
        <f>[161]Input!$C$48</f>
        <v>Overheads &amp; Contractors Profit @ 13.615%</v>
      </c>
      <c r="D4577" s="444">
        <f>[161]Input!$D$48</f>
        <v>0.13614999999999999</v>
      </c>
      <c r="E4577" s="459"/>
      <c r="F4577" s="459">
        <f>I4576</f>
        <v>130</v>
      </c>
      <c r="G4577" s="460"/>
      <c r="H4577" s="406"/>
      <c r="I4577" s="459">
        <f>IF(G4577="",D4577*F4577,(D4577*F4577/G4577))</f>
        <v>17.6995</v>
      </c>
      <c r="J4577" s="400"/>
      <c r="K4577" s="401"/>
      <c r="L4577" s="401"/>
      <c r="M4577" s="404"/>
      <c r="N4577" s="404"/>
      <c r="O4577" s="404"/>
      <c r="P4577" s="404"/>
      <c r="Q4577" s="404"/>
      <c r="R4577" s="404"/>
      <c r="S4577" s="404"/>
      <c r="T4577" s="404"/>
      <c r="U4577" s="404"/>
      <c r="V4577" s="404"/>
      <c r="W4577" s="404"/>
      <c r="X4577" s="404"/>
      <c r="Y4577" s="404"/>
      <c r="Z4577" s="404"/>
      <c r="AA4577" s="404"/>
      <c r="AB4577" s="404"/>
      <c r="AC4577" s="404"/>
      <c r="AD4577" s="404"/>
      <c r="AE4577" s="404"/>
      <c r="AF4577" s="404"/>
      <c r="AG4577" s="404"/>
      <c r="AH4577" s="404"/>
      <c r="AI4577" s="404"/>
      <c r="AJ4577" s="404"/>
      <c r="AK4577" s="404"/>
      <c r="AL4577" s="404"/>
      <c r="AM4577" s="404"/>
      <c r="AN4577" s="404"/>
      <c r="AO4577" s="404"/>
      <c r="AP4577" s="404"/>
      <c r="AQ4577" s="404"/>
      <c r="AR4577" s="404"/>
      <c r="AS4577" s="404"/>
      <c r="AT4577" s="404"/>
      <c r="AU4577" s="404"/>
      <c r="AV4577" s="404"/>
      <c r="AW4577" s="404"/>
      <c r="AX4577" s="404"/>
      <c r="AY4577" s="404"/>
      <c r="AZ4577" s="404"/>
      <c r="BA4577" s="404"/>
      <c r="BB4577" s="404"/>
      <c r="BC4577" s="404"/>
      <c r="BD4577" s="404"/>
      <c r="BE4577" s="404"/>
      <c r="BF4577" s="404"/>
      <c r="BG4577" s="404"/>
      <c r="BH4577" s="404"/>
      <c r="BI4577" s="404"/>
      <c r="BJ4577" s="404"/>
      <c r="BK4577" s="404"/>
      <c r="BL4577" s="404"/>
    </row>
    <row r="4578" spans="1:64" ht="13">
      <c r="A4578" s="426"/>
      <c r="B4578" s="426"/>
      <c r="C4578" s="417"/>
      <c r="D4578" s="408"/>
      <c r="E4578" s="408"/>
      <c r="F4578" s="408"/>
      <c r="G4578" s="430"/>
      <c r="H4578" s="474"/>
      <c r="I4578" s="414">
        <f>SUM(I4576:I4577)</f>
        <v>147.6995</v>
      </c>
      <c r="J4578" s="400"/>
      <c r="K4578" s="401"/>
      <c r="L4578" s="401"/>
      <c r="M4578" s="404"/>
      <c r="N4578" s="404"/>
      <c r="O4578" s="404"/>
      <c r="P4578" s="404"/>
      <c r="Q4578" s="404"/>
      <c r="R4578" s="404"/>
      <c r="S4578" s="404"/>
      <c r="T4578" s="404"/>
      <c r="U4578" s="404"/>
      <c r="V4578" s="404"/>
      <c r="W4578" s="404"/>
      <c r="X4578" s="404"/>
      <c r="Y4578" s="404"/>
      <c r="Z4578" s="404"/>
      <c r="AA4578" s="404"/>
      <c r="AB4578" s="404"/>
      <c r="AC4578" s="404"/>
      <c r="AD4578" s="404"/>
      <c r="AE4578" s="404"/>
      <c r="AF4578" s="404"/>
      <c r="AG4578" s="404"/>
      <c r="AH4578" s="404"/>
      <c r="AI4578" s="404"/>
      <c r="AJ4578" s="404"/>
      <c r="AK4578" s="404"/>
      <c r="AL4578" s="404"/>
      <c r="AM4578" s="404"/>
      <c r="AN4578" s="404"/>
      <c r="AO4578" s="404"/>
      <c r="AP4578" s="404"/>
      <c r="AQ4578" s="404"/>
      <c r="AR4578" s="404"/>
      <c r="AS4578" s="404"/>
      <c r="AT4578" s="404"/>
      <c r="AU4578" s="404"/>
      <c r="AV4578" s="404"/>
      <c r="AW4578" s="404"/>
      <c r="AX4578" s="404"/>
      <c r="AY4578" s="404"/>
      <c r="AZ4578" s="404"/>
      <c r="BA4578" s="404"/>
      <c r="BB4578" s="404"/>
      <c r="BC4578" s="404"/>
      <c r="BD4578" s="404"/>
      <c r="BE4578" s="404"/>
      <c r="BF4578" s="404"/>
      <c r="BG4578" s="404"/>
      <c r="BH4578" s="404"/>
      <c r="BI4578" s="404"/>
      <c r="BJ4578" s="404"/>
      <c r="BK4578" s="404"/>
      <c r="BL4578" s="404"/>
    </row>
    <row r="4579" spans="1:64" ht="13">
      <c r="A4579" s="426"/>
      <c r="B4579" s="426"/>
      <c r="C4579" s="417"/>
      <c r="D4579" s="408"/>
      <c r="E4579" s="408"/>
      <c r="F4579" s="408"/>
      <c r="G4579" s="430"/>
      <c r="H4579" s="474" t="s">
        <v>774</v>
      </c>
      <c r="I4579" s="414">
        <f>ROUND(I4578,0)</f>
        <v>148</v>
      </c>
      <c r="J4579" s="400"/>
      <c r="K4579" s="401"/>
      <c r="L4579" s="401"/>
      <c r="M4579" s="404"/>
      <c r="N4579" s="404"/>
      <c r="O4579" s="404"/>
      <c r="P4579" s="404"/>
      <c r="Q4579" s="404"/>
      <c r="R4579" s="404"/>
      <c r="S4579" s="404"/>
      <c r="T4579" s="404"/>
      <c r="U4579" s="404"/>
      <c r="V4579" s="404"/>
      <c r="W4579" s="404"/>
      <c r="X4579" s="404"/>
      <c r="Y4579" s="404"/>
      <c r="Z4579" s="404"/>
      <c r="AA4579" s="404"/>
      <c r="AB4579" s="404"/>
      <c r="AC4579" s="404"/>
      <c r="AD4579" s="404"/>
      <c r="AE4579" s="404"/>
      <c r="AF4579" s="404"/>
      <c r="AG4579" s="404"/>
      <c r="AH4579" s="404"/>
      <c r="AI4579" s="404"/>
      <c r="AJ4579" s="404"/>
      <c r="AK4579" s="404"/>
      <c r="AL4579" s="404"/>
      <c r="AM4579" s="404"/>
      <c r="AN4579" s="404"/>
      <c r="AO4579" s="404"/>
      <c r="AP4579" s="404"/>
      <c r="AQ4579" s="404"/>
      <c r="AR4579" s="404"/>
      <c r="AS4579" s="404"/>
      <c r="AT4579" s="404"/>
      <c r="AU4579" s="404"/>
      <c r="AV4579" s="404"/>
      <c r="AW4579" s="404"/>
      <c r="AX4579" s="404"/>
      <c r="AY4579" s="404"/>
      <c r="AZ4579" s="404"/>
      <c r="BA4579" s="404"/>
      <c r="BB4579" s="404"/>
      <c r="BC4579" s="404"/>
      <c r="BD4579" s="404"/>
      <c r="BE4579" s="404"/>
      <c r="BF4579" s="404"/>
      <c r="BG4579" s="404"/>
      <c r="BH4579" s="404"/>
      <c r="BI4579" s="404"/>
      <c r="BJ4579" s="404"/>
      <c r="BK4579" s="404"/>
      <c r="BL4579" s="404"/>
    </row>
    <row r="4580" spans="1:64" ht="25.4" customHeight="1">
      <c r="A4580" s="410">
        <f>A4574+1</f>
        <v>30</v>
      </c>
      <c r="B4580" s="410"/>
      <c r="C4580" s="1276" t="s">
        <v>1627</v>
      </c>
      <c r="D4580" s="1276"/>
      <c r="E4580" s="1276"/>
      <c r="F4580" s="1276"/>
      <c r="G4580" s="1276"/>
      <c r="H4580" s="1276"/>
      <c r="I4580" s="1276"/>
      <c r="J4580" s="400"/>
      <c r="K4580" s="401"/>
      <c r="L4580" s="401"/>
      <c r="M4580" s="404"/>
      <c r="N4580" s="404"/>
      <c r="O4580" s="404"/>
      <c r="P4580" s="404"/>
      <c r="Q4580" s="404"/>
      <c r="R4580" s="404"/>
      <c r="S4580" s="404"/>
      <c r="T4580" s="404"/>
      <c r="U4580" s="404"/>
      <c r="V4580" s="404"/>
      <c r="W4580" s="404"/>
      <c r="X4580" s="404"/>
      <c r="Y4580" s="404"/>
      <c r="Z4580" s="404"/>
      <c r="AA4580" s="404"/>
      <c r="AB4580" s="404"/>
      <c r="AC4580" s="404"/>
      <c r="AD4580" s="404"/>
      <c r="AE4580" s="404"/>
      <c r="AF4580" s="404"/>
      <c r="AG4580" s="404"/>
      <c r="AH4580" s="404"/>
      <c r="AI4580" s="404"/>
      <c r="AJ4580" s="404"/>
      <c r="AK4580" s="404"/>
      <c r="AL4580" s="404"/>
      <c r="AM4580" s="404"/>
      <c r="AN4580" s="404"/>
      <c r="AO4580" s="404"/>
      <c r="AP4580" s="404"/>
      <c r="AQ4580" s="404"/>
      <c r="AR4580" s="404"/>
      <c r="AS4580" s="404"/>
      <c r="AT4580" s="404"/>
      <c r="AU4580" s="404"/>
      <c r="AV4580" s="404"/>
      <c r="AW4580" s="404"/>
      <c r="AX4580" s="404"/>
      <c r="AY4580" s="404"/>
      <c r="AZ4580" s="404"/>
      <c r="BA4580" s="404"/>
      <c r="BB4580" s="404"/>
      <c r="BC4580" s="404"/>
      <c r="BD4580" s="404"/>
      <c r="BE4580" s="404"/>
      <c r="BF4580" s="404"/>
      <c r="BG4580" s="404"/>
      <c r="BH4580" s="404"/>
      <c r="BI4580" s="404"/>
      <c r="BJ4580" s="404"/>
      <c r="BK4580" s="404"/>
      <c r="BL4580" s="404"/>
    </row>
    <row r="4581" spans="1:64">
      <c r="A4581" s="426"/>
      <c r="B4581" s="426"/>
      <c r="C4581" s="435" t="s">
        <v>1626</v>
      </c>
      <c r="D4581" s="426">
        <v>1</v>
      </c>
      <c r="E4581" s="426" t="s">
        <v>1052</v>
      </c>
      <c r="F4581" s="409">
        <v>92</v>
      </c>
      <c r="G4581" s="426">
        <v>1</v>
      </c>
      <c r="H4581" s="456" t="str">
        <f>IF(E4581="","",IF(E4581="No.","Each",IF(E4581="Nos.","Each",E4581)))</f>
        <v>RM</v>
      </c>
      <c r="I4581" s="409">
        <f>F4581*D4581</f>
        <v>92</v>
      </c>
      <c r="J4581" s="400"/>
      <c r="K4581" s="401"/>
      <c r="L4581" s="401"/>
      <c r="M4581" s="404"/>
      <c r="N4581" s="404"/>
      <c r="O4581" s="404"/>
      <c r="P4581" s="404"/>
      <c r="Q4581" s="404"/>
      <c r="R4581" s="404"/>
      <c r="S4581" s="404"/>
      <c r="T4581" s="404"/>
      <c r="U4581" s="404"/>
      <c r="V4581" s="404"/>
      <c r="W4581" s="404"/>
      <c r="X4581" s="404"/>
      <c r="Y4581" s="404"/>
      <c r="Z4581" s="404"/>
      <c r="AA4581" s="404"/>
      <c r="AB4581" s="404"/>
      <c r="AC4581" s="404"/>
      <c r="AD4581" s="404"/>
      <c r="AE4581" s="404"/>
      <c r="AF4581" s="404"/>
      <c r="AG4581" s="404"/>
      <c r="AH4581" s="404"/>
      <c r="AI4581" s="404"/>
      <c r="AJ4581" s="404"/>
      <c r="AK4581" s="404"/>
      <c r="AL4581" s="404"/>
      <c r="AM4581" s="404"/>
      <c r="AN4581" s="404"/>
      <c r="AO4581" s="404"/>
      <c r="AP4581" s="404"/>
      <c r="AQ4581" s="404"/>
      <c r="AR4581" s="404"/>
      <c r="AS4581" s="404"/>
      <c r="AT4581" s="404"/>
      <c r="AU4581" s="404"/>
      <c r="AV4581" s="404"/>
      <c r="AW4581" s="404"/>
      <c r="AX4581" s="404"/>
      <c r="AY4581" s="404"/>
      <c r="AZ4581" s="404"/>
      <c r="BA4581" s="404"/>
      <c r="BB4581" s="404"/>
      <c r="BC4581" s="404"/>
      <c r="BD4581" s="404"/>
      <c r="BE4581" s="404"/>
      <c r="BF4581" s="404"/>
      <c r="BG4581" s="404"/>
      <c r="BH4581" s="404"/>
      <c r="BI4581" s="404"/>
      <c r="BJ4581" s="404"/>
      <c r="BK4581" s="404"/>
      <c r="BL4581" s="404"/>
    </row>
    <row r="4582" spans="1:64" ht="13">
      <c r="A4582" s="426"/>
      <c r="B4582" s="426"/>
      <c r="C4582" s="473" t="s">
        <v>1548</v>
      </c>
      <c r="D4582" s="426"/>
      <c r="E4582" s="426"/>
      <c r="F4582" s="426"/>
      <c r="G4582" s="426"/>
      <c r="H4582" s="434"/>
      <c r="I4582" s="434">
        <f>SUM(I4581:I4581)</f>
        <v>92</v>
      </c>
      <c r="J4582" s="400"/>
      <c r="K4582" s="401"/>
      <c r="L4582" s="401"/>
      <c r="M4582" s="404"/>
      <c r="N4582" s="404"/>
      <c r="O4582" s="404"/>
      <c r="P4582" s="404"/>
      <c r="Q4582" s="404"/>
      <c r="R4582" s="404"/>
      <c r="S4582" s="404"/>
      <c r="T4582" s="404"/>
      <c r="U4582" s="404"/>
      <c r="V4582" s="404"/>
      <c r="W4582" s="404"/>
      <c r="X4582" s="404"/>
      <c r="Y4582" s="404"/>
      <c r="Z4582" s="404"/>
      <c r="AA4582" s="404"/>
      <c r="AB4582" s="404"/>
      <c r="AC4582" s="404"/>
      <c r="AD4582" s="404"/>
      <c r="AE4582" s="404"/>
      <c r="AF4582" s="404"/>
      <c r="AG4582" s="404"/>
      <c r="AH4582" s="404"/>
      <c r="AI4582" s="404"/>
      <c r="AJ4582" s="404"/>
      <c r="AK4582" s="404"/>
      <c r="AL4582" s="404"/>
      <c r="AM4582" s="404"/>
      <c r="AN4582" s="404"/>
      <c r="AO4582" s="404"/>
      <c r="AP4582" s="404"/>
      <c r="AQ4582" s="404"/>
      <c r="AR4582" s="404"/>
      <c r="AS4582" s="404"/>
      <c r="AT4582" s="404"/>
      <c r="AU4582" s="404"/>
      <c r="AV4582" s="404"/>
      <c r="AW4582" s="404"/>
      <c r="AX4582" s="404"/>
      <c r="AY4582" s="404"/>
      <c r="AZ4582" s="404"/>
      <c r="BA4582" s="404"/>
      <c r="BB4582" s="404"/>
      <c r="BC4582" s="404"/>
      <c r="BD4582" s="404"/>
      <c r="BE4582" s="404"/>
      <c r="BF4582" s="404"/>
      <c r="BG4582" s="404"/>
      <c r="BH4582" s="404"/>
      <c r="BI4582" s="404"/>
      <c r="BJ4582" s="404"/>
      <c r="BK4582" s="404"/>
      <c r="BL4582" s="404"/>
    </row>
    <row r="4583" spans="1:64" ht="25">
      <c r="A4583" s="406"/>
      <c r="B4583" s="406"/>
      <c r="C4583" s="417" t="str">
        <f>[161]Input!$C$48</f>
        <v>Overheads &amp; Contractors Profit @ 13.615%</v>
      </c>
      <c r="D4583" s="444">
        <f>[161]Input!$D$48</f>
        <v>0.13614999999999999</v>
      </c>
      <c r="E4583" s="459"/>
      <c r="F4583" s="459">
        <f>I4582</f>
        <v>92</v>
      </c>
      <c r="G4583" s="460"/>
      <c r="H4583" s="406"/>
      <c r="I4583" s="459">
        <f>IF(G4583="",D4583*F4583,(D4583*F4583/G4583))</f>
        <v>12.5258</v>
      </c>
      <c r="J4583" s="400"/>
      <c r="K4583" s="401"/>
      <c r="L4583" s="401"/>
      <c r="M4583" s="404"/>
      <c r="N4583" s="404"/>
      <c r="O4583" s="404"/>
      <c r="P4583" s="404"/>
      <c r="Q4583" s="404"/>
      <c r="R4583" s="404"/>
      <c r="S4583" s="404"/>
      <c r="T4583" s="404"/>
      <c r="U4583" s="404"/>
      <c r="V4583" s="404"/>
      <c r="W4583" s="404"/>
      <c r="X4583" s="404"/>
      <c r="Y4583" s="404"/>
      <c r="Z4583" s="404"/>
      <c r="AA4583" s="404"/>
      <c r="AB4583" s="404"/>
      <c r="AC4583" s="404"/>
      <c r="AD4583" s="404"/>
      <c r="AE4583" s="404"/>
      <c r="AF4583" s="404"/>
      <c r="AG4583" s="404"/>
      <c r="AH4583" s="404"/>
      <c r="AI4583" s="404"/>
      <c r="AJ4583" s="404"/>
      <c r="AK4583" s="404"/>
      <c r="AL4583" s="404"/>
      <c r="AM4583" s="404"/>
      <c r="AN4583" s="404"/>
      <c r="AO4583" s="404"/>
      <c r="AP4583" s="404"/>
      <c r="AQ4583" s="404"/>
      <c r="AR4583" s="404"/>
      <c r="AS4583" s="404"/>
      <c r="AT4583" s="404"/>
      <c r="AU4583" s="404"/>
      <c r="AV4583" s="404"/>
      <c r="AW4583" s="404"/>
      <c r="AX4583" s="404"/>
      <c r="AY4583" s="404"/>
      <c r="AZ4583" s="404"/>
      <c r="BA4583" s="404"/>
      <c r="BB4583" s="404"/>
      <c r="BC4583" s="404"/>
      <c r="BD4583" s="404"/>
      <c r="BE4583" s="404"/>
      <c r="BF4583" s="404"/>
      <c r="BG4583" s="404"/>
      <c r="BH4583" s="404"/>
      <c r="BI4583" s="404"/>
      <c r="BJ4583" s="404"/>
      <c r="BK4583" s="404"/>
      <c r="BL4583" s="404"/>
    </row>
    <row r="4584" spans="1:64" ht="13">
      <c r="A4584" s="426"/>
      <c r="B4584" s="426"/>
      <c r="C4584" s="417"/>
      <c r="D4584" s="408"/>
      <c r="E4584" s="408"/>
      <c r="F4584" s="408"/>
      <c r="G4584" s="430"/>
      <c r="H4584" s="474"/>
      <c r="I4584" s="414">
        <f>SUM(I4582:I4583)</f>
        <v>104.5258</v>
      </c>
      <c r="J4584" s="400"/>
      <c r="K4584" s="401"/>
      <c r="L4584" s="401"/>
      <c r="M4584" s="404"/>
      <c r="N4584" s="404"/>
      <c r="O4584" s="404"/>
      <c r="P4584" s="404"/>
      <c r="Q4584" s="404"/>
      <c r="R4584" s="404"/>
      <c r="S4584" s="404"/>
      <c r="T4584" s="404"/>
      <c r="U4584" s="404"/>
      <c r="V4584" s="404"/>
      <c r="W4584" s="404"/>
      <c r="X4584" s="404"/>
      <c r="Y4584" s="404"/>
      <c r="Z4584" s="404"/>
      <c r="AA4584" s="404"/>
      <c r="AB4584" s="404"/>
      <c r="AC4584" s="404"/>
      <c r="AD4584" s="404"/>
      <c r="AE4584" s="404"/>
      <c r="AF4584" s="404"/>
      <c r="AG4584" s="404"/>
      <c r="AH4584" s="404"/>
      <c r="AI4584" s="404"/>
      <c r="AJ4584" s="404"/>
      <c r="AK4584" s="404"/>
      <c r="AL4584" s="404"/>
      <c r="AM4584" s="404"/>
      <c r="AN4584" s="404"/>
      <c r="AO4584" s="404"/>
      <c r="AP4584" s="404"/>
      <c r="AQ4584" s="404"/>
      <c r="AR4584" s="404"/>
      <c r="AS4584" s="404"/>
      <c r="AT4584" s="404"/>
      <c r="AU4584" s="404"/>
      <c r="AV4584" s="404"/>
      <c r="AW4584" s="404"/>
      <c r="AX4584" s="404"/>
      <c r="AY4584" s="404"/>
      <c r="AZ4584" s="404"/>
      <c r="BA4584" s="404"/>
      <c r="BB4584" s="404"/>
      <c r="BC4584" s="404"/>
      <c r="BD4584" s="404"/>
      <c r="BE4584" s="404"/>
      <c r="BF4584" s="404"/>
      <c r="BG4584" s="404"/>
      <c r="BH4584" s="404"/>
      <c r="BI4584" s="404"/>
      <c r="BJ4584" s="404"/>
      <c r="BK4584" s="404"/>
      <c r="BL4584" s="404"/>
    </row>
    <row r="4585" spans="1:64" ht="13">
      <c r="A4585" s="426"/>
      <c r="B4585" s="426"/>
      <c r="C4585" s="417"/>
      <c r="D4585" s="408"/>
      <c r="E4585" s="408"/>
      <c r="F4585" s="408"/>
      <c r="G4585" s="430"/>
      <c r="H4585" s="474" t="s">
        <v>774</v>
      </c>
      <c r="I4585" s="414">
        <f>ROUND(I4584,0)</f>
        <v>105</v>
      </c>
      <c r="J4585" s="400"/>
      <c r="K4585" s="401"/>
      <c r="L4585" s="401"/>
      <c r="M4585" s="404"/>
      <c r="N4585" s="404"/>
      <c r="O4585" s="404"/>
      <c r="P4585" s="404"/>
      <c r="Q4585" s="404"/>
      <c r="R4585" s="404"/>
      <c r="S4585" s="404"/>
      <c r="T4585" s="404"/>
      <c r="U4585" s="404"/>
      <c r="V4585" s="404"/>
      <c r="W4585" s="404"/>
      <c r="X4585" s="404"/>
      <c r="Y4585" s="404"/>
      <c r="Z4585" s="404"/>
      <c r="AA4585" s="404"/>
      <c r="AB4585" s="404"/>
      <c r="AC4585" s="404"/>
      <c r="AD4585" s="404"/>
      <c r="AE4585" s="404"/>
      <c r="AF4585" s="404"/>
      <c r="AG4585" s="404"/>
      <c r="AH4585" s="404"/>
      <c r="AI4585" s="404"/>
      <c r="AJ4585" s="404"/>
      <c r="AK4585" s="404"/>
      <c r="AL4585" s="404"/>
      <c r="AM4585" s="404"/>
      <c r="AN4585" s="404"/>
      <c r="AO4585" s="404"/>
      <c r="AP4585" s="404"/>
      <c r="AQ4585" s="404"/>
      <c r="AR4585" s="404"/>
      <c r="AS4585" s="404"/>
      <c r="AT4585" s="404"/>
      <c r="AU4585" s="404"/>
      <c r="AV4585" s="404"/>
      <c r="AW4585" s="404"/>
      <c r="AX4585" s="404"/>
      <c r="AY4585" s="404"/>
      <c r="AZ4585" s="404"/>
      <c r="BA4585" s="404"/>
      <c r="BB4585" s="404"/>
      <c r="BC4585" s="404"/>
      <c r="BD4585" s="404"/>
      <c r="BE4585" s="404"/>
      <c r="BF4585" s="404"/>
      <c r="BG4585" s="404"/>
      <c r="BH4585" s="404"/>
      <c r="BI4585" s="404"/>
      <c r="BJ4585" s="404"/>
      <c r="BK4585" s="404"/>
      <c r="BL4585" s="404"/>
    </row>
    <row r="4586" spans="1:64">
      <c r="A4586" s="426"/>
      <c r="B4586" s="426"/>
      <c r="C4586" s="417"/>
      <c r="D4586" s="409"/>
      <c r="E4586" s="426"/>
      <c r="F4586" s="409"/>
      <c r="G4586" s="410"/>
      <c r="H4586" s="426"/>
      <c r="I4586" s="409"/>
      <c r="J4586" s="400"/>
      <c r="K4586" s="401"/>
      <c r="L4586" s="401"/>
      <c r="M4586" s="404"/>
      <c r="N4586" s="404"/>
      <c r="O4586" s="404"/>
      <c r="P4586" s="404"/>
      <c r="Q4586" s="404"/>
      <c r="R4586" s="404"/>
      <c r="S4586" s="404"/>
      <c r="T4586" s="404"/>
      <c r="U4586" s="404"/>
      <c r="V4586" s="404"/>
      <c r="W4586" s="404"/>
      <c r="X4586" s="404"/>
      <c r="Y4586" s="404"/>
      <c r="Z4586" s="404"/>
      <c r="AA4586" s="404"/>
      <c r="AB4586" s="404"/>
      <c r="AC4586" s="404"/>
      <c r="AD4586" s="404"/>
      <c r="AE4586" s="404"/>
      <c r="AF4586" s="404"/>
      <c r="AG4586" s="404"/>
      <c r="AH4586" s="404"/>
      <c r="AI4586" s="404"/>
      <c r="AJ4586" s="404"/>
      <c r="AK4586" s="404"/>
      <c r="AL4586" s="404"/>
      <c r="AM4586" s="404"/>
      <c r="AN4586" s="404"/>
      <c r="AO4586" s="404"/>
      <c r="AP4586" s="404"/>
      <c r="AQ4586" s="404"/>
      <c r="AR4586" s="404"/>
      <c r="AS4586" s="404"/>
      <c r="AT4586" s="404"/>
      <c r="AU4586" s="404"/>
      <c r="AV4586" s="404"/>
      <c r="AW4586" s="404"/>
      <c r="AX4586" s="404"/>
      <c r="AY4586" s="404"/>
      <c r="AZ4586" s="404"/>
      <c r="BA4586" s="404"/>
      <c r="BB4586" s="404"/>
      <c r="BC4586" s="404"/>
      <c r="BD4586" s="404"/>
      <c r="BE4586" s="404"/>
      <c r="BF4586" s="404"/>
      <c r="BG4586" s="404"/>
      <c r="BH4586" s="404"/>
      <c r="BI4586" s="404"/>
      <c r="BJ4586" s="404"/>
      <c r="BK4586" s="404"/>
      <c r="BL4586" s="404"/>
    </row>
    <row r="4587" spans="1:64">
      <c r="A4587" s="426"/>
      <c r="B4587" s="426"/>
      <c r="C4587" s="417"/>
      <c r="D4587" s="409"/>
      <c r="E4587" s="426"/>
      <c r="F4587" s="409"/>
      <c r="G4587" s="410"/>
      <c r="H4587" s="426"/>
      <c r="I4587" s="409"/>
      <c r="J4587" s="400"/>
      <c r="K4587" s="401"/>
      <c r="L4587" s="401"/>
      <c r="M4587" s="404"/>
      <c r="N4587" s="404"/>
      <c r="O4587" s="404"/>
      <c r="P4587" s="404"/>
      <c r="Q4587" s="404"/>
      <c r="R4587" s="404"/>
      <c r="S4587" s="404"/>
      <c r="T4587" s="404"/>
      <c r="U4587" s="404"/>
      <c r="V4587" s="404"/>
      <c r="W4587" s="404"/>
      <c r="X4587" s="404"/>
      <c r="Y4587" s="404"/>
      <c r="Z4587" s="404"/>
      <c r="AA4587" s="404"/>
      <c r="AB4587" s="404"/>
      <c r="AC4587" s="404"/>
      <c r="AD4587" s="404"/>
      <c r="AE4587" s="404"/>
      <c r="AF4587" s="404"/>
      <c r="AG4587" s="404"/>
      <c r="AH4587" s="404"/>
      <c r="AI4587" s="404"/>
      <c r="AJ4587" s="404"/>
      <c r="AK4587" s="404"/>
      <c r="AL4587" s="404"/>
      <c r="AM4587" s="404"/>
      <c r="AN4587" s="404"/>
      <c r="AO4587" s="404"/>
      <c r="AP4587" s="404"/>
      <c r="AQ4587" s="404"/>
      <c r="AR4587" s="404"/>
      <c r="AS4587" s="404"/>
      <c r="AT4587" s="404"/>
      <c r="AU4587" s="404"/>
      <c r="AV4587" s="404"/>
      <c r="AW4587" s="404"/>
      <c r="AX4587" s="404"/>
      <c r="AY4587" s="404"/>
      <c r="AZ4587" s="404"/>
      <c r="BA4587" s="404"/>
      <c r="BB4587" s="404"/>
      <c r="BC4587" s="404"/>
      <c r="BD4587" s="404"/>
      <c r="BE4587" s="404"/>
      <c r="BF4587" s="404"/>
      <c r="BG4587" s="404"/>
      <c r="BH4587" s="404"/>
      <c r="BI4587" s="404"/>
      <c r="BJ4587" s="404"/>
      <c r="BK4587" s="404"/>
      <c r="BL4587" s="404"/>
    </row>
    <row r="4588" spans="1:64" ht="81.400000000000006" customHeight="1">
      <c r="A4588" s="410">
        <f>A4247+1</f>
        <v>26</v>
      </c>
      <c r="B4588" s="410"/>
      <c r="C4588" s="1276" t="s">
        <v>1628</v>
      </c>
      <c r="D4588" s="1276"/>
      <c r="E4588" s="1276"/>
      <c r="F4588" s="1276"/>
      <c r="G4588" s="1276"/>
      <c r="H4588" s="1276"/>
      <c r="I4588" s="1276"/>
      <c r="J4588" s="400"/>
      <c r="K4588" s="401"/>
      <c r="L4588" s="401"/>
      <c r="M4588" s="404"/>
      <c r="N4588" s="404"/>
      <c r="O4588" s="404"/>
      <c r="P4588" s="404"/>
      <c r="Q4588" s="404"/>
      <c r="R4588" s="404"/>
      <c r="S4588" s="404"/>
      <c r="T4588" s="404"/>
      <c r="U4588" s="404"/>
      <c r="V4588" s="404"/>
      <c r="W4588" s="404"/>
      <c r="X4588" s="404"/>
      <c r="Y4588" s="404"/>
      <c r="Z4588" s="404"/>
      <c r="AA4588" s="404"/>
      <c r="AB4588" s="404"/>
      <c r="AC4588" s="404"/>
      <c r="AD4588" s="404"/>
      <c r="AE4588" s="404"/>
      <c r="AF4588" s="404"/>
      <c r="AG4588" s="404"/>
      <c r="AH4588" s="404"/>
      <c r="AI4588" s="404"/>
      <c r="AJ4588" s="404"/>
      <c r="AK4588" s="404"/>
      <c r="AL4588" s="404"/>
      <c r="AM4588" s="404"/>
      <c r="AN4588" s="404"/>
      <c r="AO4588" s="404"/>
      <c r="AP4588" s="404"/>
      <c r="AQ4588" s="404"/>
      <c r="AR4588" s="404"/>
      <c r="AS4588" s="404"/>
      <c r="AT4588" s="404"/>
      <c r="AU4588" s="404"/>
      <c r="AV4588" s="404"/>
      <c r="AW4588" s="404"/>
      <c r="AX4588" s="404"/>
      <c r="AY4588" s="404"/>
      <c r="AZ4588" s="404"/>
      <c r="BA4588" s="404"/>
      <c r="BB4588" s="404"/>
      <c r="BC4588" s="404"/>
      <c r="BD4588" s="404"/>
      <c r="BE4588" s="404"/>
      <c r="BF4588" s="404"/>
      <c r="BG4588" s="404"/>
      <c r="BH4588" s="404"/>
      <c r="BI4588" s="404"/>
      <c r="BJ4588" s="404"/>
      <c r="BK4588" s="404"/>
      <c r="BL4588" s="404"/>
    </row>
    <row r="4589" spans="1:64">
      <c r="A4589" s="406"/>
      <c r="B4589" s="406"/>
      <c r="C4589" s="417" t="s">
        <v>1629</v>
      </c>
      <c r="D4589" s="459">
        <v>1</v>
      </c>
      <c r="E4589" s="458" t="s">
        <v>122</v>
      </c>
      <c r="F4589" s="459">
        <f>'[161]Civil-SOR'!G46*1000</f>
        <v>75000</v>
      </c>
      <c r="G4589" s="458">
        <v>1</v>
      </c>
      <c r="H4589" s="599" t="str">
        <f t="shared" ref="H4589:H4591" si="992">IF(E4589="","",IF(E4589="No.","Each",IF(E4589="Nos.","Each",E4589)))</f>
        <v>MT</v>
      </c>
      <c r="I4589" s="459">
        <f t="shared" ref="I4589:I4592" si="993">IF(G4589="",D4589*F4589,(D4589*F4589/G4589))</f>
        <v>75000</v>
      </c>
      <c r="J4589" s="400"/>
      <c r="K4589" s="401"/>
      <c r="L4589" s="401"/>
      <c r="M4589" s="404"/>
      <c r="N4589" s="404"/>
      <c r="O4589" s="404"/>
      <c r="P4589" s="404"/>
      <c r="Q4589" s="404"/>
      <c r="R4589" s="404"/>
      <c r="S4589" s="404"/>
      <c r="T4589" s="404"/>
      <c r="U4589" s="404"/>
      <c r="V4589" s="404"/>
      <c r="W4589" s="404"/>
      <c r="X4589" s="404"/>
      <c r="Y4589" s="404"/>
      <c r="Z4589" s="404"/>
      <c r="AA4589" s="404"/>
      <c r="AB4589" s="404"/>
      <c r="AC4589" s="404"/>
      <c r="AD4589" s="404"/>
      <c r="AE4589" s="404"/>
      <c r="AF4589" s="404"/>
      <c r="AG4589" s="404"/>
      <c r="AH4589" s="404"/>
      <c r="AI4589" s="404"/>
      <c r="AJ4589" s="404"/>
      <c r="AK4589" s="404"/>
      <c r="AL4589" s="404"/>
      <c r="AM4589" s="404"/>
      <c r="AN4589" s="404"/>
      <c r="AO4589" s="404"/>
      <c r="AP4589" s="404"/>
      <c r="AQ4589" s="404"/>
      <c r="AR4589" s="404"/>
      <c r="AS4589" s="404"/>
      <c r="AT4589" s="404"/>
      <c r="AU4589" s="404"/>
      <c r="AV4589" s="404"/>
      <c r="AW4589" s="404"/>
      <c r="AX4589" s="404"/>
      <c r="AY4589" s="404"/>
      <c r="AZ4589" s="404"/>
      <c r="BA4589" s="404"/>
      <c r="BB4589" s="404"/>
      <c r="BC4589" s="404"/>
      <c r="BD4589" s="404"/>
      <c r="BE4589" s="404"/>
      <c r="BF4589" s="404"/>
      <c r="BG4589" s="404"/>
      <c r="BH4589" s="404"/>
      <c r="BI4589" s="404"/>
      <c r="BJ4589" s="404"/>
      <c r="BK4589" s="404"/>
      <c r="BL4589" s="404"/>
    </row>
    <row r="4590" spans="1:64" ht="25">
      <c r="A4590" s="406"/>
      <c r="B4590" s="406"/>
      <c r="C4590" s="435" t="s">
        <v>1630</v>
      </c>
      <c r="D4590" s="459">
        <f t="shared" ref="D4590:D4591" si="994">D4589</f>
        <v>1</v>
      </c>
      <c r="E4590" s="458" t="s">
        <v>122</v>
      </c>
      <c r="F4590" s="459">
        <f>28*1000</f>
        <v>28000</v>
      </c>
      <c r="G4590" s="458">
        <v>1</v>
      </c>
      <c r="H4590" s="599" t="str">
        <f t="shared" si="992"/>
        <v>MT</v>
      </c>
      <c r="I4590" s="459">
        <f t="shared" si="993"/>
        <v>28000</v>
      </c>
      <c r="J4590" s="400"/>
      <c r="K4590" s="401"/>
      <c r="L4590" s="401"/>
      <c r="M4590" s="404"/>
      <c r="N4590" s="404"/>
      <c r="O4590" s="404"/>
      <c r="P4590" s="404"/>
      <c r="Q4590" s="404"/>
      <c r="R4590" s="404"/>
      <c r="S4590" s="404"/>
      <c r="T4590" s="404"/>
      <c r="U4590" s="404"/>
      <c r="V4590" s="404"/>
      <c r="W4590" s="404"/>
      <c r="X4590" s="404"/>
      <c r="Y4590" s="404"/>
      <c r="Z4590" s="404"/>
      <c r="AA4590" s="404"/>
      <c r="AB4590" s="404"/>
      <c r="AC4590" s="404"/>
      <c r="AD4590" s="404"/>
      <c r="AE4590" s="404"/>
      <c r="AF4590" s="404"/>
      <c r="AG4590" s="404"/>
      <c r="AH4590" s="404"/>
      <c r="AI4590" s="404"/>
      <c r="AJ4590" s="404"/>
      <c r="AK4590" s="404"/>
      <c r="AL4590" s="404"/>
      <c r="AM4590" s="404"/>
      <c r="AN4590" s="404"/>
      <c r="AO4590" s="404"/>
      <c r="AP4590" s="404"/>
      <c r="AQ4590" s="404"/>
      <c r="AR4590" s="404"/>
      <c r="AS4590" s="404"/>
      <c r="AT4590" s="404"/>
      <c r="AU4590" s="404"/>
      <c r="AV4590" s="404"/>
      <c r="AW4590" s="404"/>
      <c r="AX4590" s="404"/>
      <c r="AY4590" s="404"/>
      <c r="AZ4590" s="404"/>
      <c r="BA4590" s="404"/>
      <c r="BB4590" s="404"/>
      <c r="BC4590" s="404"/>
      <c r="BD4590" s="404"/>
      <c r="BE4590" s="404"/>
      <c r="BF4590" s="404"/>
      <c r="BG4590" s="404"/>
      <c r="BH4590" s="404"/>
      <c r="BI4590" s="404"/>
      <c r="BJ4590" s="404"/>
      <c r="BK4590" s="404"/>
      <c r="BL4590" s="404"/>
    </row>
    <row r="4591" spans="1:64">
      <c r="A4591" s="406"/>
      <c r="B4591" s="406"/>
      <c r="C4591" s="435" t="s">
        <v>1631</v>
      </c>
      <c r="D4591" s="459">
        <f t="shared" si="994"/>
        <v>1</v>
      </c>
      <c r="E4591" s="458" t="s">
        <v>122</v>
      </c>
      <c r="F4591" s="459">
        <f>25*1000</f>
        <v>25000</v>
      </c>
      <c r="G4591" s="458">
        <v>1</v>
      </c>
      <c r="H4591" s="599" t="str">
        <f t="shared" si="992"/>
        <v>MT</v>
      </c>
      <c r="I4591" s="459">
        <f t="shared" si="993"/>
        <v>25000</v>
      </c>
      <c r="J4591" s="400"/>
      <c r="K4591" s="401"/>
      <c r="L4591" s="401"/>
      <c r="M4591" s="404"/>
      <c r="N4591" s="404"/>
      <c r="O4591" s="404"/>
      <c r="P4591" s="404"/>
      <c r="Q4591" s="404"/>
      <c r="R4591" s="404"/>
      <c r="S4591" s="404"/>
      <c r="T4591" s="404"/>
      <c r="U4591" s="404"/>
      <c r="V4591" s="404"/>
      <c r="W4591" s="404"/>
      <c r="X4591" s="404"/>
      <c r="Y4591" s="404"/>
      <c r="Z4591" s="404"/>
      <c r="AA4591" s="404"/>
      <c r="AB4591" s="404"/>
      <c r="AC4591" s="404"/>
      <c r="AD4591" s="404"/>
      <c r="AE4591" s="404"/>
      <c r="AF4591" s="404"/>
      <c r="AG4591" s="404"/>
      <c r="AH4591" s="404"/>
      <c r="AI4591" s="404"/>
      <c r="AJ4591" s="404"/>
      <c r="AK4591" s="404"/>
      <c r="AL4591" s="404"/>
      <c r="AM4591" s="404"/>
      <c r="AN4591" s="404"/>
      <c r="AO4591" s="404"/>
      <c r="AP4591" s="404"/>
      <c r="AQ4591" s="404"/>
      <c r="AR4591" s="404"/>
      <c r="AS4591" s="404"/>
      <c r="AT4591" s="404"/>
      <c r="AU4591" s="404"/>
      <c r="AV4591" s="404"/>
      <c r="AW4591" s="404"/>
      <c r="AX4591" s="404"/>
      <c r="AY4591" s="404"/>
      <c r="AZ4591" s="404"/>
      <c r="BA4591" s="404"/>
      <c r="BB4591" s="404"/>
      <c r="BC4591" s="404"/>
      <c r="BD4591" s="404"/>
      <c r="BE4591" s="404"/>
      <c r="BF4591" s="404"/>
      <c r="BG4591" s="404"/>
      <c r="BH4591" s="404"/>
      <c r="BI4591" s="404"/>
      <c r="BJ4591" s="404"/>
      <c r="BK4591" s="404"/>
      <c r="BL4591" s="404"/>
    </row>
    <row r="4592" spans="1:64">
      <c r="A4592" s="406"/>
      <c r="B4592" s="406"/>
      <c r="C4592" s="417" t="str">
        <f>[161]Input!C$47</f>
        <v>Add for MA @ 40%</v>
      </c>
      <c r="D4592" s="746">
        <f>[161]Input!D$47</f>
        <v>0.4</v>
      </c>
      <c r="E4592" s="458"/>
      <c r="F4592" s="459">
        <f>(I4590+I4591)*40%</f>
        <v>21200</v>
      </c>
      <c r="G4592" s="406"/>
      <c r="H4592" s="406"/>
      <c r="I4592" s="459">
        <f t="shared" si="993"/>
        <v>8480</v>
      </c>
      <c r="J4592" s="400"/>
      <c r="K4592" s="401"/>
      <c r="L4592" s="401"/>
      <c r="M4592" s="404"/>
      <c r="N4592" s="404"/>
      <c r="O4592" s="404"/>
      <c r="P4592" s="404"/>
      <c r="Q4592" s="404"/>
      <c r="R4592" s="404"/>
      <c r="S4592" s="404"/>
      <c r="T4592" s="404"/>
      <c r="U4592" s="404"/>
      <c r="V4592" s="404"/>
      <c r="W4592" s="404"/>
      <c r="X4592" s="404"/>
      <c r="Y4592" s="404"/>
      <c r="Z4592" s="404"/>
      <c r="AA4592" s="404"/>
      <c r="AB4592" s="404"/>
      <c r="AC4592" s="404"/>
      <c r="AD4592" s="404"/>
      <c r="AE4592" s="404"/>
      <c r="AF4592" s="404"/>
      <c r="AG4592" s="404"/>
      <c r="AH4592" s="404"/>
      <c r="AI4592" s="404"/>
      <c r="AJ4592" s="404"/>
      <c r="AK4592" s="404"/>
      <c r="AL4592" s="404"/>
      <c r="AM4592" s="404"/>
      <c r="AN4592" s="404"/>
      <c r="AO4592" s="404"/>
      <c r="AP4592" s="404"/>
      <c r="AQ4592" s="404"/>
      <c r="AR4592" s="404"/>
      <c r="AS4592" s="404"/>
      <c r="AT4592" s="404"/>
      <c r="AU4592" s="404"/>
      <c r="AV4592" s="404"/>
      <c r="AW4592" s="404"/>
      <c r="AX4592" s="404"/>
      <c r="AY4592" s="404"/>
      <c r="AZ4592" s="404"/>
      <c r="BA4592" s="404"/>
      <c r="BB4592" s="404"/>
      <c r="BC4592" s="404"/>
      <c r="BD4592" s="404"/>
      <c r="BE4592" s="404"/>
      <c r="BF4592" s="404"/>
      <c r="BG4592" s="404"/>
      <c r="BH4592" s="404"/>
      <c r="BI4592" s="404"/>
      <c r="BJ4592" s="404"/>
      <c r="BK4592" s="404"/>
      <c r="BL4592" s="404"/>
    </row>
    <row r="4593" spans="1:64" ht="13">
      <c r="A4593" s="406"/>
      <c r="B4593" s="406"/>
      <c r="C4593" s="473" t="s">
        <v>1117</v>
      </c>
      <c r="D4593" s="459"/>
      <c r="E4593" s="471"/>
      <c r="F4593" s="458"/>
      <c r="G4593" s="458"/>
      <c r="H4593" s="407"/>
      <c r="I4593" s="461">
        <f>SUM(I4589:I4592)</f>
        <v>136480</v>
      </c>
      <c r="J4593" s="400"/>
      <c r="K4593" s="401"/>
      <c r="L4593" s="401"/>
      <c r="M4593" s="404"/>
      <c r="N4593" s="404"/>
      <c r="O4593" s="404"/>
      <c r="P4593" s="404"/>
      <c r="Q4593" s="404"/>
      <c r="R4593" s="404"/>
      <c r="S4593" s="404"/>
      <c r="T4593" s="404"/>
      <c r="U4593" s="404"/>
      <c r="V4593" s="404"/>
      <c r="W4593" s="404"/>
      <c r="X4593" s="404"/>
      <c r="Y4593" s="404"/>
      <c r="Z4593" s="404"/>
      <c r="AA4593" s="404"/>
      <c r="AB4593" s="404"/>
      <c r="AC4593" s="404"/>
      <c r="AD4593" s="404"/>
      <c r="AE4593" s="404"/>
      <c r="AF4593" s="404"/>
      <c r="AG4593" s="404"/>
      <c r="AH4593" s="404"/>
      <c r="AI4593" s="404"/>
      <c r="AJ4593" s="404"/>
      <c r="AK4593" s="404"/>
      <c r="AL4593" s="404"/>
      <c r="AM4593" s="404"/>
      <c r="AN4593" s="404"/>
      <c r="AO4593" s="404"/>
      <c r="AP4593" s="404"/>
      <c r="AQ4593" s="404"/>
      <c r="AR4593" s="404"/>
      <c r="AS4593" s="404"/>
      <c r="AT4593" s="404"/>
      <c r="AU4593" s="404"/>
      <c r="AV4593" s="404"/>
      <c r="AW4593" s="404"/>
      <c r="AX4593" s="404"/>
      <c r="AY4593" s="404"/>
      <c r="AZ4593" s="404"/>
      <c r="BA4593" s="404"/>
      <c r="BB4593" s="404"/>
      <c r="BC4593" s="404"/>
      <c r="BD4593" s="404"/>
      <c r="BE4593" s="404"/>
      <c r="BF4593" s="404"/>
      <c r="BG4593" s="404"/>
      <c r="BH4593" s="404"/>
      <c r="BI4593" s="404"/>
      <c r="BJ4593" s="404"/>
      <c r="BK4593" s="404"/>
      <c r="BL4593" s="404"/>
    </row>
    <row r="4594" spans="1:64" ht="25">
      <c r="A4594" s="406"/>
      <c r="B4594" s="406"/>
      <c r="C4594" s="417" t="str">
        <f>[161]Input!$C$48</f>
        <v>Overheads &amp; Contractors Profit @ 13.615%</v>
      </c>
      <c r="D4594" s="444">
        <f>[161]Input!$D$48</f>
        <v>0.13614999999999999</v>
      </c>
      <c r="E4594" s="471"/>
      <c r="F4594" s="459">
        <f>I4593</f>
        <v>136480</v>
      </c>
      <c r="G4594" s="458"/>
      <c r="H4594" s="407"/>
      <c r="I4594" s="459">
        <f>IF(G4594="",D4594*F4594,(D4594*F4594/G4594))</f>
        <v>18581.752</v>
      </c>
      <c r="J4594" s="400"/>
      <c r="K4594" s="401"/>
      <c r="L4594" s="401"/>
      <c r="M4594" s="404"/>
      <c r="N4594" s="404"/>
      <c r="O4594" s="404"/>
      <c r="P4594" s="404"/>
      <c r="Q4594" s="404"/>
      <c r="R4594" s="404"/>
      <c r="S4594" s="404"/>
      <c r="T4594" s="404"/>
      <c r="U4594" s="404"/>
      <c r="V4594" s="404"/>
      <c r="W4594" s="404"/>
      <c r="X4594" s="404"/>
      <c r="Y4594" s="404"/>
      <c r="Z4594" s="404"/>
      <c r="AA4594" s="404"/>
      <c r="AB4594" s="404"/>
      <c r="AC4594" s="404"/>
      <c r="AD4594" s="404"/>
      <c r="AE4594" s="404"/>
      <c r="AF4594" s="404"/>
      <c r="AG4594" s="404"/>
      <c r="AH4594" s="404"/>
      <c r="AI4594" s="404"/>
      <c r="AJ4594" s="404"/>
      <c r="AK4594" s="404"/>
      <c r="AL4594" s="404"/>
      <c r="AM4594" s="404"/>
      <c r="AN4594" s="404"/>
      <c r="AO4594" s="404"/>
      <c r="AP4594" s="404"/>
      <c r="AQ4594" s="404"/>
      <c r="AR4594" s="404"/>
      <c r="AS4594" s="404"/>
      <c r="AT4594" s="404"/>
      <c r="AU4594" s="404"/>
      <c r="AV4594" s="404"/>
      <c r="AW4594" s="404"/>
      <c r="AX4594" s="404"/>
      <c r="AY4594" s="404"/>
      <c r="AZ4594" s="404"/>
      <c r="BA4594" s="404"/>
      <c r="BB4594" s="404"/>
      <c r="BC4594" s="404"/>
      <c r="BD4594" s="404"/>
      <c r="BE4594" s="404"/>
      <c r="BF4594" s="404"/>
      <c r="BG4594" s="404"/>
      <c r="BH4594" s="404"/>
      <c r="BI4594" s="404"/>
      <c r="BJ4594" s="404"/>
      <c r="BK4594" s="404"/>
      <c r="BL4594" s="404"/>
    </row>
    <row r="4595" spans="1:64" ht="13">
      <c r="A4595" s="426"/>
      <c r="B4595" s="426"/>
      <c r="C4595" s="473"/>
      <c r="D4595" s="408"/>
      <c r="E4595" s="415"/>
      <c r="F4595" s="454"/>
      <c r="G4595" s="454"/>
      <c r="H4595" s="474"/>
      <c r="I4595" s="414">
        <f>SUM(I4593:I4594)</f>
        <v>155061.75200000001</v>
      </c>
      <c r="J4595" s="400"/>
      <c r="K4595" s="401"/>
      <c r="L4595" s="401"/>
      <c r="M4595" s="404"/>
      <c r="N4595" s="404"/>
      <c r="O4595" s="404"/>
      <c r="P4595" s="404"/>
      <c r="Q4595" s="404"/>
      <c r="R4595" s="404"/>
      <c r="S4595" s="404"/>
      <c r="T4595" s="404"/>
      <c r="U4595" s="404"/>
      <c r="V4595" s="404"/>
      <c r="W4595" s="404"/>
      <c r="X4595" s="404"/>
      <c r="Y4595" s="404"/>
      <c r="Z4595" s="404"/>
      <c r="AA4595" s="404"/>
      <c r="AB4595" s="404"/>
      <c r="AC4595" s="404"/>
      <c r="AD4595" s="404"/>
      <c r="AE4595" s="404"/>
      <c r="AF4595" s="404"/>
      <c r="AG4595" s="404"/>
      <c r="AH4595" s="404"/>
      <c r="AI4595" s="404"/>
      <c r="AJ4595" s="404"/>
      <c r="AK4595" s="404"/>
      <c r="AL4595" s="404"/>
      <c r="AM4595" s="404"/>
      <c r="AN4595" s="404"/>
      <c r="AO4595" s="404"/>
      <c r="AP4595" s="404"/>
      <c r="AQ4595" s="404"/>
      <c r="AR4595" s="404"/>
      <c r="AS4595" s="404"/>
      <c r="AT4595" s="404"/>
      <c r="AU4595" s="404"/>
      <c r="AV4595" s="404"/>
      <c r="AW4595" s="404"/>
      <c r="AX4595" s="404"/>
      <c r="AY4595" s="404"/>
      <c r="AZ4595" s="404"/>
      <c r="BA4595" s="404"/>
      <c r="BB4595" s="404"/>
      <c r="BC4595" s="404"/>
      <c r="BD4595" s="404"/>
      <c r="BE4595" s="404"/>
      <c r="BF4595" s="404"/>
      <c r="BG4595" s="404"/>
      <c r="BH4595" s="404"/>
      <c r="BI4595" s="404"/>
      <c r="BJ4595" s="404"/>
      <c r="BK4595" s="404"/>
      <c r="BL4595" s="404"/>
    </row>
    <row r="4596" spans="1:64" ht="13">
      <c r="A4596" s="426"/>
      <c r="B4596" s="426"/>
      <c r="C4596" s="473" t="s">
        <v>1117</v>
      </c>
      <c r="D4596" s="408"/>
      <c r="E4596" s="415"/>
      <c r="F4596" s="454"/>
      <c r="G4596" s="454"/>
      <c r="H4596" s="474"/>
      <c r="I4596" s="414">
        <f>ROUND(I4595,0)</f>
        <v>155062</v>
      </c>
      <c r="J4596" s="400"/>
      <c r="K4596" s="401"/>
      <c r="L4596" s="401"/>
      <c r="M4596" s="404"/>
      <c r="N4596" s="404"/>
      <c r="O4596" s="404"/>
      <c r="P4596" s="404"/>
      <c r="Q4596" s="404"/>
      <c r="R4596" s="404"/>
      <c r="S4596" s="404"/>
      <c r="T4596" s="404"/>
      <c r="U4596" s="404"/>
      <c r="V4596" s="404"/>
      <c r="W4596" s="404"/>
      <c r="X4596" s="404"/>
      <c r="Y4596" s="404"/>
      <c r="Z4596" s="404"/>
      <c r="AA4596" s="404"/>
      <c r="AB4596" s="404"/>
      <c r="AC4596" s="404"/>
      <c r="AD4596" s="404"/>
      <c r="AE4596" s="404"/>
      <c r="AF4596" s="404"/>
      <c r="AG4596" s="404"/>
      <c r="AH4596" s="404"/>
      <c r="AI4596" s="404"/>
      <c r="AJ4596" s="404"/>
      <c r="AK4596" s="404"/>
      <c r="AL4596" s="404"/>
      <c r="AM4596" s="404"/>
      <c r="AN4596" s="404"/>
      <c r="AO4596" s="404"/>
      <c r="AP4596" s="404"/>
      <c r="AQ4596" s="404"/>
      <c r="AR4596" s="404"/>
      <c r="AS4596" s="404"/>
      <c r="AT4596" s="404"/>
      <c r="AU4596" s="404"/>
      <c r="AV4596" s="404"/>
      <c r="AW4596" s="404"/>
      <c r="AX4596" s="404"/>
      <c r="AY4596" s="404"/>
      <c r="AZ4596" s="404"/>
      <c r="BA4596" s="404"/>
      <c r="BB4596" s="404"/>
      <c r="BC4596" s="404"/>
      <c r="BD4596" s="404"/>
      <c r="BE4596" s="404"/>
      <c r="BF4596" s="404"/>
      <c r="BG4596" s="404"/>
      <c r="BH4596" s="404"/>
      <c r="BI4596" s="404"/>
      <c r="BJ4596" s="404"/>
      <c r="BK4596" s="404"/>
      <c r="BL4596" s="404"/>
    </row>
    <row r="4597" spans="1:64" ht="13">
      <c r="A4597" s="426"/>
      <c r="B4597" s="426"/>
      <c r="C4597" s="473" t="s">
        <v>1632</v>
      </c>
      <c r="D4597" s="408"/>
      <c r="E4597" s="415"/>
      <c r="F4597" s="454"/>
      <c r="G4597" s="454"/>
      <c r="H4597" s="474"/>
      <c r="I4597" s="414">
        <f>I4596/1000</f>
        <v>155.06200000000001</v>
      </c>
      <c r="J4597" s="400"/>
      <c r="K4597" s="401"/>
      <c r="L4597" s="401"/>
      <c r="M4597" s="404"/>
      <c r="N4597" s="404"/>
      <c r="O4597" s="404"/>
      <c r="P4597" s="404"/>
      <c r="Q4597" s="404"/>
      <c r="R4597" s="404"/>
      <c r="S4597" s="404"/>
      <c r="T4597" s="404"/>
      <c r="U4597" s="404"/>
      <c r="V4597" s="404"/>
      <c r="W4597" s="404"/>
      <c r="X4597" s="404"/>
      <c r="Y4597" s="404"/>
      <c r="Z4597" s="404"/>
      <c r="AA4597" s="404"/>
      <c r="AB4597" s="404"/>
      <c r="AC4597" s="404"/>
      <c r="AD4597" s="404"/>
      <c r="AE4597" s="404"/>
      <c r="AF4597" s="404"/>
      <c r="AG4597" s="404"/>
      <c r="AH4597" s="404"/>
      <c r="AI4597" s="404"/>
      <c r="AJ4597" s="404"/>
      <c r="AK4597" s="404"/>
      <c r="AL4597" s="404"/>
      <c r="AM4597" s="404"/>
      <c r="AN4597" s="404"/>
      <c r="AO4597" s="404"/>
      <c r="AP4597" s="404"/>
      <c r="AQ4597" s="404"/>
      <c r="AR4597" s="404"/>
      <c r="AS4597" s="404"/>
      <c r="AT4597" s="404"/>
      <c r="AU4597" s="404"/>
      <c r="AV4597" s="404"/>
      <c r="AW4597" s="404"/>
      <c r="AX4597" s="404"/>
      <c r="AY4597" s="404"/>
      <c r="AZ4597" s="404"/>
      <c r="BA4597" s="404"/>
      <c r="BB4597" s="404"/>
      <c r="BC4597" s="404"/>
      <c r="BD4597" s="404"/>
      <c r="BE4597" s="404"/>
      <c r="BF4597" s="404"/>
      <c r="BG4597" s="404"/>
      <c r="BH4597" s="404"/>
      <c r="BI4597" s="404"/>
      <c r="BJ4597" s="404"/>
      <c r="BK4597" s="404"/>
      <c r="BL4597" s="404"/>
    </row>
    <row r="4598" spans="1:64" ht="13">
      <c r="A4598" s="426"/>
      <c r="B4598" s="426"/>
      <c r="C4598" s="417"/>
      <c r="D4598" s="408"/>
      <c r="E4598" s="408"/>
      <c r="F4598" s="408"/>
      <c r="G4598" s="1283" t="s">
        <v>1633</v>
      </c>
      <c r="H4598" s="1283"/>
      <c r="I4598" s="414">
        <f>ROUND(I4597,0)</f>
        <v>155</v>
      </c>
      <c r="J4598" s="400"/>
      <c r="K4598" s="401"/>
      <c r="L4598" s="401"/>
      <c r="M4598" s="404"/>
      <c r="N4598" s="404"/>
      <c r="O4598" s="404"/>
      <c r="P4598" s="404"/>
      <c r="Q4598" s="404"/>
      <c r="R4598" s="404"/>
      <c r="S4598" s="404"/>
      <c r="T4598" s="404"/>
      <c r="U4598" s="404"/>
      <c r="V4598" s="404"/>
      <c r="W4598" s="404"/>
      <c r="X4598" s="404"/>
      <c r="Y4598" s="404"/>
      <c r="Z4598" s="404"/>
      <c r="AA4598" s="404"/>
      <c r="AB4598" s="404"/>
      <c r="AC4598" s="404"/>
      <c r="AD4598" s="404"/>
      <c r="AE4598" s="404"/>
      <c r="AF4598" s="404"/>
      <c r="AG4598" s="404"/>
      <c r="AH4598" s="404"/>
      <c r="AI4598" s="404"/>
      <c r="AJ4598" s="404"/>
      <c r="AK4598" s="404"/>
      <c r="AL4598" s="404"/>
      <c r="AM4598" s="404"/>
      <c r="AN4598" s="404"/>
      <c r="AO4598" s="404"/>
      <c r="AP4598" s="404"/>
      <c r="AQ4598" s="404"/>
      <c r="AR4598" s="404"/>
      <c r="AS4598" s="404"/>
      <c r="AT4598" s="404"/>
      <c r="AU4598" s="404"/>
      <c r="AV4598" s="404"/>
      <c r="AW4598" s="404"/>
      <c r="AX4598" s="404"/>
      <c r="AY4598" s="404"/>
      <c r="AZ4598" s="404"/>
      <c r="BA4598" s="404"/>
      <c r="BB4598" s="404"/>
      <c r="BC4598" s="404"/>
      <c r="BD4598" s="404"/>
      <c r="BE4598" s="404"/>
      <c r="BF4598" s="404"/>
      <c r="BG4598" s="404"/>
      <c r="BH4598" s="404"/>
      <c r="BI4598" s="404"/>
      <c r="BJ4598" s="404"/>
      <c r="BK4598" s="404"/>
      <c r="BL4598" s="404"/>
    </row>
    <row r="4599" spans="1:64" ht="13">
      <c r="A4599" s="426"/>
      <c r="B4599" s="426"/>
      <c r="C4599" s="435"/>
      <c r="D4599" s="408"/>
      <c r="E4599" s="415"/>
      <c r="F4599" s="454"/>
      <c r="G4599" s="454"/>
      <c r="H4599" s="474"/>
      <c r="I4599" s="414"/>
      <c r="J4599" s="400"/>
      <c r="K4599" s="401"/>
      <c r="L4599" s="401"/>
      <c r="M4599" s="404"/>
      <c r="N4599" s="404"/>
      <c r="O4599" s="404"/>
      <c r="P4599" s="404"/>
      <c r="Q4599" s="404"/>
      <c r="R4599" s="404"/>
      <c r="S4599" s="404"/>
      <c r="T4599" s="404"/>
      <c r="U4599" s="404"/>
      <c r="V4599" s="404"/>
      <c r="W4599" s="404"/>
      <c r="X4599" s="404"/>
      <c r="Y4599" s="404"/>
      <c r="Z4599" s="404"/>
      <c r="AA4599" s="404"/>
      <c r="AB4599" s="404"/>
      <c r="AC4599" s="404"/>
      <c r="AD4599" s="404"/>
      <c r="AE4599" s="404"/>
      <c r="AF4599" s="404"/>
      <c r="AG4599" s="404"/>
      <c r="AH4599" s="404"/>
      <c r="AI4599" s="404"/>
      <c r="AJ4599" s="404"/>
      <c r="AK4599" s="404"/>
      <c r="AL4599" s="404"/>
      <c r="AM4599" s="404"/>
      <c r="AN4599" s="404"/>
      <c r="AO4599" s="404"/>
      <c r="AP4599" s="404"/>
      <c r="AQ4599" s="404"/>
      <c r="AR4599" s="404"/>
      <c r="AS4599" s="404"/>
      <c r="AT4599" s="404"/>
      <c r="AU4599" s="404"/>
      <c r="AV4599" s="404"/>
      <c r="AW4599" s="404"/>
      <c r="AX4599" s="404"/>
      <c r="AY4599" s="404"/>
      <c r="AZ4599" s="404"/>
      <c r="BA4599" s="404"/>
      <c r="BB4599" s="404"/>
      <c r="BC4599" s="404"/>
      <c r="BD4599" s="404"/>
      <c r="BE4599" s="404"/>
      <c r="BF4599" s="404"/>
      <c r="BG4599" s="404"/>
      <c r="BH4599" s="404"/>
      <c r="BI4599" s="404"/>
      <c r="BJ4599" s="404"/>
      <c r="BK4599" s="404"/>
      <c r="BL4599" s="404"/>
    </row>
    <row r="4600" spans="1:64" ht="58.9" customHeight="1">
      <c r="A4600" s="1292">
        <f>1+A4588</f>
        <v>27</v>
      </c>
      <c r="B4600" s="1292"/>
      <c r="C4600" s="1291" t="s">
        <v>1634</v>
      </c>
      <c r="D4600" s="1291"/>
      <c r="E4600" s="1291"/>
      <c r="F4600" s="1291"/>
      <c r="G4600" s="1291"/>
      <c r="H4600" s="1291"/>
      <c r="I4600" s="1291"/>
      <c r="J4600" s="400"/>
      <c r="K4600" s="401"/>
      <c r="L4600" s="401"/>
      <c r="M4600" s="404"/>
      <c r="N4600" s="404"/>
      <c r="O4600" s="404"/>
      <c r="P4600" s="404"/>
      <c r="Q4600" s="404"/>
      <c r="R4600" s="404"/>
      <c r="S4600" s="404"/>
      <c r="T4600" s="404"/>
      <c r="U4600" s="404"/>
      <c r="V4600" s="404"/>
      <c r="W4600" s="404"/>
      <c r="X4600" s="404"/>
      <c r="Y4600" s="404"/>
      <c r="Z4600" s="404"/>
      <c r="AA4600" s="404"/>
      <c r="AB4600" s="404"/>
      <c r="AC4600" s="404"/>
      <c r="AD4600" s="404"/>
      <c r="AE4600" s="404"/>
      <c r="AF4600" s="404"/>
      <c r="AG4600" s="404"/>
      <c r="AH4600" s="404"/>
      <c r="AI4600" s="404"/>
      <c r="AJ4600" s="404"/>
      <c r="AK4600" s="404"/>
      <c r="AL4600" s="404"/>
      <c r="AM4600" s="404"/>
      <c r="AN4600" s="404"/>
      <c r="AO4600" s="404"/>
      <c r="AP4600" s="404"/>
      <c r="AQ4600" s="404"/>
      <c r="AR4600" s="404"/>
      <c r="AS4600" s="404"/>
      <c r="AT4600" s="404"/>
      <c r="AU4600" s="404"/>
      <c r="AV4600" s="404"/>
      <c r="AW4600" s="404"/>
      <c r="AX4600" s="404"/>
      <c r="AY4600" s="404"/>
      <c r="AZ4600" s="404"/>
      <c r="BA4600" s="404"/>
      <c r="BB4600" s="404"/>
      <c r="BC4600" s="404"/>
      <c r="BD4600" s="404"/>
      <c r="BE4600" s="404"/>
      <c r="BF4600" s="404"/>
      <c r="BG4600" s="404"/>
      <c r="BH4600" s="404"/>
      <c r="BI4600" s="404"/>
      <c r="BJ4600" s="404"/>
      <c r="BK4600" s="404"/>
      <c r="BL4600" s="404"/>
    </row>
    <row r="4601" spans="1:64">
      <c r="A4601" s="406"/>
      <c r="B4601" s="406"/>
      <c r="C4601" s="417" t="s">
        <v>1635</v>
      </c>
      <c r="D4601" s="459">
        <v>1</v>
      </c>
      <c r="E4601" s="458" t="s">
        <v>122</v>
      </c>
      <c r="F4601" s="459">
        <f>[161]LEAD!N10</f>
        <v>61000</v>
      </c>
      <c r="G4601" s="458">
        <v>1</v>
      </c>
      <c r="H4601" s="599" t="str">
        <f t="shared" ref="H4601:H4603" si="995">IF(E4601="","",IF(E4601="No.","Each",IF(E4601="Nos.","Each",E4601)))</f>
        <v>MT</v>
      </c>
      <c r="I4601" s="459">
        <f t="shared" ref="I4601:I4604" si="996">IF(G4601="",D4601*F4601,(D4601*F4601/G4601))</f>
        <v>61000</v>
      </c>
      <c r="J4601" s="400"/>
      <c r="K4601" s="401"/>
      <c r="L4601" s="401"/>
      <c r="M4601" s="404"/>
      <c r="N4601" s="404"/>
      <c r="O4601" s="404"/>
      <c r="P4601" s="404"/>
      <c r="Q4601" s="404"/>
      <c r="R4601" s="404"/>
      <c r="S4601" s="404"/>
      <c r="T4601" s="404"/>
      <c r="U4601" s="404"/>
      <c r="V4601" s="404"/>
      <c r="W4601" s="404"/>
      <c r="X4601" s="404"/>
      <c r="Y4601" s="404"/>
      <c r="Z4601" s="404"/>
      <c r="AA4601" s="404"/>
      <c r="AB4601" s="404"/>
      <c r="AC4601" s="404"/>
      <c r="AD4601" s="404"/>
      <c r="AE4601" s="404"/>
      <c r="AF4601" s="404"/>
      <c r="AG4601" s="404"/>
      <c r="AH4601" s="404"/>
      <c r="AI4601" s="404"/>
      <c r="AJ4601" s="404"/>
      <c r="AK4601" s="404"/>
      <c r="AL4601" s="404"/>
      <c r="AM4601" s="404"/>
      <c r="AN4601" s="404"/>
      <c r="AO4601" s="404"/>
      <c r="AP4601" s="404"/>
      <c r="AQ4601" s="404"/>
      <c r="AR4601" s="404"/>
      <c r="AS4601" s="404"/>
      <c r="AT4601" s="404"/>
      <c r="AU4601" s="404"/>
      <c r="AV4601" s="404"/>
      <c r="AW4601" s="404"/>
      <c r="AX4601" s="404"/>
      <c r="AY4601" s="404"/>
      <c r="AZ4601" s="404"/>
      <c r="BA4601" s="404"/>
      <c r="BB4601" s="404"/>
      <c r="BC4601" s="404"/>
      <c r="BD4601" s="404"/>
      <c r="BE4601" s="404"/>
      <c r="BF4601" s="404"/>
      <c r="BG4601" s="404"/>
      <c r="BH4601" s="404"/>
      <c r="BI4601" s="404"/>
      <c r="BJ4601" s="404"/>
      <c r="BK4601" s="404"/>
      <c r="BL4601" s="404"/>
    </row>
    <row r="4602" spans="1:64" ht="25">
      <c r="A4602" s="406"/>
      <c r="B4602" s="406"/>
      <c r="C4602" s="435" t="s">
        <v>1636</v>
      </c>
      <c r="D4602" s="459">
        <f t="shared" ref="D4602:D4603" si="997">D4601</f>
        <v>1</v>
      </c>
      <c r="E4602" s="458" t="s">
        <v>122</v>
      </c>
      <c r="F4602" s="459">
        <f>'[161]Civil-SOR'!G202*1000</f>
        <v>37000</v>
      </c>
      <c r="G4602" s="458">
        <v>1</v>
      </c>
      <c r="H4602" s="599" t="str">
        <f t="shared" si="995"/>
        <v>MT</v>
      </c>
      <c r="I4602" s="459">
        <f t="shared" si="996"/>
        <v>37000</v>
      </c>
      <c r="J4602" s="400"/>
      <c r="K4602" s="401"/>
      <c r="L4602" s="401"/>
      <c r="M4602" s="404"/>
      <c r="N4602" s="404"/>
      <c r="O4602" s="404"/>
      <c r="P4602" s="404"/>
      <c r="Q4602" s="404"/>
      <c r="R4602" s="404"/>
      <c r="S4602" s="404"/>
      <c r="T4602" s="404"/>
      <c r="U4602" s="404"/>
      <c r="V4602" s="404"/>
      <c r="W4602" s="404"/>
      <c r="X4602" s="404"/>
      <c r="Y4602" s="404"/>
      <c r="Z4602" s="404"/>
      <c r="AA4602" s="404"/>
      <c r="AB4602" s="404"/>
      <c r="AC4602" s="404"/>
      <c r="AD4602" s="404"/>
      <c r="AE4602" s="404"/>
      <c r="AF4602" s="404"/>
      <c r="AG4602" s="404"/>
      <c r="AH4602" s="404"/>
      <c r="AI4602" s="404"/>
      <c r="AJ4602" s="404"/>
      <c r="AK4602" s="404"/>
      <c r="AL4602" s="404"/>
      <c r="AM4602" s="404"/>
      <c r="AN4602" s="404"/>
      <c r="AO4602" s="404"/>
      <c r="AP4602" s="404"/>
      <c r="AQ4602" s="404"/>
      <c r="AR4602" s="404"/>
      <c r="AS4602" s="404"/>
      <c r="AT4602" s="404"/>
      <c r="AU4602" s="404"/>
      <c r="AV4602" s="404"/>
      <c r="AW4602" s="404"/>
      <c r="AX4602" s="404"/>
      <c r="AY4602" s="404"/>
      <c r="AZ4602" s="404"/>
      <c r="BA4602" s="404"/>
      <c r="BB4602" s="404"/>
      <c r="BC4602" s="404"/>
      <c r="BD4602" s="404"/>
      <c r="BE4602" s="404"/>
      <c r="BF4602" s="404"/>
      <c r="BG4602" s="404"/>
      <c r="BH4602" s="404"/>
      <c r="BI4602" s="404"/>
      <c r="BJ4602" s="404"/>
      <c r="BK4602" s="404"/>
      <c r="BL4602" s="404"/>
    </row>
    <row r="4603" spans="1:64">
      <c r="A4603" s="406"/>
      <c r="B4603" s="406"/>
      <c r="C4603" s="435" t="s">
        <v>1637</v>
      </c>
      <c r="D4603" s="459">
        <f t="shared" si="997"/>
        <v>1</v>
      </c>
      <c r="E4603" s="458" t="s">
        <v>122</v>
      </c>
      <c r="F4603" s="459">
        <f>'[161]Civil-SOR'!G203*1000</f>
        <v>6000</v>
      </c>
      <c r="G4603" s="458">
        <v>1</v>
      </c>
      <c r="H4603" s="599" t="str">
        <f t="shared" si="995"/>
        <v>MT</v>
      </c>
      <c r="I4603" s="459">
        <f t="shared" si="996"/>
        <v>6000</v>
      </c>
      <c r="J4603" s="400"/>
      <c r="K4603" s="401"/>
      <c r="L4603" s="401"/>
      <c r="M4603" s="404"/>
      <c r="N4603" s="404"/>
      <c r="O4603" s="404"/>
      <c r="P4603" s="404"/>
      <c r="Q4603" s="404"/>
      <c r="R4603" s="404"/>
      <c r="S4603" s="404"/>
      <c r="T4603" s="404"/>
      <c r="U4603" s="404"/>
      <c r="V4603" s="404"/>
      <c r="W4603" s="404"/>
      <c r="X4603" s="404"/>
      <c r="Y4603" s="404"/>
      <c r="Z4603" s="404"/>
      <c r="AA4603" s="404"/>
      <c r="AB4603" s="404"/>
      <c r="AC4603" s="404"/>
      <c r="AD4603" s="404"/>
      <c r="AE4603" s="404"/>
      <c r="AF4603" s="404"/>
      <c r="AG4603" s="404"/>
      <c r="AH4603" s="404"/>
      <c r="AI4603" s="404"/>
      <c r="AJ4603" s="404"/>
      <c r="AK4603" s="404"/>
      <c r="AL4603" s="404"/>
      <c r="AM4603" s="404"/>
      <c r="AN4603" s="404"/>
      <c r="AO4603" s="404"/>
      <c r="AP4603" s="404"/>
      <c r="AQ4603" s="404"/>
      <c r="AR4603" s="404"/>
      <c r="AS4603" s="404"/>
      <c r="AT4603" s="404"/>
      <c r="AU4603" s="404"/>
      <c r="AV4603" s="404"/>
      <c r="AW4603" s="404"/>
      <c r="AX4603" s="404"/>
      <c r="AY4603" s="404"/>
      <c r="AZ4603" s="404"/>
      <c r="BA4603" s="404"/>
      <c r="BB4603" s="404"/>
      <c r="BC4603" s="404"/>
      <c r="BD4603" s="404"/>
      <c r="BE4603" s="404"/>
      <c r="BF4603" s="404"/>
      <c r="BG4603" s="404"/>
      <c r="BH4603" s="404"/>
      <c r="BI4603" s="404"/>
      <c r="BJ4603" s="404"/>
      <c r="BK4603" s="404"/>
      <c r="BL4603" s="404"/>
    </row>
    <row r="4604" spans="1:64">
      <c r="A4604" s="406"/>
      <c r="B4604" s="406"/>
      <c r="C4604" s="417" t="str">
        <f>[161]Input!C$47</f>
        <v>Add for MA @ 40%</v>
      </c>
      <c r="D4604" s="746">
        <f>[161]Input!D$47</f>
        <v>0.4</v>
      </c>
      <c r="E4604" s="458"/>
      <c r="F4604" s="459">
        <f>(I4602+I4603)*40%</f>
        <v>17200</v>
      </c>
      <c r="G4604" s="406"/>
      <c r="H4604" s="406"/>
      <c r="I4604" s="459">
        <f t="shared" si="996"/>
        <v>6880</v>
      </c>
      <c r="J4604" s="400"/>
      <c r="K4604" s="401"/>
      <c r="L4604" s="401"/>
      <c r="M4604" s="404"/>
      <c r="N4604" s="404"/>
      <c r="O4604" s="404"/>
      <c r="P4604" s="404"/>
      <c r="Q4604" s="404"/>
      <c r="R4604" s="404"/>
      <c r="S4604" s="404"/>
      <c r="T4604" s="404"/>
      <c r="U4604" s="404"/>
      <c r="V4604" s="404"/>
      <c r="W4604" s="404"/>
      <c r="X4604" s="404"/>
      <c r="Y4604" s="404"/>
      <c r="Z4604" s="404"/>
      <c r="AA4604" s="404"/>
      <c r="AB4604" s="404"/>
      <c r="AC4604" s="404"/>
      <c r="AD4604" s="404"/>
      <c r="AE4604" s="404"/>
      <c r="AF4604" s="404"/>
      <c r="AG4604" s="404"/>
      <c r="AH4604" s="404"/>
      <c r="AI4604" s="404"/>
      <c r="AJ4604" s="404"/>
      <c r="AK4604" s="404"/>
      <c r="AL4604" s="404"/>
      <c r="AM4604" s="404"/>
      <c r="AN4604" s="404"/>
      <c r="AO4604" s="404"/>
      <c r="AP4604" s="404"/>
      <c r="AQ4604" s="404"/>
      <c r="AR4604" s="404"/>
      <c r="AS4604" s="404"/>
      <c r="AT4604" s="404"/>
      <c r="AU4604" s="404"/>
      <c r="AV4604" s="404"/>
      <c r="AW4604" s="404"/>
      <c r="AX4604" s="404"/>
      <c r="AY4604" s="404"/>
      <c r="AZ4604" s="404"/>
      <c r="BA4604" s="404"/>
      <c r="BB4604" s="404"/>
      <c r="BC4604" s="404"/>
      <c r="BD4604" s="404"/>
      <c r="BE4604" s="404"/>
      <c r="BF4604" s="404"/>
      <c r="BG4604" s="404"/>
      <c r="BH4604" s="404"/>
      <c r="BI4604" s="404"/>
      <c r="BJ4604" s="404"/>
      <c r="BK4604" s="404"/>
      <c r="BL4604" s="404"/>
    </row>
    <row r="4605" spans="1:64" ht="13">
      <c r="A4605" s="406"/>
      <c r="B4605" s="406"/>
      <c r="C4605" s="473" t="s">
        <v>1117</v>
      </c>
      <c r="D4605" s="459"/>
      <c r="E4605" s="471"/>
      <c r="F4605" s="458"/>
      <c r="G4605" s="458"/>
      <c r="H4605" s="407"/>
      <c r="I4605" s="461">
        <f>SUM(I4601:I4604)</f>
        <v>110880</v>
      </c>
      <c r="J4605" s="400"/>
      <c r="K4605" s="401"/>
      <c r="L4605" s="401"/>
      <c r="M4605" s="404"/>
      <c r="N4605" s="404"/>
      <c r="O4605" s="404"/>
      <c r="P4605" s="404"/>
      <c r="Q4605" s="404"/>
      <c r="R4605" s="404"/>
      <c r="S4605" s="404"/>
      <c r="T4605" s="404"/>
      <c r="U4605" s="404"/>
      <c r="V4605" s="404"/>
      <c r="W4605" s="404"/>
      <c r="X4605" s="404"/>
      <c r="Y4605" s="404"/>
      <c r="Z4605" s="404"/>
      <c r="AA4605" s="404"/>
      <c r="AB4605" s="404"/>
      <c r="AC4605" s="404"/>
      <c r="AD4605" s="404"/>
      <c r="AE4605" s="404"/>
      <c r="AF4605" s="404"/>
      <c r="AG4605" s="404"/>
      <c r="AH4605" s="404"/>
      <c r="AI4605" s="404"/>
      <c r="AJ4605" s="404"/>
      <c r="AK4605" s="404"/>
      <c r="AL4605" s="404"/>
      <c r="AM4605" s="404"/>
      <c r="AN4605" s="404"/>
      <c r="AO4605" s="404"/>
      <c r="AP4605" s="404"/>
      <c r="AQ4605" s="404"/>
      <c r="AR4605" s="404"/>
      <c r="AS4605" s="404"/>
      <c r="AT4605" s="404"/>
      <c r="AU4605" s="404"/>
      <c r="AV4605" s="404"/>
      <c r="AW4605" s="404"/>
      <c r="AX4605" s="404"/>
      <c r="AY4605" s="404"/>
      <c r="AZ4605" s="404"/>
      <c r="BA4605" s="404"/>
      <c r="BB4605" s="404"/>
      <c r="BC4605" s="404"/>
      <c r="BD4605" s="404"/>
      <c r="BE4605" s="404"/>
      <c r="BF4605" s="404"/>
      <c r="BG4605" s="404"/>
      <c r="BH4605" s="404"/>
      <c r="BI4605" s="404"/>
      <c r="BJ4605" s="404"/>
      <c r="BK4605" s="404"/>
      <c r="BL4605" s="404"/>
    </row>
    <row r="4606" spans="1:64" ht="25">
      <c r="A4606" s="406"/>
      <c r="B4606" s="406"/>
      <c r="C4606" s="417" t="str">
        <f>[161]Input!$C$48</f>
        <v>Overheads &amp; Contractors Profit @ 13.615%</v>
      </c>
      <c r="D4606" s="444">
        <f>[161]Input!$D$48</f>
        <v>0.13614999999999999</v>
      </c>
      <c r="E4606" s="471"/>
      <c r="F4606" s="459">
        <f>I4605</f>
        <v>110880</v>
      </c>
      <c r="G4606" s="458"/>
      <c r="H4606" s="407"/>
      <c r="I4606" s="459">
        <f>IF(G4606="",D4606*F4606,(D4606*F4606/G4606))</f>
        <v>15096.312</v>
      </c>
      <c r="J4606" s="400"/>
      <c r="K4606" s="401"/>
      <c r="L4606" s="401"/>
      <c r="M4606" s="404"/>
      <c r="N4606" s="404"/>
      <c r="O4606" s="404"/>
      <c r="P4606" s="404"/>
      <c r="Q4606" s="404"/>
      <c r="R4606" s="404"/>
      <c r="S4606" s="404"/>
      <c r="T4606" s="404"/>
      <c r="U4606" s="404"/>
      <c r="V4606" s="404"/>
      <c r="W4606" s="404"/>
      <c r="X4606" s="404"/>
      <c r="Y4606" s="404"/>
      <c r="Z4606" s="404"/>
      <c r="AA4606" s="404"/>
      <c r="AB4606" s="404"/>
      <c r="AC4606" s="404"/>
      <c r="AD4606" s="404"/>
      <c r="AE4606" s="404"/>
      <c r="AF4606" s="404"/>
      <c r="AG4606" s="404"/>
      <c r="AH4606" s="404"/>
      <c r="AI4606" s="404"/>
      <c r="AJ4606" s="404"/>
      <c r="AK4606" s="404"/>
      <c r="AL4606" s="404"/>
      <c r="AM4606" s="404"/>
      <c r="AN4606" s="404"/>
      <c r="AO4606" s="404"/>
      <c r="AP4606" s="404"/>
      <c r="AQ4606" s="404"/>
      <c r="AR4606" s="404"/>
      <c r="AS4606" s="404"/>
      <c r="AT4606" s="404"/>
      <c r="AU4606" s="404"/>
      <c r="AV4606" s="404"/>
      <c r="AW4606" s="404"/>
      <c r="AX4606" s="404"/>
      <c r="AY4606" s="404"/>
      <c r="AZ4606" s="404"/>
      <c r="BA4606" s="404"/>
      <c r="BB4606" s="404"/>
      <c r="BC4606" s="404"/>
      <c r="BD4606" s="404"/>
      <c r="BE4606" s="404"/>
      <c r="BF4606" s="404"/>
      <c r="BG4606" s="404"/>
      <c r="BH4606" s="404"/>
      <c r="BI4606" s="404"/>
      <c r="BJ4606" s="404"/>
      <c r="BK4606" s="404"/>
      <c r="BL4606" s="404"/>
    </row>
    <row r="4607" spans="1:64" ht="13">
      <c r="A4607" s="426"/>
      <c r="B4607" s="426"/>
      <c r="C4607" s="473"/>
      <c r="D4607" s="408"/>
      <c r="E4607" s="415"/>
      <c r="F4607" s="454"/>
      <c r="G4607" s="454"/>
      <c r="H4607" s="474"/>
      <c r="I4607" s="414">
        <f>SUM(I4605:I4606)</f>
        <v>125976.31200000001</v>
      </c>
      <c r="J4607" s="400"/>
      <c r="K4607" s="401"/>
      <c r="L4607" s="401"/>
      <c r="M4607" s="404"/>
      <c r="N4607" s="404"/>
      <c r="O4607" s="404"/>
      <c r="P4607" s="404"/>
      <c r="Q4607" s="404"/>
      <c r="R4607" s="404"/>
      <c r="S4607" s="404"/>
      <c r="T4607" s="404"/>
      <c r="U4607" s="404"/>
      <c r="V4607" s="404"/>
      <c r="W4607" s="404"/>
      <c r="X4607" s="404"/>
      <c r="Y4607" s="404"/>
      <c r="Z4607" s="404"/>
      <c r="AA4607" s="404"/>
      <c r="AB4607" s="404"/>
      <c r="AC4607" s="404"/>
      <c r="AD4607" s="404"/>
      <c r="AE4607" s="404"/>
      <c r="AF4607" s="404"/>
      <c r="AG4607" s="404"/>
      <c r="AH4607" s="404"/>
      <c r="AI4607" s="404"/>
      <c r="AJ4607" s="404"/>
      <c r="AK4607" s="404"/>
      <c r="AL4607" s="404"/>
      <c r="AM4607" s="404"/>
      <c r="AN4607" s="404"/>
      <c r="AO4607" s="404"/>
      <c r="AP4607" s="404"/>
      <c r="AQ4607" s="404"/>
      <c r="AR4607" s="404"/>
      <c r="AS4607" s="404"/>
      <c r="AT4607" s="404"/>
      <c r="AU4607" s="404"/>
      <c r="AV4607" s="404"/>
      <c r="AW4607" s="404"/>
      <c r="AX4607" s="404"/>
      <c r="AY4607" s="404"/>
      <c r="AZ4607" s="404"/>
      <c r="BA4607" s="404"/>
      <c r="BB4607" s="404"/>
      <c r="BC4607" s="404"/>
      <c r="BD4607" s="404"/>
      <c r="BE4607" s="404"/>
      <c r="BF4607" s="404"/>
      <c r="BG4607" s="404"/>
      <c r="BH4607" s="404"/>
      <c r="BI4607" s="404"/>
      <c r="BJ4607" s="404"/>
      <c r="BK4607" s="404"/>
      <c r="BL4607" s="404"/>
    </row>
    <row r="4608" spans="1:64" ht="13">
      <c r="A4608" s="426"/>
      <c r="B4608" s="426"/>
      <c r="C4608" s="473" t="s">
        <v>1117</v>
      </c>
      <c r="D4608" s="408"/>
      <c r="E4608" s="415"/>
      <c r="F4608" s="454"/>
      <c r="G4608" s="454"/>
      <c r="H4608" s="474"/>
      <c r="I4608" s="414">
        <f>ROUND(I4607,0)</f>
        <v>125976</v>
      </c>
      <c r="J4608" s="400"/>
      <c r="K4608" s="401"/>
      <c r="L4608" s="401"/>
      <c r="M4608" s="404"/>
      <c r="N4608" s="404"/>
      <c r="O4608" s="404"/>
      <c r="P4608" s="404"/>
      <c r="Q4608" s="404"/>
      <c r="R4608" s="404"/>
      <c r="S4608" s="404"/>
      <c r="T4608" s="404"/>
      <c r="U4608" s="404"/>
      <c r="V4608" s="404"/>
      <c r="W4608" s="404"/>
      <c r="X4608" s="404"/>
      <c r="Y4608" s="404"/>
      <c r="Z4608" s="404"/>
      <c r="AA4608" s="404"/>
      <c r="AB4608" s="404"/>
      <c r="AC4608" s="404"/>
      <c r="AD4608" s="404"/>
      <c r="AE4608" s="404"/>
      <c r="AF4608" s="404"/>
      <c r="AG4608" s="404"/>
      <c r="AH4608" s="404"/>
      <c r="AI4608" s="404"/>
      <c r="AJ4608" s="404"/>
      <c r="AK4608" s="404"/>
      <c r="AL4608" s="404"/>
      <c r="AM4608" s="404"/>
      <c r="AN4608" s="404"/>
      <c r="AO4608" s="404"/>
      <c r="AP4608" s="404"/>
      <c r="AQ4608" s="404"/>
      <c r="AR4608" s="404"/>
      <c r="AS4608" s="404"/>
      <c r="AT4608" s="404"/>
      <c r="AU4608" s="404"/>
      <c r="AV4608" s="404"/>
      <c r="AW4608" s="404"/>
      <c r="AX4608" s="404"/>
      <c r="AY4608" s="404"/>
      <c r="AZ4608" s="404"/>
      <c r="BA4608" s="404"/>
      <c r="BB4608" s="404"/>
      <c r="BC4608" s="404"/>
      <c r="BD4608" s="404"/>
      <c r="BE4608" s="404"/>
      <c r="BF4608" s="404"/>
      <c r="BG4608" s="404"/>
      <c r="BH4608" s="404"/>
      <c r="BI4608" s="404"/>
      <c r="BJ4608" s="404"/>
      <c r="BK4608" s="404"/>
      <c r="BL4608" s="404"/>
    </row>
    <row r="4609" spans="1:64" ht="58.9" customHeight="1">
      <c r="A4609" s="1292">
        <f>1+A4600</f>
        <v>28</v>
      </c>
      <c r="B4609" s="1292"/>
      <c r="C4609" s="1291" t="s">
        <v>1638</v>
      </c>
      <c r="D4609" s="1291"/>
      <c r="E4609" s="1291"/>
      <c r="F4609" s="1291"/>
      <c r="G4609" s="1291"/>
      <c r="H4609" s="1291"/>
      <c r="I4609" s="1291"/>
      <c r="J4609" s="400"/>
      <c r="K4609" s="401"/>
      <c r="L4609" s="401"/>
      <c r="M4609" s="404"/>
      <c r="N4609" s="404"/>
      <c r="O4609" s="404"/>
      <c r="P4609" s="404"/>
      <c r="Q4609" s="404"/>
      <c r="R4609" s="404"/>
      <c r="S4609" s="404"/>
      <c r="T4609" s="404"/>
      <c r="U4609" s="404"/>
      <c r="V4609" s="404"/>
      <c r="W4609" s="404"/>
      <c r="X4609" s="404"/>
      <c r="Y4609" s="404"/>
      <c r="Z4609" s="404"/>
      <c r="AA4609" s="404"/>
      <c r="AB4609" s="404"/>
      <c r="AC4609" s="404"/>
      <c r="AD4609" s="404"/>
      <c r="AE4609" s="404"/>
      <c r="AF4609" s="404"/>
      <c r="AG4609" s="404"/>
      <c r="AH4609" s="404"/>
      <c r="AI4609" s="404"/>
      <c r="AJ4609" s="404"/>
      <c r="AK4609" s="404"/>
      <c r="AL4609" s="404"/>
      <c r="AM4609" s="404"/>
      <c r="AN4609" s="404"/>
      <c r="AO4609" s="404"/>
      <c r="AP4609" s="404"/>
      <c r="AQ4609" s="404"/>
      <c r="AR4609" s="404"/>
      <c r="AS4609" s="404"/>
      <c r="AT4609" s="404"/>
      <c r="AU4609" s="404"/>
      <c r="AV4609" s="404"/>
      <c r="AW4609" s="404"/>
      <c r="AX4609" s="404"/>
      <c r="AY4609" s="404"/>
      <c r="AZ4609" s="404"/>
      <c r="BA4609" s="404"/>
      <c r="BB4609" s="404"/>
      <c r="BC4609" s="404"/>
      <c r="BD4609" s="404"/>
      <c r="BE4609" s="404"/>
      <c r="BF4609" s="404"/>
      <c r="BG4609" s="404"/>
      <c r="BH4609" s="404"/>
      <c r="BI4609" s="404"/>
      <c r="BJ4609" s="404"/>
      <c r="BK4609" s="404"/>
      <c r="BL4609" s="404"/>
    </row>
    <row r="4610" spans="1:64">
      <c r="A4610" s="406"/>
      <c r="B4610" s="406"/>
      <c r="C4610" s="417" t="s">
        <v>1639</v>
      </c>
      <c r="D4610" s="459">
        <v>1</v>
      </c>
      <c r="E4610" s="458" t="s">
        <v>312</v>
      </c>
      <c r="F4610" s="459">
        <v>68</v>
      </c>
      <c r="G4610" s="458">
        <v>1</v>
      </c>
      <c r="H4610" s="599" t="str">
        <f t="shared" ref="H4610:H4612" si="998">IF(E4610="","",IF(E4610="No.","Each",IF(E4610="Nos.","Each",E4610)))</f>
        <v>Kg</v>
      </c>
      <c r="I4610" s="459">
        <f t="shared" ref="I4610:I4613" si="999">IF(G4610="",D4610*F4610,(D4610*F4610/G4610))</f>
        <v>68</v>
      </c>
      <c r="J4610" s="400"/>
      <c r="K4610" s="401"/>
      <c r="L4610" s="401"/>
      <c r="M4610" s="404"/>
      <c r="N4610" s="404"/>
      <c r="O4610" s="404"/>
      <c r="P4610" s="404"/>
      <c r="Q4610" s="404"/>
      <c r="R4610" s="404"/>
      <c r="S4610" s="404"/>
      <c r="T4610" s="404"/>
      <c r="U4610" s="404"/>
      <c r="V4610" s="404"/>
      <c r="W4610" s="404"/>
      <c r="X4610" s="404"/>
      <c r="Y4610" s="404"/>
      <c r="Z4610" s="404"/>
      <c r="AA4610" s="404"/>
      <c r="AB4610" s="404"/>
      <c r="AC4610" s="404"/>
      <c r="AD4610" s="404"/>
      <c r="AE4610" s="404"/>
      <c r="AF4610" s="404"/>
      <c r="AG4610" s="404"/>
      <c r="AH4610" s="404"/>
      <c r="AI4610" s="404"/>
      <c r="AJ4610" s="404"/>
      <c r="AK4610" s="404"/>
      <c r="AL4610" s="404"/>
      <c r="AM4610" s="404"/>
      <c r="AN4610" s="404"/>
      <c r="AO4610" s="404"/>
      <c r="AP4610" s="404"/>
      <c r="AQ4610" s="404"/>
      <c r="AR4610" s="404"/>
      <c r="AS4610" s="404"/>
      <c r="AT4610" s="404"/>
      <c r="AU4610" s="404"/>
      <c r="AV4610" s="404"/>
      <c r="AW4610" s="404"/>
      <c r="AX4610" s="404"/>
      <c r="AY4610" s="404"/>
      <c r="AZ4610" s="404"/>
      <c r="BA4610" s="404"/>
      <c r="BB4610" s="404"/>
      <c r="BC4610" s="404"/>
      <c r="BD4610" s="404"/>
      <c r="BE4610" s="404"/>
      <c r="BF4610" s="404"/>
      <c r="BG4610" s="404"/>
      <c r="BH4610" s="404"/>
      <c r="BI4610" s="404"/>
      <c r="BJ4610" s="404"/>
      <c r="BK4610" s="404"/>
      <c r="BL4610" s="404"/>
    </row>
    <row r="4611" spans="1:64" ht="25">
      <c r="A4611" s="406"/>
      <c r="B4611" s="406"/>
      <c r="C4611" s="435" t="s">
        <v>1636</v>
      </c>
      <c r="D4611" s="459">
        <f t="shared" ref="D4611:D4612" si="1000">D4610</f>
        <v>1</v>
      </c>
      <c r="E4611" s="458" t="s">
        <v>122</v>
      </c>
      <c r="F4611" s="459">
        <f>'[161]Civil-SOR'!G211*1</f>
        <v>22</v>
      </c>
      <c r="G4611" s="458">
        <v>1</v>
      </c>
      <c r="H4611" s="599" t="str">
        <f t="shared" si="998"/>
        <v>MT</v>
      </c>
      <c r="I4611" s="459">
        <f t="shared" si="999"/>
        <v>22</v>
      </c>
      <c r="J4611" s="400"/>
      <c r="K4611" s="401"/>
      <c r="L4611" s="401"/>
      <c r="M4611" s="404"/>
      <c r="N4611" s="404"/>
      <c r="O4611" s="404"/>
      <c r="P4611" s="404"/>
      <c r="Q4611" s="404"/>
      <c r="R4611" s="404"/>
      <c r="S4611" s="404"/>
      <c r="T4611" s="404"/>
      <c r="U4611" s="404"/>
      <c r="V4611" s="404"/>
      <c r="W4611" s="404"/>
      <c r="X4611" s="404"/>
      <c r="Y4611" s="404"/>
      <c r="Z4611" s="404"/>
      <c r="AA4611" s="404"/>
      <c r="AB4611" s="404"/>
      <c r="AC4611" s="404"/>
      <c r="AD4611" s="404"/>
      <c r="AE4611" s="404"/>
      <c r="AF4611" s="404"/>
      <c r="AG4611" s="404"/>
      <c r="AH4611" s="404"/>
      <c r="AI4611" s="404"/>
      <c r="AJ4611" s="404"/>
      <c r="AK4611" s="404"/>
      <c r="AL4611" s="404"/>
      <c r="AM4611" s="404"/>
      <c r="AN4611" s="404"/>
      <c r="AO4611" s="404"/>
      <c r="AP4611" s="404"/>
      <c r="AQ4611" s="404"/>
      <c r="AR4611" s="404"/>
      <c r="AS4611" s="404"/>
      <c r="AT4611" s="404"/>
      <c r="AU4611" s="404"/>
      <c r="AV4611" s="404"/>
      <c r="AW4611" s="404"/>
      <c r="AX4611" s="404"/>
      <c r="AY4611" s="404"/>
      <c r="AZ4611" s="404"/>
      <c r="BA4611" s="404"/>
      <c r="BB4611" s="404"/>
      <c r="BC4611" s="404"/>
      <c r="BD4611" s="404"/>
      <c r="BE4611" s="404"/>
      <c r="BF4611" s="404"/>
      <c r="BG4611" s="404"/>
      <c r="BH4611" s="404"/>
      <c r="BI4611" s="404"/>
      <c r="BJ4611" s="404"/>
      <c r="BK4611" s="404"/>
      <c r="BL4611" s="404"/>
    </row>
    <row r="4612" spans="1:64">
      <c r="A4612" s="406"/>
      <c r="B4612" s="406"/>
      <c r="C4612" s="435" t="s">
        <v>1637</v>
      </c>
      <c r="D4612" s="459">
        <f t="shared" si="1000"/>
        <v>1</v>
      </c>
      <c r="E4612" s="458" t="s">
        <v>122</v>
      </c>
      <c r="F4612" s="459">
        <f>'[161]Civil-SOR'!G212*1</f>
        <v>20</v>
      </c>
      <c r="G4612" s="458">
        <v>1</v>
      </c>
      <c r="H4612" s="599" t="str">
        <f t="shared" si="998"/>
        <v>MT</v>
      </c>
      <c r="I4612" s="459">
        <f t="shared" si="999"/>
        <v>20</v>
      </c>
      <c r="J4612" s="400"/>
      <c r="K4612" s="401"/>
      <c r="L4612" s="401"/>
      <c r="M4612" s="404"/>
      <c r="N4612" s="404"/>
      <c r="O4612" s="404"/>
      <c r="P4612" s="404"/>
      <c r="Q4612" s="404"/>
      <c r="R4612" s="404"/>
      <c r="S4612" s="404"/>
      <c r="T4612" s="404"/>
      <c r="U4612" s="404"/>
      <c r="V4612" s="404"/>
      <c r="W4612" s="404"/>
      <c r="X4612" s="404"/>
      <c r="Y4612" s="404"/>
      <c r="Z4612" s="404"/>
      <c r="AA4612" s="404"/>
      <c r="AB4612" s="404"/>
      <c r="AC4612" s="404"/>
      <c r="AD4612" s="404"/>
      <c r="AE4612" s="404"/>
      <c r="AF4612" s="404"/>
      <c r="AG4612" s="404"/>
      <c r="AH4612" s="404"/>
      <c r="AI4612" s="404"/>
      <c r="AJ4612" s="404"/>
      <c r="AK4612" s="404"/>
      <c r="AL4612" s="404"/>
      <c r="AM4612" s="404"/>
      <c r="AN4612" s="404"/>
      <c r="AO4612" s="404"/>
      <c r="AP4612" s="404"/>
      <c r="AQ4612" s="404"/>
      <c r="AR4612" s="404"/>
      <c r="AS4612" s="404"/>
      <c r="AT4612" s="404"/>
      <c r="AU4612" s="404"/>
      <c r="AV4612" s="404"/>
      <c r="AW4612" s="404"/>
      <c r="AX4612" s="404"/>
      <c r="AY4612" s="404"/>
      <c r="AZ4612" s="404"/>
      <c r="BA4612" s="404"/>
      <c r="BB4612" s="404"/>
      <c r="BC4612" s="404"/>
      <c r="BD4612" s="404"/>
      <c r="BE4612" s="404"/>
      <c r="BF4612" s="404"/>
      <c r="BG4612" s="404"/>
      <c r="BH4612" s="404"/>
      <c r="BI4612" s="404"/>
      <c r="BJ4612" s="404"/>
      <c r="BK4612" s="404"/>
      <c r="BL4612" s="404"/>
    </row>
    <row r="4613" spans="1:64">
      <c r="A4613" s="406"/>
      <c r="B4613" s="406"/>
      <c r="C4613" s="417" t="str">
        <f>[161]Input!C$47</f>
        <v>Add for MA @ 40%</v>
      </c>
      <c r="D4613" s="746">
        <f>[161]Input!D$47</f>
        <v>0.4</v>
      </c>
      <c r="E4613" s="458"/>
      <c r="F4613" s="459">
        <f>(I4611+I4612)*40%</f>
        <v>16.8</v>
      </c>
      <c r="G4613" s="406"/>
      <c r="H4613" s="406"/>
      <c r="I4613" s="459">
        <f t="shared" si="999"/>
        <v>6.7200000000000006</v>
      </c>
      <c r="J4613" s="400"/>
      <c r="K4613" s="401"/>
      <c r="L4613" s="401"/>
      <c r="M4613" s="404"/>
      <c r="N4613" s="404"/>
      <c r="O4613" s="404"/>
      <c r="P4613" s="404"/>
      <c r="Q4613" s="404"/>
      <c r="R4613" s="404"/>
      <c r="S4613" s="404"/>
      <c r="T4613" s="404"/>
      <c r="U4613" s="404"/>
      <c r="V4613" s="404"/>
      <c r="W4613" s="404"/>
      <c r="X4613" s="404"/>
      <c r="Y4613" s="404"/>
      <c r="Z4613" s="404"/>
      <c r="AA4613" s="404"/>
      <c r="AB4613" s="404"/>
      <c r="AC4613" s="404"/>
      <c r="AD4613" s="404"/>
      <c r="AE4613" s="404"/>
      <c r="AF4613" s="404"/>
      <c r="AG4613" s="404"/>
      <c r="AH4613" s="404"/>
      <c r="AI4613" s="404"/>
      <c r="AJ4613" s="404"/>
      <c r="AK4613" s="404"/>
      <c r="AL4613" s="404"/>
      <c r="AM4613" s="404"/>
      <c r="AN4613" s="404"/>
      <c r="AO4613" s="404"/>
      <c r="AP4613" s="404"/>
      <c r="AQ4613" s="404"/>
      <c r="AR4613" s="404"/>
      <c r="AS4613" s="404"/>
      <c r="AT4613" s="404"/>
      <c r="AU4613" s="404"/>
      <c r="AV4613" s="404"/>
      <c r="AW4613" s="404"/>
      <c r="AX4613" s="404"/>
      <c r="AY4613" s="404"/>
      <c r="AZ4613" s="404"/>
      <c r="BA4613" s="404"/>
      <c r="BB4613" s="404"/>
      <c r="BC4613" s="404"/>
      <c r="BD4613" s="404"/>
      <c r="BE4613" s="404"/>
      <c r="BF4613" s="404"/>
      <c r="BG4613" s="404"/>
      <c r="BH4613" s="404"/>
      <c r="BI4613" s="404"/>
      <c r="BJ4613" s="404"/>
      <c r="BK4613" s="404"/>
      <c r="BL4613" s="404"/>
    </row>
    <row r="4614" spans="1:64" ht="13">
      <c r="A4614" s="406"/>
      <c r="B4614" s="406"/>
      <c r="C4614" s="473" t="s">
        <v>1117</v>
      </c>
      <c r="D4614" s="459"/>
      <c r="E4614" s="471"/>
      <c r="F4614" s="458"/>
      <c r="G4614" s="458"/>
      <c r="H4614" s="407"/>
      <c r="I4614" s="461">
        <f>SUM(I4610:I4613)</f>
        <v>116.72</v>
      </c>
      <c r="J4614" s="400"/>
      <c r="K4614" s="401"/>
      <c r="L4614" s="401"/>
      <c r="M4614" s="404"/>
      <c r="N4614" s="404"/>
      <c r="O4614" s="404"/>
      <c r="P4614" s="404"/>
      <c r="Q4614" s="404"/>
      <c r="R4614" s="404"/>
      <c r="S4614" s="404"/>
      <c r="T4614" s="404"/>
      <c r="U4614" s="404"/>
      <c r="V4614" s="404"/>
      <c r="W4614" s="404"/>
      <c r="X4614" s="404"/>
      <c r="Y4614" s="404"/>
      <c r="Z4614" s="404"/>
      <c r="AA4614" s="404"/>
      <c r="AB4614" s="404"/>
      <c r="AC4614" s="404"/>
      <c r="AD4614" s="404"/>
      <c r="AE4614" s="404"/>
      <c r="AF4614" s="404"/>
      <c r="AG4614" s="404"/>
      <c r="AH4614" s="404"/>
      <c r="AI4614" s="404"/>
      <c r="AJ4614" s="404"/>
      <c r="AK4614" s="404"/>
      <c r="AL4614" s="404"/>
      <c r="AM4614" s="404"/>
      <c r="AN4614" s="404"/>
      <c r="AO4614" s="404"/>
      <c r="AP4614" s="404"/>
      <c r="AQ4614" s="404"/>
      <c r="AR4614" s="404"/>
      <c r="AS4614" s="404"/>
      <c r="AT4614" s="404"/>
      <c r="AU4614" s="404"/>
      <c r="AV4614" s="404"/>
      <c r="AW4614" s="404"/>
      <c r="AX4614" s="404"/>
      <c r="AY4614" s="404"/>
      <c r="AZ4614" s="404"/>
      <c r="BA4614" s="404"/>
      <c r="BB4614" s="404"/>
      <c r="BC4614" s="404"/>
      <c r="BD4614" s="404"/>
      <c r="BE4614" s="404"/>
      <c r="BF4614" s="404"/>
      <c r="BG4614" s="404"/>
      <c r="BH4614" s="404"/>
      <c r="BI4614" s="404"/>
      <c r="BJ4614" s="404"/>
      <c r="BK4614" s="404"/>
      <c r="BL4614" s="404"/>
    </row>
    <row r="4615" spans="1:64" ht="25">
      <c r="A4615" s="406"/>
      <c r="B4615" s="406"/>
      <c r="C4615" s="417" t="str">
        <f>[161]Input!$C$48</f>
        <v>Overheads &amp; Contractors Profit @ 13.615%</v>
      </c>
      <c r="D4615" s="444">
        <f>[161]Input!$D$48</f>
        <v>0.13614999999999999</v>
      </c>
      <c r="E4615" s="471"/>
      <c r="F4615" s="459">
        <f>I4614</f>
        <v>116.72</v>
      </c>
      <c r="G4615" s="458"/>
      <c r="H4615" s="407"/>
      <c r="I4615" s="459">
        <f>IF(G4615="",D4615*F4615,(D4615*F4615/G4615))</f>
        <v>15.891427999999999</v>
      </c>
      <c r="J4615" s="400"/>
      <c r="K4615" s="401"/>
      <c r="L4615" s="401"/>
      <c r="M4615" s="404"/>
      <c r="N4615" s="404"/>
      <c r="O4615" s="404"/>
      <c r="P4615" s="404"/>
      <c r="Q4615" s="404"/>
      <c r="R4615" s="404"/>
      <c r="S4615" s="404"/>
      <c r="T4615" s="404"/>
      <c r="U4615" s="404"/>
      <c r="V4615" s="404"/>
      <c r="W4615" s="404"/>
      <c r="X4615" s="404"/>
      <c r="Y4615" s="404"/>
      <c r="Z4615" s="404"/>
      <c r="AA4615" s="404"/>
      <c r="AB4615" s="404"/>
      <c r="AC4615" s="404"/>
      <c r="AD4615" s="404"/>
      <c r="AE4615" s="404"/>
      <c r="AF4615" s="404"/>
      <c r="AG4615" s="404"/>
      <c r="AH4615" s="404"/>
      <c r="AI4615" s="404"/>
      <c r="AJ4615" s="404"/>
      <c r="AK4615" s="404"/>
      <c r="AL4615" s="404"/>
      <c r="AM4615" s="404"/>
      <c r="AN4615" s="404"/>
      <c r="AO4615" s="404"/>
      <c r="AP4615" s="404"/>
      <c r="AQ4615" s="404"/>
      <c r="AR4615" s="404"/>
      <c r="AS4615" s="404"/>
      <c r="AT4615" s="404"/>
      <c r="AU4615" s="404"/>
      <c r="AV4615" s="404"/>
      <c r="AW4615" s="404"/>
      <c r="AX4615" s="404"/>
      <c r="AY4615" s="404"/>
      <c r="AZ4615" s="404"/>
      <c r="BA4615" s="404"/>
      <c r="BB4615" s="404"/>
      <c r="BC4615" s="404"/>
      <c r="BD4615" s="404"/>
      <c r="BE4615" s="404"/>
      <c r="BF4615" s="404"/>
      <c r="BG4615" s="404"/>
      <c r="BH4615" s="404"/>
      <c r="BI4615" s="404"/>
      <c r="BJ4615" s="404"/>
      <c r="BK4615" s="404"/>
      <c r="BL4615" s="404"/>
    </row>
    <row r="4616" spans="1:64" ht="13">
      <c r="A4616" s="426"/>
      <c r="B4616" s="426"/>
      <c r="C4616" s="473"/>
      <c r="D4616" s="408"/>
      <c r="E4616" s="415"/>
      <c r="F4616" s="454"/>
      <c r="G4616" s="454"/>
      <c r="H4616" s="474"/>
      <c r="I4616" s="414">
        <f>SUM(I4614:I4615)</f>
        <v>132.61142799999999</v>
      </c>
      <c r="J4616" s="400"/>
      <c r="K4616" s="401"/>
      <c r="L4616" s="401"/>
      <c r="M4616" s="404"/>
      <c r="N4616" s="404"/>
      <c r="O4616" s="404"/>
      <c r="P4616" s="404"/>
      <c r="Q4616" s="404"/>
      <c r="R4616" s="404"/>
      <c r="S4616" s="404"/>
      <c r="T4616" s="404"/>
      <c r="U4616" s="404"/>
      <c r="V4616" s="404"/>
      <c r="W4616" s="404"/>
      <c r="X4616" s="404"/>
      <c r="Y4616" s="404"/>
      <c r="Z4616" s="404"/>
      <c r="AA4616" s="404"/>
      <c r="AB4616" s="404"/>
      <c r="AC4616" s="404"/>
      <c r="AD4616" s="404"/>
      <c r="AE4616" s="404"/>
      <c r="AF4616" s="404"/>
      <c r="AG4616" s="404"/>
      <c r="AH4616" s="404"/>
      <c r="AI4616" s="404"/>
      <c r="AJ4616" s="404"/>
      <c r="AK4616" s="404"/>
      <c r="AL4616" s="404"/>
      <c r="AM4616" s="404"/>
      <c r="AN4616" s="404"/>
      <c r="AO4616" s="404"/>
      <c r="AP4616" s="404"/>
      <c r="AQ4616" s="404"/>
      <c r="AR4616" s="404"/>
      <c r="AS4616" s="404"/>
      <c r="AT4616" s="404"/>
      <c r="AU4616" s="404"/>
      <c r="AV4616" s="404"/>
      <c r="AW4616" s="404"/>
      <c r="AX4616" s="404"/>
      <c r="AY4616" s="404"/>
      <c r="AZ4616" s="404"/>
      <c r="BA4616" s="404"/>
      <c r="BB4616" s="404"/>
      <c r="BC4616" s="404"/>
      <c r="BD4616" s="404"/>
      <c r="BE4616" s="404"/>
      <c r="BF4616" s="404"/>
      <c r="BG4616" s="404"/>
      <c r="BH4616" s="404"/>
      <c r="BI4616" s="404"/>
      <c r="BJ4616" s="404"/>
      <c r="BK4616" s="404"/>
      <c r="BL4616" s="404"/>
    </row>
    <row r="4617" spans="1:64" ht="13">
      <c r="A4617" s="426"/>
      <c r="B4617" s="426"/>
      <c r="C4617" s="473" t="s">
        <v>1117</v>
      </c>
      <c r="D4617" s="408"/>
      <c r="E4617" s="415"/>
      <c r="F4617" s="454"/>
      <c r="G4617" s="454"/>
      <c r="H4617" s="474"/>
      <c r="I4617" s="414">
        <f>ROUND(I4616,0)</f>
        <v>133</v>
      </c>
      <c r="J4617" s="400"/>
      <c r="K4617" s="401"/>
      <c r="L4617" s="401"/>
      <c r="M4617" s="404"/>
      <c r="N4617" s="404"/>
      <c r="O4617" s="404"/>
      <c r="P4617" s="404"/>
      <c r="Q4617" s="404"/>
      <c r="R4617" s="404"/>
      <c r="S4617" s="404"/>
      <c r="T4617" s="404"/>
      <c r="U4617" s="404"/>
      <c r="V4617" s="404"/>
      <c r="W4617" s="404"/>
      <c r="X4617" s="404"/>
      <c r="Y4617" s="404"/>
      <c r="Z4617" s="404"/>
      <c r="AA4617" s="404"/>
      <c r="AB4617" s="404"/>
      <c r="AC4617" s="404"/>
      <c r="AD4617" s="404"/>
      <c r="AE4617" s="404"/>
      <c r="AF4617" s="404"/>
      <c r="AG4617" s="404"/>
      <c r="AH4617" s="404"/>
      <c r="AI4617" s="404"/>
      <c r="AJ4617" s="404"/>
      <c r="AK4617" s="404"/>
      <c r="AL4617" s="404"/>
      <c r="AM4617" s="404"/>
      <c r="AN4617" s="404"/>
      <c r="AO4617" s="404"/>
      <c r="AP4617" s="404"/>
      <c r="AQ4617" s="404"/>
      <c r="AR4617" s="404"/>
      <c r="AS4617" s="404"/>
      <c r="AT4617" s="404"/>
      <c r="AU4617" s="404"/>
      <c r="AV4617" s="404"/>
      <c r="AW4617" s="404"/>
      <c r="AX4617" s="404"/>
      <c r="AY4617" s="404"/>
      <c r="AZ4617" s="404"/>
      <c r="BA4617" s="404"/>
      <c r="BB4617" s="404"/>
      <c r="BC4617" s="404"/>
      <c r="BD4617" s="404"/>
      <c r="BE4617" s="404"/>
      <c r="BF4617" s="404"/>
      <c r="BG4617" s="404"/>
      <c r="BH4617" s="404"/>
      <c r="BI4617" s="404"/>
      <c r="BJ4617" s="404"/>
      <c r="BK4617" s="404"/>
      <c r="BL4617" s="404"/>
    </row>
    <row r="4618" spans="1:64" ht="81.400000000000006" customHeight="1">
      <c r="A4618" s="1292">
        <f>A4588+1</f>
        <v>27</v>
      </c>
      <c r="B4618" s="1292"/>
      <c r="C4618" s="1276" t="s">
        <v>1640</v>
      </c>
      <c r="D4618" s="1276"/>
      <c r="E4618" s="1276"/>
      <c r="F4618" s="1276"/>
      <c r="G4618" s="1276"/>
      <c r="H4618" s="1276"/>
      <c r="I4618" s="1276"/>
      <c r="J4618" s="400"/>
      <c r="K4618" s="401"/>
      <c r="L4618" s="401"/>
      <c r="M4618" s="404"/>
      <c r="N4618" s="404"/>
      <c r="O4618" s="404"/>
      <c r="P4618" s="404"/>
      <c r="Q4618" s="404"/>
      <c r="R4618" s="404"/>
      <c r="S4618" s="404"/>
      <c r="T4618" s="404"/>
      <c r="U4618" s="404"/>
      <c r="V4618" s="404"/>
      <c r="W4618" s="404"/>
      <c r="X4618" s="404"/>
      <c r="Y4618" s="404"/>
      <c r="Z4618" s="404"/>
      <c r="AA4618" s="404"/>
      <c r="AB4618" s="404"/>
      <c r="AC4618" s="404"/>
      <c r="AD4618" s="404"/>
      <c r="AE4618" s="404"/>
      <c r="AF4618" s="404"/>
      <c r="AG4618" s="404"/>
      <c r="AH4618" s="404"/>
      <c r="AI4618" s="404"/>
      <c r="AJ4618" s="404"/>
      <c r="AK4618" s="404"/>
      <c r="AL4618" s="404"/>
      <c r="AM4618" s="404"/>
      <c r="AN4618" s="404"/>
      <c r="AO4618" s="404"/>
      <c r="AP4618" s="404"/>
      <c r="AQ4618" s="404"/>
      <c r="AR4618" s="404"/>
      <c r="AS4618" s="404"/>
      <c r="AT4618" s="404"/>
      <c r="AU4618" s="404"/>
      <c r="AV4618" s="404"/>
      <c r="AW4618" s="404"/>
      <c r="AX4618" s="404"/>
      <c r="AY4618" s="404"/>
      <c r="AZ4618" s="404"/>
      <c r="BA4618" s="404"/>
      <c r="BB4618" s="404"/>
      <c r="BC4618" s="404"/>
      <c r="BD4618" s="404"/>
      <c r="BE4618" s="404"/>
      <c r="BF4618" s="404"/>
      <c r="BG4618" s="404"/>
      <c r="BH4618" s="404"/>
      <c r="BI4618" s="404"/>
      <c r="BJ4618" s="404"/>
      <c r="BK4618" s="404"/>
      <c r="BL4618" s="404"/>
    </row>
    <row r="4619" spans="1:64">
      <c r="A4619" s="406"/>
      <c r="B4619" s="406"/>
      <c r="C4619" s="417" t="s">
        <v>1635</v>
      </c>
      <c r="D4619" s="459">
        <v>1</v>
      </c>
      <c r="E4619" s="458" t="s">
        <v>122</v>
      </c>
      <c r="F4619" s="459">
        <f>[161]LEAD!N10</f>
        <v>61000</v>
      </c>
      <c r="G4619" s="458">
        <v>1</v>
      </c>
      <c r="H4619" s="599" t="str">
        <f t="shared" ref="H4619:H4621" si="1001">IF(E4619="","",IF(E4619="No.","Each",IF(E4619="Nos.","Each",E4619)))</f>
        <v>MT</v>
      </c>
      <c r="I4619" s="459">
        <f t="shared" ref="I4619:I4622" si="1002">IF(G4619="",D4619*F4619,(D4619*F4619/G4619))</f>
        <v>61000</v>
      </c>
      <c r="J4619" s="400"/>
      <c r="K4619" s="401"/>
      <c r="L4619" s="401"/>
      <c r="M4619" s="404"/>
      <c r="N4619" s="404"/>
      <c r="O4619" s="404"/>
      <c r="P4619" s="404"/>
      <c r="Q4619" s="404"/>
      <c r="R4619" s="404"/>
      <c r="S4619" s="404"/>
      <c r="T4619" s="404"/>
      <c r="U4619" s="404"/>
      <c r="V4619" s="404"/>
      <c r="W4619" s="404"/>
      <c r="X4619" s="404"/>
      <c r="Y4619" s="404"/>
      <c r="Z4619" s="404"/>
      <c r="AA4619" s="404"/>
      <c r="AB4619" s="404"/>
      <c r="AC4619" s="404"/>
      <c r="AD4619" s="404"/>
      <c r="AE4619" s="404"/>
      <c r="AF4619" s="404"/>
      <c r="AG4619" s="404"/>
      <c r="AH4619" s="404"/>
      <c r="AI4619" s="404"/>
      <c r="AJ4619" s="404"/>
      <c r="AK4619" s="404"/>
      <c r="AL4619" s="404"/>
      <c r="AM4619" s="404"/>
      <c r="AN4619" s="404"/>
      <c r="AO4619" s="404"/>
      <c r="AP4619" s="404"/>
      <c r="AQ4619" s="404"/>
      <c r="AR4619" s="404"/>
      <c r="AS4619" s="404"/>
      <c r="AT4619" s="404"/>
      <c r="AU4619" s="404"/>
      <c r="AV4619" s="404"/>
      <c r="AW4619" s="404"/>
      <c r="AX4619" s="404"/>
      <c r="AY4619" s="404"/>
      <c r="AZ4619" s="404"/>
      <c r="BA4619" s="404"/>
      <c r="BB4619" s="404"/>
      <c r="BC4619" s="404"/>
      <c r="BD4619" s="404"/>
      <c r="BE4619" s="404"/>
      <c r="BF4619" s="404"/>
      <c r="BG4619" s="404"/>
      <c r="BH4619" s="404"/>
      <c r="BI4619" s="404"/>
      <c r="BJ4619" s="404"/>
      <c r="BK4619" s="404"/>
      <c r="BL4619" s="404"/>
    </row>
    <row r="4620" spans="1:64" ht="25">
      <c r="A4620" s="406"/>
      <c r="B4620" s="406"/>
      <c r="C4620" s="435" t="s">
        <v>1630</v>
      </c>
      <c r="D4620" s="459">
        <f t="shared" ref="D4620:D4621" si="1003">D4619</f>
        <v>1</v>
      </c>
      <c r="E4620" s="458" t="s">
        <v>122</v>
      </c>
      <c r="F4620" s="459">
        <f t="shared" ref="F4620:F4621" si="1004">F4590</f>
        <v>28000</v>
      </c>
      <c r="G4620" s="458">
        <v>1</v>
      </c>
      <c r="H4620" s="599" t="str">
        <f t="shared" si="1001"/>
        <v>MT</v>
      </c>
      <c r="I4620" s="459">
        <f t="shared" si="1002"/>
        <v>28000</v>
      </c>
      <c r="J4620" s="400"/>
      <c r="K4620" s="401"/>
      <c r="L4620" s="401"/>
      <c r="M4620" s="404"/>
      <c r="N4620" s="404"/>
      <c r="O4620" s="404"/>
      <c r="P4620" s="404"/>
      <c r="Q4620" s="404"/>
      <c r="R4620" s="404"/>
      <c r="S4620" s="404"/>
      <c r="T4620" s="404"/>
      <c r="U4620" s="404"/>
      <c r="V4620" s="404"/>
      <c r="W4620" s="404"/>
      <c r="X4620" s="404"/>
      <c r="Y4620" s="404"/>
      <c r="Z4620" s="404"/>
      <c r="AA4620" s="404"/>
      <c r="AB4620" s="404"/>
      <c r="AC4620" s="404"/>
      <c r="AD4620" s="404"/>
      <c r="AE4620" s="404"/>
      <c r="AF4620" s="404"/>
      <c r="AG4620" s="404"/>
      <c r="AH4620" s="404"/>
      <c r="AI4620" s="404"/>
      <c r="AJ4620" s="404"/>
      <c r="AK4620" s="404"/>
      <c r="AL4620" s="404"/>
      <c r="AM4620" s="404"/>
      <c r="AN4620" s="404"/>
      <c r="AO4620" s="404"/>
      <c r="AP4620" s="404"/>
      <c r="AQ4620" s="404"/>
      <c r="AR4620" s="404"/>
      <c r="AS4620" s="404"/>
      <c r="AT4620" s="404"/>
      <c r="AU4620" s="404"/>
      <c r="AV4620" s="404"/>
      <c r="AW4620" s="404"/>
      <c r="AX4620" s="404"/>
      <c r="AY4620" s="404"/>
      <c r="AZ4620" s="404"/>
      <c r="BA4620" s="404"/>
      <c r="BB4620" s="404"/>
      <c r="BC4620" s="404"/>
      <c r="BD4620" s="404"/>
      <c r="BE4620" s="404"/>
      <c r="BF4620" s="404"/>
      <c r="BG4620" s="404"/>
      <c r="BH4620" s="404"/>
      <c r="BI4620" s="404"/>
      <c r="BJ4620" s="404"/>
      <c r="BK4620" s="404"/>
      <c r="BL4620" s="404"/>
    </row>
    <row r="4621" spans="1:64">
      <c r="A4621" s="406"/>
      <c r="B4621" s="406"/>
      <c r="C4621" s="435" t="s">
        <v>1631</v>
      </c>
      <c r="D4621" s="459">
        <f t="shared" si="1003"/>
        <v>1</v>
      </c>
      <c r="E4621" s="458" t="s">
        <v>122</v>
      </c>
      <c r="F4621" s="459">
        <f t="shared" si="1004"/>
        <v>25000</v>
      </c>
      <c r="G4621" s="458">
        <v>1</v>
      </c>
      <c r="H4621" s="599" t="str">
        <f t="shared" si="1001"/>
        <v>MT</v>
      </c>
      <c r="I4621" s="459">
        <f t="shared" si="1002"/>
        <v>25000</v>
      </c>
      <c r="J4621" s="400"/>
      <c r="K4621" s="401"/>
      <c r="L4621" s="401"/>
      <c r="M4621" s="404"/>
      <c r="N4621" s="404"/>
      <c r="O4621" s="404"/>
      <c r="P4621" s="404"/>
      <c r="Q4621" s="404"/>
      <c r="R4621" s="404"/>
      <c r="S4621" s="404"/>
      <c r="T4621" s="404"/>
      <c r="U4621" s="404"/>
      <c r="V4621" s="404"/>
      <c r="W4621" s="404"/>
      <c r="X4621" s="404"/>
      <c r="Y4621" s="404"/>
      <c r="Z4621" s="404"/>
      <c r="AA4621" s="404"/>
      <c r="AB4621" s="404"/>
      <c r="AC4621" s="404"/>
      <c r="AD4621" s="404"/>
      <c r="AE4621" s="404"/>
      <c r="AF4621" s="404"/>
      <c r="AG4621" s="404"/>
      <c r="AH4621" s="404"/>
      <c r="AI4621" s="404"/>
      <c r="AJ4621" s="404"/>
      <c r="AK4621" s="404"/>
      <c r="AL4621" s="404"/>
      <c r="AM4621" s="404"/>
      <c r="AN4621" s="404"/>
      <c r="AO4621" s="404"/>
      <c r="AP4621" s="404"/>
      <c r="AQ4621" s="404"/>
      <c r="AR4621" s="404"/>
      <c r="AS4621" s="404"/>
      <c r="AT4621" s="404"/>
      <c r="AU4621" s="404"/>
      <c r="AV4621" s="404"/>
      <c r="AW4621" s="404"/>
      <c r="AX4621" s="404"/>
      <c r="AY4621" s="404"/>
      <c r="AZ4621" s="404"/>
      <c r="BA4621" s="404"/>
      <c r="BB4621" s="404"/>
      <c r="BC4621" s="404"/>
      <c r="BD4621" s="404"/>
      <c r="BE4621" s="404"/>
      <c r="BF4621" s="404"/>
      <c r="BG4621" s="404"/>
      <c r="BH4621" s="404"/>
      <c r="BI4621" s="404"/>
      <c r="BJ4621" s="404"/>
      <c r="BK4621" s="404"/>
      <c r="BL4621" s="404"/>
    </row>
    <row r="4622" spans="1:64">
      <c r="A4622" s="426"/>
      <c r="B4622" s="426"/>
      <c r="C4622" s="417" t="str">
        <f>[161]Input!$C$47</f>
        <v>Add for MA @ 40%</v>
      </c>
      <c r="D4622" s="746">
        <f>[161]Input!$D$47</f>
        <v>0.4</v>
      </c>
      <c r="E4622" s="454"/>
      <c r="F4622" s="408">
        <f>(I4620+I4621)*40%</f>
        <v>21200</v>
      </c>
      <c r="G4622" s="426"/>
      <c r="H4622" s="426"/>
      <c r="I4622" s="408">
        <f t="shared" si="1002"/>
        <v>8480</v>
      </c>
      <c r="J4622" s="400"/>
      <c r="K4622" s="401"/>
      <c r="L4622" s="401"/>
      <c r="M4622" s="404"/>
      <c r="N4622" s="404"/>
      <c r="O4622" s="404"/>
      <c r="P4622" s="404"/>
      <c r="Q4622" s="404"/>
      <c r="R4622" s="404"/>
      <c r="S4622" s="404"/>
      <c r="T4622" s="404"/>
      <c r="U4622" s="404"/>
      <c r="V4622" s="404"/>
      <c r="W4622" s="404"/>
      <c r="X4622" s="404"/>
      <c r="Y4622" s="404"/>
      <c r="Z4622" s="404"/>
      <c r="AA4622" s="404"/>
      <c r="AB4622" s="404"/>
      <c r="AC4622" s="404"/>
      <c r="AD4622" s="404"/>
      <c r="AE4622" s="404"/>
      <c r="AF4622" s="404"/>
      <c r="AG4622" s="404"/>
      <c r="AH4622" s="404"/>
      <c r="AI4622" s="404"/>
      <c r="AJ4622" s="404"/>
      <c r="AK4622" s="404"/>
      <c r="AL4622" s="404"/>
      <c r="AM4622" s="404"/>
      <c r="AN4622" s="404"/>
      <c r="AO4622" s="404"/>
      <c r="AP4622" s="404"/>
      <c r="AQ4622" s="404"/>
      <c r="AR4622" s="404"/>
      <c r="AS4622" s="404"/>
      <c r="AT4622" s="404"/>
      <c r="AU4622" s="404"/>
      <c r="AV4622" s="404"/>
      <c r="AW4622" s="404"/>
      <c r="AX4622" s="404"/>
      <c r="AY4622" s="404"/>
      <c r="AZ4622" s="404"/>
      <c r="BA4622" s="404"/>
      <c r="BB4622" s="404"/>
      <c r="BC4622" s="404"/>
      <c r="BD4622" s="404"/>
      <c r="BE4622" s="404"/>
      <c r="BF4622" s="404"/>
      <c r="BG4622" s="404"/>
      <c r="BH4622" s="404"/>
      <c r="BI4622" s="404"/>
      <c r="BJ4622" s="404"/>
      <c r="BK4622" s="404"/>
      <c r="BL4622" s="404"/>
    </row>
    <row r="4623" spans="1:64" ht="13">
      <c r="A4623" s="426"/>
      <c r="B4623" s="426"/>
      <c r="C4623" s="473" t="s">
        <v>1117</v>
      </c>
      <c r="D4623" s="408"/>
      <c r="E4623" s="415"/>
      <c r="F4623" s="454"/>
      <c r="G4623" s="454"/>
      <c r="H4623" s="474"/>
      <c r="I4623" s="414">
        <f>SUM(I4619:I4622)</f>
        <v>122480</v>
      </c>
      <c r="J4623" s="400"/>
      <c r="K4623" s="401"/>
      <c r="L4623" s="401"/>
      <c r="M4623" s="404"/>
      <c r="N4623" s="404"/>
      <c r="O4623" s="404"/>
      <c r="P4623" s="404"/>
      <c r="Q4623" s="404"/>
      <c r="R4623" s="404"/>
      <c r="S4623" s="404"/>
      <c r="T4623" s="404"/>
      <c r="U4623" s="404"/>
      <c r="V4623" s="404"/>
      <c r="W4623" s="404"/>
      <c r="X4623" s="404"/>
      <c r="Y4623" s="404"/>
      <c r="Z4623" s="404"/>
      <c r="AA4623" s="404"/>
      <c r="AB4623" s="404"/>
      <c r="AC4623" s="404"/>
      <c r="AD4623" s="404"/>
      <c r="AE4623" s="404"/>
      <c r="AF4623" s="404"/>
      <c r="AG4623" s="404"/>
      <c r="AH4623" s="404"/>
      <c r="AI4623" s="404"/>
      <c r="AJ4623" s="404"/>
      <c r="AK4623" s="404"/>
      <c r="AL4623" s="404"/>
      <c r="AM4623" s="404"/>
      <c r="AN4623" s="404"/>
      <c r="AO4623" s="404"/>
      <c r="AP4623" s="404"/>
      <c r="AQ4623" s="404"/>
      <c r="AR4623" s="404"/>
      <c r="AS4623" s="404"/>
      <c r="AT4623" s="404"/>
      <c r="AU4623" s="404"/>
      <c r="AV4623" s="404"/>
      <c r="AW4623" s="404"/>
      <c r="AX4623" s="404"/>
      <c r="AY4623" s="404"/>
      <c r="AZ4623" s="404"/>
      <c r="BA4623" s="404"/>
      <c r="BB4623" s="404"/>
      <c r="BC4623" s="404"/>
      <c r="BD4623" s="404"/>
      <c r="BE4623" s="404"/>
      <c r="BF4623" s="404"/>
      <c r="BG4623" s="404"/>
      <c r="BH4623" s="404"/>
      <c r="BI4623" s="404"/>
      <c r="BJ4623" s="404"/>
      <c r="BK4623" s="404"/>
      <c r="BL4623" s="404"/>
    </row>
    <row r="4624" spans="1:64" ht="25">
      <c r="A4624" s="426"/>
      <c r="B4624" s="426"/>
      <c r="C4624" s="417" t="str">
        <f>[161]Input!$C$48</f>
        <v>Overheads &amp; Contractors Profit @ 13.615%</v>
      </c>
      <c r="D4624" s="494">
        <f>[161]Input!$D$48</f>
        <v>0.13614999999999999</v>
      </c>
      <c r="E4624" s="415"/>
      <c r="F4624" s="408">
        <f>I4623</f>
        <v>122480</v>
      </c>
      <c r="G4624" s="454"/>
      <c r="H4624" s="474"/>
      <c r="I4624" s="408">
        <f>IF(G4624="",D4624*F4624,(D4624*F4624/G4624))</f>
        <v>16675.651999999998</v>
      </c>
      <c r="J4624" s="400"/>
      <c r="K4624" s="401"/>
      <c r="L4624" s="401"/>
      <c r="M4624" s="404"/>
      <c r="N4624" s="404"/>
      <c r="O4624" s="404"/>
      <c r="P4624" s="404"/>
      <c r="Q4624" s="404"/>
      <c r="R4624" s="404"/>
      <c r="S4624" s="404"/>
      <c r="T4624" s="404"/>
      <c r="U4624" s="404"/>
      <c r="V4624" s="404"/>
      <c r="W4624" s="404"/>
      <c r="X4624" s="404"/>
      <c r="Y4624" s="404"/>
      <c r="Z4624" s="404"/>
      <c r="AA4624" s="404"/>
      <c r="AB4624" s="404"/>
      <c r="AC4624" s="404"/>
      <c r="AD4624" s="404"/>
      <c r="AE4624" s="404"/>
      <c r="AF4624" s="404"/>
      <c r="AG4624" s="404"/>
      <c r="AH4624" s="404"/>
      <c r="AI4624" s="404"/>
      <c r="AJ4624" s="404"/>
      <c r="AK4624" s="404"/>
      <c r="AL4624" s="404"/>
      <c r="AM4624" s="404"/>
      <c r="AN4624" s="404"/>
      <c r="AO4624" s="404"/>
      <c r="AP4624" s="404"/>
      <c r="AQ4624" s="404"/>
      <c r="AR4624" s="404"/>
      <c r="AS4624" s="404"/>
      <c r="AT4624" s="404"/>
      <c r="AU4624" s="404"/>
      <c r="AV4624" s="404"/>
      <c r="AW4624" s="404"/>
      <c r="AX4624" s="404"/>
      <c r="AY4624" s="404"/>
      <c r="AZ4624" s="404"/>
      <c r="BA4624" s="404"/>
      <c r="BB4624" s="404"/>
      <c r="BC4624" s="404"/>
      <c r="BD4624" s="404"/>
      <c r="BE4624" s="404"/>
      <c r="BF4624" s="404"/>
      <c r="BG4624" s="404"/>
      <c r="BH4624" s="404"/>
      <c r="BI4624" s="404"/>
      <c r="BJ4624" s="404"/>
      <c r="BK4624" s="404"/>
      <c r="BL4624" s="404"/>
    </row>
    <row r="4625" spans="1:64" ht="13">
      <c r="A4625" s="426"/>
      <c r="B4625" s="426"/>
      <c r="C4625" s="473"/>
      <c r="D4625" s="408"/>
      <c r="E4625" s="415"/>
      <c r="F4625" s="454"/>
      <c r="G4625" s="454"/>
      <c r="H4625" s="474"/>
      <c r="I4625" s="414">
        <f>SUM(I4623:I4624)</f>
        <v>139155.652</v>
      </c>
      <c r="J4625" s="400"/>
      <c r="K4625" s="401"/>
      <c r="L4625" s="401"/>
      <c r="M4625" s="404"/>
      <c r="N4625" s="404"/>
      <c r="O4625" s="404"/>
      <c r="P4625" s="404"/>
      <c r="Q4625" s="404"/>
      <c r="R4625" s="404"/>
      <c r="S4625" s="404"/>
      <c r="T4625" s="404"/>
      <c r="U4625" s="404"/>
      <c r="V4625" s="404"/>
      <c r="W4625" s="404"/>
      <c r="X4625" s="404"/>
      <c r="Y4625" s="404"/>
      <c r="Z4625" s="404"/>
      <c r="AA4625" s="404"/>
      <c r="AB4625" s="404"/>
      <c r="AC4625" s="404"/>
      <c r="AD4625" s="404"/>
      <c r="AE4625" s="404"/>
      <c r="AF4625" s="404"/>
      <c r="AG4625" s="404"/>
      <c r="AH4625" s="404"/>
      <c r="AI4625" s="404"/>
      <c r="AJ4625" s="404"/>
      <c r="AK4625" s="404"/>
      <c r="AL4625" s="404"/>
      <c r="AM4625" s="404"/>
      <c r="AN4625" s="404"/>
      <c r="AO4625" s="404"/>
      <c r="AP4625" s="404"/>
      <c r="AQ4625" s="404"/>
      <c r="AR4625" s="404"/>
      <c r="AS4625" s="404"/>
      <c r="AT4625" s="404"/>
      <c r="AU4625" s="404"/>
      <c r="AV4625" s="404"/>
      <c r="AW4625" s="404"/>
      <c r="AX4625" s="404"/>
      <c r="AY4625" s="404"/>
      <c r="AZ4625" s="404"/>
      <c r="BA4625" s="404"/>
      <c r="BB4625" s="404"/>
      <c r="BC4625" s="404"/>
      <c r="BD4625" s="404"/>
      <c r="BE4625" s="404"/>
      <c r="BF4625" s="404"/>
      <c r="BG4625" s="404"/>
      <c r="BH4625" s="404"/>
      <c r="BI4625" s="404"/>
      <c r="BJ4625" s="404"/>
      <c r="BK4625" s="404"/>
      <c r="BL4625" s="404"/>
    </row>
    <row r="4626" spans="1:64" ht="13">
      <c r="A4626" s="426"/>
      <c r="B4626" s="426"/>
      <c r="C4626" s="473" t="s">
        <v>1117</v>
      </c>
      <c r="D4626" s="408"/>
      <c r="E4626" s="415"/>
      <c r="F4626" s="454"/>
      <c r="G4626" s="454"/>
      <c r="H4626" s="474"/>
      <c r="I4626" s="414">
        <f>ROUND(I4625,0)</f>
        <v>139156</v>
      </c>
      <c r="J4626" s="400"/>
      <c r="K4626" s="401"/>
      <c r="L4626" s="401"/>
      <c r="M4626" s="404"/>
      <c r="N4626" s="404"/>
      <c r="O4626" s="404"/>
      <c r="P4626" s="404"/>
      <c r="Q4626" s="404"/>
      <c r="R4626" s="404"/>
      <c r="S4626" s="404"/>
      <c r="T4626" s="404"/>
      <c r="U4626" s="404"/>
      <c r="V4626" s="404"/>
      <c r="W4626" s="404"/>
      <c r="X4626" s="404"/>
      <c r="Y4626" s="404"/>
      <c r="Z4626" s="404"/>
      <c r="AA4626" s="404"/>
      <c r="AB4626" s="404"/>
      <c r="AC4626" s="404"/>
      <c r="AD4626" s="404"/>
      <c r="AE4626" s="404"/>
      <c r="AF4626" s="404"/>
      <c r="AG4626" s="404"/>
      <c r="AH4626" s="404"/>
      <c r="AI4626" s="404"/>
      <c r="AJ4626" s="404"/>
      <c r="AK4626" s="404"/>
      <c r="AL4626" s="404"/>
      <c r="AM4626" s="404"/>
      <c r="AN4626" s="404"/>
      <c r="AO4626" s="404"/>
      <c r="AP4626" s="404"/>
      <c r="AQ4626" s="404"/>
      <c r="AR4626" s="404"/>
      <c r="AS4626" s="404"/>
      <c r="AT4626" s="404"/>
      <c r="AU4626" s="404"/>
      <c r="AV4626" s="404"/>
      <c r="AW4626" s="404"/>
      <c r="AX4626" s="404"/>
      <c r="AY4626" s="404"/>
      <c r="AZ4626" s="404"/>
      <c r="BA4626" s="404"/>
      <c r="BB4626" s="404"/>
      <c r="BC4626" s="404"/>
      <c r="BD4626" s="404"/>
      <c r="BE4626" s="404"/>
      <c r="BF4626" s="404"/>
      <c r="BG4626" s="404"/>
      <c r="BH4626" s="404"/>
      <c r="BI4626" s="404"/>
      <c r="BJ4626" s="404"/>
      <c r="BK4626" s="404"/>
      <c r="BL4626" s="404"/>
    </row>
    <row r="4627" spans="1:64" ht="13">
      <c r="A4627" s="426"/>
      <c r="B4627" s="426"/>
      <c r="C4627" s="473" t="s">
        <v>1632</v>
      </c>
      <c r="D4627" s="408"/>
      <c r="E4627" s="415"/>
      <c r="F4627" s="454"/>
      <c r="G4627" s="454"/>
      <c r="H4627" s="474"/>
      <c r="I4627" s="414">
        <f>I4626/1000</f>
        <v>139.15600000000001</v>
      </c>
      <c r="J4627" s="400"/>
      <c r="K4627" s="401"/>
      <c r="L4627" s="401"/>
      <c r="M4627" s="404"/>
      <c r="N4627" s="404"/>
      <c r="O4627" s="404"/>
      <c r="P4627" s="404"/>
      <c r="Q4627" s="404"/>
      <c r="R4627" s="404"/>
      <c r="S4627" s="404"/>
      <c r="T4627" s="404"/>
      <c r="U4627" s="404"/>
      <c r="V4627" s="404"/>
      <c r="W4627" s="404"/>
      <c r="X4627" s="404"/>
      <c r="Y4627" s="404"/>
      <c r="Z4627" s="404"/>
      <c r="AA4627" s="404"/>
      <c r="AB4627" s="404"/>
      <c r="AC4627" s="404"/>
      <c r="AD4627" s="404"/>
      <c r="AE4627" s="404"/>
      <c r="AF4627" s="404"/>
      <c r="AG4627" s="404"/>
      <c r="AH4627" s="404"/>
      <c r="AI4627" s="404"/>
      <c r="AJ4627" s="404"/>
      <c r="AK4627" s="404"/>
      <c r="AL4627" s="404"/>
      <c r="AM4627" s="404"/>
      <c r="AN4627" s="404"/>
      <c r="AO4627" s="404"/>
      <c r="AP4627" s="404"/>
      <c r="AQ4627" s="404"/>
      <c r="AR4627" s="404"/>
      <c r="AS4627" s="404"/>
      <c r="AT4627" s="404"/>
      <c r="AU4627" s="404"/>
      <c r="AV4627" s="404"/>
      <c r="AW4627" s="404"/>
      <c r="AX4627" s="404"/>
      <c r="AY4627" s="404"/>
      <c r="AZ4627" s="404"/>
      <c r="BA4627" s="404"/>
      <c r="BB4627" s="404"/>
      <c r="BC4627" s="404"/>
      <c r="BD4627" s="404"/>
      <c r="BE4627" s="404"/>
      <c r="BF4627" s="404"/>
      <c r="BG4627" s="404"/>
      <c r="BH4627" s="404"/>
      <c r="BI4627" s="404"/>
      <c r="BJ4627" s="404"/>
      <c r="BK4627" s="404"/>
      <c r="BL4627" s="404"/>
    </row>
    <row r="4628" spans="1:64" ht="13">
      <c r="A4628" s="426"/>
      <c r="B4628" s="426"/>
      <c r="C4628" s="417"/>
      <c r="D4628" s="408"/>
      <c r="E4628" s="408"/>
      <c r="F4628" s="408"/>
      <c r="G4628" s="1283" t="s">
        <v>1633</v>
      </c>
      <c r="H4628" s="1283"/>
      <c r="I4628" s="414">
        <f>ROUND(I4627,0)</f>
        <v>139</v>
      </c>
      <c r="J4628" s="400"/>
      <c r="K4628" s="401"/>
      <c r="L4628" s="401"/>
      <c r="M4628" s="404"/>
      <c r="N4628" s="404"/>
      <c r="O4628" s="404"/>
      <c r="P4628" s="404"/>
      <c r="Q4628" s="404"/>
      <c r="R4628" s="404"/>
      <c r="S4628" s="404"/>
      <c r="T4628" s="404"/>
      <c r="U4628" s="404"/>
      <c r="V4628" s="404"/>
      <c r="W4628" s="404"/>
      <c r="X4628" s="404"/>
      <c r="Y4628" s="404"/>
      <c r="Z4628" s="404"/>
      <c r="AA4628" s="404"/>
      <c r="AB4628" s="404"/>
      <c r="AC4628" s="404"/>
      <c r="AD4628" s="404"/>
      <c r="AE4628" s="404"/>
      <c r="AF4628" s="404"/>
      <c r="AG4628" s="404"/>
      <c r="AH4628" s="404"/>
      <c r="AI4628" s="404"/>
      <c r="AJ4628" s="404"/>
      <c r="AK4628" s="404"/>
      <c r="AL4628" s="404"/>
      <c r="AM4628" s="404"/>
      <c r="AN4628" s="404"/>
      <c r="AO4628" s="404"/>
      <c r="AP4628" s="404"/>
      <c r="AQ4628" s="404"/>
      <c r="AR4628" s="404"/>
      <c r="AS4628" s="404"/>
      <c r="AT4628" s="404"/>
      <c r="AU4628" s="404"/>
      <c r="AV4628" s="404"/>
      <c r="AW4628" s="404"/>
      <c r="AX4628" s="404"/>
      <c r="AY4628" s="404"/>
      <c r="AZ4628" s="404"/>
      <c r="BA4628" s="404"/>
      <c r="BB4628" s="404"/>
      <c r="BC4628" s="404"/>
      <c r="BD4628" s="404"/>
      <c r="BE4628" s="404"/>
      <c r="BF4628" s="404"/>
      <c r="BG4628" s="404"/>
      <c r="BH4628" s="404"/>
      <c r="BI4628" s="404"/>
      <c r="BJ4628" s="404"/>
      <c r="BK4628" s="404"/>
      <c r="BL4628" s="404"/>
    </row>
    <row r="4629" spans="1:64">
      <c r="A4629" s="426"/>
      <c r="B4629" s="426"/>
      <c r="C4629" s="417"/>
      <c r="D4629" s="409"/>
      <c r="E4629" s="426"/>
      <c r="F4629" s="409"/>
      <c r="G4629" s="410"/>
      <c r="H4629" s="426"/>
      <c r="I4629" s="409"/>
      <c r="J4629" s="400"/>
      <c r="K4629" s="401"/>
      <c r="L4629" s="401"/>
      <c r="M4629" s="404"/>
      <c r="N4629" s="404"/>
      <c r="O4629" s="404"/>
      <c r="P4629" s="404"/>
      <c r="Q4629" s="404"/>
      <c r="R4629" s="404"/>
      <c r="S4629" s="404"/>
      <c r="T4629" s="404"/>
      <c r="U4629" s="404"/>
      <c r="V4629" s="404"/>
      <c r="W4629" s="404"/>
      <c r="X4629" s="404"/>
      <c r="Y4629" s="404"/>
      <c r="Z4629" s="404"/>
      <c r="AA4629" s="404"/>
      <c r="AB4629" s="404"/>
      <c r="AC4629" s="404"/>
      <c r="AD4629" s="404"/>
      <c r="AE4629" s="404"/>
      <c r="AF4629" s="404"/>
      <c r="AG4629" s="404"/>
      <c r="AH4629" s="404"/>
      <c r="AI4629" s="404"/>
      <c r="AJ4629" s="404"/>
      <c r="AK4629" s="404"/>
      <c r="AL4629" s="404"/>
      <c r="AM4629" s="404"/>
      <c r="AN4629" s="404"/>
      <c r="AO4629" s="404"/>
      <c r="AP4629" s="404"/>
      <c r="AQ4629" s="404"/>
      <c r="AR4629" s="404"/>
      <c r="AS4629" s="404"/>
      <c r="AT4629" s="404"/>
      <c r="AU4629" s="404"/>
      <c r="AV4629" s="404"/>
      <c r="AW4629" s="404"/>
      <c r="AX4629" s="404"/>
      <c r="AY4629" s="404"/>
      <c r="AZ4629" s="404"/>
      <c r="BA4629" s="404"/>
      <c r="BB4629" s="404"/>
      <c r="BC4629" s="404"/>
      <c r="BD4629" s="404"/>
      <c r="BE4629" s="404"/>
      <c r="BF4629" s="404"/>
      <c r="BG4629" s="404"/>
      <c r="BH4629" s="404"/>
      <c r="BI4629" s="404"/>
      <c r="BJ4629" s="404"/>
      <c r="BK4629" s="404"/>
      <c r="BL4629" s="404"/>
    </row>
    <row r="4630" spans="1:64" ht="70.150000000000006" customHeight="1">
      <c r="A4630" s="410">
        <f>1+A4618</f>
        <v>28</v>
      </c>
      <c r="B4630" s="1293" t="s">
        <v>1641</v>
      </c>
      <c r="C4630" s="1276" t="s">
        <v>1642</v>
      </c>
      <c r="D4630" s="1276"/>
      <c r="E4630" s="1276"/>
      <c r="F4630" s="1276"/>
      <c r="G4630" s="1276"/>
      <c r="H4630" s="1276"/>
      <c r="I4630" s="1276"/>
      <c r="J4630" s="400"/>
      <c r="K4630" s="401"/>
      <c r="L4630" s="401"/>
      <c r="M4630" s="404"/>
      <c r="N4630" s="404"/>
      <c r="O4630" s="404"/>
      <c r="P4630" s="404"/>
      <c r="Q4630" s="404"/>
      <c r="R4630" s="404"/>
      <c r="S4630" s="404"/>
      <c r="T4630" s="404"/>
      <c r="U4630" s="404"/>
      <c r="V4630" s="404"/>
      <c r="W4630" s="404"/>
      <c r="X4630" s="404"/>
      <c r="Y4630" s="404"/>
      <c r="Z4630" s="404"/>
      <c r="AA4630" s="404"/>
      <c r="AB4630" s="404"/>
      <c r="AC4630" s="404"/>
      <c r="AD4630" s="404"/>
      <c r="AE4630" s="404"/>
      <c r="AF4630" s="404"/>
      <c r="AG4630" s="404"/>
      <c r="AH4630" s="404"/>
      <c r="AI4630" s="404"/>
      <c r="AJ4630" s="404"/>
      <c r="AK4630" s="404"/>
      <c r="AL4630" s="404"/>
      <c r="AM4630" s="404"/>
      <c r="AN4630" s="404"/>
      <c r="AO4630" s="404"/>
      <c r="AP4630" s="404"/>
      <c r="AQ4630" s="404"/>
      <c r="AR4630" s="404"/>
      <c r="AS4630" s="404"/>
      <c r="AT4630" s="404"/>
      <c r="AU4630" s="404"/>
      <c r="AV4630" s="404"/>
      <c r="AW4630" s="404"/>
      <c r="AX4630" s="404"/>
      <c r="AY4630" s="404"/>
      <c r="AZ4630" s="404"/>
      <c r="BA4630" s="404"/>
      <c r="BB4630" s="404"/>
      <c r="BC4630" s="404"/>
      <c r="BD4630" s="404"/>
      <c r="BE4630" s="404"/>
      <c r="BF4630" s="404"/>
      <c r="BG4630" s="404"/>
      <c r="BH4630" s="404"/>
      <c r="BI4630" s="404"/>
      <c r="BJ4630" s="404"/>
      <c r="BK4630" s="404"/>
      <c r="BL4630" s="404"/>
    </row>
    <row r="4631" spans="1:64">
      <c r="A4631" s="426"/>
      <c r="B4631" s="1293"/>
      <c r="C4631" s="417" t="s">
        <v>779</v>
      </c>
      <c r="D4631" s="408"/>
      <c r="E4631" s="408"/>
      <c r="F4631" s="408"/>
      <c r="G4631" s="430"/>
      <c r="H4631" s="456" t="str">
        <f>IF(E4631="","",IF(E4631="No.","Each",IF(E4631="Nos.","Each",E4631)))</f>
        <v/>
      </c>
      <c r="I4631" s="408"/>
      <c r="J4631" s="400"/>
      <c r="K4631" s="401"/>
      <c r="L4631" s="401"/>
      <c r="M4631" s="404"/>
      <c r="N4631" s="404"/>
      <c r="O4631" s="404"/>
      <c r="P4631" s="404"/>
      <c r="Q4631" s="404"/>
      <c r="R4631" s="404"/>
      <c r="S4631" s="404"/>
      <c r="T4631" s="404"/>
      <c r="U4631" s="404"/>
      <c r="V4631" s="404"/>
      <c r="W4631" s="404"/>
      <c r="X4631" s="404"/>
      <c r="Y4631" s="404"/>
      <c r="Z4631" s="404"/>
      <c r="AA4631" s="404"/>
      <c r="AB4631" s="404"/>
      <c r="AC4631" s="404"/>
      <c r="AD4631" s="404"/>
      <c r="AE4631" s="404"/>
      <c r="AF4631" s="404"/>
      <c r="AG4631" s="404"/>
      <c r="AH4631" s="404"/>
      <c r="AI4631" s="404"/>
      <c r="AJ4631" s="404"/>
      <c r="AK4631" s="404"/>
      <c r="AL4631" s="404"/>
      <c r="AM4631" s="404"/>
      <c r="AN4631" s="404"/>
      <c r="AO4631" s="404"/>
      <c r="AP4631" s="404"/>
      <c r="AQ4631" s="404"/>
      <c r="AR4631" s="404"/>
      <c r="AS4631" s="404"/>
      <c r="AT4631" s="404"/>
      <c r="AU4631" s="404"/>
      <c r="AV4631" s="404"/>
      <c r="AW4631" s="404"/>
      <c r="AX4631" s="404"/>
      <c r="AY4631" s="404"/>
      <c r="AZ4631" s="404"/>
      <c r="BA4631" s="404"/>
      <c r="BB4631" s="404"/>
      <c r="BC4631" s="404"/>
      <c r="BD4631" s="404"/>
      <c r="BE4631" s="404"/>
      <c r="BF4631" s="404"/>
      <c r="BG4631" s="404"/>
      <c r="BH4631" s="404"/>
      <c r="BI4631" s="404"/>
      <c r="BJ4631" s="404"/>
      <c r="BK4631" s="404"/>
      <c r="BL4631" s="404"/>
    </row>
    <row r="4632" spans="1:64">
      <c r="A4632" s="426"/>
      <c r="B4632" s="454"/>
      <c r="C4632" s="417" t="s">
        <v>1643</v>
      </c>
      <c r="D4632" s="621"/>
      <c r="E4632" s="454"/>
      <c r="F4632" s="408"/>
      <c r="G4632" s="410"/>
      <c r="H4632" s="426"/>
      <c r="I4632" s="408"/>
      <c r="J4632" s="400"/>
      <c r="K4632" s="401"/>
      <c r="L4632" s="401"/>
      <c r="M4632" s="404"/>
      <c r="N4632" s="404"/>
      <c r="O4632" s="404"/>
      <c r="P4632" s="404"/>
      <c r="Q4632" s="404"/>
      <c r="R4632" s="404"/>
      <c r="S4632" s="404"/>
      <c r="T4632" s="404"/>
      <c r="U4632" s="404"/>
      <c r="V4632" s="404"/>
      <c r="W4632" s="404"/>
      <c r="X4632" s="404"/>
      <c r="Y4632" s="404"/>
      <c r="Z4632" s="404"/>
      <c r="AA4632" s="404"/>
      <c r="AB4632" s="404"/>
      <c r="AC4632" s="404"/>
      <c r="AD4632" s="404"/>
      <c r="AE4632" s="404"/>
      <c r="AF4632" s="404"/>
      <c r="AG4632" s="404"/>
      <c r="AH4632" s="404"/>
      <c r="AI4632" s="404"/>
      <c r="AJ4632" s="404"/>
      <c r="AK4632" s="404"/>
      <c r="AL4632" s="404"/>
      <c r="AM4632" s="404"/>
      <c r="AN4632" s="404"/>
      <c r="AO4632" s="404"/>
      <c r="AP4632" s="404"/>
      <c r="AQ4632" s="404"/>
      <c r="AR4632" s="404"/>
      <c r="AS4632" s="404"/>
      <c r="AT4632" s="404"/>
      <c r="AU4632" s="404"/>
      <c r="AV4632" s="404"/>
      <c r="AW4632" s="404"/>
      <c r="AX4632" s="404"/>
      <c r="AY4632" s="404"/>
      <c r="AZ4632" s="404"/>
      <c r="BA4632" s="404"/>
      <c r="BB4632" s="404"/>
      <c r="BC4632" s="404"/>
      <c r="BD4632" s="404"/>
      <c r="BE4632" s="404"/>
      <c r="BF4632" s="404"/>
      <c r="BG4632" s="404"/>
      <c r="BH4632" s="404"/>
      <c r="BI4632" s="404"/>
      <c r="BJ4632" s="404"/>
      <c r="BK4632" s="404"/>
      <c r="BL4632" s="404"/>
    </row>
    <row r="4633" spans="1:64" ht="13">
      <c r="A4633" s="426"/>
      <c r="B4633" s="454"/>
      <c r="C4633" s="427" t="s">
        <v>781</v>
      </c>
      <c r="D4633" s="408"/>
      <c r="E4633" s="408"/>
      <c r="F4633" s="408"/>
      <c r="G4633" s="430"/>
      <c r="H4633" s="414"/>
      <c r="I4633" s="414"/>
      <c r="J4633" s="400"/>
      <c r="K4633" s="401"/>
      <c r="L4633" s="401"/>
      <c r="M4633" s="404"/>
      <c r="N4633" s="404"/>
      <c r="O4633" s="404"/>
      <c r="P4633" s="404"/>
      <c r="Q4633" s="404"/>
      <c r="R4633" s="404"/>
      <c r="S4633" s="404"/>
      <c r="T4633" s="404"/>
      <c r="U4633" s="404"/>
      <c r="V4633" s="404"/>
      <c r="W4633" s="404"/>
      <c r="X4633" s="404"/>
      <c r="Y4633" s="404"/>
      <c r="Z4633" s="404"/>
      <c r="AA4633" s="404"/>
      <c r="AB4633" s="404"/>
      <c r="AC4633" s="404"/>
      <c r="AD4633" s="404"/>
      <c r="AE4633" s="404"/>
      <c r="AF4633" s="404"/>
      <c r="AG4633" s="404"/>
      <c r="AH4633" s="404"/>
      <c r="AI4633" s="404"/>
      <c r="AJ4633" s="404"/>
      <c r="AK4633" s="404"/>
      <c r="AL4633" s="404"/>
      <c r="AM4633" s="404"/>
      <c r="AN4633" s="404"/>
      <c r="AO4633" s="404"/>
      <c r="AP4633" s="404"/>
      <c r="AQ4633" s="404"/>
      <c r="AR4633" s="404"/>
      <c r="AS4633" s="404"/>
      <c r="AT4633" s="404"/>
      <c r="AU4633" s="404"/>
      <c r="AV4633" s="404"/>
      <c r="AW4633" s="404"/>
      <c r="AX4633" s="404"/>
      <c r="AY4633" s="404"/>
      <c r="AZ4633" s="404"/>
      <c r="BA4633" s="404"/>
      <c r="BB4633" s="404"/>
      <c r="BC4633" s="404"/>
      <c r="BD4633" s="404"/>
      <c r="BE4633" s="404"/>
      <c r="BF4633" s="404"/>
      <c r="BG4633" s="404"/>
      <c r="BH4633" s="404"/>
      <c r="BI4633" s="404"/>
      <c r="BJ4633" s="404"/>
      <c r="BK4633" s="404"/>
      <c r="BL4633" s="404"/>
    </row>
    <row r="4634" spans="1:64">
      <c r="A4634" s="426"/>
      <c r="B4634" s="454"/>
      <c r="C4634" s="417" t="s">
        <v>1603</v>
      </c>
      <c r="D4634" s="408"/>
      <c r="E4634" s="408" t="s">
        <v>555</v>
      </c>
      <c r="F4634" s="432"/>
      <c r="G4634" s="430">
        <v>1</v>
      </c>
      <c r="H4634" s="408" t="s">
        <v>555</v>
      </c>
      <c r="I4634" s="408">
        <f t="shared" ref="I4634:I4637" si="1005">IF(G4634="",D4634*F4634,(D4634*F4634/G4634))</f>
        <v>0</v>
      </c>
      <c r="J4634" s="400"/>
      <c r="K4634" s="401"/>
      <c r="L4634" s="401"/>
      <c r="M4634" s="404"/>
      <c r="N4634" s="404"/>
      <c r="O4634" s="404"/>
      <c r="P4634" s="404"/>
      <c r="Q4634" s="404"/>
      <c r="R4634" s="404"/>
      <c r="S4634" s="404"/>
      <c r="T4634" s="404"/>
      <c r="U4634" s="404"/>
      <c r="V4634" s="404"/>
      <c r="W4634" s="404"/>
      <c r="X4634" s="404"/>
      <c r="Y4634" s="404"/>
      <c r="Z4634" s="404"/>
      <c r="AA4634" s="404"/>
      <c r="AB4634" s="404"/>
      <c r="AC4634" s="404"/>
      <c r="AD4634" s="404"/>
      <c r="AE4634" s="404"/>
      <c r="AF4634" s="404"/>
      <c r="AG4634" s="404"/>
      <c r="AH4634" s="404"/>
      <c r="AI4634" s="404"/>
      <c r="AJ4634" s="404"/>
      <c r="AK4634" s="404"/>
      <c r="AL4634" s="404"/>
      <c r="AM4634" s="404"/>
      <c r="AN4634" s="404"/>
      <c r="AO4634" s="404"/>
      <c r="AP4634" s="404"/>
      <c r="AQ4634" s="404"/>
      <c r="AR4634" s="404"/>
      <c r="AS4634" s="404"/>
      <c r="AT4634" s="404"/>
      <c r="AU4634" s="404"/>
      <c r="AV4634" s="404"/>
      <c r="AW4634" s="404"/>
      <c r="AX4634" s="404"/>
      <c r="AY4634" s="404"/>
      <c r="AZ4634" s="404"/>
      <c r="BA4634" s="404"/>
      <c r="BB4634" s="404"/>
      <c r="BC4634" s="404"/>
      <c r="BD4634" s="404"/>
      <c r="BE4634" s="404"/>
      <c r="BF4634" s="404"/>
      <c r="BG4634" s="404"/>
      <c r="BH4634" s="404"/>
      <c r="BI4634" s="404"/>
      <c r="BJ4634" s="404"/>
      <c r="BK4634" s="404"/>
      <c r="BL4634" s="404"/>
    </row>
    <row r="4635" spans="1:64">
      <c r="A4635" s="426"/>
      <c r="B4635" s="454"/>
      <c r="C4635" s="417" t="s">
        <v>1644</v>
      </c>
      <c r="D4635" s="408">
        <v>2.4</v>
      </c>
      <c r="E4635" s="408" t="s">
        <v>555</v>
      </c>
      <c r="F4635" s="408">
        <f>'[161]Civil-SOR'!$G$307</f>
        <v>520</v>
      </c>
      <c r="G4635" s="432">
        <v>1</v>
      </c>
      <c r="H4635" s="432" t="s">
        <v>555</v>
      </c>
      <c r="I4635" s="408">
        <f t="shared" si="1005"/>
        <v>1248</v>
      </c>
      <c r="J4635" s="400"/>
      <c r="K4635" s="401"/>
      <c r="L4635" s="401"/>
      <c r="M4635" s="404"/>
      <c r="N4635" s="404"/>
      <c r="O4635" s="404"/>
      <c r="P4635" s="404"/>
      <c r="Q4635" s="404"/>
      <c r="R4635" s="404"/>
      <c r="S4635" s="404"/>
      <c r="T4635" s="404"/>
      <c r="U4635" s="404"/>
      <c r="V4635" s="404"/>
      <c r="W4635" s="404"/>
      <c r="X4635" s="404"/>
      <c r="Y4635" s="404"/>
      <c r="Z4635" s="404"/>
      <c r="AA4635" s="404"/>
      <c r="AB4635" s="404"/>
      <c r="AC4635" s="404"/>
      <c r="AD4635" s="404"/>
      <c r="AE4635" s="404"/>
      <c r="AF4635" s="404"/>
      <c r="AG4635" s="404"/>
      <c r="AH4635" s="404"/>
      <c r="AI4635" s="404"/>
      <c r="AJ4635" s="404"/>
      <c r="AK4635" s="404"/>
      <c r="AL4635" s="404"/>
      <c r="AM4635" s="404"/>
      <c r="AN4635" s="404"/>
      <c r="AO4635" s="404"/>
      <c r="AP4635" s="404"/>
      <c r="AQ4635" s="404"/>
      <c r="AR4635" s="404"/>
      <c r="AS4635" s="404"/>
      <c r="AT4635" s="404"/>
      <c r="AU4635" s="404"/>
      <c r="AV4635" s="404"/>
      <c r="AW4635" s="404"/>
      <c r="AX4635" s="404"/>
      <c r="AY4635" s="404"/>
      <c r="AZ4635" s="404"/>
      <c r="BA4635" s="404"/>
      <c r="BB4635" s="404"/>
      <c r="BC4635" s="404"/>
      <c r="BD4635" s="404"/>
      <c r="BE4635" s="404"/>
      <c r="BF4635" s="404"/>
      <c r="BG4635" s="404"/>
      <c r="BH4635" s="404"/>
      <c r="BI4635" s="404"/>
      <c r="BJ4635" s="404"/>
      <c r="BK4635" s="404"/>
      <c r="BL4635" s="404"/>
    </row>
    <row r="4636" spans="1:64">
      <c r="A4636" s="426"/>
      <c r="B4636" s="454"/>
      <c r="C4636" s="417" t="s">
        <v>1645</v>
      </c>
      <c r="D4636" s="408">
        <v>8</v>
      </c>
      <c r="E4636" s="408" t="s">
        <v>555</v>
      </c>
      <c r="F4636" s="408">
        <f>'[161]Civil-SOR'!$G$307</f>
        <v>520</v>
      </c>
      <c r="G4636" s="432">
        <v>1</v>
      </c>
      <c r="H4636" s="432" t="s">
        <v>555</v>
      </c>
      <c r="I4636" s="408">
        <f t="shared" si="1005"/>
        <v>4160</v>
      </c>
      <c r="J4636" s="400"/>
      <c r="K4636" s="401"/>
      <c r="L4636" s="401"/>
      <c r="M4636" s="404"/>
      <c r="N4636" s="404"/>
      <c r="O4636" s="404"/>
      <c r="P4636" s="404"/>
      <c r="Q4636" s="404"/>
      <c r="R4636" s="404"/>
      <c r="S4636" s="404"/>
      <c r="T4636" s="404"/>
      <c r="U4636" s="404"/>
      <c r="V4636" s="404"/>
      <c r="W4636" s="404"/>
      <c r="X4636" s="404"/>
      <c r="Y4636" s="404"/>
      <c r="Z4636" s="404"/>
      <c r="AA4636" s="404"/>
      <c r="AB4636" s="404"/>
      <c r="AC4636" s="404"/>
      <c r="AD4636" s="404"/>
      <c r="AE4636" s="404"/>
      <c r="AF4636" s="404"/>
      <c r="AG4636" s="404"/>
      <c r="AH4636" s="404"/>
      <c r="AI4636" s="404"/>
      <c r="AJ4636" s="404"/>
      <c r="AK4636" s="404"/>
      <c r="AL4636" s="404"/>
      <c r="AM4636" s="404"/>
      <c r="AN4636" s="404"/>
      <c r="AO4636" s="404"/>
      <c r="AP4636" s="404"/>
      <c r="AQ4636" s="404"/>
      <c r="AR4636" s="404"/>
      <c r="AS4636" s="404"/>
      <c r="AT4636" s="404"/>
      <c r="AU4636" s="404"/>
      <c r="AV4636" s="404"/>
      <c r="AW4636" s="404"/>
      <c r="AX4636" s="404"/>
      <c r="AY4636" s="404"/>
      <c r="AZ4636" s="404"/>
      <c r="BA4636" s="404"/>
      <c r="BB4636" s="404"/>
      <c r="BC4636" s="404"/>
      <c r="BD4636" s="404"/>
      <c r="BE4636" s="404"/>
      <c r="BF4636" s="404"/>
      <c r="BG4636" s="404"/>
      <c r="BH4636" s="404"/>
      <c r="BI4636" s="404"/>
      <c r="BJ4636" s="404"/>
      <c r="BK4636" s="404"/>
      <c r="BL4636" s="404"/>
    </row>
    <row r="4637" spans="1:64">
      <c r="A4637" s="426"/>
      <c r="B4637" s="454"/>
      <c r="C4637" s="417" t="str">
        <f>[161]Input!$C$47</f>
        <v>Add for MA @ 40%</v>
      </c>
      <c r="D4637" s="746">
        <f>[161]Input!$D$47</f>
        <v>0.4</v>
      </c>
      <c r="E4637" s="406"/>
      <c r="F4637" s="432">
        <f>SUM(I4635:I4636)</f>
        <v>5408</v>
      </c>
      <c r="G4637" s="432"/>
      <c r="H4637" s="406"/>
      <c r="I4637" s="408">
        <f t="shared" si="1005"/>
        <v>2163.2000000000003</v>
      </c>
      <c r="J4637" s="400"/>
      <c r="K4637" s="401"/>
      <c r="L4637" s="401"/>
      <c r="M4637" s="404"/>
      <c r="N4637" s="404"/>
      <c r="O4637" s="404"/>
      <c r="P4637" s="404"/>
      <c r="Q4637" s="404"/>
      <c r="R4637" s="404"/>
      <c r="S4637" s="404"/>
      <c r="T4637" s="404"/>
      <c r="U4637" s="404"/>
      <c r="V4637" s="404"/>
      <c r="W4637" s="404"/>
      <c r="X4637" s="404"/>
      <c r="Y4637" s="404"/>
      <c r="Z4637" s="404"/>
      <c r="AA4637" s="404"/>
      <c r="AB4637" s="404"/>
      <c r="AC4637" s="404"/>
      <c r="AD4637" s="404"/>
      <c r="AE4637" s="404"/>
      <c r="AF4637" s="404"/>
      <c r="AG4637" s="404"/>
      <c r="AH4637" s="404"/>
      <c r="AI4637" s="404"/>
      <c r="AJ4637" s="404"/>
      <c r="AK4637" s="404"/>
      <c r="AL4637" s="404"/>
      <c r="AM4637" s="404"/>
      <c r="AN4637" s="404"/>
      <c r="AO4637" s="404"/>
      <c r="AP4637" s="404"/>
      <c r="AQ4637" s="404"/>
      <c r="AR4637" s="404"/>
      <c r="AS4637" s="404"/>
      <c r="AT4637" s="404"/>
      <c r="AU4637" s="404"/>
      <c r="AV4637" s="404"/>
      <c r="AW4637" s="404"/>
      <c r="AX4637" s="404"/>
      <c r="AY4637" s="404"/>
      <c r="AZ4637" s="404"/>
      <c r="BA4637" s="404"/>
      <c r="BB4637" s="404"/>
      <c r="BC4637" s="404"/>
      <c r="BD4637" s="404"/>
      <c r="BE4637" s="404"/>
      <c r="BF4637" s="404"/>
      <c r="BG4637" s="404"/>
      <c r="BH4637" s="404"/>
      <c r="BI4637" s="404"/>
      <c r="BJ4637" s="404"/>
      <c r="BK4637" s="404"/>
      <c r="BL4637" s="404"/>
    </row>
    <row r="4638" spans="1:64" ht="13">
      <c r="A4638" s="426"/>
      <c r="B4638" s="454"/>
      <c r="C4638" s="427" t="s">
        <v>794</v>
      </c>
      <c r="D4638" s="408"/>
      <c r="E4638" s="408"/>
      <c r="F4638" s="408"/>
      <c r="G4638" s="430"/>
      <c r="H4638" s="414"/>
      <c r="I4638" s="414"/>
      <c r="J4638" s="400"/>
      <c r="K4638" s="401"/>
      <c r="L4638" s="401"/>
      <c r="M4638" s="404"/>
      <c r="N4638" s="404"/>
      <c r="O4638" s="404"/>
      <c r="P4638" s="404"/>
      <c r="Q4638" s="404"/>
      <c r="R4638" s="404"/>
      <c r="S4638" s="404"/>
      <c r="T4638" s="404"/>
      <c r="U4638" s="404"/>
      <c r="V4638" s="404"/>
      <c r="W4638" s="404"/>
      <c r="X4638" s="404"/>
      <c r="Y4638" s="404"/>
      <c r="Z4638" s="404"/>
      <c r="AA4638" s="404"/>
      <c r="AB4638" s="404"/>
      <c r="AC4638" s="404"/>
      <c r="AD4638" s="404"/>
      <c r="AE4638" s="404"/>
      <c r="AF4638" s="404"/>
      <c r="AG4638" s="404"/>
      <c r="AH4638" s="404"/>
      <c r="AI4638" s="404"/>
      <c r="AJ4638" s="404"/>
      <c r="AK4638" s="404"/>
      <c r="AL4638" s="404"/>
      <c r="AM4638" s="404"/>
      <c r="AN4638" s="404"/>
      <c r="AO4638" s="404"/>
      <c r="AP4638" s="404"/>
      <c r="AQ4638" s="404"/>
      <c r="AR4638" s="404"/>
      <c r="AS4638" s="404"/>
      <c r="AT4638" s="404"/>
      <c r="AU4638" s="404"/>
      <c r="AV4638" s="404"/>
      <c r="AW4638" s="404"/>
      <c r="AX4638" s="404"/>
      <c r="AY4638" s="404"/>
      <c r="AZ4638" s="404"/>
      <c r="BA4638" s="404"/>
      <c r="BB4638" s="404"/>
      <c r="BC4638" s="404"/>
      <c r="BD4638" s="404"/>
      <c r="BE4638" s="404"/>
      <c r="BF4638" s="404"/>
      <c r="BG4638" s="404"/>
      <c r="BH4638" s="404"/>
      <c r="BI4638" s="404"/>
      <c r="BJ4638" s="404"/>
      <c r="BK4638" s="404"/>
      <c r="BL4638" s="404"/>
    </row>
    <row r="4639" spans="1:64">
      <c r="A4639" s="426"/>
      <c r="B4639" s="454"/>
      <c r="C4639" s="417" t="s">
        <v>1646</v>
      </c>
      <c r="D4639" s="408">
        <v>6</v>
      </c>
      <c r="E4639" s="408" t="s">
        <v>1647</v>
      </c>
      <c r="F4639" s="408">
        <f>'[161]Civil-SOR'!$G$356</f>
        <v>3475.2</v>
      </c>
      <c r="G4639" s="430">
        <v>1</v>
      </c>
      <c r="H4639" s="408" t="s">
        <v>1647</v>
      </c>
      <c r="I4639" s="408">
        <f t="shared" ref="I4639:I4642" si="1006">IF(G4639="",D4639*F4639,(D4639*F4639/G4639))</f>
        <v>20851.199999999997</v>
      </c>
      <c r="J4639" s="400"/>
      <c r="K4639" s="401"/>
      <c r="L4639" s="401"/>
      <c r="M4639" s="404"/>
      <c r="N4639" s="404"/>
      <c r="O4639" s="404"/>
      <c r="P4639" s="404"/>
      <c r="Q4639" s="404"/>
      <c r="R4639" s="404"/>
      <c r="S4639" s="404"/>
      <c r="T4639" s="404"/>
      <c r="U4639" s="404"/>
      <c r="V4639" s="404"/>
      <c r="W4639" s="404"/>
      <c r="X4639" s="404"/>
      <c r="Y4639" s="404"/>
      <c r="Z4639" s="404"/>
      <c r="AA4639" s="404"/>
      <c r="AB4639" s="404"/>
      <c r="AC4639" s="404"/>
      <c r="AD4639" s="404"/>
      <c r="AE4639" s="404"/>
      <c r="AF4639" s="404"/>
      <c r="AG4639" s="404"/>
      <c r="AH4639" s="404"/>
      <c r="AI4639" s="404"/>
      <c r="AJ4639" s="404"/>
      <c r="AK4639" s="404"/>
      <c r="AL4639" s="404"/>
      <c r="AM4639" s="404"/>
      <c r="AN4639" s="404"/>
      <c r="AO4639" s="404"/>
      <c r="AP4639" s="404"/>
      <c r="AQ4639" s="404"/>
      <c r="AR4639" s="404"/>
      <c r="AS4639" s="404"/>
      <c r="AT4639" s="404"/>
      <c r="AU4639" s="404"/>
      <c r="AV4639" s="404"/>
      <c r="AW4639" s="404"/>
      <c r="AX4639" s="404"/>
      <c r="AY4639" s="404"/>
      <c r="AZ4639" s="404"/>
      <c r="BA4639" s="404"/>
      <c r="BB4639" s="404"/>
      <c r="BC4639" s="404"/>
      <c r="BD4639" s="404"/>
      <c r="BE4639" s="404"/>
      <c r="BF4639" s="404"/>
      <c r="BG4639" s="404"/>
      <c r="BH4639" s="404"/>
      <c r="BI4639" s="404"/>
      <c r="BJ4639" s="404"/>
      <c r="BK4639" s="404"/>
      <c r="BL4639" s="404"/>
    </row>
    <row r="4640" spans="1:64">
      <c r="A4640" s="426"/>
      <c r="B4640" s="454"/>
      <c r="C4640" s="417" t="s">
        <v>1648</v>
      </c>
      <c r="D4640" s="408">
        <v>5</v>
      </c>
      <c r="E4640" s="408" t="s">
        <v>1647</v>
      </c>
      <c r="F4640" s="408">
        <f>'[161]Civil-SOR'!$G$357</f>
        <v>769</v>
      </c>
      <c r="G4640" s="430">
        <v>1</v>
      </c>
      <c r="H4640" s="408" t="s">
        <v>1647</v>
      </c>
      <c r="I4640" s="408">
        <f t="shared" si="1006"/>
        <v>3845</v>
      </c>
      <c r="J4640" s="400"/>
      <c r="K4640" s="401"/>
      <c r="L4640" s="401"/>
      <c r="M4640" s="404"/>
      <c r="N4640" s="404"/>
      <c r="O4640" s="404"/>
      <c r="P4640" s="404"/>
      <c r="Q4640" s="404"/>
      <c r="R4640" s="404"/>
      <c r="S4640" s="404"/>
      <c r="T4640" s="404"/>
      <c r="U4640" s="404"/>
      <c r="V4640" s="404"/>
      <c r="W4640" s="404"/>
      <c r="X4640" s="404"/>
      <c r="Y4640" s="404"/>
      <c r="Z4640" s="404"/>
      <c r="AA4640" s="404"/>
      <c r="AB4640" s="404"/>
      <c r="AC4640" s="404"/>
      <c r="AD4640" s="404"/>
      <c r="AE4640" s="404"/>
      <c r="AF4640" s="404"/>
      <c r="AG4640" s="404"/>
      <c r="AH4640" s="404"/>
      <c r="AI4640" s="404"/>
      <c r="AJ4640" s="404"/>
      <c r="AK4640" s="404"/>
      <c r="AL4640" s="404"/>
      <c r="AM4640" s="404"/>
      <c r="AN4640" s="404"/>
      <c r="AO4640" s="404"/>
      <c r="AP4640" s="404"/>
      <c r="AQ4640" s="404"/>
      <c r="AR4640" s="404"/>
      <c r="AS4640" s="404"/>
      <c r="AT4640" s="404"/>
      <c r="AU4640" s="404"/>
      <c r="AV4640" s="404"/>
      <c r="AW4640" s="404"/>
      <c r="AX4640" s="404"/>
      <c r="AY4640" s="404"/>
      <c r="AZ4640" s="404"/>
      <c r="BA4640" s="404"/>
      <c r="BB4640" s="404"/>
      <c r="BC4640" s="404"/>
      <c r="BD4640" s="404"/>
      <c r="BE4640" s="404"/>
      <c r="BF4640" s="404"/>
      <c r="BG4640" s="404"/>
      <c r="BH4640" s="404"/>
      <c r="BI4640" s="404"/>
      <c r="BJ4640" s="404"/>
      <c r="BK4640" s="404"/>
      <c r="BL4640" s="404"/>
    </row>
    <row r="4641" spans="1:64">
      <c r="A4641" s="426"/>
      <c r="B4641" s="454"/>
      <c r="C4641" s="417" t="s">
        <v>1649</v>
      </c>
      <c r="D4641" s="408">
        <v>12</v>
      </c>
      <c r="E4641" s="408" t="s">
        <v>1647</v>
      </c>
      <c r="F4641" s="408">
        <f>'[161]Civil-SOR'!$G$358</f>
        <v>520</v>
      </c>
      <c r="G4641" s="430">
        <v>1</v>
      </c>
      <c r="H4641" s="408" t="s">
        <v>1647</v>
      </c>
      <c r="I4641" s="408">
        <f t="shared" si="1006"/>
        <v>6240</v>
      </c>
      <c r="J4641" s="400"/>
      <c r="K4641" s="401"/>
      <c r="L4641" s="401"/>
      <c r="M4641" s="404"/>
      <c r="N4641" s="404"/>
      <c r="O4641" s="404"/>
      <c r="P4641" s="404"/>
      <c r="Q4641" s="404"/>
      <c r="R4641" s="404"/>
      <c r="S4641" s="404"/>
      <c r="T4641" s="404"/>
      <c r="U4641" s="404"/>
      <c r="V4641" s="404"/>
      <c r="W4641" s="404"/>
      <c r="X4641" s="404"/>
      <c r="Y4641" s="404"/>
      <c r="Z4641" s="404"/>
      <c r="AA4641" s="404"/>
      <c r="AB4641" s="404"/>
      <c r="AC4641" s="404"/>
      <c r="AD4641" s="404"/>
      <c r="AE4641" s="404"/>
      <c r="AF4641" s="404"/>
      <c r="AG4641" s="404"/>
      <c r="AH4641" s="404"/>
      <c r="AI4641" s="404"/>
      <c r="AJ4641" s="404"/>
      <c r="AK4641" s="404"/>
      <c r="AL4641" s="404"/>
      <c r="AM4641" s="404"/>
      <c r="AN4641" s="404"/>
      <c r="AO4641" s="404"/>
      <c r="AP4641" s="404"/>
      <c r="AQ4641" s="404"/>
      <c r="AR4641" s="404"/>
      <c r="AS4641" s="404"/>
      <c r="AT4641" s="404"/>
      <c r="AU4641" s="404"/>
      <c r="AV4641" s="404"/>
      <c r="AW4641" s="404"/>
      <c r="AX4641" s="404"/>
      <c r="AY4641" s="404"/>
      <c r="AZ4641" s="404"/>
      <c r="BA4641" s="404"/>
      <c r="BB4641" s="404"/>
      <c r="BC4641" s="404"/>
      <c r="BD4641" s="404"/>
      <c r="BE4641" s="404"/>
      <c r="BF4641" s="404"/>
      <c r="BG4641" s="404"/>
      <c r="BH4641" s="404"/>
      <c r="BI4641" s="404"/>
      <c r="BJ4641" s="404"/>
      <c r="BK4641" s="404"/>
      <c r="BL4641" s="404"/>
    </row>
    <row r="4642" spans="1:64">
      <c r="A4642" s="426"/>
      <c r="B4642" s="454"/>
      <c r="C4642" s="417" t="s">
        <v>1650</v>
      </c>
      <c r="D4642" s="408">
        <v>12</v>
      </c>
      <c r="E4642" s="408" t="s">
        <v>1647</v>
      </c>
      <c r="F4642" s="408">
        <f>'[161]Civil-SOR'!$G$359</f>
        <v>520</v>
      </c>
      <c r="G4642" s="430">
        <v>1</v>
      </c>
      <c r="H4642" s="408" t="s">
        <v>1647</v>
      </c>
      <c r="I4642" s="408">
        <f t="shared" si="1006"/>
        <v>6240</v>
      </c>
      <c r="J4642" s="400"/>
      <c r="K4642" s="401"/>
      <c r="L4642" s="401"/>
      <c r="M4642" s="404"/>
      <c r="N4642" s="404"/>
      <c r="O4642" s="404"/>
      <c r="P4642" s="404"/>
      <c r="Q4642" s="404"/>
      <c r="R4642" s="404"/>
      <c r="S4642" s="404"/>
      <c r="T4642" s="404"/>
      <c r="U4642" s="404"/>
      <c r="V4642" s="404"/>
      <c r="W4642" s="404"/>
      <c r="X4642" s="404"/>
      <c r="Y4642" s="404"/>
      <c r="Z4642" s="404"/>
      <c r="AA4642" s="404"/>
      <c r="AB4642" s="404"/>
      <c r="AC4642" s="404"/>
      <c r="AD4642" s="404"/>
      <c r="AE4642" s="404"/>
      <c r="AF4642" s="404"/>
      <c r="AG4642" s="404"/>
      <c r="AH4642" s="404"/>
      <c r="AI4642" s="404"/>
      <c r="AJ4642" s="404"/>
      <c r="AK4642" s="404"/>
      <c r="AL4642" s="404"/>
      <c r="AM4642" s="404"/>
      <c r="AN4642" s="404"/>
      <c r="AO4642" s="404"/>
      <c r="AP4642" s="404"/>
      <c r="AQ4642" s="404"/>
      <c r="AR4642" s="404"/>
      <c r="AS4642" s="404"/>
      <c r="AT4642" s="404"/>
      <c r="AU4642" s="404"/>
      <c r="AV4642" s="404"/>
      <c r="AW4642" s="404"/>
      <c r="AX4642" s="404"/>
      <c r="AY4642" s="404"/>
      <c r="AZ4642" s="404"/>
      <c r="BA4642" s="404"/>
      <c r="BB4642" s="404"/>
      <c r="BC4642" s="404"/>
      <c r="BD4642" s="404"/>
      <c r="BE4642" s="404"/>
      <c r="BF4642" s="404"/>
      <c r="BG4642" s="404"/>
      <c r="BH4642" s="404"/>
      <c r="BI4642" s="404"/>
      <c r="BJ4642" s="404"/>
      <c r="BK4642" s="404"/>
      <c r="BL4642" s="404"/>
    </row>
    <row r="4643" spans="1:64" ht="13">
      <c r="A4643" s="426"/>
      <c r="B4643" s="454"/>
      <c r="C4643" s="427" t="s">
        <v>1651</v>
      </c>
      <c r="D4643" s="408"/>
      <c r="E4643" s="408"/>
      <c r="F4643" s="408"/>
      <c r="G4643" s="430"/>
      <c r="H4643" s="408"/>
      <c r="I4643" s="408"/>
      <c r="J4643" s="400"/>
      <c r="K4643" s="401"/>
      <c r="L4643" s="401"/>
      <c r="M4643" s="404"/>
      <c r="N4643" s="404"/>
      <c r="O4643" s="404"/>
      <c r="P4643" s="404"/>
      <c r="Q4643" s="404"/>
      <c r="R4643" s="404"/>
      <c r="S4643" s="404"/>
      <c r="T4643" s="404"/>
      <c r="U4643" s="404"/>
      <c r="V4643" s="404"/>
      <c r="W4643" s="404"/>
      <c r="X4643" s="404"/>
      <c r="Y4643" s="404"/>
      <c r="Z4643" s="404"/>
      <c r="AA4643" s="404"/>
      <c r="AB4643" s="404"/>
      <c r="AC4643" s="404"/>
      <c r="AD4643" s="404"/>
      <c r="AE4643" s="404"/>
      <c r="AF4643" s="404"/>
      <c r="AG4643" s="404"/>
      <c r="AH4643" s="404"/>
      <c r="AI4643" s="404"/>
      <c r="AJ4643" s="404"/>
      <c r="AK4643" s="404"/>
      <c r="AL4643" s="404"/>
      <c r="AM4643" s="404"/>
      <c r="AN4643" s="404"/>
      <c r="AO4643" s="404"/>
      <c r="AP4643" s="404"/>
      <c r="AQ4643" s="404"/>
      <c r="AR4643" s="404"/>
      <c r="AS4643" s="404"/>
      <c r="AT4643" s="404"/>
      <c r="AU4643" s="404"/>
      <c r="AV4643" s="404"/>
      <c r="AW4643" s="404"/>
      <c r="AX4643" s="404"/>
      <c r="AY4643" s="404"/>
      <c r="AZ4643" s="404"/>
      <c r="BA4643" s="404"/>
      <c r="BB4643" s="404"/>
      <c r="BC4643" s="404"/>
      <c r="BD4643" s="404"/>
      <c r="BE4643" s="404"/>
      <c r="BF4643" s="404"/>
      <c r="BG4643" s="404"/>
      <c r="BH4643" s="404"/>
      <c r="BI4643" s="404"/>
      <c r="BJ4643" s="404"/>
      <c r="BK4643" s="404"/>
      <c r="BL4643" s="404"/>
    </row>
    <row r="4644" spans="1:64" ht="50">
      <c r="A4644" s="426"/>
      <c r="B4644" s="454"/>
      <c r="C4644" s="417" t="s">
        <v>1652</v>
      </c>
      <c r="D4644" s="408"/>
      <c r="E4644" s="408"/>
      <c r="F4644" s="408"/>
      <c r="G4644" s="430"/>
      <c r="H4644" s="408"/>
      <c r="I4644" s="408"/>
      <c r="J4644" s="400"/>
      <c r="K4644" s="401"/>
      <c r="L4644" s="401"/>
      <c r="M4644" s="404"/>
      <c r="N4644" s="404"/>
      <c r="O4644" s="404"/>
      <c r="P4644" s="404"/>
      <c r="Q4644" s="404"/>
      <c r="R4644" s="404"/>
      <c r="S4644" s="404"/>
      <c r="T4644" s="404"/>
      <c r="U4644" s="404"/>
      <c r="V4644" s="404"/>
      <c r="W4644" s="404"/>
      <c r="X4644" s="404"/>
      <c r="Y4644" s="404"/>
      <c r="Z4644" s="404"/>
      <c r="AA4644" s="404"/>
      <c r="AB4644" s="404"/>
      <c r="AC4644" s="404"/>
      <c r="AD4644" s="404"/>
      <c r="AE4644" s="404"/>
      <c r="AF4644" s="404"/>
      <c r="AG4644" s="404"/>
      <c r="AH4644" s="404"/>
      <c r="AI4644" s="404"/>
      <c r="AJ4644" s="404"/>
      <c r="AK4644" s="404"/>
      <c r="AL4644" s="404"/>
      <c r="AM4644" s="404"/>
      <c r="AN4644" s="404"/>
      <c r="AO4644" s="404"/>
      <c r="AP4644" s="404"/>
      <c r="AQ4644" s="404"/>
      <c r="AR4644" s="404"/>
      <c r="AS4644" s="404"/>
      <c r="AT4644" s="404"/>
      <c r="AU4644" s="404"/>
      <c r="AV4644" s="404"/>
      <c r="AW4644" s="404"/>
      <c r="AX4644" s="404"/>
      <c r="AY4644" s="404"/>
      <c r="AZ4644" s="404"/>
      <c r="BA4644" s="404"/>
      <c r="BB4644" s="404"/>
      <c r="BC4644" s="404"/>
      <c r="BD4644" s="404"/>
      <c r="BE4644" s="404"/>
      <c r="BF4644" s="404"/>
      <c r="BG4644" s="404"/>
      <c r="BH4644" s="404"/>
      <c r="BI4644" s="404"/>
      <c r="BJ4644" s="404"/>
      <c r="BK4644" s="404"/>
      <c r="BL4644" s="404"/>
    </row>
    <row r="4645" spans="1:64" ht="25">
      <c r="A4645" s="426"/>
      <c r="B4645" s="454"/>
      <c r="C4645" s="417" t="s">
        <v>1653</v>
      </c>
      <c r="D4645" s="408">
        <v>237.6</v>
      </c>
      <c r="E4645" s="408" t="s">
        <v>666</v>
      </c>
      <c r="F4645" s="671">
        <f>959.32*0.66</f>
        <v>633.15120000000002</v>
      </c>
      <c r="G4645" s="430">
        <v>1</v>
      </c>
      <c r="H4645" s="408" t="s">
        <v>666</v>
      </c>
      <c r="I4645" s="408">
        <f t="shared" ref="I4645:I4646" si="1007">IF(G4645="",D4645*F4645,(D4645*F4645/G4645))</f>
        <v>150436.72511999999</v>
      </c>
      <c r="J4645" s="400"/>
      <c r="K4645" s="401"/>
      <c r="L4645" s="401"/>
      <c r="M4645" s="404"/>
      <c r="N4645" s="404"/>
      <c r="O4645" s="404"/>
      <c r="P4645" s="404"/>
      <c r="Q4645" s="404"/>
      <c r="R4645" s="404"/>
      <c r="S4645" s="404"/>
      <c r="T4645" s="404"/>
      <c r="U4645" s="404"/>
      <c r="V4645" s="404"/>
      <c r="W4645" s="404"/>
      <c r="X4645" s="404"/>
      <c r="Y4645" s="404"/>
      <c r="Z4645" s="404"/>
      <c r="AA4645" s="404"/>
      <c r="AB4645" s="404"/>
      <c r="AC4645" s="404"/>
      <c r="AD4645" s="404"/>
      <c r="AE4645" s="404"/>
      <c r="AF4645" s="404"/>
      <c r="AG4645" s="404"/>
      <c r="AH4645" s="404"/>
      <c r="AI4645" s="404"/>
      <c r="AJ4645" s="404"/>
      <c r="AK4645" s="404"/>
      <c r="AL4645" s="404"/>
      <c r="AM4645" s="404"/>
      <c r="AN4645" s="404"/>
      <c r="AO4645" s="404"/>
      <c r="AP4645" s="404"/>
      <c r="AQ4645" s="404"/>
      <c r="AR4645" s="404"/>
      <c r="AS4645" s="404"/>
      <c r="AT4645" s="404"/>
      <c r="AU4645" s="404"/>
      <c r="AV4645" s="404"/>
      <c r="AW4645" s="404"/>
      <c r="AX4645" s="404"/>
      <c r="AY4645" s="404"/>
      <c r="AZ4645" s="404"/>
      <c r="BA4645" s="404"/>
      <c r="BB4645" s="404"/>
      <c r="BC4645" s="404"/>
      <c r="BD4645" s="404"/>
      <c r="BE4645" s="404"/>
      <c r="BF4645" s="404"/>
      <c r="BG4645" s="404"/>
      <c r="BH4645" s="404"/>
      <c r="BI4645" s="404"/>
      <c r="BJ4645" s="404"/>
      <c r="BK4645" s="404"/>
      <c r="BL4645" s="404"/>
    </row>
    <row r="4646" spans="1:64" ht="37.5">
      <c r="A4646" s="426"/>
      <c r="B4646" s="454"/>
      <c r="C4646" s="417" t="s">
        <v>1654</v>
      </c>
      <c r="D4646" s="408">
        <v>122.4</v>
      </c>
      <c r="E4646" s="408" t="s">
        <v>666</v>
      </c>
      <c r="F4646" s="671">
        <f>[161]LEAD!N37*0.34</f>
        <v>368.63140000000004</v>
      </c>
      <c r="G4646" s="430">
        <v>1</v>
      </c>
      <c r="H4646" s="408" t="s">
        <v>666</v>
      </c>
      <c r="I4646" s="408">
        <f t="shared" si="1007"/>
        <v>45120.483360000006</v>
      </c>
      <c r="J4646" s="400"/>
      <c r="K4646" s="401"/>
      <c r="L4646" s="401"/>
      <c r="M4646" s="404"/>
      <c r="N4646" s="404"/>
      <c r="O4646" s="404"/>
      <c r="P4646" s="404"/>
      <c r="Q4646" s="404"/>
      <c r="R4646" s="404"/>
      <c r="S4646" s="404"/>
      <c r="T4646" s="404"/>
      <c r="U4646" s="404"/>
      <c r="V4646" s="404"/>
      <c r="W4646" s="404"/>
      <c r="X4646" s="404"/>
      <c r="Y4646" s="404"/>
      <c r="Z4646" s="404"/>
      <c r="AA4646" s="404"/>
      <c r="AB4646" s="404"/>
      <c r="AC4646" s="404"/>
      <c r="AD4646" s="404"/>
      <c r="AE4646" s="404"/>
      <c r="AF4646" s="404"/>
      <c r="AG4646" s="404"/>
      <c r="AH4646" s="404"/>
      <c r="AI4646" s="404"/>
      <c r="AJ4646" s="404"/>
      <c r="AK4646" s="404"/>
      <c r="AL4646" s="404"/>
      <c r="AM4646" s="404"/>
      <c r="AN4646" s="404"/>
      <c r="AO4646" s="404"/>
      <c r="AP4646" s="404"/>
      <c r="AQ4646" s="404"/>
      <c r="AR4646" s="404"/>
      <c r="AS4646" s="404"/>
      <c r="AT4646" s="404"/>
      <c r="AU4646" s="404"/>
      <c r="AV4646" s="404"/>
      <c r="AW4646" s="404"/>
      <c r="AX4646" s="404"/>
      <c r="AY4646" s="404"/>
      <c r="AZ4646" s="404"/>
      <c r="BA4646" s="404"/>
      <c r="BB4646" s="404"/>
      <c r="BC4646" s="404"/>
      <c r="BD4646" s="404"/>
      <c r="BE4646" s="404"/>
      <c r="BF4646" s="404"/>
      <c r="BG4646" s="404"/>
      <c r="BH4646" s="404"/>
      <c r="BI4646" s="404"/>
      <c r="BJ4646" s="404"/>
      <c r="BK4646" s="404"/>
      <c r="BL4646" s="404"/>
    </row>
    <row r="4647" spans="1:64">
      <c r="A4647" s="426"/>
      <c r="B4647" s="454"/>
      <c r="C4647" s="417"/>
      <c r="D4647" s="408"/>
      <c r="E4647" s="408"/>
      <c r="F4647" s="408"/>
      <c r="G4647" s="430"/>
      <c r="H4647" s="408"/>
      <c r="I4647" s="408">
        <f>SUM(I4634:I4646)</f>
        <v>240304.60848</v>
      </c>
      <c r="J4647" s="400"/>
      <c r="K4647" s="401"/>
      <c r="L4647" s="401"/>
      <c r="M4647" s="404"/>
      <c r="N4647" s="404"/>
      <c r="O4647" s="404"/>
      <c r="P4647" s="404"/>
      <c r="Q4647" s="404"/>
      <c r="R4647" s="404"/>
      <c r="S4647" s="404"/>
      <c r="T4647" s="404"/>
      <c r="U4647" s="404"/>
      <c r="V4647" s="404"/>
      <c r="W4647" s="404"/>
      <c r="X4647" s="404"/>
      <c r="Y4647" s="404"/>
      <c r="Z4647" s="404"/>
      <c r="AA4647" s="404"/>
      <c r="AB4647" s="404"/>
      <c r="AC4647" s="404"/>
      <c r="AD4647" s="404"/>
      <c r="AE4647" s="404"/>
      <c r="AF4647" s="404"/>
      <c r="AG4647" s="404"/>
      <c r="AH4647" s="404"/>
      <c r="AI4647" s="404"/>
      <c r="AJ4647" s="404"/>
      <c r="AK4647" s="404"/>
      <c r="AL4647" s="404"/>
      <c r="AM4647" s="404"/>
      <c r="AN4647" s="404"/>
      <c r="AO4647" s="404"/>
      <c r="AP4647" s="404"/>
      <c r="AQ4647" s="404"/>
      <c r="AR4647" s="404"/>
      <c r="AS4647" s="404"/>
      <c r="AT4647" s="404"/>
      <c r="AU4647" s="404"/>
      <c r="AV4647" s="404"/>
      <c r="AW4647" s="404"/>
      <c r="AX4647" s="404"/>
      <c r="AY4647" s="404"/>
      <c r="AZ4647" s="404"/>
      <c r="BA4647" s="404"/>
      <c r="BB4647" s="404"/>
      <c r="BC4647" s="404"/>
      <c r="BD4647" s="404"/>
      <c r="BE4647" s="404"/>
      <c r="BF4647" s="404"/>
      <c r="BG4647" s="404"/>
      <c r="BH4647" s="404"/>
      <c r="BI4647" s="404"/>
      <c r="BJ4647" s="404"/>
      <c r="BK4647" s="404"/>
      <c r="BL4647" s="404"/>
    </row>
    <row r="4648" spans="1:64">
      <c r="A4648" s="426"/>
      <c r="B4648" s="406"/>
      <c r="C4648" s="435" t="s">
        <v>1655</v>
      </c>
      <c r="D4648" s="406"/>
      <c r="E4648" s="406"/>
      <c r="F4648" s="406"/>
      <c r="G4648" s="406"/>
      <c r="H4648" s="432"/>
      <c r="I4648" s="432">
        <f>I4647/300</f>
        <v>801.01536160000001</v>
      </c>
      <c r="J4648" s="400"/>
      <c r="K4648" s="401"/>
      <c r="L4648" s="401"/>
      <c r="M4648" s="404"/>
      <c r="N4648" s="404"/>
      <c r="O4648" s="404"/>
      <c r="P4648" s="404"/>
      <c r="Q4648" s="404"/>
      <c r="R4648" s="404"/>
      <c r="S4648" s="404"/>
      <c r="T4648" s="404"/>
      <c r="U4648" s="404"/>
      <c r="V4648" s="404"/>
      <c r="W4648" s="404"/>
      <c r="X4648" s="404"/>
      <c r="Y4648" s="404"/>
      <c r="Z4648" s="404"/>
      <c r="AA4648" s="404"/>
      <c r="AB4648" s="404"/>
      <c r="AC4648" s="404"/>
      <c r="AD4648" s="404"/>
      <c r="AE4648" s="404"/>
      <c r="AF4648" s="404"/>
      <c r="AG4648" s="404"/>
      <c r="AH4648" s="404"/>
      <c r="AI4648" s="404"/>
      <c r="AJ4648" s="404"/>
      <c r="AK4648" s="404"/>
      <c r="AL4648" s="404"/>
      <c r="AM4648" s="404"/>
      <c r="AN4648" s="404"/>
      <c r="AO4648" s="404"/>
      <c r="AP4648" s="404"/>
      <c r="AQ4648" s="404"/>
      <c r="AR4648" s="404"/>
      <c r="AS4648" s="404"/>
      <c r="AT4648" s="404"/>
      <c r="AU4648" s="404"/>
      <c r="AV4648" s="404"/>
      <c r="AW4648" s="404"/>
      <c r="AX4648" s="404"/>
      <c r="AY4648" s="404"/>
      <c r="AZ4648" s="404"/>
      <c r="BA4648" s="404"/>
      <c r="BB4648" s="404"/>
      <c r="BC4648" s="404"/>
      <c r="BD4648" s="404"/>
      <c r="BE4648" s="404"/>
      <c r="BF4648" s="404"/>
      <c r="BG4648" s="404"/>
      <c r="BH4648" s="404"/>
      <c r="BI4648" s="404"/>
      <c r="BJ4648" s="404"/>
      <c r="BK4648" s="404"/>
      <c r="BL4648" s="404"/>
    </row>
    <row r="4649" spans="1:64" ht="26">
      <c r="A4649" s="426"/>
      <c r="B4649" s="422" t="s">
        <v>733</v>
      </c>
      <c r="C4649" s="417" t="str">
        <f>[161]Input!$C$48</f>
        <v>Overheads &amp; Contractors Profit @ 13.615%</v>
      </c>
      <c r="D4649" s="494">
        <f>[161]Input!$D$48</f>
        <v>0.13614999999999999</v>
      </c>
      <c r="E4649" s="406"/>
      <c r="F4649" s="432">
        <f>I4648</f>
        <v>801.01536160000001</v>
      </c>
      <c r="G4649" s="407"/>
      <c r="H4649" s="406"/>
      <c r="I4649" s="408">
        <f>IF(G4649="",D4649*F4649,(D4649*F4649/G4649))</f>
        <v>109.05824148184</v>
      </c>
      <c r="J4649" s="400"/>
      <c r="K4649" s="401"/>
      <c r="L4649" s="401"/>
      <c r="M4649" s="404"/>
      <c r="N4649" s="404"/>
      <c r="O4649" s="404"/>
      <c r="P4649" s="404"/>
      <c r="Q4649" s="404"/>
      <c r="R4649" s="404"/>
      <c r="S4649" s="404"/>
      <c r="T4649" s="404"/>
      <c r="U4649" s="404"/>
      <c r="V4649" s="404"/>
      <c r="W4649" s="404"/>
      <c r="X4649" s="404"/>
      <c r="Y4649" s="404"/>
      <c r="Z4649" s="404"/>
      <c r="AA4649" s="404"/>
      <c r="AB4649" s="404"/>
      <c r="AC4649" s="404"/>
      <c r="AD4649" s="404"/>
      <c r="AE4649" s="404"/>
      <c r="AF4649" s="404"/>
      <c r="AG4649" s="404"/>
      <c r="AH4649" s="404"/>
      <c r="AI4649" s="404"/>
      <c r="AJ4649" s="404"/>
      <c r="AK4649" s="404"/>
      <c r="AL4649" s="404"/>
      <c r="AM4649" s="404"/>
      <c r="AN4649" s="404"/>
      <c r="AO4649" s="404"/>
      <c r="AP4649" s="404"/>
      <c r="AQ4649" s="404"/>
      <c r="AR4649" s="404"/>
      <c r="AS4649" s="404"/>
      <c r="AT4649" s="404"/>
      <c r="AU4649" s="404"/>
      <c r="AV4649" s="404"/>
      <c r="AW4649" s="404"/>
      <c r="AX4649" s="404"/>
      <c r="AY4649" s="404"/>
      <c r="AZ4649" s="404"/>
      <c r="BA4649" s="404"/>
      <c r="BB4649" s="404"/>
      <c r="BC4649" s="404"/>
      <c r="BD4649" s="404"/>
      <c r="BE4649" s="404"/>
      <c r="BF4649" s="404"/>
      <c r="BG4649" s="404"/>
      <c r="BH4649" s="404"/>
      <c r="BI4649" s="404"/>
      <c r="BJ4649" s="404"/>
      <c r="BK4649" s="404"/>
      <c r="BL4649" s="404"/>
    </row>
    <row r="4650" spans="1:64" ht="13">
      <c r="A4650" s="426"/>
      <c r="B4650" s="407"/>
      <c r="C4650" s="445"/>
      <c r="D4650" s="432"/>
      <c r="E4650" s="406"/>
      <c r="F4650" s="432"/>
      <c r="G4650" s="432"/>
      <c r="H4650" s="432" t="s">
        <v>1656</v>
      </c>
      <c r="I4650" s="432">
        <f>SUM(I4648:I4649)</f>
        <v>910.07360308184002</v>
      </c>
      <c r="J4650" s="400"/>
      <c r="K4650" s="401"/>
      <c r="L4650" s="401"/>
      <c r="M4650" s="404"/>
      <c r="N4650" s="404"/>
      <c r="O4650" s="404"/>
      <c r="P4650" s="404"/>
      <c r="Q4650" s="404"/>
      <c r="R4650" s="404"/>
      <c r="S4650" s="404"/>
      <c r="T4650" s="404"/>
      <c r="U4650" s="404"/>
      <c r="V4650" s="404"/>
      <c r="W4650" s="404"/>
      <c r="X4650" s="404"/>
      <c r="Y4650" s="404"/>
      <c r="Z4650" s="404"/>
      <c r="AA4650" s="404"/>
      <c r="AB4650" s="404"/>
      <c r="AC4650" s="404"/>
      <c r="AD4650" s="404"/>
      <c r="AE4650" s="404"/>
      <c r="AF4650" s="404"/>
      <c r="AG4650" s="404"/>
      <c r="AH4650" s="404"/>
      <c r="AI4650" s="404"/>
      <c r="AJ4650" s="404"/>
      <c r="AK4650" s="404"/>
      <c r="AL4650" s="404"/>
      <c r="AM4650" s="404"/>
      <c r="AN4650" s="404"/>
      <c r="AO4650" s="404"/>
      <c r="AP4650" s="404"/>
      <c r="AQ4650" s="404"/>
      <c r="AR4650" s="404"/>
      <c r="AS4650" s="404"/>
      <c r="AT4650" s="404"/>
      <c r="AU4650" s="404"/>
      <c r="AV4650" s="404"/>
      <c r="AW4650" s="404"/>
      <c r="AX4650" s="404"/>
      <c r="AY4650" s="404"/>
      <c r="AZ4650" s="404"/>
      <c r="BA4650" s="404"/>
      <c r="BB4650" s="404"/>
      <c r="BC4650" s="404"/>
      <c r="BD4650" s="404"/>
      <c r="BE4650" s="404"/>
      <c r="BF4650" s="404"/>
      <c r="BG4650" s="404"/>
      <c r="BH4650" s="404"/>
      <c r="BI4650" s="404"/>
      <c r="BJ4650" s="404"/>
      <c r="BK4650" s="404"/>
      <c r="BL4650" s="404"/>
    </row>
    <row r="4651" spans="1:64" ht="13">
      <c r="A4651" s="426"/>
      <c r="B4651" s="407"/>
      <c r="C4651" s="451" t="s">
        <v>1657</v>
      </c>
      <c r="D4651" s="407"/>
      <c r="E4651" s="407"/>
      <c r="F4651" s="407"/>
      <c r="G4651" s="407"/>
      <c r="H4651" s="407" t="s">
        <v>774</v>
      </c>
      <c r="I4651" s="422">
        <f>ROUND(I4650,0)</f>
        <v>910</v>
      </c>
      <c r="J4651" s="400"/>
      <c r="K4651" s="401"/>
      <c r="L4651" s="401"/>
      <c r="M4651" s="404"/>
      <c r="N4651" s="404"/>
      <c r="O4651" s="404"/>
      <c r="P4651" s="404"/>
      <c r="Q4651" s="404"/>
      <c r="R4651" s="404"/>
      <c r="S4651" s="404"/>
      <c r="T4651" s="404"/>
      <c r="U4651" s="404"/>
      <c r="V4651" s="404"/>
      <c r="W4651" s="404"/>
      <c r="X4651" s="404"/>
      <c r="Y4651" s="404"/>
      <c r="Z4651" s="404"/>
      <c r="AA4651" s="404"/>
      <c r="AB4651" s="404"/>
      <c r="AC4651" s="404"/>
      <c r="AD4651" s="404"/>
      <c r="AE4651" s="404"/>
      <c r="AF4651" s="404"/>
      <c r="AG4651" s="404"/>
      <c r="AH4651" s="404"/>
      <c r="AI4651" s="404"/>
      <c r="AJ4651" s="404"/>
      <c r="AK4651" s="404"/>
      <c r="AL4651" s="404"/>
      <c r="AM4651" s="404"/>
      <c r="AN4651" s="404"/>
      <c r="AO4651" s="404"/>
      <c r="AP4651" s="404"/>
      <c r="AQ4651" s="404"/>
      <c r="AR4651" s="404"/>
      <c r="AS4651" s="404"/>
      <c r="AT4651" s="404"/>
      <c r="AU4651" s="404"/>
      <c r="AV4651" s="404"/>
      <c r="AW4651" s="404"/>
      <c r="AX4651" s="404"/>
      <c r="AY4651" s="404"/>
      <c r="AZ4651" s="404"/>
      <c r="BA4651" s="404"/>
      <c r="BB4651" s="404"/>
      <c r="BC4651" s="404"/>
      <c r="BD4651" s="404"/>
      <c r="BE4651" s="404"/>
      <c r="BF4651" s="404"/>
      <c r="BG4651" s="404"/>
      <c r="BH4651" s="404"/>
      <c r="BI4651" s="404"/>
      <c r="BJ4651" s="404"/>
      <c r="BK4651" s="404"/>
      <c r="BL4651" s="404"/>
    </row>
    <row r="4652" spans="1:64" ht="70.150000000000006" customHeight="1">
      <c r="A4652" s="430"/>
      <c r="B4652" s="454"/>
      <c r="C4652" s="1276" t="s">
        <v>1642</v>
      </c>
      <c r="D4652" s="1276"/>
      <c r="E4652" s="1276"/>
      <c r="F4652" s="1276"/>
      <c r="G4652" s="1276"/>
      <c r="H4652" s="1276"/>
      <c r="I4652" s="1276"/>
      <c r="J4652" s="400"/>
      <c r="K4652" s="401"/>
      <c r="L4652" s="401"/>
      <c r="M4652" s="404"/>
      <c r="N4652" s="404"/>
      <c r="O4652" s="404"/>
      <c r="P4652" s="404"/>
      <c r="Q4652" s="404"/>
      <c r="R4652" s="404"/>
      <c r="S4652" s="404"/>
      <c r="T4652" s="404"/>
      <c r="U4652" s="404"/>
      <c r="V4652" s="404"/>
      <c r="W4652" s="404"/>
      <c r="X4652" s="404"/>
      <c r="Y4652" s="404"/>
      <c r="Z4652" s="404"/>
      <c r="AA4652" s="404"/>
      <c r="AB4652" s="404"/>
      <c r="AC4652" s="404"/>
      <c r="AD4652" s="404"/>
      <c r="AE4652" s="404"/>
      <c r="AF4652" s="404"/>
      <c r="AG4652" s="404"/>
      <c r="AH4652" s="404"/>
      <c r="AI4652" s="404"/>
      <c r="AJ4652" s="404"/>
      <c r="AK4652" s="404"/>
      <c r="AL4652" s="404"/>
      <c r="AM4652" s="404"/>
      <c r="AN4652" s="404"/>
      <c r="AO4652" s="404"/>
      <c r="AP4652" s="404"/>
      <c r="AQ4652" s="404"/>
      <c r="AR4652" s="404"/>
      <c r="AS4652" s="404"/>
      <c r="AT4652" s="404"/>
      <c r="AU4652" s="404"/>
      <c r="AV4652" s="404"/>
      <c r="AW4652" s="404"/>
      <c r="AX4652" s="404"/>
      <c r="AY4652" s="404"/>
      <c r="AZ4652" s="404"/>
      <c r="BA4652" s="404"/>
      <c r="BB4652" s="404"/>
      <c r="BC4652" s="404"/>
      <c r="BD4652" s="404"/>
      <c r="BE4652" s="404"/>
      <c r="BF4652" s="404"/>
      <c r="BG4652" s="404"/>
      <c r="BH4652" s="404"/>
      <c r="BI4652" s="404"/>
      <c r="BJ4652" s="404"/>
      <c r="BK4652" s="404"/>
      <c r="BL4652" s="404"/>
    </row>
    <row r="4653" spans="1:64" ht="13">
      <c r="A4653" s="454"/>
      <c r="B4653" s="454"/>
      <c r="C4653" s="427" t="s">
        <v>1658</v>
      </c>
      <c r="D4653" s="426"/>
      <c r="E4653" s="426"/>
      <c r="F4653" s="408"/>
      <c r="G4653" s="430"/>
      <c r="H4653" s="456"/>
      <c r="I4653" s="408"/>
      <c r="J4653" s="400"/>
      <c r="K4653" s="401"/>
      <c r="L4653" s="401"/>
      <c r="M4653" s="404"/>
      <c r="N4653" s="404"/>
      <c r="O4653" s="404"/>
      <c r="P4653" s="404"/>
      <c r="Q4653" s="404"/>
      <c r="R4653" s="404"/>
      <c r="S4653" s="404"/>
      <c r="T4653" s="404"/>
      <c r="U4653" s="404"/>
      <c r="V4653" s="404"/>
      <c r="W4653" s="404"/>
      <c r="X4653" s="404"/>
      <c r="Y4653" s="404"/>
      <c r="Z4653" s="404"/>
      <c r="AA4653" s="404"/>
      <c r="AB4653" s="404"/>
      <c r="AC4653" s="404"/>
      <c r="AD4653" s="404"/>
      <c r="AE4653" s="404"/>
      <c r="AF4653" s="404"/>
      <c r="AG4653" s="404"/>
      <c r="AH4653" s="404"/>
      <c r="AI4653" s="404"/>
      <c r="AJ4653" s="404"/>
      <c r="AK4653" s="404"/>
      <c r="AL4653" s="404"/>
      <c r="AM4653" s="404"/>
      <c r="AN4653" s="404"/>
      <c r="AO4653" s="404"/>
      <c r="AP4653" s="404"/>
      <c r="AQ4653" s="404"/>
      <c r="AR4653" s="404"/>
      <c r="AS4653" s="404"/>
      <c r="AT4653" s="404"/>
      <c r="AU4653" s="404"/>
      <c r="AV4653" s="404"/>
      <c r="AW4653" s="404"/>
      <c r="AX4653" s="404"/>
      <c r="AY4653" s="404"/>
      <c r="AZ4653" s="404"/>
      <c r="BA4653" s="404"/>
      <c r="BB4653" s="404"/>
      <c r="BC4653" s="404"/>
      <c r="BD4653" s="404"/>
      <c r="BE4653" s="404"/>
      <c r="BF4653" s="404"/>
      <c r="BG4653" s="404"/>
      <c r="BH4653" s="404"/>
      <c r="BI4653" s="404"/>
      <c r="BJ4653" s="404"/>
      <c r="BK4653" s="404"/>
      <c r="BL4653" s="404"/>
    </row>
    <row r="4654" spans="1:64">
      <c r="A4654" s="454"/>
      <c r="B4654" s="454"/>
      <c r="C4654" s="445" t="s">
        <v>1659</v>
      </c>
      <c r="D4654" s="408"/>
      <c r="E4654" s="408"/>
      <c r="F4654" s="408"/>
      <c r="G4654" s="430"/>
      <c r="H4654" s="456" t="str">
        <f>IF(E4654="","",IF(E4654="No.","Each",IF(E4654="Nos.","Each",E4654)))</f>
        <v/>
      </c>
      <c r="I4654" s="408"/>
      <c r="J4654" s="400"/>
      <c r="K4654" s="401"/>
      <c r="L4654" s="401"/>
      <c r="M4654" s="404"/>
      <c r="N4654" s="404"/>
      <c r="O4654" s="404"/>
      <c r="P4654" s="404"/>
      <c r="Q4654" s="404"/>
      <c r="R4654" s="404"/>
      <c r="S4654" s="404"/>
      <c r="T4654" s="404"/>
      <c r="U4654" s="404"/>
      <c r="V4654" s="404"/>
      <c r="W4654" s="404"/>
      <c r="X4654" s="404"/>
      <c r="Y4654" s="404"/>
      <c r="Z4654" s="404"/>
      <c r="AA4654" s="404"/>
      <c r="AB4654" s="404"/>
      <c r="AC4654" s="404"/>
      <c r="AD4654" s="404"/>
      <c r="AE4654" s="404"/>
      <c r="AF4654" s="404"/>
      <c r="AG4654" s="404"/>
      <c r="AH4654" s="404"/>
      <c r="AI4654" s="404"/>
      <c r="AJ4654" s="404"/>
      <c r="AK4654" s="404"/>
      <c r="AL4654" s="404"/>
      <c r="AM4654" s="404"/>
      <c r="AN4654" s="404"/>
      <c r="AO4654" s="404"/>
      <c r="AP4654" s="404"/>
      <c r="AQ4654" s="404"/>
      <c r="AR4654" s="404"/>
      <c r="AS4654" s="404"/>
      <c r="AT4654" s="404"/>
      <c r="AU4654" s="404"/>
      <c r="AV4654" s="404"/>
      <c r="AW4654" s="404"/>
      <c r="AX4654" s="404"/>
      <c r="AY4654" s="404"/>
      <c r="AZ4654" s="404"/>
      <c r="BA4654" s="404"/>
      <c r="BB4654" s="404"/>
      <c r="BC4654" s="404"/>
      <c r="BD4654" s="404"/>
      <c r="BE4654" s="404"/>
      <c r="BF4654" s="404"/>
      <c r="BG4654" s="404"/>
      <c r="BH4654" s="404"/>
      <c r="BI4654" s="404"/>
      <c r="BJ4654" s="404"/>
      <c r="BK4654" s="404"/>
      <c r="BL4654" s="404"/>
    </row>
    <row r="4655" spans="1:64" ht="13">
      <c r="A4655" s="454"/>
      <c r="B4655" s="454"/>
      <c r="C4655" s="427" t="s">
        <v>1660</v>
      </c>
      <c r="D4655" s="457"/>
      <c r="E4655" s="415"/>
      <c r="F4655" s="408"/>
      <c r="G4655" s="410"/>
      <c r="H4655" s="426"/>
      <c r="I4655" s="408"/>
      <c r="J4655" s="400"/>
      <c r="K4655" s="401"/>
      <c r="L4655" s="401"/>
      <c r="M4655" s="404"/>
      <c r="N4655" s="404"/>
      <c r="O4655" s="404"/>
      <c r="P4655" s="404"/>
      <c r="Q4655" s="404"/>
      <c r="R4655" s="404"/>
      <c r="S4655" s="404"/>
      <c r="T4655" s="404"/>
      <c r="U4655" s="404"/>
      <c r="V4655" s="404"/>
      <c r="W4655" s="404"/>
      <c r="X4655" s="404"/>
      <c r="Y4655" s="404"/>
      <c r="Z4655" s="404"/>
      <c r="AA4655" s="404"/>
      <c r="AB4655" s="404"/>
      <c r="AC4655" s="404"/>
      <c r="AD4655" s="404"/>
      <c r="AE4655" s="404"/>
      <c r="AF4655" s="404"/>
      <c r="AG4655" s="404"/>
      <c r="AH4655" s="404"/>
      <c r="AI4655" s="404"/>
      <c r="AJ4655" s="404"/>
      <c r="AK4655" s="404"/>
      <c r="AL4655" s="404"/>
      <c r="AM4655" s="404"/>
      <c r="AN4655" s="404"/>
      <c r="AO4655" s="404"/>
      <c r="AP4655" s="404"/>
      <c r="AQ4655" s="404"/>
      <c r="AR4655" s="404"/>
      <c r="AS4655" s="404"/>
      <c r="AT4655" s="404"/>
      <c r="AU4655" s="404"/>
      <c r="AV4655" s="404"/>
      <c r="AW4655" s="404"/>
      <c r="AX4655" s="404"/>
      <c r="AY4655" s="404"/>
      <c r="AZ4655" s="404"/>
      <c r="BA4655" s="404"/>
      <c r="BB4655" s="404"/>
      <c r="BC4655" s="404"/>
      <c r="BD4655" s="404"/>
      <c r="BE4655" s="404"/>
      <c r="BF4655" s="404"/>
      <c r="BG4655" s="404"/>
      <c r="BH4655" s="404"/>
      <c r="BI4655" s="404"/>
      <c r="BJ4655" s="404"/>
      <c r="BK4655" s="404"/>
      <c r="BL4655" s="404"/>
    </row>
    <row r="4656" spans="1:64" ht="13">
      <c r="A4656" s="454"/>
      <c r="B4656" s="454"/>
      <c r="C4656" s="417" t="s">
        <v>1661</v>
      </c>
      <c r="D4656" s="408"/>
      <c r="E4656" s="408"/>
      <c r="F4656" s="408"/>
      <c r="G4656" s="430"/>
      <c r="H4656" s="414"/>
      <c r="I4656" s="414"/>
      <c r="J4656" s="400"/>
      <c r="K4656" s="401"/>
      <c r="L4656" s="401"/>
      <c r="M4656" s="404"/>
      <c r="N4656" s="404"/>
      <c r="O4656" s="404"/>
      <c r="P4656" s="404"/>
      <c r="Q4656" s="404"/>
      <c r="R4656" s="404"/>
      <c r="S4656" s="404"/>
      <c r="T4656" s="404"/>
      <c r="U4656" s="404"/>
      <c r="V4656" s="404"/>
      <c r="W4656" s="404"/>
      <c r="X4656" s="404"/>
      <c r="Y4656" s="404"/>
      <c r="Z4656" s="404"/>
      <c r="AA4656" s="404"/>
      <c r="AB4656" s="404"/>
      <c r="AC4656" s="404"/>
      <c r="AD4656" s="404"/>
      <c r="AE4656" s="404"/>
      <c r="AF4656" s="404"/>
      <c r="AG4656" s="404"/>
      <c r="AH4656" s="404"/>
      <c r="AI4656" s="404"/>
      <c r="AJ4656" s="404"/>
      <c r="AK4656" s="404"/>
      <c r="AL4656" s="404"/>
      <c r="AM4656" s="404"/>
      <c r="AN4656" s="404"/>
      <c r="AO4656" s="404"/>
      <c r="AP4656" s="404"/>
      <c r="AQ4656" s="404"/>
      <c r="AR4656" s="404"/>
      <c r="AS4656" s="404"/>
      <c r="AT4656" s="404"/>
      <c r="AU4656" s="404"/>
      <c r="AV4656" s="404"/>
      <c r="AW4656" s="404"/>
      <c r="AX4656" s="404"/>
      <c r="AY4656" s="404"/>
      <c r="AZ4656" s="404"/>
      <c r="BA4656" s="404"/>
      <c r="BB4656" s="404"/>
      <c r="BC4656" s="404"/>
      <c r="BD4656" s="404"/>
      <c r="BE4656" s="404"/>
      <c r="BF4656" s="404"/>
      <c r="BG4656" s="404"/>
      <c r="BH4656" s="404"/>
      <c r="BI4656" s="404"/>
      <c r="BJ4656" s="404"/>
      <c r="BK4656" s="404"/>
      <c r="BL4656" s="404"/>
    </row>
    <row r="4657" spans="1:64">
      <c r="A4657" s="454"/>
      <c r="B4657" s="454"/>
      <c r="C4657" s="445" t="s">
        <v>1603</v>
      </c>
      <c r="D4657" s="409">
        <v>0.48</v>
      </c>
      <c r="E4657" s="408" t="s">
        <v>375</v>
      </c>
      <c r="F4657" s="408">
        <f>'[161]Civil-SOR'!$G$302</f>
        <v>550</v>
      </c>
      <c r="G4657" s="430">
        <v>1</v>
      </c>
      <c r="H4657" s="408" t="s">
        <v>678</v>
      </c>
      <c r="I4657" s="408">
        <f t="shared" ref="I4657:I4660" si="1008">IF(G4657="",D4657*F4657,(D4657*F4657/G4657))</f>
        <v>264</v>
      </c>
      <c r="J4657" s="400"/>
      <c r="K4657" s="401"/>
      <c r="L4657" s="401"/>
      <c r="M4657" s="404"/>
      <c r="N4657" s="404"/>
      <c r="O4657" s="404"/>
      <c r="P4657" s="404"/>
      <c r="Q4657" s="404"/>
      <c r="R4657" s="404"/>
      <c r="S4657" s="404"/>
      <c r="T4657" s="404"/>
      <c r="U4657" s="404"/>
      <c r="V4657" s="404"/>
      <c r="W4657" s="404"/>
      <c r="X4657" s="404"/>
      <c r="Y4657" s="404"/>
      <c r="Z4657" s="404"/>
      <c r="AA4657" s="404"/>
      <c r="AB4657" s="404"/>
      <c r="AC4657" s="404"/>
      <c r="AD4657" s="404"/>
      <c r="AE4657" s="404"/>
      <c r="AF4657" s="404"/>
      <c r="AG4657" s="404"/>
      <c r="AH4657" s="404"/>
      <c r="AI4657" s="404"/>
      <c r="AJ4657" s="404"/>
      <c r="AK4657" s="404"/>
      <c r="AL4657" s="404"/>
      <c r="AM4657" s="404"/>
      <c r="AN4657" s="404"/>
      <c r="AO4657" s="404"/>
      <c r="AP4657" s="404"/>
      <c r="AQ4657" s="404"/>
      <c r="AR4657" s="404"/>
      <c r="AS4657" s="404"/>
      <c r="AT4657" s="404"/>
      <c r="AU4657" s="404"/>
      <c r="AV4657" s="404"/>
      <c r="AW4657" s="404"/>
      <c r="AX4657" s="404"/>
      <c r="AY4657" s="404"/>
      <c r="AZ4657" s="404"/>
      <c r="BA4657" s="404"/>
      <c r="BB4657" s="404"/>
      <c r="BC4657" s="404"/>
      <c r="BD4657" s="404"/>
      <c r="BE4657" s="404"/>
      <c r="BF4657" s="404"/>
      <c r="BG4657" s="404"/>
      <c r="BH4657" s="404"/>
      <c r="BI4657" s="404"/>
      <c r="BJ4657" s="404"/>
      <c r="BK4657" s="404"/>
      <c r="BL4657" s="404"/>
    </row>
    <row r="4658" spans="1:64">
      <c r="A4658" s="454"/>
      <c r="B4658" s="454"/>
      <c r="C4658" s="445" t="s">
        <v>1644</v>
      </c>
      <c r="D4658" s="409">
        <v>2</v>
      </c>
      <c r="E4658" s="408" t="s">
        <v>375</v>
      </c>
      <c r="F4658" s="408">
        <f>'[161]Civil-SOR'!$G$307</f>
        <v>520</v>
      </c>
      <c r="G4658" s="430">
        <v>1</v>
      </c>
      <c r="H4658" s="408" t="s">
        <v>678</v>
      </c>
      <c r="I4658" s="408">
        <f t="shared" si="1008"/>
        <v>1040</v>
      </c>
      <c r="J4658" s="400"/>
      <c r="K4658" s="401"/>
      <c r="L4658" s="401"/>
      <c r="M4658" s="404"/>
      <c r="N4658" s="404"/>
      <c r="O4658" s="404"/>
      <c r="P4658" s="404"/>
      <c r="Q4658" s="404"/>
      <c r="R4658" s="404"/>
      <c r="S4658" s="404"/>
      <c r="T4658" s="404"/>
      <c r="U4658" s="404"/>
      <c r="V4658" s="404"/>
      <c r="W4658" s="404"/>
      <c r="X4658" s="404"/>
      <c r="Y4658" s="404"/>
      <c r="Z4658" s="404"/>
      <c r="AA4658" s="404"/>
      <c r="AB4658" s="404"/>
      <c r="AC4658" s="404"/>
      <c r="AD4658" s="404"/>
      <c r="AE4658" s="404"/>
      <c r="AF4658" s="404"/>
      <c r="AG4658" s="404"/>
      <c r="AH4658" s="404"/>
      <c r="AI4658" s="404"/>
      <c r="AJ4658" s="404"/>
      <c r="AK4658" s="404"/>
      <c r="AL4658" s="404"/>
      <c r="AM4658" s="404"/>
      <c r="AN4658" s="404"/>
      <c r="AO4658" s="404"/>
      <c r="AP4658" s="404"/>
      <c r="AQ4658" s="404"/>
      <c r="AR4658" s="404"/>
      <c r="AS4658" s="404"/>
      <c r="AT4658" s="404"/>
      <c r="AU4658" s="404"/>
      <c r="AV4658" s="404"/>
      <c r="AW4658" s="404"/>
      <c r="AX4658" s="404"/>
      <c r="AY4658" s="404"/>
      <c r="AZ4658" s="404"/>
      <c r="BA4658" s="404"/>
      <c r="BB4658" s="404"/>
      <c r="BC4658" s="404"/>
      <c r="BD4658" s="404"/>
      <c r="BE4658" s="404"/>
      <c r="BF4658" s="404"/>
      <c r="BG4658" s="404"/>
      <c r="BH4658" s="404"/>
      <c r="BI4658" s="404"/>
      <c r="BJ4658" s="404"/>
      <c r="BK4658" s="404"/>
      <c r="BL4658" s="404"/>
    </row>
    <row r="4659" spans="1:64">
      <c r="A4659" s="454"/>
      <c r="B4659" s="454"/>
      <c r="C4659" s="445" t="s">
        <v>1662</v>
      </c>
      <c r="D4659" s="409">
        <v>10</v>
      </c>
      <c r="E4659" s="408" t="s">
        <v>375</v>
      </c>
      <c r="F4659" s="408">
        <f>'[161]Civil-SOR'!$G$307</f>
        <v>520</v>
      </c>
      <c r="G4659" s="430">
        <v>1</v>
      </c>
      <c r="H4659" s="408" t="s">
        <v>678</v>
      </c>
      <c r="I4659" s="408">
        <f t="shared" si="1008"/>
        <v>5200</v>
      </c>
      <c r="J4659" s="400"/>
      <c r="K4659" s="401"/>
      <c r="L4659" s="401"/>
      <c r="M4659" s="404"/>
      <c r="N4659" s="404"/>
      <c r="O4659" s="404"/>
      <c r="P4659" s="404"/>
      <c r="Q4659" s="404"/>
      <c r="R4659" s="404"/>
      <c r="S4659" s="404"/>
      <c r="T4659" s="404"/>
      <c r="U4659" s="404"/>
      <c r="V4659" s="404"/>
      <c r="W4659" s="404"/>
      <c r="X4659" s="404"/>
      <c r="Y4659" s="404"/>
      <c r="Z4659" s="404"/>
      <c r="AA4659" s="404"/>
      <c r="AB4659" s="404"/>
      <c r="AC4659" s="404"/>
      <c r="AD4659" s="404"/>
      <c r="AE4659" s="404"/>
      <c r="AF4659" s="404"/>
      <c r="AG4659" s="404"/>
      <c r="AH4659" s="404"/>
      <c r="AI4659" s="404"/>
      <c r="AJ4659" s="404"/>
      <c r="AK4659" s="404"/>
      <c r="AL4659" s="404"/>
      <c r="AM4659" s="404"/>
      <c r="AN4659" s="404"/>
      <c r="AO4659" s="404"/>
      <c r="AP4659" s="404"/>
      <c r="AQ4659" s="404"/>
      <c r="AR4659" s="404"/>
      <c r="AS4659" s="404"/>
      <c r="AT4659" s="404"/>
      <c r="AU4659" s="404"/>
      <c r="AV4659" s="404"/>
      <c r="AW4659" s="404"/>
      <c r="AX4659" s="404"/>
      <c r="AY4659" s="404"/>
      <c r="AZ4659" s="404"/>
      <c r="BA4659" s="404"/>
      <c r="BB4659" s="404"/>
      <c r="BC4659" s="404"/>
      <c r="BD4659" s="404"/>
      <c r="BE4659" s="404"/>
      <c r="BF4659" s="404"/>
      <c r="BG4659" s="404"/>
      <c r="BH4659" s="404"/>
      <c r="BI4659" s="404"/>
      <c r="BJ4659" s="404"/>
      <c r="BK4659" s="404"/>
      <c r="BL4659" s="404"/>
    </row>
    <row r="4660" spans="1:64">
      <c r="A4660" s="454"/>
      <c r="B4660" s="454"/>
      <c r="C4660" s="417" t="str">
        <f>[161]Input!$C$47</f>
        <v>Add for MA @ 40%</v>
      </c>
      <c r="D4660" s="746">
        <f>[161]Input!$D$47</f>
        <v>0.4</v>
      </c>
      <c r="E4660" s="408"/>
      <c r="F4660" s="408">
        <f>SUM(I4657:I4659)</f>
        <v>6504</v>
      </c>
      <c r="G4660" s="430"/>
      <c r="H4660" s="408"/>
      <c r="I4660" s="408">
        <f t="shared" si="1008"/>
        <v>2601.6000000000004</v>
      </c>
      <c r="J4660" s="400"/>
      <c r="K4660" s="401"/>
      <c r="L4660" s="401"/>
      <c r="M4660" s="404"/>
      <c r="N4660" s="404"/>
      <c r="O4660" s="404"/>
      <c r="P4660" s="404"/>
      <c r="Q4660" s="404"/>
      <c r="R4660" s="404"/>
      <c r="S4660" s="404"/>
      <c r="T4660" s="404"/>
      <c r="U4660" s="404"/>
      <c r="V4660" s="404"/>
      <c r="W4660" s="404"/>
      <c r="X4660" s="404"/>
      <c r="Y4660" s="404"/>
      <c r="Z4660" s="404"/>
      <c r="AA4660" s="404"/>
      <c r="AB4660" s="404"/>
      <c r="AC4660" s="404"/>
      <c r="AD4660" s="404"/>
      <c r="AE4660" s="404"/>
      <c r="AF4660" s="404"/>
      <c r="AG4660" s="404"/>
      <c r="AH4660" s="404"/>
      <c r="AI4660" s="404"/>
      <c r="AJ4660" s="404"/>
      <c r="AK4660" s="404"/>
      <c r="AL4660" s="404"/>
      <c r="AM4660" s="404"/>
      <c r="AN4660" s="404"/>
      <c r="AO4660" s="404"/>
      <c r="AP4660" s="404"/>
      <c r="AQ4660" s="404"/>
      <c r="AR4660" s="404"/>
      <c r="AS4660" s="404"/>
      <c r="AT4660" s="404"/>
      <c r="AU4660" s="404"/>
      <c r="AV4660" s="404"/>
      <c r="AW4660" s="404"/>
      <c r="AX4660" s="404"/>
      <c r="AY4660" s="404"/>
      <c r="AZ4660" s="404"/>
      <c r="BA4660" s="404"/>
      <c r="BB4660" s="404"/>
      <c r="BC4660" s="404"/>
      <c r="BD4660" s="404"/>
      <c r="BE4660" s="404"/>
      <c r="BF4660" s="404"/>
      <c r="BG4660" s="404"/>
      <c r="BH4660" s="404"/>
      <c r="BI4660" s="404"/>
      <c r="BJ4660" s="404"/>
      <c r="BK4660" s="404"/>
      <c r="BL4660" s="404"/>
    </row>
    <row r="4661" spans="1:64" ht="13">
      <c r="A4661" s="454"/>
      <c r="B4661" s="454"/>
      <c r="C4661" s="417"/>
      <c r="D4661" s="408"/>
      <c r="E4661" s="408"/>
      <c r="F4661" s="408"/>
      <c r="G4661" s="416" t="s">
        <v>1656</v>
      </c>
      <c r="H4661" s="414"/>
      <c r="I4661" s="414">
        <f>SUM(I4657:I4660)</f>
        <v>9105.6</v>
      </c>
      <c r="J4661" s="400"/>
      <c r="K4661" s="401"/>
      <c r="L4661" s="401"/>
      <c r="M4661" s="404"/>
      <c r="N4661" s="404"/>
      <c r="O4661" s="404"/>
      <c r="P4661" s="404"/>
      <c r="Q4661" s="404"/>
      <c r="R4661" s="404"/>
      <c r="S4661" s="404"/>
      <c r="T4661" s="404"/>
      <c r="U4661" s="404"/>
      <c r="V4661" s="404"/>
      <c r="W4661" s="404"/>
      <c r="X4661" s="404"/>
      <c r="Y4661" s="404"/>
      <c r="Z4661" s="404"/>
      <c r="AA4661" s="404"/>
      <c r="AB4661" s="404"/>
      <c r="AC4661" s="404"/>
      <c r="AD4661" s="404"/>
      <c r="AE4661" s="404"/>
      <c r="AF4661" s="404"/>
      <c r="AG4661" s="404"/>
      <c r="AH4661" s="404"/>
      <c r="AI4661" s="404"/>
      <c r="AJ4661" s="404"/>
      <c r="AK4661" s="404"/>
      <c r="AL4661" s="404"/>
      <c r="AM4661" s="404"/>
      <c r="AN4661" s="404"/>
      <c r="AO4661" s="404"/>
      <c r="AP4661" s="404"/>
      <c r="AQ4661" s="404"/>
      <c r="AR4661" s="404"/>
      <c r="AS4661" s="404"/>
      <c r="AT4661" s="404"/>
      <c r="AU4661" s="404"/>
      <c r="AV4661" s="404"/>
      <c r="AW4661" s="404"/>
      <c r="AX4661" s="404"/>
      <c r="AY4661" s="404"/>
      <c r="AZ4661" s="404"/>
      <c r="BA4661" s="404"/>
      <c r="BB4661" s="404"/>
      <c r="BC4661" s="404"/>
      <c r="BD4661" s="404"/>
      <c r="BE4661" s="404"/>
      <c r="BF4661" s="404"/>
      <c r="BG4661" s="404"/>
      <c r="BH4661" s="404"/>
      <c r="BI4661" s="404"/>
      <c r="BJ4661" s="404"/>
      <c r="BK4661" s="404"/>
      <c r="BL4661" s="404"/>
    </row>
    <row r="4662" spans="1:64" ht="13">
      <c r="A4662" s="454"/>
      <c r="B4662" s="454"/>
      <c r="C4662" s="427" t="s">
        <v>1663</v>
      </c>
      <c r="D4662" s="408"/>
      <c r="E4662" s="408"/>
      <c r="F4662" s="408"/>
      <c r="G4662" s="430"/>
      <c r="H4662" s="408"/>
      <c r="I4662" s="408"/>
      <c r="J4662" s="400"/>
      <c r="K4662" s="401"/>
      <c r="L4662" s="401"/>
      <c r="M4662" s="404"/>
      <c r="N4662" s="404"/>
      <c r="O4662" s="404"/>
      <c r="P4662" s="404"/>
      <c r="Q4662" s="404"/>
      <c r="R4662" s="404"/>
      <c r="S4662" s="404"/>
      <c r="T4662" s="404"/>
      <c r="U4662" s="404"/>
      <c r="V4662" s="404"/>
      <c r="W4662" s="404"/>
      <c r="X4662" s="404"/>
      <c r="Y4662" s="404"/>
      <c r="Z4662" s="404"/>
      <c r="AA4662" s="404"/>
      <c r="AB4662" s="404"/>
      <c r="AC4662" s="404"/>
      <c r="AD4662" s="404"/>
      <c r="AE4662" s="404"/>
      <c r="AF4662" s="404"/>
      <c r="AG4662" s="404"/>
      <c r="AH4662" s="404"/>
      <c r="AI4662" s="404"/>
      <c r="AJ4662" s="404"/>
      <c r="AK4662" s="404"/>
      <c r="AL4662" s="404"/>
      <c r="AM4662" s="404"/>
      <c r="AN4662" s="404"/>
      <c r="AO4662" s="404"/>
      <c r="AP4662" s="404"/>
      <c r="AQ4662" s="404"/>
      <c r="AR4662" s="404"/>
      <c r="AS4662" s="404"/>
      <c r="AT4662" s="404"/>
      <c r="AU4662" s="404"/>
      <c r="AV4662" s="404"/>
      <c r="AW4662" s="404"/>
      <c r="AX4662" s="404"/>
      <c r="AY4662" s="404"/>
      <c r="AZ4662" s="404"/>
      <c r="BA4662" s="404"/>
      <c r="BB4662" s="404"/>
      <c r="BC4662" s="404"/>
      <c r="BD4662" s="404"/>
      <c r="BE4662" s="404"/>
      <c r="BF4662" s="404"/>
      <c r="BG4662" s="404"/>
      <c r="BH4662" s="404"/>
      <c r="BI4662" s="404"/>
      <c r="BJ4662" s="404"/>
      <c r="BK4662" s="404"/>
      <c r="BL4662" s="404"/>
    </row>
    <row r="4663" spans="1:64">
      <c r="A4663" s="454"/>
      <c r="B4663" s="454"/>
      <c r="C4663" s="445" t="s">
        <v>1664</v>
      </c>
      <c r="D4663" s="406">
        <v>6</v>
      </c>
      <c r="E4663" s="408" t="s">
        <v>796</v>
      </c>
      <c r="F4663" s="408">
        <f>'[161]Civil-SOR'!$G$360</f>
        <v>3962</v>
      </c>
      <c r="G4663" s="430">
        <v>1</v>
      </c>
      <c r="H4663" s="408" t="s">
        <v>797</v>
      </c>
      <c r="I4663" s="408">
        <f t="shared" ref="I4663:I4666" si="1009">IF(G4663="",D4663*F4663,(D4663*F4663/G4663))</f>
        <v>23772</v>
      </c>
      <c r="J4663" s="400"/>
      <c r="K4663" s="401"/>
      <c r="L4663" s="401"/>
      <c r="M4663" s="404"/>
      <c r="N4663" s="404"/>
      <c r="O4663" s="404"/>
      <c r="P4663" s="404"/>
      <c r="Q4663" s="404"/>
      <c r="R4663" s="404"/>
      <c r="S4663" s="404"/>
      <c r="T4663" s="404"/>
      <c r="U4663" s="404"/>
      <c r="V4663" s="404"/>
      <c r="W4663" s="404"/>
      <c r="X4663" s="404"/>
      <c r="Y4663" s="404"/>
      <c r="Z4663" s="404"/>
      <c r="AA4663" s="404"/>
      <c r="AB4663" s="404"/>
      <c r="AC4663" s="404"/>
      <c r="AD4663" s="404"/>
      <c r="AE4663" s="404"/>
      <c r="AF4663" s="404"/>
      <c r="AG4663" s="404"/>
      <c r="AH4663" s="404"/>
      <c r="AI4663" s="404"/>
      <c r="AJ4663" s="404"/>
      <c r="AK4663" s="404"/>
      <c r="AL4663" s="404"/>
      <c r="AM4663" s="404"/>
      <c r="AN4663" s="404"/>
      <c r="AO4663" s="404"/>
      <c r="AP4663" s="404"/>
      <c r="AQ4663" s="404"/>
      <c r="AR4663" s="404"/>
      <c r="AS4663" s="404"/>
      <c r="AT4663" s="404"/>
      <c r="AU4663" s="404"/>
      <c r="AV4663" s="404"/>
      <c r="AW4663" s="404"/>
      <c r="AX4663" s="404"/>
      <c r="AY4663" s="404"/>
      <c r="AZ4663" s="404"/>
      <c r="BA4663" s="404"/>
      <c r="BB4663" s="404"/>
      <c r="BC4663" s="404"/>
      <c r="BD4663" s="404"/>
      <c r="BE4663" s="404"/>
      <c r="BF4663" s="404"/>
      <c r="BG4663" s="404"/>
      <c r="BH4663" s="404"/>
      <c r="BI4663" s="404"/>
      <c r="BJ4663" s="404"/>
      <c r="BK4663" s="404"/>
      <c r="BL4663" s="404"/>
    </row>
    <row r="4664" spans="1:64">
      <c r="A4664" s="454"/>
      <c r="B4664" s="454"/>
      <c r="C4664" s="445" t="s">
        <v>1650</v>
      </c>
      <c r="D4664" s="406">
        <v>12</v>
      </c>
      <c r="E4664" s="408" t="s">
        <v>796</v>
      </c>
      <c r="F4664" s="408">
        <f>+'[161]Civil-SOR'!$G$359</f>
        <v>520</v>
      </c>
      <c r="G4664" s="430">
        <v>1</v>
      </c>
      <c r="H4664" s="408" t="s">
        <v>797</v>
      </c>
      <c r="I4664" s="408">
        <f t="shared" si="1009"/>
        <v>6240</v>
      </c>
      <c r="J4664" s="400"/>
      <c r="K4664" s="401"/>
      <c r="L4664" s="401"/>
      <c r="M4664" s="404"/>
      <c r="N4664" s="404"/>
      <c r="O4664" s="404"/>
      <c r="P4664" s="404"/>
      <c r="Q4664" s="404"/>
      <c r="R4664" s="404"/>
      <c r="S4664" s="404"/>
      <c r="T4664" s="404"/>
      <c r="U4664" s="404"/>
      <c r="V4664" s="404"/>
      <c r="W4664" s="404"/>
      <c r="X4664" s="404"/>
      <c r="Y4664" s="404"/>
      <c r="Z4664" s="404"/>
      <c r="AA4664" s="404"/>
      <c r="AB4664" s="404"/>
      <c r="AC4664" s="404"/>
      <c r="AD4664" s="404"/>
      <c r="AE4664" s="404"/>
      <c r="AF4664" s="404"/>
      <c r="AG4664" s="404"/>
      <c r="AH4664" s="404"/>
      <c r="AI4664" s="404"/>
      <c r="AJ4664" s="404"/>
      <c r="AK4664" s="404"/>
      <c r="AL4664" s="404"/>
      <c r="AM4664" s="404"/>
      <c r="AN4664" s="404"/>
      <c r="AO4664" s="404"/>
      <c r="AP4664" s="404"/>
      <c r="AQ4664" s="404"/>
      <c r="AR4664" s="404"/>
      <c r="AS4664" s="404"/>
      <c r="AT4664" s="404"/>
      <c r="AU4664" s="404"/>
      <c r="AV4664" s="404"/>
      <c r="AW4664" s="404"/>
      <c r="AX4664" s="404"/>
      <c r="AY4664" s="404"/>
      <c r="AZ4664" s="404"/>
      <c r="BA4664" s="404"/>
      <c r="BB4664" s="404"/>
      <c r="BC4664" s="404"/>
      <c r="BD4664" s="404"/>
      <c r="BE4664" s="404"/>
      <c r="BF4664" s="404"/>
      <c r="BG4664" s="404"/>
      <c r="BH4664" s="404"/>
      <c r="BI4664" s="404"/>
      <c r="BJ4664" s="404"/>
      <c r="BK4664" s="404"/>
      <c r="BL4664" s="404"/>
    </row>
    <row r="4665" spans="1:64">
      <c r="A4665" s="454"/>
      <c r="B4665" s="454"/>
      <c r="C4665" s="445" t="s">
        <v>1665</v>
      </c>
      <c r="D4665" s="406">
        <v>6</v>
      </c>
      <c r="E4665" s="408" t="s">
        <v>796</v>
      </c>
      <c r="F4665" s="409">
        <f>+'[161]Civil-SOR'!$G$356</f>
        <v>3475.2</v>
      </c>
      <c r="G4665" s="430">
        <v>1</v>
      </c>
      <c r="H4665" s="408" t="s">
        <v>797</v>
      </c>
      <c r="I4665" s="408">
        <f t="shared" si="1009"/>
        <v>20851.199999999997</v>
      </c>
      <c r="J4665" s="400"/>
      <c r="K4665" s="401"/>
      <c r="L4665" s="401"/>
      <c r="M4665" s="404"/>
      <c r="N4665" s="404"/>
      <c r="O4665" s="404"/>
      <c r="P4665" s="404"/>
      <c r="Q4665" s="404"/>
      <c r="R4665" s="404"/>
      <c r="S4665" s="404"/>
      <c r="T4665" s="404"/>
      <c r="U4665" s="404"/>
      <c r="V4665" s="404"/>
      <c r="W4665" s="404"/>
      <c r="X4665" s="404"/>
      <c r="Y4665" s="404"/>
      <c r="Z4665" s="404"/>
      <c r="AA4665" s="404"/>
      <c r="AB4665" s="404"/>
      <c r="AC4665" s="404"/>
      <c r="AD4665" s="404"/>
      <c r="AE4665" s="404"/>
      <c r="AF4665" s="404"/>
      <c r="AG4665" s="404"/>
      <c r="AH4665" s="404"/>
      <c r="AI4665" s="404"/>
      <c r="AJ4665" s="404"/>
      <c r="AK4665" s="404"/>
      <c r="AL4665" s="404"/>
      <c r="AM4665" s="404"/>
      <c r="AN4665" s="404"/>
      <c r="AO4665" s="404"/>
      <c r="AP4665" s="404"/>
      <c r="AQ4665" s="404"/>
      <c r="AR4665" s="404"/>
      <c r="AS4665" s="404"/>
      <c r="AT4665" s="404"/>
      <c r="AU4665" s="404"/>
      <c r="AV4665" s="404"/>
      <c r="AW4665" s="404"/>
      <c r="AX4665" s="404"/>
      <c r="AY4665" s="404"/>
      <c r="AZ4665" s="404"/>
      <c r="BA4665" s="404"/>
      <c r="BB4665" s="404"/>
      <c r="BC4665" s="404"/>
      <c r="BD4665" s="404"/>
      <c r="BE4665" s="404"/>
      <c r="BF4665" s="404"/>
      <c r="BG4665" s="404"/>
      <c r="BH4665" s="404"/>
      <c r="BI4665" s="404"/>
      <c r="BJ4665" s="404"/>
      <c r="BK4665" s="404"/>
      <c r="BL4665" s="404"/>
    </row>
    <row r="4666" spans="1:64">
      <c r="A4666" s="454"/>
      <c r="B4666" s="454"/>
      <c r="C4666" s="445" t="s">
        <v>1666</v>
      </c>
      <c r="D4666" s="409">
        <v>3</v>
      </c>
      <c r="E4666" s="408" t="s">
        <v>796</v>
      </c>
      <c r="F4666" s="408">
        <f>+'[161]Civil-SOR'!$G$357</f>
        <v>769</v>
      </c>
      <c r="G4666" s="430">
        <v>1</v>
      </c>
      <c r="H4666" s="408" t="s">
        <v>797</v>
      </c>
      <c r="I4666" s="408">
        <f t="shared" si="1009"/>
        <v>2307</v>
      </c>
      <c r="J4666" s="400"/>
      <c r="K4666" s="401"/>
      <c r="L4666" s="401"/>
      <c r="M4666" s="404"/>
      <c r="N4666" s="404"/>
      <c r="O4666" s="404"/>
      <c r="P4666" s="404"/>
      <c r="Q4666" s="404"/>
      <c r="R4666" s="404"/>
      <c r="S4666" s="404"/>
      <c r="T4666" s="404"/>
      <c r="U4666" s="404"/>
      <c r="V4666" s="404"/>
      <c r="W4666" s="404"/>
      <c r="X4666" s="404"/>
      <c r="Y4666" s="404"/>
      <c r="Z4666" s="404"/>
      <c r="AA4666" s="404"/>
      <c r="AB4666" s="404"/>
      <c r="AC4666" s="404"/>
      <c r="AD4666" s="404"/>
      <c r="AE4666" s="404"/>
      <c r="AF4666" s="404"/>
      <c r="AG4666" s="404"/>
      <c r="AH4666" s="404"/>
      <c r="AI4666" s="404"/>
      <c r="AJ4666" s="404"/>
      <c r="AK4666" s="404"/>
      <c r="AL4666" s="404"/>
      <c r="AM4666" s="404"/>
      <c r="AN4666" s="404"/>
      <c r="AO4666" s="404"/>
      <c r="AP4666" s="404"/>
      <c r="AQ4666" s="404"/>
      <c r="AR4666" s="404"/>
      <c r="AS4666" s="404"/>
      <c r="AT4666" s="404"/>
      <c r="AU4666" s="404"/>
      <c r="AV4666" s="404"/>
      <c r="AW4666" s="404"/>
      <c r="AX4666" s="404"/>
      <c r="AY4666" s="404"/>
      <c r="AZ4666" s="404"/>
      <c r="BA4666" s="404"/>
      <c r="BB4666" s="404"/>
      <c r="BC4666" s="404"/>
      <c r="BD4666" s="404"/>
      <c r="BE4666" s="404"/>
      <c r="BF4666" s="404"/>
      <c r="BG4666" s="404"/>
      <c r="BH4666" s="404"/>
      <c r="BI4666" s="404"/>
      <c r="BJ4666" s="404"/>
      <c r="BK4666" s="404"/>
      <c r="BL4666" s="404"/>
    </row>
    <row r="4667" spans="1:64" ht="13">
      <c r="A4667" s="454"/>
      <c r="B4667" s="454"/>
      <c r="C4667" s="445"/>
      <c r="D4667" s="409"/>
      <c r="E4667" s="408"/>
      <c r="F4667" s="408"/>
      <c r="G4667" s="416" t="s">
        <v>1656</v>
      </c>
      <c r="H4667" s="408"/>
      <c r="I4667" s="408">
        <f>SUM(I4663:I4666)</f>
        <v>53170.2</v>
      </c>
      <c r="J4667" s="400"/>
      <c r="K4667" s="401"/>
      <c r="L4667" s="401"/>
      <c r="M4667" s="404"/>
      <c r="N4667" s="404"/>
      <c r="O4667" s="404"/>
      <c r="P4667" s="404"/>
      <c r="Q4667" s="404"/>
      <c r="R4667" s="404"/>
      <c r="S4667" s="404"/>
      <c r="T4667" s="404"/>
      <c r="U4667" s="404"/>
      <c r="V4667" s="404"/>
      <c r="W4667" s="404"/>
      <c r="X4667" s="404"/>
      <c r="Y4667" s="404"/>
      <c r="Z4667" s="404"/>
      <c r="AA4667" s="404"/>
      <c r="AB4667" s="404"/>
      <c r="AC4667" s="404"/>
      <c r="AD4667" s="404"/>
      <c r="AE4667" s="404"/>
      <c r="AF4667" s="404"/>
      <c r="AG4667" s="404"/>
      <c r="AH4667" s="404"/>
      <c r="AI4667" s="404"/>
      <c r="AJ4667" s="404"/>
      <c r="AK4667" s="404"/>
      <c r="AL4667" s="404"/>
      <c r="AM4667" s="404"/>
      <c r="AN4667" s="404"/>
      <c r="AO4667" s="404"/>
      <c r="AP4667" s="404"/>
      <c r="AQ4667" s="404"/>
      <c r="AR4667" s="404"/>
      <c r="AS4667" s="404"/>
      <c r="AT4667" s="404"/>
      <c r="AU4667" s="404"/>
      <c r="AV4667" s="404"/>
      <c r="AW4667" s="404"/>
      <c r="AX4667" s="404"/>
      <c r="AY4667" s="404"/>
      <c r="AZ4667" s="404"/>
      <c r="BA4667" s="404"/>
      <c r="BB4667" s="404"/>
      <c r="BC4667" s="404"/>
      <c r="BD4667" s="404"/>
      <c r="BE4667" s="404"/>
      <c r="BF4667" s="404"/>
      <c r="BG4667" s="404"/>
      <c r="BH4667" s="404"/>
      <c r="BI4667" s="404"/>
      <c r="BJ4667" s="404"/>
      <c r="BK4667" s="404"/>
      <c r="BL4667" s="404"/>
    </row>
    <row r="4668" spans="1:64" ht="13">
      <c r="A4668" s="454"/>
      <c r="B4668" s="454"/>
      <c r="C4668" s="427" t="s">
        <v>1667</v>
      </c>
      <c r="D4668" s="408"/>
      <c r="E4668" s="408"/>
      <c r="F4668" s="408"/>
      <c r="G4668" s="430"/>
      <c r="H4668" s="408"/>
      <c r="I4668" s="408"/>
      <c r="J4668" s="400"/>
      <c r="K4668" s="401"/>
      <c r="L4668" s="401"/>
      <c r="M4668" s="404"/>
      <c r="N4668" s="404"/>
      <c r="O4668" s="404"/>
      <c r="P4668" s="404"/>
      <c r="Q4668" s="404"/>
      <c r="R4668" s="404"/>
      <c r="S4668" s="404"/>
      <c r="T4668" s="404"/>
      <c r="U4668" s="404"/>
      <c r="V4668" s="404"/>
      <c r="W4668" s="404"/>
      <c r="X4668" s="404"/>
      <c r="Y4668" s="404"/>
      <c r="Z4668" s="404"/>
      <c r="AA4668" s="404"/>
      <c r="AB4668" s="404"/>
      <c r="AC4668" s="404"/>
      <c r="AD4668" s="404"/>
      <c r="AE4668" s="404"/>
      <c r="AF4668" s="404"/>
      <c r="AG4668" s="404"/>
      <c r="AH4668" s="404"/>
      <c r="AI4668" s="404"/>
      <c r="AJ4668" s="404"/>
      <c r="AK4668" s="404"/>
      <c r="AL4668" s="404"/>
      <c r="AM4668" s="404"/>
      <c r="AN4668" s="404"/>
      <c r="AO4668" s="404"/>
      <c r="AP4668" s="404"/>
      <c r="AQ4668" s="404"/>
      <c r="AR4668" s="404"/>
      <c r="AS4668" s="404"/>
      <c r="AT4668" s="404"/>
      <c r="AU4668" s="404"/>
      <c r="AV4668" s="404"/>
      <c r="AW4668" s="404"/>
      <c r="AX4668" s="404"/>
      <c r="AY4668" s="404"/>
      <c r="AZ4668" s="404"/>
      <c r="BA4668" s="404"/>
      <c r="BB4668" s="404"/>
      <c r="BC4668" s="404"/>
      <c r="BD4668" s="404"/>
      <c r="BE4668" s="404"/>
      <c r="BF4668" s="404"/>
      <c r="BG4668" s="404"/>
      <c r="BH4668" s="404"/>
      <c r="BI4668" s="404"/>
      <c r="BJ4668" s="404"/>
      <c r="BK4668" s="404"/>
      <c r="BL4668" s="404"/>
    </row>
    <row r="4669" spans="1:64" ht="25">
      <c r="A4669" s="454"/>
      <c r="B4669" s="454"/>
      <c r="C4669" s="445" t="s">
        <v>1668</v>
      </c>
      <c r="D4669" s="409"/>
      <c r="E4669" s="408"/>
      <c r="F4669" s="408"/>
      <c r="G4669" s="416"/>
      <c r="H4669" s="408"/>
      <c r="I4669" s="408"/>
      <c r="J4669" s="400"/>
      <c r="K4669" s="401"/>
      <c r="L4669" s="401"/>
      <c r="M4669" s="404"/>
      <c r="N4669" s="404"/>
      <c r="O4669" s="404"/>
      <c r="P4669" s="404"/>
      <c r="Q4669" s="404"/>
      <c r="R4669" s="404"/>
      <c r="S4669" s="404"/>
      <c r="T4669" s="404"/>
      <c r="U4669" s="404"/>
      <c r="V4669" s="404"/>
      <c r="W4669" s="404"/>
      <c r="X4669" s="404"/>
      <c r="Y4669" s="404"/>
      <c r="Z4669" s="404"/>
      <c r="AA4669" s="404"/>
      <c r="AB4669" s="404"/>
      <c r="AC4669" s="404"/>
      <c r="AD4669" s="404"/>
      <c r="AE4669" s="404"/>
      <c r="AF4669" s="404"/>
      <c r="AG4669" s="404"/>
      <c r="AH4669" s="404"/>
      <c r="AI4669" s="404"/>
      <c r="AJ4669" s="404"/>
      <c r="AK4669" s="404"/>
      <c r="AL4669" s="404"/>
      <c r="AM4669" s="404"/>
      <c r="AN4669" s="404"/>
      <c r="AO4669" s="404"/>
      <c r="AP4669" s="404"/>
      <c r="AQ4669" s="404"/>
      <c r="AR4669" s="404"/>
      <c r="AS4669" s="404"/>
      <c r="AT4669" s="404"/>
      <c r="AU4669" s="404"/>
      <c r="AV4669" s="404"/>
      <c r="AW4669" s="404"/>
      <c r="AX4669" s="404"/>
      <c r="AY4669" s="404"/>
      <c r="AZ4669" s="404"/>
      <c r="BA4669" s="404"/>
      <c r="BB4669" s="404"/>
      <c r="BC4669" s="404"/>
      <c r="BD4669" s="404"/>
      <c r="BE4669" s="404"/>
      <c r="BF4669" s="404"/>
      <c r="BG4669" s="404"/>
      <c r="BH4669" s="404"/>
      <c r="BI4669" s="404"/>
      <c r="BJ4669" s="404"/>
      <c r="BK4669" s="404"/>
      <c r="BL4669" s="404"/>
    </row>
    <row r="4670" spans="1:64" ht="25">
      <c r="A4670" s="454"/>
      <c r="B4670" s="454"/>
      <c r="C4670" s="445" t="s">
        <v>1669</v>
      </c>
      <c r="D4670" s="406">
        <v>134.4</v>
      </c>
      <c r="E4670" s="406" t="s">
        <v>666</v>
      </c>
      <c r="F4670" s="748">
        <f>SUM([161]LEAD!N31:N35)/5</f>
        <v>1256.9180000000001</v>
      </c>
      <c r="G4670" s="406">
        <v>1</v>
      </c>
      <c r="H4670" s="406" t="s">
        <v>666</v>
      </c>
      <c r="I4670" s="406">
        <f>IF(G4670="",D4670*F4670,(D4670*F4670/G4670))</f>
        <v>168929.77920000002</v>
      </c>
      <c r="J4670" s="400"/>
      <c r="K4670" s="401"/>
      <c r="L4670" s="401"/>
      <c r="M4670" s="404"/>
      <c r="N4670" s="404"/>
      <c r="O4670" s="404"/>
      <c r="P4670" s="404"/>
      <c r="Q4670" s="404"/>
      <c r="R4670" s="404"/>
      <c r="S4670" s="404"/>
      <c r="T4670" s="404"/>
      <c r="U4670" s="404"/>
      <c r="V4670" s="404"/>
      <c r="W4670" s="404"/>
      <c r="X4670" s="404"/>
      <c r="Y4670" s="404"/>
      <c r="Z4670" s="404"/>
      <c r="AA4670" s="404"/>
      <c r="AB4670" s="404"/>
      <c r="AC4670" s="404"/>
      <c r="AD4670" s="404"/>
      <c r="AE4670" s="404"/>
      <c r="AF4670" s="404"/>
      <c r="AG4670" s="404"/>
      <c r="AH4670" s="404"/>
      <c r="AI4670" s="404"/>
      <c r="AJ4670" s="404"/>
      <c r="AK4670" s="404"/>
      <c r="AL4670" s="404"/>
      <c r="AM4670" s="404"/>
      <c r="AN4670" s="404"/>
      <c r="AO4670" s="404"/>
      <c r="AP4670" s="404"/>
      <c r="AQ4670" s="404"/>
      <c r="AR4670" s="404"/>
      <c r="AS4670" s="404"/>
      <c r="AT4670" s="404"/>
      <c r="AU4670" s="404"/>
      <c r="AV4670" s="404"/>
      <c r="AW4670" s="404"/>
      <c r="AX4670" s="404"/>
      <c r="AY4670" s="404"/>
      <c r="AZ4670" s="404"/>
      <c r="BA4670" s="404"/>
      <c r="BB4670" s="404"/>
      <c r="BC4670" s="404"/>
      <c r="BD4670" s="404"/>
      <c r="BE4670" s="404"/>
      <c r="BF4670" s="404"/>
      <c r="BG4670" s="404"/>
      <c r="BH4670" s="404"/>
      <c r="BI4670" s="404"/>
      <c r="BJ4670" s="404"/>
      <c r="BK4670" s="404"/>
      <c r="BL4670" s="404"/>
    </row>
    <row r="4671" spans="1:64" ht="25">
      <c r="A4671" s="454"/>
      <c r="B4671" s="454"/>
      <c r="C4671" s="445" t="s">
        <v>1670</v>
      </c>
      <c r="D4671" s="406"/>
      <c r="E4671" s="406"/>
      <c r="F4671" s="406"/>
      <c r="G4671" s="406"/>
      <c r="H4671" s="406"/>
      <c r="I4671" s="406"/>
      <c r="J4671" s="400"/>
      <c r="K4671" s="401"/>
      <c r="L4671" s="401"/>
      <c r="M4671" s="404"/>
      <c r="N4671" s="404"/>
      <c r="O4671" s="404"/>
      <c r="P4671" s="404"/>
      <c r="Q4671" s="404"/>
      <c r="R4671" s="404"/>
      <c r="S4671" s="404"/>
      <c r="T4671" s="404"/>
      <c r="U4671" s="404"/>
      <c r="V4671" s="404"/>
      <c r="W4671" s="404"/>
      <c r="X4671" s="404"/>
      <c r="Y4671" s="404"/>
      <c r="Z4671" s="404"/>
      <c r="AA4671" s="404"/>
      <c r="AB4671" s="404"/>
      <c r="AC4671" s="404"/>
      <c r="AD4671" s="404"/>
      <c r="AE4671" s="404"/>
      <c r="AF4671" s="404"/>
      <c r="AG4671" s="404"/>
      <c r="AH4671" s="404"/>
      <c r="AI4671" s="404"/>
      <c r="AJ4671" s="404"/>
      <c r="AK4671" s="404"/>
      <c r="AL4671" s="404"/>
      <c r="AM4671" s="404"/>
      <c r="AN4671" s="404"/>
      <c r="AO4671" s="404"/>
      <c r="AP4671" s="404"/>
      <c r="AQ4671" s="404"/>
      <c r="AR4671" s="404"/>
      <c r="AS4671" s="404"/>
      <c r="AT4671" s="404"/>
      <c r="AU4671" s="404"/>
      <c r="AV4671" s="404"/>
      <c r="AW4671" s="404"/>
      <c r="AX4671" s="404"/>
      <c r="AY4671" s="404"/>
      <c r="AZ4671" s="404"/>
      <c r="BA4671" s="404"/>
      <c r="BB4671" s="404"/>
      <c r="BC4671" s="404"/>
      <c r="BD4671" s="404"/>
      <c r="BE4671" s="404"/>
      <c r="BF4671" s="404"/>
      <c r="BG4671" s="404"/>
      <c r="BH4671" s="404"/>
      <c r="BI4671" s="404"/>
      <c r="BJ4671" s="404"/>
      <c r="BK4671" s="404"/>
      <c r="BL4671" s="404"/>
    </row>
    <row r="4672" spans="1:64" ht="37.5">
      <c r="A4672" s="454"/>
      <c r="B4672" s="454"/>
      <c r="C4672" s="445" t="s">
        <v>1671</v>
      </c>
      <c r="D4672" s="406">
        <v>182.4</v>
      </c>
      <c r="E4672" s="406" t="s">
        <v>666</v>
      </c>
      <c r="F4672" s="749">
        <f>SUM([161]LEAD!N35:N37)/3</f>
        <v>1140.46</v>
      </c>
      <c r="G4672" s="406">
        <v>1</v>
      </c>
      <c r="H4672" s="406" t="s">
        <v>666</v>
      </c>
      <c r="I4672" s="406">
        <f t="shared" ref="I4672:I4673" si="1010">IF(G4672="",D4672*F4672,(D4672*F4672/G4672))</f>
        <v>208019.90400000001</v>
      </c>
      <c r="J4672" s="400"/>
      <c r="K4672" s="401"/>
      <c r="L4672" s="401"/>
      <c r="M4672" s="404"/>
      <c r="N4672" s="404"/>
      <c r="O4672" s="404"/>
      <c r="P4672" s="404"/>
      <c r="Q4672" s="404"/>
      <c r="R4672" s="404"/>
      <c r="S4672" s="404"/>
      <c r="T4672" s="404"/>
      <c r="U4672" s="404"/>
      <c r="V4672" s="404"/>
      <c r="W4672" s="404"/>
      <c r="X4672" s="404"/>
      <c r="Y4672" s="404"/>
      <c r="Z4672" s="404"/>
      <c r="AA4672" s="404"/>
      <c r="AB4672" s="404"/>
      <c r="AC4672" s="404"/>
      <c r="AD4672" s="404"/>
      <c r="AE4672" s="404"/>
      <c r="AF4672" s="404"/>
      <c r="AG4672" s="404"/>
      <c r="AH4672" s="404"/>
      <c r="AI4672" s="404"/>
      <c r="AJ4672" s="404"/>
      <c r="AK4672" s="404"/>
      <c r="AL4672" s="404"/>
      <c r="AM4672" s="404"/>
      <c r="AN4672" s="404"/>
      <c r="AO4672" s="404"/>
      <c r="AP4672" s="404"/>
      <c r="AQ4672" s="404"/>
      <c r="AR4672" s="404"/>
      <c r="AS4672" s="404"/>
      <c r="AT4672" s="404"/>
      <c r="AU4672" s="404"/>
      <c r="AV4672" s="404"/>
      <c r="AW4672" s="404"/>
      <c r="AX4672" s="404"/>
      <c r="AY4672" s="404"/>
      <c r="AZ4672" s="404"/>
      <c r="BA4672" s="404"/>
      <c r="BB4672" s="404"/>
      <c r="BC4672" s="404"/>
      <c r="BD4672" s="404"/>
      <c r="BE4672" s="404"/>
      <c r="BF4672" s="404"/>
      <c r="BG4672" s="404"/>
      <c r="BH4672" s="404"/>
      <c r="BI4672" s="404"/>
      <c r="BJ4672" s="404"/>
      <c r="BK4672" s="404"/>
      <c r="BL4672" s="404"/>
    </row>
    <row r="4673" spans="1:64" ht="25">
      <c r="A4673" s="454"/>
      <c r="B4673" s="454"/>
      <c r="C4673" s="445" t="s">
        <v>1672</v>
      </c>
      <c r="D4673" s="406">
        <v>67.2</v>
      </c>
      <c r="E4673" s="406" t="s">
        <v>666</v>
      </c>
      <c r="F4673" s="748">
        <f>[161]LEAD!N38</f>
        <v>931.96</v>
      </c>
      <c r="G4673" s="406">
        <v>1</v>
      </c>
      <c r="H4673" s="406" t="s">
        <v>666</v>
      </c>
      <c r="I4673" s="406">
        <f t="shared" si="1010"/>
        <v>62627.712000000007</v>
      </c>
      <c r="J4673" s="400"/>
      <c r="K4673" s="401"/>
      <c r="L4673" s="401"/>
      <c r="M4673" s="404"/>
      <c r="N4673" s="404"/>
      <c r="O4673" s="404"/>
      <c r="P4673" s="404"/>
      <c r="Q4673" s="404"/>
      <c r="R4673" s="404"/>
      <c r="S4673" s="404"/>
      <c r="T4673" s="404"/>
      <c r="U4673" s="404"/>
      <c r="V4673" s="404"/>
      <c r="W4673" s="404"/>
      <c r="X4673" s="404"/>
      <c r="Y4673" s="404"/>
      <c r="Z4673" s="404"/>
      <c r="AA4673" s="404"/>
      <c r="AB4673" s="404"/>
      <c r="AC4673" s="404"/>
      <c r="AD4673" s="404"/>
      <c r="AE4673" s="404"/>
      <c r="AF4673" s="404"/>
      <c r="AG4673" s="404"/>
      <c r="AH4673" s="404"/>
      <c r="AI4673" s="404"/>
      <c r="AJ4673" s="404"/>
      <c r="AK4673" s="404"/>
      <c r="AL4673" s="404"/>
      <c r="AM4673" s="404"/>
      <c r="AN4673" s="404"/>
      <c r="AO4673" s="404"/>
      <c r="AP4673" s="404"/>
      <c r="AQ4673" s="404"/>
      <c r="AR4673" s="404"/>
      <c r="AS4673" s="404"/>
      <c r="AT4673" s="404"/>
      <c r="AU4673" s="404"/>
      <c r="AV4673" s="404"/>
      <c r="AW4673" s="404"/>
      <c r="AX4673" s="404"/>
      <c r="AY4673" s="404"/>
      <c r="AZ4673" s="404"/>
      <c r="BA4673" s="404"/>
      <c r="BB4673" s="404"/>
      <c r="BC4673" s="404"/>
      <c r="BD4673" s="404"/>
      <c r="BE4673" s="404"/>
      <c r="BF4673" s="404"/>
      <c r="BG4673" s="404"/>
      <c r="BH4673" s="404"/>
      <c r="BI4673" s="404"/>
      <c r="BJ4673" s="404"/>
      <c r="BK4673" s="404"/>
      <c r="BL4673" s="404"/>
    </row>
    <row r="4674" spans="1:64" ht="13">
      <c r="A4674" s="454"/>
      <c r="B4674" s="454"/>
      <c r="C4674" s="445"/>
      <c r="D4674" s="406"/>
      <c r="E4674" s="406"/>
      <c r="F4674" s="432"/>
      <c r="G4674" s="416" t="s">
        <v>1656</v>
      </c>
      <c r="H4674" s="406"/>
      <c r="I4674" s="422">
        <f>SUM(I4670:I4673)</f>
        <v>439577.39520000003</v>
      </c>
      <c r="J4674" s="400"/>
      <c r="K4674" s="401"/>
      <c r="L4674" s="401"/>
      <c r="M4674" s="404"/>
      <c r="N4674" s="404"/>
      <c r="O4674" s="404"/>
      <c r="P4674" s="404"/>
      <c r="Q4674" s="404"/>
      <c r="R4674" s="404"/>
      <c r="S4674" s="404"/>
      <c r="T4674" s="404"/>
      <c r="U4674" s="404"/>
      <c r="V4674" s="404"/>
      <c r="W4674" s="404"/>
      <c r="X4674" s="404"/>
      <c r="Y4674" s="404"/>
      <c r="Z4674" s="404"/>
      <c r="AA4674" s="404"/>
      <c r="AB4674" s="404"/>
      <c r="AC4674" s="404"/>
      <c r="AD4674" s="404"/>
      <c r="AE4674" s="404"/>
      <c r="AF4674" s="404"/>
      <c r="AG4674" s="404"/>
      <c r="AH4674" s="404"/>
      <c r="AI4674" s="404"/>
      <c r="AJ4674" s="404"/>
      <c r="AK4674" s="404"/>
      <c r="AL4674" s="404"/>
      <c r="AM4674" s="404"/>
      <c r="AN4674" s="404"/>
      <c r="AO4674" s="404"/>
      <c r="AP4674" s="404"/>
      <c r="AQ4674" s="404"/>
      <c r="AR4674" s="404"/>
      <c r="AS4674" s="404"/>
      <c r="AT4674" s="404"/>
      <c r="AU4674" s="404"/>
      <c r="AV4674" s="404"/>
      <c r="AW4674" s="404"/>
      <c r="AX4674" s="404"/>
      <c r="AY4674" s="404"/>
      <c r="AZ4674" s="404"/>
      <c r="BA4674" s="404"/>
      <c r="BB4674" s="404"/>
      <c r="BC4674" s="404"/>
      <c r="BD4674" s="404"/>
      <c r="BE4674" s="404"/>
      <c r="BF4674" s="404"/>
      <c r="BG4674" s="404"/>
      <c r="BH4674" s="404"/>
      <c r="BI4674" s="404"/>
      <c r="BJ4674" s="404"/>
      <c r="BK4674" s="404"/>
      <c r="BL4674" s="404"/>
    </row>
    <row r="4675" spans="1:64" ht="13">
      <c r="A4675" s="454"/>
      <c r="B4675" s="454"/>
      <c r="C4675" s="427"/>
      <c r="D4675" s="406"/>
      <c r="E4675" s="406"/>
      <c r="F4675" s="432"/>
      <c r="G4675" s="416"/>
      <c r="H4675" s="406"/>
      <c r="I4675" s="422"/>
      <c r="J4675" s="400"/>
      <c r="K4675" s="401"/>
      <c r="L4675" s="401"/>
      <c r="M4675" s="404"/>
      <c r="N4675" s="404"/>
      <c r="O4675" s="404"/>
      <c r="P4675" s="404"/>
      <c r="Q4675" s="404"/>
      <c r="R4675" s="404"/>
      <c r="S4675" s="404"/>
      <c r="T4675" s="404"/>
      <c r="U4675" s="404"/>
      <c r="V4675" s="404"/>
      <c r="W4675" s="404"/>
      <c r="X4675" s="404"/>
      <c r="Y4675" s="404"/>
      <c r="Z4675" s="404"/>
      <c r="AA4675" s="404"/>
      <c r="AB4675" s="404"/>
      <c r="AC4675" s="404"/>
      <c r="AD4675" s="404"/>
      <c r="AE4675" s="404"/>
      <c r="AF4675" s="404"/>
      <c r="AG4675" s="404"/>
      <c r="AH4675" s="404"/>
      <c r="AI4675" s="404"/>
      <c r="AJ4675" s="404"/>
      <c r="AK4675" s="404"/>
      <c r="AL4675" s="404"/>
      <c r="AM4675" s="404"/>
      <c r="AN4675" s="404"/>
      <c r="AO4675" s="404"/>
      <c r="AP4675" s="404"/>
      <c r="AQ4675" s="404"/>
      <c r="AR4675" s="404"/>
      <c r="AS4675" s="404"/>
      <c r="AT4675" s="404"/>
      <c r="AU4675" s="404"/>
      <c r="AV4675" s="404"/>
      <c r="AW4675" s="404"/>
      <c r="AX4675" s="404"/>
      <c r="AY4675" s="404"/>
      <c r="AZ4675" s="404"/>
      <c r="BA4675" s="404"/>
      <c r="BB4675" s="404"/>
      <c r="BC4675" s="404"/>
      <c r="BD4675" s="404"/>
      <c r="BE4675" s="404"/>
      <c r="BF4675" s="404"/>
      <c r="BG4675" s="404"/>
      <c r="BH4675" s="404"/>
      <c r="BI4675" s="404"/>
      <c r="BJ4675" s="404"/>
      <c r="BK4675" s="404"/>
      <c r="BL4675" s="404"/>
    </row>
    <row r="4676" spans="1:64" ht="13">
      <c r="A4676" s="454"/>
      <c r="B4676" s="454"/>
      <c r="C4676" s="445" t="s">
        <v>1673</v>
      </c>
      <c r="D4676" s="406"/>
      <c r="E4676" s="406"/>
      <c r="F4676" s="432"/>
      <c r="G4676" s="416"/>
      <c r="H4676" s="406"/>
      <c r="I4676" s="422">
        <f>+I4674</f>
        <v>439577.39520000003</v>
      </c>
      <c r="J4676" s="400"/>
      <c r="K4676" s="401"/>
      <c r="L4676" s="401"/>
      <c r="M4676" s="404"/>
      <c r="N4676" s="404"/>
      <c r="O4676" s="404"/>
      <c r="P4676" s="404"/>
      <c r="Q4676" s="404"/>
      <c r="R4676" s="404"/>
      <c r="S4676" s="404"/>
      <c r="T4676" s="404"/>
      <c r="U4676" s="404"/>
      <c r="V4676" s="404"/>
      <c r="W4676" s="404"/>
      <c r="X4676" s="404"/>
      <c r="Y4676" s="404"/>
      <c r="Z4676" s="404"/>
      <c r="AA4676" s="404"/>
      <c r="AB4676" s="404"/>
      <c r="AC4676" s="404"/>
      <c r="AD4676" s="404"/>
      <c r="AE4676" s="404"/>
      <c r="AF4676" s="404"/>
      <c r="AG4676" s="404"/>
      <c r="AH4676" s="404"/>
      <c r="AI4676" s="404"/>
      <c r="AJ4676" s="404"/>
      <c r="AK4676" s="404"/>
      <c r="AL4676" s="404"/>
      <c r="AM4676" s="404"/>
      <c r="AN4676" s="404"/>
      <c r="AO4676" s="404"/>
      <c r="AP4676" s="404"/>
      <c r="AQ4676" s="404"/>
      <c r="AR4676" s="404"/>
      <c r="AS4676" s="404"/>
      <c r="AT4676" s="404"/>
      <c r="AU4676" s="404"/>
      <c r="AV4676" s="404"/>
      <c r="AW4676" s="404"/>
      <c r="AX4676" s="404"/>
      <c r="AY4676" s="404"/>
      <c r="AZ4676" s="404"/>
      <c r="BA4676" s="404"/>
      <c r="BB4676" s="404"/>
      <c r="BC4676" s="404"/>
      <c r="BD4676" s="404"/>
      <c r="BE4676" s="404"/>
      <c r="BF4676" s="404"/>
      <c r="BG4676" s="404"/>
      <c r="BH4676" s="404"/>
      <c r="BI4676" s="404"/>
      <c r="BJ4676" s="404"/>
      <c r="BK4676" s="404"/>
      <c r="BL4676" s="404"/>
    </row>
    <row r="4677" spans="1:64" ht="25">
      <c r="A4677" s="454"/>
      <c r="B4677" s="454"/>
      <c r="C4677" s="417" t="str">
        <f>+[161]Input!$C$48</f>
        <v>Overheads &amp; Contractors Profit @ 13.615%</v>
      </c>
      <c r="D4677" s="750">
        <f>+[161]Input!D48</f>
        <v>0.13614999999999999</v>
      </c>
      <c r="E4677" s="406"/>
      <c r="F4677" s="432">
        <f>I4676</f>
        <v>439577.39520000003</v>
      </c>
      <c r="G4677" s="416"/>
      <c r="H4677" s="406"/>
      <c r="I4677" s="406">
        <f>IF(G4677="",D4677*F4677,(D4677*F4677/G4677))</f>
        <v>59848.462356479999</v>
      </c>
      <c r="J4677" s="400"/>
      <c r="K4677" s="401"/>
      <c r="L4677" s="401"/>
      <c r="M4677" s="404"/>
      <c r="N4677" s="404"/>
      <c r="O4677" s="404"/>
      <c r="P4677" s="404"/>
      <c r="Q4677" s="404"/>
      <c r="R4677" s="404"/>
      <c r="S4677" s="404"/>
      <c r="T4677" s="404"/>
      <c r="U4677" s="404"/>
      <c r="V4677" s="404"/>
      <c r="W4677" s="404"/>
      <c r="X4677" s="404"/>
      <c r="Y4677" s="404"/>
      <c r="Z4677" s="404"/>
      <c r="AA4677" s="404"/>
      <c r="AB4677" s="404"/>
      <c r="AC4677" s="404"/>
      <c r="AD4677" s="404"/>
      <c r="AE4677" s="404"/>
      <c r="AF4677" s="404"/>
      <c r="AG4677" s="404"/>
      <c r="AH4677" s="404"/>
      <c r="AI4677" s="404"/>
      <c r="AJ4677" s="404"/>
      <c r="AK4677" s="404"/>
      <c r="AL4677" s="404"/>
      <c r="AM4677" s="404"/>
      <c r="AN4677" s="404"/>
      <c r="AO4677" s="404"/>
      <c r="AP4677" s="404"/>
      <c r="AQ4677" s="404"/>
      <c r="AR4677" s="404"/>
      <c r="AS4677" s="404"/>
      <c r="AT4677" s="404"/>
      <c r="AU4677" s="404"/>
      <c r="AV4677" s="404"/>
      <c r="AW4677" s="404"/>
      <c r="AX4677" s="404"/>
      <c r="AY4677" s="404"/>
      <c r="AZ4677" s="404"/>
      <c r="BA4677" s="404"/>
      <c r="BB4677" s="404"/>
      <c r="BC4677" s="404"/>
      <c r="BD4677" s="404"/>
      <c r="BE4677" s="404"/>
      <c r="BF4677" s="404"/>
      <c r="BG4677" s="404"/>
      <c r="BH4677" s="404"/>
      <c r="BI4677" s="404"/>
      <c r="BJ4677" s="404"/>
      <c r="BK4677" s="404"/>
      <c r="BL4677" s="404"/>
    </row>
    <row r="4678" spans="1:64" ht="13">
      <c r="A4678" s="454"/>
      <c r="B4678" s="454"/>
      <c r="C4678" s="435" t="s">
        <v>1674</v>
      </c>
      <c r="D4678" s="408"/>
      <c r="E4678" s="408"/>
      <c r="F4678" s="408"/>
      <c r="G4678" s="408"/>
      <c r="H4678" s="408"/>
      <c r="I4678" s="414">
        <f>SUM(I4676:I4677)</f>
        <v>499425.85755648004</v>
      </c>
      <c r="J4678" s="400"/>
      <c r="K4678" s="401"/>
      <c r="L4678" s="401"/>
      <c r="M4678" s="404"/>
      <c r="N4678" s="404"/>
      <c r="O4678" s="404"/>
      <c r="P4678" s="404"/>
      <c r="Q4678" s="404"/>
      <c r="R4678" s="404"/>
      <c r="S4678" s="404"/>
      <c r="T4678" s="404"/>
      <c r="U4678" s="404"/>
      <c r="V4678" s="404"/>
      <c r="W4678" s="404"/>
      <c r="X4678" s="404"/>
      <c r="Y4678" s="404"/>
      <c r="Z4678" s="404"/>
      <c r="AA4678" s="404"/>
      <c r="AB4678" s="404"/>
      <c r="AC4678" s="404"/>
      <c r="AD4678" s="404"/>
      <c r="AE4678" s="404"/>
      <c r="AF4678" s="404"/>
      <c r="AG4678" s="404"/>
      <c r="AH4678" s="404"/>
      <c r="AI4678" s="404"/>
      <c r="AJ4678" s="404"/>
      <c r="AK4678" s="404"/>
      <c r="AL4678" s="404"/>
      <c r="AM4678" s="404"/>
      <c r="AN4678" s="404"/>
      <c r="AO4678" s="404"/>
      <c r="AP4678" s="404"/>
      <c r="AQ4678" s="404"/>
      <c r="AR4678" s="404"/>
      <c r="AS4678" s="404"/>
      <c r="AT4678" s="404"/>
      <c r="AU4678" s="404"/>
      <c r="AV4678" s="404"/>
      <c r="AW4678" s="404"/>
      <c r="AX4678" s="404"/>
      <c r="AY4678" s="404"/>
      <c r="AZ4678" s="404"/>
      <c r="BA4678" s="404"/>
      <c r="BB4678" s="404"/>
      <c r="BC4678" s="404"/>
      <c r="BD4678" s="404"/>
      <c r="BE4678" s="404"/>
      <c r="BF4678" s="404"/>
      <c r="BG4678" s="404"/>
      <c r="BH4678" s="404"/>
      <c r="BI4678" s="404"/>
      <c r="BJ4678" s="404"/>
      <c r="BK4678" s="404"/>
      <c r="BL4678" s="404"/>
    </row>
    <row r="4679" spans="1:64" ht="13">
      <c r="A4679" s="454"/>
      <c r="B4679" s="454"/>
      <c r="C4679" s="427" t="s">
        <v>724</v>
      </c>
      <c r="D4679" s="426"/>
      <c r="E4679" s="408"/>
      <c r="F4679" s="408"/>
      <c r="G4679" s="430"/>
      <c r="H4679" s="414"/>
      <c r="I4679" s="414">
        <f>I4678/300</f>
        <v>1664.7528585216</v>
      </c>
      <c r="J4679" s="400"/>
      <c r="K4679" s="401"/>
      <c r="L4679" s="401"/>
      <c r="M4679" s="404"/>
      <c r="N4679" s="404"/>
      <c r="O4679" s="404"/>
      <c r="P4679" s="404"/>
      <c r="Q4679" s="404"/>
      <c r="R4679" s="404"/>
      <c r="S4679" s="404"/>
      <c r="T4679" s="404"/>
      <c r="U4679" s="404"/>
      <c r="V4679" s="404"/>
      <c r="W4679" s="404"/>
      <c r="X4679" s="404"/>
      <c r="Y4679" s="404"/>
      <c r="Z4679" s="404"/>
      <c r="AA4679" s="404"/>
      <c r="AB4679" s="404"/>
      <c r="AC4679" s="404"/>
      <c r="AD4679" s="404"/>
      <c r="AE4679" s="404"/>
      <c r="AF4679" s="404"/>
      <c r="AG4679" s="404"/>
      <c r="AH4679" s="404"/>
      <c r="AI4679" s="404"/>
      <c r="AJ4679" s="404"/>
      <c r="AK4679" s="404"/>
      <c r="AL4679" s="404"/>
      <c r="AM4679" s="404"/>
      <c r="AN4679" s="404"/>
      <c r="AO4679" s="404"/>
      <c r="AP4679" s="404"/>
      <c r="AQ4679" s="404"/>
      <c r="AR4679" s="404"/>
      <c r="AS4679" s="404"/>
      <c r="AT4679" s="404"/>
      <c r="AU4679" s="404"/>
      <c r="AV4679" s="404"/>
      <c r="AW4679" s="404"/>
      <c r="AX4679" s="404"/>
      <c r="AY4679" s="404"/>
      <c r="AZ4679" s="404"/>
      <c r="BA4679" s="404"/>
      <c r="BB4679" s="404"/>
      <c r="BC4679" s="404"/>
      <c r="BD4679" s="404"/>
      <c r="BE4679" s="404"/>
      <c r="BF4679" s="404"/>
      <c r="BG4679" s="404"/>
      <c r="BH4679" s="404"/>
      <c r="BI4679" s="404"/>
      <c r="BJ4679" s="404"/>
      <c r="BK4679" s="404"/>
      <c r="BL4679" s="404"/>
    </row>
    <row r="4680" spans="1:64" ht="13">
      <c r="A4680" s="454"/>
      <c r="B4680" s="454"/>
      <c r="C4680" s="427"/>
      <c r="D4680" s="408"/>
      <c r="E4680" s="408"/>
      <c r="F4680" s="408"/>
      <c r="G4680" s="430"/>
      <c r="H4680" s="415" t="s">
        <v>774</v>
      </c>
      <c r="I4680" s="416">
        <f>ROUND(I4679,0)</f>
        <v>1665</v>
      </c>
      <c r="J4680" s="400"/>
      <c r="K4680" s="401"/>
      <c r="L4680" s="401"/>
      <c r="M4680" s="404"/>
      <c r="N4680" s="404"/>
      <c r="O4680" s="404"/>
      <c r="P4680" s="404"/>
      <c r="Q4680" s="404"/>
      <c r="R4680" s="404"/>
      <c r="S4680" s="404"/>
      <c r="T4680" s="404"/>
      <c r="U4680" s="404"/>
      <c r="V4680" s="404"/>
      <c r="W4680" s="404"/>
      <c r="X4680" s="404"/>
      <c r="Y4680" s="404"/>
      <c r="Z4680" s="404"/>
      <c r="AA4680" s="404"/>
      <c r="AB4680" s="404"/>
      <c r="AC4680" s="404"/>
      <c r="AD4680" s="404"/>
      <c r="AE4680" s="404"/>
      <c r="AF4680" s="404"/>
      <c r="AG4680" s="404"/>
      <c r="AH4680" s="404"/>
      <c r="AI4680" s="404"/>
      <c r="AJ4680" s="404"/>
      <c r="AK4680" s="404"/>
      <c r="AL4680" s="404"/>
      <c r="AM4680" s="404"/>
      <c r="AN4680" s="404"/>
      <c r="AO4680" s="404"/>
      <c r="AP4680" s="404"/>
      <c r="AQ4680" s="404"/>
      <c r="AR4680" s="404"/>
      <c r="AS4680" s="404"/>
      <c r="AT4680" s="404"/>
      <c r="AU4680" s="404"/>
      <c r="AV4680" s="404"/>
      <c r="AW4680" s="404"/>
      <c r="AX4680" s="404"/>
      <c r="AY4680" s="404"/>
      <c r="AZ4680" s="404"/>
      <c r="BA4680" s="404"/>
      <c r="BB4680" s="404"/>
      <c r="BC4680" s="404"/>
      <c r="BD4680" s="404"/>
      <c r="BE4680" s="404"/>
      <c r="BF4680" s="404"/>
      <c r="BG4680" s="404"/>
      <c r="BH4680" s="404"/>
      <c r="BI4680" s="404"/>
      <c r="BJ4680" s="404"/>
      <c r="BK4680" s="404"/>
      <c r="BL4680" s="404"/>
    </row>
    <row r="4681" spans="1:64" ht="13">
      <c r="A4681" s="454"/>
      <c r="B4681" s="454"/>
      <c r="C4681" s="427"/>
      <c r="D4681" s="408"/>
      <c r="E4681" s="408"/>
      <c r="F4681" s="408"/>
      <c r="G4681" s="430"/>
      <c r="H4681" s="415"/>
      <c r="I4681" s="416"/>
      <c r="J4681" s="400"/>
      <c r="K4681" s="401"/>
      <c r="L4681" s="401"/>
      <c r="M4681" s="404"/>
      <c r="N4681" s="404"/>
      <c r="O4681" s="404"/>
      <c r="P4681" s="404"/>
      <c r="Q4681" s="404"/>
      <c r="R4681" s="404"/>
      <c r="S4681" s="404"/>
      <c r="T4681" s="404"/>
      <c r="U4681" s="404"/>
      <c r="V4681" s="404"/>
      <c r="W4681" s="404"/>
      <c r="X4681" s="404"/>
      <c r="Y4681" s="404"/>
      <c r="Z4681" s="404"/>
      <c r="AA4681" s="404"/>
      <c r="AB4681" s="404"/>
      <c r="AC4681" s="404"/>
      <c r="AD4681" s="404"/>
      <c r="AE4681" s="404"/>
      <c r="AF4681" s="404"/>
      <c r="AG4681" s="404"/>
      <c r="AH4681" s="404"/>
      <c r="AI4681" s="404"/>
      <c r="AJ4681" s="404"/>
      <c r="AK4681" s="404"/>
      <c r="AL4681" s="404"/>
      <c r="AM4681" s="404"/>
      <c r="AN4681" s="404"/>
      <c r="AO4681" s="404"/>
      <c r="AP4681" s="404"/>
      <c r="AQ4681" s="404"/>
      <c r="AR4681" s="404"/>
      <c r="AS4681" s="404"/>
      <c r="AT4681" s="404"/>
      <c r="AU4681" s="404"/>
      <c r="AV4681" s="404"/>
      <c r="AW4681" s="404"/>
      <c r="AX4681" s="404"/>
      <c r="AY4681" s="404"/>
      <c r="AZ4681" s="404"/>
      <c r="BA4681" s="404"/>
      <c r="BB4681" s="404"/>
      <c r="BC4681" s="404"/>
      <c r="BD4681" s="404"/>
      <c r="BE4681" s="404"/>
      <c r="BF4681" s="404"/>
      <c r="BG4681" s="404"/>
      <c r="BH4681" s="404"/>
      <c r="BI4681" s="404"/>
      <c r="BJ4681" s="404"/>
      <c r="BK4681" s="404"/>
      <c r="BL4681" s="404"/>
    </row>
    <row r="4682" spans="1:64" ht="70.150000000000006" customHeight="1">
      <c r="A4682" s="430">
        <f>A4630+1</f>
        <v>29</v>
      </c>
      <c r="B4682" s="454"/>
      <c r="C4682" s="1291" t="s">
        <v>1675</v>
      </c>
      <c r="D4682" s="1291"/>
      <c r="E4682" s="1291"/>
      <c r="F4682" s="1291"/>
      <c r="G4682" s="1291"/>
      <c r="H4682" s="1291"/>
      <c r="I4682" s="1291"/>
      <c r="J4682" s="400"/>
      <c r="K4682" s="401"/>
      <c r="L4682" s="401"/>
      <c r="M4682" s="404"/>
      <c r="N4682" s="404"/>
      <c r="O4682" s="404"/>
      <c r="P4682" s="404"/>
      <c r="Q4682" s="404"/>
      <c r="R4682" s="404"/>
      <c r="S4682" s="404"/>
      <c r="T4682" s="404"/>
      <c r="U4682" s="404"/>
      <c r="V4682" s="404"/>
      <c r="W4682" s="404"/>
      <c r="X4682" s="404"/>
      <c r="Y4682" s="404"/>
      <c r="Z4682" s="404"/>
      <c r="AA4682" s="404"/>
      <c r="AB4682" s="404"/>
      <c r="AC4682" s="404"/>
      <c r="AD4682" s="404"/>
      <c r="AE4682" s="404"/>
      <c r="AF4682" s="404"/>
      <c r="AG4682" s="404"/>
      <c r="AH4682" s="404"/>
      <c r="AI4682" s="404"/>
      <c r="AJ4682" s="404"/>
      <c r="AK4682" s="404"/>
      <c r="AL4682" s="404"/>
      <c r="AM4682" s="404"/>
      <c r="AN4682" s="404"/>
      <c r="AO4682" s="404"/>
      <c r="AP4682" s="404"/>
      <c r="AQ4682" s="404"/>
      <c r="AR4682" s="404"/>
      <c r="AS4682" s="404"/>
      <c r="AT4682" s="404"/>
      <c r="AU4682" s="404"/>
      <c r="AV4682" s="404"/>
      <c r="AW4682" s="404"/>
      <c r="AX4682" s="404"/>
      <c r="AY4682" s="404"/>
      <c r="AZ4682" s="404"/>
      <c r="BA4682" s="404"/>
      <c r="BB4682" s="404"/>
      <c r="BC4682" s="404"/>
      <c r="BD4682" s="404"/>
      <c r="BE4682" s="404"/>
      <c r="BF4682" s="404"/>
      <c r="BG4682" s="404"/>
      <c r="BH4682" s="404"/>
      <c r="BI4682" s="404"/>
      <c r="BJ4682" s="404"/>
      <c r="BK4682" s="404"/>
      <c r="BL4682" s="404"/>
    </row>
    <row r="4683" spans="1:64" ht="13">
      <c r="A4683" s="454"/>
      <c r="B4683" s="454"/>
      <c r="C4683" s="473" t="s">
        <v>1676</v>
      </c>
      <c r="D4683" s="454"/>
      <c r="E4683" s="454"/>
      <c r="F4683" s="454"/>
      <c r="G4683" s="454"/>
      <c r="H4683" s="454"/>
      <c r="I4683" s="454"/>
      <c r="J4683" s="400"/>
      <c r="K4683" s="401"/>
      <c r="L4683" s="401"/>
      <c r="M4683" s="404"/>
      <c r="N4683" s="404"/>
      <c r="O4683" s="404"/>
      <c r="P4683" s="404"/>
      <c r="Q4683" s="404"/>
      <c r="R4683" s="404"/>
      <c r="S4683" s="404"/>
      <c r="T4683" s="404"/>
      <c r="U4683" s="404"/>
      <c r="V4683" s="404"/>
      <c r="W4683" s="404"/>
      <c r="X4683" s="404"/>
      <c r="Y4683" s="404"/>
      <c r="Z4683" s="404"/>
      <c r="AA4683" s="404"/>
      <c r="AB4683" s="404"/>
      <c r="AC4683" s="404"/>
      <c r="AD4683" s="404"/>
      <c r="AE4683" s="404"/>
      <c r="AF4683" s="404"/>
      <c r="AG4683" s="404"/>
      <c r="AH4683" s="404"/>
      <c r="AI4683" s="404"/>
      <c r="AJ4683" s="404"/>
      <c r="AK4683" s="404"/>
      <c r="AL4683" s="404"/>
      <c r="AM4683" s="404"/>
      <c r="AN4683" s="404"/>
      <c r="AO4683" s="404"/>
      <c r="AP4683" s="404"/>
      <c r="AQ4683" s="404"/>
      <c r="AR4683" s="404"/>
      <c r="AS4683" s="404"/>
      <c r="AT4683" s="404"/>
      <c r="AU4683" s="404"/>
      <c r="AV4683" s="404"/>
      <c r="AW4683" s="404"/>
      <c r="AX4683" s="404"/>
      <c r="AY4683" s="404"/>
      <c r="AZ4683" s="404"/>
      <c r="BA4683" s="404"/>
      <c r="BB4683" s="404"/>
      <c r="BC4683" s="404"/>
      <c r="BD4683" s="404"/>
      <c r="BE4683" s="404"/>
      <c r="BF4683" s="404"/>
      <c r="BG4683" s="404"/>
      <c r="BH4683" s="404"/>
      <c r="BI4683" s="404"/>
      <c r="BJ4683" s="404"/>
      <c r="BK4683" s="404"/>
      <c r="BL4683" s="404"/>
    </row>
    <row r="4684" spans="1:64">
      <c r="A4684" s="454"/>
      <c r="B4684" s="454"/>
      <c r="C4684" s="751" t="s">
        <v>899</v>
      </c>
      <c r="D4684" s="454"/>
      <c r="E4684" s="454"/>
      <c r="F4684" s="454"/>
      <c r="G4684" s="454"/>
      <c r="H4684" s="454"/>
      <c r="I4684" s="454"/>
      <c r="J4684" s="400"/>
      <c r="K4684" s="401"/>
      <c r="L4684" s="401"/>
      <c r="M4684" s="404"/>
      <c r="N4684" s="404"/>
      <c r="O4684" s="404"/>
      <c r="P4684" s="404"/>
      <c r="Q4684" s="404"/>
      <c r="R4684" s="404"/>
      <c r="S4684" s="404"/>
      <c r="T4684" s="404"/>
      <c r="U4684" s="404"/>
      <c r="V4684" s="404"/>
      <c r="W4684" s="404"/>
      <c r="X4684" s="404"/>
      <c r="Y4684" s="404"/>
      <c r="Z4684" s="404"/>
      <c r="AA4684" s="404"/>
      <c r="AB4684" s="404"/>
      <c r="AC4684" s="404"/>
      <c r="AD4684" s="404"/>
      <c r="AE4684" s="404"/>
      <c r="AF4684" s="404"/>
      <c r="AG4684" s="404"/>
      <c r="AH4684" s="404"/>
      <c r="AI4684" s="404"/>
      <c r="AJ4684" s="404"/>
      <c r="AK4684" s="404"/>
      <c r="AL4684" s="404"/>
      <c r="AM4684" s="404"/>
      <c r="AN4684" s="404"/>
      <c r="AO4684" s="404"/>
      <c r="AP4684" s="404"/>
      <c r="AQ4684" s="404"/>
      <c r="AR4684" s="404"/>
      <c r="AS4684" s="404"/>
      <c r="AT4684" s="404"/>
      <c r="AU4684" s="404"/>
      <c r="AV4684" s="404"/>
      <c r="AW4684" s="404"/>
      <c r="AX4684" s="404"/>
      <c r="AY4684" s="404"/>
      <c r="AZ4684" s="404"/>
      <c r="BA4684" s="404"/>
      <c r="BB4684" s="404"/>
      <c r="BC4684" s="404"/>
      <c r="BD4684" s="404"/>
      <c r="BE4684" s="404"/>
      <c r="BF4684" s="404"/>
      <c r="BG4684" s="404"/>
      <c r="BH4684" s="404"/>
      <c r="BI4684" s="404"/>
      <c r="BJ4684" s="404"/>
      <c r="BK4684" s="404"/>
      <c r="BL4684" s="404"/>
    </row>
    <row r="4685" spans="1:64" ht="13">
      <c r="A4685" s="454"/>
      <c r="B4685" s="454"/>
      <c r="C4685" s="490" t="s">
        <v>873</v>
      </c>
      <c r="D4685" s="454"/>
      <c r="E4685" s="454"/>
      <c r="F4685" s="454"/>
      <c r="G4685" s="454"/>
      <c r="H4685" s="454"/>
      <c r="I4685" s="454"/>
      <c r="J4685" s="400"/>
      <c r="K4685" s="401"/>
      <c r="L4685" s="401"/>
      <c r="M4685" s="404"/>
      <c r="N4685" s="404"/>
      <c r="O4685" s="404"/>
      <c r="P4685" s="404"/>
      <c r="Q4685" s="404"/>
      <c r="R4685" s="404"/>
      <c r="S4685" s="404"/>
      <c r="T4685" s="404"/>
      <c r="U4685" s="404"/>
      <c r="V4685" s="404"/>
      <c r="W4685" s="404"/>
      <c r="X4685" s="404"/>
      <c r="Y4685" s="404"/>
      <c r="Z4685" s="404"/>
      <c r="AA4685" s="404"/>
      <c r="AB4685" s="404"/>
      <c r="AC4685" s="404"/>
      <c r="AD4685" s="404"/>
      <c r="AE4685" s="404"/>
      <c r="AF4685" s="404"/>
      <c r="AG4685" s="404"/>
      <c r="AH4685" s="404"/>
      <c r="AI4685" s="404"/>
      <c r="AJ4685" s="404"/>
      <c r="AK4685" s="404"/>
      <c r="AL4685" s="404"/>
      <c r="AM4685" s="404"/>
      <c r="AN4685" s="404"/>
      <c r="AO4685" s="404"/>
      <c r="AP4685" s="404"/>
      <c r="AQ4685" s="404"/>
      <c r="AR4685" s="404"/>
      <c r="AS4685" s="404"/>
      <c r="AT4685" s="404"/>
      <c r="AU4685" s="404"/>
      <c r="AV4685" s="404"/>
      <c r="AW4685" s="404"/>
      <c r="AX4685" s="404"/>
      <c r="AY4685" s="404"/>
      <c r="AZ4685" s="404"/>
      <c r="BA4685" s="404"/>
      <c r="BB4685" s="404"/>
      <c r="BC4685" s="404"/>
      <c r="BD4685" s="404"/>
      <c r="BE4685" s="404"/>
      <c r="BF4685" s="404"/>
      <c r="BG4685" s="404"/>
      <c r="BH4685" s="404"/>
      <c r="BI4685" s="404"/>
      <c r="BJ4685" s="404"/>
      <c r="BK4685" s="404"/>
      <c r="BL4685" s="404"/>
    </row>
    <row r="4686" spans="1:64">
      <c r="A4686" s="454"/>
      <c r="B4686" s="454"/>
      <c r="C4686" s="417" t="s">
        <v>906</v>
      </c>
      <c r="D4686" s="408">
        <v>0.8</v>
      </c>
      <c r="E4686" s="454" t="s">
        <v>57</v>
      </c>
      <c r="F4686" s="408">
        <f>$F$16</f>
        <v>1447.96</v>
      </c>
      <c r="G4686" s="430">
        <v>1</v>
      </c>
      <c r="H4686" s="454" t="str">
        <f t="shared" ref="H4686:H4689" si="1011">IF(E4686="","",IF(E4686="No.","Each",IF(E4686="Nos.","Each",E4686)))</f>
        <v>Cum</v>
      </c>
      <c r="I4686" s="408">
        <f t="shared" ref="I4686:I4689" si="1012">IF(G4686="",D4686*F4686,(D4686*F4686/G4686))</f>
        <v>1158.3680000000002</v>
      </c>
      <c r="J4686" s="400"/>
      <c r="K4686" s="401"/>
      <c r="L4686" s="401"/>
      <c r="M4686" s="404"/>
      <c r="N4686" s="404"/>
      <c r="O4686" s="404"/>
      <c r="P4686" s="404"/>
      <c r="Q4686" s="404"/>
      <c r="R4686" s="404"/>
      <c r="S4686" s="404"/>
      <c r="T4686" s="404"/>
      <c r="U4686" s="404"/>
      <c r="V4686" s="404"/>
      <c r="W4686" s="404"/>
      <c r="X4686" s="404"/>
      <c r="Y4686" s="404"/>
      <c r="Z4686" s="404"/>
      <c r="AA4686" s="404"/>
      <c r="AB4686" s="404"/>
      <c r="AC4686" s="404"/>
      <c r="AD4686" s="404"/>
      <c r="AE4686" s="404"/>
      <c r="AF4686" s="404"/>
      <c r="AG4686" s="404"/>
      <c r="AH4686" s="404"/>
      <c r="AI4686" s="404"/>
      <c r="AJ4686" s="404"/>
      <c r="AK4686" s="404"/>
      <c r="AL4686" s="404"/>
      <c r="AM4686" s="404"/>
      <c r="AN4686" s="404"/>
      <c r="AO4686" s="404"/>
      <c r="AP4686" s="404"/>
      <c r="AQ4686" s="404"/>
      <c r="AR4686" s="404"/>
      <c r="AS4686" s="404"/>
      <c r="AT4686" s="404"/>
      <c r="AU4686" s="404"/>
      <c r="AV4686" s="404"/>
      <c r="AW4686" s="404"/>
      <c r="AX4686" s="404"/>
      <c r="AY4686" s="404"/>
      <c r="AZ4686" s="404"/>
      <c r="BA4686" s="404"/>
      <c r="BB4686" s="404"/>
      <c r="BC4686" s="404"/>
      <c r="BD4686" s="404"/>
      <c r="BE4686" s="404"/>
      <c r="BF4686" s="404"/>
      <c r="BG4686" s="404"/>
      <c r="BH4686" s="404"/>
      <c r="BI4686" s="404"/>
      <c r="BJ4686" s="404"/>
      <c r="BK4686" s="404"/>
      <c r="BL4686" s="404"/>
    </row>
    <row r="4687" spans="1:64">
      <c r="A4687" s="454"/>
      <c r="B4687" s="454"/>
      <c r="C4687" s="417" t="s">
        <v>481</v>
      </c>
      <c r="D4687" s="408">
        <f>0.4</f>
        <v>0.4</v>
      </c>
      <c r="E4687" s="454" t="s">
        <v>57</v>
      </c>
      <c r="F4687" s="408">
        <f>[161]LEAD!$N$12</f>
        <v>2253.91</v>
      </c>
      <c r="G4687" s="430">
        <v>1</v>
      </c>
      <c r="H4687" s="454" t="str">
        <f t="shared" si="1011"/>
        <v>Cum</v>
      </c>
      <c r="I4687" s="408">
        <f t="shared" si="1012"/>
        <v>901.56399999999996</v>
      </c>
      <c r="J4687" s="400"/>
      <c r="K4687" s="401"/>
      <c r="L4687" s="401"/>
      <c r="M4687" s="404"/>
      <c r="N4687" s="404"/>
      <c r="O4687" s="404"/>
      <c r="P4687" s="404"/>
      <c r="Q4687" s="404"/>
      <c r="R4687" s="404"/>
      <c r="S4687" s="404"/>
      <c r="T4687" s="404"/>
      <c r="U4687" s="404"/>
      <c r="V4687" s="404"/>
      <c r="W4687" s="404"/>
      <c r="X4687" s="404"/>
      <c r="Y4687" s="404"/>
      <c r="Z4687" s="404"/>
      <c r="AA4687" s="404"/>
      <c r="AB4687" s="404"/>
      <c r="AC4687" s="404"/>
      <c r="AD4687" s="404"/>
      <c r="AE4687" s="404"/>
      <c r="AF4687" s="404"/>
      <c r="AG4687" s="404"/>
      <c r="AH4687" s="404"/>
      <c r="AI4687" s="404"/>
      <c r="AJ4687" s="404"/>
      <c r="AK4687" s="404"/>
      <c r="AL4687" s="404"/>
      <c r="AM4687" s="404"/>
      <c r="AN4687" s="404"/>
      <c r="AO4687" s="404"/>
      <c r="AP4687" s="404"/>
      <c r="AQ4687" s="404"/>
      <c r="AR4687" s="404"/>
      <c r="AS4687" s="404"/>
      <c r="AT4687" s="404"/>
      <c r="AU4687" s="404"/>
      <c r="AV4687" s="404"/>
      <c r="AW4687" s="404"/>
      <c r="AX4687" s="404"/>
      <c r="AY4687" s="404"/>
      <c r="AZ4687" s="404"/>
      <c r="BA4687" s="404"/>
      <c r="BB4687" s="404"/>
      <c r="BC4687" s="404"/>
      <c r="BD4687" s="404"/>
      <c r="BE4687" s="404"/>
      <c r="BF4687" s="404"/>
      <c r="BG4687" s="404"/>
      <c r="BH4687" s="404"/>
      <c r="BI4687" s="404"/>
      <c r="BJ4687" s="404"/>
      <c r="BK4687" s="404"/>
      <c r="BL4687" s="404"/>
    </row>
    <row r="4688" spans="1:64">
      <c r="A4688" s="454"/>
      <c r="B4688" s="454"/>
      <c r="C4688" s="417" t="s">
        <v>504</v>
      </c>
      <c r="D4688" s="408">
        <v>350</v>
      </c>
      <c r="E4688" s="454" t="s">
        <v>833</v>
      </c>
      <c r="F4688" s="408">
        <f>[161]LEAD!$N$6</f>
        <v>5200</v>
      </c>
      <c r="G4688" s="430">
        <v>1000</v>
      </c>
      <c r="H4688" s="454" t="str">
        <f t="shared" si="1011"/>
        <v>Kgs</v>
      </c>
      <c r="I4688" s="408">
        <f t="shared" si="1012"/>
        <v>1820</v>
      </c>
      <c r="J4688" s="400"/>
      <c r="K4688" s="401"/>
      <c r="L4688" s="401"/>
      <c r="M4688" s="404"/>
      <c r="N4688" s="404"/>
      <c r="O4688" s="404"/>
      <c r="P4688" s="404"/>
      <c r="Q4688" s="404"/>
      <c r="R4688" s="404"/>
      <c r="S4688" s="404"/>
      <c r="T4688" s="404"/>
      <c r="U4688" s="404"/>
      <c r="V4688" s="404"/>
      <c r="W4688" s="404"/>
      <c r="X4688" s="404"/>
      <c r="Y4688" s="404"/>
      <c r="Z4688" s="404"/>
      <c r="AA4688" s="404"/>
      <c r="AB4688" s="404"/>
      <c r="AC4688" s="404"/>
      <c r="AD4688" s="404"/>
      <c r="AE4688" s="404"/>
      <c r="AF4688" s="404"/>
      <c r="AG4688" s="404"/>
      <c r="AH4688" s="404"/>
      <c r="AI4688" s="404"/>
      <c r="AJ4688" s="404"/>
      <c r="AK4688" s="404"/>
      <c r="AL4688" s="404"/>
      <c r="AM4688" s="404"/>
      <c r="AN4688" s="404"/>
      <c r="AO4688" s="404"/>
      <c r="AP4688" s="404"/>
      <c r="AQ4688" s="404"/>
      <c r="AR4688" s="404"/>
      <c r="AS4688" s="404"/>
      <c r="AT4688" s="404"/>
      <c r="AU4688" s="404"/>
      <c r="AV4688" s="404"/>
      <c r="AW4688" s="404"/>
      <c r="AX4688" s="404"/>
      <c r="AY4688" s="404"/>
      <c r="AZ4688" s="404"/>
      <c r="BA4688" s="404"/>
      <c r="BB4688" s="404"/>
      <c r="BC4688" s="404"/>
      <c r="BD4688" s="404"/>
      <c r="BE4688" s="404"/>
      <c r="BF4688" s="404"/>
      <c r="BG4688" s="404"/>
      <c r="BH4688" s="404"/>
      <c r="BI4688" s="404"/>
      <c r="BJ4688" s="404"/>
      <c r="BK4688" s="404"/>
      <c r="BL4688" s="404"/>
    </row>
    <row r="4689" spans="1:64">
      <c r="A4689" s="454"/>
      <c r="B4689" s="454"/>
      <c r="C4689" s="417" t="s">
        <v>901</v>
      </c>
      <c r="D4689" s="408">
        <v>1.2</v>
      </c>
      <c r="E4689" s="454" t="s">
        <v>853</v>
      </c>
      <c r="F4689" s="408">
        <f>[161]Input!$D$53</f>
        <v>108</v>
      </c>
      <c r="G4689" s="430">
        <v>1</v>
      </c>
      <c r="H4689" s="454" t="str">
        <f t="shared" si="1011"/>
        <v>Kl</v>
      </c>
      <c r="I4689" s="408">
        <f t="shared" si="1012"/>
        <v>129.6</v>
      </c>
      <c r="J4689" s="400"/>
      <c r="K4689" s="401"/>
      <c r="L4689" s="401"/>
      <c r="M4689" s="404"/>
      <c r="N4689" s="404"/>
      <c r="O4689" s="404"/>
      <c r="P4689" s="404"/>
      <c r="Q4689" s="404"/>
      <c r="R4689" s="404"/>
      <c r="S4689" s="404"/>
      <c r="T4689" s="404"/>
      <c r="U4689" s="404"/>
      <c r="V4689" s="404"/>
      <c r="W4689" s="404"/>
      <c r="X4689" s="404"/>
      <c r="Y4689" s="404"/>
      <c r="Z4689" s="404"/>
      <c r="AA4689" s="404"/>
      <c r="AB4689" s="404"/>
      <c r="AC4689" s="404"/>
      <c r="AD4689" s="404"/>
      <c r="AE4689" s="404"/>
      <c r="AF4689" s="404"/>
      <c r="AG4689" s="404"/>
      <c r="AH4689" s="404"/>
      <c r="AI4689" s="404"/>
      <c r="AJ4689" s="404"/>
      <c r="AK4689" s="404"/>
      <c r="AL4689" s="404"/>
      <c r="AM4689" s="404"/>
      <c r="AN4689" s="404"/>
      <c r="AO4689" s="404"/>
      <c r="AP4689" s="404"/>
      <c r="AQ4689" s="404"/>
      <c r="AR4689" s="404"/>
      <c r="AS4689" s="404"/>
      <c r="AT4689" s="404"/>
      <c r="AU4689" s="404"/>
      <c r="AV4689" s="404"/>
      <c r="AW4689" s="404"/>
      <c r="AX4689" s="404"/>
      <c r="AY4689" s="404"/>
      <c r="AZ4689" s="404"/>
      <c r="BA4689" s="404"/>
      <c r="BB4689" s="404"/>
      <c r="BC4689" s="404"/>
      <c r="BD4689" s="404"/>
      <c r="BE4689" s="404"/>
      <c r="BF4689" s="404"/>
      <c r="BG4689" s="404"/>
      <c r="BH4689" s="404"/>
      <c r="BI4689" s="404"/>
      <c r="BJ4689" s="404"/>
      <c r="BK4689" s="404"/>
      <c r="BL4689" s="404"/>
    </row>
    <row r="4690" spans="1:64" ht="13">
      <c r="A4690" s="454"/>
      <c r="B4690" s="454"/>
      <c r="C4690" s="427" t="s">
        <v>878</v>
      </c>
      <c r="D4690" s="408"/>
      <c r="E4690" s="454"/>
      <c r="F4690" s="408"/>
      <c r="G4690" s="430"/>
      <c r="H4690" s="454"/>
      <c r="I4690" s="408"/>
      <c r="J4690" s="400"/>
      <c r="K4690" s="401"/>
      <c r="L4690" s="401"/>
      <c r="M4690" s="404"/>
      <c r="N4690" s="404"/>
      <c r="O4690" s="404"/>
      <c r="P4690" s="404"/>
      <c r="Q4690" s="404"/>
      <c r="R4690" s="404"/>
      <c r="S4690" s="404"/>
      <c r="T4690" s="404"/>
      <c r="U4690" s="404"/>
      <c r="V4690" s="404"/>
      <c r="W4690" s="404"/>
      <c r="X4690" s="404"/>
      <c r="Y4690" s="404"/>
      <c r="Z4690" s="404"/>
      <c r="AA4690" s="404"/>
      <c r="AB4690" s="404"/>
      <c r="AC4690" s="404"/>
      <c r="AD4690" s="404"/>
      <c r="AE4690" s="404"/>
      <c r="AF4690" s="404"/>
      <c r="AG4690" s="404"/>
      <c r="AH4690" s="404"/>
      <c r="AI4690" s="404"/>
      <c r="AJ4690" s="404"/>
      <c r="AK4690" s="404"/>
      <c r="AL4690" s="404"/>
      <c r="AM4690" s="404"/>
      <c r="AN4690" s="404"/>
      <c r="AO4690" s="404"/>
      <c r="AP4690" s="404"/>
      <c r="AQ4690" s="404"/>
      <c r="AR4690" s="404"/>
      <c r="AS4690" s="404"/>
      <c r="AT4690" s="404"/>
      <c r="AU4690" s="404"/>
      <c r="AV4690" s="404"/>
      <c r="AW4690" s="404"/>
      <c r="AX4690" s="404"/>
      <c r="AY4690" s="404"/>
      <c r="AZ4690" s="404"/>
      <c r="BA4690" s="404"/>
      <c r="BB4690" s="404"/>
      <c r="BC4690" s="404"/>
      <c r="BD4690" s="404"/>
      <c r="BE4690" s="404"/>
      <c r="BF4690" s="404"/>
      <c r="BG4690" s="404"/>
      <c r="BH4690" s="404"/>
      <c r="BI4690" s="404"/>
      <c r="BJ4690" s="404"/>
      <c r="BK4690" s="404"/>
      <c r="BL4690" s="404"/>
    </row>
    <row r="4691" spans="1:64">
      <c r="A4691" s="454"/>
      <c r="B4691" s="454"/>
      <c r="C4691" s="417" t="s">
        <v>916</v>
      </c>
      <c r="D4691" s="491">
        <v>0.308</v>
      </c>
      <c r="E4691" s="408" t="s">
        <v>826</v>
      </c>
      <c r="F4691" s="408">
        <f>'[161]Civil-SOR'!$G$329</f>
        <v>265.79999999999995</v>
      </c>
      <c r="G4691" s="430">
        <v>1</v>
      </c>
      <c r="H4691" s="430" t="str">
        <f t="shared" ref="H4691:H4692" si="1013">IF(E4691="","",IF(E4691="No.","Each",IF(E4691="Nos.","Each",E4691)))</f>
        <v>hour</v>
      </c>
      <c r="I4691" s="408">
        <f t="shared" ref="I4691:I4695" si="1014">IF(G4691="",D4691*F4691,(D4691*F4691/G4691))</f>
        <v>81.866399999999985</v>
      </c>
      <c r="J4691" s="400"/>
      <c r="K4691" s="401"/>
      <c r="L4691" s="401"/>
      <c r="M4691" s="404"/>
      <c r="N4691" s="404"/>
      <c r="O4691" s="404"/>
      <c r="P4691" s="404"/>
      <c r="Q4691" s="404"/>
      <c r="R4691" s="404"/>
      <c r="S4691" s="404"/>
      <c r="T4691" s="404"/>
      <c r="U4691" s="404"/>
      <c r="V4691" s="404"/>
      <c r="W4691" s="404"/>
      <c r="X4691" s="404"/>
      <c r="Y4691" s="404"/>
      <c r="Z4691" s="404"/>
      <c r="AA4691" s="404"/>
      <c r="AB4691" s="404"/>
      <c r="AC4691" s="404"/>
      <c r="AD4691" s="404"/>
      <c r="AE4691" s="404"/>
      <c r="AF4691" s="404"/>
      <c r="AG4691" s="404"/>
      <c r="AH4691" s="404"/>
      <c r="AI4691" s="404"/>
      <c r="AJ4691" s="404"/>
      <c r="AK4691" s="404"/>
      <c r="AL4691" s="404"/>
      <c r="AM4691" s="404"/>
      <c r="AN4691" s="404"/>
      <c r="AO4691" s="404"/>
      <c r="AP4691" s="404"/>
      <c r="AQ4691" s="404"/>
      <c r="AR4691" s="404"/>
      <c r="AS4691" s="404"/>
      <c r="AT4691" s="404"/>
      <c r="AU4691" s="404"/>
      <c r="AV4691" s="404"/>
      <c r="AW4691" s="404"/>
      <c r="AX4691" s="404"/>
      <c r="AY4691" s="404"/>
      <c r="AZ4691" s="404"/>
      <c r="BA4691" s="404"/>
      <c r="BB4691" s="404"/>
      <c r="BC4691" s="404"/>
      <c r="BD4691" s="404"/>
      <c r="BE4691" s="404"/>
      <c r="BF4691" s="404"/>
      <c r="BG4691" s="404"/>
      <c r="BH4691" s="404"/>
      <c r="BI4691" s="404"/>
      <c r="BJ4691" s="404"/>
      <c r="BK4691" s="404"/>
      <c r="BL4691" s="404"/>
    </row>
    <row r="4692" spans="1:64">
      <c r="A4692" s="454"/>
      <c r="B4692" s="454"/>
      <c r="C4692" s="417" t="s">
        <v>828</v>
      </c>
      <c r="D4692" s="491">
        <v>0.308</v>
      </c>
      <c r="E4692" s="408" t="s">
        <v>826</v>
      </c>
      <c r="F4692" s="408">
        <f>'[161]Civil-SOR'!$J$329</f>
        <v>454.8</v>
      </c>
      <c r="G4692" s="430">
        <v>1</v>
      </c>
      <c r="H4692" s="430" t="str">
        <f t="shared" si="1013"/>
        <v>hour</v>
      </c>
      <c r="I4692" s="408">
        <f t="shared" si="1014"/>
        <v>140.07839999999999</v>
      </c>
      <c r="J4692" s="400"/>
      <c r="K4692" s="401"/>
      <c r="L4692" s="401"/>
      <c r="M4692" s="404"/>
      <c r="N4692" s="404"/>
      <c r="O4692" s="404"/>
      <c r="P4692" s="404"/>
      <c r="Q4692" s="404"/>
      <c r="R4692" s="404"/>
      <c r="S4692" s="404"/>
      <c r="T4692" s="404"/>
      <c r="U4692" s="404"/>
      <c r="V4692" s="404"/>
      <c r="W4692" s="404"/>
      <c r="X4692" s="404"/>
      <c r="Y4692" s="404"/>
      <c r="Z4692" s="404"/>
      <c r="AA4692" s="404"/>
      <c r="AB4692" s="404"/>
      <c r="AC4692" s="404"/>
      <c r="AD4692" s="404"/>
      <c r="AE4692" s="404"/>
      <c r="AF4692" s="404"/>
      <c r="AG4692" s="404"/>
      <c r="AH4692" s="404"/>
      <c r="AI4692" s="404"/>
      <c r="AJ4692" s="404"/>
      <c r="AK4692" s="404"/>
      <c r="AL4692" s="404"/>
      <c r="AM4692" s="404"/>
      <c r="AN4692" s="404"/>
      <c r="AO4692" s="404"/>
      <c r="AP4692" s="404"/>
      <c r="AQ4692" s="404"/>
      <c r="AR4692" s="404"/>
      <c r="AS4692" s="404"/>
      <c r="AT4692" s="404"/>
      <c r="AU4692" s="404"/>
      <c r="AV4692" s="404"/>
      <c r="AW4692" s="404"/>
      <c r="AX4692" s="404"/>
      <c r="AY4692" s="404"/>
      <c r="AZ4692" s="404"/>
      <c r="BA4692" s="404"/>
      <c r="BB4692" s="404"/>
      <c r="BC4692" s="404"/>
      <c r="BD4692" s="404"/>
      <c r="BE4692" s="404"/>
      <c r="BF4692" s="404"/>
      <c r="BG4692" s="404"/>
      <c r="BH4692" s="404"/>
      <c r="BI4692" s="404"/>
      <c r="BJ4692" s="404"/>
      <c r="BK4692" s="404"/>
      <c r="BL4692" s="404"/>
    </row>
    <row r="4693" spans="1:64">
      <c r="A4693" s="454"/>
      <c r="B4693" s="454"/>
      <c r="C4693" s="417" t="s">
        <v>917</v>
      </c>
      <c r="D4693" s="491">
        <v>1</v>
      </c>
      <c r="E4693" s="426" t="s">
        <v>796</v>
      </c>
      <c r="F4693" s="409">
        <f>'[161]Civil-SOR'!$G$332</f>
        <v>36.5</v>
      </c>
      <c r="G4693" s="410">
        <v>1</v>
      </c>
      <c r="H4693" s="426" t="s">
        <v>826</v>
      </c>
      <c r="I4693" s="408">
        <f t="shared" si="1014"/>
        <v>36.5</v>
      </c>
      <c r="J4693" s="400"/>
      <c r="K4693" s="401"/>
      <c r="L4693" s="401"/>
      <c r="M4693" s="404"/>
      <c r="N4693" s="404"/>
      <c r="O4693" s="404"/>
      <c r="P4693" s="404"/>
      <c r="Q4693" s="404"/>
      <c r="R4693" s="404"/>
      <c r="S4693" s="404"/>
      <c r="T4693" s="404"/>
      <c r="U4693" s="404"/>
      <c r="V4693" s="404"/>
      <c r="W4693" s="404"/>
      <c r="X4693" s="404"/>
      <c r="Y4693" s="404"/>
      <c r="Z4693" s="404"/>
      <c r="AA4693" s="404"/>
      <c r="AB4693" s="404"/>
      <c r="AC4693" s="404"/>
      <c r="AD4693" s="404"/>
      <c r="AE4693" s="404"/>
      <c r="AF4693" s="404"/>
      <c r="AG4693" s="404"/>
      <c r="AH4693" s="404"/>
      <c r="AI4693" s="404"/>
      <c r="AJ4693" s="404"/>
      <c r="AK4693" s="404"/>
      <c r="AL4693" s="404"/>
      <c r="AM4693" s="404"/>
      <c r="AN4693" s="404"/>
      <c r="AO4693" s="404"/>
      <c r="AP4693" s="404"/>
      <c r="AQ4693" s="404"/>
      <c r="AR4693" s="404"/>
      <c r="AS4693" s="404"/>
      <c r="AT4693" s="404"/>
      <c r="AU4693" s="404"/>
      <c r="AV4693" s="404"/>
      <c r="AW4693" s="404"/>
      <c r="AX4693" s="404"/>
      <c r="AY4693" s="404"/>
      <c r="AZ4693" s="404"/>
      <c r="BA4693" s="404"/>
      <c r="BB4693" s="404"/>
      <c r="BC4693" s="404"/>
      <c r="BD4693" s="404"/>
      <c r="BE4693" s="404"/>
      <c r="BF4693" s="404"/>
      <c r="BG4693" s="404"/>
      <c r="BH4693" s="404"/>
      <c r="BI4693" s="404"/>
      <c r="BJ4693" s="404"/>
      <c r="BK4693" s="404"/>
      <c r="BL4693" s="404"/>
    </row>
    <row r="4694" spans="1:64">
      <c r="A4694" s="454"/>
      <c r="B4694" s="454"/>
      <c r="C4694" s="417" t="s">
        <v>828</v>
      </c>
      <c r="D4694" s="491">
        <v>1</v>
      </c>
      <c r="E4694" s="426" t="s">
        <v>796</v>
      </c>
      <c r="F4694" s="409">
        <f>'[161]Civil-SOR'!$J$332</f>
        <v>218</v>
      </c>
      <c r="G4694" s="410">
        <v>1</v>
      </c>
      <c r="H4694" s="426" t="s">
        <v>826</v>
      </c>
      <c r="I4694" s="408">
        <f t="shared" si="1014"/>
        <v>218</v>
      </c>
      <c r="J4694" s="400"/>
      <c r="K4694" s="401"/>
      <c r="L4694" s="401"/>
      <c r="M4694" s="404"/>
      <c r="N4694" s="404"/>
      <c r="O4694" s="404"/>
      <c r="P4694" s="404"/>
      <c r="Q4694" s="404"/>
      <c r="R4694" s="404"/>
      <c r="S4694" s="404"/>
      <c r="T4694" s="404"/>
      <c r="U4694" s="404"/>
      <c r="V4694" s="404"/>
      <c r="W4694" s="404"/>
      <c r="X4694" s="404"/>
      <c r="Y4694" s="404"/>
      <c r="Z4694" s="404"/>
      <c r="AA4694" s="404"/>
      <c r="AB4694" s="404"/>
      <c r="AC4694" s="404"/>
      <c r="AD4694" s="404"/>
      <c r="AE4694" s="404"/>
      <c r="AF4694" s="404"/>
      <c r="AG4694" s="404"/>
      <c r="AH4694" s="404"/>
      <c r="AI4694" s="404"/>
      <c r="AJ4694" s="404"/>
      <c r="AK4694" s="404"/>
      <c r="AL4694" s="404"/>
      <c r="AM4694" s="404"/>
      <c r="AN4694" s="404"/>
      <c r="AO4694" s="404"/>
      <c r="AP4694" s="404"/>
      <c r="AQ4694" s="404"/>
      <c r="AR4694" s="404"/>
      <c r="AS4694" s="404"/>
      <c r="AT4694" s="404"/>
      <c r="AU4694" s="404"/>
      <c r="AV4694" s="404"/>
      <c r="AW4694" s="404"/>
      <c r="AX4694" s="404"/>
      <c r="AY4694" s="404"/>
      <c r="AZ4694" s="404"/>
      <c r="BA4694" s="404"/>
      <c r="BB4694" s="404"/>
      <c r="BC4694" s="404"/>
      <c r="BD4694" s="404"/>
      <c r="BE4694" s="404"/>
      <c r="BF4694" s="404"/>
      <c r="BG4694" s="404"/>
      <c r="BH4694" s="404"/>
      <c r="BI4694" s="404"/>
      <c r="BJ4694" s="404"/>
      <c r="BK4694" s="404"/>
      <c r="BL4694" s="404"/>
    </row>
    <row r="4695" spans="1:64">
      <c r="A4695" s="454"/>
      <c r="B4695" s="454"/>
      <c r="C4695" s="417" t="str">
        <f>[161]Input!$C$47</f>
        <v>Add for MA @ 40%</v>
      </c>
      <c r="D4695" s="746">
        <f>[161]Input!$D$47</f>
        <v>0.4</v>
      </c>
      <c r="E4695" s="408"/>
      <c r="F4695" s="408">
        <f>I4692+I4694</f>
        <v>358.07839999999999</v>
      </c>
      <c r="G4695" s="430"/>
      <c r="H4695" s="430"/>
      <c r="I4695" s="408">
        <f t="shared" si="1014"/>
        <v>143.23136</v>
      </c>
      <c r="J4695" s="400"/>
      <c r="K4695" s="401"/>
      <c r="L4695" s="401"/>
      <c r="M4695" s="404"/>
      <c r="N4695" s="404"/>
      <c r="O4695" s="404"/>
      <c r="P4695" s="404"/>
      <c r="Q4695" s="404"/>
      <c r="R4695" s="404"/>
      <c r="S4695" s="404"/>
      <c r="T4695" s="404"/>
      <c r="U4695" s="404"/>
      <c r="V4695" s="404"/>
      <c r="W4695" s="404"/>
      <c r="X4695" s="404"/>
      <c r="Y4695" s="404"/>
      <c r="Z4695" s="404"/>
      <c r="AA4695" s="404"/>
      <c r="AB4695" s="404"/>
      <c r="AC4695" s="404"/>
      <c r="AD4695" s="404"/>
      <c r="AE4695" s="404"/>
      <c r="AF4695" s="404"/>
      <c r="AG4695" s="404"/>
      <c r="AH4695" s="404"/>
      <c r="AI4695" s="404"/>
      <c r="AJ4695" s="404"/>
      <c r="AK4695" s="404"/>
      <c r="AL4695" s="404"/>
      <c r="AM4695" s="404"/>
      <c r="AN4695" s="404"/>
      <c r="AO4695" s="404"/>
      <c r="AP4695" s="404"/>
      <c r="AQ4695" s="404"/>
      <c r="AR4695" s="404"/>
      <c r="AS4695" s="404"/>
      <c r="AT4695" s="404"/>
      <c r="AU4695" s="404"/>
      <c r="AV4695" s="404"/>
      <c r="AW4695" s="404"/>
      <c r="AX4695" s="404"/>
      <c r="AY4695" s="404"/>
      <c r="AZ4695" s="404"/>
      <c r="BA4695" s="404"/>
      <c r="BB4695" s="404"/>
      <c r="BC4695" s="404"/>
      <c r="BD4695" s="404"/>
      <c r="BE4695" s="404"/>
      <c r="BF4695" s="404"/>
      <c r="BG4695" s="404"/>
      <c r="BH4695" s="404"/>
      <c r="BI4695" s="404"/>
      <c r="BJ4695" s="404"/>
      <c r="BK4695" s="404"/>
      <c r="BL4695" s="404"/>
    </row>
    <row r="4696" spans="1:64" ht="13">
      <c r="A4696" s="454"/>
      <c r="B4696" s="454"/>
      <c r="C4696" s="427" t="s">
        <v>880</v>
      </c>
      <c r="D4696" s="408"/>
      <c r="E4696" s="454"/>
      <c r="F4696" s="408"/>
      <c r="G4696" s="430"/>
      <c r="H4696" s="454"/>
      <c r="I4696" s="408"/>
      <c r="J4696" s="400"/>
      <c r="K4696" s="401"/>
      <c r="L4696" s="401"/>
      <c r="M4696" s="404"/>
      <c r="N4696" s="404"/>
      <c r="O4696" s="404"/>
      <c r="P4696" s="404"/>
      <c r="Q4696" s="404"/>
      <c r="R4696" s="404"/>
      <c r="S4696" s="404"/>
      <c r="T4696" s="404"/>
      <c r="U4696" s="404"/>
      <c r="V4696" s="404"/>
      <c r="W4696" s="404"/>
      <c r="X4696" s="404"/>
      <c r="Y4696" s="404"/>
      <c r="Z4696" s="404"/>
      <c r="AA4696" s="404"/>
      <c r="AB4696" s="404"/>
      <c r="AC4696" s="404"/>
      <c r="AD4696" s="404"/>
      <c r="AE4696" s="404"/>
      <c r="AF4696" s="404"/>
      <c r="AG4696" s="404"/>
      <c r="AH4696" s="404"/>
      <c r="AI4696" s="404"/>
      <c r="AJ4696" s="404"/>
      <c r="AK4696" s="404"/>
      <c r="AL4696" s="404"/>
      <c r="AM4696" s="404"/>
      <c r="AN4696" s="404"/>
      <c r="AO4696" s="404"/>
      <c r="AP4696" s="404"/>
      <c r="AQ4696" s="404"/>
      <c r="AR4696" s="404"/>
      <c r="AS4696" s="404"/>
      <c r="AT4696" s="404"/>
      <c r="AU4696" s="404"/>
      <c r="AV4696" s="404"/>
      <c r="AW4696" s="404"/>
      <c r="AX4696" s="404"/>
      <c r="AY4696" s="404"/>
      <c r="AZ4696" s="404"/>
      <c r="BA4696" s="404"/>
      <c r="BB4696" s="404"/>
      <c r="BC4696" s="404"/>
      <c r="BD4696" s="404"/>
      <c r="BE4696" s="404"/>
      <c r="BF4696" s="404"/>
      <c r="BG4696" s="404"/>
      <c r="BH4696" s="404"/>
      <c r="BI4696" s="404"/>
      <c r="BJ4696" s="404"/>
      <c r="BK4696" s="404"/>
      <c r="BL4696" s="404"/>
    </row>
    <row r="4697" spans="1:64">
      <c r="A4697" s="454"/>
      <c r="B4697" s="454"/>
      <c r="C4697" s="417" t="s">
        <v>881</v>
      </c>
      <c r="D4697" s="532">
        <v>0.1</v>
      </c>
      <c r="E4697" s="454" t="s">
        <v>375</v>
      </c>
      <c r="F4697" s="408">
        <f>'[161]Civil-SOR'!$G$293</f>
        <v>580</v>
      </c>
      <c r="G4697" s="430">
        <v>1</v>
      </c>
      <c r="H4697" s="454" t="str">
        <f t="shared" ref="H4697:H4698" si="1015">IF(E4697="","",IF(E4697="No.","Each",IF(E4697="Nos.","Each",E4697)))</f>
        <v>Each</v>
      </c>
      <c r="I4697" s="408">
        <f t="shared" ref="I4697:I4699" si="1016">IF(G4697="",D4697*F4697,(D4697*F4697/G4697))</f>
        <v>58</v>
      </c>
      <c r="J4697" s="400"/>
      <c r="K4697" s="401"/>
      <c r="L4697" s="401"/>
      <c r="M4697" s="404"/>
      <c r="N4697" s="404"/>
      <c r="O4697" s="404"/>
      <c r="P4697" s="404"/>
      <c r="Q4697" s="404"/>
      <c r="R4697" s="404"/>
      <c r="S4697" s="404"/>
      <c r="T4697" s="404"/>
      <c r="U4697" s="404"/>
      <c r="V4697" s="404"/>
      <c r="W4697" s="404"/>
      <c r="X4697" s="404"/>
      <c r="Y4697" s="404"/>
      <c r="Z4697" s="404"/>
      <c r="AA4697" s="404"/>
      <c r="AB4697" s="404"/>
      <c r="AC4697" s="404"/>
      <c r="AD4697" s="404"/>
      <c r="AE4697" s="404"/>
      <c r="AF4697" s="404"/>
      <c r="AG4697" s="404"/>
      <c r="AH4697" s="404"/>
      <c r="AI4697" s="404"/>
      <c r="AJ4697" s="404"/>
      <c r="AK4697" s="404"/>
      <c r="AL4697" s="404"/>
      <c r="AM4697" s="404"/>
      <c r="AN4697" s="404"/>
      <c r="AO4697" s="404"/>
      <c r="AP4697" s="404"/>
      <c r="AQ4697" s="404"/>
      <c r="AR4697" s="404"/>
      <c r="AS4697" s="404"/>
      <c r="AT4697" s="404"/>
      <c r="AU4697" s="404"/>
      <c r="AV4697" s="404"/>
      <c r="AW4697" s="404"/>
      <c r="AX4697" s="404"/>
      <c r="AY4697" s="404"/>
      <c r="AZ4697" s="404"/>
      <c r="BA4697" s="404"/>
      <c r="BB4697" s="404"/>
      <c r="BC4697" s="404"/>
      <c r="BD4697" s="404"/>
      <c r="BE4697" s="404"/>
      <c r="BF4697" s="404"/>
      <c r="BG4697" s="404"/>
      <c r="BH4697" s="404"/>
      <c r="BI4697" s="404"/>
      <c r="BJ4697" s="404"/>
      <c r="BK4697" s="404"/>
      <c r="BL4697" s="404"/>
    </row>
    <row r="4698" spans="1:64">
      <c r="A4698" s="454"/>
      <c r="B4698" s="454"/>
      <c r="C4698" s="417" t="s">
        <v>903</v>
      </c>
      <c r="D4698" s="532">
        <v>1.39</v>
      </c>
      <c r="E4698" s="454" t="s">
        <v>375</v>
      </c>
      <c r="F4698" s="408">
        <f>'[161]Civil-SOR'!$G$307</f>
        <v>520</v>
      </c>
      <c r="G4698" s="430">
        <v>1</v>
      </c>
      <c r="H4698" s="454" t="str">
        <f t="shared" si="1015"/>
        <v>Each</v>
      </c>
      <c r="I4698" s="408">
        <f t="shared" si="1016"/>
        <v>722.8</v>
      </c>
      <c r="J4698" s="400"/>
      <c r="K4698" s="401"/>
      <c r="L4698" s="401"/>
      <c r="M4698" s="404"/>
      <c r="N4698" s="404"/>
      <c r="O4698" s="404"/>
      <c r="P4698" s="404"/>
      <c r="Q4698" s="404"/>
      <c r="R4698" s="404"/>
      <c r="S4698" s="404"/>
      <c r="T4698" s="404"/>
      <c r="U4698" s="404"/>
      <c r="V4698" s="404"/>
      <c r="W4698" s="404"/>
      <c r="X4698" s="404"/>
      <c r="Y4698" s="404"/>
      <c r="Z4698" s="404"/>
      <c r="AA4698" s="404"/>
      <c r="AB4698" s="404"/>
      <c r="AC4698" s="404"/>
      <c r="AD4698" s="404"/>
      <c r="AE4698" s="404"/>
      <c r="AF4698" s="404"/>
      <c r="AG4698" s="404"/>
      <c r="AH4698" s="404"/>
      <c r="AI4698" s="404"/>
      <c r="AJ4698" s="404"/>
      <c r="AK4698" s="404"/>
      <c r="AL4698" s="404"/>
      <c r="AM4698" s="404"/>
      <c r="AN4698" s="404"/>
      <c r="AO4698" s="404"/>
      <c r="AP4698" s="404"/>
      <c r="AQ4698" s="404"/>
      <c r="AR4698" s="404"/>
      <c r="AS4698" s="404"/>
      <c r="AT4698" s="404"/>
      <c r="AU4698" s="404"/>
      <c r="AV4698" s="404"/>
      <c r="AW4698" s="404"/>
      <c r="AX4698" s="404"/>
      <c r="AY4698" s="404"/>
      <c r="AZ4698" s="404"/>
      <c r="BA4698" s="404"/>
      <c r="BB4698" s="404"/>
      <c r="BC4698" s="404"/>
      <c r="BD4698" s="404"/>
      <c r="BE4698" s="404"/>
      <c r="BF4698" s="404"/>
      <c r="BG4698" s="404"/>
      <c r="BH4698" s="404"/>
      <c r="BI4698" s="404"/>
      <c r="BJ4698" s="404"/>
      <c r="BK4698" s="404"/>
      <c r="BL4698" s="404"/>
    </row>
    <row r="4699" spans="1:64">
      <c r="A4699" s="454"/>
      <c r="B4699" s="454"/>
      <c r="C4699" s="417" t="str">
        <f>[161]Input!$C$47</f>
        <v>Add for MA @ 40%</v>
      </c>
      <c r="D4699" s="746">
        <f>[161]Input!$D$47</f>
        <v>0.4</v>
      </c>
      <c r="E4699" s="454"/>
      <c r="F4699" s="408">
        <f>I4697+I4698</f>
        <v>780.8</v>
      </c>
      <c r="G4699" s="430"/>
      <c r="H4699" s="430"/>
      <c r="I4699" s="408">
        <f t="shared" si="1016"/>
        <v>312.32</v>
      </c>
      <c r="J4699" s="400"/>
      <c r="K4699" s="401"/>
      <c r="L4699" s="401"/>
      <c r="M4699" s="404"/>
      <c r="N4699" s="404"/>
      <c r="O4699" s="404"/>
      <c r="P4699" s="404"/>
      <c r="Q4699" s="404"/>
      <c r="R4699" s="404"/>
      <c r="S4699" s="404"/>
      <c r="T4699" s="404"/>
      <c r="U4699" s="404"/>
      <c r="V4699" s="404"/>
      <c r="W4699" s="404"/>
      <c r="X4699" s="404"/>
      <c r="Y4699" s="404"/>
      <c r="Z4699" s="404"/>
      <c r="AA4699" s="404"/>
      <c r="AB4699" s="404"/>
      <c r="AC4699" s="404"/>
      <c r="AD4699" s="404"/>
      <c r="AE4699" s="404"/>
      <c r="AF4699" s="404"/>
      <c r="AG4699" s="404"/>
      <c r="AH4699" s="404"/>
      <c r="AI4699" s="404"/>
      <c r="AJ4699" s="404"/>
      <c r="AK4699" s="404"/>
      <c r="AL4699" s="404"/>
      <c r="AM4699" s="404"/>
      <c r="AN4699" s="404"/>
      <c r="AO4699" s="404"/>
      <c r="AP4699" s="404"/>
      <c r="AQ4699" s="404"/>
      <c r="AR4699" s="404"/>
      <c r="AS4699" s="404"/>
      <c r="AT4699" s="404"/>
      <c r="AU4699" s="404"/>
      <c r="AV4699" s="404"/>
      <c r="AW4699" s="404"/>
      <c r="AX4699" s="404"/>
      <c r="AY4699" s="404"/>
      <c r="AZ4699" s="404"/>
      <c r="BA4699" s="404"/>
      <c r="BB4699" s="404"/>
      <c r="BC4699" s="404"/>
      <c r="BD4699" s="404"/>
      <c r="BE4699" s="404"/>
      <c r="BF4699" s="404"/>
      <c r="BG4699" s="404"/>
      <c r="BH4699" s="404"/>
      <c r="BI4699" s="404"/>
      <c r="BJ4699" s="404"/>
      <c r="BK4699" s="404"/>
      <c r="BL4699" s="404"/>
    </row>
    <row r="4700" spans="1:64" ht="13">
      <c r="A4700" s="454"/>
      <c r="B4700" s="454"/>
      <c r="C4700" s="427" t="s">
        <v>724</v>
      </c>
      <c r="D4700" s="408"/>
      <c r="E4700" s="454"/>
      <c r="F4700" s="408"/>
      <c r="G4700" s="430"/>
      <c r="H4700" s="415"/>
      <c r="I4700" s="414">
        <f>SUM(I4686:I4699)</f>
        <v>5722.32816</v>
      </c>
      <c r="J4700" s="400"/>
      <c r="K4700" s="401"/>
      <c r="L4700" s="401"/>
      <c r="M4700" s="404"/>
      <c r="N4700" s="404"/>
      <c r="O4700" s="404"/>
      <c r="P4700" s="404"/>
      <c r="Q4700" s="404"/>
      <c r="R4700" s="404"/>
      <c r="S4700" s="404"/>
      <c r="T4700" s="404"/>
      <c r="U4700" s="404"/>
      <c r="V4700" s="404"/>
      <c r="W4700" s="404"/>
      <c r="X4700" s="404"/>
      <c r="Y4700" s="404"/>
      <c r="Z4700" s="404"/>
      <c r="AA4700" s="404"/>
      <c r="AB4700" s="404"/>
      <c r="AC4700" s="404"/>
      <c r="AD4700" s="404"/>
      <c r="AE4700" s="404"/>
      <c r="AF4700" s="404"/>
      <c r="AG4700" s="404"/>
      <c r="AH4700" s="404"/>
      <c r="AI4700" s="404"/>
      <c r="AJ4700" s="404"/>
      <c r="AK4700" s="404"/>
      <c r="AL4700" s="404"/>
      <c r="AM4700" s="404"/>
      <c r="AN4700" s="404"/>
      <c r="AO4700" s="404"/>
      <c r="AP4700" s="404"/>
      <c r="AQ4700" s="404"/>
      <c r="AR4700" s="404"/>
      <c r="AS4700" s="404"/>
      <c r="AT4700" s="404"/>
      <c r="AU4700" s="404"/>
      <c r="AV4700" s="404"/>
      <c r="AW4700" s="404"/>
      <c r="AX4700" s="404"/>
      <c r="AY4700" s="404"/>
      <c r="AZ4700" s="404"/>
      <c r="BA4700" s="404"/>
      <c r="BB4700" s="404"/>
      <c r="BC4700" s="404"/>
      <c r="BD4700" s="404"/>
      <c r="BE4700" s="404"/>
      <c r="BF4700" s="404"/>
      <c r="BG4700" s="404"/>
      <c r="BH4700" s="404"/>
      <c r="BI4700" s="404"/>
      <c r="BJ4700" s="404"/>
      <c r="BK4700" s="404"/>
      <c r="BL4700" s="404"/>
    </row>
    <row r="4701" spans="1:64" ht="13">
      <c r="A4701" s="454"/>
      <c r="B4701" s="454"/>
      <c r="C4701" s="427" t="s">
        <v>953</v>
      </c>
      <c r="D4701" s="414" t="s">
        <v>416</v>
      </c>
      <c r="E4701" s="414"/>
      <c r="F4701" s="414"/>
      <c r="G4701" s="414"/>
      <c r="H4701" s="414"/>
      <c r="I4701" s="414"/>
      <c r="J4701" s="400"/>
      <c r="K4701" s="401"/>
      <c r="L4701" s="401"/>
      <c r="M4701" s="404"/>
      <c r="N4701" s="404"/>
      <c r="O4701" s="404"/>
      <c r="P4701" s="404"/>
      <c r="Q4701" s="404"/>
      <c r="R4701" s="404"/>
      <c r="S4701" s="404"/>
      <c r="T4701" s="404"/>
      <c r="U4701" s="404"/>
      <c r="V4701" s="404"/>
      <c r="W4701" s="404"/>
      <c r="X4701" s="404"/>
      <c r="Y4701" s="404"/>
      <c r="Z4701" s="404"/>
      <c r="AA4701" s="404"/>
      <c r="AB4701" s="404"/>
      <c r="AC4701" s="404"/>
      <c r="AD4701" s="404"/>
      <c r="AE4701" s="404"/>
      <c r="AF4701" s="404"/>
      <c r="AG4701" s="404"/>
      <c r="AH4701" s="404"/>
      <c r="AI4701" s="404"/>
      <c r="AJ4701" s="404"/>
      <c r="AK4701" s="404"/>
      <c r="AL4701" s="404"/>
      <c r="AM4701" s="404"/>
      <c r="AN4701" s="404"/>
      <c r="AO4701" s="404"/>
      <c r="AP4701" s="404"/>
      <c r="AQ4701" s="404"/>
      <c r="AR4701" s="404"/>
      <c r="AS4701" s="404"/>
      <c r="AT4701" s="404"/>
      <c r="AU4701" s="404"/>
      <c r="AV4701" s="404"/>
      <c r="AW4701" s="404"/>
      <c r="AX4701" s="404"/>
      <c r="AY4701" s="404"/>
      <c r="AZ4701" s="404"/>
      <c r="BA4701" s="404"/>
      <c r="BB4701" s="404"/>
      <c r="BC4701" s="404"/>
      <c r="BD4701" s="404"/>
      <c r="BE4701" s="404"/>
      <c r="BF4701" s="404"/>
      <c r="BG4701" s="404"/>
      <c r="BH4701" s="404"/>
      <c r="BI4701" s="404"/>
      <c r="BJ4701" s="404"/>
      <c r="BK4701" s="404"/>
      <c r="BL4701" s="404"/>
    </row>
    <row r="4702" spans="1:64">
      <c r="A4702" s="454"/>
      <c r="B4702" s="454"/>
      <c r="C4702" s="417" t="s">
        <v>1092</v>
      </c>
      <c r="D4702" s="408">
        <f>I4700</f>
        <v>5722.32816</v>
      </c>
      <c r="E4702" s="408"/>
      <c r="F4702" s="408"/>
      <c r="G4702" s="408"/>
      <c r="H4702" s="408"/>
      <c r="I4702" s="408"/>
      <c r="J4702" s="400"/>
      <c r="K4702" s="401"/>
      <c r="L4702" s="401"/>
      <c r="M4702" s="404"/>
      <c r="N4702" s="404"/>
      <c r="O4702" s="404"/>
      <c r="P4702" s="404"/>
      <c r="Q4702" s="404"/>
      <c r="R4702" s="404"/>
      <c r="S4702" s="404"/>
      <c r="T4702" s="404"/>
      <c r="U4702" s="404"/>
      <c r="V4702" s="404"/>
      <c r="W4702" s="404"/>
      <c r="X4702" s="404"/>
      <c r="Y4702" s="404"/>
      <c r="Z4702" s="404"/>
      <c r="AA4702" s="404"/>
      <c r="AB4702" s="404"/>
      <c r="AC4702" s="404"/>
      <c r="AD4702" s="404"/>
      <c r="AE4702" s="404"/>
      <c r="AF4702" s="404"/>
      <c r="AG4702" s="404"/>
      <c r="AH4702" s="404"/>
      <c r="AI4702" s="404"/>
      <c r="AJ4702" s="404"/>
      <c r="AK4702" s="404"/>
      <c r="AL4702" s="404"/>
      <c r="AM4702" s="404"/>
      <c r="AN4702" s="404"/>
      <c r="AO4702" s="404"/>
      <c r="AP4702" s="404"/>
      <c r="AQ4702" s="404"/>
      <c r="AR4702" s="404"/>
      <c r="AS4702" s="404"/>
      <c r="AT4702" s="404"/>
      <c r="AU4702" s="404"/>
      <c r="AV4702" s="404"/>
      <c r="AW4702" s="404"/>
      <c r="AX4702" s="404"/>
      <c r="AY4702" s="404"/>
      <c r="AZ4702" s="404"/>
      <c r="BA4702" s="404"/>
      <c r="BB4702" s="404"/>
      <c r="BC4702" s="404"/>
      <c r="BD4702" s="404"/>
      <c r="BE4702" s="404"/>
      <c r="BF4702" s="404"/>
      <c r="BG4702" s="404"/>
      <c r="BH4702" s="404"/>
      <c r="BI4702" s="404"/>
      <c r="BJ4702" s="404"/>
      <c r="BK4702" s="404"/>
      <c r="BL4702" s="404"/>
    </row>
    <row r="4703" spans="1:64">
      <c r="A4703" s="454"/>
      <c r="B4703" s="454"/>
      <c r="C4703" s="417" t="s">
        <v>921</v>
      </c>
      <c r="D4703" s="408">
        <f>'[161]Civil-SOR'!$F$258</f>
        <v>72</v>
      </c>
      <c r="E4703" s="408"/>
      <c r="F4703" s="408"/>
      <c r="G4703" s="408"/>
      <c r="H4703" s="408"/>
      <c r="I4703" s="408"/>
      <c r="J4703" s="400"/>
      <c r="K4703" s="401"/>
      <c r="L4703" s="401"/>
      <c r="M4703" s="404"/>
      <c r="N4703" s="404"/>
      <c r="O4703" s="404"/>
      <c r="P4703" s="404"/>
      <c r="Q4703" s="404"/>
      <c r="R4703" s="404"/>
      <c r="S4703" s="404"/>
      <c r="T4703" s="404"/>
      <c r="U4703" s="404"/>
      <c r="V4703" s="404"/>
      <c r="W4703" s="404"/>
      <c r="X4703" s="404"/>
      <c r="Y4703" s="404"/>
      <c r="Z4703" s="404"/>
      <c r="AA4703" s="404"/>
      <c r="AB4703" s="404"/>
      <c r="AC4703" s="404"/>
      <c r="AD4703" s="404"/>
      <c r="AE4703" s="404"/>
      <c r="AF4703" s="404"/>
      <c r="AG4703" s="404"/>
      <c r="AH4703" s="404"/>
      <c r="AI4703" s="404"/>
      <c r="AJ4703" s="404"/>
      <c r="AK4703" s="404"/>
      <c r="AL4703" s="404"/>
      <c r="AM4703" s="404"/>
      <c r="AN4703" s="404"/>
      <c r="AO4703" s="404"/>
      <c r="AP4703" s="404"/>
      <c r="AQ4703" s="404"/>
      <c r="AR4703" s="404"/>
      <c r="AS4703" s="404"/>
      <c r="AT4703" s="404"/>
      <c r="AU4703" s="404"/>
      <c r="AV4703" s="404"/>
      <c r="AW4703" s="404"/>
      <c r="AX4703" s="404"/>
      <c r="AY4703" s="404"/>
      <c r="AZ4703" s="404"/>
      <c r="BA4703" s="404"/>
      <c r="BB4703" s="404"/>
      <c r="BC4703" s="404"/>
      <c r="BD4703" s="404"/>
      <c r="BE4703" s="404"/>
      <c r="BF4703" s="404"/>
      <c r="BG4703" s="404"/>
      <c r="BH4703" s="404"/>
      <c r="BI4703" s="404"/>
      <c r="BJ4703" s="404"/>
      <c r="BK4703" s="404"/>
      <c r="BL4703" s="404"/>
    </row>
    <row r="4704" spans="1:64">
      <c r="A4704" s="454"/>
      <c r="B4704" s="454"/>
      <c r="C4704" s="417" t="s">
        <v>1010</v>
      </c>
      <c r="D4704" s="408">
        <f>'[161]Civil-SOR'!$G$258</f>
        <v>392</v>
      </c>
      <c r="E4704" s="408"/>
      <c r="F4704" s="408"/>
      <c r="G4704" s="408"/>
      <c r="H4704" s="408"/>
      <c r="I4704" s="408"/>
      <c r="J4704" s="400"/>
      <c r="K4704" s="401"/>
      <c r="L4704" s="401"/>
      <c r="M4704" s="404"/>
      <c r="N4704" s="404"/>
      <c r="O4704" s="404"/>
      <c r="P4704" s="404"/>
      <c r="Q4704" s="404"/>
      <c r="R4704" s="404"/>
      <c r="S4704" s="404"/>
      <c r="T4704" s="404"/>
      <c r="U4704" s="404"/>
      <c r="V4704" s="404"/>
      <c r="W4704" s="404"/>
      <c r="X4704" s="404"/>
      <c r="Y4704" s="404"/>
      <c r="Z4704" s="404"/>
      <c r="AA4704" s="404"/>
      <c r="AB4704" s="404"/>
      <c r="AC4704" s="404"/>
      <c r="AD4704" s="404"/>
      <c r="AE4704" s="404"/>
      <c r="AF4704" s="404"/>
      <c r="AG4704" s="404"/>
      <c r="AH4704" s="404"/>
      <c r="AI4704" s="404"/>
      <c r="AJ4704" s="404"/>
      <c r="AK4704" s="404"/>
      <c r="AL4704" s="404"/>
      <c r="AM4704" s="404"/>
      <c r="AN4704" s="404"/>
      <c r="AO4704" s="404"/>
      <c r="AP4704" s="404"/>
      <c r="AQ4704" s="404"/>
      <c r="AR4704" s="404"/>
      <c r="AS4704" s="404"/>
      <c r="AT4704" s="404"/>
      <c r="AU4704" s="404"/>
      <c r="AV4704" s="404"/>
      <c r="AW4704" s="404"/>
      <c r="AX4704" s="404"/>
      <c r="AY4704" s="404"/>
      <c r="AZ4704" s="404"/>
      <c r="BA4704" s="404"/>
      <c r="BB4704" s="404"/>
      <c r="BC4704" s="404"/>
      <c r="BD4704" s="404"/>
      <c r="BE4704" s="404"/>
      <c r="BF4704" s="404"/>
      <c r="BG4704" s="404"/>
      <c r="BH4704" s="404"/>
      <c r="BI4704" s="404"/>
      <c r="BJ4704" s="404"/>
      <c r="BK4704" s="404"/>
      <c r="BL4704" s="404"/>
    </row>
    <row r="4705" spans="1:64">
      <c r="A4705" s="454"/>
      <c r="B4705" s="454"/>
      <c r="C4705" s="417" t="str">
        <f>[161]Input!$C$47</f>
        <v>Add for MA @ 40%</v>
      </c>
      <c r="D4705" s="408">
        <f>D4704*[161]Input!$D$47</f>
        <v>156.80000000000001</v>
      </c>
      <c r="E4705" s="408"/>
      <c r="F4705" s="408"/>
      <c r="G4705" s="408"/>
      <c r="H4705" s="408"/>
      <c r="I4705" s="408"/>
      <c r="J4705" s="400"/>
      <c r="K4705" s="401"/>
      <c r="L4705" s="401"/>
      <c r="M4705" s="404"/>
      <c r="N4705" s="404"/>
      <c r="O4705" s="404"/>
      <c r="P4705" s="404"/>
      <c r="Q4705" s="404"/>
      <c r="R4705" s="404"/>
      <c r="S4705" s="404"/>
      <c r="T4705" s="404"/>
      <c r="U4705" s="404"/>
      <c r="V4705" s="404"/>
      <c r="W4705" s="404"/>
      <c r="X4705" s="404"/>
      <c r="Y4705" s="404"/>
      <c r="Z4705" s="404"/>
      <c r="AA4705" s="404"/>
      <c r="AB4705" s="404"/>
      <c r="AC4705" s="404"/>
      <c r="AD4705" s="404"/>
      <c r="AE4705" s="404"/>
      <c r="AF4705" s="404"/>
      <c r="AG4705" s="404"/>
      <c r="AH4705" s="404"/>
      <c r="AI4705" s="404"/>
      <c r="AJ4705" s="404"/>
      <c r="AK4705" s="404"/>
      <c r="AL4705" s="404"/>
      <c r="AM4705" s="404"/>
      <c r="AN4705" s="404"/>
      <c r="AO4705" s="404"/>
      <c r="AP4705" s="404"/>
      <c r="AQ4705" s="404"/>
      <c r="AR4705" s="404"/>
      <c r="AS4705" s="404"/>
      <c r="AT4705" s="404"/>
      <c r="AU4705" s="404"/>
      <c r="AV4705" s="404"/>
      <c r="AW4705" s="404"/>
      <c r="AX4705" s="404"/>
      <c r="AY4705" s="404"/>
      <c r="AZ4705" s="404"/>
      <c r="BA4705" s="404"/>
      <c r="BB4705" s="404"/>
      <c r="BC4705" s="404"/>
      <c r="BD4705" s="404"/>
      <c r="BE4705" s="404"/>
      <c r="BF4705" s="404"/>
      <c r="BG4705" s="404"/>
      <c r="BH4705" s="404"/>
      <c r="BI4705" s="404"/>
      <c r="BJ4705" s="404"/>
      <c r="BK4705" s="404"/>
      <c r="BL4705" s="404"/>
    </row>
    <row r="4706" spans="1:64">
      <c r="A4706" s="454"/>
      <c r="B4706" s="454"/>
      <c r="C4706" s="417" t="s">
        <v>994</v>
      </c>
      <c r="D4706" s="408">
        <v>0</v>
      </c>
      <c r="E4706" s="408"/>
      <c r="F4706" s="408"/>
      <c r="G4706" s="408"/>
      <c r="H4706" s="408"/>
      <c r="I4706" s="408"/>
      <c r="J4706" s="400"/>
      <c r="K4706" s="401"/>
      <c r="L4706" s="401"/>
      <c r="M4706" s="404"/>
      <c r="N4706" s="404"/>
      <c r="O4706" s="404"/>
      <c r="P4706" s="404"/>
      <c r="Q4706" s="404"/>
      <c r="R4706" s="404"/>
      <c r="S4706" s="404"/>
      <c r="T4706" s="404"/>
      <c r="U4706" s="404"/>
      <c r="V4706" s="404"/>
      <c r="W4706" s="404"/>
      <c r="X4706" s="404"/>
      <c r="Y4706" s="404"/>
      <c r="Z4706" s="404"/>
      <c r="AA4706" s="404"/>
      <c r="AB4706" s="404"/>
      <c r="AC4706" s="404"/>
      <c r="AD4706" s="404"/>
      <c r="AE4706" s="404"/>
      <c r="AF4706" s="404"/>
      <c r="AG4706" s="404"/>
      <c r="AH4706" s="404"/>
      <c r="AI4706" s="404"/>
      <c r="AJ4706" s="404"/>
      <c r="AK4706" s="404"/>
      <c r="AL4706" s="404"/>
      <c r="AM4706" s="404"/>
      <c r="AN4706" s="404"/>
      <c r="AO4706" s="404"/>
      <c r="AP4706" s="404"/>
      <c r="AQ4706" s="404"/>
      <c r="AR4706" s="404"/>
      <c r="AS4706" s="404"/>
      <c r="AT4706" s="404"/>
      <c r="AU4706" s="404"/>
      <c r="AV4706" s="404"/>
      <c r="AW4706" s="404"/>
      <c r="AX4706" s="404"/>
      <c r="AY4706" s="404"/>
      <c r="AZ4706" s="404"/>
      <c r="BA4706" s="404"/>
      <c r="BB4706" s="404"/>
      <c r="BC4706" s="404"/>
      <c r="BD4706" s="404"/>
      <c r="BE4706" s="404"/>
      <c r="BF4706" s="404"/>
      <c r="BG4706" s="404"/>
      <c r="BH4706" s="404"/>
      <c r="BI4706" s="404"/>
      <c r="BJ4706" s="404"/>
      <c r="BK4706" s="404"/>
      <c r="BL4706" s="404"/>
    </row>
    <row r="4707" spans="1:64">
      <c r="A4707" s="454"/>
      <c r="B4707" s="454"/>
      <c r="C4707" s="417" t="str">
        <f>[161]Input!$C$47</f>
        <v>Add for MA @ 40%</v>
      </c>
      <c r="D4707" s="408">
        <f>D4706*[161]Input!$D$47</f>
        <v>0</v>
      </c>
      <c r="E4707" s="408"/>
      <c r="F4707" s="408"/>
      <c r="G4707" s="408"/>
      <c r="H4707" s="408"/>
      <c r="I4707" s="408"/>
      <c r="J4707" s="400"/>
      <c r="K4707" s="401"/>
      <c r="L4707" s="401"/>
      <c r="M4707" s="404"/>
      <c r="N4707" s="404"/>
      <c r="O4707" s="404"/>
      <c r="P4707" s="404"/>
      <c r="Q4707" s="404"/>
      <c r="R4707" s="404"/>
      <c r="S4707" s="404"/>
      <c r="T4707" s="404"/>
      <c r="U4707" s="404"/>
      <c r="V4707" s="404"/>
      <c r="W4707" s="404"/>
      <c r="X4707" s="404"/>
      <c r="Y4707" s="404"/>
      <c r="Z4707" s="404"/>
      <c r="AA4707" s="404"/>
      <c r="AB4707" s="404"/>
      <c r="AC4707" s="404"/>
      <c r="AD4707" s="404"/>
      <c r="AE4707" s="404"/>
      <c r="AF4707" s="404"/>
      <c r="AG4707" s="404"/>
      <c r="AH4707" s="404"/>
      <c r="AI4707" s="404"/>
      <c r="AJ4707" s="404"/>
      <c r="AK4707" s="404"/>
      <c r="AL4707" s="404"/>
      <c r="AM4707" s="404"/>
      <c r="AN4707" s="404"/>
      <c r="AO4707" s="404"/>
      <c r="AP4707" s="404"/>
      <c r="AQ4707" s="404"/>
      <c r="AR4707" s="404"/>
      <c r="AS4707" s="404"/>
      <c r="AT4707" s="404"/>
      <c r="AU4707" s="404"/>
      <c r="AV4707" s="404"/>
      <c r="AW4707" s="404"/>
      <c r="AX4707" s="404"/>
      <c r="AY4707" s="404"/>
      <c r="AZ4707" s="404"/>
      <c r="BA4707" s="404"/>
      <c r="BB4707" s="404"/>
      <c r="BC4707" s="404"/>
      <c r="BD4707" s="404"/>
      <c r="BE4707" s="404"/>
      <c r="BF4707" s="404"/>
      <c r="BG4707" s="404"/>
      <c r="BH4707" s="404"/>
      <c r="BI4707" s="404"/>
      <c r="BJ4707" s="404"/>
      <c r="BK4707" s="404"/>
      <c r="BL4707" s="404"/>
    </row>
    <row r="4708" spans="1:64" ht="13">
      <c r="A4708" s="454"/>
      <c r="B4708" s="454"/>
      <c r="C4708" s="427" t="s">
        <v>724</v>
      </c>
      <c r="D4708" s="408">
        <f>SUM(D4702:D4707)</f>
        <v>6343.1281600000002</v>
      </c>
      <c r="E4708" s="414"/>
      <c r="F4708" s="414"/>
      <c r="G4708" s="414"/>
      <c r="H4708" s="414"/>
      <c r="I4708" s="414"/>
      <c r="J4708" s="400"/>
      <c r="K4708" s="401"/>
      <c r="L4708" s="401"/>
      <c r="M4708" s="404"/>
      <c r="N4708" s="404"/>
      <c r="O4708" s="404"/>
      <c r="P4708" s="404"/>
      <c r="Q4708" s="404"/>
      <c r="R4708" s="404"/>
      <c r="S4708" s="404"/>
      <c r="T4708" s="404"/>
      <c r="U4708" s="404"/>
      <c r="V4708" s="404"/>
      <c r="W4708" s="404"/>
      <c r="X4708" s="404"/>
      <c r="Y4708" s="404"/>
      <c r="Z4708" s="404"/>
      <c r="AA4708" s="404"/>
      <c r="AB4708" s="404"/>
      <c r="AC4708" s="404"/>
      <c r="AD4708" s="404"/>
      <c r="AE4708" s="404"/>
      <c r="AF4708" s="404"/>
      <c r="AG4708" s="404"/>
      <c r="AH4708" s="404"/>
      <c r="AI4708" s="404"/>
      <c r="AJ4708" s="404"/>
      <c r="AK4708" s="404"/>
      <c r="AL4708" s="404"/>
      <c r="AM4708" s="404"/>
      <c r="AN4708" s="404"/>
      <c r="AO4708" s="404"/>
      <c r="AP4708" s="404"/>
      <c r="AQ4708" s="404"/>
      <c r="AR4708" s="404"/>
      <c r="AS4708" s="404"/>
      <c r="AT4708" s="404"/>
      <c r="AU4708" s="404"/>
      <c r="AV4708" s="404"/>
      <c r="AW4708" s="404"/>
      <c r="AX4708" s="404"/>
      <c r="AY4708" s="404"/>
      <c r="AZ4708" s="404"/>
      <c r="BA4708" s="404"/>
      <c r="BB4708" s="404"/>
      <c r="BC4708" s="404"/>
      <c r="BD4708" s="404"/>
      <c r="BE4708" s="404"/>
      <c r="BF4708" s="404"/>
      <c r="BG4708" s="404"/>
      <c r="BH4708" s="404"/>
      <c r="BI4708" s="404"/>
      <c r="BJ4708" s="404"/>
      <c r="BK4708" s="404"/>
      <c r="BL4708" s="404"/>
    </row>
    <row r="4709" spans="1:64" ht="25">
      <c r="A4709" s="454"/>
      <c r="B4709" s="454"/>
      <c r="C4709" s="417" t="s">
        <v>1677</v>
      </c>
      <c r="D4709" s="408">
        <f>D4708*[161]Input!$D$48</f>
        <v>863.61689898399993</v>
      </c>
      <c r="E4709" s="408"/>
      <c r="F4709" s="408"/>
      <c r="G4709" s="408"/>
      <c r="H4709" s="408"/>
      <c r="I4709" s="408"/>
      <c r="J4709" s="400"/>
      <c r="K4709" s="401"/>
      <c r="L4709" s="401"/>
      <c r="M4709" s="404"/>
      <c r="N4709" s="404"/>
      <c r="O4709" s="404"/>
      <c r="P4709" s="404"/>
      <c r="Q4709" s="404"/>
      <c r="R4709" s="404"/>
      <c r="S4709" s="404"/>
      <c r="T4709" s="404"/>
      <c r="U4709" s="404"/>
      <c r="V4709" s="404"/>
      <c r="W4709" s="404"/>
      <c r="X4709" s="404"/>
      <c r="Y4709" s="404"/>
      <c r="Z4709" s="404"/>
      <c r="AA4709" s="404"/>
      <c r="AB4709" s="404"/>
      <c r="AC4709" s="404"/>
      <c r="AD4709" s="404"/>
      <c r="AE4709" s="404"/>
      <c r="AF4709" s="404"/>
      <c r="AG4709" s="404"/>
      <c r="AH4709" s="404"/>
      <c r="AI4709" s="404"/>
      <c r="AJ4709" s="404"/>
      <c r="AK4709" s="404"/>
      <c r="AL4709" s="404"/>
      <c r="AM4709" s="404"/>
      <c r="AN4709" s="404"/>
      <c r="AO4709" s="404"/>
      <c r="AP4709" s="404"/>
      <c r="AQ4709" s="404"/>
      <c r="AR4709" s="404"/>
      <c r="AS4709" s="404"/>
      <c r="AT4709" s="404"/>
      <c r="AU4709" s="404"/>
      <c r="AV4709" s="404"/>
      <c r="AW4709" s="404"/>
      <c r="AX4709" s="404"/>
      <c r="AY4709" s="404"/>
      <c r="AZ4709" s="404"/>
      <c r="BA4709" s="404"/>
      <c r="BB4709" s="404"/>
      <c r="BC4709" s="404"/>
      <c r="BD4709" s="404"/>
      <c r="BE4709" s="404"/>
      <c r="BF4709" s="404"/>
      <c r="BG4709" s="404"/>
      <c r="BH4709" s="404"/>
      <c r="BI4709" s="404"/>
      <c r="BJ4709" s="404"/>
      <c r="BK4709" s="404"/>
      <c r="BL4709" s="404"/>
    </row>
    <row r="4710" spans="1:64" ht="13">
      <c r="A4710" s="454"/>
      <c r="B4710" s="454"/>
      <c r="C4710" s="427" t="s">
        <v>724</v>
      </c>
      <c r="D4710" s="408">
        <f>SUM(D4708:D4709)</f>
        <v>7206.745058984</v>
      </c>
      <c r="E4710" s="408"/>
      <c r="F4710" s="408"/>
      <c r="G4710" s="408"/>
      <c r="H4710" s="408"/>
      <c r="I4710" s="408"/>
      <c r="J4710" s="400"/>
      <c r="K4710" s="401"/>
      <c r="L4710" s="401"/>
      <c r="M4710" s="404"/>
      <c r="N4710" s="404"/>
      <c r="O4710" s="404"/>
      <c r="P4710" s="404"/>
      <c r="Q4710" s="404"/>
      <c r="R4710" s="404"/>
      <c r="S4710" s="404"/>
      <c r="T4710" s="404"/>
      <c r="U4710" s="404"/>
      <c r="V4710" s="404"/>
      <c r="W4710" s="404"/>
      <c r="X4710" s="404"/>
      <c r="Y4710" s="404"/>
      <c r="Z4710" s="404"/>
      <c r="AA4710" s="404"/>
      <c r="AB4710" s="404"/>
      <c r="AC4710" s="404"/>
      <c r="AD4710" s="404"/>
      <c r="AE4710" s="404"/>
      <c r="AF4710" s="404"/>
      <c r="AG4710" s="404"/>
      <c r="AH4710" s="404"/>
      <c r="AI4710" s="404"/>
      <c r="AJ4710" s="404"/>
      <c r="AK4710" s="404"/>
      <c r="AL4710" s="404"/>
      <c r="AM4710" s="404"/>
      <c r="AN4710" s="404"/>
      <c r="AO4710" s="404"/>
      <c r="AP4710" s="404"/>
      <c r="AQ4710" s="404"/>
      <c r="AR4710" s="404"/>
      <c r="AS4710" s="404"/>
      <c r="AT4710" s="404"/>
      <c r="AU4710" s="404"/>
      <c r="AV4710" s="404"/>
      <c r="AW4710" s="404"/>
      <c r="AX4710" s="404"/>
      <c r="AY4710" s="404"/>
      <c r="AZ4710" s="404"/>
      <c r="BA4710" s="404"/>
      <c r="BB4710" s="404"/>
      <c r="BC4710" s="404"/>
      <c r="BD4710" s="404"/>
      <c r="BE4710" s="404"/>
      <c r="BF4710" s="404"/>
      <c r="BG4710" s="404"/>
      <c r="BH4710" s="404"/>
      <c r="BI4710" s="404"/>
      <c r="BJ4710" s="404"/>
      <c r="BK4710" s="404"/>
      <c r="BL4710" s="404"/>
    </row>
    <row r="4711" spans="1:64" ht="13">
      <c r="A4711" s="454"/>
      <c r="B4711" s="454"/>
      <c r="C4711" s="427" t="s">
        <v>774</v>
      </c>
      <c r="D4711" s="416">
        <f>ROUND(D4710,0)</f>
        <v>7207</v>
      </c>
      <c r="E4711" s="416"/>
      <c r="F4711" s="416"/>
      <c r="G4711" s="416"/>
      <c r="H4711" s="416"/>
      <c r="I4711" s="416"/>
      <c r="J4711" s="400"/>
      <c r="K4711" s="401"/>
      <c r="L4711" s="401"/>
      <c r="M4711" s="404"/>
      <c r="N4711" s="404"/>
      <c r="O4711" s="404"/>
      <c r="P4711" s="404"/>
      <c r="Q4711" s="404"/>
      <c r="R4711" s="404"/>
      <c r="S4711" s="404"/>
      <c r="T4711" s="404"/>
      <c r="U4711" s="404"/>
      <c r="V4711" s="404"/>
      <c r="W4711" s="404"/>
      <c r="X4711" s="404"/>
      <c r="Y4711" s="404"/>
      <c r="Z4711" s="404"/>
      <c r="AA4711" s="404"/>
      <c r="AB4711" s="404"/>
      <c r="AC4711" s="404"/>
      <c r="AD4711" s="404"/>
      <c r="AE4711" s="404"/>
      <c r="AF4711" s="404"/>
      <c r="AG4711" s="404"/>
      <c r="AH4711" s="404"/>
      <c r="AI4711" s="404"/>
      <c r="AJ4711" s="404"/>
      <c r="AK4711" s="404"/>
      <c r="AL4711" s="404"/>
      <c r="AM4711" s="404"/>
      <c r="AN4711" s="404"/>
      <c r="AO4711" s="404"/>
      <c r="AP4711" s="404"/>
      <c r="AQ4711" s="404"/>
      <c r="AR4711" s="404"/>
      <c r="AS4711" s="404"/>
      <c r="AT4711" s="404"/>
      <c r="AU4711" s="404"/>
      <c r="AV4711" s="404"/>
      <c r="AW4711" s="404"/>
      <c r="AX4711" s="404"/>
      <c r="AY4711" s="404"/>
      <c r="AZ4711" s="404"/>
      <c r="BA4711" s="404"/>
      <c r="BB4711" s="404"/>
      <c r="BC4711" s="404"/>
      <c r="BD4711" s="404"/>
      <c r="BE4711" s="404"/>
      <c r="BF4711" s="404"/>
      <c r="BG4711" s="404"/>
      <c r="BH4711" s="404"/>
      <c r="BI4711" s="404"/>
      <c r="BJ4711" s="404"/>
      <c r="BK4711" s="404"/>
      <c r="BL4711" s="404"/>
    </row>
    <row r="4712" spans="1:64" ht="13">
      <c r="A4712" s="454"/>
      <c r="B4712" s="454"/>
      <c r="C4712" s="427"/>
      <c r="D4712" s="416"/>
      <c r="E4712" s="416"/>
      <c r="F4712" s="416"/>
      <c r="G4712" s="416"/>
      <c r="H4712" s="416"/>
      <c r="I4712" s="416"/>
      <c r="J4712" s="400"/>
      <c r="K4712" s="401"/>
      <c r="L4712" s="401"/>
      <c r="M4712" s="404"/>
      <c r="N4712" s="404"/>
      <c r="O4712" s="404"/>
      <c r="P4712" s="404"/>
      <c r="Q4712" s="404"/>
      <c r="R4712" s="404"/>
      <c r="S4712" s="404"/>
      <c r="T4712" s="404"/>
      <c r="U4712" s="404"/>
      <c r="V4712" s="404"/>
      <c r="W4712" s="404"/>
      <c r="X4712" s="404"/>
      <c r="Y4712" s="404"/>
      <c r="Z4712" s="404"/>
      <c r="AA4712" s="404"/>
      <c r="AB4712" s="404"/>
      <c r="AC4712" s="404"/>
      <c r="AD4712" s="404"/>
      <c r="AE4712" s="404"/>
      <c r="AF4712" s="404"/>
      <c r="AG4712" s="404"/>
      <c r="AH4712" s="404"/>
      <c r="AI4712" s="404"/>
      <c r="AJ4712" s="404"/>
      <c r="AK4712" s="404"/>
      <c r="AL4712" s="404"/>
      <c r="AM4712" s="404"/>
      <c r="AN4712" s="404"/>
      <c r="AO4712" s="404"/>
      <c r="AP4712" s="404"/>
      <c r="AQ4712" s="404"/>
      <c r="AR4712" s="404"/>
      <c r="AS4712" s="404"/>
      <c r="AT4712" s="404"/>
      <c r="AU4712" s="404"/>
      <c r="AV4712" s="404"/>
      <c r="AW4712" s="404"/>
      <c r="AX4712" s="404"/>
      <c r="AY4712" s="404"/>
      <c r="AZ4712" s="404"/>
      <c r="BA4712" s="404"/>
      <c r="BB4712" s="404"/>
      <c r="BC4712" s="404"/>
      <c r="BD4712" s="404"/>
      <c r="BE4712" s="404"/>
      <c r="BF4712" s="404"/>
      <c r="BG4712" s="404"/>
      <c r="BH4712" s="404"/>
      <c r="BI4712" s="404"/>
      <c r="BJ4712" s="404"/>
      <c r="BK4712" s="404"/>
      <c r="BL4712" s="404"/>
    </row>
    <row r="4713" spans="1:64" ht="74.650000000000006" customHeight="1">
      <c r="A4713" s="430"/>
      <c r="B4713" s="454"/>
      <c r="C4713" s="1291" t="s">
        <v>1678</v>
      </c>
      <c r="D4713" s="1291"/>
      <c r="E4713" s="1291"/>
      <c r="F4713" s="1291"/>
      <c r="G4713" s="1291"/>
      <c r="H4713" s="1291"/>
      <c r="I4713" s="1291"/>
      <c r="J4713" s="400"/>
      <c r="K4713" s="401"/>
      <c r="L4713" s="401"/>
      <c r="M4713" s="404"/>
      <c r="N4713" s="404"/>
      <c r="O4713" s="404"/>
      <c r="P4713" s="404"/>
      <c r="Q4713" s="404"/>
      <c r="R4713" s="404"/>
      <c r="S4713" s="404"/>
      <c r="T4713" s="404"/>
      <c r="U4713" s="404"/>
      <c r="V4713" s="404"/>
      <c r="W4713" s="404"/>
      <c r="X4713" s="404"/>
      <c r="Y4713" s="404"/>
      <c r="Z4713" s="404"/>
      <c r="AA4713" s="404"/>
      <c r="AB4713" s="404"/>
      <c r="AC4713" s="404"/>
      <c r="AD4713" s="404"/>
      <c r="AE4713" s="404"/>
      <c r="AF4713" s="404"/>
      <c r="AG4713" s="404"/>
      <c r="AH4713" s="404"/>
      <c r="AI4713" s="404"/>
      <c r="AJ4713" s="404"/>
      <c r="AK4713" s="404"/>
      <c r="AL4713" s="404"/>
      <c r="AM4713" s="404"/>
      <c r="AN4713" s="404"/>
      <c r="AO4713" s="404"/>
      <c r="AP4713" s="404"/>
      <c r="AQ4713" s="404"/>
      <c r="AR4713" s="404"/>
      <c r="AS4713" s="404"/>
      <c r="AT4713" s="404"/>
      <c r="AU4713" s="404"/>
      <c r="AV4713" s="404"/>
      <c r="AW4713" s="404"/>
      <c r="AX4713" s="404"/>
      <c r="AY4713" s="404"/>
      <c r="AZ4713" s="404"/>
      <c r="BA4713" s="404"/>
      <c r="BB4713" s="404"/>
      <c r="BC4713" s="404"/>
      <c r="BD4713" s="404"/>
      <c r="BE4713" s="404"/>
      <c r="BF4713" s="404"/>
      <c r="BG4713" s="404"/>
      <c r="BH4713" s="404"/>
      <c r="BI4713" s="404"/>
      <c r="BJ4713" s="404"/>
      <c r="BK4713" s="404"/>
      <c r="BL4713" s="404"/>
    </row>
    <row r="4714" spans="1:64" ht="13">
      <c r="A4714" s="454"/>
      <c r="B4714" s="454"/>
      <c r="C4714" s="427" t="s">
        <v>1679</v>
      </c>
      <c r="D4714" s="426"/>
      <c r="E4714" s="426"/>
      <c r="F4714" s="408"/>
      <c r="G4714" s="430"/>
      <c r="H4714" s="456"/>
      <c r="I4714" s="408"/>
      <c r="J4714" s="400"/>
      <c r="K4714" s="401"/>
      <c r="L4714" s="401"/>
      <c r="M4714" s="404"/>
      <c r="N4714" s="404"/>
      <c r="O4714" s="404"/>
      <c r="P4714" s="404"/>
      <c r="Q4714" s="404"/>
      <c r="R4714" s="404"/>
      <c r="S4714" s="404"/>
      <c r="T4714" s="404"/>
      <c r="U4714" s="404"/>
      <c r="V4714" s="404"/>
      <c r="W4714" s="404"/>
      <c r="X4714" s="404"/>
      <c r="Y4714" s="404"/>
      <c r="Z4714" s="404"/>
      <c r="AA4714" s="404"/>
      <c r="AB4714" s="404"/>
      <c r="AC4714" s="404"/>
      <c r="AD4714" s="404"/>
      <c r="AE4714" s="404"/>
      <c r="AF4714" s="404"/>
      <c r="AG4714" s="404"/>
      <c r="AH4714" s="404"/>
      <c r="AI4714" s="404"/>
      <c r="AJ4714" s="404"/>
      <c r="AK4714" s="404"/>
      <c r="AL4714" s="404"/>
      <c r="AM4714" s="404"/>
      <c r="AN4714" s="404"/>
      <c r="AO4714" s="404"/>
      <c r="AP4714" s="404"/>
      <c r="AQ4714" s="404"/>
      <c r="AR4714" s="404"/>
      <c r="AS4714" s="404"/>
      <c r="AT4714" s="404"/>
      <c r="AU4714" s="404"/>
      <c r="AV4714" s="404"/>
      <c r="AW4714" s="404"/>
      <c r="AX4714" s="404"/>
      <c r="AY4714" s="404"/>
      <c r="AZ4714" s="404"/>
      <c r="BA4714" s="404"/>
      <c r="BB4714" s="404"/>
      <c r="BC4714" s="404"/>
      <c r="BD4714" s="404"/>
      <c r="BE4714" s="404"/>
      <c r="BF4714" s="404"/>
      <c r="BG4714" s="404"/>
      <c r="BH4714" s="404"/>
      <c r="BI4714" s="404"/>
      <c r="BJ4714" s="404"/>
      <c r="BK4714" s="404"/>
      <c r="BL4714" s="404"/>
    </row>
    <row r="4715" spans="1:64">
      <c r="A4715" s="454"/>
      <c r="B4715" s="454"/>
      <c r="C4715" s="445" t="s">
        <v>1659</v>
      </c>
      <c r="D4715" s="408"/>
      <c r="E4715" s="408"/>
      <c r="F4715" s="408"/>
      <c r="G4715" s="430"/>
      <c r="H4715" s="456" t="str">
        <f>IF(E4715="","",IF(E4715="No.","Each",IF(E4715="Nos.","Each",E4715)))</f>
        <v/>
      </c>
      <c r="I4715" s="408"/>
      <c r="J4715" s="400"/>
      <c r="K4715" s="401"/>
      <c r="L4715" s="401"/>
      <c r="M4715" s="404"/>
      <c r="N4715" s="404"/>
      <c r="O4715" s="404"/>
      <c r="P4715" s="404"/>
      <c r="Q4715" s="404"/>
      <c r="R4715" s="404"/>
      <c r="S4715" s="404"/>
      <c r="T4715" s="404"/>
      <c r="U4715" s="404"/>
      <c r="V4715" s="404"/>
      <c r="W4715" s="404"/>
      <c r="X4715" s="404"/>
      <c r="Y4715" s="404"/>
      <c r="Z4715" s="404"/>
      <c r="AA4715" s="404"/>
      <c r="AB4715" s="404"/>
      <c r="AC4715" s="404"/>
      <c r="AD4715" s="404"/>
      <c r="AE4715" s="404"/>
      <c r="AF4715" s="404"/>
      <c r="AG4715" s="404"/>
      <c r="AH4715" s="404"/>
      <c r="AI4715" s="404"/>
      <c r="AJ4715" s="404"/>
      <c r="AK4715" s="404"/>
      <c r="AL4715" s="404"/>
      <c r="AM4715" s="404"/>
      <c r="AN4715" s="404"/>
      <c r="AO4715" s="404"/>
      <c r="AP4715" s="404"/>
      <c r="AQ4715" s="404"/>
      <c r="AR4715" s="404"/>
      <c r="AS4715" s="404"/>
      <c r="AT4715" s="404"/>
      <c r="AU4715" s="404"/>
      <c r="AV4715" s="404"/>
      <c r="AW4715" s="404"/>
      <c r="AX4715" s="404"/>
      <c r="AY4715" s="404"/>
      <c r="AZ4715" s="404"/>
      <c r="BA4715" s="404"/>
      <c r="BB4715" s="404"/>
      <c r="BC4715" s="404"/>
      <c r="BD4715" s="404"/>
      <c r="BE4715" s="404"/>
      <c r="BF4715" s="404"/>
      <c r="BG4715" s="404"/>
      <c r="BH4715" s="404"/>
      <c r="BI4715" s="404"/>
      <c r="BJ4715" s="404"/>
      <c r="BK4715" s="404"/>
      <c r="BL4715" s="404"/>
    </row>
    <row r="4716" spans="1:64" ht="13">
      <c r="A4716" s="454"/>
      <c r="B4716" s="454"/>
      <c r="C4716" s="427" t="s">
        <v>1680</v>
      </c>
      <c r="D4716" s="457"/>
      <c r="E4716" s="415"/>
      <c r="F4716" s="408"/>
      <c r="G4716" s="410"/>
      <c r="H4716" s="426"/>
      <c r="I4716" s="408"/>
      <c r="J4716" s="400"/>
      <c r="K4716" s="401"/>
      <c r="L4716" s="401"/>
      <c r="M4716" s="404"/>
      <c r="N4716" s="404"/>
      <c r="O4716" s="404"/>
      <c r="P4716" s="404"/>
      <c r="Q4716" s="404"/>
      <c r="R4716" s="404"/>
      <c r="S4716" s="404"/>
      <c r="T4716" s="404"/>
      <c r="U4716" s="404"/>
      <c r="V4716" s="404"/>
      <c r="W4716" s="404"/>
      <c r="X4716" s="404"/>
      <c r="Y4716" s="404"/>
      <c r="Z4716" s="404"/>
      <c r="AA4716" s="404"/>
      <c r="AB4716" s="404"/>
      <c r="AC4716" s="404"/>
      <c r="AD4716" s="404"/>
      <c r="AE4716" s="404"/>
      <c r="AF4716" s="404"/>
      <c r="AG4716" s="404"/>
      <c r="AH4716" s="404"/>
      <c r="AI4716" s="404"/>
      <c r="AJ4716" s="404"/>
      <c r="AK4716" s="404"/>
      <c r="AL4716" s="404"/>
      <c r="AM4716" s="404"/>
      <c r="AN4716" s="404"/>
      <c r="AO4716" s="404"/>
      <c r="AP4716" s="404"/>
      <c r="AQ4716" s="404"/>
      <c r="AR4716" s="404"/>
      <c r="AS4716" s="404"/>
      <c r="AT4716" s="404"/>
      <c r="AU4716" s="404"/>
      <c r="AV4716" s="404"/>
      <c r="AW4716" s="404"/>
      <c r="AX4716" s="404"/>
      <c r="AY4716" s="404"/>
      <c r="AZ4716" s="404"/>
      <c r="BA4716" s="404"/>
      <c r="BB4716" s="404"/>
      <c r="BC4716" s="404"/>
      <c r="BD4716" s="404"/>
      <c r="BE4716" s="404"/>
      <c r="BF4716" s="404"/>
      <c r="BG4716" s="404"/>
      <c r="BH4716" s="404"/>
      <c r="BI4716" s="404"/>
      <c r="BJ4716" s="404"/>
      <c r="BK4716" s="404"/>
      <c r="BL4716" s="404"/>
    </row>
    <row r="4717" spans="1:64" ht="13">
      <c r="A4717" s="454"/>
      <c r="B4717" s="454"/>
      <c r="C4717" s="417" t="s">
        <v>1661</v>
      </c>
      <c r="D4717" s="408"/>
      <c r="E4717" s="408"/>
      <c r="F4717" s="408"/>
      <c r="G4717" s="430"/>
      <c r="H4717" s="414"/>
      <c r="I4717" s="414"/>
      <c r="J4717" s="400"/>
      <c r="K4717" s="401"/>
      <c r="L4717" s="401"/>
      <c r="M4717" s="404"/>
      <c r="N4717" s="404"/>
      <c r="O4717" s="404"/>
      <c r="P4717" s="404"/>
      <c r="Q4717" s="404"/>
      <c r="R4717" s="404"/>
      <c r="S4717" s="404"/>
      <c r="T4717" s="404"/>
      <c r="U4717" s="404"/>
      <c r="V4717" s="404"/>
      <c r="W4717" s="404"/>
      <c r="X4717" s="404"/>
      <c r="Y4717" s="404"/>
      <c r="Z4717" s="404"/>
      <c r="AA4717" s="404"/>
      <c r="AB4717" s="404"/>
      <c r="AC4717" s="404"/>
      <c r="AD4717" s="404"/>
      <c r="AE4717" s="404"/>
      <c r="AF4717" s="404"/>
      <c r="AG4717" s="404"/>
      <c r="AH4717" s="404"/>
      <c r="AI4717" s="404"/>
      <c r="AJ4717" s="404"/>
      <c r="AK4717" s="404"/>
      <c r="AL4717" s="404"/>
      <c r="AM4717" s="404"/>
      <c r="AN4717" s="404"/>
      <c r="AO4717" s="404"/>
      <c r="AP4717" s="404"/>
      <c r="AQ4717" s="404"/>
      <c r="AR4717" s="404"/>
      <c r="AS4717" s="404"/>
      <c r="AT4717" s="404"/>
      <c r="AU4717" s="404"/>
      <c r="AV4717" s="404"/>
      <c r="AW4717" s="404"/>
      <c r="AX4717" s="404"/>
      <c r="AY4717" s="404"/>
      <c r="AZ4717" s="404"/>
      <c r="BA4717" s="404"/>
      <c r="BB4717" s="404"/>
      <c r="BC4717" s="404"/>
      <c r="BD4717" s="404"/>
      <c r="BE4717" s="404"/>
      <c r="BF4717" s="404"/>
      <c r="BG4717" s="404"/>
      <c r="BH4717" s="404"/>
      <c r="BI4717" s="404"/>
      <c r="BJ4717" s="404"/>
      <c r="BK4717" s="404"/>
      <c r="BL4717" s="404"/>
    </row>
    <row r="4718" spans="1:64">
      <c r="A4718" s="454"/>
      <c r="B4718" s="454"/>
      <c r="C4718" s="445" t="s">
        <v>1603</v>
      </c>
      <c r="D4718" s="409">
        <v>0.48</v>
      </c>
      <c r="E4718" s="408" t="s">
        <v>375</v>
      </c>
      <c r="F4718" s="408">
        <f>'[161]Civil-SOR'!$G$302</f>
        <v>550</v>
      </c>
      <c r="G4718" s="430">
        <v>1</v>
      </c>
      <c r="H4718" s="408" t="s">
        <v>678</v>
      </c>
      <c r="I4718" s="408">
        <f t="shared" ref="I4718:I4721" si="1017">IF(G4718="",D4718*F4718,(D4718*F4718/G4718))</f>
        <v>264</v>
      </c>
      <c r="J4718" s="400"/>
      <c r="K4718" s="401"/>
      <c r="L4718" s="401"/>
      <c r="M4718" s="404"/>
      <c r="N4718" s="404"/>
      <c r="O4718" s="404"/>
      <c r="P4718" s="404"/>
      <c r="Q4718" s="404"/>
      <c r="R4718" s="404"/>
      <c r="S4718" s="404"/>
      <c r="T4718" s="404"/>
      <c r="U4718" s="404"/>
      <c r="V4718" s="404"/>
      <c r="W4718" s="404"/>
      <c r="X4718" s="404"/>
      <c r="Y4718" s="404"/>
      <c r="Z4718" s="404"/>
      <c r="AA4718" s="404"/>
      <c r="AB4718" s="404"/>
      <c r="AC4718" s="404"/>
      <c r="AD4718" s="404"/>
      <c r="AE4718" s="404"/>
      <c r="AF4718" s="404"/>
      <c r="AG4718" s="404"/>
      <c r="AH4718" s="404"/>
      <c r="AI4718" s="404"/>
      <c r="AJ4718" s="404"/>
      <c r="AK4718" s="404"/>
      <c r="AL4718" s="404"/>
      <c r="AM4718" s="404"/>
      <c r="AN4718" s="404"/>
      <c r="AO4718" s="404"/>
      <c r="AP4718" s="404"/>
      <c r="AQ4718" s="404"/>
      <c r="AR4718" s="404"/>
      <c r="AS4718" s="404"/>
      <c r="AT4718" s="404"/>
      <c r="AU4718" s="404"/>
      <c r="AV4718" s="404"/>
      <c r="AW4718" s="404"/>
      <c r="AX4718" s="404"/>
      <c r="AY4718" s="404"/>
      <c r="AZ4718" s="404"/>
      <c r="BA4718" s="404"/>
      <c r="BB4718" s="404"/>
      <c r="BC4718" s="404"/>
      <c r="BD4718" s="404"/>
      <c r="BE4718" s="404"/>
      <c r="BF4718" s="404"/>
      <c r="BG4718" s="404"/>
      <c r="BH4718" s="404"/>
      <c r="BI4718" s="404"/>
      <c r="BJ4718" s="404"/>
      <c r="BK4718" s="404"/>
      <c r="BL4718" s="404"/>
    </row>
    <row r="4719" spans="1:64">
      <c r="A4719" s="454"/>
      <c r="B4719" s="454"/>
      <c r="C4719" s="445" t="s">
        <v>1644</v>
      </c>
      <c r="D4719" s="409">
        <v>2</v>
      </c>
      <c r="E4719" s="408" t="s">
        <v>375</v>
      </c>
      <c r="F4719" s="408">
        <f>'[161]Civil-SOR'!$G$307</f>
        <v>520</v>
      </c>
      <c r="G4719" s="430">
        <v>1</v>
      </c>
      <c r="H4719" s="408" t="s">
        <v>678</v>
      </c>
      <c r="I4719" s="408">
        <f t="shared" si="1017"/>
        <v>1040</v>
      </c>
      <c r="J4719" s="400"/>
      <c r="K4719" s="401"/>
      <c r="L4719" s="401"/>
      <c r="M4719" s="404"/>
      <c r="N4719" s="404"/>
      <c r="O4719" s="404"/>
      <c r="P4719" s="404"/>
      <c r="Q4719" s="404"/>
      <c r="R4719" s="404"/>
      <c r="S4719" s="404"/>
      <c r="T4719" s="404"/>
      <c r="U4719" s="404"/>
      <c r="V4719" s="404"/>
      <c r="W4719" s="404"/>
      <c r="X4719" s="404"/>
      <c r="Y4719" s="404"/>
      <c r="Z4719" s="404"/>
      <c r="AA4719" s="404"/>
      <c r="AB4719" s="404"/>
      <c r="AC4719" s="404"/>
      <c r="AD4719" s="404"/>
      <c r="AE4719" s="404"/>
      <c r="AF4719" s="404"/>
      <c r="AG4719" s="404"/>
      <c r="AH4719" s="404"/>
      <c r="AI4719" s="404"/>
      <c r="AJ4719" s="404"/>
      <c r="AK4719" s="404"/>
      <c r="AL4719" s="404"/>
      <c r="AM4719" s="404"/>
      <c r="AN4719" s="404"/>
      <c r="AO4719" s="404"/>
      <c r="AP4719" s="404"/>
      <c r="AQ4719" s="404"/>
      <c r="AR4719" s="404"/>
      <c r="AS4719" s="404"/>
      <c r="AT4719" s="404"/>
      <c r="AU4719" s="404"/>
      <c r="AV4719" s="404"/>
      <c r="AW4719" s="404"/>
      <c r="AX4719" s="404"/>
      <c r="AY4719" s="404"/>
      <c r="AZ4719" s="404"/>
      <c r="BA4719" s="404"/>
      <c r="BB4719" s="404"/>
      <c r="BC4719" s="404"/>
      <c r="BD4719" s="404"/>
      <c r="BE4719" s="404"/>
      <c r="BF4719" s="404"/>
      <c r="BG4719" s="404"/>
      <c r="BH4719" s="404"/>
      <c r="BI4719" s="404"/>
      <c r="BJ4719" s="404"/>
      <c r="BK4719" s="404"/>
      <c r="BL4719" s="404"/>
    </row>
    <row r="4720" spans="1:64">
      <c r="A4720" s="454"/>
      <c r="B4720" s="454"/>
      <c r="C4720" s="445" t="s">
        <v>1662</v>
      </c>
      <c r="D4720" s="409">
        <v>10</v>
      </c>
      <c r="E4720" s="408" t="s">
        <v>375</v>
      </c>
      <c r="F4720" s="408">
        <f>'[161]Civil-SOR'!$G$307</f>
        <v>520</v>
      </c>
      <c r="G4720" s="430">
        <v>1</v>
      </c>
      <c r="H4720" s="408" t="s">
        <v>678</v>
      </c>
      <c r="I4720" s="408">
        <f t="shared" si="1017"/>
        <v>5200</v>
      </c>
      <c r="J4720" s="400"/>
      <c r="K4720" s="401"/>
      <c r="L4720" s="401"/>
      <c r="M4720" s="404"/>
      <c r="N4720" s="404"/>
      <c r="O4720" s="404"/>
      <c r="P4720" s="404"/>
      <c r="Q4720" s="404"/>
      <c r="R4720" s="404"/>
      <c r="S4720" s="404"/>
      <c r="T4720" s="404"/>
      <c r="U4720" s="404"/>
      <c r="V4720" s="404"/>
      <c r="W4720" s="404"/>
      <c r="X4720" s="404"/>
      <c r="Y4720" s="404"/>
      <c r="Z4720" s="404"/>
      <c r="AA4720" s="404"/>
      <c r="AB4720" s="404"/>
      <c r="AC4720" s="404"/>
      <c r="AD4720" s="404"/>
      <c r="AE4720" s="404"/>
      <c r="AF4720" s="404"/>
      <c r="AG4720" s="404"/>
      <c r="AH4720" s="404"/>
      <c r="AI4720" s="404"/>
      <c r="AJ4720" s="404"/>
      <c r="AK4720" s="404"/>
      <c r="AL4720" s="404"/>
      <c r="AM4720" s="404"/>
      <c r="AN4720" s="404"/>
      <c r="AO4720" s="404"/>
      <c r="AP4720" s="404"/>
      <c r="AQ4720" s="404"/>
      <c r="AR4720" s="404"/>
      <c r="AS4720" s="404"/>
      <c r="AT4720" s="404"/>
      <c r="AU4720" s="404"/>
      <c r="AV4720" s="404"/>
      <c r="AW4720" s="404"/>
      <c r="AX4720" s="404"/>
      <c r="AY4720" s="404"/>
      <c r="AZ4720" s="404"/>
      <c r="BA4720" s="404"/>
      <c r="BB4720" s="404"/>
      <c r="BC4720" s="404"/>
      <c r="BD4720" s="404"/>
      <c r="BE4720" s="404"/>
      <c r="BF4720" s="404"/>
      <c r="BG4720" s="404"/>
      <c r="BH4720" s="404"/>
      <c r="BI4720" s="404"/>
      <c r="BJ4720" s="404"/>
      <c r="BK4720" s="404"/>
      <c r="BL4720" s="404"/>
    </row>
    <row r="4721" spans="1:64">
      <c r="A4721" s="454"/>
      <c r="B4721" s="454"/>
      <c r="C4721" s="417" t="str">
        <f>[161]Input!$C$47</f>
        <v>Add for MA @ 40%</v>
      </c>
      <c r="D4721" s="746">
        <f>[161]Input!$D$47</f>
        <v>0.4</v>
      </c>
      <c r="E4721" s="408"/>
      <c r="F4721" s="408">
        <f>SUM(I4718:I4720)</f>
        <v>6504</v>
      </c>
      <c r="G4721" s="430"/>
      <c r="H4721" s="408"/>
      <c r="I4721" s="408">
        <f t="shared" si="1017"/>
        <v>2601.6000000000004</v>
      </c>
      <c r="J4721" s="400"/>
      <c r="K4721" s="401"/>
      <c r="L4721" s="401"/>
      <c r="M4721" s="404"/>
      <c r="N4721" s="404"/>
      <c r="O4721" s="404"/>
      <c r="P4721" s="404"/>
      <c r="Q4721" s="404"/>
      <c r="R4721" s="404"/>
      <c r="S4721" s="404"/>
      <c r="T4721" s="404"/>
      <c r="U4721" s="404"/>
      <c r="V4721" s="404"/>
      <c r="W4721" s="404"/>
      <c r="X4721" s="404"/>
      <c r="Y4721" s="404"/>
      <c r="Z4721" s="404"/>
      <c r="AA4721" s="404"/>
      <c r="AB4721" s="404"/>
      <c r="AC4721" s="404"/>
      <c r="AD4721" s="404"/>
      <c r="AE4721" s="404"/>
      <c r="AF4721" s="404"/>
      <c r="AG4721" s="404"/>
      <c r="AH4721" s="404"/>
      <c r="AI4721" s="404"/>
      <c r="AJ4721" s="404"/>
      <c r="AK4721" s="404"/>
      <c r="AL4721" s="404"/>
      <c r="AM4721" s="404"/>
      <c r="AN4721" s="404"/>
      <c r="AO4721" s="404"/>
      <c r="AP4721" s="404"/>
      <c r="AQ4721" s="404"/>
      <c r="AR4721" s="404"/>
      <c r="AS4721" s="404"/>
      <c r="AT4721" s="404"/>
      <c r="AU4721" s="404"/>
      <c r="AV4721" s="404"/>
      <c r="AW4721" s="404"/>
      <c r="AX4721" s="404"/>
      <c r="AY4721" s="404"/>
      <c r="AZ4721" s="404"/>
      <c r="BA4721" s="404"/>
      <c r="BB4721" s="404"/>
      <c r="BC4721" s="404"/>
      <c r="BD4721" s="404"/>
      <c r="BE4721" s="404"/>
      <c r="BF4721" s="404"/>
      <c r="BG4721" s="404"/>
      <c r="BH4721" s="404"/>
      <c r="BI4721" s="404"/>
      <c r="BJ4721" s="404"/>
      <c r="BK4721" s="404"/>
      <c r="BL4721" s="404"/>
    </row>
    <row r="4722" spans="1:64" ht="13">
      <c r="A4722" s="454"/>
      <c r="B4722" s="454"/>
      <c r="C4722" s="417"/>
      <c r="D4722" s="408"/>
      <c r="E4722" s="408"/>
      <c r="F4722" s="408"/>
      <c r="G4722" s="416" t="s">
        <v>1656</v>
      </c>
      <c r="H4722" s="414"/>
      <c r="I4722" s="414">
        <f>SUM(I4718:I4721)</f>
        <v>9105.6</v>
      </c>
      <c r="J4722" s="400"/>
      <c r="K4722" s="401"/>
      <c r="L4722" s="401"/>
      <c r="M4722" s="404"/>
      <c r="N4722" s="404"/>
      <c r="O4722" s="404"/>
      <c r="P4722" s="404"/>
      <c r="Q4722" s="404"/>
      <c r="R4722" s="404"/>
      <c r="S4722" s="404"/>
      <c r="T4722" s="404"/>
      <c r="U4722" s="404"/>
      <c r="V4722" s="404"/>
      <c r="W4722" s="404"/>
      <c r="X4722" s="404"/>
      <c r="Y4722" s="404"/>
      <c r="Z4722" s="404"/>
      <c r="AA4722" s="404"/>
      <c r="AB4722" s="404"/>
      <c r="AC4722" s="404"/>
      <c r="AD4722" s="404"/>
      <c r="AE4722" s="404"/>
      <c r="AF4722" s="404"/>
      <c r="AG4722" s="404"/>
      <c r="AH4722" s="404"/>
      <c r="AI4722" s="404"/>
      <c r="AJ4722" s="404"/>
      <c r="AK4722" s="404"/>
      <c r="AL4722" s="404"/>
      <c r="AM4722" s="404"/>
      <c r="AN4722" s="404"/>
      <c r="AO4722" s="404"/>
      <c r="AP4722" s="404"/>
      <c r="AQ4722" s="404"/>
      <c r="AR4722" s="404"/>
      <c r="AS4722" s="404"/>
      <c r="AT4722" s="404"/>
      <c r="AU4722" s="404"/>
      <c r="AV4722" s="404"/>
      <c r="AW4722" s="404"/>
      <c r="AX4722" s="404"/>
      <c r="AY4722" s="404"/>
      <c r="AZ4722" s="404"/>
      <c r="BA4722" s="404"/>
      <c r="BB4722" s="404"/>
      <c r="BC4722" s="404"/>
      <c r="BD4722" s="404"/>
      <c r="BE4722" s="404"/>
      <c r="BF4722" s="404"/>
      <c r="BG4722" s="404"/>
      <c r="BH4722" s="404"/>
      <c r="BI4722" s="404"/>
      <c r="BJ4722" s="404"/>
      <c r="BK4722" s="404"/>
      <c r="BL4722" s="404"/>
    </row>
    <row r="4723" spans="1:64" ht="13">
      <c r="A4723" s="454"/>
      <c r="B4723" s="454"/>
      <c r="C4723" s="427" t="s">
        <v>1663</v>
      </c>
      <c r="D4723" s="408"/>
      <c r="E4723" s="408"/>
      <c r="F4723" s="408"/>
      <c r="G4723" s="430"/>
      <c r="H4723" s="408"/>
      <c r="I4723" s="408"/>
      <c r="J4723" s="400"/>
      <c r="K4723" s="401"/>
      <c r="L4723" s="401"/>
      <c r="M4723" s="404"/>
      <c r="N4723" s="404"/>
      <c r="O4723" s="404"/>
      <c r="P4723" s="404"/>
      <c r="Q4723" s="404"/>
      <c r="R4723" s="404"/>
      <c r="S4723" s="404"/>
      <c r="T4723" s="404"/>
      <c r="U4723" s="404"/>
      <c r="V4723" s="404"/>
      <c r="W4723" s="404"/>
      <c r="X4723" s="404"/>
      <c r="Y4723" s="404"/>
      <c r="Z4723" s="404"/>
      <c r="AA4723" s="404"/>
      <c r="AB4723" s="404"/>
      <c r="AC4723" s="404"/>
      <c r="AD4723" s="404"/>
      <c r="AE4723" s="404"/>
      <c r="AF4723" s="404"/>
      <c r="AG4723" s="404"/>
      <c r="AH4723" s="404"/>
      <c r="AI4723" s="404"/>
      <c r="AJ4723" s="404"/>
      <c r="AK4723" s="404"/>
      <c r="AL4723" s="404"/>
      <c r="AM4723" s="404"/>
      <c r="AN4723" s="404"/>
      <c r="AO4723" s="404"/>
      <c r="AP4723" s="404"/>
      <c r="AQ4723" s="404"/>
      <c r="AR4723" s="404"/>
      <c r="AS4723" s="404"/>
      <c r="AT4723" s="404"/>
      <c r="AU4723" s="404"/>
      <c r="AV4723" s="404"/>
      <c r="AW4723" s="404"/>
      <c r="AX4723" s="404"/>
      <c r="AY4723" s="404"/>
      <c r="AZ4723" s="404"/>
      <c r="BA4723" s="404"/>
      <c r="BB4723" s="404"/>
      <c r="BC4723" s="404"/>
      <c r="BD4723" s="404"/>
      <c r="BE4723" s="404"/>
      <c r="BF4723" s="404"/>
      <c r="BG4723" s="404"/>
      <c r="BH4723" s="404"/>
      <c r="BI4723" s="404"/>
      <c r="BJ4723" s="404"/>
      <c r="BK4723" s="404"/>
      <c r="BL4723" s="404"/>
    </row>
    <row r="4724" spans="1:64">
      <c r="A4724" s="454"/>
      <c r="B4724" s="454"/>
      <c r="C4724" s="417" t="s">
        <v>1681</v>
      </c>
      <c r="D4724" s="406">
        <v>6.6</v>
      </c>
      <c r="E4724" s="408" t="s">
        <v>796</v>
      </c>
      <c r="F4724" s="408">
        <f>'[161]Civil-SOR'!$G$361</f>
        <v>2028</v>
      </c>
      <c r="G4724" s="430">
        <v>1</v>
      </c>
      <c r="H4724" s="408" t="s">
        <v>797</v>
      </c>
      <c r="I4724" s="408">
        <f t="shared" ref="I4724:I4729" si="1018">IF(G4724="",D4724*F4724,(D4724*F4724/G4724))</f>
        <v>13384.8</v>
      </c>
      <c r="J4724" s="400"/>
      <c r="K4724" s="401"/>
      <c r="L4724" s="401"/>
      <c r="M4724" s="404"/>
      <c r="N4724" s="404"/>
      <c r="O4724" s="404"/>
      <c r="P4724" s="404"/>
      <c r="Q4724" s="404"/>
      <c r="R4724" s="404"/>
      <c r="S4724" s="404"/>
      <c r="T4724" s="404"/>
      <c r="U4724" s="404"/>
      <c r="V4724" s="404"/>
      <c r="W4724" s="404"/>
      <c r="X4724" s="404"/>
      <c r="Y4724" s="404"/>
      <c r="Z4724" s="404"/>
      <c r="AA4724" s="404"/>
      <c r="AB4724" s="404"/>
      <c r="AC4724" s="404"/>
      <c r="AD4724" s="404"/>
      <c r="AE4724" s="404"/>
      <c r="AF4724" s="404"/>
      <c r="AG4724" s="404"/>
      <c r="AH4724" s="404"/>
      <c r="AI4724" s="404"/>
      <c r="AJ4724" s="404"/>
      <c r="AK4724" s="404"/>
      <c r="AL4724" s="404"/>
      <c r="AM4724" s="404"/>
      <c r="AN4724" s="404"/>
      <c r="AO4724" s="404"/>
      <c r="AP4724" s="404"/>
      <c r="AQ4724" s="404"/>
      <c r="AR4724" s="404"/>
      <c r="AS4724" s="404"/>
      <c r="AT4724" s="404"/>
      <c r="AU4724" s="404"/>
      <c r="AV4724" s="404"/>
      <c r="AW4724" s="404"/>
      <c r="AX4724" s="404"/>
      <c r="AY4724" s="404"/>
      <c r="AZ4724" s="404"/>
      <c r="BA4724" s="404"/>
      <c r="BB4724" s="404"/>
      <c r="BC4724" s="404"/>
      <c r="BD4724" s="404"/>
      <c r="BE4724" s="404"/>
      <c r="BF4724" s="404"/>
      <c r="BG4724" s="404"/>
      <c r="BH4724" s="404"/>
      <c r="BI4724" s="404"/>
      <c r="BJ4724" s="404"/>
      <c r="BK4724" s="404"/>
      <c r="BL4724" s="404"/>
    </row>
    <row r="4725" spans="1:64">
      <c r="A4725" s="454"/>
      <c r="B4725" s="454"/>
      <c r="C4725" s="445" t="s">
        <v>1682</v>
      </c>
      <c r="D4725" s="406">
        <v>6</v>
      </c>
      <c r="E4725" s="408" t="s">
        <v>796</v>
      </c>
      <c r="F4725" s="408">
        <f>'[161]Civil-SOR'!$G$364</f>
        <v>1626</v>
      </c>
      <c r="G4725" s="430">
        <v>1</v>
      </c>
      <c r="H4725" s="408" t="s">
        <v>797</v>
      </c>
      <c r="I4725" s="408">
        <f t="shared" si="1018"/>
        <v>9756</v>
      </c>
      <c r="J4725" s="400"/>
      <c r="K4725" s="401"/>
      <c r="L4725" s="401"/>
      <c r="M4725" s="404"/>
      <c r="N4725" s="404"/>
      <c r="O4725" s="404"/>
      <c r="P4725" s="404"/>
      <c r="Q4725" s="404"/>
      <c r="R4725" s="404"/>
      <c r="S4725" s="404"/>
      <c r="T4725" s="404"/>
      <c r="U4725" s="404"/>
      <c r="V4725" s="404"/>
      <c r="W4725" s="404"/>
      <c r="X4725" s="404"/>
      <c r="Y4725" s="404"/>
      <c r="Z4725" s="404"/>
      <c r="AA4725" s="404"/>
      <c r="AB4725" s="404"/>
      <c r="AC4725" s="404"/>
      <c r="AD4725" s="404"/>
      <c r="AE4725" s="404"/>
      <c r="AF4725" s="404"/>
      <c r="AG4725" s="404"/>
      <c r="AH4725" s="404"/>
      <c r="AI4725" s="404"/>
      <c r="AJ4725" s="404"/>
      <c r="AK4725" s="404"/>
      <c r="AL4725" s="404"/>
      <c r="AM4725" s="404"/>
      <c r="AN4725" s="404"/>
      <c r="AO4725" s="404"/>
      <c r="AP4725" s="404"/>
      <c r="AQ4725" s="404"/>
      <c r="AR4725" s="404"/>
      <c r="AS4725" s="404"/>
      <c r="AT4725" s="404"/>
      <c r="AU4725" s="404"/>
      <c r="AV4725" s="404"/>
      <c r="AW4725" s="404"/>
      <c r="AX4725" s="404"/>
      <c r="AY4725" s="404"/>
      <c r="AZ4725" s="404"/>
      <c r="BA4725" s="404"/>
      <c r="BB4725" s="404"/>
      <c r="BC4725" s="404"/>
      <c r="BD4725" s="404"/>
      <c r="BE4725" s="404"/>
      <c r="BF4725" s="404"/>
      <c r="BG4725" s="404"/>
      <c r="BH4725" s="404"/>
      <c r="BI4725" s="404"/>
      <c r="BJ4725" s="404"/>
      <c r="BK4725" s="404"/>
      <c r="BL4725" s="404"/>
    </row>
    <row r="4726" spans="1:64">
      <c r="A4726" s="454"/>
      <c r="B4726" s="454"/>
      <c r="C4726" s="445" t="s">
        <v>1683</v>
      </c>
      <c r="D4726" s="406">
        <v>6</v>
      </c>
      <c r="E4726" s="408" t="s">
        <v>796</v>
      </c>
      <c r="F4726" s="408">
        <f>'[161]Civil-SOR'!$G$362</f>
        <v>2028</v>
      </c>
      <c r="G4726" s="430">
        <v>1</v>
      </c>
      <c r="H4726" s="408" t="s">
        <v>797</v>
      </c>
      <c r="I4726" s="408">
        <f t="shared" si="1018"/>
        <v>12168</v>
      </c>
      <c r="J4726" s="400"/>
      <c r="K4726" s="401"/>
      <c r="L4726" s="401"/>
      <c r="M4726" s="404"/>
      <c r="N4726" s="404"/>
      <c r="O4726" s="404"/>
      <c r="P4726" s="404"/>
      <c r="Q4726" s="404"/>
      <c r="R4726" s="404"/>
      <c r="S4726" s="404"/>
      <c r="T4726" s="404"/>
      <c r="U4726" s="404"/>
      <c r="V4726" s="404"/>
      <c r="W4726" s="404"/>
      <c r="X4726" s="404"/>
      <c r="Y4726" s="404"/>
      <c r="Z4726" s="404"/>
      <c r="AA4726" s="404"/>
      <c r="AB4726" s="404"/>
      <c r="AC4726" s="404"/>
      <c r="AD4726" s="404"/>
      <c r="AE4726" s="404"/>
      <c r="AF4726" s="404"/>
      <c r="AG4726" s="404"/>
      <c r="AH4726" s="404"/>
      <c r="AI4726" s="404"/>
      <c r="AJ4726" s="404"/>
      <c r="AK4726" s="404"/>
      <c r="AL4726" s="404"/>
      <c r="AM4726" s="404"/>
      <c r="AN4726" s="404"/>
      <c r="AO4726" s="404"/>
      <c r="AP4726" s="404"/>
      <c r="AQ4726" s="404"/>
      <c r="AR4726" s="404"/>
      <c r="AS4726" s="404"/>
      <c r="AT4726" s="404"/>
      <c r="AU4726" s="404"/>
      <c r="AV4726" s="404"/>
      <c r="AW4726" s="404"/>
      <c r="AX4726" s="404"/>
      <c r="AY4726" s="404"/>
      <c r="AZ4726" s="404"/>
      <c r="BA4726" s="404"/>
      <c r="BB4726" s="404"/>
      <c r="BC4726" s="404"/>
      <c r="BD4726" s="404"/>
      <c r="BE4726" s="404"/>
      <c r="BF4726" s="404"/>
      <c r="BG4726" s="404"/>
      <c r="BH4726" s="404"/>
      <c r="BI4726" s="404"/>
      <c r="BJ4726" s="404"/>
      <c r="BK4726" s="404"/>
      <c r="BL4726" s="404"/>
    </row>
    <row r="4727" spans="1:64">
      <c r="A4727" s="454"/>
      <c r="B4727" s="454"/>
      <c r="C4727" s="445" t="s">
        <v>1684</v>
      </c>
      <c r="D4727" s="406">
        <v>6</v>
      </c>
      <c r="E4727" s="408" t="s">
        <v>796</v>
      </c>
      <c r="F4727" s="408">
        <f>'[161]Civil-SOR'!$G$365</f>
        <v>2771</v>
      </c>
      <c r="G4727" s="430">
        <v>1</v>
      </c>
      <c r="H4727" s="408" t="s">
        <v>797</v>
      </c>
      <c r="I4727" s="408">
        <f t="shared" si="1018"/>
        <v>16626</v>
      </c>
      <c r="J4727" s="400"/>
      <c r="K4727" s="401"/>
      <c r="L4727" s="401"/>
      <c r="M4727" s="404"/>
      <c r="N4727" s="404"/>
      <c r="O4727" s="404"/>
      <c r="P4727" s="404"/>
      <c r="Q4727" s="404"/>
      <c r="R4727" s="404"/>
      <c r="S4727" s="404"/>
      <c r="T4727" s="404"/>
      <c r="U4727" s="404"/>
      <c r="V4727" s="404"/>
      <c r="W4727" s="404"/>
      <c r="X4727" s="404"/>
      <c r="Y4727" s="404"/>
      <c r="Z4727" s="404"/>
      <c r="AA4727" s="404"/>
      <c r="AB4727" s="404"/>
      <c r="AC4727" s="404"/>
      <c r="AD4727" s="404"/>
      <c r="AE4727" s="404"/>
      <c r="AF4727" s="404"/>
      <c r="AG4727" s="404"/>
      <c r="AH4727" s="404"/>
      <c r="AI4727" s="404"/>
      <c r="AJ4727" s="404"/>
      <c r="AK4727" s="404"/>
      <c r="AL4727" s="404"/>
      <c r="AM4727" s="404"/>
      <c r="AN4727" s="404"/>
      <c r="AO4727" s="404"/>
      <c r="AP4727" s="404"/>
      <c r="AQ4727" s="404"/>
      <c r="AR4727" s="404"/>
      <c r="AS4727" s="404"/>
      <c r="AT4727" s="404"/>
      <c r="AU4727" s="404"/>
      <c r="AV4727" s="404"/>
      <c r="AW4727" s="404"/>
      <c r="AX4727" s="404"/>
      <c r="AY4727" s="404"/>
      <c r="AZ4727" s="404"/>
      <c r="BA4727" s="404"/>
      <c r="BB4727" s="404"/>
      <c r="BC4727" s="404"/>
      <c r="BD4727" s="404"/>
      <c r="BE4727" s="404"/>
      <c r="BF4727" s="404"/>
      <c r="BG4727" s="404"/>
      <c r="BH4727" s="404"/>
      <c r="BI4727" s="404"/>
      <c r="BJ4727" s="404"/>
      <c r="BK4727" s="404"/>
      <c r="BL4727" s="404"/>
    </row>
    <row r="4728" spans="1:64">
      <c r="A4728" s="454"/>
      <c r="B4728" s="454"/>
      <c r="C4728" s="445" t="s">
        <v>1665</v>
      </c>
      <c r="D4728" s="406">
        <f>6*0.65</f>
        <v>3.9000000000000004</v>
      </c>
      <c r="E4728" s="408" t="s">
        <v>796</v>
      </c>
      <c r="F4728" s="409">
        <f>'[161]Civil-SOR'!$G$356</f>
        <v>3475.2</v>
      </c>
      <c r="G4728" s="430">
        <v>1</v>
      </c>
      <c r="H4728" s="408" t="s">
        <v>797</v>
      </c>
      <c r="I4728" s="408">
        <f t="shared" si="1018"/>
        <v>13553.28</v>
      </c>
      <c r="J4728" s="400"/>
      <c r="K4728" s="401"/>
      <c r="L4728" s="401"/>
      <c r="M4728" s="404"/>
      <c r="N4728" s="404"/>
      <c r="O4728" s="404"/>
      <c r="P4728" s="404"/>
      <c r="Q4728" s="404"/>
      <c r="R4728" s="404"/>
      <c r="S4728" s="404"/>
      <c r="T4728" s="404"/>
      <c r="U4728" s="404"/>
      <c r="V4728" s="404"/>
      <c r="W4728" s="404"/>
      <c r="X4728" s="404"/>
      <c r="Y4728" s="404"/>
      <c r="Z4728" s="404"/>
      <c r="AA4728" s="404"/>
      <c r="AB4728" s="404"/>
      <c r="AC4728" s="404"/>
      <c r="AD4728" s="404"/>
      <c r="AE4728" s="404"/>
      <c r="AF4728" s="404"/>
      <c r="AG4728" s="404"/>
      <c r="AH4728" s="404"/>
      <c r="AI4728" s="404"/>
      <c r="AJ4728" s="404"/>
      <c r="AK4728" s="404"/>
      <c r="AL4728" s="404"/>
      <c r="AM4728" s="404"/>
      <c r="AN4728" s="404"/>
      <c r="AO4728" s="404"/>
      <c r="AP4728" s="404"/>
      <c r="AQ4728" s="404"/>
      <c r="AR4728" s="404"/>
      <c r="AS4728" s="404"/>
      <c r="AT4728" s="404"/>
      <c r="AU4728" s="404"/>
      <c r="AV4728" s="404"/>
      <c r="AW4728" s="404"/>
      <c r="AX4728" s="404"/>
      <c r="AY4728" s="404"/>
      <c r="AZ4728" s="404"/>
      <c r="BA4728" s="404"/>
      <c r="BB4728" s="404"/>
      <c r="BC4728" s="404"/>
      <c r="BD4728" s="404"/>
      <c r="BE4728" s="404"/>
      <c r="BF4728" s="404"/>
      <c r="BG4728" s="404"/>
      <c r="BH4728" s="404"/>
      <c r="BI4728" s="404"/>
      <c r="BJ4728" s="404"/>
      <c r="BK4728" s="404"/>
      <c r="BL4728" s="404"/>
    </row>
    <row r="4729" spans="1:64">
      <c r="A4729" s="454"/>
      <c r="B4729" s="454"/>
      <c r="C4729" s="445" t="s">
        <v>1666</v>
      </c>
      <c r="D4729" s="409">
        <v>3</v>
      </c>
      <c r="E4729" s="408" t="s">
        <v>796</v>
      </c>
      <c r="F4729" s="408">
        <f>'[161]Civil-SOR'!$G$357</f>
        <v>769</v>
      </c>
      <c r="G4729" s="430">
        <v>1</v>
      </c>
      <c r="H4729" s="408" t="s">
        <v>797</v>
      </c>
      <c r="I4729" s="408">
        <f t="shared" si="1018"/>
        <v>2307</v>
      </c>
      <c r="J4729" s="400"/>
      <c r="K4729" s="401"/>
      <c r="L4729" s="401"/>
      <c r="M4729" s="404"/>
      <c r="N4729" s="404"/>
      <c r="O4729" s="404"/>
      <c r="P4729" s="404"/>
      <c r="Q4729" s="404"/>
      <c r="R4729" s="404"/>
      <c r="S4729" s="404"/>
      <c r="T4729" s="404"/>
      <c r="U4729" s="404"/>
      <c r="V4729" s="404"/>
      <c r="W4729" s="404"/>
      <c r="X4729" s="404"/>
      <c r="Y4729" s="404"/>
      <c r="Z4729" s="404"/>
      <c r="AA4729" s="404"/>
      <c r="AB4729" s="404"/>
      <c r="AC4729" s="404"/>
      <c r="AD4729" s="404"/>
      <c r="AE4729" s="404"/>
      <c r="AF4729" s="404"/>
      <c r="AG4729" s="404"/>
      <c r="AH4729" s="404"/>
      <c r="AI4729" s="404"/>
      <c r="AJ4729" s="404"/>
      <c r="AK4729" s="404"/>
      <c r="AL4729" s="404"/>
      <c r="AM4729" s="404"/>
      <c r="AN4729" s="404"/>
      <c r="AO4729" s="404"/>
      <c r="AP4729" s="404"/>
      <c r="AQ4729" s="404"/>
      <c r="AR4729" s="404"/>
      <c r="AS4729" s="404"/>
      <c r="AT4729" s="404"/>
      <c r="AU4729" s="404"/>
      <c r="AV4729" s="404"/>
      <c r="AW4729" s="404"/>
      <c r="AX4729" s="404"/>
      <c r="AY4729" s="404"/>
      <c r="AZ4729" s="404"/>
      <c r="BA4729" s="404"/>
      <c r="BB4729" s="404"/>
      <c r="BC4729" s="404"/>
      <c r="BD4729" s="404"/>
      <c r="BE4729" s="404"/>
      <c r="BF4729" s="404"/>
      <c r="BG4729" s="404"/>
      <c r="BH4729" s="404"/>
      <c r="BI4729" s="404"/>
      <c r="BJ4729" s="404"/>
      <c r="BK4729" s="404"/>
      <c r="BL4729" s="404"/>
    </row>
    <row r="4730" spans="1:64" ht="13">
      <c r="A4730" s="454"/>
      <c r="B4730" s="454"/>
      <c r="C4730" s="445"/>
      <c r="D4730" s="409"/>
      <c r="E4730" s="408"/>
      <c r="F4730" s="408"/>
      <c r="G4730" s="416" t="s">
        <v>1656</v>
      </c>
      <c r="H4730" s="408"/>
      <c r="I4730" s="408">
        <f>SUM(I4724:I4729)</f>
        <v>67795.08</v>
      </c>
      <c r="J4730" s="400"/>
      <c r="K4730" s="401"/>
      <c r="L4730" s="401"/>
      <c r="M4730" s="404"/>
      <c r="N4730" s="404"/>
      <c r="O4730" s="404"/>
      <c r="P4730" s="404"/>
      <c r="Q4730" s="404"/>
      <c r="R4730" s="404"/>
      <c r="S4730" s="404"/>
      <c r="T4730" s="404"/>
      <c r="U4730" s="404"/>
      <c r="V4730" s="404"/>
      <c r="W4730" s="404"/>
      <c r="X4730" s="404"/>
      <c r="Y4730" s="404"/>
      <c r="Z4730" s="404"/>
      <c r="AA4730" s="404"/>
      <c r="AB4730" s="404"/>
      <c r="AC4730" s="404"/>
      <c r="AD4730" s="404"/>
      <c r="AE4730" s="404"/>
      <c r="AF4730" s="404"/>
      <c r="AG4730" s="404"/>
      <c r="AH4730" s="404"/>
      <c r="AI4730" s="404"/>
      <c r="AJ4730" s="404"/>
      <c r="AK4730" s="404"/>
      <c r="AL4730" s="404"/>
      <c r="AM4730" s="404"/>
      <c r="AN4730" s="404"/>
      <c r="AO4730" s="404"/>
      <c r="AP4730" s="404"/>
      <c r="AQ4730" s="404"/>
      <c r="AR4730" s="404"/>
      <c r="AS4730" s="404"/>
      <c r="AT4730" s="404"/>
      <c r="AU4730" s="404"/>
      <c r="AV4730" s="404"/>
      <c r="AW4730" s="404"/>
      <c r="AX4730" s="404"/>
      <c r="AY4730" s="404"/>
      <c r="AZ4730" s="404"/>
      <c r="BA4730" s="404"/>
      <c r="BB4730" s="404"/>
      <c r="BC4730" s="404"/>
      <c r="BD4730" s="404"/>
      <c r="BE4730" s="404"/>
      <c r="BF4730" s="404"/>
      <c r="BG4730" s="404"/>
      <c r="BH4730" s="404"/>
      <c r="BI4730" s="404"/>
      <c r="BJ4730" s="404"/>
      <c r="BK4730" s="404"/>
      <c r="BL4730" s="404"/>
    </row>
    <row r="4731" spans="1:64" ht="13">
      <c r="A4731" s="454"/>
      <c r="B4731" s="454"/>
      <c r="C4731" s="427" t="s">
        <v>1667</v>
      </c>
      <c r="D4731" s="408"/>
      <c r="E4731" s="408"/>
      <c r="F4731" s="408"/>
      <c r="G4731" s="430"/>
      <c r="H4731" s="408"/>
      <c r="I4731" s="408"/>
      <c r="J4731" s="400"/>
      <c r="K4731" s="401"/>
      <c r="L4731" s="401"/>
      <c r="M4731" s="404"/>
      <c r="N4731" s="404"/>
      <c r="O4731" s="404"/>
      <c r="P4731" s="404"/>
      <c r="Q4731" s="404"/>
      <c r="R4731" s="404"/>
      <c r="S4731" s="404"/>
      <c r="T4731" s="404"/>
      <c r="U4731" s="404"/>
      <c r="V4731" s="404"/>
      <c r="W4731" s="404"/>
      <c r="X4731" s="404"/>
      <c r="Y4731" s="404"/>
      <c r="Z4731" s="404"/>
      <c r="AA4731" s="404"/>
      <c r="AB4731" s="404"/>
      <c r="AC4731" s="404"/>
      <c r="AD4731" s="404"/>
      <c r="AE4731" s="404"/>
      <c r="AF4731" s="404"/>
      <c r="AG4731" s="404"/>
      <c r="AH4731" s="404"/>
      <c r="AI4731" s="404"/>
      <c r="AJ4731" s="404"/>
      <c r="AK4731" s="404"/>
      <c r="AL4731" s="404"/>
      <c r="AM4731" s="404"/>
      <c r="AN4731" s="404"/>
      <c r="AO4731" s="404"/>
      <c r="AP4731" s="404"/>
      <c r="AQ4731" s="404"/>
      <c r="AR4731" s="404"/>
      <c r="AS4731" s="404"/>
      <c r="AT4731" s="404"/>
      <c r="AU4731" s="404"/>
      <c r="AV4731" s="404"/>
      <c r="AW4731" s="404"/>
      <c r="AX4731" s="404"/>
      <c r="AY4731" s="404"/>
      <c r="AZ4731" s="404"/>
      <c r="BA4731" s="404"/>
      <c r="BB4731" s="404"/>
      <c r="BC4731" s="404"/>
      <c r="BD4731" s="404"/>
      <c r="BE4731" s="404"/>
      <c r="BF4731" s="404"/>
      <c r="BG4731" s="404"/>
      <c r="BH4731" s="404"/>
      <c r="BI4731" s="404"/>
      <c r="BJ4731" s="404"/>
      <c r="BK4731" s="404"/>
      <c r="BL4731" s="404"/>
    </row>
    <row r="4732" spans="1:64" ht="25">
      <c r="A4732" s="454"/>
      <c r="B4732" s="454"/>
      <c r="C4732" s="445" t="s">
        <v>1685</v>
      </c>
      <c r="D4732" s="406">
        <v>89.1</v>
      </c>
      <c r="E4732" s="406" t="s">
        <v>666</v>
      </c>
      <c r="F4732" s="752">
        <f>1184.74*0.3</f>
        <v>355.42199999999997</v>
      </c>
      <c r="G4732" s="406">
        <v>1</v>
      </c>
      <c r="H4732" s="406" t="s">
        <v>666</v>
      </c>
      <c r="I4732" s="406">
        <f>IF(G4732="",D4732*F4732,(D4732*F4732/G4732))</f>
        <v>31668.100199999993</v>
      </c>
      <c r="J4732" s="400"/>
      <c r="K4732" s="401"/>
      <c r="L4732" s="401"/>
      <c r="M4732" s="404"/>
      <c r="N4732" s="404"/>
      <c r="O4732" s="404"/>
      <c r="P4732" s="404"/>
      <c r="Q4732" s="404"/>
      <c r="R4732" s="404"/>
      <c r="S4732" s="404"/>
      <c r="T4732" s="404"/>
      <c r="U4732" s="404"/>
      <c r="V4732" s="404"/>
      <c r="W4732" s="404"/>
      <c r="X4732" s="404"/>
      <c r="Y4732" s="404"/>
      <c r="Z4732" s="404"/>
      <c r="AA4732" s="404"/>
      <c r="AB4732" s="404"/>
      <c r="AC4732" s="404"/>
      <c r="AD4732" s="404"/>
      <c r="AE4732" s="404"/>
      <c r="AF4732" s="404"/>
      <c r="AG4732" s="404"/>
      <c r="AH4732" s="404"/>
      <c r="AI4732" s="404"/>
      <c r="AJ4732" s="404"/>
      <c r="AK4732" s="404"/>
      <c r="AL4732" s="404"/>
      <c r="AM4732" s="404"/>
      <c r="AN4732" s="404"/>
      <c r="AO4732" s="404"/>
      <c r="AP4732" s="404"/>
      <c r="AQ4732" s="404"/>
      <c r="AR4732" s="404"/>
      <c r="AS4732" s="404"/>
      <c r="AT4732" s="404"/>
      <c r="AU4732" s="404"/>
      <c r="AV4732" s="404"/>
      <c r="AW4732" s="404"/>
      <c r="AX4732" s="404"/>
      <c r="AY4732" s="404"/>
      <c r="AZ4732" s="404"/>
      <c r="BA4732" s="404"/>
      <c r="BB4732" s="404"/>
      <c r="BC4732" s="404"/>
      <c r="BD4732" s="404"/>
      <c r="BE4732" s="404"/>
      <c r="BF4732" s="404"/>
      <c r="BG4732" s="404"/>
      <c r="BH4732" s="404"/>
      <c r="BI4732" s="404"/>
      <c r="BJ4732" s="404"/>
      <c r="BK4732" s="404"/>
      <c r="BL4732" s="404"/>
    </row>
    <row r="4733" spans="1:64">
      <c r="A4733" s="454"/>
      <c r="B4733" s="454"/>
      <c r="C4733" s="445" t="s">
        <v>1686</v>
      </c>
      <c r="D4733" s="406"/>
      <c r="E4733" s="406"/>
      <c r="F4733" s="406"/>
      <c r="G4733" s="406"/>
      <c r="H4733" s="406"/>
      <c r="I4733" s="406"/>
      <c r="J4733" s="400"/>
      <c r="K4733" s="401"/>
      <c r="L4733" s="401"/>
      <c r="M4733" s="404"/>
      <c r="N4733" s="404"/>
      <c r="O4733" s="404"/>
      <c r="P4733" s="404"/>
      <c r="Q4733" s="404"/>
      <c r="R4733" s="404"/>
      <c r="S4733" s="404"/>
      <c r="T4733" s="404"/>
      <c r="U4733" s="404"/>
      <c r="V4733" s="404"/>
      <c r="W4733" s="404"/>
      <c r="X4733" s="404"/>
      <c r="Y4733" s="404"/>
      <c r="Z4733" s="404"/>
      <c r="AA4733" s="404"/>
      <c r="AB4733" s="404"/>
      <c r="AC4733" s="404"/>
      <c r="AD4733" s="404"/>
      <c r="AE4733" s="404"/>
      <c r="AF4733" s="404"/>
      <c r="AG4733" s="404"/>
      <c r="AH4733" s="404"/>
      <c r="AI4733" s="404"/>
      <c r="AJ4733" s="404"/>
      <c r="AK4733" s="404"/>
      <c r="AL4733" s="404"/>
      <c r="AM4733" s="404"/>
      <c r="AN4733" s="404"/>
      <c r="AO4733" s="404"/>
      <c r="AP4733" s="404"/>
      <c r="AQ4733" s="404"/>
      <c r="AR4733" s="404"/>
      <c r="AS4733" s="404"/>
      <c r="AT4733" s="404"/>
      <c r="AU4733" s="404"/>
      <c r="AV4733" s="404"/>
      <c r="AW4733" s="404"/>
      <c r="AX4733" s="404"/>
      <c r="AY4733" s="404"/>
      <c r="AZ4733" s="404"/>
      <c r="BA4733" s="404"/>
      <c r="BB4733" s="404"/>
      <c r="BC4733" s="404"/>
      <c r="BD4733" s="404"/>
      <c r="BE4733" s="404"/>
      <c r="BF4733" s="404"/>
      <c r="BG4733" s="404"/>
      <c r="BH4733" s="404"/>
      <c r="BI4733" s="404"/>
      <c r="BJ4733" s="404"/>
      <c r="BK4733" s="404"/>
      <c r="BL4733" s="404"/>
    </row>
    <row r="4734" spans="1:64" ht="25">
      <c r="A4734" s="454"/>
      <c r="B4734" s="454"/>
      <c r="C4734" s="445" t="s">
        <v>1687</v>
      </c>
      <c r="D4734" s="406">
        <v>118.8</v>
      </c>
      <c r="E4734" s="406" t="s">
        <v>666</v>
      </c>
      <c r="F4734" s="752">
        <f>1074.57*0.4</f>
        <v>429.82799999999997</v>
      </c>
      <c r="G4734" s="406">
        <v>1</v>
      </c>
      <c r="H4734" s="406" t="s">
        <v>666</v>
      </c>
      <c r="I4734" s="406">
        <f>IF(G4734="",D4734*F4734,(D4734*F4734/G4734))</f>
        <v>51063.566399999996</v>
      </c>
      <c r="J4734" s="400"/>
      <c r="K4734" s="401"/>
      <c r="L4734" s="401"/>
      <c r="M4734" s="404"/>
      <c r="N4734" s="404"/>
      <c r="O4734" s="404"/>
      <c r="P4734" s="404"/>
      <c r="Q4734" s="404"/>
      <c r="R4734" s="404"/>
      <c r="S4734" s="404"/>
      <c r="T4734" s="404"/>
      <c r="U4734" s="404"/>
      <c r="V4734" s="404"/>
      <c r="W4734" s="404"/>
      <c r="X4734" s="404"/>
      <c r="Y4734" s="404"/>
      <c r="Z4734" s="404"/>
      <c r="AA4734" s="404"/>
      <c r="AB4734" s="404"/>
      <c r="AC4734" s="404"/>
      <c r="AD4734" s="404"/>
      <c r="AE4734" s="404"/>
      <c r="AF4734" s="404"/>
      <c r="AG4734" s="404"/>
      <c r="AH4734" s="404"/>
      <c r="AI4734" s="404"/>
      <c r="AJ4734" s="404"/>
      <c r="AK4734" s="404"/>
      <c r="AL4734" s="404"/>
      <c r="AM4734" s="404"/>
      <c r="AN4734" s="404"/>
      <c r="AO4734" s="404"/>
      <c r="AP4734" s="404"/>
      <c r="AQ4734" s="404"/>
      <c r="AR4734" s="404"/>
      <c r="AS4734" s="404"/>
      <c r="AT4734" s="404"/>
      <c r="AU4734" s="404"/>
      <c r="AV4734" s="404"/>
      <c r="AW4734" s="404"/>
      <c r="AX4734" s="404"/>
      <c r="AY4734" s="404"/>
      <c r="AZ4734" s="404"/>
      <c r="BA4734" s="404"/>
      <c r="BB4734" s="404"/>
      <c r="BC4734" s="404"/>
      <c r="BD4734" s="404"/>
      <c r="BE4734" s="404"/>
      <c r="BF4734" s="404"/>
      <c r="BG4734" s="404"/>
      <c r="BH4734" s="404"/>
      <c r="BI4734" s="404"/>
      <c r="BJ4734" s="404"/>
      <c r="BK4734" s="404"/>
      <c r="BL4734" s="404"/>
    </row>
    <row r="4735" spans="1:64" ht="25">
      <c r="A4735" s="454"/>
      <c r="B4735" s="454"/>
      <c r="C4735" s="445" t="s">
        <v>1688</v>
      </c>
      <c r="D4735" s="406"/>
      <c r="E4735" s="406"/>
      <c r="F4735" s="406"/>
      <c r="G4735" s="406"/>
      <c r="H4735" s="406"/>
      <c r="I4735" s="406"/>
      <c r="J4735" s="400"/>
      <c r="K4735" s="401"/>
      <c r="L4735" s="401"/>
      <c r="M4735" s="404"/>
      <c r="N4735" s="404"/>
      <c r="O4735" s="404"/>
      <c r="P4735" s="404"/>
      <c r="Q4735" s="404"/>
      <c r="R4735" s="404"/>
      <c r="S4735" s="404"/>
      <c r="T4735" s="404"/>
      <c r="U4735" s="404"/>
      <c r="V4735" s="404"/>
      <c r="W4735" s="404"/>
      <c r="X4735" s="404"/>
      <c r="Y4735" s="404"/>
      <c r="Z4735" s="404"/>
      <c r="AA4735" s="404"/>
      <c r="AB4735" s="404"/>
      <c r="AC4735" s="404"/>
      <c r="AD4735" s="404"/>
      <c r="AE4735" s="404"/>
      <c r="AF4735" s="404"/>
      <c r="AG4735" s="404"/>
      <c r="AH4735" s="404"/>
      <c r="AI4735" s="404"/>
      <c r="AJ4735" s="404"/>
      <c r="AK4735" s="404"/>
      <c r="AL4735" s="404"/>
      <c r="AM4735" s="404"/>
      <c r="AN4735" s="404"/>
      <c r="AO4735" s="404"/>
      <c r="AP4735" s="404"/>
      <c r="AQ4735" s="404"/>
      <c r="AR4735" s="404"/>
      <c r="AS4735" s="404"/>
      <c r="AT4735" s="404"/>
      <c r="AU4735" s="404"/>
      <c r="AV4735" s="404"/>
      <c r="AW4735" s="404"/>
      <c r="AX4735" s="404"/>
      <c r="AY4735" s="404"/>
      <c r="AZ4735" s="404"/>
      <c r="BA4735" s="404"/>
      <c r="BB4735" s="404"/>
      <c r="BC4735" s="404"/>
      <c r="BD4735" s="404"/>
      <c r="BE4735" s="404"/>
      <c r="BF4735" s="404"/>
      <c r="BG4735" s="404"/>
      <c r="BH4735" s="404"/>
      <c r="BI4735" s="404"/>
      <c r="BJ4735" s="404"/>
      <c r="BK4735" s="404"/>
      <c r="BL4735" s="404"/>
    </row>
    <row r="4736" spans="1:64" ht="25">
      <c r="A4736" s="454"/>
      <c r="B4736" s="454"/>
      <c r="C4736" s="445" t="s">
        <v>1689</v>
      </c>
      <c r="D4736" s="406">
        <v>89.1</v>
      </c>
      <c r="E4736" s="406" t="s">
        <v>666</v>
      </c>
      <c r="F4736" s="748">
        <f>[161]LEAD!$N$37*0.3</f>
        <v>325.26299999999998</v>
      </c>
      <c r="G4736" s="406">
        <v>1</v>
      </c>
      <c r="H4736" s="406" t="s">
        <v>666</v>
      </c>
      <c r="I4736" s="406">
        <f>IF(G4736="",D4736*F4736,(D4736*F4736/G4736))</f>
        <v>28980.933299999997</v>
      </c>
      <c r="J4736" s="400"/>
      <c r="K4736" s="401"/>
      <c r="L4736" s="401"/>
      <c r="M4736" s="404"/>
      <c r="N4736" s="404"/>
      <c r="O4736" s="404"/>
      <c r="P4736" s="404"/>
      <c r="Q4736" s="404"/>
      <c r="R4736" s="404"/>
      <c r="S4736" s="404"/>
      <c r="T4736" s="404"/>
      <c r="U4736" s="404"/>
      <c r="V4736" s="404"/>
      <c r="W4736" s="404"/>
      <c r="X4736" s="404"/>
      <c r="Y4736" s="404"/>
      <c r="Z4736" s="404"/>
      <c r="AA4736" s="404"/>
      <c r="AB4736" s="404"/>
      <c r="AC4736" s="404"/>
      <c r="AD4736" s="404"/>
      <c r="AE4736" s="404"/>
      <c r="AF4736" s="404"/>
      <c r="AG4736" s="404"/>
      <c r="AH4736" s="404"/>
      <c r="AI4736" s="404"/>
      <c r="AJ4736" s="404"/>
      <c r="AK4736" s="404"/>
      <c r="AL4736" s="404"/>
      <c r="AM4736" s="404"/>
      <c r="AN4736" s="404"/>
      <c r="AO4736" s="404"/>
      <c r="AP4736" s="404"/>
      <c r="AQ4736" s="404"/>
      <c r="AR4736" s="404"/>
      <c r="AS4736" s="404"/>
      <c r="AT4736" s="404"/>
      <c r="AU4736" s="404"/>
      <c r="AV4736" s="404"/>
      <c r="AW4736" s="404"/>
      <c r="AX4736" s="404"/>
      <c r="AY4736" s="404"/>
      <c r="AZ4736" s="404"/>
      <c r="BA4736" s="404"/>
      <c r="BB4736" s="404"/>
      <c r="BC4736" s="404"/>
      <c r="BD4736" s="404"/>
      <c r="BE4736" s="404"/>
      <c r="BF4736" s="404"/>
      <c r="BG4736" s="404"/>
      <c r="BH4736" s="404"/>
      <c r="BI4736" s="404"/>
      <c r="BJ4736" s="404"/>
      <c r="BK4736" s="404"/>
      <c r="BL4736" s="404"/>
    </row>
    <row r="4737" spans="1:64" ht="13">
      <c r="A4737" s="454"/>
      <c r="B4737" s="454"/>
      <c r="C4737" s="445"/>
      <c r="D4737" s="406"/>
      <c r="E4737" s="406"/>
      <c r="F4737" s="748"/>
      <c r="G4737" s="416" t="s">
        <v>1656</v>
      </c>
      <c r="H4737" s="406"/>
      <c r="I4737" s="422">
        <f>SUM(I4732:I4736)</f>
        <v>111712.5999</v>
      </c>
      <c r="J4737" s="400"/>
      <c r="K4737" s="401"/>
      <c r="L4737" s="401"/>
      <c r="M4737" s="404"/>
      <c r="N4737" s="404"/>
      <c r="O4737" s="404"/>
      <c r="P4737" s="404"/>
      <c r="Q4737" s="404"/>
      <c r="R4737" s="404"/>
      <c r="S4737" s="404"/>
      <c r="T4737" s="404"/>
      <c r="U4737" s="404"/>
      <c r="V4737" s="404"/>
      <c r="W4737" s="404"/>
      <c r="X4737" s="404"/>
      <c r="Y4737" s="404"/>
      <c r="Z4737" s="404"/>
      <c r="AA4737" s="404"/>
      <c r="AB4737" s="404"/>
      <c r="AC4737" s="404"/>
      <c r="AD4737" s="404"/>
      <c r="AE4737" s="404"/>
      <c r="AF4737" s="404"/>
      <c r="AG4737" s="404"/>
      <c r="AH4737" s="404"/>
      <c r="AI4737" s="404"/>
      <c r="AJ4737" s="404"/>
      <c r="AK4737" s="404"/>
      <c r="AL4737" s="404"/>
      <c r="AM4737" s="404"/>
      <c r="AN4737" s="404"/>
      <c r="AO4737" s="404"/>
      <c r="AP4737" s="404"/>
      <c r="AQ4737" s="404"/>
      <c r="AR4737" s="404"/>
      <c r="AS4737" s="404"/>
      <c r="AT4737" s="404"/>
      <c r="AU4737" s="404"/>
      <c r="AV4737" s="404"/>
      <c r="AW4737" s="404"/>
      <c r="AX4737" s="404"/>
      <c r="AY4737" s="404"/>
      <c r="AZ4737" s="404"/>
      <c r="BA4737" s="404"/>
      <c r="BB4737" s="404"/>
      <c r="BC4737" s="404"/>
      <c r="BD4737" s="404"/>
      <c r="BE4737" s="404"/>
      <c r="BF4737" s="404"/>
      <c r="BG4737" s="404"/>
      <c r="BH4737" s="404"/>
      <c r="BI4737" s="404"/>
      <c r="BJ4737" s="404"/>
      <c r="BK4737" s="404"/>
      <c r="BL4737" s="404"/>
    </row>
    <row r="4738" spans="1:64" ht="13">
      <c r="A4738" s="454"/>
      <c r="B4738" s="454"/>
      <c r="C4738" s="445" t="s">
        <v>1690</v>
      </c>
      <c r="D4738" s="406"/>
      <c r="E4738" s="406"/>
      <c r="F4738" s="432"/>
      <c r="G4738" s="416"/>
      <c r="H4738" s="406"/>
      <c r="I4738" s="422"/>
      <c r="J4738" s="400"/>
      <c r="K4738" s="401"/>
      <c r="L4738" s="401"/>
      <c r="M4738" s="404"/>
      <c r="N4738" s="404"/>
      <c r="O4738" s="404"/>
      <c r="P4738" s="404"/>
      <c r="Q4738" s="404"/>
      <c r="R4738" s="404"/>
      <c r="S4738" s="404"/>
      <c r="T4738" s="404"/>
      <c r="U4738" s="404"/>
      <c r="V4738" s="404"/>
      <c r="W4738" s="404"/>
      <c r="X4738" s="404"/>
      <c r="Y4738" s="404"/>
      <c r="Z4738" s="404"/>
      <c r="AA4738" s="404"/>
      <c r="AB4738" s="404"/>
      <c r="AC4738" s="404"/>
      <c r="AD4738" s="404"/>
      <c r="AE4738" s="404"/>
      <c r="AF4738" s="404"/>
      <c r="AG4738" s="404"/>
      <c r="AH4738" s="404"/>
      <c r="AI4738" s="404"/>
      <c r="AJ4738" s="404"/>
      <c r="AK4738" s="404"/>
      <c r="AL4738" s="404"/>
      <c r="AM4738" s="404"/>
      <c r="AN4738" s="404"/>
      <c r="AO4738" s="404"/>
      <c r="AP4738" s="404"/>
      <c r="AQ4738" s="404"/>
      <c r="AR4738" s="404"/>
      <c r="AS4738" s="404"/>
      <c r="AT4738" s="404"/>
      <c r="AU4738" s="404"/>
      <c r="AV4738" s="404"/>
      <c r="AW4738" s="404"/>
      <c r="AX4738" s="404"/>
      <c r="AY4738" s="404"/>
      <c r="AZ4738" s="404"/>
      <c r="BA4738" s="404"/>
      <c r="BB4738" s="404"/>
      <c r="BC4738" s="404"/>
      <c r="BD4738" s="404"/>
      <c r="BE4738" s="404"/>
      <c r="BF4738" s="404"/>
      <c r="BG4738" s="404"/>
      <c r="BH4738" s="404"/>
      <c r="BI4738" s="404"/>
      <c r="BJ4738" s="404"/>
      <c r="BK4738" s="404"/>
      <c r="BL4738" s="404"/>
    </row>
    <row r="4739" spans="1:64" ht="25">
      <c r="A4739" s="454"/>
      <c r="B4739" s="454"/>
      <c r="C4739" s="445" t="s">
        <v>1691</v>
      </c>
      <c r="D4739" s="406">
        <f>5/100</f>
        <v>0.05</v>
      </c>
      <c r="E4739" s="406"/>
      <c r="F4739" s="406">
        <f>I4737+I4730+I4722</f>
        <v>188613.27989999999</v>
      </c>
      <c r="G4739" s="416"/>
      <c r="H4739" s="406"/>
      <c r="I4739" s="406">
        <f>IF(G4739="",D4739*F4739,(D4739*F4739/G4739))</f>
        <v>9430.6639950000008</v>
      </c>
      <c r="J4739" s="400"/>
      <c r="K4739" s="401"/>
      <c r="L4739" s="401"/>
      <c r="M4739" s="404"/>
      <c r="N4739" s="404"/>
      <c r="O4739" s="404"/>
      <c r="P4739" s="404"/>
      <c r="Q4739" s="404"/>
      <c r="R4739" s="404"/>
      <c r="S4739" s="404"/>
      <c r="T4739" s="404"/>
      <c r="U4739" s="404"/>
      <c r="V4739" s="404"/>
      <c r="W4739" s="404"/>
      <c r="X4739" s="404"/>
      <c r="Y4739" s="404"/>
      <c r="Z4739" s="404"/>
      <c r="AA4739" s="404"/>
      <c r="AB4739" s="404"/>
      <c r="AC4739" s="404"/>
      <c r="AD4739" s="404"/>
      <c r="AE4739" s="404"/>
      <c r="AF4739" s="404"/>
      <c r="AG4739" s="404"/>
      <c r="AH4739" s="404"/>
      <c r="AI4739" s="404"/>
      <c r="AJ4739" s="404"/>
      <c r="AK4739" s="404"/>
      <c r="AL4739" s="404"/>
      <c r="AM4739" s="404"/>
      <c r="AN4739" s="404"/>
      <c r="AO4739" s="404"/>
      <c r="AP4739" s="404"/>
      <c r="AQ4739" s="404"/>
      <c r="AR4739" s="404"/>
      <c r="AS4739" s="404"/>
      <c r="AT4739" s="404"/>
      <c r="AU4739" s="404"/>
      <c r="AV4739" s="404"/>
      <c r="AW4739" s="404"/>
      <c r="AX4739" s="404"/>
      <c r="AY4739" s="404"/>
      <c r="AZ4739" s="404"/>
      <c r="BA4739" s="404"/>
      <c r="BB4739" s="404"/>
      <c r="BC4739" s="404"/>
      <c r="BD4739" s="404"/>
      <c r="BE4739" s="404"/>
      <c r="BF4739" s="404"/>
      <c r="BG4739" s="404"/>
      <c r="BH4739" s="404"/>
      <c r="BI4739" s="404"/>
      <c r="BJ4739" s="404"/>
      <c r="BK4739" s="404"/>
      <c r="BL4739" s="404"/>
    </row>
    <row r="4740" spans="1:64" ht="13">
      <c r="A4740" s="454"/>
      <c r="B4740" s="454"/>
      <c r="C4740" s="427"/>
      <c r="D4740" s="406"/>
      <c r="E4740" s="406"/>
      <c r="F4740" s="432"/>
      <c r="G4740" s="416"/>
      <c r="H4740" s="406"/>
      <c r="I4740" s="422"/>
      <c r="J4740" s="400"/>
      <c r="K4740" s="401"/>
      <c r="L4740" s="401"/>
      <c r="M4740" s="404"/>
      <c r="N4740" s="404"/>
      <c r="O4740" s="404"/>
      <c r="P4740" s="404"/>
      <c r="Q4740" s="404"/>
      <c r="R4740" s="404"/>
      <c r="S4740" s="404"/>
      <c r="T4740" s="404"/>
      <c r="U4740" s="404"/>
      <c r="V4740" s="404"/>
      <c r="W4740" s="404"/>
      <c r="X4740" s="404"/>
      <c r="Y4740" s="404"/>
      <c r="Z4740" s="404"/>
      <c r="AA4740" s="404"/>
      <c r="AB4740" s="404"/>
      <c r="AC4740" s="404"/>
      <c r="AD4740" s="404"/>
      <c r="AE4740" s="404"/>
      <c r="AF4740" s="404"/>
      <c r="AG4740" s="404"/>
      <c r="AH4740" s="404"/>
      <c r="AI4740" s="404"/>
      <c r="AJ4740" s="404"/>
      <c r="AK4740" s="404"/>
      <c r="AL4740" s="404"/>
      <c r="AM4740" s="404"/>
      <c r="AN4740" s="404"/>
      <c r="AO4740" s="404"/>
      <c r="AP4740" s="404"/>
      <c r="AQ4740" s="404"/>
      <c r="AR4740" s="404"/>
      <c r="AS4740" s="404"/>
      <c r="AT4740" s="404"/>
      <c r="AU4740" s="404"/>
      <c r="AV4740" s="404"/>
      <c r="AW4740" s="404"/>
      <c r="AX4740" s="404"/>
      <c r="AY4740" s="404"/>
      <c r="AZ4740" s="404"/>
      <c r="BA4740" s="404"/>
      <c r="BB4740" s="404"/>
      <c r="BC4740" s="404"/>
      <c r="BD4740" s="404"/>
      <c r="BE4740" s="404"/>
      <c r="BF4740" s="404"/>
      <c r="BG4740" s="404"/>
      <c r="BH4740" s="404"/>
      <c r="BI4740" s="404"/>
      <c r="BJ4740" s="404"/>
      <c r="BK4740" s="404"/>
      <c r="BL4740" s="404"/>
    </row>
    <row r="4741" spans="1:64" ht="13">
      <c r="A4741" s="454"/>
      <c r="B4741" s="454"/>
      <c r="C4741" s="445" t="s">
        <v>1673</v>
      </c>
      <c r="D4741" s="406"/>
      <c r="E4741" s="406"/>
      <c r="F4741" s="432"/>
      <c r="G4741" s="416"/>
      <c r="H4741" s="406"/>
      <c r="I4741" s="422">
        <f>I4739+I4737+I4730+I4722</f>
        <v>198043.943895</v>
      </c>
      <c r="J4741" s="400"/>
      <c r="K4741" s="401"/>
      <c r="L4741" s="401"/>
      <c r="M4741" s="404"/>
      <c r="N4741" s="404"/>
      <c r="O4741" s="404"/>
      <c r="P4741" s="404"/>
      <c r="Q4741" s="404"/>
      <c r="R4741" s="404"/>
      <c r="S4741" s="404"/>
      <c r="T4741" s="404"/>
      <c r="U4741" s="404"/>
      <c r="V4741" s="404"/>
      <c r="W4741" s="404"/>
      <c r="X4741" s="404"/>
      <c r="Y4741" s="404"/>
      <c r="Z4741" s="404"/>
      <c r="AA4741" s="404"/>
      <c r="AB4741" s="404"/>
      <c r="AC4741" s="404"/>
      <c r="AD4741" s="404"/>
      <c r="AE4741" s="404"/>
      <c r="AF4741" s="404"/>
      <c r="AG4741" s="404"/>
      <c r="AH4741" s="404"/>
      <c r="AI4741" s="404"/>
      <c r="AJ4741" s="404"/>
      <c r="AK4741" s="404"/>
      <c r="AL4741" s="404"/>
      <c r="AM4741" s="404"/>
      <c r="AN4741" s="404"/>
      <c r="AO4741" s="404"/>
      <c r="AP4741" s="404"/>
      <c r="AQ4741" s="404"/>
      <c r="AR4741" s="404"/>
      <c r="AS4741" s="404"/>
      <c r="AT4741" s="404"/>
      <c r="AU4741" s="404"/>
      <c r="AV4741" s="404"/>
      <c r="AW4741" s="404"/>
      <c r="AX4741" s="404"/>
      <c r="AY4741" s="404"/>
      <c r="AZ4741" s="404"/>
      <c r="BA4741" s="404"/>
      <c r="BB4741" s="404"/>
      <c r="BC4741" s="404"/>
      <c r="BD4741" s="404"/>
      <c r="BE4741" s="404"/>
      <c r="BF4741" s="404"/>
      <c r="BG4741" s="404"/>
      <c r="BH4741" s="404"/>
      <c r="BI4741" s="404"/>
      <c r="BJ4741" s="404"/>
      <c r="BK4741" s="404"/>
      <c r="BL4741" s="404"/>
    </row>
    <row r="4742" spans="1:64" ht="13">
      <c r="A4742" s="454"/>
      <c r="B4742" s="454"/>
      <c r="C4742" s="417" t="s">
        <v>1692</v>
      </c>
      <c r="D4742" s="406">
        <f>10/100</f>
        <v>0.1</v>
      </c>
      <c r="E4742" s="406"/>
      <c r="F4742" s="406">
        <f>I4741</f>
        <v>198043.943895</v>
      </c>
      <c r="G4742" s="416"/>
      <c r="H4742" s="406"/>
      <c r="I4742" s="406">
        <f>IF(G4742="",D4742*F4742,(D4742*F4742/G4742))</f>
        <v>19804.394389500001</v>
      </c>
      <c r="J4742" s="400"/>
      <c r="K4742" s="401"/>
      <c r="L4742" s="401"/>
      <c r="M4742" s="404"/>
      <c r="N4742" s="404"/>
      <c r="O4742" s="404"/>
      <c r="P4742" s="404"/>
      <c r="Q4742" s="404"/>
      <c r="R4742" s="404"/>
      <c r="S4742" s="404"/>
      <c r="T4742" s="404"/>
      <c r="U4742" s="404"/>
      <c r="V4742" s="404"/>
      <c r="W4742" s="404"/>
      <c r="X4742" s="404"/>
      <c r="Y4742" s="404"/>
      <c r="Z4742" s="404"/>
      <c r="AA4742" s="404"/>
      <c r="AB4742" s="404"/>
      <c r="AC4742" s="404"/>
      <c r="AD4742" s="404"/>
      <c r="AE4742" s="404"/>
      <c r="AF4742" s="404"/>
      <c r="AG4742" s="404"/>
      <c r="AH4742" s="404"/>
      <c r="AI4742" s="404"/>
      <c r="AJ4742" s="404"/>
      <c r="AK4742" s="404"/>
      <c r="AL4742" s="404"/>
      <c r="AM4742" s="404"/>
      <c r="AN4742" s="404"/>
      <c r="AO4742" s="404"/>
      <c r="AP4742" s="404"/>
      <c r="AQ4742" s="404"/>
      <c r="AR4742" s="404"/>
      <c r="AS4742" s="404"/>
      <c r="AT4742" s="404"/>
      <c r="AU4742" s="404"/>
      <c r="AV4742" s="404"/>
      <c r="AW4742" s="404"/>
      <c r="AX4742" s="404"/>
      <c r="AY4742" s="404"/>
      <c r="AZ4742" s="404"/>
      <c r="BA4742" s="404"/>
      <c r="BB4742" s="404"/>
      <c r="BC4742" s="404"/>
      <c r="BD4742" s="404"/>
      <c r="BE4742" s="404"/>
      <c r="BF4742" s="404"/>
      <c r="BG4742" s="404"/>
      <c r="BH4742" s="404"/>
      <c r="BI4742" s="404"/>
      <c r="BJ4742" s="404"/>
      <c r="BK4742" s="404"/>
      <c r="BL4742" s="404"/>
    </row>
    <row r="4743" spans="1:64" ht="13">
      <c r="A4743" s="454"/>
      <c r="B4743" s="454"/>
      <c r="C4743" s="435" t="s">
        <v>1693</v>
      </c>
      <c r="D4743" s="408"/>
      <c r="E4743" s="408"/>
      <c r="F4743" s="408"/>
      <c r="G4743" s="408"/>
      <c r="H4743" s="408"/>
      <c r="I4743" s="414">
        <f>SUM(I4741:I4742)</f>
        <v>217848.3382845</v>
      </c>
      <c r="J4743" s="400"/>
      <c r="K4743" s="401"/>
      <c r="L4743" s="401"/>
      <c r="M4743" s="404"/>
      <c r="N4743" s="404"/>
      <c r="O4743" s="404"/>
      <c r="P4743" s="404"/>
      <c r="Q4743" s="404"/>
      <c r="R4743" s="404"/>
      <c r="S4743" s="404"/>
      <c r="T4743" s="404"/>
      <c r="U4743" s="404"/>
      <c r="V4743" s="404"/>
      <c r="W4743" s="404"/>
      <c r="X4743" s="404"/>
      <c r="Y4743" s="404"/>
      <c r="Z4743" s="404"/>
      <c r="AA4743" s="404"/>
      <c r="AB4743" s="404"/>
      <c r="AC4743" s="404"/>
      <c r="AD4743" s="404"/>
      <c r="AE4743" s="404"/>
      <c r="AF4743" s="404"/>
      <c r="AG4743" s="404"/>
      <c r="AH4743" s="404"/>
      <c r="AI4743" s="404"/>
      <c r="AJ4743" s="404"/>
      <c r="AK4743" s="404"/>
      <c r="AL4743" s="404"/>
      <c r="AM4743" s="404"/>
      <c r="AN4743" s="404"/>
      <c r="AO4743" s="404"/>
      <c r="AP4743" s="404"/>
      <c r="AQ4743" s="404"/>
      <c r="AR4743" s="404"/>
      <c r="AS4743" s="404"/>
      <c r="AT4743" s="404"/>
      <c r="AU4743" s="404"/>
      <c r="AV4743" s="404"/>
      <c r="AW4743" s="404"/>
      <c r="AX4743" s="404"/>
      <c r="AY4743" s="404"/>
      <c r="AZ4743" s="404"/>
      <c r="BA4743" s="404"/>
      <c r="BB4743" s="404"/>
      <c r="BC4743" s="404"/>
      <c r="BD4743" s="404"/>
      <c r="BE4743" s="404"/>
      <c r="BF4743" s="404"/>
      <c r="BG4743" s="404"/>
      <c r="BH4743" s="404"/>
      <c r="BI4743" s="404"/>
      <c r="BJ4743" s="404"/>
      <c r="BK4743" s="404"/>
      <c r="BL4743" s="404"/>
    </row>
    <row r="4744" spans="1:64" ht="13">
      <c r="A4744" s="454"/>
      <c r="B4744" s="454"/>
      <c r="C4744" s="427" t="s">
        <v>724</v>
      </c>
      <c r="D4744" s="408"/>
      <c r="E4744" s="408"/>
      <c r="F4744" s="408"/>
      <c r="G4744" s="430"/>
      <c r="H4744" s="414"/>
      <c r="I4744" s="414">
        <f>I4743/225</f>
        <v>968.21483681999996</v>
      </c>
      <c r="J4744" s="400"/>
      <c r="K4744" s="401"/>
      <c r="L4744" s="401"/>
      <c r="M4744" s="404"/>
      <c r="N4744" s="404"/>
      <c r="O4744" s="404"/>
      <c r="P4744" s="404"/>
      <c r="Q4744" s="404"/>
      <c r="R4744" s="404"/>
      <c r="S4744" s="404"/>
      <c r="T4744" s="404"/>
      <c r="U4744" s="404"/>
      <c r="V4744" s="404"/>
      <c r="W4744" s="404"/>
      <c r="X4744" s="404"/>
      <c r="Y4744" s="404"/>
      <c r="Z4744" s="404"/>
      <c r="AA4744" s="404"/>
      <c r="AB4744" s="404"/>
      <c r="AC4744" s="404"/>
      <c r="AD4744" s="404"/>
      <c r="AE4744" s="404"/>
      <c r="AF4744" s="404"/>
      <c r="AG4744" s="404"/>
      <c r="AH4744" s="404"/>
      <c r="AI4744" s="404"/>
      <c r="AJ4744" s="404"/>
      <c r="AK4744" s="404"/>
      <c r="AL4744" s="404"/>
      <c r="AM4744" s="404"/>
      <c r="AN4744" s="404"/>
      <c r="AO4744" s="404"/>
      <c r="AP4744" s="404"/>
      <c r="AQ4744" s="404"/>
      <c r="AR4744" s="404"/>
      <c r="AS4744" s="404"/>
      <c r="AT4744" s="404"/>
      <c r="AU4744" s="404"/>
      <c r="AV4744" s="404"/>
      <c r="AW4744" s="404"/>
      <c r="AX4744" s="404"/>
      <c r="AY4744" s="404"/>
      <c r="AZ4744" s="404"/>
      <c r="BA4744" s="404"/>
      <c r="BB4744" s="404"/>
      <c r="BC4744" s="404"/>
      <c r="BD4744" s="404"/>
      <c r="BE4744" s="404"/>
      <c r="BF4744" s="404"/>
      <c r="BG4744" s="404"/>
      <c r="BH4744" s="404"/>
      <c r="BI4744" s="404"/>
      <c r="BJ4744" s="404"/>
      <c r="BK4744" s="404"/>
      <c r="BL4744" s="404"/>
    </row>
    <row r="4745" spans="1:64" ht="13">
      <c r="A4745" s="454"/>
      <c r="B4745" s="454"/>
      <c r="C4745" s="427"/>
      <c r="D4745" s="408"/>
      <c r="E4745" s="408"/>
      <c r="F4745" s="408"/>
      <c r="G4745" s="430"/>
      <c r="H4745" s="415" t="s">
        <v>774</v>
      </c>
      <c r="I4745" s="416">
        <f>ROUND(I4744,0)</f>
        <v>968</v>
      </c>
      <c r="J4745" s="400"/>
      <c r="K4745" s="401"/>
      <c r="L4745" s="401"/>
      <c r="M4745" s="404"/>
      <c r="N4745" s="404"/>
      <c r="O4745" s="404"/>
      <c r="P4745" s="404"/>
      <c r="Q4745" s="404"/>
      <c r="R4745" s="404"/>
      <c r="S4745" s="404"/>
      <c r="T4745" s="404"/>
      <c r="U4745" s="404"/>
      <c r="V4745" s="404"/>
      <c r="W4745" s="404"/>
      <c r="X4745" s="404"/>
      <c r="Y4745" s="404"/>
      <c r="Z4745" s="404"/>
      <c r="AA4745" s="404"/>
      <c r="AB4745" s="404"/>
      <c r="AC4745" s="404"/>
      <c r="AD4745" s="404"/>
      <c r="AE4745" s="404"/>
      <c r="AF4745" s="404"/>
      <c r="AG4745" s="404"/>
      <c r="AH4745" s="404"/>
      <c r="AI4745" s="404"/>
      <c r="AJ4745" s="404"/>
      <c r="AK4745" s="404"/>
      <c r="AL4745" s="404"/>
      <c r="AM4745" s="404"/>
      <c r="AN4745" s="404"/>
      <c r="AO4745" s="404"/>
      <c r="AP4745" s="404"/>
      <c r="AQ4745" s="404"/>
      <c r="AR4745" s="404"/>
      <c r="AS4745" s="404"/>
      <c r="AT4745" s="404"/>
      <c r="AU4745" s="404"/>
      <c r="AV4745" s="404"/>
      <c r="AW4745" s="404"/>
      <c r="AX4745" s="404"/>
      <c r="AY4745" s="404"/>
      <c r="AZ4745" s="404"/>
      <c r="BA4745" s="404"/>
      <c r="BB4745" s="404"/>
      <c r="BC4745" s="404"/>
      <c r="BD4745" s="404"/>
      <c r="BE4745" s="404"/>
      <c r="BF4745" s="404"/>
      <c r="BG4745" s="404"/>
      <c r="BH4745" s="404"/>
      <c r="BI4745" s="404"/>
      <c r="BJ4745" s="404"/>
      <c r="BK4745" s="404"/>
      <c r="BL4745" s="404"/>
    </row>
    <row r="4746" spans="1:64" ht="77.650000000000006" customHeight="1">
      <c r="A4746" s="430">
        <f>A4682+1</f>
        <v>30</v>
      </c>
      <c r="B4746" s="454"/>
      <c r="C4746" s="1291" t="s">
        <v>1678</v>
      </c>
      <c r="D4746" s="1291"/>
      <c r="E4746" s="1291"/>
      <c r="F4746" s="1291"/>
      <c r="G4746" s="1291"/>
      <c r="H4746" s="1291"/>
      <c r="I4746" s="1291"/>
      <c r="J4746" s="400"/>
      <c r="K4746" s="401"/>
      <c r="L4746" s="401"/>
      <c r="M4746" s="404"/>
      <c r="N4746" s="404"/>
      <c r="O4746" s="404"/>
      <c r="P4746" s="404"/>
      <c r="Q4746" s="404"/>
      <c r="R4746" s="404"/>
      <c r="S4746" s="404"/>
      <c r="T4746" s="404"/>
      <c r="U4746" s="404"/>
      <c r="V4746" s="404"/>
      <c r="W4746" s="404"/>
      <c r="X4746" s="404"/>
      <c r="Y4746" s="404"/>
      <c r="Z4746" s="404"/>
      <c r="AA4746" s="404"/>
      <c r="AB4746" s="404"/>
      <c r="AC4746" s="404"/>
      <c r="AD4746" s="404"/>
      <c r="AE4746" s="404"/>
      <c r="AF4746" s="404"/>
      <c r="AG4746" s="404"/>
      <c r="AH4746" s="404"/>
      <c r="AI4746" s="404"/>
      <c r="AJ4746" s="404"/>
      <c r="AK4746" s="404"/>
      <c r="AL4746" s="404"/>
      <c r="AM4746" s="404"/>
      <c r="AN4746" s="404"/>
      <c r="AO4746" s="404"/>
      <c r="AP4746" s="404"/>
      <c r="AQ4746" s="404"/>
      <c r="AR4746" s="404"/>
      <c r="AS4746" s="404"/>
      <c r="AT4746" s="404"/>
      <c r="AU4746" s="404"/>
      <c r="AV4746" s="404"/>
      <c r="AW4746" s="404"/>
      <c r="AX4746" s="404"/>
      <c r="AY4746" s="404"/>
      <c r="AZ4746" s="404"/>
      <c r="BA4746" s="404"/>
      <c r="BB4746" s="404"/>
      <c r="BC4746" s="404"/>
      <c r="BD4746" s="404"/>
      <c r="BE4746" s="404"/>
      <c r="BF4746" s="404"/>
      <c r="BG4746" s="404"/>
      <c r="BH4746" s="404"/>
      <c r="BI4746" s="404"/>
      <c r="BJ4746" s="404"/>
      <c r="BK4746" s="404"/>
      <c r="BL4746" s="404"/>
    </row>
    <row r="4747" spans="1:64" ht="13">
      <c r="A4747" s="454"/>
      <c r="B4747" s="454"/>
      <c r="C4747" s="427" t="s">
        <v>1679</v>
      </c>
      <c r="D4747" s="426"/>
      <c r="E4747" s="426"/>
      <c r="F4747" s="408"/>
      <c r="G4747" s="430"/>
      <c r="H4747" s="456"/>
      <c r="I4747" s="408"/>
      <c r="J4747" s="400"/>
      <c r="K4747" s="401"/>
      <c r="L4747" s="401"/>
      <c r="M4747" s="404"/>
      <c r="N4747" s="404"/>
      <c r="O4747" s="404"/>
      <c r="P4747" s="404"/>
      <c r="Q4747" s="404"/>
      <c r="R4747" s="404"/>
      <c r="S4747" s="404"/>
      <c r="T4747" s="404"/>
      <c r="U4747" s="404"/>
      <c r="V4747" s="404"/>
      <c r="W4747" s="404"/>
      <c r="X4747" s="404"/>
      <c r="Y4747" s="404"/>
      <c r="Z4747" s="404"/>
      <c r="AA4747" s="404"/>
      <c r="AB4747" s="404"/>
      <c r="AC4747" s="404"/>
      <c r="AD4747" s="404"/>
      <c r="AE4747" s="404"/>
      <c r="AF4747" s="404"/>
      <c r="AG4747" s="404"/>
      <c r="AH4747" s="404"/>
      <c r="AI4747" s="404"/>
      <c r="AJ4747" s="404"/>
      <c r="AK4747" s="404"/>
      <c r="AL4747" s="404"/>
      <c r="AM4747" s="404"/>
      <c r="AN4747" s="404"/>
      <c r="AO4747" s="404"/>
      <c r="AP4747" s="404"/>
      <c r="AQ4747" s="404"/>
      <c r="AR4747" s="404"/>
      <c r="AS4747" s="404"/>
      <c r="AT4747" s="404"/>
      <c r="AU4747" s="404"/>
      <c r="AV4747" s="404"/>
      <c r="AW4747" s="404"/>
      <c r="AX4747" s="404"/>
      <c r="AY4747" s="404"/>
      <c r="AZ4747" s="404"/>
      <c r="BA4747" s="404"/>
      <c r="BB4747" s="404"/>
      <c r="BC4747" s="404"/>
      <c r="BD4747" s="404"/>
      <c r="BE4747" s="404"/>
      <c r="BF4747" s="404"/>
      <c r="BG4747" s="404"/>
      <c r="BH4747" s="404"/>
      <c r="BI4747" s="404"/>
      <c r="BJ4747" s="404"/>
      <c r="BK4747" s="404"/>
      <c r="BL4747" s="404"/>
    </row>
    <row r="4748" spans="1:64">
      <c r="A4748" s="454"/>
      <c r="B4748" s="454"/>
      <c r="C4748" s="445" t="s">
        <v>1659</v>
      </c>
      <c r="D4748" s="408"/>
      <c r="E4748" s="408"/>
      <c r="F4748" s="408"/>
      <c r="G4748" s="430"/>
      <c r="H4748" s="456" t="str">
        <f>IF(E4748="","",IF(E4748="No.","Each",IF(E4748="Nos.","Each",E4748)))</f>
        <v/>
      </c>
      <c r="I4748" s="408"/>
      <c r="J4748" s="400"/>
      <c r="K4748" s="401"/>
      <c r="L4748" s="401"/>
      <c r="M4748" s="404"/>
      <c r="N4748" s="404"/>
      <c r="O4748" s="404"/>
      <c r="P4748" s="404"/>
      <c r="Q4748" s="404"/>
      <c r="R4748" s="404"/>
      <c r="S4748" s="404"/>
      <c r="T4748" s="404"/>
      <c r="U4748" s="404"/>
      <c r="V4748" s="404"/>
      <c r="W4748" s="404"/>
      <c r="X4748" s="404"/>
      <c r="Y4748" s="404"/>
      <c r="Z4748" s="404"/>
      <c r="AA4748" s="404"/>
      <c r="AB4748" s="404"/>
      <c r="AC4748" s="404"/>
      <c r="AD4748" s="404"/>
      <c r="AE4748" s="404"/>
      <c r="AF4748" s="404"/>
      <c r="AG4748" s="404"/>
      <c r="AH4748" s="404"/>
      <c r="AI4748" s="404"/>
      <c r="AJ4748" s="404"/>
      <c r="AK4748" s="404"/>
      <c r="AL4748" s="404"/>
      <c r="AM4748" s="404"/>
      <c r="AN4748" s="404"/>
      <c r="AO4748" s="404"/>
      <c r="AP4748" s="404"/>
      <c r="AQ4748" s="404"/>
      <c r="AR4748" s="404"/>
      <c r="AS4748" s="404"/>
      <c r="AT4748" s="404"/>
      <c r="AU4748" s="404"/>
      <c r="AV4748" s="404"/>
      <c r="AW4748" s="404"/>
      <c r="AX4748" s="404"/>
      <c r="AY4748" s="404"/>
      <c r="AZ4748" s="404"/>
      <c r="BA4748" s="404"/>
      <c r="BB4748" s="404"/>
      <c r="BC4748" s="404"/>
      <c r="BD4748" s="404"/>
      <c r="BE4748" s="404"/>
      <c r="BF4748" s="404"/>
      <c r="BG4748" s="404"/>
      <c r="BH4748" s="404"/>
      <c r="BI4748" s="404"/>
      <c r="BJ4748" s="404"/>
      <c r="BK4748" s="404"/>
      <c r="BL4748" s="404"/>
    </row>
    <row r="4749" spans="1:64" ht="13">
      <c r="A4749" s="454"/>
      <c r="B4749" s="454"/>
      <c r="C4749" s="427" t="s">
        <v>1680</v>
      </c>
      <c r="D4749" s="457"/>
      <c r="E4749" s="415"/>
      <c r="F4749" s="408"/>
      <c r="G4749" s="410"/>
      <c r="H4749" s="426"/>
      <c r="I4749" s="408"/>
      <c r="J4749" s="400"/>
      <c r="K4749" s="401"/>
      <c r="L4749" s="401"/>
      <c r="M4749" s="404"/>
      <c r="N4749" s="404"/>
      <c r="O4749" s="404"/>
      <c r="P4749" s="404"/>
      <c r="Q4749" s="404"/>
      <c r="R4749" s="404"/>
      <c r="S4749" s="404"/>
      <c r="T4749" s="404"/>
      <c r="U4749" s="404"/>
      <c r="V4749" s="404"/>
      <c r="W4749" s="404"/>
      <c r="X4749" s="404"/>
      <c r="Y4749" s="404"/>
      <c r="Z4749" s="404"/>
      <c r="AA4749" s="404"/>
      <c r="AB4749" s="404"/>
      <c r="AC4749" s="404"/>
      <c r="AD4749" s="404"/>
      <c r="AE4749" s="404"/>
      <c r="AF4749" s="404"/>
      <c r="AG4749" s="404"/>
      <c r="AH4749" s="404"/>
      <c r="AI4749" s="404"/>
      <c r="AJ4749" s="404"/>
      <c r="AK4749" s="404"/>
      <c r="AL4749" s="404"/>
      <c r="AM4749" s="404"/>
      <c r="AN4749" s="404"/>
      <c r="AO4749" s="404"/>
      <c r="AP4749" s="404"/>
      <c r="AQ4749" s="404"/>
      <c r="AR4749" s="404"/>
      <c r="AS4749" s="404"/>
      <c r="AT4749" s="404"/>
      <c r="AU4749" s="404"/>
      <c r="AV4749" s="404"/>
      <c r="AW4749" s="404"/>
      <c r="AX4749" s="404"/>
      <c r="AY4749" s="404"/>
      <c r="AZ4749" s="404"/>
      <c r="BA4749" s="404"/>
      <c r="BB4749" s="404"/>
      <c r="BC4749" s="404"/>
      <c r="BD4749" s="404"/>
      <c r="BE4749" s="404"/>
      <c r="BF4749" s="404"/>
      <c r="BG4749" s="404"/>
      <c r="BH4749" s="404"/>
      <c r="BI4749" s="404"/>
      <c r="BJ4749" s="404"/>
      <c r="BK4749" s="404"/>
      <c r="BL4749" s="404"/>
    </row>
    <row r="4750" spans="1:64" ht="13">
      <c r="A4750" s="454"/>
      <c r="B4750" s="454"/>
      <c r="C4750" s="417" t="s">
        <v>1661</v>
      </c>
      <c r="D4750" s="408"/>
      <c r="E4750" s="408"/>
      <c r="F4750" s="408"/>
      <c r="G4750" s="430"/>
      <c r="H4750" s="414"/>
      <c r="I4750" s="414"/>
      <c r="J4750" s="400"/>
      <c r="K4750" s="401"/>
      <c r="L4750" s="401"/>
      <c r="M4750" s="404"/>
      <c r="N4750" s="404"/>
      <c r="O4750" s="404"/>
      <c r="P4750" s="404"/>
      <c r="Q4750" s="404"/>
      <c r="R4750" s="404"/>
      <c r="S4750" s="404"/>
      <c r="T4750" s="404"/>
      <c r="U4750" s="404"/>
      <c r="V4750" s="404"/>
      <c r="W4750" s="404"/>
      <c r="X4750" s="404"/>
      <c r="Y4750" s="404"/>
      <c r="Z4750" s="404"/>
      <c r="AA4750" s="404"/>
      <c r="AB4750" s="404"/>
      <c r="AC4750" s="404"/>
      <c r="AD4750" s="404"/>
      <c r="AE4750" s="404"/>
      <c r="AF4750" s="404"/>
      <c r="AG4750" s="404"/>
      <c r="AH4750" s="404"/>
      <c r="AI4750" s="404"/>
      <c r="AJ4750" s="404"/>
      <c r="AK4750" s="404"/>
      <c r="AL4750" s="404"/>
      <c r="AM4750" s="404"/>
      <c r="AN4750" s="404"/>
      <c r="AO4750" s="404"/>
      <c r="AP4750" s="404"/>
      <c r="AQ4750" s="404"/>
      <c r="AR4750" s="404"/>
      <c r="AS4750" s="404"/>
      <c r="AT4750" s="404"/>
      <c r="AU4750" s="404"/>
      <c r="AV4750" s="404"/>
      <c r="AW4750" s="404"/>
      <c r="AX4750" s="404"/>
      <c r="AY4750" s="404"/>
      <c r="AZ4750" s="404"/>
      <c r="BA4750" s="404"/>
      <c r="BB4750" s="404"/>
      <c r="BC4750" s="404"/>
      <c r="BD4750" s="404"/>
      <c r="BE4750" s="404"/>
      <c r="BF4750" s="404"/>
      <c r="BG4750" s="404"/>
      <c r="BH4750" s="404"/>
      <c r="BI4750" s="404"/>
      <c r="BJ4750" s="404"/>
      <c r="BK4750" s="404"/>
      <c r="BL4750" s="404"/>
    </row>
    <row r="4751" spans="1:64">
      <c r="A4751" s="454"/>
      <c r="B4751" s="454"/>
      <c r="C4751" s="445" t="s">
        <v>1603</v>
      </c>
      <c r="D4751" s="409">
        <v>0.48</v>
      </c>
      <c r="E4751" s="408" t="s">
        <v>375</v>
      </c>
      <c r="F4751" s="408">
        <f>'[161]Civil-SOR'!$G$302</f>
        <v>550</v>
      </c>
      <c r="G4751" s="430">
        <v>1</v>
      </c>
      <c r="H4751" s="408" t="s">
        <v>678</v>
      </c>
      <c r="I4751" s="408">
        <f t="shared" ref="I4751:I4754" si="1019">IF(G4751="",D4751*F4751,(D4751*F4751/G4751))</f>
        <v>264</v>
      </c>
      <c r="J4751" s="400"/>
      <c r="K4751" s="401"/>
      <c r="L4751" s="401"/>
      <c r="M4751" s="404"/>
      <c r="N4751" s="404"/>
      <c r="O4751" s="404"/>
      <c r="P4751" s="404"/>
      <c r="Q4751" s="404"/>
      <c r="R4751" s="404"/>
      <c r="S4751" s="404"/>
      <c r="T4751" s="404"/>
      <c r="U4751" s="404"/>
      <c r="V4751" s="404"/>
      <c r="W4751" s="404"/>
      <c r="X4751" s="404"/>
      <c r="Y4751" s="404"/>
      <c r="Z4751" s="404"/>
      <c r="AA4751" s="404"/>
      <c r="AB4751" s="404"/>
      <c r="AC4751" s="404"/>
      <c r="AD4751" s="404"/>
      <c r="AE4751" s="404"/>
      <c r="AF4751" s="404"/>
      <c r="AG4751" s="404"/>
      <c r="AH4751" s="404"/>
      <c r="AI4751" s="404"/>
      <c r="AJ4751" s="404"/>
      <c r="AK4751" s="404"/>
      <c r="AL4751" s="404"/>
      <c r="AM4751" s="404"/>
      <c r="AN4751" s="404"/>
      <c r="AO4751" s="404"/>
      <c r="AP4751" s="404"/>
      <c r="AQ4751" s="404"/>
      <c r="AR4751" s="404"/>
      <c r="AS4751" s="404"/>
      <c r="AT4751" s="404"/>
      <c r="AU4751" s="404"/>
      <c r="AV4751" s="404"/>
      <c r="AW4751" s="404"/>
      <c r="AX4751" s="404"/>
      <c r="AY4751" s="404"/>
      <c r="AZ4751" s="404"/>
      <c r="BA4751" s="404"/>
      <c r="BB4751" s="404"/>
      <c r="BC4751" s="404"/>
      <c r="BD4751" s="404"/>
      <c r="BE4751" s="404"/>
      <c r="BF4751" s="404"/>
      <c r="BG4751" s="404"/>
      <c r="BH4751" s="404"/>
      <c r="BI4751" s="404"/>
      <c r="BJ4751" s="404"/>
      <c r="BK4751" s="404"/>
      <c r="BL4751" s="404"/>
    </row>
    <row r="4752" spans="1:64">
      <c r="A4752" s="454"/>
      <c r="B4752" s="454"/>
      <c r="C4752" s="445" t="s">
        <v>1644</v>
      </c>
      <c r="D4752" s="409">
        <v>2</v>
      </c>
      <c r="E4752" s="408" t="s">
        <v>375</v>
      </c>
      <c r="F4752" s="408">
        <f>'[161]Civil-SOR'!$G$307</f>
        <v>520</v>
      </c>
      <c r="G4752" s="430">
        <v>1</v>
      </c>
      <c r="H4752" s="408" t="s">
        <v>678</v>
      </c>
      <c r="I4752" s="408">
        <f t="shared" si="1019"/>
        <v>1040</v>
      </c>
      <c r="J4752" s="400"/>
      <c r="K4752" s="401"/>
      <c r="L4752" s="401"/>
      <c r="M4752" s="404"/>
      <c r="N4752" s="404"/>
      <c r="O4752" s="404"/>
      <c r="P4752" s="404"/>
      <c r="Q4752" s="404"/>
      <c r="R4752" s="404"/>
      <c r="S4752" s="404"/>
      <c r="T4752" s="404"/>
      <c r="U4752" s="404"/>
      <c r="V4752" s="404"/>
      <c r="W4752" s="404"/>
      <c r="X4752" s="404"/>
      <c r="Y4752" s="404"/>
      <c r="Z4752" s="404"/>
      <c r="AA4752" s="404"/>
      <c r="AB4752" s="404"/>
      <c r="AC4752" s="404"/>
      <c r="AD4752" s="404"/>
      <c r="AE4752" s="404"/>
      <c r="AF4752" s="404"/>
      <c r="AG4752" s="404"/>
      <c r="AH4752" s="404"/>
      <c r="AI4752" s="404"/>
      <c r="AJ4752" s="404"/>
      <c r="AK4752" s="404"/>
      <c r="AL4752" s="404"/>
      <c r="AM4752" s="404"/>
      <c r="AN4752" s="404"/>
      <c r="AO4752" s="404"/>
      <c r="AP4752" s="404"/>
      <c r="AQ4752" s="404"/>
      <c r="AR4752" s="404"/>
      <c r="AS4752" s="404"/>
      <c r="AT4752" s="404"/>
      <c r="AU4752" s="404"/>
      <c r="AV4752" s="404"/>
      <c r="AW4752" s="404"/>
      <c r="AX4752" s="404"/>
      <c r="AY4752" s="404"/>
      <c r="AZ4752" s="404"/>
      <c r="BA4752" s="404"/>
      <c r="BB4752" s="404"/>
      <c r="BC4752" s="404"/>
      <c r="BD4752" s="404"/>
      <c r="BE4752" s="404"/>
      <c r="BF4752" s="404"/>
      <c r="BG4752" s="404"/>
      <c r="BH4752" s="404"/>
      <c r="BI4752" s="404"/>
      <c r="BJ4752" s="404"/>
      <c r="BK4752" s="404"/>
      <c r="BL4752" s="404"/>
    </row>
    <row r="4753" spans="1:64">
      <c r="A4753" s="454"/>
      <c r="B4753" s="454"/>
      <c r="C4753" s="445" t="s">
        <v>1662</v>
      </c>
      <c r="D4753" s="409">
        <v>10</v>
      </c>
      <c r="E4753" s="408" t="s">
        <v>375</v>
      </c>
      <c r="F4753" s="408">
        <f>'[161]Civil-SOR'!$G$307</f>
        <v>520</v>
      </c>
      <c r="G4753" s="430">
        <v>1</v>
      </c>
      <c r="H4753" s="408" t="s">
        <v>678</v>
      </c>
      <c r="I4753" s="408">
        <f t="shared" si="1019"/>
        <v>5200</v>
      </c>
      <c r="J4753" s="400"/>
      <c r="K4753" s="401"/>
      <c r="L4753" s="401"/>
      <c r="M4753" s="404"/>
      <c r="N4753" s="404"/>
      <c r="O4753" s="404"/>
      <c r="P4753" s="404"/>
      <c r="Q4753" s="404"/>
      <c r="R4753" s="404"/>
      <c r="S4753" s="404"/>
      <c r="T4753" s="404"/>
      <c r="U4753" s="404"/>
      <c r="V4753" s="404"/>
      <c r="W4753" s="404"/>
      <c r="X4753" s="404"/>
      <c r="Y4753" s="404"/>
      <c r="Z4753" s="404"/>
      <c r="AA4753" s="404"/>
      <c r="AB4753" s="404"/>
      <c r="AC4753" s="404"/>
      <c r="AD4753" s="404"/>
      <c r="AE4753" s="404"/>
      <c r="AF4753" s="404"/>
      <c r="AG4753" s="404"/>
      <c r="AH4753" s="404"/>
      <c r="AI4753" s="404"/>
      <c r="AJ4753" s="404"/>
      <c r="AK4753" s="404"/>
      <c r="AL4753" s="404"/>
      <c r="AM4753" s="404"/>
      <c r="AN4753" s="404"/>
      <c r="AO4753" s="404"/>
      <c r="AP4753" s="404"/>
      <c r="AQ4753" s="404"/>
      <c r="AR4753" s="404"/>
      <c r="AS4753" s="404"/>
      <c r="AT4753" s="404"/>
      <c r="AU4753" s="404"/>
      <c r="AV4753" s="404"/>
      <c r="AW4753" s="404"/>
      <c r="AX4753" s="404"/>
      <c r="AY4753" s="404"/>
      <c r="AZ4753" s="404"/>
      <c r="BA4753" s="404"/>
      <c r="BB4753" s="404"/>
      <c r="BC4753" s="404"/>
      <c r="BD4753" s="404"/>
      <c r="BE4753" s="404"/>
      <c r="BF4753" s="404"/>
      <c r="BG4753" s="404"/>
      <c r="BH4753" s="404"/>
      <c r="BI4753" s="404"/>
      <c r="BJ4753" s="404"/>
      <c r="BK4753" s="404"/>
      <c r="BL4753" s="404"/>
    </row>
    <row r="4754" spans="1:64">
      <c r="A4754" s="454"/>
      <c r="B4754" s="454"/>
      <c r="C4754" s="417" t="str">
        <f>[161]Input!$C$47</f>
        <v>Add for MA @ 40%</v>
      </c>
      <c r="D4754" s="746">
        <f>[161]Input!$D$47</f>
        <v>0.4</v>
      </c>
      <c r="E4754" s="408"/>
      <c r="F4754" s="408">
        <f>SUM(I4751:I4753)</f>
        <v>6504</v>
      </c>
      <c r="G4754" s="430"/>
      <c r="H4754" s="408"/>
      <c r="I4754" s="408">
        <f t="shared" si="1019"/>
        <v>2601.6000000000004</v>
      </c>
      <c r="J4754" s="400"/>
      <c r="K4754" s="401"/>
      <c r="L4754" s="401"/>
      <c r="M4754" s="404"/>
      <c r="N4754" s="404"/>
      <c r="O4754" s="404"/>
      <c r="P4754" s="404"/>
      <c r="Q4754" s="404"/>
      <c r="R4754" s="404"/>
      <c r="S4754" s="404"/>
      <c r="T4754" s="404"/>
      <c r="U4754" s="404"/>
      <c r="V4754" s="404"/>
      <c r="W4754" s="404"/>
      <c r="X4754" s="404"/>
      <c r="Y4754" s="404"/>
      <c r="Z4754" s="404"/>
      <c r="AA4754" s="404"/>
      <c r="AB4754" s="404"/>
      <c r="AC4754" s="404"/>
      <c r="AD4754" s="404"/>
      <c r="AE4754" s="404"/>
      <c r="AF4754" s="404"/>
      <c r="AG4754" s="404"/>
      <c r="AH4754" s="404"/>
      <c r="AI4754" s="404"/>
      <c r="AJ4754" s="404"/>
      <c r="AK4754" s="404"/>
      <c r="AL4754" s="404"/>
      <c r="AM4754" s="404"/>
      <c r="AN4754" s="404"/>
      <c r="AO4754" s="404"/>
      <c r="AP4754" s="404"/>
      <c r="AQ4754" s="404"/>
      <c r="AR4754" s="404"/>
      <c r="AS4754" s="404"/>
      <c r="AT4754" s="404"/>
      <c r="AU4754" s="404"/>
      <c r="AV4754" s="404"/>
      <c r="AW4754" s="404"/>
      <c r="AX4754" s="404"/>
      <c r="AY4754" s="404"/>
      <c r="AZ4754" s="404"/>
      <c r="BA4754" s="404"/>
      <c r="BB4754" s="404"/>
      <c r="BC4754" s="404"/>
      <c r="BD4754" s="404"/>
      <c r="BE4754" s="404"/>
      <c r="BF4754" s="404"/>
      <c r="BG4754" s="404"/>
      <c r="BH4754" s="404"/>
      <c r="BI4754" s="404"/>
      <c r="BJ4754" s="404"/>
      <c r="BK4754" s="404"/>
      <c r="BL4754" s="404"/>
    </row>
    <row r="4755" spans="1:64" ht="13">
      <c r="A4755" s="454"/>
      <c r="B4755" s="454"/>
      <c r="C4755" s="417"/>
      <c r="D4755" s="408"/>
      <c r="E4755" s="408"/>
      <c r="F4755" s="408"/>
      <c r="G4755" s="416" t="s">
        <v>1656</v>
      </c>
      <c r="H4755" s="414"/>
      <c r="I4755" s="414">
        <f>SUM(I4751:I4754)</f>
        <v>9105.6</v>
      </c>
      <c r="J4755" s="400"/>
      <c r="K4755" s="401"/>
      <c r="L4755" s="401"/>
      <c r="M4755" s="404"/>
      <c r="N4755" s="404"/>
      <c r="O4755" s="404"/>
      <c r="P4755" s="404"/>
      <c r="Q4755" s="404"/>
      <c r="R4755" s="404"/>
      <c r="S4755" s="404"/>
      <c r="T4755" s="404"/>
      <c r="U4755" s="404"/>
      <c r="V4755" s="404"/>
      <c r="W4755" s="404"/>
      <c r="X4755" s="404"/>
      <c r="Y4755" s="404"/>
      <c r="Z4755" s="404"/>
      <c r="AA4755" s="404"/>
      <c r="AB4755" s="404"/>
      <c r="AC4755" s="404"/>
      <c r="AD4755" s="404"/>
      <c r="AE4755" s="404"/>
      <c r="AF4755" s="404"/>
      <c r="AG4755" s="404"/>
      <c r="AH4755" s="404"/>
      <c r="AI4755" s="404"/>
      <c r="AJ4755" s="404"/>
      <c r="AK4755" s="404"/>
      <c r="AL4755" s="404"/>
      <c r="AM4755" s="404"/>
      <c r="AN4755" s="404"/>
      <c r="AO4755" s="404"/>
      <c r="AP4755" s="404"/>
      <c r="AQ4755" s="404"/>
      <c r="AR4755" s="404"/>
      <c r="AS4755" s="404"/>
      <c r="AT4755" s="404"/>
      <c r="AU4755" s="404"/>
      <c r="AV4755" s="404"/>
      <c r="AW4755" s="404"/>
      <c r="AX4755" s="404"/>
      <c r="AY4755" s="404"/>
      <c r="AZ4755" s="404"/>
      <c r="BA4755" s="404"/>
      <c r="BB4755" s="404"/>
      <c r="BC4755" s="404"/>
      <c r="BD4755" s="404"/>
      <c r="BE4755" s="404"/>
      <c r="BF4755" s="404"/>
      <c r="BG4755" s="404"/>
      <c r="BH4755" s="404"/>
      <c r="BI4755" s="404"/>
      <c r="BJ4755" s="404"/>
      <c r="BK4755" s="404"/>
      <c r="BL4755" s="404"/>
    </row>
    <row r="4756" spans="1:64" ht="13">
      <c r="A4756" s="454"/>
      <c r="B4756" s="454"/>
      <c r="C4756" s="427" t="s">
        <v>1663</v>
      </c>
      <c r="D4756" s="408"/>
      <c r="E4756" s="408"/>
      <c r="F4756" s="408"/>
      <c r="G4756" s="430"/>
      <c r="H4756" s="408"/>
      <c r="I4756" s="408"/>
      <c r="J4756" s="400"/>
      <c r="K4756" s="401"/>
      <c r="L4756" s="401"/>
      <c r="M4756" s="404"/>
      <c r="N4756" s="404"/>
      <c r="O4756" s="404"/>
      <c r="P4756" s="404"/>
      <c r="Q4756" s="404"/>
      <c r="R4756" s="404"/>
      <c r="S4756" s="404"/>
      <c r="T4756" s="404"/>
      <c r="U4756" s="404"/>
      <c r="V4756" s="404"/>
      <c r="W4756" s="404"/>
      <c r="X4756" s="404"/>
      <c r="Y4756" s="404"/>
      <c r="Z4756" s="404"/>
      <c r="AA4756" s="404"/>
      <c r="AB4756" s="404"/>
      <c r="AC4756" s="404"/>
      <c r="AD4756" s="404"/>
      <c r="AE4756" s="404"/>
      <c r="AF4756" s="404"/>
      <c r="AG4756" s="404"/>
      <c r="AH4756" s="404"/>
      <c r="AI4756" s="404"/>
      <c r="AJ4756" s="404"/>
      <c r="AK4756" s="404"/>
      <c r="AL4756" s="404"/>
      <c r="AM4756" s="404"/>
      <c r="AN4756" s="404"/>
      <c r="AO4756" s="404"/>
      <c r="AP4756" s="404"/>
      <c r="AQ4756" s="404"/>
      <c r="AR4756" s="404"/>
      <c r="AS4756" s="404"/>
      <c r="AT4756" s="404"/>
      <c r="AU4756" s="404"/>
      <c r="AV4756" s="404"/>
      <c r="AW4756" s="404"/>
      <c r="AX4756" s="404"/>
      <c r="AY4756" s="404"/>
      <c r="AZ4756" s="404"/>
      <c r="BA4756" s="404"/>
      <c r="BB4756" s="404"/>
      <c r="BC4756" s="404"/>
      <c r="BD4756" s="404"/>
      <c r="BE4756" s="404"/>
      <c r="BF4756" s="404"/>
      <c r="BG4756" s="404"/>
      <c r="BH4756" s="404"/>
      <c r="BI4756" s="404"/>
      <c r="BJ4756" s="404"/>
      <c r="BK4756" s="404"/>
      <c r="BL4756" s="404"/>
    </row>
    <row r="4757" spans="1:64">
      <c r="A4757" s="454"/>
      <c r="B4757" s="454"/>
      <c r="C4757" s="417" t="s">
        <v>1681</v>
      </c>
      <c r="D4757" s="406">
        <v>6.6</v>
      </c>
      <c r="E4757" s="408" t="s">
        <v>796</v>
      </c>
      <c r="F4757" s="408">
        <f>'[161]Civil-SOR'!G361</f>
        <v>2028</v>
      </c>
      <c r="G4757" s="430">
        <v>1</v>
      </c>
      <c r="H4757" s="408" t="s">
        <v>797</v>
      </c>
      <c r="I4757" s="408">
        <f t="shared" ref="I4757:I4762" si="1020">IF(G4757="",D4757*F4757,(D4757*F4757/G4757))</f>
        <v>13384.8</v>
      </c>
      <c r="J4757" s="400"/>
      <c r="K4757" s="401"/>
      <c r="L4757" s="401"/>
      <c r="M4757" s="404"/>
      <c r="N4757" s="404"/>
      <c r="O4757" s="404"/>
      <c r="P4757" s="404"/>
      <c r="Q4757" s="404"/>
      <c r="R4757" s="404"/>
      <c r="S4757" s="404"/>
      <c r="T4757" s="404"/>
      <c r="U4757" s="404"/>
      <c r="V4757" s="404"/>
      <c r="W4757" s="404"/>
      <c r="X4757" s="404"/>
      <c r="Y4757" s="404"/>
      <c r="Z4757" s="404"/>
      <c r="AA4757" s="404"/>
      <c r="AB4757" s="404"/>
      <c r="AC4757" s="404"/>
      <c r="AD4757" s="404"/>
      <c r="AE4757" s="404"/>
      <c r="AF4757" s="404"/>
      <c r="AG4757" s="404"/>
      <c r="AH4757" s="404"/>
      <c r="AI4757" s="404"/>
      <c r="AJ4757" s="404"/>
      <c r="AK4757" s="404"/>
      <c r="AL4757" s="404"/>
      <c r="AM4757" s="404"/>
      <c r="AN4757" s="404"/>
      <c r="AO4757" s="404"/>
      <c r="AP4757" s="404"/>
      <c r="AQ4757" s="404"/>
      <c r="AR4757" s="404"/>
      <c r="AS4757" s="404"/>
      <c r="AT4757" s="404"/>
      <c r="AU4757" s="404"/>
      <c r="AV4757" s="404"/>
      <c r="AW4757" s="404"/>
      <c r="AX4757" s="404"/>
      <c r="AY4757" s="404"/>
      <c r="AZ4757" s="404"/>
      <c r="BA4757" s="404"/>
      <c r="BB4757" s="404"/>
      <c r="BC4757" s="404"/>
      <c r="BD4757" s="404"/>
      <c r="BE4757" s="404"/>
      <c r="BF4757" s="404"/>
      <c r="BG4757" s="404"/>
      <c r="BH4757" s="404"/>
      <c r="BI4757" s="404"/>
      <c r="BJ4757" s="404"/>
      <c r="BK4757" s="404"/>
      <c r="BL4757" s="404"/>
    </row>
    <row r="4758" spans="1:64">
      <c r="A4758" s="454"/>
      <c r="B4758" s="454"/>
      <c r="C4758" s="445" t="s">
        <v>1682</v>
      </c>
      <c r="D4758" s="406">
        <v>6</v>
      </c>
      <c r="E4758" s="408" t="s">
        <v>796</v>
      </c>
      <c r="F4758" s="408">
        <f>'[161]Civil-SOR'!G364</f>
        <v>1626</v>
      </c>
      <c r="G4758" s="430">
        <v>1</v>
      </c>
      <c r="H4758" s="408" t="s">
        <v>797</v>
      </c>
      <c r="I4758" s="408">
        <f t="shared" si="1020"/>
        <v>9756</v>
      </c>
      <c r="J4758" s="400"/>
      <c r="K4758" s="401"/>
      <c r="L4758" s="401"/>
      <c r="M4758" s="404"/>
      <c r="N4758" s="404"/>
      <c r="O4758" s="404"/>
      <c r="P4758" s="404"/>
      <c r="Q4758" s="404"/>
      <c r="R4758" s="404"/>
      <c r="S4758" s="404"/>
      <c r="T4758" s="404"/>
      <c r="U4758" s="404"/>
      <c r="V4758" s="404"/>
      <c r="W4758" s="404"/>
      <c r="X4758" s="404"/>
      <c r="Y4758" s="404"/>
      <c r="Z4758" s="404"/>
      <c r="AA4758" s="404"/>
      <c r="AB4758" s="404"/>
      <c r="AC4758" s="404"/>
      <c r="AD4758" s="404"/>
      <c r="AE4758" s="404"/>
      <c r="AF4758" s="404"/>
      <c r="AG4758" s="404"/>
      <c r="AH4758" s="404"/>
      <c r="AI4758" s="404"/>
      <c r="AJ4758" s="404"/>
      <c r="AK4758" s="404"/>
      <c r="AL4758" s="404"/>
      <c r="AM4758" s="404"/>
      <c r="AN4758" s="404"/>
      <c r="AO4758" s="404"/>
      <c r="AP4758" s="404"/>
      <c r="AQ4758" s="404"/>
      <c r="AR4758" s="404"/>
      <c r="AS4758" s="404"/>
      <c r="AT4758" s="404"/>
      <c r="AU4758" s="404"/>
      <c r="AV4758" s="404"/>
      <c r="AW4758" s="404"/>
      <c r="AX4758" s="404"/>
      <c r="AY4758" s="404"/>
      <c r="AZ4758" s="404"/>
      <c r="BA4758" s="404"/>
      <c r="BB4758" s="404"/>
      <c r="BC4758" s="404"/>
      <c r="BD4758" s="404"/>
      <c r="BE4758" s="404"/>
      <c r="BF4758" s="404"/>
      <c r="BG4758" s="404"/>
      <c r="BH4758" s="404"/>
      <c r="BI4758" s="404"/>
      <c r="BJ4758" s="404"/>
      <c r="BK4758" s="404"/>
      <c r="BL4758" s="404"/>
    </row>
    <row r="4759" spans="1:64">
      <c r="A4759" s="454"/>
      <c r="B4759" s="454"/>
      <c r="C4759" s="445" t="s">
        <v>1683</v>
      </c>
      <c r="D4759" s="406">
        <v>6</v>
      </c>
      <c r="E4759" s="408" t="s">
        <v>796</v>
      </c>
      <c r="F4759" s="408">
        <f>'[161]Civil-SOR'!$G$362</f>
        <v>2028</v>
      </c>
      <c r="G4759" s="430">
        <v>1</v>
      </c>
      <c r="H4759" s="408" t="s">
        <v>797</v>
      </c>
      <c r="I4759" s="408">
        <f t="shared" si="1020"/>
        <v>12168</v>
      </c>
      <c r="J4759" s="400"/>
      <c r="K4759" s="401"/>
      <c r="L4759" s="401"/>
      <c r="M4759" s="404"/>
      <c r="N4759" s="404"/>
      <c r="O4759" s="404"/>
      <c r="P4759" s="404"/>
      <c r="Q4759" s="404"/>
      <c r="R4759" s="404"/>
      <c r="S4759" s="404"/>
      <c r="T4759" s="404"/>
      <c r="U4759" s="404"/>
      <c r="V4759" s="404"/>
      <c r="W4759" s="404"/>
      <c r="X4759" s="404"/>
      <c r="Y4759" s="404"/>
      <c r="Z4759" s="404"/>
      <c r="AA4759" s="404"/>
      <c r="AB4759" s="404"/>
      <c r="AC4759" s="404"/>
      <c r="AD4759" s="404"/>
      <c r="AE4759" s="404"/>
      <c r="AF4759" s="404"/>
      <c r="AG4759" s="404"/>
      <c r="AH4759" s="404"/>
      <c r="AI4759" s="404"/>
      <c r="AJ4759" s="404"/>
      <c r="AK4759" s="404"/>
      <c r="AL4759" s="404"/>
      <c r="AM4759" s="404"/>
      <c r="AN4759" s="404"/>
      <c r="AO4759" s="404"/>
      <c r="AP4759" s="404"/>
      <c r="AQ4759" s="404"/>
      <c r="AR4759" s="404"/>
      <c r="AS4759" s="404"/>
      <c r="AT4759" s="404"/>
      <c r="AU4759" s="404"/>
      <c r="AV4759" s="404"/>
      <c r="AW4759" s="404"/>
      <c r="AX4759" s="404"/>
      <c r="AY4759" s="404"/>
      <c r="AZ4759" s="404"/>
      <c r="BA4759" s="404"/>
      <c r="BB4759" s="404"/>
      <c r="BC4759" s="404"/>
      <c r="BD4759" s="404"/>
      <c r="BE4759" s="404"/>
      <c r="BF4759" s="404"/>
      <c r="BG4759" s="404"/>
      <c r="BH4759" s="404"/>
      <c r="BI4759" s="404"/>
      <c r="BJ4759" s="404"/>
      <c r="BK4759" s="404"/>
      <c r="BL4759" s="404"/>
    </row>
    <row r="4760" spans="1:64">
      <c r="A4760" s="454"/>
      <c r="B4760" s="454"/>
      <c r="C4760" s="445" t="s">
        <v>1684</v>
      </c>
      <c r="D4760" s="406">
        <v>6</v>
      </c>
      <c r="E4760" s="408" t="s">
        <v>796</v>
      </c>
      <c r="F4760" s="408">
        <f>'[161]Civil-SOR'!G365</f>
        <v>2771</v>
      </c>
      <c r="G4760" s="430">
        <v>1</v>
      </c>
      <c r="H4760" s="408" t="s">
        <v>797</v>
      </c>
      <c r="I4760" s="408">
        <f t="shared" si="1020"/>
        <v>16626</v>
      </c>
      <c r="J4760" s="400"/>
      <c r="K4760" s="401"/>
      <c r="L4760" s="401"/>
      <c r="M4760" s="404"/>
      <c r="N4760" s="404"/>
      <c r="O4760" s="404"/>
      <c r="P4760" s="404"/>
      <c r="Q4760" s="404"/>
      <c r="R4760" s="404"/>
      <c r="S4760" s="404"/>
      <c r="T4760" s="404"/>
      <c r="U4760" s="404"/>
      <c r="V4760" s="404"/>
      <c r="W4760" s="404"/>
      <c r="X4760" s="404"/>
      <c r="Y4760" s="404"/>
      <c r="Z4760" s="404"/>
      <c r="AA4760" s="404"/>
      <c r="AB4760" s="404"/>
      <c r="AC4760" s="404"/>
      <c r="AD4760" s="404"/>
      <c r="AE4760" s="404"/>
      <c r="AF4760" s="404"/>
      <c r="AG4760" s="404"/>
      <c r="AH4760" s="404"/>
      <c r="AI4760" s="404"/>
      <c r="AJ4760" s="404"/>
      <c r="AK4760" s="404"/>
      <c r="AL4760" s="404"/>
      <c r="AM4760" s="404"/>
      <c r="AN4760" s="404"/>
      <c r="AO4760" s="404"/>
      <c r="AP4760" s="404"/>
      <c r="AQ4760" s="404"/>
      <c r="AR4760" s="404"/>
      <c r="AS4760" s="404"/>
      <c r="AT4760" s="404"/>
      <c r="AU4760" s="404"/>
      <c r="AV4760" s="404"/>
      <c r="AW4760" s="404"/>
      <c r="AX4760" s="404"/>
      <c r="AY4760" s="404"/>
      <c r="AZ4760" s="404"/>
      <c r="BA4760" s="404"/>
      <c r="BB4760" s="404"/>
      <c r="BC4760" s="404"/>
      <c r="BD4760" s="404"/>
      <c r="BE4760" s="404"/>
      <c r="BF4760" s="404"/>
      <c r="BG4760" s="404"/>
      <c r="BH4760" s="404"/>
      <c r="BI4760" s="404"/>
      <c r="BJ4760" s="404"/>
      <c r="BK4760" s="404"/>
      <c r="BL4760" s="404"/>
    </row>
    <row r="4761" spans="1:64">
      <c r="A4761" s="454"/>
      <c r="B4761" s="454"/>
      <c r="C4761" s="445" t="s">
        <v>1665</v>
      </c>
      <c r="D4761" s="406">
        <f>6*0.65</f>
        <v>3.9000000000000004</v>
      </c>
      <c r="E4761" s="408" t="s">
        <v>796</v>
      </c>
      <c r="F4761" s="409">
        <f>+'[161]Civil-SOR'!$G$356</f>
        <v>3475.2</v>
      </c>
      <c r="G4761" s="430">
        <v>1</v>
      </c>
      <c r="H4761" s="408" t="s">
        <v>797</v>
      </c>
      <c r="I4761" s="408">
        <f t="shared" si="1020"/>
        <v>13553.28</v>
      </c>
      <c r="J4761" s="400"/>
      <c r="K4761" s="401"/>
      <c r="L4761" s="401"/>
      <c r="M4761" s="404"/>
      <c r="N4761" s="404"/>
      <c r="O4761" s="404"/>
      <c r="P4761" s="404"/>
      <c r="Q4761" s="404"/>
      <c r="R4761" s="404"/>
      <c r="S4761" s="404"/>
      <c r="T4761" s="404"/>
      <c r="U4761" s="404"/>
      <c r="V4761" s="404"/>
      <c r="W4761" s="404"/>
      <c r="X4761" s="404"/>
      <c r="Y4761" s="404"/>
      <c r="Z4761" s="404"/>
      <c r="AA4761" s="404"/>
      <c r="AB4761" s="404"/>
      <c r="AC4761" s="404"/>
      <c r="AD4761" s="404"/>
      <c r="AE4761" s="404"/>
      <c r="AF4761" s="404"/>
      <c r="AG4761" s="404"/>
      <c r="AH4761" s="404"/>
      <c r="AI4761" s="404"/>
      <c r="AJ4761" s="404"/>
      <c r="AK4761" s="404"/>
      <c r="AL4761" s="404"/>
      <c r="AM4761" s="404"/>
      <c r="AN4761" s="404"/>
      <c r="AO4761" s="404"/>
      <c r="AP4761" s="404"/>
      <c r="AQ4761" s="404"/>
      <c r="AR4761" s="404"/>
      <c r="AS4761" s="404"/>
      <c r="AT4761" s="404"/>
      <c r="AU4761" s="404"/>
      <c r="AV4761" s="404"/>
      <c r="AW4761" s="404"/>
      <c r="AX4761" s="404"/>
      <c r="AY4761" s="404"/>
      <c r="AZ4761" s="404"/>
      <c r="BA4761" s="404"/>
      <c r="BB4761" s="404"/>
      <c r="BC4761" s="404"/>
      <c r="BD4761" s="404"/>
      <c r="BE4761" s="404"/>
      <c r="BF4761" s="404"/>
      <c r="BG4761" s="404"/>
      <c r="BH4761" s="404"/>
      <c r="BI4761" s="404"/>
      <c r="BJ4761" s="404"/>
      <c r="BK4761" s="404"/>
      <c r="BL4761" s="404"/>
    </row>
    <row r="4762" spans="1:64">
      <c r="A4762" s="454"/>
      <c r="B4762" s="454"/>
      <c r="C4762" s="445" t="s">
        <v>1666</v>
      </c>
      <c r="D4762" s="409">
        <v>3</v>
      </c>
      <c r="E4762" s="408" t="s">
        <v>796</v>
      </c>
      <c r="F4762" s="408">
        <f>'[161]Civil-SOR'!G357</f>
        <v>769</v>
      </c>
      <c r="G4762" s="430">
        <v>1</v>
      </c>
      <c r="H4762" s="408" t="s">
        <v>797</v>
      </c>
      <c r="I4762" s="408">
        <f t="shared" si="1020"/>
        <v>2307</v>
      </c>
      <c r="J4762" s="400"/>
      <c r="K4762" s="401"/>
      <c r="L4762" s="401"/>
      <c r="M4762" s="404"/>
      <c r="N4762" s="404"/>
      <c r="O4762" s="404"/>
      <c r="P4762" s="404"/>
      <c r="Q4762" s="404"/>
      <c r="R4762" s="404"/>
      <c r="S4762" s="404"/>
      <c r="T4762" s="404"/>
      <c r="U4762" s="404"/>
      <c r="V4762" s="404"/>
      <c r="W4762" s="404"/>
      <c r="X4762" s="404"/>
      <c r="Y4762" s="404"/>
      <c r="Z4762" s="404"/>
      <c r="AA4762" s="404"/>
      <c r="AB4762" s="404"/>
      <c r="AC4762" s="404"/>
      <c r="AD4762" s="404"/>
      <c r="AE4762" s="404"/>
      <c r="AF4762" s="404"/>
      <c r="AG4762" s="404"/>
      <c r="AH4762" s="404"/>
      <c r="AI4762" s="404"/>
      <c r="AJ4762" s="404"/>
      <c r="AK4762" s="404"/>
      <c r="AL4762" s="404"/>
      <c r="AM4762" s="404"/>
      <c r="AN4762" s="404"/>
      <c r="AO4762" s="404"/>
      <c r="AP4762" s="404"/>
      <c r="AQ4762" s="404"/>
      <c r="AR4762" s="404"/>
      <c r="AS4762" s="404"/>
      <c r="AT4762" s="404"/>
      <c r="AU4762" s="404"/>
      <c r="AV4762" s="404"/>
      <c r="AW4762" s="404"/>
      <c r="AX4762" s="404"/>
      <c r="AY4762" s="404"/>
      <c r="AZ4762" s="404"/>
      <c r="BA4762" s="404"/>
      <c r="BB4762" s="404"/>
      <c r="BC4762" s="404"/>
      <c r="BD4762" s="404"/>
      <c r="BE4762" s="404"/>
      <c r="BF4762" s="404"/>
      <c r="BG4762" s="404"/>
      <c r="BH4762" s="404"/>
      <c r="BI4762" s="404"/>
      <c r="BJ4762" s="404"/>
      <c r="BK4762" s="404"/>
      <c r="BL4762" s="404"/>
    </row>
    <row r="4763" spans="1:64" ht="13">
      <c r="A4763" s="454"/>
      <c r="B4763" s="454"/>
      <c r="C4763" s="445"/>
      <c r="D4763" s="409"/>
      <c r="E4763" s="408"/>
      <c r="F4763" s="408"/>
      <c r="G4763" s="416" t="s">
        <v>1656</v>
      </c>
      <c r="H4763" s="408"/>
      <c r="I4763" s="408">
        <f>SUM(I4757:I4762)</f>
        <v>67795.08</v>
      </c>
      <c r="J4763" s="400"/>
      <c r="K4763" s="401"/>
      <c r="L4763" s="401"/>
      <c r="M4763" s="404"/>
      <c r="N4763" s="404"/>
      <c r="O4763" s="404"/>
      <c r="P4763" s="404"/>
      <c r="Q4763" s="404"/>
      <c r="R4763" s="404"/>
      <c r="S4763" s="404"/>
      <c r="T4763" s="404"/>
      <c r="U4763" s="404"/>
      <c r="V4763" s="404"/>
      <c r="W4763" s="404"/>
      <c r="X4763" s="404"/>
      <c r="Y4763" s="404"/>
      <c r="Z4763" s="404"/>
      <c r="AA4763" s="404"/>
      <c r="AB4763" s="404"/>
      <c r="AC4763" s="404"/>
      <c r="AD4763" s="404"/>
      <c r="AE4763" s="404"/>
      <c r="AF4763" s="404"/>
      <c r="AG4763" s="404"/>
      <c r="AH4763" s="404"/>
      <c r="AI4763" s="404"/>
      <c r="AJ4763" s="404"/>
      <c r="AK4763" s="404"/>
      <c r="AL4763" s="404"/>
      <c r="AM4763" s="404"/>
      <c r="AN4763" s="404"/>
      <c r="AO4763" s="404"/>
      <c r="AP4763" s="404"/>
      <c r="AQ4763" s="404"/>
      <c r="AR4763" s="404"/>
      <c r="AS4763" s="404"/>
      <c r="AT4763" s="404"/>
      <c r="AU4763" s="404"/>
      <c r="AV4763" s="404"/>
      <c r="AW4763" s="404"/>
      <c r="AX4763" s="404"/>
      <c r="AY4763" s="404"/>
      <c r="AZ4763" s="404"/>
      <c r="BA4763" s="404"/>
      <c r="BB4763" s="404"/>
      <c r="BC4763" s="404"/>
      <c r="BD4763" s="404"/>
      <c r="BE4763" s="404"/>
      <c r="BF4763" s="404"/>
      <c r="BG4763" s="404"/>
      <c r="BH4763" s="404"/>
      <c r="BI4763" s="404"/>
      <c r="BJ4763" s="404"/>
      <c r="BK4763" s="404"/>
      <c r="BL4763" s="404"/>
    </row>
    <row r="4764" spans="1:64" ht="13">
      <c r="A4764" s="454"/>
      <c r="B4764" s="454"/>
      <c r="C4764" s="427" t="s">
        <v>1667</v>
      </c>
      <c r="D4764" s="408"/>
      <c r="E4764" s="408"/>
      <c r="F4764" s="408"/>
      <c r="G4764" s="430"/>
      <c r="H4764" s="408"/>
      <c r="I4764" s="408"/>
      <c r="J4764" s="400"/>
      <c r="K4764" s="401"/>
      <c r="L4764" s="401"/>
      <c r="M4764" s="404"/>
      <c r="N4764" s="404"/>
      <c r="O4764" s="404"/>
      <c r="P4764" s="404"/>
      <c r="Q4764" s="404"/>
      <c r="R4764" s="404"/>
      <c r="S4764" s="404"/>
      <c r="T4764" s="404"/>
      <c r="U4764" s="404"/>
      <c r="V4764" s="404"/>
      <c r="W4764" s="404"/>
      <c r="X4764" s="404"/>
      <c r="Y4764" s="404"/>
      <c r="Z4764" s="404"/>
      <c r="AA4764" s="404"/>
      <c r="AB4764" s="404"/>
      <c r="AC4764" s="404"/>
      <c r="AD4764" s="404"/>
      <c r="AE4764" s="404"/>
      <c r="AF4764" s="404"/>
      <c r="AG4764" s="404"/>
      <c r="AH4764" s="404"/>
      <c r="AI4764" s="404"/>
      <c r="AJ4764" s="404"/>
      <c r="AK4764" s="404"/>
      <c r="AL4764" s="404"/>
      <c r="AM4764" s="404"/>
      <c r="AN4764" s="404"/>
      <c r="AO4764" s="404"/>
      <c r="AP4764" s="404"/>
      <c r="AQ4764" s="404"/>
      <c r="AR4764" s="404"/>
      <c r="AS4764" s="404"/>
      <c r="AT4764" s="404"/>
      <c r="AU4764" s="404"/>
      <c r="AV4764" s="404"/>
      <c r="AW4764" s="404"/>
      <c r="AX4764" s="404"/>
      <c r="AY4764" s="404"/>
      <c r="AZ4764" s="404"/>
      <c r="BA4764" s="404"/>
      <c r="BB4764" s="404"/>
      <c r="BC4764" s="404"/>
      <c r="BD4764" s="404"/>
      <c r="BE4764" s="404"/>
      <c r="BF4764" s="404"/>
      <c r="BG4764" s="404"/>
      <c r="BH4764" s="404"/>
      <c r="BI4764" s="404"/>
      <c r="BJ4764" s="404"/>
      <c r="BK4764" s="404"/>
      <c r="BL4764" s="404"/>
    </row>
    <row r="4765" spans="1:64" ht="25">
      <c r="A4765" s="454"/>
      <c r="B4765" s="454"/>
      <c r="C4765" s="445" t="s">
        <v>1685</v>
      </c>
      <c r="D4765" s="406">
        <v>89.1</v>
      </c>
      <c r="E4765" s="406" t="s">
        <v>666</v>
      </c>
      <c r="F4765" s="752">
        <f>1184.74*0.3</f>
        <v>355.42199999999997</v>
      </c>
      <c r="G4765" s="406">
        <v>1</v>
      </c>
      <c r="H4765" s="406" t="s">
        <v>666</v>
      </c>
      <c r="I4765" s="406">
        <f>IF(G4765="",D4765*F4765,(D4765*F4765/G4765))</f>
        <v>31668.100199999993</v>
      </c>
      <c r="J4765" s="400"/>
      <c r="K4765" s="401"/>
      <c r="L4765" s="401"/>
      <c r="M4765" s="404"/>
      <c r="N4765" s="404"/>
      <c r="O4765" s="404"/>
      <c r="P4765" s="404"/>
      <c r="Q4765" s="404"/>
      <c r="R4765" s="404"/>
      <c r="S4765" s="404"/>
      <c r="T4765" s="404"/>
      <c r="U4765" s="404"/>
      <c r="V4765" s="404"/>
      <c r="W4765" s="404"/>
      <c r="X4765" s="404"/>
      <c r="Y4765" s="404"/>
      <c r="Z4765" s="404"/>
      <c r="AA4765" s="404"/>
      <c r="AB4765" s="404"/>
      <c r="AC4765" s="404"/>
      <c r="AD4765" s="404"/>
      <c r="AE4765" s="404"/>
      <c r="AF4765" s="404"/>
      <c r="AG4765" s="404"/>
      <c r="AH4765" s="404"/>
      <c r="AI4765" s="404"/>
      <c r="AJ4765" s="404"/>
      <c r="AK4765" s="404"/>
      <c r="AL4765" s="404"/>
      <c r="AM4765" s="404"/>
      <c r="AN4765" s="404"/>
      <c r="AO4765" s="404"/>
      <c r="AP4765" s="404"/>
      <c r="AQ4765" s="404"/>
      <c r="AR4765" s="404"/>
      <c r="AS4765" s="404"/>
      <c r="AT4765" s="404"/>
      <c r="AU4765" s="404"/>
      <c r="AV4765" s="404"/>
      <c r="AW4765" s="404"/>
      <c r="AX4765" s="404"/>
      <c r="AY4765" s="404"/>
      <c r="AZ4765" s="404"/>
      <c r="BA4765" s="404"/>
      <c r="BB4765" s="404"/>
      <c r="BC4765" s="404"/>
      <c r="BD4765" s="404"/>
      <c r="BE4765" s="404"/>
      <c r="BF4765" s="404"/>
      <c r="BG4765" s="404"/>
      <c r="BH4765" s="404"/>
      <c r="BI4765" s="404"/>
      <c r="BJ4765" s="404"/>
      <c r="BK4765" s="404"/>
      <c r="BL4765" s="404"/>
    </row>
    <row r="4766" spans="1:64">
      <c r="A4766" s="454"/>
      <c r="B4766" s="454"/>
      <c r="C4766" s="445" t="s">
        <v>1686</v>
      </c>
      <c r="D4766" s="406"/>
      <c r="E4766" s="406"/>
      <c r="F4766" s="406"/>
      <c r="G4766" s="406"/>
      <c r="H4766" s="406"/>
      <c r="I4766" s="406"/>
      <c r="J4766" s="400"/>
      <c r="K4766" s="401"/>
      <c r="L4766" s="401"/>
      <c r="M4766" s="404"/>
      <c r="N4766" s="404"/>
      <c r="O4766" s="404"/>
      <c r="P4766" s="404"/>
      <c r="Q4766" s="404"/>
      <c r="R4766" s="404"/>
      <c r="S4766" s="404"/>
      <c r="T4766" s="404"/>
      <c r="U4766" s="404"/>
      <c r="V4766" s="404"/>
      <c r="W4766" s="404"/>
      <c r="X4766" s="404"/>
      <c r="Y4766" s="404"/>
      <c r="Z4766" s="404"/>
      <c r="AA4766" s="404"/>
      <c r="AB4766" s="404"/>
      <c r="AC4766" s="404"/>
      <c r="AD4766" s="404"/>
      <c r="AE4766" s="404"/>
      <c r="AF4766" s="404"/>
      <c r="AG4766" s="404"/>
      <c r="AH4766" s="404"/>
      <c r="AI4766" s="404"/>
      <c r="AJ4766" s="404"/>
      <c r="AK4766" s="404"/>
      <c r="AL4766" s="404"/>
      <c r="AM4766" s="404"/>
      <c r="AN4766" s="404"/>
      <c r="AO4766" s="404"/>
      <c r="AP4766" s="404"/>
      <c r="AQ4766" s="404"/>
      <c r="AR4766" s="404"/>
      <c r="AS4766" s="404"/>
      <c r="AT4766" s="404"/>
      <c r="AU4766" s="404"/>
      <c r="AV4766" s="404"/>
      <c r="AW4766" s="404"/>
      <c r="AX4766" s="404"/>
      <c r="AY4766" s="404"/>
      <c r="AZ4766" s="404"/>
      <c r="BA4766" s="404"/>
      <c r="BB4766" s="404"/>
      <c r="BC4766" s="404"/>
      <c r="BD4766" s="404"/>
      <c r="BE4766" s="404"/>
      <c r="BF4766" s="404"/>
      <c r="BG4766" s="404"/>
      <c r="BH4766" s="404"/>
      <c r="BI4766" s="404"/>
      <c r="BJ4766" s="404"/>
      <c r="BK4766" s="404"/>
      <c r="BL4766" s="404"/>
    </row>
    <row r="4767" spans="1:64" ht="25">
      <c r="A4767" s="454"/>
      <c r="B4767" s="454"/>
      <c r="C4767" s="445" t="s">
        <v>1687</v>
      </c>
      <c r="D4767" s="406">
        <v>118.8</v>
      </c>
      <c r="E4767" s="406" t="s">
        <v>666</v>
      </c>
      <c r="F4767" s="752">
        <f>1074.57*0.4</f>
        <v>429.82799999999997</v>
      </c>
      <c r="G4767" s="406">
        <v>1</v>
      </c>
      <c r="H4767" s="406" t="s">
        <v>666</v>
      </c>
      <c r="I4767" s="406">
        <f>IF(G4767="",D4767*F4767,(D4767*F4767/G4767))</f>
        <v>51063.566399999996</v>
      </c>
      <c r="J4767" s="400"/>
      <c r="K4767" s="401"/>
      <c r="L4767" s="401"/>
      <c r="M4767" s="404"/>
      <c r="N4767" s="404"/>
      <c r="O4767" s="404"/>
      <c r="P4767" s="404"/>
      <c r="Q4767" s="404"/>
      <c r="R4767" s="404"/>
      <c r="S4767" s="404"/>
      <c r="T4767" s="404"/>
      <c r="U4767" s="404"/>
      <c r="V4767" s="404"/>
      <c r="W4767" s="404"/>
      <c r="X4767" s="404"/>
      <c r="Y4767" s="404"/>
      <c r="Z4767" s="404"/>
      <c r="AA4767" s="404"/>
      <c r="AB4767" s="404"/>
      <c r="AC4767" s="404"/>
      <c r="AD4767" s="404"/>
      <c r="AE4767" s="404"/>
      <c r="AF4767" s="404"/>
      <c r="AG4767" s="404"/>
      <c r="AH4767" s="404"/>
      <c r="AI4767" s="404"/>
      <c r="AJ4767" s="404"/>
      <c r="AK4767" s="404"/>
      <c r="AL4767" s="404"/>
      <c r="AM4767" s="404"/>
      <c r="AN4767" s="404"/>
      <c r="AO4767" s="404"/>
      <c r="AP4767" s="404"/>
      <c r="AQ4767" s="404"/>
      <c r="AR4767" s="404"/>
      <c r="AS4767" s="404"/>
      <c r="AT4767" s="404"/>
      <c r="AU4767" s="404"/>
      <c r="AV4767" s="404"/>
      <c r="AW4767" s="404"/>
      <c r="AX4767" s="404"/>
      <c r="AY4767" s="404"/>
      <c r="AZ4767" s="404"/>
      <c r="BA4767" s="404"/>
      <c r="BB4767" s="404"/>
      <c r="BC4767" s="404"/>
      <c r="BD4767" s="404"/>
      <c r="BE4767" s="404"/>
      <c r="BF4767" s="404"/>
      <c r="BG4767" s="404"/>
      <c r="BH4767" s="404"/>
      <c r="BI4767" s="404"/>
      <c r="BJ4767" s="404"/>
      <c r="BK4767" s="404"/>
      <c r="BL4767" s="404"/>
    </row>
    <row r="4768" spans="1:64" ht="25">
      <c r="A4768" s="454"/>
      <c r="B4768" s="454"/>
      <c r="C4768" s="445" t="s">
        <v>1688</v>
      </c>
      <c r="D4768" s="406"/>
      <c r="E4768" s="406"/>
      <c r="F4768" s="406"/>
      <c r="G4768" s="406"/>
      <c r="H4768" s="406"/>
      <c r="I4768" s="406"/>
      <c r="J4768" s="400"/>
      <c r="K4768" s="401"/>
      <c r="L4768" s="401"/>
      <c r="M4768" s="404"/>
      <c r="N4768" s="404"/>
      <c r="O4768" s="404"/>
      <c r="P4768" s="404"/>
      <c r="Q4768" s="404"/>
      <c r="R4768" s="404"/>
      <c r="S4768" s="404"/>
      <c r="T4768" s="404"/>
      <c r="U4768" s="404"/>
      <c r="V4768" s="404"/>
      <c r="W4768" s="404"/>
      <c r="X4768" s="404"/>
      <c r="Y4768" s="404"/>
      <c r="Z4768" s="404"/>
      <c r="AA4768" s="404"/>
      <c r="AB4768" s="404"/>
      <c r="AC4768" s="404"/>
      <c r="AD4768" s="404"/>
      <c r="AE4768" s="404"/>
      <c r="AF4768" s="404"/>
      <c r="AG4768" s="404"/>
      <c r="AH4768" s="404"/>
      <c r="AI4768" s="404"/>
      <c r="AJ4768" s="404"/>
      <c r="AK4768" s="404"/>
      <c r="AL4768" s="404"/>
      <c r="AM4768" s="404"/>
      <c r="AN4768" s="404"/>
      <c r="AO4768" s="404"/>
      <c r="AP4768" s="404"/>
      <c r="AQ4768" s="404"/>
      <c r="AR4768" s="404"/>
      <c r="AS4768" s="404"/>
      <c r="AT4768" s="404"/>
      <c r="AU4768" s="404"/>
      <c r="AV4768" s="404"/>
      <c r="AW4768" s="404"/>
      <c r="AX4768" s="404"/>
      <c r="AY4768" s="404"/>
      <c r="AZ4768" s="404"/>
      <c r="BA4768" s="404"/>
      <c r="BB4768" s="404"/>
      <c r="BC4768" s="404"/>
      <c r="BD4768" s="404"/>
      <c r="BE4768" s="404"/>
      <c r="BF4768" s="404"/>
      <c r="BG4768" s="404"/>
      <c r="BH4768" s="404"/>
      <c r="BI4768" s="404"/>
      <c r="BJ4768" s="404"/>
      <c r="BK4768" s="404"/>
      <c r="BL4768" s="404"/>
    </row>
    <row r="4769" spans="1:64" ht="25">
      <c r="A4769" s="454"/>
      <c r="B4769" s="454"/>
      <c r="C4769" s="445" t="s">
        <v>1689</v>
      </c>
      <c r="D4769" s="406">
        <v>89.1</v>
      </c>
      <c r="E4769" s="406" t="s">
        <v>666</v>
      </c>
      <c r="F4769" s="749">
        <v>823.52</v>
      </c>
      <c r="G4769" s="406">
        <v>1</v>
      </c>
      <c r="H4769" s="406" t="s">
        <v>666</v>
      </c>
      <c r="I4769" s="406">
        <f>IF(G4769="",D4769*F4769,(D4769*F4769/G4769))</f>
        <v>73375.631999999998</v>
      </c>
      <c r="J4769" s="400"/>
      <c r="K4769" s="401"/>
      <c r="L4769" s="401"/>
      <c r="M4769" s="404"/>
      <c r="N4769" s="404"/>
      <c r="O4769" s="404"/>
      <c r="P4769" s="404"/>
      <c r="Q4769" s="404"/>
      <c r="R4769" s="404"/>
      <c r="S4769" s="404"/>
      <c r="T4769" s="404"/>
      <c r="U4769" s="404"/>
      <c r="V4769" s="404"/>
      <c r="W4769" s="404"/>
      <c r="X4769" s="404"/>
      <c r="Y4769" s="404"/>
      <c r="Z4769" s="404"/>
      <c r="AA4769" s="404"/>
      <c r="AB4769" s="404"/>
      <c r="AC4769" s="404"/>
      <c r="AD4769" s="404"/>
      <c r="AE4769" s="404"/>
      <c r="AF4769" s="404"/>
      <c r="AG4769" s="404"/>
      <c r="AH4769" s="404"/>
      <c r="AI4769" s="404"/>
      <c r="AJ4769" s="404"/>
      <c r="AK4769" s="404"/>
      <c r="AL4769" s="404"/>
      <c r="AM4769" s="404"/>
      <c r="AN4769" s="404"/>
      <c r="AO4769" s="404"/>
      <c r="AP4769" s="404"/>
      <c r="AQ4769" s="404"/>
      <c r="AR4769" s="404"/>
      <c r="AS4769" s="404"/>
      <c r="AT4769" s="404"/>
      <c r="AU4769" s="404"/>
      <c r="AV4769" s="404"/>
      <c r="AW4769" s="404"/>
      <c r="AX4769" s="404"/>
      <c r="AY4769" s="404"/>
      <c r="AZ4769" s="404"/>
      <c r="BA4769" s="404"/>
      <c r="BB4769" s="404"/>
      <c r="BC4769" s="404"/>
      <c r="BD4769" s="404"/>
      <c r="BE4769" s="404"/>
      <c r="BF4769" s="404"/>
      <c r="BG4769" s="404"/>
      <c r="BH4769" s="404"/>
      <c r="BI4769" s="404"/>
      <c r="BJ4769" s="404"/>
      <c r="BK4769" s="404"/>
      <c r="BL4769" s="404"/>
    </row>
    <row r="4770" spans="1:64" ht="13">
      <c r="A4770" s="454"/>
      <c r="B4770" s="454"/>
      <c r="C4770" s="445"/>
      <c r="D4770" s="406"/>
      <c r="E4770" s="406"/>
      <c r="F4770" s="432"/>
      <c r="G4770" s="416" t="s">
        <v>1656</v>
      </c>
      <c r="H4770" s="406"/>
      <c r="I4770" s="422">
        <f>SUM(I4765:I4769)</f>
        <v>156107.29859999998</v>
      </c>
      <c r="J4770" s="400"/>
      <c r="K4770" s="401"/>
      <c r="L4770" s="401"/>
      <c r="M4770" s="404"/>
      <c r="N4770" s="404"/>
      <c r="O4770" s="404"/>
      <c r="P4770" s="404"/>
      <c r="Q4770" s="404"/>
      <c r="R4770" s="404"/>
      <c r="S4770" s="404"/>
      <c r="T4770" s="404"/>
      <c r="U4770" s="404"/>
      <c r="V4770" s="404"/>
      <c r="W4770" s="404"/>
      <c r="X4770" s="404"/>
      <c r="Y4770" s="404"/>
      <c r="Z4770" s="404"/>
      <c r="AA4770" s="404"/>
      <c r="AB4770" s="404"/>
      <c r="AC4770" s="404"/>
      <c r="AD4770" s="404"/>
      <c r="AE4770" s="404"/>
      <c r="AF4770" s="404"/>
      <c r="AG4770" s="404"/>
      <c r="AH4770" s="404"/>
      <c r="AI4770" s="404"/>
      <c r="AJ4770" s="404"/>
      <c r="AK4770" s="404"/>
      <c r="AL4770" s="404"/>
      <c r="AM4770" s="404"/>
      <c r="AN4770" s="404"/>
      <c r="AO4770" s="404"/>
      <c r="AP4770" s="404"/>
      <c r="AQ4770" s="404"/>
      <c r="AR4770" s="404"/>
      <c r="AS4770" s="404"/>
      <c r="AT4770" s="404"/>
      <c r="AU4770" s="404"/>
      <c r="AV4770" s="404"/>
      <c r="AW4770" s="404"/>
      <c r="AX4770" s="404"/>
      <c r="AY4770" s="404"/>
      <c r="AZ4770" s="404"/>
      <c r="BA4770" s="404"/>
      <c r="BB4770" s="404"/>
      <c r="BC4770" s="404"/>
      <c r="BD4770" s="404"/>
      <c r="BE4770" s="404"/>
      <c r="BF4770" s="404"/>
      <c r="BG4770" s="404"/>
      <c r="BH4770" s="404"/>
      <c r="BI4770" s="404"/>
      <c r="BJ4770" s="404"/>
      <c r="BK4770" s="404"/>
      <c r="BL4770" s="404"/>
    </row>
    <row r="4771" spans="1:64" ht="13">
      <c r="A4771" s="454"/>
      <c r="B4771" s="454"/>
      <c r="C4771" s="445" t="s">
        <v>1690</v>
      </c>
      <c r="D4771" s="406"/>
      <c r="E4771" s="406"/>
      <c r="F4771" s="432"/>
      <c r="G4771" s="416"/>
      <c r="H4771" s="406"/>
      <c r="I4771" s="422"/>
      <c r="J4771" s="400"/>
      <c r="K4771" s="401"/>
      <c r="L4771" s="401"/>
      <c r="M4771" s="404"/>
      <c r="N4771" s="404"/>
      <c r="O4771" s="404"/>
      <c r="P4771" s="404"/>
      <c r="Q4771" s="404"/>
      <c r="R4771" s="404"/>
      <c r="S4771" s="404"/>
      <c r="T4771" s="404"/>
      <c r="U4771" s="404"/>
      <c r="V4771" s="404"/>
      <c r="W4771" s="404"/>
      <c r="X4771" s="404"/>
      <c r="Y4771" s="404"/>
      <c r="Z4771" s="404"/>
      <c r="AA4771" s="404"/>
      <c r="AB4771" s="404"/>
      <c r="AC4771" s="404"/>
      <c r="AD4771" s="404"/>
      <c r="AE4771" s="404"/>
      <c r="AF4771" s="404"/>
      <c r="AG4771" s="404"/>
      <c r="AH4771" s="404"/>
      <c r="AI4771" s="404"/>
      <c r="AJ4771" s="404"/>
      <c r="AK4771" s="404"/>
      <c r="AL4771" s="404"/>
      <c r="AM4771" s="404"/>
      <c r="AN4771" s="404"/>
      <c r="AO4771" s="404"/>
      <c r="AP4771" s="404"/>
      <c r="AQ4771" s="404"/>
      <c r="AR4771" s="404"/>
      <c r="AS4771" s="404"/>
      <c r="AT4771" s="404"/>
      <c r="AU4771" s="404"/>
      <c r="AV4771" s="404"/>
      <c r="AW4771" s="404"/>
      <c r="AX4771" s="404"/>
      <c r="AY4771" s="404"/>
      <c r="AZ4771" s="404"/>
      <c r="BA4771" s="404"/>
      <c r="BB4771" s="404"/>
      <c r="BC4771" s="404"/>
      <c r="BD4771" s="404"/>
      <c r="BE4771" s="404"/>
      <c r="BF4771" s="404"/>
      <c r="BG4771" s="404"/>
      <c r="BH4771" s="404"/>
      <c r="BI4771" s="404"/>
      <c r="BJ4771" s="404"/>
      <c r="BK4771" s="404"/>
      <c r="BL4771" s="404"/>
    </row>
    <row r="4772" spans="1:64" ht="25">
      <c r="A4772" s="454"/>
      <c r="B4772" s="454"/>
      <c r="C4772" s="445" t="s">
        <v>1691</v>
      </c>
      <c r="D4772" s="406">
        <f>5/100</f>
        <v>0.05</v>
      </c>
      <c r="E4772" s="406"/>
      <c r="F4772" s="406">
        <f>I4770+I4763+I4755</f>
        <v>233007.9786</v>
      </c>
      <c r="G4772" s="416"/>
      <c r="H4772" s="406"/>
      <c r="I4772" s="406">
        <f>IF(G4772="",D4772*F4772,(D4772*F4772/G4772))</f>
        <v>11650.398930000001</v>
      </c>
      <c r="J4772" s="400"/>
      <c r="K4772" s="401"/>
      <c r="L4772" s="401"/>
      <c r="M4772" s="404"/>
      <c r="N4772" s="404"/>
      <c r="O4772" s="404"/>
      <c r="P4772" s="404"/>
      <c r="Q4772" s="404"/>
      <c r="R4772" s="404"/>
      <c r="S4772" s="404"/>
      <c r="T4772" s="404"/>
      <c r="U4772" s="404"/>
      <c r="V4772" s="404"/>
      <c r="W4772" s="404"/>
      <c r="X4772" s="404"/>
      <c r="Y4772" s="404"/>
      <c r="Z4772" s="404"/>
      <c r="AA4772" s="404"/>
      <c r="AB4772" s="404"/>
      <c r="AC4772" s="404"/>
      <c r="AD4772" s="404"/>
      <c r="AE4772" s="404"/>
      <c r="AF4772" s="404"/>
      <c r="AG4772" s="404"/>
      <c r="AH4772" s="404"/>
      <c r="AI4772" s="404"/>
      <c r="AJ4772" s="404"/>
      <c r="AK4772" s="404"/>
      <c r="AL4772" s="404"/>
      <c r="AM4772" s="404"/>
      <c r="AN4772" s="404"/>
      <c r="AO4772" s="404"/>
      <c r="AP4772" s="404"/>
      <c r="AQ4772" s="404"/>
      <c r="AR4772" s="404"/>
      <c r="AS4772" s="404"/>
      <c r="AT4772" s="404"/>
      <c r="AU4772" s="404"/>
      <c r="AV4772" s="404"/>
      <c r="AW4772" s="404"/>
      <c r="AX4772" s="404"/>
      <c r="AY4772" s="404"/>
      <c r="AZ4772" s="404"/>
      <c r="BA4772" s="404"/>
      <c r="BB4772" s="404"/>
      <c r="BC4772" s="404"/>
      <c r="BD4772" s="404"/>
      <c r="BE4772" s="404"/>
      <c r="BF4772" s="404"/>
      <c r="BG4772" s="404"/>
      <c r="BH4772" s="404"/>
      <c r="BI4772" s="404"/>
      <c r="BJ4772" s="404"/>
      <c r="BK4772" s="404"/>
      <c r="BL4772" s="404"/>
    </row>
    <row r="4773" spans="1:64" ht="13">
      <c r="A4773" s="454"/>
      <c r="B4773" s="454"/>
      <c r="C4773" s="427"/>
      <c r="D4773" s="406"/>
      <c r="E4773" s="406"/>
      <c r="F4773" s="432"/>
      <c r="G4773" s="416"/>
      <c r="H4773" s="406"/>
      <c r="I4773" s="422"/>
      <c r="J4773" s="400"/>
      <c r="K4773" s="401"/>
      <c r="L4773" s="401"/>
      <c r="M4773" s="404"/>
      <c r="N4773" s="404"/>
      <c r="O4773" s="404"/>
      <c r="P4773" s="404"/>
      <c r="Q4773" s="404"/>
      <c r="R4773" s="404"/>
      <c r="S4773" s="404"/>
      <c r="T4773" s="404"/>
      <c r="U4773" s="404"/>
      <c r="V4773" s="404"/>
      <c r="W4773" s="404"/>
      <c r="X4773" s="404"/>
      <c r="Y4773" s="404"/>
      <c r="Z4773" s="404"/>
      <c r="AA4773" s="404"/>
      <c r="AB4773" s="404"/>
      <c r="AC4773" s="404"/>
      <c r="AD4773" s="404"/>
      <c r="AE4773" s="404"/>
      <c r="AF4773" s="404"/>
      <c r="AG4773" s="404"/>
      <c r="AH4773" s="404"/>
      <c r="AI4773" s="404"/>
      <c r="AJ4773" s="404"/>
      <c r="AK4773" s="404"/>
      <c r="AL4773" s="404"/>
      <c r="AM4773" s="404"/>
      <c r="AN4773" s="404"/>
      <c r="AO4773" s="404"/>
      <c r="AP4773" s="404"/>
      <c r="AQ4773" s="404"/>
      <c r="AR4773" s="404"/>
      <c r="AS4773" s="404"/>
      <c r="AT4773" s="404"/>
      <c r="AU4773" s="404"/>
      <c r="AV4773" s="404"/>
      <c r="AW4773" s="404"/>
      <c r="AX4773" s="404"/>
      <c r="AY4773" s="404"/>
      <c r="AZ4773" s="404"/>
      <c r="BA4773" s="404"/>
      <c r="BB4773" s="404"/>
      <c r="BC4773" s="404"/>
      <c r="BD4773" s="404"/>
      <c r="BE4773" s="404"/>
      <c r="BF4773" s="404"/>
      <c r="BG4773" s="404"/>
      <c r="BH4773" s="404"/>
      <c r="BI4773" s="404"/>
      <c r="BJ4773" s="404"/>
      <c r="BK4773" s="404"/>
      <c r="BL4773" s="404"/>
    </row>
    <row r="4774" spans="1:64" ht="13">
      <c r="A4774" s="454"/>
      <c r="B4774" s="454"/>
      <c r="C4774" s="445" t="s">
        <v>1673</v>
      </c>
      <c r="D4774" s="406"/>
      <c r="E4774" s="406"/>
      <c r="F4774" s="432"/>
      <c r="G4774" s="416"/>
      <c r="H4774" s="406"/>
      <c r="I4774" s="422">
        <f>I4772+I4770+I4763+I4755</f>
        <v>244658.37752999997</v>
      </c>
      <c r="J4774" s="400"/>
      <c r="K4774" s="401"/>
      <c r="L4774" s="401"/>
      <c r="M4774" s="404"/>
      <c r="N4774" s="404"/>
      <c r="O4774" s="404"/>
      <c r="P4774" s="404"/>
      <c r="Q4774" s="404"/>
      <c r="R4774" s="404"/>
      <c r="S4774" s="404"/>
      <c r="T4774" s="404"/>
      <c r="U4774" s="404"/>
      <c r="V4774" s="404"/>
      <c r="W4774" s="404"/>
      <c r="X4774" s="404"/>
      <c r="Y4774" s="404"/>
      <c r="Z4774" s="404"/>
      <c r="AA4774" s="404"/>
      <c r="AB4774" s="404"/>
      <c r="AC4774" s="404"/>
      <c r="AD4774" s="404"/>
      <c r="AE4774" s="404"/>
      <c r="AF4774" s="404"/>
      <c r="AG4774" s="404"/>
      <c r="AH4774" s="404"/>
      <c r="AI4774" s="404"/>
      <c r="AJ4774" s="404"/>
      <c r="AK4774" s="404"/>
      <c r="AL4774" s="404"/>
      <c r="AM4774" s="404"/>
      <c r="AN4774" s="404"/>
      <c r="AO4774" s="404"/>
      <c r="AP4774" s="404"/>
      <c r="AQ4774" s="404"/>
      <c r="AR4774" s="404"/>
      <c r="AS4774" s="404"/>
      <c r="AT4774" s="404"/>
      <c r="AU4774" s="404"/>
      <c r="AV4774" s="404"/>
      <c r="AW4774" s="404"/>
      <c r="AX4774" s="404"/>
      <c r="AY4774" s="404"/>
      <c r="AZ4774" s="404"/>
      <c r="BA4774" s="404"/>
      <c r="BB4774" s="404"/>
      <c r="BC4774" s="404"/>
      <c r="BD4774" s="404"/>
      <c r="BE4774" s="404"/>
      <c r="BF4774" s="404"/>
      <c r="BG4774" s="404"/>
      <c r="BH4774" s="404"/>
      <c r="BI4774" s="404"/>
      <c r="BJ4774" s="404"/>
      <c r="BK4774" s="404"/>
      <c r="BL4774" s="404"/>
    </row>
    <row r="4775" spans="1:64" ht="13">
      <c r="A4775" s="454"/>
      <c r="B4775" s="454"/>
      <c r="C4775" s="417" t="s">
        <v>1692</v>
      </c>
      <c r="D4775" s="406">
        <f>10/100</f>
        <v>0.1</v>
      </c>
      <c r="E4775" s="406"/>
      <c r="F4775" s="406">
        <f>I4774</f>
        <v>244658.37752999997</v>
      </c>
      <c r="G4775" s="416"/>
      <c r="H4775" s="406"/>
      <c r="I4775" s="406">
        <f>IF(G4775="",D4775*F4775,(D4775*F4775/G4775))</f>
        <v>24465.837753</v>
      </c>
      <c r="J4775" s="400"/>
      <c r="K4775" s="401"/>
      <c r="L4775" s="401"/>
      <c r="M4775" s="404"/>
      <c r="N4775" s="404"/>
      <c r="O4775" s="404"/>
      <c r="P4775" s="404"/>
      <c r="Q4775" s="404"/>
      <c r="R4775" s="404"/>
      <c r="S4775" s="404"/>
      <c r="T4775" s="404"/>
      <c r="U4775" s="404"/>
      <c r="V4775" s="404"/>
      <c r="W4775" s="404"/>
      <c r="X4775" s="404"/>
      <c r="Y4775" s="404"/>
      <c r="Z4775" s="404"/>
      <c r="AA4775" s="404"/>
      <c r="AB4775" s="404"/>
      <c r="AC4775" s="404"/>
      <c r="AD4775" s="404"/>
      <c r="AE4775" s="404"/>
      <c r="AF4775" s="404"/>
      <c r="AG4775" s="404"/>
      <c r="AH4775" s="404"/>
      <c r="AI4775" s="404"/>
      <c r="AJ4775" s="404"/>
      <c r="AK4775" s="404"/>
      <c r="AL4775" s="404"/>
      <c r="AM4775" s="404"/>
      <c r="AN4775" s="404"/>
      <c r="AO4775" s="404"/>
      <c r="AP4775" s="404"/>
      <c r="AQ4775" s="404"/>
      <c r="AR4775" s="404"/>
      <c r="AS4775" s="404"/>
      <c r="AT4775" s="404"/>
      <c r="AU4775" s="404"/>
      <c r="AV4775" s="404"/>
      <c r="AW4775" s="404"/>
      <c r="AX4775" s="404"/>
      <c r="AY4775" s="404"/>
      <c r="AZ4775" s="404"/>
      <c r="BA4775" s="404"/>
      <c r="BB4775" s="404"/>
      <c r="BC4775" s="404"/>
      <c r="BD4775" s="404"/>
      <c r="BE4775" s="404"/>
      <c r="BF4775" s="404"/>
      <c r="BG4775" s="404"/>
      <c r="BH4775" s="404"/>
      <c r="BI4775" s="404"/>
      <c r="BJ4775" s="404"/>
      <c r="BK4775" s="404"/>
      <c r="BL4775" s="404"/>
    </row>
    <row r="4776" spans="1:64" ht="13">
      <c r="A4776" s="454"/>
      <c r="B4776" s="454"/>
      <c r="C4776" s="435" t="s">
        <v>1693</v>
      </c>
      <c r="D4776" s="408"/>
      <c r="E4776" s="408"/>
      <c r="F4776" s="408"/>
      <c r="G4776" s="408"/>
      <c r="H4776" s="408"/>
      <c r="I4776" s="414">
        <f>SUM(I4774:I4775)</f>
        <v>269124.21528299997</v>
      </c>
      <c r="J4776" s="400"/>
      <c r="K4776" s="401"/>
      <c r="L4776" s="401"/>
      <c r="M4776" s="404"/>
      <c r="N4776" s="404"/>
      <c r="O4776" s="404"/>
      <c r="P4776" s="404"/>
      <c r="Q4776" s="404"/>
      <c r="R4776" s="404"/>
      <c r="S4776" s="404"/>
      <c r="T4776" s="404"/>
      <c r="U4776" s="404"/>
      <c r="V4776" s="404"/>
      <c r="W4776" s="404"/>
      <c r="X4776" s="404"/>
      <c r="Y4776" s="404"/>
      <c r="Z4776" s="404"/>
      <c r="AA4776" s="404"/>
      <c r="AB4776" s="404"/>
      <c r="AC4776" s="404"/>
      <c r="AD4776" s="404"/>
      <c r="AE4776" s="404"/>
      <c r="AF4776" s="404"/>
      <c r="AG4776" s="404"/>
      <c r="AH4776" s="404"/>
      <c r="AI4776" s="404"/>
      <c r="AJ4776" s="404"/>
      <c r="AK4776" s="404"/>
      <c r="AL4776" s="404"/>
      <c r="AM4776" s="404"/>
      <c r="AN4776" s="404"/>
      <c r="AO4776" s="404"/>
      <c r="AP4776" s="404"/>
      <c r="AQ4776" s="404"/>
      <c r="AR4776" s="404"/>
      <c r="AS4776" s="404"/>
      <c r="AT4776" s="404"/>
      <c r="AU4776" s="404"/>
      <c r="AV4776" s="404"/>
      <c r="AW4776" s="404"/>
      <c r="AX4776" s="404"/>
      <c r="AY4776" s="404"/>
      <c r="AZ4776" s="404"/>
      <c r="BA4776" s="404"/>
      <c r="BB4776" s="404"/>
      <c r="BC4776" s="404"/>
      <c r="BD4776" s="404"/>
      <c r="BE4776" s="404"/>
      <c r="BF4776" s="404"/>
      <c r="BG4776" s="404"/>
      <c r="BH4776" s="404"/>
      <c r="BI4776" s="404"/>
      <c r="BJ4776" s="404"/>
      <c r="BK4776" s="404"/>
      <c r="BL4776" s="404"/>
    </row>
    <row r="4777" spans="1:64" ht="13">
      <c r="A4777" s="454"/>
      <c r="B4777" s="454"/>
      <c r="C4777" s="427" t="s">
        <v>724</v>
      </c>
      <c r="D4777" s="408"/>
      <c r="E4777" s="408"/>
      <c r="F4777" s="408"/>
      <c r="G4777" s="430"/>
      <c r="H4777" s="414"/>
      <c r="I4777" s="414">
        <f>I4776/225</f>
        <v>1196.1076234799998</v>
      </c>
      <c r="J4777" s="400"/>
      <c r="K4777" s="401"/>
      <c r="L4777" s="401"/>
      <c r="M4777" s="404"/>
      <c r="N4777" s="404"/>
      <c r="O4777" s="404"/>
      <c r="P4777" s="404"/>
      <c r="Q4777" s="404"/>
      <c r="R4777" s="404"/>
      <c r="S4777" s="404"/>
      <c r="T4777" s="404"/>
      <c r="U4777" s="404"/>
      <c r="V4777" s="404"/>
      <c r="W4777" s="404"/>
      <c r="X4777" s="404"/>
      <c r="Y4777" s="404"/>
      <c r="Z4777" s="404"/>
      <c r="AA4777" s="404"/>
      <c r="AB4777" s="404"/>
      <c r="AC4777" s="404"/>
      <c r="AD4777" s="404"/>
      <c r="AE4777" s="404"/>
      <c r="AF4777" s="404"/>
      <c r="AG4777" s="404"/>
      <c r="AH4777" s="404"/>
      <c r="AI4777" s="404"/>
      <c r="AJ4777" s="404"/>
      <c r="AK4777" s="404"/>
      <c r="AL4777" s="404"/>
      <c r="AM4777" s="404"/>
      <c r="AN4777" s="404"/>
      <c r="AO4777" s="404"/>
      <c r="AP4777" s="404"/>
      <c r="AQ4777" s="404"/>
      <c r="AR4777" s="404"/>
      <c r="AS4777" s="404"/>
      <c r="AT4777" s="404"/>
      <c r="AU4777" s="404"/>
      <c r="AV4777" s="404"/>
      <c r="AW4777" s="404"/>
      <c r="AX4777" s="404"/>
      <c r="AY4777" s="404"/>
      <c r="AZ4777" s="404"/>
      <c r="BA4777" s="404"/>
      <c r="BB4777" s="404"/>
      <c r="BC4777" s="404"/>
      <c r="BD4777" s="404"/>
      <c r="BE4777" s="404"/>
      <c r="BF4777" s="404"/>
      <c r="BG4777" s="404"/>
      <c r="BH4777" s="404"/>
      <c r="BI4777" s="404"/>
      <c r="BJ4777" s="404"/>
      <c r="BK4777" s="404"/>
      <c r="BL4777" s="404"/>
    </row>
    <row r="4778" spans="1:64" ht="13">
      <c r="A4778" s="454"/>
      <c r="B4778" s="454"/>
      <c r="C4778" s="427"/>
      <c r="D4778" s="408"/>
      <c r="E4778" s="408"/>
      <c r="F4778" s="408"/>
      <c r="G4778" s="430"/>
      <c r="H4778" s="415" t="s">
        <v>774</v>
      </c>
      <c r="I4778" s="416">
        <f>ROUND(I4777,0)</f>
        <v>1196</v>
      </c>
      <c r="J4778" s="400"/>
      <c r="K4778" s="401"/>
      <c r="L4778" s="401"/>
      <c r="M4778" s="404"/>
      <c r="N4778" s="404"/>
      <c r="O4778" s="404"/>
      <c r="P4778" s="404"/>
      <c r="Q4778" s="404"/>
      <c r="R4778" s="404"/>
      <c r="S4778" s="404"/>
      <c r="T4778" s="404"/>
      <c r="U4778" s="404"/>
      <c r="V4778" s="404"/>
      <c r="W4778" s="404"/>
      <c r="X4778" s="404"/>
      <c r="Y4778" s="404"/>
      <c r="Z4778" s="404"/>
      <c r="AA4778" s="404"/>
      <c r="AB4778" s="404"/>
      <c r="AC4778" s="404"/>
      <c r="AD4778" s="404"/>
      <c r="AE4778" s="404"/>
      <c r="AF4778" s="404"/>
      <c r="AG4778" s="404"/>
      <c r="AH4778" s="404"/>
      <c r="AI4778" s="404"/>
      <c r="AJ4778" s="404"/>
      <c r="AK4778" s="404"/>
      <c r="AL4778" s="404"/>
      <c r="AM4778" s="404"/>
      <c r="AN4778" s="404"/>
      <c r="AO4778" s="404"/>
      <c r="AP4778" s="404"/>
      <c r="AQ4778" s="404"/>
      <c r="AR4778" s="404"/>
      <c r="AS4778" s="404"/>
      <c r="AT4778" s="404"/>
      <c r="AU4778" s="404"/>
      <c r="AV4778" s="404"/>
      <c r="AW4778" s="404"/>
      <c r="AX4778" s="404"/>
      <c r="AY4778" s="404"/>
      <c r="AZ4778" s="404"/>
      <c r="BA4778" s="404"/>
      <c r="BB4778" s="404"/>
      <c r="BC4778" s="404"/>
      <c r="BD4778" s="404"/>
      <c r="BE4778" s="404"/>
      <c r="BF4778" s="404"/>
      <c r="BG4778" s="404"/>
      <c r="BH4778" s="404"/>
      <c r="BI4778" s="404"/>
      <c r="BJ4778" s="404"/>
      <c r="BK4778" s="404"/>
      <c r="BL4778" s="404"/>
    </row>
    <row r="4779" spans="1:64" ht="115" customHeight="1">
      <c r="A4779" s="410">
        <f>A4746+1</f>
        <v>31</v>
      </c>
      <c r="B4779" s="747" t="s">
        <v>1694</v>
      </c>
      <c r="C4779" s="1291" t="s">
        <v>1695</v>
      </c>
      <c r="D4779" s="1291"/>
      <c r="E4779" s="1291"/>
      <c r="F4779" s="1291"/>
      <c r="G4779" s="1291"/>
      <c r="H4779" s="1291"/>
      <c r="I4779" s="1291"/>
      <c r="J4779" s="400"/>
      <c r="K4779" s="401"/>
      <c r="L4779" s="401"/>
      <c r="M4779" s="404"/>
      <c r="N4779" s="404"/>
      <c r="O4779" s="404"/>
      <c r="P4779" s="404"/>
      <c r="Q4779" s="404"/>
      <c r="R4779" s="404"/>
      <c r="S4779" s="404"/>
      <c r="T4779" s="404"/>
      <c r="U4779" s="404"/>
      <c r="V4779" s="404"/>
      <c r="W4779" s="404"/>
      <c r="X4779" s="404"/>
      <c r="Y4779" s="404"/>
      <c r="Z4779" s="404"/>
      <c r="AA4779" s="404"/>
      <c r="AB4779" s="404"/>
      <c r="AC4779" s="404"/>
      <c r="AD4779" s="404"/>
      <c r="AE4779" s="404"/>
      <c r="AF4779" s="404"/>
      <c r="AG4779" s="404"/>
      <c r="AH4779" s="404"/>
      <c r="AI4779" s="404"/>
      <c r="AJ4779" s="404"/>
      <c r="AK4779" s="404"/>
      <c r="AL4779" s="404"/>
      <c r="AM4779" s="404"/>
      <c r="AN4779" s="404"/>
      <c r="AO4779" s="404"/>
      <c r="AP4779" s="404"/>
      <c r="AQ4779" s="404"/>
      <c r="AR4779" s="404"/>
      <c r="AS4779" s="404"/>
      <c r="AT4779" s="404"/>
      <c r="AU4779" s="404"/>
      <c r="AV4779" s="404"/>
      <c r="AW4779" s="404"/>
      <c r="AX4779" s="404"/>
      <c r="AY4779" s="404"/>
      <c r="AZ4779" s="404"/>
      <c r="BA4779" s="404"/>
      <c r="BB4779" s="404"/>
      <c r="BC4779" s="404"/>
      <c r="BD4779" s="404"/>
      <c r="BE4779" s="404"/>
      <c r="BF4779" s="404"/>
      <c r="BG4779" s="404"/>
      <c r="BH4779" s="404"/>
      <c r="BI4779" s="404"/>
      <c r="BJ4779" s="404"/>
      <c r="BK4779" s="404"/>
      <c r="BL4779" s="404"/>
    </row>
    <row r="4780" spans="1:64" ht="13">
      <c r="A4780" s="426"/>
      <c r="B4780" s="426"/>
      <c r="C4780" s="473" t="s">
        <v>1659</v>
      </c>
      <c r="D4780" s="409"/>
      <c r="E4780" s="426"/>
      <c r="F4780" s="409"/>
      <c r="G4780" s="410"/>
      <c r="H4780" s="426"/>
      <c r="I4780" s="409"/>
      <c r="J4780" s="400"/>
      <c r="K4780" s="401"/>
      <c r="L4780" s="401"/>
      <c r="M4780" s="404"/>
      <c r="N4780" s="404"/>
      <c r="O4780" s="404"/>
      <c r="P4780" s="404"/>
      <c r="Q4780" s="404"/>
      <c r="R4780" s="404"/>
      <c r="S4780" s="404"/>
      <c r="T4780" s="404"/>
      <c r="U4780" s="404"/>
      <c r="V4780" s="404"/>
      <c r="W4780" s="404"/>
      <c r="X4780" s="404"/>
      <c r="Y4780" s="404"/>
      <c r="Z4780" s="404"/>
      <c r="AA4780" s="404"/>
      <c r="AB4780" s="404"/>
      <c r="AC4780" s="404"/>
      <c r="AD4780" s="404"/>
      <c r="AE4780" s="404"/>
      <c r="AF4780" s="404"/>
      <c r="AG4780" s="404"/>
      <c r="AH4780" s="404"/>
      <c r="AI4780" s="404"/>
      <c r="AJ4780" s="404"/>
      <c r="AK4780" s="404"/>
      <c r="AL4780" s="404"/>
      <c r="AM4780" s="404"/>
      <c r="AN4780" s="404"/>
      <c r="AO4780" s="404"/>
      <c r="AP4780" s="404"/>
      <c r="AQ4780" s="404"/>
      <c r="AR4780" s="404"/>
      <c r="AS4780" s="404"/>
      <c r="AT4780" s="404"/>
      <c r="AU4780" s="404"/>
      <c r="AV4780" s="404"/>
      <c r="AW4780" s="404"/>
      <c r="AX4780" s="404"/>
      <c r="AY4780" s="404"/>
      <c r="AZ4780" s="404"/>
      <c r="BA4780" s="404"/>
      <c r="BB4780" s="404"/>
      <c r="BC4780" s="404"/>
      <c r="BD4780" s="404"/>
      <c r="BE4780" s="404"/>
      <c r="BF4780" s="404"/>
      <c r="BG4780" s="404"/>
      <c r="BH4780" s="404"/>
      <c r="BI4780" s="404"/>
      <c r="BJ4780" s="404"/>
      <c r="BK4780" s="404"/>
      <c r="BL4780" s="404"/>
    </row>
    <row r="4781" spans="1:64">
      <c r="A4781" s="426"/>
      <c r="B4781" s="426"/>
      <c r="C4781" s="417" t="s">
        <v>1600</v>
      </c>
      <c r="D4781" s="409"/>
      <c r="E4781" s="426"/>
      <c r="F4781" s="409"/>
      <c r="G4781" s="410"/>
      <c r="H4781" s="426"/>
      <c r="I4781" s="409"/>
      <c r="J4781" s="400"/>
      <c r="K4781" s="401"/>
      <c r="L4781" s="401"/>
      <c r="M4781" s="404"/>
      <c r="N4781" s="404"/>
      <c r="O4781" s="404"/>
      <c r="P4781" s="404"/>
      <c r="Q4781" s="404"/>
      <c r="R4781" s="404"/>
      <c r="S4781" s="404"/>
      <c r="T4781" s="404"/>
      <c r="U4781" s="404"/>
      <c r="V4781" s="404"/>
      <c r="W4781" s="404"/>
      <c r="X4781" s="404"/>
      <c r="Y4781" s="404"/>
      <c r="Z4781" s="404"/>
      <c r="AA4781" s="404"/>
      <c r="AB4781" s="404"/>
      <c r="AC4781" s="404"/>
      <c r="AD4781" s="404"/>
      <c r="AE4781" s="404"/>
      <c r="AF4781" s="404"/>
      <c r="AG4781" s="404"/>
      <c r="AH4781" s="404"/>
      <c r="AI4781" s="404"/>
      <c r="AJ4781" s="404"/>
      <c r="AK4781" s="404"/>
      <c r="AL4781" s="404"/>
      <c r="AM4781" s="404"/>
      <c r="AN4781" s="404"/>
      <c r="AO4781" s="404"/>
      <c r="AP4781" s="404"/>
      <c r="AQ4781" s="404"/>
      <c r="AR4781" s="404"/>
      <c r="AS4781" s="404"/>
      <c r="AT4781" s="404"/>
      <c r="AU4781" s="404"/>
      <c r="AV4781" s="404"/>
      <c r="AW4781" s="404"/>
      <c r="AX4781" s="404"/>
      <c r="AY4781" s="404"/>
      <c r="AZ4781" s="404"/>
      <c r="BA4781" s="404"/>
      <c r="BB4781" s="404"/>
      <c r="BC4781" s="404"/>
      <c r="BD4781" s="404"/>
      <c r="BE4781" s="404"/>
      <c r="BF4781" s="404"/>
      <c r="BG4781" s="404"/>
      <c r="BH4781" s="404"/>
      <c r="BI4781" s="404"/>
      <c r="BJ4781" s="404"/>
      <c r="BK4781" s="404"/>
      <c r="BL4781" s="404"/>
    </row>
    <row r="4782" spans="1:64" ht="13">
      <c r="A4782" s="426"/>
      <c r="B4782" s="426"/>
      <c r="C4782" s="427" t="s">
        <v>1601</v>
      </c>
      <c r="D4782" s="409"/>
      <c r="E4782" s="426"/>
      <c r="F4782" s="409"/>
      <c r="G4782" s="410"/>
      <c r="H4782" s="426"/>
      <c r="I4782" s="409"/>
      <c r="J4782" s="400"/>
      <c r="K4782" s="401"/>
      <c r="L4782" s="401"/>
      <c r="M4782" s="404"/>
      <c r="N4782" s="404"/>
      <c r="O4782" s="404"/>
      <c r="P4782" s="404"/>
      <c r="Q4782" s="404"/>
      <c r="R4782" s="404"/>
      <c r="S4782" s="404"/>
      <c r="T4782" s="404"/>
      <c r="U4782" s="404"/>
      <c r="V4782" s="404"/>
      <c r="W4782" s="404"/>
      <c r="X4782" s="404"/>
      <c r="Y4782" s="404"/>
      <c r="Z4782" s="404"/>
      <c r="AA4782" s="404"/>
      <c r="AB4782" s="404"/>
      <c r="AC4782" s="404"/>
      <c r="AD4782" s="404"/>
      <c r="AE4782" s="404"/>
      <c r="AF4782" s="404"/>
      <c r="AG4782" s="404"/>
      <c r="AH4782" s="404"/>
      <c r="AI4782" s="404"/>
      <c r="AJ4782" s="404"/>
      <c r="AK4782" s="404"/>
      <c r="AL4782" s="404"/>
      <c r="AM4782" s="404"/>
      <c r="AN4782" s="404"/>
      <c r="AO4782" s="404"/>
      <c r="AP4782" s="404"/>
      <c r="AQ4782" s="404"/>
      <c r="AR4782" s="404"/>
      <c r="AS4782" s="404"/>
      <c r="AT4782" s="404"/>
      <c r="AU4782" s="404"/>
      <c r="AV4782" s="404"/>
      <c r="AW4782" s="404"/>
      <c r="AX4782" s="404"/>
      <c r="AY4782" s="404"/>
      <c r="AZ4782" s="404"/>
      <c r="BA4782" s="404"/>
      <c r="BB4782" s="404"/>
      <c r="BC4782" s="404"/>
      <c r="BD4782" s="404"/>
      <c r="BE4782" s="404"/>
      <c r="BF4782" s="404"/>
      <c r="BG4782" s="404"/>
      <c r="BH4782" s="404"/>
      <c r="BI4782" s="404"/>
      <c r="BJ4782" s="404"/>
      <c r="BK4782" s="404"/>
      <c r="BL4782" s="404"/>
    </row>
    <row r="4783" spans="1:64" ht="13">
      <c r="A4783" s="426"/>
      <c r="B4783" s="426"/>
      <c r="C4783" s="417" t="s">
        <v>1696</v>
      </c>
      <c r="D4783" s="409"/>
      <c r="E4783" s="426"/>
      <c r="F4783" s="409"/>
      <c r="G4783" s="410"/>
      <c r="H4783" s="426"/>
      <c r="I4783" s="408"/>
      <c r="J4783" s="400"/>
      <c r="K4783" s="401"/>
      <c r="L4783" s="401"/>
      <c r="M4783" s="404"/>
      <c r="N4783" s="404"/>
      <c r="O4783" s="404"/>
      <c r="P4783" s="404"/>
      <c r="Q4783" s="404"/>
      <c r="R4783" s="404"/>
      <c r="S4783" s="404"/>
      <c r="T4783" s="404"/>
      <c r="U4783" s="404"/>
      <c r="V4783" s="404"/>
      <c r="W4783" s="404"/>
      <c r="X4783" s="404"/>
      <c r="Y4783" s="404"/>
      <c r="Z4783" s="404"/>
      <c r="AA4783" s="404"/>
      <c r="AB4783" s="404"/>
      <c r="AC4783" s="404"/>
      <c r="AD4783" s="404"/>
      <c r="AE4783" s="404"/>
      <c r="AF4783" s="404"/>
      <c r="AG4783" s="404"/>
      <c r="AH4783" s="404"/>
      <c r="AI4783" s="404"/>
      <c r="AJ4783" s="404"/>
      <c r="AK4783" s="404"/>
      <c r="AL4783" s="404"/>
      <c r="AM4783" s="404"/>
      <c r="AN4783" s="404"/>
      <c r="AO4783" s="404"/>
      <c r="AP4783" s="404"/>
      <c r="AQ4783" s="404"/>
      <c r="AR4783" s="404"/>
      <c r="AS4783" s="404"/>
      <c r="AT4783" s="404"/>
      <c r="AU4783" s="404"/>
      <c r="AV4783" s="404"/>
      <c r="AW4783" s="404"/>
      <c r="AX4783" s="404"/>
      <c r="AY4783" s="404"/>
      <c r="AZ4783" s="404"/>
      <c r="BA4783" s="404"/>
      <c r="BB4783" s="404"/>
      <c r="BC4783" s="404"/>
      <c r="BD4783" s="404"/>
      <c r="BE4783" s="404"/>
      <c r="BF4783" s="404"/>
      <c r="BG4783" s="404"/>
      <c r="BH4783" s="404"/>
      <c r="BI4783" s="404"/>
      <c r="BJ4783" s="404"/>
      <c r="BK4783" s="404"/>
      <c r="BL4783" s="404"/>
    </row>
    <row r="4784" spans="1:64">
      <c r="A4784" s="426"/>
      <c r="B4784" s="426"/>
      <c r="C4784" s="417" t="s">
        <v>1603</v>
      </c>
      <c r="D4784" s="409"/>
      <c r="E4784" s="426" t="s">
        <v>555</v>
      </c>
      <c r="F4784" s="409" t="s">
        <v>1604</v>
      </c>
      <c r="G4784" s="410"/>
      <c r="H4784" s="426"/>
      <c r="I4784" s="408"/>
      <c r="J4784" s="400"/>
      <c r="K4784" s="401"/>
      <c r="L4784" s="401"/>
      <c r="M4784" s="404"/>
      <c r="N4784" s="404"/>
      <c r="O4784" s="404"/>
      <c r="P4784" s="404"/>
      <c r="Q4784" s="404"/>
      <c r="R4784" s="404"/>
      <c r="S4784" s="404"/>
      <c r="T4784" s="404"/>
      <c r="U4784" s="404"/>
      <c r="V4784" s="404"/>
      <c r="W4784" s="404"/>
      <c r="X4784" s="404"/>
      <c r="Y4784" s="404"/>
      <c r="Z4784" s="404"/>
      <c r="AA4784" s="404"/>
      <c r="AB4784" s="404"/>
      <c r="AC4784" s="404"/>
      <c r="AD4784" s="404"/>
      <c r="AE4784" s="404"/>
      <c r="AF4784" s="404"/>
      <c r="AG4784" s="404"/>
      <c r="AH4784" s="404"/>
      <c r="AI4784" s="404"/>
      <c r="AJ4784" s="404"/>
      <c r="AK4784" s="404"/>
      <c r="AL4784" s="404"/>
      <c r="AM4784" s="404"/>
      <c r="AN4784" s="404"/>
      <c r="AO4784" s="404"/>
      <c r="AP4784" s="404"/>
      <c r="AQ4784" s="404"/>
      <c r="AR4784" s="404"/>
      <c r="AS4784" s="404"/>
      <c r="AT4784" s="404"/>
      <c r="AU4784" s="404"/>
      <c r="AV4784" s="404"/>
      <c r="AW4784" s="404"/>
      <c r="AX4784" s="404"/>
      <c r="AY4784" s="404"/>
      <c r="AZ4784" s="404"/>
      <c r="BA4784" s="404"/>
      <c r="BB4784" s="404"/>
      <c r="BC4784" s="404"/>
      <c r="BD4784" s="404"/>
      <c r="BE4784" s="404"/>
      <c r="BF4784" s="404"/>
      <c r="BG4784" s="404"/>
      <c r="BH4784" s="404"/>
      <c r="BI4784" s="404"/>
      <c r="BJ4784" s="404"/>
      <c r="BK4784" s="404"/>
      <c r="BL4784" s="404"/>
    </row>
    <row r="4785" spans="1:64">
      <c r="A4785" s="426"/>
      <c r="B4785" s="426"/>
      <c r="C4785" s="417" t="s">
        <v>1697</v>
      </c>
      <c r="D4785" s="409">
        <v>5</v>
      </c>
      <c r="E4785" s="426" t="s">
        <v>555</v>
      </c>
      <c r="F4785" s="409">
        <f>'[161]Civil-SOR'!$G$293</f>
        <v>580</v>
      </c>
      <c r="G4785" s="426">
        <v>1</v>
      </c>
      <c r="H4785" s="410" t="s">
        <v>555</v>
      </c>
      <c r="I4785" s="409">
        <f t="shared" ref="I4785:I4791" si="1021">ROUND(F4785*D4785/G4785,2)</f>
        <v>2900</v>
      </c>
      <c r="J4785" s="400"/>
      <c r="K4785" s="401"/>
      <c r="L4785" s="401"/>
      <c r="M4785" s="404"/>
      <c r="N4785" s="404"/>
      <c r="O4785" s="404"/>
      <c r="P4785" s="404"/>
      <c r="Q4785" s="404"/>
      <c r="R4785" s="404"/>
      <c r="S4785" s="404"/>
      <c r="T4785" s="404"/>
      <c r="U4785" s="404"/>
      <c r="V4785" s="404"/>
      <c r="W4785" s="404"/>
      <c r="X4785" s="404"/>
      <c r="Y4785" s="404"/>
      <c r="Z4785" s="404"/>
      <c r="AA4785" s="404"/>
      <c r="AB4785" s="404"/>
      <c r="AC4785" s="404"/>
      <c r="AD4785" s="404"/>
      <c r="AE4785" s="404"/>
      <c r="AF4785" s="404"/>
      <c r="AG4785" s="404"/>
      <c r="AH4785" s="404"/>
      <c r="AI4785" s="404"/>
      <c r="AJ4785" s="404"/>
      <c r="AK4785" s="404"/>
      <c r="AL4785" s="404"/>
      <c r="AM4785" s="404"/>
      <c r="AN4785" s="404"/>
      <c r="AO4785" s="404"/>
      <c r="AP4785" s="404"/>
      <c r="AQ4785" s="404"/>
      <c r="AR4785" s="404"/>
      <c r="AS4785" s="404"/>
      <c r="AT4785" s="404"/>
      <c r="AU4785" s="404"/>
      <c r="AV4785" s="404"/>
      <c r="AW4785" s="404"/>
      <c r="AX4785" s="404"/>
      <c r="AY4785" s="404"/>
      <c r="AZ4785" s="404"/>
      <c r="BA4785" s="404"/>
      <c r="BB4785" s="404"/>
      <c r="BC4785" s="404"/>
      <c r="BD4785" s="404"/>
      <c r="BE4785" s="404"/>
      <c r="BF4785" s="404"/>
      <c r="BG4785" s="404"/>
      <c r="BH4785" s="404"/>
      <c r="BI4785" s="404"/>
      <c r="BJ4785" s="404"/>
      <c r="BK4785" s="404"/>
      <c r="BL4785" s="404"/>
    </row>
    <row r="4786" spans="1:64">
      <c r="A4786" s="426"/>
      <c r="B4786" s="426"/>
      <c r="C4786" s="417" t="s">
        <v>1606</v>
      </c>
      <c r="D4786" s="409">
        <v>5</v>
      </c>
      <c r="E4786" s="426" t="s">
        <v>555</v>
      </c>
      <c r="F4786" s="409">
        <f>'[161]Civil-SOR'!$G$302</f>
        <v>550</v>
      </c>
      <c r="G4786" s="426">
        <v>1</v>
      </c>
      <c r="H4786" s="410" t="s">
        <v>555</v>
      </c>
      <c r="I4786" s="409">
        <f t="shared" si="1021"/>
        <v>2750</v>
      </c>
      <c r="J4786" s="400"/>
      <c r="K4786" s="401"/>
      <c r="L4786" s="401"/>
      <c r="M4786" s="404"/>
      <c r="N4786" s="404"/>
      <c r="O4786" s="404"/>
      <c r="P4786" s="404"/>
      <c r="Q4786" s="404"/>
      <c r="R4786" s="404"/>
      <c r="S4786" s="404"/>
      <c r="T4786" s="404"/>
      <c r="U4786" s="404"/>
      <c r="V4786" s="404"/>
      <c r="W4786" s="404"/>
      <c r="X4786" s="404"/>
      <c r="Y4786" s="404"/>
      <c r="Z4786" s="404"/>
      <c r="AA4786" s="404"/>
      <c r="AB4786" s="404"/>
      <c r="AC4786" s="404"/>
      <c r="AD4786" s="404"/>
      <c r="AE4786" s="404"/>
      <c r="AF4786" s="404"/>
      <c r="AG4786" s="404"/>
      <c r="AH4786" s="404"/>
      <c r="AI4786" s="404"/>
      <c r="AJ4786" s="404"/>
      <c r="AK4786" s="404"/>
      <c r="AL4786" s="404"/>
      <c r="AM4786" s="404"/>
      <c r="AN4786" s="404"/>
      <c r="AO4786" s="404"/>
      <c r="AP4786" s="404"/>
      <c r="AQ4786" s="404"/>
      <c r="AR4786" s="404"/>
      <c r="AS4786" s="404"/>
      <c r="AT4786" s="404"/>
      <c r="AU4786" s="404"/>
      <c r="AV4786" s="404"/>
      <c r="AW4786" s="404"/>
      <c r="AX4786" s="404"/>
      <c r="AY4786" s="404"/>
      <c r="AZ4786" s="404"/>
      <c r="BA4786" s="404"/>
      <c r="BB4786" s="404"/>
      <c r="BC4786" s="404"/>
      <c r="BD4786" s="404"/>
      <c r="BE4786" s="404"/>
      <c r="BF4786" s="404"/>
      <c r="BG4786" s="404"/>
      <c r="BH4786" s="404"/>
      <c r="BI4786" s="404"/>
      <c r="BJ4786" s="404"/>
      <c r="BK4786" s="404"/>
      <c r="BL4786" s="404"/>
    </row>
    <row r="4787" spans="1:64">
      <c r="A4787" s="426"/>
      <c r="B4787" s="426"/>
      <c r="C4787" s="417" t="s">
        <v>903</v>
      </c>
      <c r="D4787" s="409">
        <v>150</v>
      </c>
      <c r="E4787" s="426" t="s">
        <v>555</v>
      </c>
      <c r="F4787" s="432">
        <f>'[161]Civil-SOR'!$G$307</f>
        <v>520</v>
      </c>
      <c r="G4787" s="426">
        <v>1</v>
      </c>
      <c r="H4787" s="410" t="s">
        <v>555</v>
      </c>
      <c r="I4787" s="409">
        <f t="shared" si="1021"/>
        <v>78000</v>
      </c>
      <c r="J4787" s="400"/>
      <c r="K4787" s="401"/>
      <c r="L4787" s="401"/>
      <c r="M4787" s="404"/>
      <c r="N4787" s="404"/>
      <c r="O4787" s="404"/>
      <c r="P4787" s="404"/>
      <c r="Q4787" s="404"/>
      <c r="R4787" s="404"/>
      <c r="S4787" s="404"/>
      <c r="T4787" s="404"/>
      <c r="U4787" s="404"/>
      <c r="V4787" s="404"/>
      <c r="W4787" s="404"/>
      <c r="X4787" s="404"/>
      <c r="Y4787" s="404"/>
      <c r="Z4787" s="404"/>
      <c r="AA4787" s="404"/>
      <c r="AB4787" s="404"/>
      <c r="AC4787" s="404"/>
      <c r="AD4787" s="404"/>
      <c r="AE4787" s="404"/>
      <c r="AF4787" s="404"/>
      <c r="AG4787" s="404"/>
      <c r="AH4787" s="404"/>
      <c r="AI4787" s="404"/>
      <c r="AJ4787" s="404"/>
      <c r="AK4787" s="404"/>
      <c r="AL4787" s="404"/>
      <c r="AM4787" s="404"/>
      <c r="AN4787" s="404"/>
      <c r="AO4787" s="404"/>
      <c r="AP4787" s="404"/>
      <c r="AQ4787" s="404"/>
      <c r="AR4787" s="404"/>
      <c r="AS4787" s="404"/>
      <c r="AT4787" s="404"/>
      <c r="AU4787" s="404"/>
      <c r="AV4787" s="404"/>
      <c r="AW4787" s="404"/>
      <c r="AX4787" s="404"/>
      <c r="AY4787" s="404"/>
      <c r="AZ4787" s="404"/>
      <c r="BA4787" s="404"/>
      <c r="BB4787" s="404"/>
      <c r="BC4787" s="404"/>
      <c r="BD4787" s="404"/>
      <c r="BE4787" s="404"/>
      <c r="BF4787" s="404"/>
      <c r="BG4787" s="404"/>
      <c r="BH4787" s="404"/>
      <c r="BI4787" s="404"/>
      <c r="BJ4787" s="404"/>
      <c r="BK4787" s="404"/>
      <c r="BL4787" s="404"/>
    </row>
    <row r="4788" spans="1:64">
      <c r="A4788" s="426"/>
      <c r="B4788" s="426"/>
      <c r="C4788" s="417" t="s">
        <v>1607</v>
      </c>
      <c r="D4788" s="409">
        <v>6</v>
      </c>
      <c r="E4788" s="426" t="s">
        <v>555</v>
      </c>
      <c r="F4788" s="432">
        <f>'[161]Civil-SOR'!$G$307</f>
        <v>520</v>
      </c>
      <c r="G4788" s="426">
        <v>1</v>
      </c>
      <c r="H4788" s="410" t="s">
        <v>555</v>
      </c>
      <c r="I4788" s="409">
        <f t="shared" si="1021"/>
        <v>3120</v>
      </c>
      <c r="J4788" s="400"/>
      <c r="K4788" s="401"/>
      <c r="L4788" s="401"/>
      <c r="M4788" s="404"/>
      <c r="N4788" s="404"/>
      <c r="O4788" s="404"/>
      <c r="P4788" s="404"/>
      <c r="Q4788" s="404"/>
      <c r="R4788" s="404"/>
      <c r="S4788" s="404"/>
      <c r="T4788" s="404"/>
      <c r="U4788" s="404"/>
      <c r="V4788" s="404"/>
      <c r="W4788" s="404"/>
      <c r="X4788" s="404"/>
      <c r="Y4788" s="404"/>
      <c r="Z4788" s="404"/>
      <c r="AA4788" s="404"/>
      <c r="AB4788" s="404"/>
      <c r="AC4788" s="404"/>
      <c r="AD4788" s="404"/>
      <c r="AE4788" s="404"/>
      <c r="AF4788" s="404"/>
      <c r="AG4788" s="404"/>
      <c r="AH4788" s="404"/>
      <c r="AI4788" s="404"/>
      <c r="AJ4788" s="404"/>
      <c r="AK4788" s="404"/>
      <c r="AL4788" s="404"/>
      <c r="AM4788" s="404"/>
      <c r="AN4788" s="404"/>
      <c r="AO4788" s="404"/>
      <c r="AP4788" s="404"/>
      <c r="AQ4788" s="404"/>
      <c r="AR4788" s="404"/>
      <c r="AS4788" s="404"/>
      <c r="AT4788" s="404"/>
      <c r="AU4788" s="404"/>
      <c r="AV4788" s="404"/>
      <c r="AW4788" s="404"/>
      <c r="AX4788" s="404"/>
      <c r="AY4788" s="404"/>
      <c r="AZ4788" s="404"/>
      <c r="BA4788" s="404"/>
      <c r="BB4788" s="404"/>
      <c r="BC4788" s="404"/>
      <c r="BD4788" s="404"/>
      <c r="BE4788" s="404"/>
      <c r="BF4788" s="404"/>
      <c r="BG4788" s="404"/>
      <c r="BH4788" s="404"/>
      <c r="BI4788" s="404"/>
      <c r="BJ4788" s="404"/>
      <c r="BK4788" s="404"/>
      <c r="BL4788" s="404"/>
    </row>
    <row r="4789" spans="1:64">
      <c r="A4789" s="426"/>
      <c r="B4789" s="426"/>
      <c r="C4789" s="417" t="s">
        <v>1698</v>
      </c>
      <c r="D4789" s="409">
        <v>2</v>
      </c>
      <c r="E4789" s="426" t="s">
        <v>555</v>
      </c>
      <c r="F4789" s="409">
        <v>985</v>
      </c>
      <c r="G4789" s="426">
        <v>1</v>
      </c>
      <c r="H4789" s="410" t="s">
        <v>555</v>
      </c>
      <c r="I4789" s="409">
        <f t="shared" si="1021"/>
        <v>1970</v>
      </c>
      <c r="J4789" s="400"/>
      <c r="K4789" s="401"/>
      <c r="L4789" s="401"/>
      <c r="M4789" s="404"/>
      <c r="N4789" s="404"/>
      <c r="O4789" s="404"/>
      <c r="P4789" s="404"/>
      <c r="Q4789" s="404"/>
      <c r="R4789" s="404"/>
      <c r="S4789" s="404"/>
      <c r="T4789" s="404"/>
      <c r="U4789" s="404"/>
      <c r="V4789" s="404"/>
      <c r="W4789" s="404"/>
      <c r="X4789" s="404"/>
      <c r="Y4789" s="404"/>
      <c r="Z4789" s="404"/>
      <c r="AA4789" s="404"/>
      <c r="AB4789" s="404"/>
      <c r="AC4789" s="404"/>
      <c r="AD4789" s="404"/>
      <c r="AE4789" s="404"/>
      <c r="AF4789" s="404"/>
      <c r="AG4789" s="404"/>
      <c r="AH4789" s="404"/>
      <c r="AI4789" s="404"/>
      <c r="AJ4789" s="404"/>
      <c r="AK4789" s="404"/>
      <c r="AL4789" s="404"/>
      <c r="AM4789" s="404"/>
      <c r="AN4789" s="404"/>
      <c r="AO4789" s="404"/>
      <c r="AP4789" s="404"/>
      <c r="AQ4789" s="404"/>
      <c r="AR4789" s="404"/>
      <c r="AS4789" s="404"/>
      <c r="AT4789" s="404"/>
      <c r="AU4789" s="404"/>
      <c r="AV4789" s="404"/>
      <c r="AW4789" s="404"/>
      <c r="AX4789" s="404"/>
      <c r="AY4789" s="404"/>
      <c r="AZ4789" s="404"/>
      <c r="BA4789" s="404"/>
      <c r="BB4789" s="404"/>
      <c r="BC4789" s="404"/>
      <c r="BD4789" s="404"/>
      <c r="BE4789" s="404"/>
      <c r="BF4789" s="404"/>
      <c r="BG4789" s="404"/>
      <c r="BH4789" s="404"/>
      <c r="BI4789" s="404"/>
      <c r="BJ4789" s="404"/>
      <c r="BK4789" s="404"/>
      <c r="BL4789" s="404"/>
    </row>
    <row r="4790" spans="1:64">
      <c r="A4790" s="426"/>
      <c r="B4790" s="426"/>
      <c r="C4790" s="417" t="s">
        <v>1699</v>
      </c>
      <c r="D4790" s="409">
        <v>6</v>
      </c>
      <c r="E4790" s="426" t="s">
        <v>555</v>
      </c>
      <c r="F4790" s="432">
        <f>'[161]Civil-SOR'!$G$307</f>
        <v>520</v>
      </c>
      <c r="G4790" s="426">
        <v>1</v>
      </c>
      <c r="H4790" s="410" t="s">
        <v>555</v>
      </c>
      <c r="I4790" s="409">
        <f t="shared" si="1021"/>
        <v>3120</v>
      </c>
      <c r="J4790" s="400"/>
      <c r="K4790" s="401"/>
      <c r="L4790" s="401"/>
      <c r="M4790" s="404"/>
      <c r="N4790" s="404"/>
      <c r="O4790" s="404"/>
      <c r="P4790" s="404"/>
      <c r="Q4790" s="404"/>
      <c r="R4790" s="404"/>
      <c r="S4790" s="404"/>
      <c r="T4790" s="404"/>
      <c r="U4790" s="404"/>
      <c r="V4790" s="404"/>
      <c r="W4790" s="404"/>
      <c r="X4790" s="404"/>
      <c r="Y4790" s="404"/>
      <c r="Z4790" s="404"/>
      <c r="AA4790" s="404"/>
      <c r="AB4790" s="404"/>
      <c r="AC4790" s="404"/>
      <c r="AD4790" s="404"/>
      <c r="AE4790" s="404"/>
      <c r="AF4790" s="404"/>
      <c r="AG4790" s="404"/>
      <c r="AH4790" s="404"/>
      <c r="AI4790" s="404"/>
      <c r="AJ4790" s="404"/>
      <c r="AK4790" s="404"/>
      <c r="AL4790" s="404"/>
      <c r="AM4790" s="404"/>
      <c r="AN4790" s="404"/>
      <c r="AO4790" s="404"/>
      <c r="AP4790" s="404"/>
      <c r="AQ4790" s="404"/>
      <c r="AR4790" s="404"/>
      <c r="AS4790" s="404"/>
      <c r="AT4790" s="404"/>
      <c r="AU4790" s="404"/>
      <c r="AV4790" s="404"/>
      <c r="AW4790" s="404"/>
      <c r="AX4790" s="404"/>
      <c r="AY4790" s="404"/>
      <c r="AZ4790" s="404"/>
      <c r="BA4790" s="404"/>
      <c r="BB4790" s="404"/>
      <c r="BC4790" s="404"/>
      <c r="BD4790" s="404"/>
      <c r="BE4790" s="404"/>
      <c r="BF4790" s="404"/>
      <c r="BG4790" s="404"/>
      <c r="BH4790" s="404"/>
      <c r="BI4790" s="404"/>
      <c r="BJ4790" s="404"/>
      <c r="BK4790" s="404"/>
      <c r="BL4790" s="404"/>
    </row>
    <row r="4791" spans="1:64" ht="37.5">
      <c r="A4791" s="426"/>
      <c r="B4791" s="426"/>
      <c r="C4791" s="417" t="s">
        <v>1700</v>
      </c>
      <c r="D4791" s="409">
        <v>1</v>
      </c>
      <c r="E4791" s="426" t="s">
        <v>555</v>
      </c>
      <c r="F4791" s="409">
        <f>'[161]Civil-SOR'!$G$289</f>
        <v>575</v>
      </c>
      <c r="G4791" s="426">
        <v>1</v>
      </c>
      <c r="H4791" s="410" t="s">
        <v>555</v>
      </c>
      <c r="I4791" s="409">
        <f t="shared" si="1021"/>
        <v>575</v>
      </c>
      <c r="J4791" s="400"/>
      <c r="K4791" s="401"/>
      <c r="L4791" s="401"/>
      <c r="M4791" s="404"/>
      <c r="N4791" s="404"/>
      <c r="O4791" s="404"/>
      <c r="P4791" s="404"/>
      <c r="Q4791" s="404"/>
      <c r="R4791" s="404"/>
      <c r="S4791" s="404"/>
      <c r="T4791" s="404"/>
      <c r="U4791" s="404"/>
      <c r="V4791" s="404"/>
      <c r="W4791" s="404"/>
      <c r="X4791" s="404"/>
      <c r="Y4791" s="404"/>
      <c r="Z4791" s="404"/>
      <c r="AA4791" s="404"/>
      <c r="AB4791" s="404"/>
      <c r="AC4791" s="404"/>
      <c r="AD4791" s="404"/>
      <c r="AE4791" s="404"/>
      <c r="AF4791" s="404"/>
      <c r="AG4791" s="404"/>
      <c r="AH4791" s="404"/>
      <c r="AI4791" s="404"/>
      <c r="AJ4791" s="404"/>
      <c r="AK4791" s="404"/>
      <c r="AL4791" s="404"/>
      <c r="AM4791" s="404"/>
      <c r="AN4791" s="404"/>
      <c r="AO4791" s="404"/>
      <c r="AP4791" s="404"/>
      <c r="AQ4791" s="404"/>
      <c r="AR4791" s="404"/>
      <c r="AS4791" s="404"/>
      <c r="AT4791" s="404"/>
      <c r="AU4791" s="404"/>
      <c r="AV4791" s="404"/>
      <c r="AW4791" s="404"/>
      <c r="AX4791" s="404"/>
      <c r="AY4791" s="404"/>
      <c r="AZ4791" s="404"/>
      <c r="BA4791" s="404"/>
      <c r="BB4791" s="404"/>
      <c r="BC4791" s="404"/>
      <c r="BD4791" s="404"/>
      <c r="BE4791" s="404"/>
      <c r="BF4791" s="404"/>
      <c r="BG4791" s="404"/>
      <c r="BH4791" s="404"/>
      <c r="BI4791" s="404"/>
      <c r="BJ4791" s="404"/>
      <c r="BK4791" s="404"/>
      <c r="BL4791" s="404"/>
    </row>
    <row r="4792" spans="1:64">
      <c r="A4792" s="426"/>
      <c r="B4792" s="426"/>
      <c r="C4792" s="417" t="str">
        <f>[161]Input!$C$47</f>
        <v>Add for MA @ 40%</v>
      </c>
      <c r="D4792" s="746">
        <f>[161]Input!$D$47</f>
        <v>0.4</v>
      </c>
      <c r="E4792" s="426"/>
      <c r="F4792" s="409">
        <f>SUM(I4785:I4791)</f>
        <v>92435</v>
      </c>
      <c r="G4792" s="426"/>
      <c r="H4792" s="410"/>
      <c r="I4792" s="409">
        <f>ROUND(F4792*D4792,2)</f>
        <v>36974</v>
      </c>
      <c r="J4792" s="400"/>
      <c r="K4792" s="401"/>
      <c r="L4792" s="401"/>
      <c r="M4792" s="404"/>
      <c r="N4792" s="404"/>
      <c r="O4792" s="404"/>
      <c r="P4792" s="404"/>
      <c r="Q4792" s="404"/>
      <c r="R4792" s="404"/>
      <c r="S4792" s="404"/>
      <c r="T4792" s="404"/>
      <c r="U4792" s="404"/>
      <c r="V4792" s="404"/>
      <c r="W4792" s="404"/>
      <c r="X4792" s="404"/>
      <c r="Y4792" s="404"/>
      <c r="Z4792" s="404"/>
      <c r="AA4792" s="404"/>
      <c r="AB4792" s="404"/>
      <c r="AC4792" s="404"/>
      <c r="AD4792" s="404"/>
      <c r="AE4792" s="404"/>
      <c r="AF4792" s="404"/>
      <c r="AG4792" s="404"/>
      <c r="AH4792" s="404"/>
      <c r="AI4792" s="404"/>
      <c r="AJ4792" s="404"/>
      <c r="AK4792" s="404"/>
      <c r="AL4792" s="404"/>
      <c r="AM4792" s="404"/>
      <c r="AN4792" s="404"/>
      <c r="AO4792" s="404"/>
      <c r="AP4792" s="404"/>
      <c r="AQ4792" s="404"/>
      <c r="AR4792" s="404"/>
      <c r="AS4792" s="404"/>
      <c r="AT4792" s="404"/>
      <c r="AU4792" s="404"/>
      <c r="AV4792" s="404"/>
      <c r="AW4792" s="404"/>
      <c r="AX4792" s="404"/>
      <c r="AY4792" s="404"/>
      <c r="AZ4792" s="404"/>
      <c r="BA4792" s="404"/>
      <c r="BB4792" s="404"/>
      <c r="BC4792" s="404"/>
      <c r="BD4792" s="404"/>
      <c r="BE4792" s="404"/>
      <c r="BF4792" s="404"/>
      <c r="BG4792" s="404"/>
      <c r="BH4792" s="404"/>
      <c r="BI4792" s="404"/>
      <c r="BJ4792" s="404"/>
      <c r="BK4792" s="404"/>
      <c r="BL4792" s="404"/>
    </row>
    <row r="4793" spans="1:64">
      <c r="A4793" s="426"/>
      <c r="B4793" s="426"/>
      <c r="C4793" s="417" t="s">
        <v>794</v>
      </c>
      <c r="D4793" s="409"/>
      <c r="E4793" s="426"/>
      <c r="F4793" s="409"/>
      <c r="G4793" s="426"/>
      <c r="H4793" s="410"/>
      <c r="I4793" s="409"/>
      <c r="J4793" s="400"/>
      <c r="K4793" s="401"/>
      <c r="L4793" s="401"/>
      <c r="M4793" s="404"/>
      <c r="N4793" s="404"/>
      <c r="O4793" s="404"/>
      <c r="P4793" s="404"/>
      <c r="Q4793" s="404"/>
      <c r="R4793" s="404"/>
      <c r="S4793" s="404"/>
      <c r="T4793" s="404"/>
      <c r="U4793" s="404"/>
      <c r="V4793" s="404"/>
      <c r="W4793" s="404"/>
      <c r="X4793" s="404"/>
      <c r="Y4793" s="404"/>
      <c r="Z4793" s="404"/>
      <c r="AA4793" s="404"/>
      <c r="AB4793" s="404"/>
      <c r="AC4793" s="404"/>
      <c r="AD4793" s="404"/>
      <c r="AE4793" s="404"/>
      <c r="AF4793" s="404"/>
      <c r="AG4793" s="404"/>
      <c r="AH4793" s="404"/>
      <c r="AI4793" s="404"/>
      <c r="AJ4793" s="404"/>
      <c r="AK4793" s="404"/>
      <c r="AL4793" s="404"/>
      <c r="AM4793" s="404"/>
      <c r="AN4793" s="404"/>
      <c r="AO4793" s="404"/>
      <c r="AP4793" s="404"/>
      <c r="AQ4793" s="404"/>
      <c r="AR4793" s="404"/>
      <c r="AS4793" s="404"/>
      <c r="AT4793" s="404"/>
      <c r="AU4793" s="404"/>
      <c r="AV4793" s="404"/>
      <c r="AW4793" s="404"/>
      <c r="AX4793" s="404"/>
      <c r="AY4793" s="404"/>
      <c r="AZ4793" s="404"/>
      <c r="BA4793" s="404"/>
      <c r="BB4793" s="404"/>
      <c r="BC4793" s="404"/>
      <c r="BD4793" s="404"/>
      <c r="BE4793" s="404"/>
      <c r="BF4793" s="404"/>
      <c r="BG4793" s="404"/>
      <c r="BH4793" s="404"/>
      <c r="BI4793" s="404"/>
      <c r="BJ4793" s="404"/>
      <c r="BK4793" s="404"/>
      <c r="BL4793" s="404"/>
    </row>
    <row r="4794" spans="1:64" ht="37.5">
      <c r="A4794" s="426"/>
      <c r="B4794" s="426"/>
      <c r="C4794" s="417" t="s">
        <v>1609</v>
      </c>
      <c r="D4794" s="409">
        <v>36</v>
      </c>
      <c r="E4794" s="426" t="s">
        <v>826</v>
      </c>
      <c r="F4794" s="409">
        <f>'[161]Civil-SOR'!G330</f>
        <v>192.9</v>
      </c>
      <c r="G4794" s="426">
        <v>1</v>
      </c>
      <c r="H4794" s="410" t="s">
        <v>826</v>
      </c>
      <c r="I4794" s="409">
        <f t="shared" ref="I4794:I4795" si="1022">ROUND(F4794*D4794/G4794,2)</f>
        <v>6944.4</v>
      </c>
      <c r="J4794" s="400"/>
      <c r="K4794" s="401"/>
      <c r="L4794" s="401"/>
      <c r="M4794" s="404"/>
      <c r="N4794" s="404"/>
      <c r="O4794" s="404"/>
      <c r="P4794" s="404"/>
      <c r="Q4794" s="404"/>
      <c r="R4794" s="404"/>
      <c r="S4794" s="404"/>
      <c r="T4794" s="404"/>
      <c r="U4794" s="404"/>
      <c r="V4794" s="404"/>
      <c r="W4794" s="404"/>
      <c r="X4794" s="404"/>
      <c r="Y4794" s="404"/>
      <c r="Z4794" s="404"/>
      <c r="AA4794" s="404"/>
      <c r="AB4794" s="404"/>
      <c r="AC4794" s="404"/>
      <c r="AD4794" s="404"/>
      <c r="AE4794" s="404"/>
      <c r="AF4794" s="404"/>
      <c r="AG4794" s="404"/>
      <c r="AH4794" s="404"/>
      <c r="AI4794" s="404"/>
      <c r="AJ4794" s="404"/>
      <c r="AK4794" s="404"/>
      <c r="AL4794" s="404"/>
      <c r="AM4794" s="404"/>
      <c r="AN4794" s="404"/>
      <c r="AO4794" s="404"/>
      <c r="AP4794" s="404"/>
      <c r="AQ4794" s="404"/>
      <c r="AR4794" s="404"/>
      <c r="AS4794" s="404"/>
      <c r="AT4794" s="404"/>
      <c r="AU4794" s="404"/>
      <c r="AV4794" s="404"/>
      <c r="AW4794" s="404"/>
      <c r="AX4794" s="404"/>
      <c r="AY4794" s="404"/>
      <c r="AZ4794" s="404"/>
      <c r="BA4794" s="404"/>
      <c r="BB4794" s="404"/>
      <c r="BC4794" s="404"/>
      <c r="BD4794" s="404"/>
      <c r="BE4794" s="404"/>
      <c r="BF4794" s="404"/>
      <c r="BG4794" s="404"/>
      <c r="BH4794" s="404"/>
      <c r="BI4794" s="404"/>
      <c r="BJ4794" s="404"/>
      <c r="BK4794" s="404"/>
      <c r="BL4794" s="404"/>
    </row>
    <row r="4795" spans="1:64">
      <c r="A4795" s="426"/>
      <c r="B4795" s="426"/>
      <c r="C4795" s="417" t="s">
        <v>1701</v>
      </c>
      <c r="D4795" s="409">
        <v>36</v>
      </c>
      <c r="E4795" s="426" t="s">
        <v>826</v>
      </c>
      <c r="F4795" s="409">
        <f>'[161]Civil-SOR'!J330</f>
        <v>302.89999999999998</v>
      </c>
      <c r="G4795" s="426">
        <v>1</v>
      </c>
      <c r="H4795" s="410" t="s">
        <v>826</v>
      </c>
      <c r="I4795" s="409">
        <f t="shared" si="1022"/>
        <v>10904.4</v>
      </c>
      <c r="J4795" s="400"/>
      <c r="K4795" s="401"/>
      <c r="L4795" s="401"/>
      <c r="M4795" s="404"/>
      <c r="N4795" s="404"/>
      <c r="O4795" s="404"/>
      <c r="P4795" s="404"/>
      <c r="Q4795" s="404"/>
      <c r="R4795" s="404"/>
      <c r="S4795" s="404"/>
      <c r="T4795" s="404"/>
      <c r="U4795" s="404"/>
      <c r="V4795" s="404"/>
      <c r="W4795" s="404"/>
      <c r="X4795" s="404"/>
      <c r="Y4795" s="404"/>
      <c r="Z4795" s="404"/>
      <c r="AA4795" s="404"/>
      <c r="AB4795" s="404"/>
      <c r="AC4795" s="404"/>
      <c r="AD4795" s="404"/>
      <c r="AE4795" s="404"/>
      <c r="AF4795" s="404"/>
      <c r="AG4795" s="404"/>
      <c r="AH4795" s="404"/>
      <c r="AI4795" s="404"/>
      <c r="AJ4795" s="404"/>
      <c r="AK4795" s="404"/>
      <c r="AL4795" s="404"/>
      <c r="AM4795" s="404"/>
      <c r="AN4795" s="404"/>
      <c r="AO4795" s="404"/>
      <c r="AP4795" s="404"/>
      <c r="AQ4795" s="404"/>
      <c r="AR4795" s="404"/>
      <c r="AS4795" s="404"/>
      <c r="AT4795" s="404"/>
      <c r="AU4795" s="404"/>
      <c r="AV4795" s="404"/>
      <c r="AW4795" s="404"/>
      <c r="AX4795" s="404"/>
      <c r="AY4795" s="404"/>
      <c r="AZ4795" s="404"/>
      <c r="BA4795" s="404"/>
      <c r="BB4795" s="404"/>
      <c r="BC4795" s="404"/>
      <c r="BD4795" s="404"/>
      <c r="BE4795" s="404"/>
      <c r="BF4795" s="404"/>
      <c r="BG4795" s="404"/>
      <c r="BH4795" s="404"/>
      <c r="BI4795" s="404"/>
      <c r="BJ4795" s="404"/>
      <c r="BK4795" s="404"/>
      <c r="BL4795" s="404"/>
    </row>
    <row r="4796" spans="1:64">
      <c r="A4796" s="426"/>
      <c r="B4796" s="426"/>
      <c r="C4796" s="417" t="str">
        <f>[161]Input!$C$47</f>
        <v>Add for MA @ 40%</v>
      </c>
      <c r="D4796" s="746">
        <f>[161]Input!$D$47</f>
        <v>0.4</v>
      </c>
      <c r="E4796" s="426"/>
      <c r="F4796" s="409">
        <f>I4795</f>
        <v>10904.4</v>
      </c>
      <c r="G4796" s="426"/>
      <c r="H4796" s="410"/>
      <c r="I4796" s="409">
        <f>ROUND(F4796*D4796,2)</f>
        <v>4361.76</v>
      </c>
      <c r="J4796" s="400"/>
      <c r="K4796" s="401"/>
      <c r="L4796" s="401"/>
      <c r="M4796" s="404"/>
      <c r="N4796" s="404"/>
      <c r="O4796" s="404"/>
      <c r="P4796" s="404"/>
      <c r="Q4796" s="404"/>
      <c r="R4796" s="404"/>
      <c r="S4796" s="404"/>
      <c r="T4796" s="404"/>
      <c r="U4796" s="404"/>
      <c r="V4796" s="404"/>
      <c r="W4796" s="404"/>
      <c r="X4796" s="404"/>
      <c r="Y4796" s="404"/>
      <c r="Z4796" s="404"/>
      <c r="AA4796" s="404"/>
      <c r="AB4796" s="404"/>
      <c r="AC4796" s="404"/>
      <c r="AD4796" s="404"/>
      <c r="AE4796" s="404"/>
      <c r="AF4796" s="404"/>
      <c r="AG4796" s="404"/>
      <c r="AH4796" s="404"/>
      <c r="AI4796" s="404"/>
      <c r="AJ4796" s="404"/>
      <c r="AK4796" s="404"/>
      <c r="AL4796" s="404"/>
      <c r="AM4796" s="404"/>
      <c r="AN4796" s="404"/>
      <c r="AO4796" s="404"/>
      <c r="AP4796" s="404"/>
      <c r="AQ4796" s="404"/>
      <c r="AR4796" s="404"/>
      <c r="AS4796" s="404"/>
      <c r="AT4796" s="404"/>
      <c r="AU4796" s="404"/>
      <c r="AV4796" s="404"/>
      <c r="AW4796" s="404"/>
      <c r="AX4796" s="404"/>
      <c r="AY4796" s="404"/>
      <c r="AZ4796" s="404"/>
      <c r="BA4796" s="404"/>
      <c r="BB4796" s="404"/>
      <c r="BC4796" s="404"/>
      <c r="BD4796" s="404"/>
      <c r="BE4796" s="404"/>
      <c r="BF4796" s="404"/>
      <c r="BG4796" s="404"/>
      <c r="BH4796" s="404"/>
      <c r="BI4796" s="404"/>
      <c r="BJ4796" s="404"/>
      <c r="BK4796" s="404"/>
      <c r="BL4796" s="404"/>
    </row>
    <row r="4797" spans="1:64">
      <c r="A4797" s="426"/>
      <c r="B4797" s="426"/>
      <c r="C4797" s="417" t="s">
        <v>1702</v>
      </c>
      <c r="D4797" s="409">
        <v>9</v>
      </c>
      <c r="E4797" s="426" t="s">
        <v>826</v>
      </c>
      <c r="F4797" s="409">
        <f>'[161]Civil-SOR'!G332</f>
        <v>36.5</v>
      </c>
      <c r="G4797" s="426">
        <v>1</v>
      </c>
      <c r="H4797" s="410" t="s">
        <v>826</v>
      </c>
      <c r="I4797" s="409">
        <f>ROUND(F4797*D4797/G4797,2)</f>
        <v>328.5</v>
      </c>
      <c r="J4797" s="400"/>
      <c r="K4797" s="401"/>
      <c r="L4797" s="401"/>
      <c r="M4797" s="404"/>
      <c r="N4797" s="404"/>
      <c r="O4797" s="404"/>
      <c r="P4797" s="404"/>
      <c r="Q4797" s="404"/>
      <c r="R4797" s="404"/>
      <c r="S4797" s="404"/>
      <c r="T4797" s="404"/>
      <c r="U4797" s="404"/>
      <c r="V4797" s="404"/>
      <c r="W4797" s="404"/>
      <c r="X4797" s="404"/>
      <c r="Y4797" s="404"/>
      <c r="Z4797" s="404"/>
      <c r="AA4797" s="404"/>
      <c r="AB4797" s="404"/>
      <c r="AC4797" s="404"/>
      <c r="AD4797" s="404"/>
      <c r="AE4797" s="404"/>
      <c r="AF4797" s="404"/>
      <c r="AG4797" s="404"/>
      <c r="AH4797" s="404"/>
      <c r="AI4797" s="404"/>
      <c r="AJ4797" s="404"/>
      <c r="AK4797" s="404"/>
      <c r="AL4797" s="404"/>
      <c r="AM4797" s="404"/>
      <c r="AN4797" s="404"/>
      <c r="AO4797" s="404"/>
      <c r="AP4797" s="404"/>
      <c r="AQ4797" s="404"/>
      <c r="AR4797" s="404"/>
      <c r="AS4797" s="404"/>
      <c r="AT4797" s="404"/>
      <c r="AU4797" s="404"/>
      <c r="AV4797" s="404"/>
      <c r="AW4797" s="404"/>
      <c r="AX4797" s="404"/>
      <c r="AY4797" s="404"/>
      <c r="AZ4797" s="404"/>
      <c r="BA4797" s="404"/>
      <c r="BB4797" s="404"/>
      <c r="BC4797" s="404"/>
      <c r="BD4797" s="404"/>
      <c r="BE4797" s="404"/>
      <c r="BF4797" s="404"/>
      <c r="BG4797" s="404"/>
      <c r="BH4797" s="404"/>
      <c r="BI4797" s="404"/>
      <c r="BJ4797" s="404"/>
      <c r="BK4797" s="404"/>
      <c r="BL4797" s="404"/>
    </row>
    <row r="4798" spans="1:64">
      <c r="A4798" s="426"/>
      <c r="B4798" s="426"/>
      <c r="C4798" s="417" t="s">
        <v>1701</v>
      </c>
      <c r="D4798" s="409">
        <v>9</v>
      </c>
      <c r="E4798" s="426" t="s">
        <v>826</v>
      </c>
      <c r="F4798" s="409">
        <f>'[161]Civil-SOR'!J332</f>
        <v>218</v>
      </c>
      <c r="G4798" s="426">
        <v>1</v>
      </c>
      <c r="H4798" s="410" t="s">
        <v>826</v>
      </c>
      <c r="I4798" s="409">
        <f t="shared" ref="I4798:I4800" si="1023">ROUND(F4798*D4798,2)</f>
        <v>1962</v>
      </c>
      <c r="J4798" s="400"/>
      <c r="K4798" s="401"/>
      <c r="L4798" s="401"/>
      <c r="M4798" s="404"/>
      <c r="N4798" s="404"/>
      <c r="O4798" s="404"/>
      <c r="P4798" s="404"/>
      <c r="Q4798" s="404"/>
      <c r="R4798" s="404"/>
      <c r="S4798" s="404"/>
      <c r="T4798" s="404"/>
      <c r="U4798" s="404"/>
      <c r="V4798" s="404"/>
      <c r="W4798" s="404"/>
      <c r="X4798" s="404"/>
      <c r="Y4798" s="404"/>
      <c r="Z4798" s="404"/>
      <c r="AA4798" s="404"/>
      <c r="AB4798" s="404"/>
      <c r="AC4798" s="404"/>
      <c r="AD4798" s="404"/>
      <c r="AE4798" s="404"/>
      <c r="AF4798" s="404"/>
      <c r="AG4798" s="404"/>
      <c r="AH4798" s="404"/>
      <c r="AI4798" s="404"/>
      <c r="AJ4798" s="404"/>
      <c r="AK4798" s="404"/>
      <c r="AL4798" s="404"/>
      <c r="AM4798" s="404"/>
      <c r="AN4798" s="404"/>
      <c r="AO4798" s="404"/>
      <c r="AP4798" s="404"/>
      <c r="AQ4798" s="404"/>
      <c r="AR4798" s="404"/>
      <c r="AS4798" s="404"/>
      <c r="AT4798" s="404"/>
      <c r="AU4798" s="404"/>
      <c r="AV4798" s="404"/>
      <c r="AW4798" s="404"/>
      <c r="AX4798" s="404"/>
      <c r="AY4798" s="404"/>
      <c r="AZ4798" s="404"/>
      <c r="BA4798" s="404"/>
      <c r="BB4798" s="404"/>
      <c r="BC4798" s="404"/>
      <c r="BD4798" s="404"/>
      <c r="BE4798" s="404"/>
      <c r="BF4798" s="404"/>
      <c r="BG4798" s="404"/>
      <c r="BH4798" s="404"/>
      <c r="BI4798" s="404"/>
      <c r="BJ4798" s="404"/>
      <c r="BK4798" s="404"/>
      <c r="BL4798" s="404"/>
    </row>
    <row r="4799" spans="1:64">
      <c r="A4799" s="426"/>
      <c r="B4799" s="426"/>
      <c r="C4799" s="417" t="str">
        <f>[161]Input!$C$47</f>
        <v>Add for MA @ 40%</v>
      </c>
      <c r="D4799" s="746">
        <f>[161]Input!$D$47</f>
        <v>0.4</v>
      </c>
      <c r="E4799" s="426"/>
      <c r="F4799" s="409">
        <f>I4798</f>
        <v>1962</v>
      </c>
      <c r="G4799" s="426"/>
      <c r="H4799" s="410"/>
      <c r="I4799" s="409">
        <f t="shared" si="1023"/>
        <v>784.8</v>
      </c>
      <c r="J4799" s="400"/>
      <c r="K4799" s="401"/>
      <c r="L4799" s="401"/>
      <c r="M4799" s="404"/>
      <c r="N4799" s="404"/>
      <c r="O4799" s="404"/>
      <c r="P4799" s="404"/>
      <c r="Q4799" s="404"/>
      <c r="R4799" s="404"/>
      <c r="S4799" s="404"/>
      <c r="T4799" s="404"/>
      <c r="U4799" s="404"/>
      <c r="V4799" s="404"/>
      <c r="W4799" s="404"/>
      <c r="X4799" s="404"/>
      <c r="Y4799" s="404"/>
      <c r="Z4799" s="404"/>
      <c r="AA4799" s="404"/>
      <c r="AB4799" s="404"/>
      <c r="AC4799" s="404"/>
      <c r="AD4799" s="404"/>
      <c r="AE4799" s="404"/>
      <c r="AF4799" s="404"/>
      <c r="AG4799" s="404"/>
      <c r="AH4799" s="404"/>
      <c r="AI4799" s="404"/>
      <c r="AJ4799" s="404"/>
      <c r="AK4799" s="404"/>
      <c r="AL4799" s="404"/>
      <c r="AM4799" s="404"/>
      <c r="AN4799" s="404"/>
      <c r="AO4799" s="404"/>
      <c r="AP4799" s="404"/>
      <c r="AQ4799" s="404"/>
      <c r="AR4799" s="404"/>
      <c r="AS4799" s="404"/>
      <c r="AT4799" s="404"/>
      <c r="AU4799" s="404"/>
      <c r="AV4799" s="404"/>
      <c r="AW4799" s="404"/>
      <c r="AX4799" s="404"/>
      <c r="AY4799" s="404"/>
      <c r="AZ4799" s="404"/>
      <c r="BA4799" s="404"/>
      <c r="BB4799" s="404"/>
      <c r="BC4799" s="404"/>
      <c r="BD4799" s="404"/>
      <c r="BE4799" s="404"/>
      <c r="BF4799" s="404"/>
      <c r="BG4799" s="404"/>
      <c r="BH4799" s="404"/>
      <c r="BI4799" s="404"/>
      <c r="BJ4799" s="404"/>
      <c r="BK4799" s="404"/>
      <c r="BL4799" s="404"/>
    </row>
    <row r="4800" spans="1:64" ht="25">
      <c r="A4800" s="426"/>
      <c r="B4800" s="426"/>
      <c r="C4800" s="417" t="s">
        <v>1703</v>
      </c>
      <c r="D4800" s="409">
        <v>9</v>
      </c>
      <c r="E4800" s="426" t="s">
        <v>826</v>
      </c>
      <c r="F4800" s="409">
        <v>21.7</v>
      </c>
      <c r="G4800" s="426">
        <v>1</v>
      </c>
      <c r="H4800" s="410" t="s">
        <v>826</v>
      </c>
      <c r="I4800" s="409">
        <f t="shared" si="1023"/>
        <v>195.3</v>
      </c>
      <c r="J4800" s="400"/>
      <c r="K4800" s="401"/>
      <c r="L4800" s="401"/>
      <c r="M4800" s="404"/>
      <c r="N4800" s="404"/>
      <c r="O4800" s="404"/>
      <c r="P4800" s="404"/>
      <c r="Q4800" s="404"/>
      <c r="R4800" s="404"/>
      <c r="S4800" s="404"/>
      <c r="T4800" s="404"/>
      <c r="U4800" s="404"/>
      <c r="V4800" s="404"/>
      <c r="W4800" s="404"/>
      <c r="X4800" s="404"/>
      <c r="Y4800" s="404"/>
      <c r="Z4800" s="404"/>
      <c r="AA4800" s="404"/>
      <c r="AB4800" s="404"/>
      <c r="AC4800" s="404"/>
      <c r="AD4800" s="404"/>
      <c r="AE4800" s="404"/>
      <c r="AF4800" s="404"/>
      <c r="AG4800" s="404"/>
      <c r="AH4800" s="404"/>
      <c r="AI4800" s="404"/>
      <c r="AJ4800" s="404"/>
      <c r="AK4800" s="404"/>
      <c r="AL4800" s="404"/>
      <c r="AM4800" s="404"/>
      <c r="AN4800" s="404"/>
      <c r="AO4800" s="404"/>
      <c r="AP4800" s="404"/>
      <c r="AQ4800" s="404"/>
      <c r="AR4800" s="404"/>
      <c r="AS4800" s="404"/>
      <c r="AT4800" s="404"/>
      <c r="AU4800" s="404"/>
      <c r="AV4800" s="404"/>
      <c r="AW4800" s="404"/>
      <c r="AX4800" s="404"/>
      <c r="AY4800" s="404"/>
      <c r="AZ4800" s="404"/>
      <c r="BA4800" s="404"/>
      <c r="BB4800" s="404"/>
      <c r="BC4800" s="404"/>
      <c r="BD4800" s="404"/>
      <c r="BE4800" s="404"/>
      <c r="BF4800" s="404"/>
      <c r="BG4800" s="404"/>
      <c r="BH4800" s="404"/>
      <c r="BI4800" s="404"/>
      <c r="BJ4800" s="404"/>
      <c r="BK4800" s="404"/>
      <c r="BL4800" s="404"/>
    </row>
    <row r="4801" spans="1:64">
      <c r="A4801" s="426"/>
      <c r="B4801" s="426"/>
      <c r="C4801" s="417" t="s">
        <v>1701</v>
      </c>
      <c r="D4801" s="409">
        <v>9</v>
      </c>
      <c r="E4801" s="426" t="s">
        <v>826</v>
      </c>
      <c r="F4801" s="409">
        <v>360.4</v>
      </c>
      <c r="G4801" s="426">
        <v>1</v>
      </c>
      <c r="H4801" s="410" t="s">
        <v>826</v>
      </c>
      <c r="I4801" s="409">
        <f>ROUND(F4801*D4801/G4801,2)</f>
        <v>3243.6</v>
      </c>
      <c r="J4801" s="400"/>
      <c r="K4801" s="401"/>
      <c r="L4801" s="401"/>
      <c r="M4801" s="404"/>
      <c r="N4801" s="404"/>
      <c r="O4801" s="404"/>
      <c r="P4801" s="404"/>
      <c r="Q4801" s="404"/>
      <c r="R4801" s="404"/>
      <c r="S4801" s="404"/>
      <c r="T4801" s="404"/>
      <c r="U4801" s="404"/>
      <c r="V4801" s="404"/>
      <c r="W4801" s="404"/>
      <c r="X4801" s="404"/>
      <c r="Y4801" s="404"/>
      <c r="Z4801" s="404"/>
      <c r="AA4801" s="404"/>
      <c r="AB4801" s="404"/>
      <c r="AC4801" s="404"/>
      <c r="AD4801" s="404"/>
      <c r="AE4801" s="404"/>
      <c r="AF4801" s="404"/>
      <c r="AG4801" s="404"/>
      <c r="AH4801" s="404"/>
      <c r="AI4801" s="404"/>
      <c r="AJ4801" s="404"/>
      <c r="AK4801" s="404"/>
      <c r="AL4801" s="404"/>
      <c r="AM4801" s="404"/>
      <c r="AN4801" s="404"/>
      <c r="AO4801" s="404"/>
      <c r="AP4801" s="404"/>
      <c r="AQ4801" s="404"/>
      <c r="AR4801" s="404"/>
      <c r="AS4801" s="404"/>
      <c r="AT4801" s="404"/>
      <c r="AU4801" s="404"/>
      <c r="AV4801" s="404"/>
      <c r="AW4801" s="404"/>
      <c r="AX4801" s="404"/>
      <c r="AY4801" s="404"/>
      <c r="AZ4801" s="404"/>
      <c r="BA4801" s="404"/>
      <c r="BB4801" s="404"/>
      <c r="BC4801" s="404"/>
      <c r="BD4801" s="404"/>
      <c r="BE4801" s="404"/>
      <c r="BF4801" s="404"/>
      <c r="BG4801" s="404"/>
      <c r="BH4801" s="404"/>
      <c r="BI4801" s="404"/>
      <c r="BJ4801" s="404"/>
      <c r="BK4801" s="404"/>
      <c r="BL4801" s="404"/>
    </row>
    <row r="4802" spans="1:64">
      <c r="A4802" s="426"/>
      <c r="B4802" s="426"/>
      <c r="C4802" s="417" t="str">
        <f>[161]Input!$C$47</f>
        <v>Add for MA @ 40%</v>
      </c>
      <c r="D4802" s="746">
        <f>[161]Input!$D$47</f>
        <v>0.4</v>
      </c>
      <c r="E4802" s="426"/>
      <c r="F4802" s="409">
        <f>I4801</f>
        <v>3243.6</v>
      </c>
      <c r="G4802" s="426"/>
      <c r="H4802" s="410"/>
      <c r="I4802" s="409">
        <f t="shared" ref="I4802:I4810" si="1024">ROUND(F4802*D4802,2)</f>
        <v>1297.44</v>
      </c>
      <c r="J4802" s="400"/>
      <c r="K4802" s="401"/>
      <c r="L4802" s="401"/>
      <c r="M4802" s="404"/>
      <c r="N4802" s="404"/>
      <c r="O4802" s="404"/>
      <c r="P4802" s="404"/>
      <c r="Q4802" s="404"/>
      <c r="R4802" s="404"/>
      <c r="S4802" s="404"/>
      <c r="T4802" s="404"/>
      <c r="U4802" s="404"/>
      <c r="V4802" s="404"/>
      <c r="W4802" s="404"/>
      <c r="X4802" s="404"/>
      <c r="Y4802" s="404"/>
      <c r="Z4802" s="404"/>
      <c r="AA4802" s="404"/>
      <c r="AB4802" s="404"/>
      <c r="AC4802" s="404"/>
      <c r="AD4802" s="404"/>
      <c r="AE4802" s="404"/>
      <c r="AF4802" s="404"/>
      <c r="AG4802" s="404"/>
      <c r="AH4802" s="404"/>
      <c r="AI4802" s="404"/>
      <c r="AJ4802" s="404"/>
      <c r="AK4802" s="404"/>
      <c r="AL4802" s="404"/>
      <c r="AM4802" s="404"/>
      <c r="AN4802" s="404"/>
      <c r="AO4802" s="404"/>
      <c r="AP4802" s="404"/>
      <c r="AQ4802" s="404"/>
      <c r="AR4802" s="404"/>
      <c r="AS4802" s="404"/>
      <c r="AT4802" s="404"/>
      <c r="AU4802" s="404"/>
      <c r="AV4802" s="404"/>
      <c r="AW4802" s="404"/>
      <c r="AX4802" s="404"/>
      <c r="AY4802" s="404"/>
      <c r="AZ4802" s="404"/>
      <c r="BA4802" s="404"/>
      <c r="BB4802" s="404"/>
      <c r="BC4802" s="404"/>
      <c r="BD4802" s="404"/>
      <c r="BE4802" s="404"/>
      <c r="BF4802" s="404"/>
      <c r="BG4802" s="404"/>
      <c r="BH4802" s="404"/>
      <c r="BI4802" s="404"/>
      <c r="BJ4802" s="404"/>
      <c r="BK4802" s="404"/>
      <c r="BL4802" s="404"/>
    </row>
    <row r="4803" spans="1:64">
      <c r="A4803" s="426"/>
      <c r="B4803" s="426"/>
      <c r="C4803" s="417" t="s">
        <v>1704</v>
      </c>
      <c r="D4803" s="409">
        <v>9</v>
      </c>
      <c r="E4803" s="426" t="s">
        <v>826</v>
      </c>
      <c r="F4803" s="409">
        <f>46.8+196.9</f>
        <v>243.7</v>
      </c>
      <c r="G4803" s="426">
        <v>1</v>
      </c>
      <c r="H4803" s="410" t="s">
        <v>826</v>
      </c>
      <c r="I4803" s="409">
        <f t="shared" si="1024"/>
        <v>2193.3000000000002</v>
      </c>
      <c r="J4803" s="400"/>
      <c r="K4803" s="401"/>
      <c r="L4803" s="401"/>
      <c r="M4803" s="404"/>
      <c r="N4803" s="404"/>
      <c r="O4803" s="404"/>
      <c r="P4803" s="404"/>
      <c r="Q4803" s="404"/>
      <c r="R4803" s="404"/>
      <c r="S4803" s="404"/>
      <c r="T4803" s="404"/>
      <c r="U4803" s="404"/>
      <c r="V4803" s="404"/>
      <c r="W4803" s="404"/>
      <c r="X4803" s="404"/>
      <c r="Y4803" s="404"/>
      <c r="Z4803" s="404"/>
      <c r="AA4803" s="404"/>
      <c r="AB4803" s="404"/>
      <c r="AC4803" s="404"/>
      <c r="AD4803" s="404"/>
      <c r="AE4803" s="404"/>
      <c r="AF4803" s="404"/>
      <c r="AG4803" s="404"/>
      <c r="AH4803" s="404"/>
      <c r="AI4803" s="404"/>
      <c r="AJ4803" s="404"/>
      <c r="AK4803" s="404"/>
      <c r="AL4803" s="404"/>
      <c r="AM4803" s="404"/>
      <c r="AN4803" s="404"/>
      <c r="AO4803" s="404"/>
      <c r="AP4803" s="404"/>
      <c r="AQ4803" s="404"/>
      <c r="AR4803" s="404"/>
      <c r="AS4803" s="404"/>
      <c r="AT4803" s="404"/>
      <c r="AU4803" s="404"/>
      <c r="AV4803" s="404"/>
      <c r="AW4803" s="404"/>
      <c r="AX4803" s="404"/>
      <c r="AY4803" s="404"/>
      <c r="AZ4803" s="404"/>
      <c r="BA4803" s="404"/>
      <c r="BB4803" s="404"/>
      <c r="BC4803" s="404"/>
      <c r="BD4803" s="404"/>
      <c r="BE4803" s="404"/>
      <c r="BF4803" s="404"/>
      <c r="BG4803" s="404"/>
      <c r="BH4803" s="404"/>
      <c r="BI4803" s="404"/>
      <c r="BJ4803" s="404"/>
      <c r="BK4803" s="404"/>
      <c r="BL4803" s="404"/>
    </row>
    <row r="4804" spans="1:64">
      <c r="A4804" s="426"/>
      <c r="B4804" s="426"/>
      <c r="C4804" s="417" t="s">
        <v>1701</v>
      </c>
      <c r="D4804" s="409">
        <v>9</v>
      </c>
      <c r="E4804" s="426" t="s">
        <v>826</v>
      </c>
      <c r="F4804" s="409">
        <v>189.5</v>
      </c>
      <c r="G4804" s="426">
        <v>1</v>
      </c>
      <c r="H4804" s="410" t="s">
        <v>826</v>
      </c>
      <c r="I4804" s="409">
        <f t="shared" si="1024"/>
        <v>1705.5</v>
      </c>
      <c r="J4804" s="400"/>
      <c r="K4804" s="401"/>
      <c r="L4804" s="401"/>
      <c r="M4804" s="404"/>
      <c r="N4804" s="404"/>
      <c r="O4804" s="404"/>
      <c r="P4804" s="404"/>
      <c r="Q4804" s="404"/>
      <c r="R4804" s="404"/>
      <c r="S4804" s="404"/>
      <c r="T4804" s="404"/>
      <c r="U4804" s="404"/>
      <c r="V4804" s="404"/>
      <c r="W4804" s="404"/>
      <c r="X4804" s="404"/>
      <c r="Y4804" s="404"/>
      <c r="Z4804" s="404"/>
      <c r="AA4804" s="404"/>
      <c r="AB4804" s="404"/>
      <c r="AC4804" s="404"/>
      <c r="AD4804" s="404"/>
      <c r="AE4804" s="404"/>
      <c r="AF4804" s="404"/>
      <c r="AG4804" s="404"/>
      <c r="AH4804" s="404"/>
      <c r="AI4804" s="404"/>
      <c r="AJ4804" s="404"/>
      <c r="AK4804" s="404"/>
      <c r="AL4804" s="404"/>
      <c r="AM4804" s="404"/>
      <c r="AN4804" s="404"/>
      <c r="AO4804" s="404"/>
      <c r="AP4804" s="404"/>
      <c r="AQ4804" s="404"/>
      <c r="AR4804" s="404"/>
      <c r="AS4804" s="404"/>
      <c r="AT4804" s="404"/>
      <c r="AU4804" s="404"/>
      <c r="AV4804" s="404"/>
      <c r="AW4804" s="404"/>
      <c r="AX4804" s="404"/>
      <c r="AY4804" s="404"/>
      <c r="AZ4804" s="404"/>
      <c r="BA4804" s="404"/>
      <c r="BB4804" s="404"/>
      <c r="BC4804" s="404"/>
      <c r="BD4804" s="404"/>
      <c r="BE4804" s="404"/>
      <c r="BF4804" s="404"/>
      <c r="BG4804" s="404"/>
      <c r="BH4804" s="404"/>
      <c r="BI4804" s="404"/>
      <c r="BJ4804" s="404"/>
      <c r="BK4804" s="404"/>
      <c r="BL4804" s="404"/>
    </row>
    <row r="4805" spans="1:64">
      <c r="A4805" s="426"/>
      <c r="B4805" s="426"/>
      <c r="C4805" s="417" t="str">
        <f>[161]Input!$C$47</f>
        <v>Add for MA @ 40%</v>
      </c>
      <c r="D4805" s="746">
        <f>[161]Input!$D$47</f>
        <v>0.4</v>
      </c>
      <c r="E4805" s="426"/>
      <c r="F4805" s="409">
        <f>I4804</f>
        <v>1705.5</v>
      </c>
      <c r="G4805" s="426"/>
      <c r="H4805" s="410"/>
      <c r="I4805" s="409">
        <f t="shared" si="1024"/>
        <v>682.2</v>
      </c>
      <c r="J4805" s="400"/>
      <c r="K4805" s="401"/>
      <c r="L4805" s="401"/>
      <c r="M4805" s="404"/>
      <c r="N4805" s="404"/>
      <c r="O4805" s="404"/>
      <c r="P4805" s="404"/>
      <c r="Q4805" s="404"/>
      <c r="R4805" s="404"/>
      <c r="S4805" s="404"/>
      <c r="T4805" s="404"/>
      <c r="U4805" s="404"/>
      <c r="V4805" s="404"/>
      <c r="W4805" s="404"/>
      <c r="X4805" s="404"/>
      <c r="Y4805" s="404"/>
      <c r="Z4805" s="404"/>
      <c r="AA4805" s="404"/>
      <c r="AB4805" s="404"/>
      <c r="AC4805" s="404"/>
      <c r="AD4805" s="404"/>
      <c r="AE4805" s="404"/>
      <c r="AF4805" s="404"/>
      <c r="AG4805" s="404"/>
      <c r="AH4805" s="404"/>
      <c r="AI4805" s="404"/>
      <c r="AJ4805" s="404"/>
      <c r="AK4805" s="404"/>
      <c r="AL4805" s="404"/>
      <c r="AM4805" s="404"/>
      <c r="AN4805" s="404"/>
      <c r="AO4805" s="404"/>
      <c r="AP4805" s="404"/>
      <c r="AQ4805" s="404"/>
      <c r="AR4805" s="404"/>
      <c r="AS4805" s="404"/>
      <c r="AT4805" s="404"/>
      <c r="AU4805" s="404"/>
      <c r="AV4805" s="404"/>
      <c r="AW4805" s="404"/>
      <c r="AX4805" s="404"/>
      <c r="AY4805" s="404"/>
      <c r="AZ4805" s="404"/>
      <c r="BA4805" s="404"/>
      <c r="BB4805" s="404"/>
      <c r="BC4805" s="404"/>
      <c r="BD4805" s="404"/>
      <c r="BE4805" s="404"/>
      <c r="BF4805" s="404"/>
      <c r="BG4805" s="404"/>
      <c r="BH4805" s="404"/>
      <c r="BI4805" s="404"/>
      <c r="BJ4805" s="404"/>
      <c r="BK4805" s="404"/>
      <c r="BL4805" s="404"/>
    </row>
    <row r="4806" spans="1:64" ht="37.5">
      <c r="A4806" s="426"/>
      <c r="B4806" s="426"/>
      <c r="C4806" s="417" t="s">
        <v>1705</v>
      </c>
      <c r="D4806" s="409">
        <v>4</v>
      </c>
      <c r="E4806" s="426" t="s">
        <v>826</v>
      </c>
      <c r="F4806" s="753">
        <f>365.5+53.6</f>
        <v>419.1</v>
      </c>
      <c r="G4806" s="426">
        <v>1</v>
      </c>
      <c r="H4806" s="410" t="s">
        <v>826</v>
      </c>
      <c r="I4806" s="409">
        <f t="shared" si="1024"/>
        <v>1676.4</v>
      </c>
      <c r="J4806" s="400"/>
      <c r="K4806" s="401"/>
      <c r="L4806" s="401"/>
      <c r="M4806" s="404"/>
      <c r="N4806" s="404"/>
      <c r="O4806" s="404"/>
      <c r="P4806" s="404"/>
      <c r="Q4806" s="404"/>
      <c r="R4806" s="404"/>
      <c r="S4806" s="404"/>
      <c r="T4806" s="404"/>
      <c r="U4806" s="404"/>
      <c r="V4806" s="404"/>
      <c r="W4806" s="404"/>
      <c r="X4806" s="404"/>
      <c r="Y4806" s="404"/>
      <c r="Z4806" s="404"/>
      <c r="AA4806" s="404"/>
      <c r="AB4806" s="404"/>
      <c r="AC4806" s="404"/>
      <c r="AD4806" s="404"/>
      <c r="AE4806" s="404"/>
      <c r="AF4806" s="404"/>
      <c r="AG4806" s="404"/>
      <c r="AH4806" s="404"/>
      <c r="AI4806" s="404"/>
      <c r="AJ4806" s="404"/>
      <c r="AK4806" s="404"/>
      <c r="AL4806" s="404"/>
      <c r="AM4806" s="404"/>
      <c r="AN4806" s="404"/>
      <c r="AO4806" s="404"/>
      <c r="AP4806" s="404"/>
      <c r="AQ4806" s="404"/>
      <c r="AR4806" s="404"/>
      <c r="AS4806" s="404"/>
      <c r="AT4806" s="404"/>
      <c r="AU4806" s="404"/>
      <c r="AV4806" s="404"/>
      <c r="AW4806" s="404"/>
      <c r="AX4806" s="404"/>
      <c r="AY4806" s="404"/>
      <c r="AZ4806" s="404"/>
      <c r="BA4806" s="404"/>
      <c r="BB4806" s="404"/>
      <c r="BC4806" s="404"/>
      <c r="BD4806" s="404"/>
      <c r="BE4806" s="404"/>
      <c r="BF4806" s="404"/>
      <c r="BG4806" s="404"/>
      <c r="BH4806" s="404"/>
      <c r="BI4806" s="404"/>
      <c r="BJ4806" s="404"/>
      <c r="BK4806" s="404"/>
      <c r="BL4806" s="404"/>
    </row>
    <row r="4807" spans="1:64">
      <c r="A4807" s="426"/>
      <c r="B4807" s="426"/>
      <c r="C4807" s="417" t="s">
        <v>1701</v>
      </c>
      <c r="D4807" s="409">
        <v>4</v>
      </c>
      <c r="E4807" s="426" t="s">
        <v>826</v>
      </c>
      <c r="F4807" s="753">
        <v>197.6</v>
      </c>
      <c r="G4807" s="426">
        <v>1</v>
      </c>
      <c r="H4807" s="410" t="s">
        <v>826</v>
      </c>
      <c r="I4807" s="409">
        <f t="shared" si="1024"/>
        <v>790.4</v>
      </c>
      <c r="J4807" s="400"/>
      <c r="K4807" s="401"/>
      <c r="L4807" s="401"/>
      <c r="M4807" s="404"/>
      <c r="N4807" s="404"/>
      <c r="O4807" s="404"/>
      <c r="P4807" s="404"/>
      <c r="Q4807" s="404"/>
      <c r="R4807" s="404"/>
      <c r="S4807" s="404"/>
      <c r="T4807" s="404"/>
      <c r="U4807" s="404"/>
      <c r="V4807" s="404"/>
      <c r="W4807" s="404"/>
      <c r="X4807" s="404"/>
      <c r="Y4807" s="404"/>
      <c r="Z4807" s="404"/>
      <c r="AA4807" s="404"/>
      <c r="AB4807" s="404"/>
      <c r="AC4807" s="404"/>
      <c r="AD4807" s="404"/>
      <c r="AE4807" s="404"/>
      <c r="AF4807" s="404"/>
      <c r="AG4807" s="404"/>
      <c r="AH4807" s="404"/>
      <c r="AI4807" s="404"/>
      <c r="AJ4807" s="404"/>
      <c r="AK4807" s="404"/>
      <c r="AL4807" s="404"/>
      <c r="AM4807" s="404"/>
      <c r="AN4807" s="404"/>
      <c r="AO4807" s="404"/>
      <c r="AP4807" s="404"/>
      <c r="AQ4807" s="404"/>
      <c r="AR4807" s="404"/>
      <c r="AS4807" s="404"/>
      <c r="AT4807" s="404"/>
      <c r="AU4807" s="404"/>
      <c r="AV4807" s="404"/>
      <c r="AW4807" s="404"/>
      <c r="AX4807" s="404"/>
      <c r="AY4807" s="404"/>
      <c r="AZ4807" s="404"/>
      <c r="BA4807" s="404"/>
      <c r="BB4807" s="404"/>
      <c r="BC4807" s="404"/>
      <c r="BD4807" s="404"/>
      <c r="BE4807" s="404"/>
      <c r="BF4807" s="404"/>
      <c r="BG4807" s="404"/>
      <c r="BH4807" s="404"/>
      <c r="BI4807" s="404"/>
      <c r="BJ4807" s="404"/>
      <c r="BK4807" s="404"/>
      <c r="BL4807" s="404"/>
    </row>
    <row r="4808" spans="1:64">
      <c r="A4808" s="426"/>
      <c r="B4808" s="426"/>
      <c r="C4808" s="417" t="str">
        <f>[161]Input!$C$47</f>
        <v>Add for MA @ 40%</v>
      </c>
      <c r="D4808" s="746">
        <f>[161]Input!$D$47</f>
        <v>0.4</v>
      </c>
      <c r="E4808" s="426"/>
      <c r="F4808" s="409">
        <f>I4807</f>
        <v>790.4</v>
      </c>
      <c r="G4808" s="426"/>
      <c r="H4808" s="410"/>
      <c r="I4808" s="409">
        <f t="shared" si="1024"/>
        <v>316.16000000000003</v>
      </c>
      <c r="J4808" s="400"/>
      <c r="K4808" s="401"/>
      <c r="L4808" s="401"/>
      <c r="M4808" s="404"/>
      <c r="N4808" s="404"/>
      <c r="O4808" s="404"/>
      <c r="P4808" s="404"/>
      <c r="Q4808" s="404"/>
      <c r="R4808" s="404"/>
      <c r="S4808" s="404"/>
      <c r="T4808" s="404"/>
      <c r="U4808" s="404"/>
      <c r="V4808" s="404"/>
      <c r="W4808" s="404"/>
      <c r="X4808" s="404"/>
      <c r="Y4808" s="404"/>
      <c r="Z4808" s="404"/>
      <c r="AA4808" s="404"/>
      <c r="AB4808" s="404"/>
      <c r="AC4808" s="404"/>
      <c r="AD4808" s="404"/>
      <c r="AE4808" s="404"/>
      <c r="AF4808" s="404"/>
      <c r="AG4808" s="404"/>
      <c r="AH4808" s="404"/>
      <c r="AI4808" s="404"/>
      <c r="AJ4808" s="404"/>
      <c r="AK4808" s="404"/>
      <c r="AL4808" s="404"/>
      <c r="AM4808" s="404"/>
      <c r="AN4808" s="404"/>
      <c r="AO4808" s="404"/>
      <c r="AP4808" s="404"/>
      <c r="AQ4808" s="404"/>
      <c r="AR4808" s="404"/>
      <c r="AS4808" s="404"/>
      <c r="AT4808" s="404"/>
      <c r="AU4808" s="404"/>
      <c r="AV4808" s="404"/>
      <c r="AW4808" s="404"/>
      <c r="AX4808" s="404"/>
      <c r="AY4808" s="404"/>
      <c r="AZ4808" s="404"/>
      <c r="BA4808" s="404"/>
      <c r="BB4808" s="404"/>
      <c r="BC4808" s="404"/>
      <c r="BD4808" s="404"/>
      <c r="BE4808" s="404"/>
      <c r="BF4808" s="404"/>
      <c r="BG4808" s="404"/>
      <c r="BH4808" s="404"/>
      <c r="BI4808" s="404"/>
      <c r="BJ4808" s="404"/>
      <c r="BK4808" s="404"/>
      <c r="BL4808" s="404"/>
    </row>
    <row r="4809" spans="1:64">
      <c r="A4809" s="426"/>
      <c r="B4809" s="426"/>
      <c r="C4809" s="417" t="s">
        <v>1706</v>
      </c>
      <c r="D4809" s="409">
        <v>5</v>
      </c>
      <c r="E4809" s="426" t="s">
        <v>826</v>
      </c>
      <c r="F4809" s="408">
        <f>'[161]Civil-SOR'!$G$357</f>
        <v>769</v>
      </c>
      <c r="G4809" s="426">
        <v>1</v>
      </c>
      <c r="H4809" s="410" t="s">
        <v>826</v>
      </c>
      <c r="I4809" s="409">
        <f t="shared" si="1024"/>
        <v>3845</v>
      </c>
      <c r="J4809" s="400"/>
      <c r="K4809" s="401"/>
      <c r="L4809" s="401"/>
      <c r="M4809" s="404"/>
      <c r="N4809" s="404"/>
      <c r="O4809" s="404"/>
      <c r="P4809" s="404"/>
      <c r="Q4809" s="404"/>
      <c r="R4809" s="404"/>
      <c r="S4809" s="404"/>
      <c r="T4809" s="404"/>
      <c r="U4809" s="404"/>
      <c r="V4809" s="404"/>
      <c r="W4809" s="404"/>
      <c r="X4809" s="404"/>
      <c r="Y4809" s="404"/>
      <c r="Z4809" s="404"/>
      <c r="AA4809" s="404"/>
      <c r="AB4809" s="404"/>
      <c r="AC4809" s="404"/>
      <c r="AD4809" s="404"/>
      <c r="AE4809" s="404"/>
      <c r="AF4809" s="404"/>
      <c r="AG4809" s="404"/>
      <c r="AH4809" s="404"/>
      <c r="AI4809" s="404"/>
      <c r="AJ4809" s="404"/>
      <c r="AK4809" s="404"/>
      <c r="AL4809" s="404"/>
      <c r="AM4809" s="404"/>
      <c r="AN4809" s="404"/>
      <c r="AO4809" s="404"/>
      <c r="AP4809" s="404"/>
      <c r="AQ4809" s="404"/>
      <c r="AR4809" s="404"/>
      <c r="AS4809" s="404"/>
      <c r="AT4809" s="404"/>
      <c r="AU4809" s="404"/>
      <c r="AV4809" s="404"/>
      <c r="AW4809" s="404"/>
      <c r="AX4809" s="404"/>
      <c r="AY4809" s="404"/>
      <c r="AZ4809" s="404"/>
      <c r="BA4809" s="404"/>
      <c r="BB4809" s="404"/>
      <c r="BC4809" s="404"/>
      <c r="BD4809" s="404"/>
      <c r="BE4809" s="404"/>
      <c r="BF4809" s="404"/>
      <c r="BG4809" s="404"/>
      <c r="BH4809" s="404"/>
      <c r="BI4809" s="404"/>
      <c r="BJ4809" s="404"/>
      <c r="BK4809" s="404"/>
      <c r="BL4809" s="404"/>
    </row>
    <row r="4810" spans="1:64">
      <c r="A4810" s="426"/>
      <c r="B4810" s="426"/>
      <c r="C4810" s="435" t="s">
        <v>1707</v>
      </c>
      <c r="D4810" s="406">
        <v>2</v>
      </c>
      <c r="E4810" s="406" t="s">
        <v>826</v>
      </c>
      <c r="F4810" s="432">
        <v>668.6</v>
      </c>
      <c r="G4810" s="426">
        <v>1</v>
      </c>
      <c r="H4810" s="406" t="s">
        <v>826</v>
      </c>
      <c r="I4810" s="409">
        <f t="shared" si="1024"/>
        <v>1337.2</v>
      </c>
      <c r="J4810" s="400"/>
      <c r="K4810" s="401"/>
      <c r="L4810" s="401"/>
      <c r="M4810" s="404"/>
      <c r="N4810" s="404"/>
      <c r="O4810" s="404"/>
      <c r="P4810" s="404"/>
      <c r="Q4810" s="404"/>
      <c r="R4810" s="404"/>
      <c r="S4810" s="404"/>
      <c r="T4810" s="404"/>
      <c r="U4810" s="404"/>
      <c r="V4810" s="404"/>
      <c r="W4810" s="404"/>
      <c r="X4810" s="404"/>
      <c r="Y4810" s="404"/>
      <c r="Z4810" s="404"/>
      <c r="AA4810" s="404"/>
      <c r="AB4810" s="404"/>
      <c r="AC4810" s="404"/>
      <c r="AD4810" s="404"/>
      <c r="AE4810" s="404"/>
      <c r="AF4810" s="404"/>
      <c r="AG4810" s="404"/>
      <c r="AH4810" s="404"/>
      <c r="AI4810" s="404"/>
      <c r="AJ4810" s="404"/>
      <c r="AK4810" s="404"/>
      <c r="AL4810" s="404"/>
      <c r="AM4810" s="404"/>
      <c r="AN4810" s="404"/>
      <c r="AO4810" s="404"/>
      <c r="AP4810" s="404"/>
      <c r="AQ4810" s="404"/>
      <c r="AR4810" s="404"/>
      <c r="AS4810" s="404"/>
      <c r="AT4810" s="404"/>
      <c r="AU4810" s="404"/>
      <c r="AV4810" s="404"/>
      <c r="AW4810" s="404"/>
      <c r="AX4810" s="404"/>
      <c r="AY4810" s="404"/>
      <c r="AZ4810" s="404"/>
      <c r="BA4810" s="404"/>
      <c r="BB4810" s="404"/>
      <c r="BC4810" s="404"/>
      <c r="BD4810" s="404"/>
      <c r="BE4810" s="404"/>
      <c r="BF4810" s="404"/>
      <c r="BG4810" s="404"/>
      <c r="BH4810" s="404"/>
      <c r="BI4810" s="404"/>
      <c r="BJ4810" s="404"/>
      <c r="BK4810" s="404"/>
      <c r="BL4810" s="404"/>
    </row>
    <row r="4811" spans="1:64" ht="13">
      <c r="A4811" s="426"/>
      <c r="B4811" s="426"/>
      <c r="C4811" s="473" t="s">
        <v>1651</v>
      </c>
      <c r="D4811" s="409"/>
      <c r="E4811" s="426"/>
      <c r="F4811" s="409"/>
      <c r="G4811" s="426"/>
      <c r="H4811" s="410"/>
      <c r="I4811" s="409"/>
      <c r="J4811" s="400"/>
      <c r="K4811" s="401"/>
      <c r="L4811" s="401"/>
      <c r="M4811" s="404"/>
      <c r="N4811" s="404"/>
      <c r="O4811" s="404"/>
      <c r="P4811" s="404"/>
      <c r="Q4811" s="404"/>
      <c r="R4811" s="404"/>
      <c r="S4811" s="404"/>
      <c r="T4811" s="404"/>
      <c r="U4811" s="404"/>
      <c r="V4811" s="404"/>
      <c r="W4811" s="404"/>
      <c r="X4811" s="404"/>
      <c r="Y4811" s="404"/>
      <c r="Z4811" s="404"/>
      <c r="AA4811" s="404"/>
      <c r="AB4811" s="404"/>
      <c r="AC4811" s="404"/>
      <c r="AD4811" s="404"/>
      <c r="AE4811" s="404"/>
      <c r="AF4811" s="404"/>
      <c r="AG4811" s="404"/>
      <c r="AH4811" s="404"/>
      <c r="AI4811" s="404"/>
      <c r="AJ4811" s="404"/>
      <c r="AK4811" s="404"/>
      <c r="AL4811" s="404"/>
      <c r="AM4811" s="404"/>
      <c r="AN4811" s="404"/>
      <c r="AO4811" s="404"/>
      <c r="AP4811" s="404"/>
      <c r="AQ4811" s="404"/>
      <c r="AR4811" s="404"/>
      <c r="AS4811" s="404"/>
      <c r="AT4811" s="404"/>
      <c r="AU4811" s="404"/>
      <c r="AV4811" s="404"/>
      <c r="AW4811" s="404"/>
      <c r="AX4811" s="404"/>
      <c r="AY4811" s="404"/>
      <c r="AZ4811" s="404"/>
      <c r="BA4811" s="404"/>
      <c r="BB4811" s="404"/>
      <c r="BC4811" s="404"/>
      <c r="BD4811" s="404"/>
      <c r="BE4811" s="404"/>
      <c r="BF4811" s="404"/>
      <c r="BG4811" s="404"/>
      <c r="BH4811" s="404"/>
      <c r="BI4811" s="404"/>
      <c r="BJ4811" s="404"/>
      <c r="BK4811" s="404"/>
      <c r="BL4811" s="404"/>
    </row>
    <row r="4812" spans="1:64" ht="63.5">
      <c r="A4812" s="426"/>
      <c r="B4812" s="426"/>
      <c r="C4812" s="417" t="s">
        <v>1708</v>
      </c>
      <c r="D4812" s="409">
        <v>67.5</v>
      </c>
      <c r="E4812" s="426" t="s">
        <v>666</v>
      </c>
      <c r="F4812" s="409">
        <f>(F22+F16)/2</f>
        <v>1417.96</v>
      </c>
      <c r="G4812" s="426">
        <v>1</v>
      </c>
      <c r="H4812" s="410" t="s">
        <v>666</v>
      </c>
      <c r="I4812" s="409">
        <f t="shared" ref="I4812:I4815" si="1025">ROUND(F4812*D4812,2)</f>
        <v>95712.3</v>
      </c>
      <c r="J4812" s="400"/>
      <c r="K4812" s="401"/>
      <c r="L4812" s="401"/>
      <c r="M4812" s="404"/>
      <c r="N4812" s="404"/>
      <c r="O4812" s="404"/>
      <c r="P4812" s="404"/>
      <c r="Q4812" s="404"/>
      <c r="R4812" s="404"/>
      <c r="S4812" s="404"/>
      <c r="T4812" s="404"/>
      <c r="U4812" s="404"/>
      <c r="V4812" s="404"/>
      <c r="W4812" s="404"/>
      <c r="X4812" s="404"/>
      <c r="Y4812" s="404"/>
      <c r="Z4812" s="404"/>
      <c r="AA4812" s="404"/>
      <c r="AB4812" s="404"/>
      <c r="AC4812" s="404"/>
      <c r="AD4812" s="404"/>
      <c r="AE4812" s="404"/>
      <c r="AF4812" s="404"/>
      <c r="AG4812" s="404"/>
      <c r="AH4812" s="404"/>
      <c r="AI4812" s="404"/>
      <c r="AJ4812" s="404"/>
      <c r="AK4812" s="404"/>
      <c r="AL4812" s="404"/>
      <c r="AM4812" s="404"/>
      <c r="AN4812" s="404"/>
      <c r="AO4812" s="404"/>
      <c r="AP4812" s="404"/>
      <c r="AQ4812" s="404"/>
      <c r="AR4812" s="404"/>
      <c r="AS4812" s="404"/>
      <c r="AT4812" s="404"/>
      <c r="AU4812" s="404"/>
      <c r="AV4812" s="404"/>
      <c r="AW4812" s="404"/>
      <c r="AX4812" s="404"/>
      <c r="AY4812" s="404"/>
      <c r="AZ4812" s="404"/>
      <c r="BA4812" s="404"/>
      <c r="BB4812" s="404"/>
      <c r="BC4812" s="404"/>
      <c r="BD4812" s="404"/>
      <c r="BE4812" s="404"/>
      <c r="BF4812" s="404"/>
      <c r="BG4812" s="404"/>
      <c r="BH4812" s="404"/>
      <c r="BI4812" s="404"/>
      <c r="BJ4812" s="404"/>
      <c r="BK4812" s="404"/>
      <c r="BL4812" s="404"/>
    </row>
    <row r="4813" spans="1:64" ht="37.5">
      <c r="A4813" s="426"/>
      <c r="B4813" s="426"/>
      <c r="C4813" s="417" t="s">
        <v>1709</v>
      </c>
      <c r="D4813" s="409">
        <v>33.75</v>
      </c>
      <c r="E4813" s="426" t="s">
        <v>666</v>
      </c>
      <c r="F4813" s="409">
        <f>[161]LEAD!N12</f>
        <v>2253.91</v>
      </c>
      <c r="G4813" s="426">
        <v>1</v>
      </c>
      <c r="H4813" s="410" t="s">
        <v>666</v>
      </c>
      <c r="I4813" s="409">
        <f t="shared" si="1025"/>
        <v>76069.460000000006</v>
      </c>
      <c r="J4813" s="400"/>
      <c r="K4813" s="401"/>
      <c r="L4813" s="401"/>
      <c r="M4813" s="404"/>
      <c r="N4813" s="404"/>
      <c r="O4813" s="404"/>
      <c r="P4813" s="404"/>
      <c r="Q4813" s="404"/>
      <c r="R4813" s="404"/>
      <c r="S4813" s="404"/>
      <c r="T4813" s="404"/>
      <c r="U4813" s="404"/>
      <c r="V4813" s="404"/>
      <c r="W4813" s="404"/>
      <c r="X4813" s="404"/>
      <c r="Y4813" s="404"/>
      <c r="Z4813" s="404"/>
      <c r="AA4813" s="404"/>
      <c r="AB4813" s="404"/>
      <c r="AC4813" s="404"/>
      <c r="AD4813" s="404"/>
      <c r="AE4813" s="404"/>
      <c r="AF4813" s="404"/>
      <c r="AG4813" s="404"/>
      <c r="AH4813" s="404"/>
      <c r="AI4813" s="404"/>
      <c r="AJ4813" s="404"/>
      <c r="AK4813" s="404"/>
      <c r="AL4813" s="404"/>
      <c r="AM4813" s="404"/>
      <c r="AN4813" s="404"/>
      <c r="AO4813" s="404"/>
      <c r="AP4813" s="404"/>
      <c r="AQ4813" s="404"/>
      <c r="AR4813" s="404"/>
      <c r="AS4813" s="404"/>
      <c r="AT4813" s="404"/>
      <c r="AU4813" s="404"/>
      <c r="AV4813" s="404"/>
      <c r="AW4813" s="404"/>
      <c r="AX4813" s="404"/>
      <c r="AY4813" s="404"/>
      <c r="AZ4813" s="404"/>
      <c r="BA4813" s="404"/>
      <c r="BB4813" s="404"/>
      <c r="BC4813" s="404"/>
      <c r="BD4813" s="404"/>
      <c r="BE4813" s="404"/>
      <c r="BF4813" s="404"/>
      <c r="BG4813" s="404"/>
      <c r="BH4813" s="404"/>
      <c r="BI4813" s="404"/>
      <c r="BJ4813" s="404"/>
      <c r="BK4813" s="404"/>
      <c r="BL4813" s="404"/>
    </row>
    <row r="4814" spans="1:64">
      <c r="A4814" s="426"/>
      <c r="B4814" s="426"/>
      <c r="C4814" s="417" t="s">
        <v>1710</v>
      </c>
      <c r="D4814" s="409">
        <v>26.25</v>
      </c>
      <c r="E4814" s="426" t="s">
        <v>624</v>
      </c>
      <c r="F4814" s="409">
        <f>[161]LEAD!N6</f>
        <v>5200</v>
      </c>
      <c r="G4814" s="426">
        <v>1</v>
      </c>
      <c r="H4814" s="410" t="s">
        <v>624</v>
      </c>
      <c r="I4814" s="409">
        <f t="shared" si="1025"/>
        <v>136500</v>
      </c>
      <c r="J4814" s="400"/>
      <c r="K4814" s="401"/>
      <c r="L4814" s="401"/>
      <c r="M4814" s="404"/>
      <c r="N4814" s="404"/>
      <c r="O4814" s="404"/>
      <c r="P4814" s="404"/>
      <c r="Q4814" s="404"/>
      <c r="R4814" s="404"/>
      <c r="S4814" s="404"/>
      <c r="T4814" s="404"/>
      <c r="U4814" s="404"/>
      <c r="V4814" s="404"/>
      <c r="W4814" s="404"/>
      <c r="X4814" s="404"/>
      <c r="Y4814" s="404"/>
      <c r="Z4814" s="404"/>
      <c r="AA4814" s="404"/>
      <c r="AB4814" s="404"/>
      <c r="AC4814" s="404"/>
      <c r="AD4814" s="404"/>
      <c r="AE4814" s="404"/>
      <c r="AF4814" s="404"/>
      <c r="AG4814" s="404"/>
      <c r="AH4814" s="404"/>
      <c r="AI4814" s="404"/>
      <c r="AJ4814" s="404"/>
      <c r="AK4814" s="404"/>
      <c r="AL4814" s="404"/>
      <c r="AM4814" s="404"/>
      <c r="AN4814" s="404"/>
      <c r="AO4814" s="404"/>
      <c r="AP4814" s="404"/>
      <c r="AQ4814" s="404"/>
      <c r="AR4814" s="404"/>
      <c r="AS4814" s="404"/>
      <c r="AT4814" s="404"/>
      <c r="AU4814" s="404"/>
      <c r="AV4814" s="404"/>
      <c r="AW4814" s="404"/>
      <c r="AX4814" s="404"/>
      <c r="AY4814" s="404"/>
      <c r="AZ4814" s="404"/>
      <c r="BA4814" s="404"/>
      <c r="BB4814" s="404"/>
      <c r="BC4814" s="404"/>
      <c r="BD4814" s="404"/>
      <c r="BE4814" s="404"/>
      <c r="BF4814" s="404"/>
      <c r="BG4814" s="404"/>
      <c r="BH4814" s="404"/>
      <c r="BI4814" s="404"/>
      <c r="BJ4814" s="404"/>
      <c r="BK4814" s="404"/>
      <c r="BL4814" s="404"/>
    </row>
    <row r="4815" spans="1:64">
      <c r="A4815" s="426"/>
      <c r="B4815" s="426"/>
      <c r="C4815" s="417" t="s">
        <v>1711</v>
      </c>
      <c r="D4815" s="409">
        <v>412.5</v>
      </c>
      <c r="E4815" s="426" t="s">
        <v>17</v>
      </c>
      <c r="F4815" s="409">
        <v>19</v>
      </c>
      <c r="G4815" s="426">
        <v>1</v>
      </c>
      <c r="H4815" s="410" t="s">
        <v>17</v>
      </c>
      <c r="I4815" s="409">
        <f t="shared" si="1025"/>
        <v>7837.5</v>
      </c>
      <c r="J4815" s="400"/>
      <c r="K4815" s="401"/>
      <c r="L4815" s="401"/>
      <c r="M4815" s="404"/>
      <c r="N4815" s="404"/>
      <c r="O4815" s="404"/>
      <c r="P4815" s="404"/>
      <c r="Q4815" s="404"/>
      <c r="R4815" s="404"/>
      <c r="S4815" s="404"/>
      <c r="T4815" s="404"/>
      <c r="U4815" s="404"/>
      <c r="V4815" s="404"/>
      <c r="W4815" s="404"/>
      <c r="X4815" s="404"/>
      <c r="Y4815" s="404"/>
      <c r="Z4815" s="404"/>
      <c r="AA4815" s="404"/>
      <c r="AB4815" s="404"/>
      <c r="AC4815" s="404"/>
      <c r="AD4815" s="404"/>
      <c r="AE4815" s="404"/>
      <c r="AF4815" s="404"/>
      <c r="AG4815" s="404"/>
      <c r="AH4815" s="404"/>
      <c r="AI4815" s="404"/>
      <c r="AJ4815" s="404"/>
      <c r="AK4815" s="404"/>
      <c r="AL4815" s="404"/>
      <c r="AM4815" s="404"/>
      <c r="AN4815" s="404"/>
      <c r="AO4815" s="404"/>
      <c r="AP4815" s="404"/>
      <c r="AQ4815" s="404"/>
      <c r="AR4815" s="404"/>
      <c r="AS4815" s="404"/>
      <c r="AT4815" s="404"/>
      <c r="AU4815" s="404"/>
      <c r="AV4815" s="404"/>
      <c r="AW4815" s="404"/>
      <c r="AX4815" s="404"/>
      <c r="AY4815" s="404"/>
      <c r="AZ4815" s="404"/>
      <c r="BA4815" s="404"/>
      <c r="BB4815" s="404"/>
      <c r="BC4815" s="404"/>
      <c r="BD4815" s="404"/>
      <c r="BE4815" s="404"/>
      <c r="BF4815" s="404"/>
      <c r="BG4815" s="404"/>
      <c r="BH4815" s="404"/>
      <c r="BI4815" s="404"/>
      <c r="BJ4815" s="404"/>
      <c r="BK4815" s="404"/>
      <c r="BL4815" s="404"/>
    </row>
    <row r="4816" spans="1:64" ht="50">
      <c r="A4816" s="426"/>
      <c r="B4816" s="426"/>
      <c r="C4816" s="417" t="s">
        <v>1712</v>
      </c>
      <c r="D4816" s="409"/>
      <c r="E4816" s="426"/>
      <c r="F4816" s="409"/>
      <c r="G4816" s="426"/>
      <c r="H4816" s="410"/>
      <c r="I4816" s="409"/>
      <c r="J4816" s="400"/>
      <c r="K4816" s="401"/>
      <c r="L4816" s="401"/>
      <c r="M4816" s="404"/>
      <c r="N4816" s="404"/>
      <c r="O4816" s="404"/>
      <c r="P4816" s="404"/>
      <c r="Q4816" s="404"/>
      <c r="R4816" s="404"/>
      <c r="S4816" s="404"/>
      <c r="T4816" s="404"/>
      <c r="U4816" s="404"/>
      <c r="V4816" s="404"/>
      <c r="W4816" s="404"/>
      <c r="X4816" s="404"/>
      <c r="Y4816" s="404"/>
      <c r="Z4816" s="404"/>
      <c r="AA4816" s="404"/>
      <c r="AB4816" s="404"/>
      <c r="AC4816" s="404"/>
      <c r="AD4816" s="404"/>
      <c r="AE4816" s="404"/>
      <c r="AF4816" s="404"/>
      <c r="AG4816" s="404"/>
      <c r="AH4816" s="404"/>
      <c r="AI4816" s="404"/>
      <c r="AJ4816" s="404"/>
      <c r="AK4816" s="404"/>
      <c r="AL4816" s="404"/>
      <c r="AM4816" s="404"/>
      <c r="AN4816" s="404"/>
      <c r="AO4816" s="404"/>
      <c r="AP4816" s="404"/>
      <c r="AQ4816" s="404"/>
      <c r="AR4816" s="404"/>
      <c r="AS4816" s="404"/>
      <c r="AT4816" s="404"/>
      <c r="AU4816" s="404"/>
      <c r="AV4816" s="404"/>
      <c r="AW4816" s="404"/>
      <c r="AX4816" s="404"/>
      <c r="AY4816" s="404"/>
      <c r="AZ4816" s="404"/>
      <c r="BA4816" s="404"/>
      <c r="BB4816" s="404"/>
      <c r="BC4816" s="404"/>
      <c r="BD4816" s="404"/>
      <c r="BE4816" s="404"/>
      <c r="BF4816" s="404"/>
      <c r="BG4816" s="404"/>
      <c r="BH4816" s="404"/>
      <c r="BI4816" s="404"/>
      <c r="BJ4816" s="404"/>
      <c r="BK4816" s="404"/>
      <c r="BL4816" s="404"/>
    </row>
    <row r="4817" spans="1:64" ht="26">
      <c r="A4817" s="426"/>
      <c r="B4817" s="426"/>
      <c r="C4817" s="427" t="s">
        <v>1713</v>
      </c>
      <c r="D4817" s="409">
        <v>0.1176</v>
      </c>
      <c r="E4817" s="426" t="s">
        <v>624</v>
      </c>
      <c r="F4817" s="409">
        <f>+[161]LEAD!$N$9</f>
        <v>61000</v>
      </c>
      <c r="G4817" s="426">
        <v>1</v>
      </c>
      <c r="H4817" s="410" t="s">
        <v>122</v>
      </c>
      <c r="I4817" s="409">
        <f t="shared" ref="I4817:I4823" si="1026">ROUND(F4817*D4817,2)</f>
        <v>7173.6</v>
      </c>
      <c r="J4817" s="400"/>
      <c r="K4817" s="401"/>
      <c r="L4817" s="401"/>
      <c r="M4817" s="404"/>
      <c r="N4817" s="404"/>
      <c r="O4817" s="404"/>
      <c r="P4817" s="404"/>
      <c r="Q4817" s="404"/>
      <c r="R4817" s="404"/>
      <c r="S4817" s="404"/>
      <c r="T4817" s="404"/>
      <c r="U4817" s="404"/>
      <c r="V4817" s="404"/>
      <c r="W4817" s="404"/>
      <c r="X4817" s="404"/>
      <c r="Y4817" s="404"/>
      <c r="Z4817" s="404"/>
      <c r="AA4817" s="404"/>
      <c r="AB4817" s="404"/>
      <c r="AC4817" s="404"/>
      <c r="AD4817" s="404"/>
      <c r="AE4817" s="404"/>
      <c r="AF4817" s="404"/>
      <c r="AG4817" s="404"/>
      <c r="AH4817" s="404"/>
      <c r="AI4817" s="404"/>
      <c r="AJ4817" s="404"/>
      <c r="AK4817" s="404"/>
      <c r="AL4817" s="404"/>
      <c r="AM4817" s="404"/>
      <c r="AN4817" s="404"/>
      <c r="AO4817" s="404"/>
      <c r="AP4817" s="404"/>
      <c r="AQ4817" s="404"/>
      <c r="AR4817" s="404"/>
      <c r="AS4817" s="404"/>
      <c r="AT4817" s="404"/>
      <c r="AU4817" s="404"/>
      <c r="AV4817" s="404"/>
      <c r="AW4817" s="404"/>
      <c r="AX4817" s="404"/>
      <c r="AY4817" s="404"/>
      <c r="AZ4817" s="404"/>
      <c r="BA4817" s="404"/>
      <c r="BB4817" s="404"/>
      <c r="BC4817" s="404"/>
      <c r="BD4817" s="404"/>
      <c r="BE4817" s="404"/>
      <c r="BF4817" s="404"/>
      <c r="BG4817" s="404"/>
      <c r="BH4817" s="404"/>
      <c r="BI4817" s="404"/>
      <c r="BJ4817" s="404"/>
      <c r="BK4817" s="404"/>
      <c r="BL4817" s="404"/>
    </row>
    <row r="4818" spans="1:64" ht="25">
      <c r="A4818" s="426"/>
      <c r="B4818" s="426"/>
      <c r="C4818" s="417" t="s">
        <v>1714</v>
      </c>
      <c r="D4818" s="409">
        <v>19</v>
      </c>
      <c r="E4818" s="426" t="s">
        <v>1715</v>
      </c>
      <c r="F4818" s="409">
        <v>123</v>
      </c>
      <c r="G4818" s="426">
        <v>1</v>
      </c>
      <c r="H4818" s="410" t="s">
        <v>1715</v>
      </c>
      <c r="I4818" s="409">
        <f t="shared" si="1026"/>
        <v>2337</v>
      </c>
      <c r="J4818" s="400"/>
      <c r="K4818" s="401"/>
      <c r="L4818" s="401"/>
      <c r="M4818" s="404"/>
      <c r="N4818" s="404"/>
      <c r="O4818" s="404"/>
      <c r="P4818" s="404"/>
      <c r="Q4818" s="404"/>
      <c r="R4818" s="404"/>
      <c r="S4818" s="404"/>
      <c r="T4818" s="404"/>
      <c r="U4818" s="404"/>
      <c r="V4818" s="404"/>
      <c r="W4818" s="404"/>
      <c r="X4818" s="404"/>
      <c r="Y4818" s="404"/>
      <c r="Z4818" s="404"/>
      <c r="AA4818" s="404"/>
      <c r="AB4818" s="404"/>
      <c r="AC4818" s="404"/>
      <c r="AD4818" s="404"/>
      <c r="AE4818" s="404"/>
      <c r="AF4818" s="404"/>
      <c r="AG4818" s="404"/>
      <c r="AH4818" s="404"/>
      <c r="AI4818" s="404"/>
      <c r="AJ4818" s="404"/>
      <c r="AK4818" s="404"/>
      <c r="AL4818" s="404"/>
      <c r="AM4818" s="404"/>
      <c r="AN4818" s="404"/>
      <c r="AO4818" s="404"/>
      <c r="AP4818" s="404"/>
      <c r="AQ4818" s="404"/>
      <c r="AR4818" s="404"/>
      <c r="AS4818" s="404"/>
      <c r="AT4818" s="404"/>
      <c r="AU4818" s="404"/>
      <c r="AV4818" s="404"/>
      <c r="AW4818" s="404"/>
      <c r="AX4818" s="404"/>
      <c r="AY4818" s="404"/>
      <c r="AZ4818" s="404"/>
      <c r="BA4818" s="404"/>
      <c r="BB4818" s="404"/>
      <c r="BC4818" s="404"/>
      <c r="BD4818" s="404"/>
      <c r="BE4818" s="404"/>
      <c r="BF4818" s="404"/>
      <c r="BG4818" s="404"/>
      <c r="BH4818" s="404"/>
      <c r="BI4818" s="404"/>
      <c r="BJ4818" s="404"/>
      <c r="BK4818" s="404"/>
      <c r="BL4818" s="404"/>
    </row>
    <row r="4819" spans="1:64" ht="25">
      <c r="A4819" s="426"/>
      <c r="B4819" s="426"/>
      <c r="C4819" s="417" t="s">
        <v>1716</v>
      </c>
      <c r="D4819" s="409">
        <v>90</v>
      </c>
      <c r="E4819" s="426" t="s">
        <v>1717</v>
      </c>
      <c r="F4819" s="409">
        <v>9</v>
      </c>
      <c r="G4819" s="426">
        <v>1</v>
      </c>
      <c r="H4819" s="410" t="s">
        <v>1717</v>
      </c>
      <c r="I4819" s="409">
        <f t="shared" si="1026"/>
        <v>810</v>
      </c>
      <c r="J4819" s="400"/>
      <c r="K4819" s="401"/>
      <c r="L4819" s="401"/>
      <c r="M4819" s="404"/>
      <c r="N4819" s="404"/>
      <c r="O4819" s="404"/>
      <c r="P4819" s="404"/>
      <c r="Q4819" s="404"/>
      <c r="R4819" s="404"/>
      <c r="S4819" s="404"/>
      <c r="T4819" s="404"/>
      <c r="U4819" s="404"/>
      <c r="V4819" s="404"/>
      <c r="W4819" s="404"/>
      <c r="X4819" s="404"/>
      <c r="Y4819" s="404"/>
      <c r="Z4819" s="404"/>
      <c r="AA4819" s="404"/>
      <c r="AB4819" s="404"/>
      <c r="AC4819" s="404"/>
      <c r="AD4819" s="404"/>
      <c r="AE4819" s="404"/>
      <c r="AF4819" s="404"/>
      <c r="AG4819" s="404"/>
      <c r="AH4819" s="404"/>
      <c r="AI4819" s="404"/>
      <c r="AJ4819" s="404"/>
      <c r="AK4819" s="404"/>
      <c r="AL4819" s="404"/>
      <c r="AM4819" s="404"/>
      <c r="AN4819" s="404"/>
      <c r="AO4819" s="404"/>
      <c r="AP4819" s="404"/>
      <c r="AQ4819" s="404"/>
      <c r="AR4819" s="404"/>
      <c r="AS4819" s="404"/>
      <c r="AT4819" s="404"/>
      <c r="AU4819" s="404"/>
      <c r="AV4819" s="404"/>
      <c r="AW4819" s="404"/>
      <c r="AX4819" s="404"/>
      <c r="AY4819" s="404"/>
      <c r="AZ4819" s="404"/>
      <c r="BA4819" s="404"/>
      <c r="BB4819" s="404"/>
      <c r="BC4819" s="404"/>
      <c r="BD4819" s="404"/>
      <c r="BE4819" s="404"/>
      <c r="BF4819" s="404"/>
      <c r="BG4819" s="404"/>
      <c r="BH4819" s="404"/>
      <c r="BI4819" s="404"/>
      <c r="BJ4819" s="404"/>
      <c r="BK4819" s="404"/>
      <c r="BL4819" s="404"/>
    </row>
    <row r="4820" spans="1:64" ht="37.5">
      <c r="A4820" s="426"/>
      <c r="B4820" s="426"/>
      <c r="C4820" s="417" t="s">
        <v>1718</v>
      </c>
      <c r="D4820" s="409">
        <v>483</v>
      </c>
      <c r="E4820" s="426" t="s">
        <v>678</v>
      </c>
      <c r="F4820" s="409">
        <v>0.6</v>
      </c>
      <c r="G4820" s="426">
        <v>1</v>
      </c>
      <c r="H4820" s="410" t="s">
        <v>678</v>
      </c>
      <c r="I4820" s="409">
        <f t="shared" si="1026"/>
        <v>289.8</v>
      </c>
      <c r="J4820" s="400"/>
      <c r="K4820" s="401"/>
      <c r="L4820" s="401"/>
      <c r="M4820" s="404"/>
      <c r="N4820" s="404"/>
      <c r="O4820" s="404"/>
      <c r="P4820" s="404"/>
      <c r="Q4820" s="404"/>
      <c r="R4820" s="404"/>
      <c r="S4820" s="404"/>
      <c r="T4820" s="404"/>
      <c r="U4820" s="404"/>
      <c r="V4820" s="404"/>
      <c r="W4820" s="404"/>
      <c r="X4820" s="404"/>
      <c r="Y4820" s="404"/>
      <c r="Z4820" s="404"/>
      <c r="AA4820" s="404"/>
      <c r="AB4820" s="404"/>
      <c r="AC4820" s="404"/>
      <c r="AD4820" s="404"/>
      <c r="AE4820" s="404"/>
      <c r="AF4820" s="404"/>
      <c r="AG4820" s="404"/>
      <c r="AH4820" s="404"/>
      <c r="AI4820" s="404"/>
      <c r="AJ4820" s="404"/>
      <c r="AK4820" s="404"/>
      <c r="AL4820" s="404"/>
      <c r="AM4820" s="404"/>
      <c r="AN4820" s="404"/>
      <c r="AO4820" s="404"/>
      <c r="AP4820" s="404"/>
      <c r="AQ4820" s="404"/>
      <c r="AR4820" s="404"/>
      <c r="AS4820" s="404"/>
      <c r="AT4820" s="404"/>
      <c r="AU4820" s="404"/>
      <c r="AV4820" s="404"/>
      <c r="AW4820" s="404"/>
      <c r="AX4820" s="404"/>
      <c r="AY4820" s="404"/>
      <c r="AZ4820" s="404"/>
      <c r="BA4820" s="404"/>
      <c r="BB4820" s="404"/>
      <c r="BC4820" s="404"/>
      <c r="BD4820" s="404"/>
      <c r="BE4820" s="404"/>
      <c r="BF4820" s="404"/>
      <c r="BG4820" s="404"/>
      <c r="BH4820" s="404"/>
      <c r="BI4820" s="404"/>
      <c r="BJ4820" s="404"/>
      <c r="BK4820" s="404"/>
      <c r="BL4820" s="404"/>
    </row>
    <row r="4821" spans="1:64" ht="25">
      <c r="A4821" s="426"/>
      <c r="B4821" s="426"/>
      <c r="C4821" s="417" t="s">
        <v>1719</v>
      </c>
      <c r="D4821" s="409">
        <v>122</v>
      </c>
      <c r="E4821" s="426" t="s">
        <v>1715</v>
      </c>
      <c r="F4821" s="409">
        <v>205</v>
      </c>
      <c r="G4821" s="426">
        <v>1</v>
      </c>
      <c r="H4821" s="410" t="s">
        <v>1715</v>
      </c>
      <c r="I4821" s="409">
        <f t="shared" si="1026"/>
        <v>25010</v>
      </c>
      <c r="J4821" s="400"/>
      <c r="K4821" s="401"/>
      <c r="L4821" s="401"/>
      <c r="M4821" s="404"/>
      <c r="N4821" s="404"/>
      <c r="O4821" s="404"/>
      <c r="P4821" s="404"/>
      <c r="Q4821" s="404"/>
      <c r="R4821" s="404"/>
      <c r="S4821" s="404"/>
      <c r="T4821" s="404"/>
      <c r="U4821" s="404"/>
      <c r="V4821" s="404"/>
      <c r="W4821" s="404"/>
      <c r="X4821" s="404"/>
      <c r="Y4821" s="404"/>
      <c r="Z4821" s="404"/>
      <c r="AA4821" s="404"/>
      <c r="AB4821" s="404"/>
      <c r="AC4821" s="404"/>
      <c r="AD4821" s="404"/>
      <c r="AE4821" s="404"/>
      <c r="AF4821" s="404"/>
      <c r="AG4821" s="404"/>
      <c r="AH4821" s="404"/>
      <c r="AI4821" s="404"/>
      <c r="AJ4821" s="404"/>
      <c r="AK4821" s="404"/>
      <c r="AL4821" s="404"/>
      <c r="AM4821" s="404"/>
      <c r="AN4821" s="404"/>
      <c r="AO4821" s="404"/>
      <c r="AP4821" s="404"/>
      <c r="AQ4821" s="404"/>
      <c r="AR4821" s="404"/>
      <c r="AS4821" s="404"/>
      <c r="AT4821" s="404"/>
      <c r="AU4821" s="404"/>
      <c r="AV4821" s="404"/>
      <c r="AW4821" s="404"/>
      <c r="AX4821" s="404"/>
      <c r="AY4821" s="404"/>
      <c r="AZ4821" s="404"/>
      <c r="BA4821" s="404"/>
      <c r="BB4821" s="404"/>
      <c r="BC4821" s="404"/>
      <c r="BD4821" s="404"/>
      <c r="BE4821" s="404"/>
      <c r="BF4821" s="404"/>
      <c r="BG4821" s="404"/>
      <c r="BH4821" s="404"/>
      <c r="BI4821" s="404"/>
      <c r="BJ4821" s="404"/>
      <c r="BK4821" s="404"/>
      <c r="BL4821" s="404"/>
    </row>
    <row r="4822" spans="1:64">
      <c r="A4822" s="426"/>
      <c r="B4822" s="426"/>
      <c r="C4822" s="417" t="s">
        <v>1720</v>
      </c>
      <c r="D4822" s="409">
        <v>18</v>
      </c>
      <c r="E4822" s="426" t="s">
        <v>877</v>
      </c>
      <c r="F4822" s="408">
        <f>+[161]Input!$D$53</f>
        <v>108</v>
      </c>
      <c r="G4822" s="426">
        <v>1</v>
      </c>
      <c r="H4822" s="410" t="s">
        <v>877</v>
      </c>
      <c r="I4822" s="409">
        <f t="shared" si="1026"/>
        <v>1944</v>
      </c>
      <c r="J4822" s="400"/>
      <c r="K4822" s="401"/>
      <c r="L4822" s="401"/>
      <c r="M4822" s="404"/>
      <c r="N4822" s="404"/>
      <c r="O4822" s="404"/>
      <c r="P4822" s="404"/>
      <c r="Q4822" s="404"/>
      <c r="R4822" s="404"/>
      <c r="S4822" s="404"/>
      <c r="T4822" s="404"/>
      <c r="U4822" s="404"/>
      <c r="V4822" s="404"/>
      <c r="W4822" s="404"/>
      <c r="X4822" s="404"/>
      <c r="Y4822" s="404"/>
      <c r="Z4822" s="404"/>
      <c r="AA4822" s="404"/>
      <c r="AB4822" s="404"/>
      <c r="AC4822" s="404"/>
      <c r="AD4822" s="404"/>
      <c r="AE4822" s="404"/>
      <c r="AF4822" s="404"/>
      <c r="AG4822" s="404"/>
      <c r="AH4822" s="404"/>
      <c r="AI4822" s="404"/>
      <c r="AJ4822" s="404"/>
      <c r="AK4822" s="404"/>
      <c r="AL4822" s="404"/>
      <c r="AM4822" s="404"/>
      <c r="AN4822" s="404"/>
      <c r="AO4822" s="404"/>
      <c r="AP4822" s="404"/>
      <c r="AQ4822" s="404"/>
      <c r="AR4822" s="404"/>
      <c r="AS4822" s="404"/>
      <c r="AT4822" s="404"/>
      <c r="AU4822" s="404"/>
      <c r="AV4822" s="404"/>
      <c r="AW4822" s="404"/>
      <c r="AX4822" s="404"/>
      <c r="AY4822" s="404"/>
      <c r="AZ4822" s="404"/>
      <c r="BA4822" s="404"/>
      <c r="BB4822" s="404"/>
      <c r="BC4822" s="404"/>
      <c r="BD4822" s="404"/>
      <c r="BE4822" s="404"/>
      <c r="BF4822" s="404"/>
      <c r="BG4822" s="404"/>
      <c r="BH4822" s="404"/>
      <c r="BI4822" s="404"/>
      <c r="BJ4822" s="404"/>
      <c r="BK4822" s="404"/>
      <c r="BL4822" s="404"/>
    </row>
    <row r="4823" spans="1:64" ht="25">
      <c r="A4823" s="426"/>
      <c r="B4823" s="426"/>
      <c r="C4823" s="417" t="s">
        <v>1721</v>
      </c>
      <c r="D4823" s="409">
        <v>3</v>
      </c>
      <c r="E4823" s="426" t="s">
        <v>17</v>
      </c>
      <c r="F4823" s="409">
        <v>915</v>
      </c>
      <c r="G4823" s="426">
        <v>1</v>
      </c>
      <c r="H4823" s="410" t="s">
        <v>17</v>
      </c>
      <c r="I4823" s="409">
        <f t="shared" si="1026"/>
        <v>2745</v>
      </c>
      <c r="J4823" s="400"/>
      <c r="K4823" s="401"/>
      <c r="L4823" s="401"/>
      <c r="M4823" s="404"/>
      <c r="N4823" s="404"/>
      <c r="O4823" s="404"/>
      <c r="P4823" s="404"/>
      <c r="Q4823" s="404"/>
      <c r="R4823" s="404"/>
      <c r="S4823" s="404"/>
      <c r="T4823" s="404"/>
      <c r="U4823" s="404"/>
      <c r="V4823" s="404"/>
      <c r="W4823" s="404"/>
      <c r="X4823" s="404"/>
      <c r="Y4823" s="404"/>
      <c r="Z4823" s="404"/>
      <c r="AA4823" s="404"/>
      <c r="AB4823" s="404"/>
      <c r="AC4823" s="404"/>
      <c r="AD4823" s="404"/>
      <c r="AE4823" s="404"/>
      <c r="AF4823" s="404"/>
      <c r="AG4823" s="404"/>
      <c r="AH4823" s="404"/>
      <c r="AI4823" s="404"/>
      <c r="AJ4823" s="404"/>
      <c r="AK4823" s="404"/>
      <c r="AL4823" s="404"/>
      <c r="AM4823" s="404"/>
      <c r="AN4823" s="404"/>
      <c r="AO4823" s="404"/>
      <c r="AP4823" s="404"/>
      <c r="AQ4823" s="404"/>
      <c r="AR4823" s="404"/>
      <c r="AS4823" s="404"/>
      <c r="AT4823" s="404"/>
      <c r="AU4823" s="404"/>
      <c r="AV4823" s="404"/>
      <c r="AW4823" s="404"/>
      <c r="AX4823" s="404"/>
      <c r="AY4823" s="404"/>
      <c r="AZ4823" s="404"/>
      <c r="BA4823" s="404"/>
      <c r="BB4823" s="404"/>
      <c r="BC4823" s="404"/>
      <c r="BD4823" s="404"/>
      <c r="BE4823" s="404"/>
      <c r="BF4823" s="404"/>
      <c r="BG4823" s="404"/>
      <c r="BH4823" s="404"/>
      <c r="BI4823" s="404"/>
      <c r="BJ4823" s="404"/>
      <c r="BK4823" s="404"/>
      <c r="BL4823" s="404"/>
    </row>
    <row r="4824" spans="1:64" ht="13">
      <c r="A4824" s="426"/>
      <c r="B4824" s="426"/>
      <c r="C4824" s="427"/>
      <c r="D4824" s="409"/>
      <c r="E4824" s="426"/>
      <c r="F4824" s="409"/>
      <c r="G4824" s="426"/>
      <c r="H4824" s="492" t="s">
        <v>1722</v>
      </c>
      <c r="I4824" s="409">
        <f>SUM(I4785:I4823)</f>
        <v>528406.02</v>
      </c>
      <c r="J4824" s="400"/>
      <c r="K4824" s="401"/>
      <c r="L4824" s="401"/>
      <c r="M4824" s="404"/>
      <c r="N4824" s="404"/>
      <c r="O4824" s="404"/>
      <c r="P4824" s="404"/>
      <c r="Q4824" s="404"/>
      <c r="R4824" s="404"/>
      <c r="S4824" s="404"/>
      <c r="T4824" s="404"/>
      <c r="U4824" s="404"/>
      <c r="V4824" s="404"/>
      <c r="W4824" s="404"/>
      <c r="X4824" s="404"/>
      <c r="Y4824" s="404"/>
      <c r="Z4824" s="404"/>
      <c r="AA4824" s="404"/>
      <c r="AB4824" s="404"/>
      <c r="AC4824" s="404"/>
      <c r="AD4824" s="404"/>
      <c r="AE4824" s="404"/>
      <c r="AF4824" s="404"/>
      <c r="AG4824" s="404"/>
      <c r="AH4824" s="404"/>
      <c r="AI4824" s="404"/>
      <c r="AJ4824" s="404"/>
      <c r="AK4824" s="404"/>
      <c r="AL4824" s="404"/>
      <c r="AM4824" s="404"/>
      <c r="AN4824" s="404"/>
      <c r="AO4824" s="404"/>
      <c r="AP4824" s="404"/>
      <c r="AQ4824" s="404"/>
      <c r="AR4824" s="404"/>
      <c r="AS4824" s="404"/>
      <c r="AT4824" s="404"/>
      <c r="AU4824" s="404"/>
      <c r="AV4824" s="404"/>
      <c r="AW4824" s="404"/>
      <c r="AX4824" s="404"/>
      <c r="AY4824" s="404"/>
      <c r="AZ4824" s="404"/>
      <c r="BA4824" s="404"/>
      <c r="BB4824" s="404"/>
      <c r="BC4824" s="404"/>
      <c r="BD4824" s="404"/>
      <c r="BE4824" s="404"/>
      <c r="BF4824" s="404"/>
      <c r="BG4824" s="404"/>
      <c r="BH4824" s="404"/>
      <c r="BI4824" s="404"/>
      <c r="BJ4824" s="404"/>
      <c r="BK4824" s="404"/>
      <c r="BL4824" s="404"/>
    </row>
    <row r="4825" spans="1:64">
      <c r="A4825" s="426"/>
      <c r="B4825" s="426"/>
      <c r="C4825" s="417" t="s">
        <v>1723</v>
      </c>
      <c r="D4825" s="409">
        <v>0.03</v>
      </c>
      <c r="E4825" s="426"/>
      <c r="F4825" s="647">
        <f>I4824</f>
        <v>528406.02</v>
      </c>
      <c r="G4825" s="426"/>
      <c r="H4825" s="410"/>
      <c r="I4825" s="409">
        <f>ROUND(F4825*D4825,2)</f>
        <v>15852.18</v>
      </c>
      <c r="J4825" s="400"/>
      <c r="K4825" s="401"/>
      <c r="L4825" s="401"/>
      <c r="M4825" s="404"/>
      <c r="N4825" s="404"/>
      <c r="O4825" s="404"/>
      <c r="P4825" s="404"/>
      <c r="Q4825" s="404"/>
      <c r="R4825" s="404"/>
      <c r="S4825" s="404"/>
      <c r="T4825" s="404"/>
      <c r="U4825" s="404"/>
      <c r="V4825" s="404"/>
      <c r="W4825" s="404"/>
      <c r="X4825" s="404"/>
      <c r="Y4825" s="404"/>
      <c r="Z4825" s="404"/>
      <c r="AA4825" s="404"/>
      <c r="AB4825" s="404"/>
      <c r="AC4825" s="404"/>
      <c r="AD4825" s="404"/>
      <c r="AE4825" s="404"/>
      <c r="AF4825" s="404"/>
      <c r="AG4825" s="404"/>
      <c r="AH4825" s="404"/>
      <c r="AI4825" s="404"/>
      <c r="AJ4825" s="404"/>
      <c r="AK4825" s="404"/>
      <c r="AL4825" s="404"/>
      <c r="AM4825" s="404"/>
      <c r="AN4825" s="404"/>
      <c r="AO4825" s="404"/>
      <c r="AP4825" s="404"/>
      <c r="AQ4825" s="404"/>
      <c r="AR4825" s="404"/>
      <c r="AS4825" s="404"/>
      <c r="AT4825" s="404"/>
      <c r="AU4825" s="404"/>
      <c r="AV4825" s="404"/>
      <c r="AW4825" s="404"/>
      <c r="AX4825" s="404"/>
      <c r="AY4825" s="404"/>
      <c r="AZ4825" s="404"/>
      <c r="BA4825" s="404"/>
      <c r="BB4825" s="404"/>
      <c r="BC4825" s="404"/>
      <c r="BD4825" s="404"/>
      <c r="BE4825" s="404"/>
      <c r="BF4825" s="404"/>
      <c r="BG4825" s="404"/>
      <c r="BH4825" s="404"/>
      <c r="BI4825" s="404"/>
      <c r="BJ4825" s="404"/>
      <c r="BK4825" s="404"/>
      <c r="BL4825" s="404"/>
    </row>
    <row r="4826" spans="1:64">
      <c r="A4826" s="426"/>
      <c r="B4826" s="426"/>
      <c r="C4826" s="417"/>
      <c r="D4826" s="409"/>
      <c r="E4826" s="426"/>
      <c r="F4826" s="409"/>
      <c r="G4826" s="426"/>
      <c r="H4826" s="410"/>
      <c r="I4826" s="409">
        <f>SUM(I4824:I4825)</f>
        <v>544258.20000000007</v>
      </c>
      <c r="J4826" s="400"/>
      <c r="K4826" s="401"/>
      <c r="L4826" s="401"/>
      <c r="M4826" s="404"/>
      <c r="N4826" s="404"/>
      <c r="O4826" s="404"/>
      <c r="P4826" s="404"/>
      <c r="Q4826" s="404"/>
      <c r="R4826" s="404"/>
      <c r="S4826" s="404"/>
      <c r="T4826" s="404"/>
      <c r="U4826" s="404"/>
      <c r="V4826" s="404"/>
      <c r="W4826" s="404"/>
      <c r="X4826" s="404"/>
      <c r="Y4826" s="404"/>
      <c r="Z4826" s="404"/>
      <c r="AA4826" s="404"/>
      <c r="AB4826" s="404"/>
      <c r="AC4826" s="404"/>
      <c r="AD4826" s="404"/>
      <c r="AE4826" s="404"/>
      <c r="AF4826" s="404"/>
      <c r="AG4826" s="404"/>
      <c r="AH4826" s="404"/>
      <c r="AI4826" s="404"/>
      <c r="AJ4826" s="404"/>
      <c r="AK4826" s="404"/>
      <c r="AL4826" s="404"/>
      <c r="AM4826" s="404"/>
      <c r="AN4826" s="404"/>
      <c r="AO4826" s="404"/>
      <c r="AP4826" s="404"/>
      <c r="AQ4826" s="404"/>
      <c r="AR4826" s="404"/>
      <c r="AS4826" s="404"/>
      <c r="AT4826" s="404"/>
      <c r="AU4826" s="404"/>
      <c r="AV4826" s="404"/>
      <c r="AW4826" s="404"/>
      <c r="AX4826" s="404"/>
      <c r="AY4826" s="404"/>
      <c r="AZ4826" s="404"/>
      <c r="BA4826" s="404"/>
      <c r="BB4826" s="404"/>
      <c r="BC4826" s="404"/>
      <c r="BD4826" s="404"/>
      <c r="BE4826" s="404"/>
      <c r="BF4826" s="404"/>
      <c r="BG4826" s="404"/>
      <c r="BH4826" s="404"/>
      <c r="BI4826" s="404"/>
      <c r="BJ4826" s="404"/>
      <c r="BK4826" s="404"/>
      <c r="BL4826" s="404"/>
    </row>
    <row r="4827" spans="1:64" ht="25">
      <c r="A4827" s="426"/>
      <c r="B4827" s="426"/>
      <c r="C4827" s="417" t="str">
        <f>[161]Input!$C$48</f>
        <v>Overheads &amp; Contractors Profit @ 13.615%</v>
      </c>
      <c r="D4827" s="444">
        <f>[161]Input!$D$48</f>
        <v>0.13614999999999999</v>
      </c>
      <c r="E4827" s="426"/>
      <c r="F4827" s="647">
        <f>I4826</f>
        <v>544258.20000000007</v>
      </c>
      <c r="G4827" s="426"/>
      <c r="H4827" s="410"/>
      <c r="I4827" s="409">
        <f>ROUND(F4827*D4827,2)</f>
        <v>74100.75</v>
      </c>
      <c r="J4827" s="400"/>
      <c r="K4827" s="401"/>
      <c r="L4827" s="401"/>
      <c r="M4827" s="404"/>
      <c r="N4827" s="404"/>
      <c r="O4827" s="404"/>
      <c r="P4827" s="404"/>
      <c r="Q4827" s="404"/>
      <c r="R4827" s="404"/>
      <c r="S4827" s="404"/>
      <c r="T4827" s="404"/>
      <c r="U4827" s="404"/>
      <c r="V4827" s="404"/>
      <c r="W4827" s="404"/>
      <c r="X4827" s="404"/>
      <c r="Y4827" s="404"/>
      <c r="Z4827" s="404"/>
      <c r="AA4827" s="404"/>
      <c r="AB4827" s="404"/>
      <c r="AC4827" s="404"/>
      <c r="AD4827" s="404"/>
      <c r="AE4827" s="404"/>
      <c r="AF4827" s="404"/>
      <c r="AG4827" s="404"/>
      <c r="AH4827" s="404"/>
      <c r="AI4827" s="404"/>
      <c r="AJ4827" s="404"/>
      <c r="AK4827" s="404"/>
      <c r="AL4827" s="404"/>
      <c r="AM4827" s="404"/>
      <c r="AN4827" s="404"/>
      <c r="AO4827" s="404"/>
      <c r="AP4827" s="404"/>
      <c r="AQ4827" s="404"/>
      <c r="AR4827" s="404"/>
      <c r="AS4827" s="404"/>
      <c r="AT4827" s="404"/>
      <c r="AU4827" s="404"/>
      <c r="AV4827" s="404"/>
      <c r="AW4827" s="404"/>
      <c r="AX4827" s="404"/>
      <c r="AY4827" s="404"/>
      <c r="AZ4827" s="404"/>
      <c r="BA4827" s="404"/>
      <c r="BB4827" s="404"/>
      <c r="BC4827" s="404"/>
      <c r="BD4827" s="404"/>
      <c r="BE4827" s="404"/>
      <c r="BF4827" s="404"/>
      <c r="BG4827" s="404"/>
      <c r="BH4827" s="404"/>
      <c r="BI4827" s="404"/>
      <c r="BJ4827" s="404"/>
      <c r="BK4827" s="404"/>
      <c r="BL4827" s="404"/>
    </row>
    <row r="4828" spans="1:64" ht="13">
      <c r="A4828" s="426"/>
      <c r="B4828" s="426"/>
      <c r="C4828" s="427" t="s">
        <v>1724</v>
      </c>
      <c r="D4828" s="409"/>
      <c r="E4828" s="426"/>
      <c r="F4828" s="409"/>
      <c r="G4828" s="426"/>
      <c r="H4828" s="410"/>
      <c r="I4828" s="409">
        <f>SUM(I4826:I4827)</f>
        <v>618358.95000000007</v>
      </c>
      <c r="J4828" s="400"/>
      <c r="K4828" s="401"/>
      <c r="L4828" s="401"/>
      <c r="M4828" s="404"/>
      <c r="N4828" s="404"/>
      <c r="O4828" s="404"/>
      <c r="P4828" s="404"/>
      <c r="Q4828" s="404"/>
      <c r="R4828" s="404"/>
      <c r="S4828" s="404"/>
      <c r="T4828" s="404"/>
      <c r="U4828" s="404"/>
      <c r="V4828" s="404"/>
      <c r="W4828" s="404"/>
      <c r="X4828" s="404"/>
      <c r="Y4828" s="404"/>
      <c r="Z4828" s="404"/>
      <c r="AA4828" s="404"/>
      <c r="AB4828" s="404"/>
      <c r="AC4828" s="404"/>
      <c r="AD4828" s="404"/>
      <c r="AE4828" s="404"/>
      <c r="AF4828" s="404"/>
      <c r="AG4828" s="404"/>
      <c r="AH4828" s="404"/>
      <c r="AI4828" s="404"/>
      <c r="AJ4828" s="404"/>
      <c r="AK4828" s="404"/>
      <c r="AL4828" s="404"/>
      <c r="AM4828" s="404"/>
      <c r="AN4828" s="404"/>
      <c r="AO4828" s="404"/>
      <c r="AP4828" s="404"/>
      <c r="AQ4828" s="404"/>
      <c r="AR4828" s="404"/>
      <c r="AS4828" s="404"/>
      <c r="AT4828" s="404"/>
      <c r="AU4828" s="404"/>
      <c r="AV4828" s="404"/>
      <c r="AW4828" s="404"/>
      <c r="AX4828" s="404"/>
      <c r="AY4828" s="404"/>
      <c r="AZ4828" s="404"/>
      <c r="BA4828" s="404"/>
      <c r="BB4828" s="404"/>
      <c r="BC4828" s="404"/>
      <c r="BD4828" s="404"/>
      <c r="BE4828" s="404"/>
      <c r="BF4828" s="404"/>
      <c r="BG4828" s="404"/>
      <c r="BH4828" s="404"/>
      <c r="BI4828" s="404"/>
      <c r="BJ4828" s="404"/>
      <c r="BK4828" s="404"/>
      <c r="BL4828" s="404"/>
    </row>
    <row r="4829" spans="1:64" ht="13">
      <c r="A4829" s="426"/>
      <c r="B4829" s="426"/>
      <c r="C4829" s="427" t="s">
        <v>1725</v>
      </c>
      <c r="D4829" s="409"/>
      <c r="E4829" s="426"/>
      <c r="F4829" s="409"/>
      <c r="G4829" s="426"/>
      <c r="H4829" s="410"/>
      <c r="I4829" s="434">
        <f>I4828/75</f>
        <v>8244.7860000000001</v>
      </c>
      <c r="J4829" s="400"/>
      <c r="K4829" s="401"/>
      <c r="L4829" s="401"/>
      <c r="M4829" s="404"/>
      <c r="N4829" s="404"/>
      <c r="O4829" s="404"/>
      <c r="P4829" s="404"/>
      <c r="Q4829" s="404"/>
      <c r="R4829" s="404"/>
      <c r="S4829" s="404"/>
      <c r="T4829" s="404"/>
      <c r="U4829" s="404"/>
      <c r="V4829" s="404"/>
      <c r="W4829" s="404"/>
      <c r="X4829" s="404"/>
      <c r="Y4829" s="404"/>
      <c r="Z4829" s="404"/>
      <c r="AA4829" s="404"/>
      <c r="AB4829" s="404"/>
      <c r="AC4829" s="404"/>
      <c r="AD4829" s="404"/>
      <c r="AE4829" s="404"/>
      <c r="AF4829" s="404"/>
      <c r="AG4829" s="404"/>
      <c r="AH4829" s="404"/>
      <c r="AI4829" s="404"/>
      <c r="AJ4829" s="404"/>
      <c r="AK4829" s="404"/>
      <c r="AL4829" s="404"/>
      <c r="AM4829" s="404"/>
      <c r="AN4829" s="404"/>
      <c r="AO4829" s="404"/>
      <c r="AP4829" s="404"/>
      <c r="AQ4829" s="404"/>
      <c r="AR4829" s="404"/>
      <c r="AS4829" s="404"/>
      <c r="AT4829" s="404"/>
      <c r="AU4829" s="404"/>
      <c r="AV4829" s="404"/>
      <c r="AW4829" s="404"/>
      <c r="AX4829" s="404"/>
      <c r="AY4829" s="404"/>
      <c r="AZ4829" s="404"/>
      <c r="BA4829" s="404"/>
      <c r="BB4829" s="404"/>
      <c r="BC4829" s="404"/>
      <c r="BD4829" s="404"/>
      <c r="BE4829" s="404"/>
      <c r="BF4829" s="404"/>
      <c r="BG4829" s="404"/>
      <c r="BH4829" s="404"/>
      <c r="BI4829" s="404"/>
      <c r="BJ4829" s="404"/>
      <c r="BK4829" s="404"/>
      <c r="BL4829" s="404"/>
    </row>
    <row r="4830" spans="1:64" ht="13">
      <c r="A4830" s="426"/>
      <c r="B4830" s="426"/>
      <c r="C4830" s="435"/>
      <c r="D4830" s="434"/>
      <c r="E4830" s="474"/>
      <c r="F4830" s="434"/>
      <c r="G4830" s="426"/>
      <c r="H4830" s="407" t="s">
        <v>774</v>
      </c>
      <c r="I4830" s="492">
        <f>ROUND(I4829,0)</f>
        <v>8245</v>
      </c>
      <c r="J4830" s="400"/>
      <c r="K4830" s="401"/>
      <c r="L4830" s="401"/>
      <c r="M4830" s="404"/>
      <c r="N4830" s="404"/>
      <c r="O4830" s="404"/>
      <c r="P4830" s="404"/>
      <c r="Q4830" s="404"/>
      <c r="R4830" s="404"/>
      <c r="S4830" s="404"/>
      <c r="T4830" s="404"/>
      <c r="U4830" s="404"/>
      <c r="V4830" s="404"/>
      <c r="W4830" s="404"/>
      <c r="X4830" s="404"/>
      <c r="Y4830" s="404"/>
      <c r="Z4830" s="404"/>
      <c r="AA4830" s="404"/>
      <c r="AB4830" s="404"/>
      <c r="AC4830" s="404"/>
      <c r="AD4830" s="404"/>
      <c r="AE4830" s="404"/>
      <c r="AF4830" s="404"/>
      <c r="AG4830" s="404"/>
      <c r="AH4830" s="404"/>
      <c r="AI4830" s="404"/>
      <c r="AJ4830" s="404"/>
      <c r="AK4830" s="404"/>
      <c r="AL4830" s="404"/>
      <c r="AM4830" s="404"/>
      <c r="AN4830" s="404"/>
      <c r="AO4830" s="404"/>
      <c r="AP4830" s="404"/>
      <c r="AQ4830" s="404"/>
      <c r="AR4830" s="404"/>
      <c r="AS4830" s="404"/>
      <c r="AT4830" s="404"/>
      <c r="AU4830" s="404"/>
      <c r="AV4830" s="404"/>
      <c r="AW4830" s="404"/>
      <c r="AX4830" s="404"/>
      <c r="AY4830" s="404"/>
      <c r="AZ4830" s="404"/>
      <c r="BA4830" s="404"/>
      <c r="BB4830" s="404"/>
      <c r="BC4830" s="404"/>
      <c r="BD4830" s="404"/>
      <c r="BE4830" s="404"/>
      <c r="BF4830" s="404"/>
      <c r="BG4830" s="404"/>
      <c r="BH4830" s="404"/>
      <c r="BI4830" s="404"/>
      <c r="BJ4830" s="404"/>
      <c r="BK4830" s="404"/>
      <c r="BL4830" s="404"/>
    </row>
    <row r="4831" spans="1:64" ht="80.650000000000006" customHeight="1">
      <c r="A4831" s="1280">
        <v>15</v>
      </c>
      <c r="B4831" s="1280"/>
      <c r="C4831" s="1276" t="s">
        <v>1726</v>
      </c>
      <c r="D4831" s="1276"/>
      <c r="E4831" s="1276"/>
      <c r="F4831" s="1276"/>
      <c r="G4831" s="1276"/>
      <c r="H4831" s="1276"/>
      <c r="I4831" s="407"/>
      <c r="J4831" s="400"/>
      <c r="K4831" s="401"/>
      <c r="L4831" s="401"/>
      <c r="M4831" s="404"/>
      <c r="N4831" s="404"/>
      <c r="O4831" s="404"/>
      <c r="P4831" s="404"/>
      <c r="Q4831" s="404"/>
      <c r="R4831" s="404"/>
      <c r="S4831" s="404"/>
      <c r="T4831" s="404"/>
      <c r="U4831" s="404"/>
      <c r="V4831" s="404"/>
      <c r="W4831" s="404"/>
      <c r="X4831" s="404"/>
      <c r="Y4831" s="404"/>
      <c r="Z4831" s="404"/>
      <c r="AA4831" s="404"/>
      <c r="AB4831" s="404"/>
      <c r="AC4831" s="404"/>
      <c r="AD4831" s="404"/>
      <c r="AE4831" s="404"/>
      <c r="AF4831" s="404"/>
      <c r="AG4831" s="404"/>
      <c r="AH4831" s="404"/>
      <c r="AI4831" s="404"/>
      <c r="AJ4831" s="404"/>
      <c r="AK4831" s="404"/>
      <c r="AL4831" s="404"/>
      <c r="AM4831" s="404"/>
      <c r="AN4831" s="404"/>
      <c r="AO4831" s="404"/>
      <c r="AP4831" s="404"/>
      <c r="AQ4831" s="404"/>
      <c r="AR4831" s="404"/>
      <c r="AS4831" s="404"/>
      <c r="AT4831" s="404"/>
      <c r="AU4831" s="404"/>
      <c r="AV4831" s="404"/>
      <c r="AW4831" s="404"/>
      <c r="AX4831" s="404"/>
      <c r="AY4831" s="404"/>
      <c r="AZ4831" s="404"/>
      <c r="BA4831" s="404"/>
      <c r="BB4831" s="404"/>
      <c r="BC4831" s="404"/>
      <c r="BD4831" s="404"/>
      <c r="BE4831" s="404"/>
      <c r="BF4831" s="404"/>
      <c r="BG4831" s="404"/>
      <c r="BH4831" s="404"/>
      <c r="BI4831" s="404"/>
      <c r="BJ4831" s="404"/>
      <c r="BK4831" s="404"/>
      <c r="BL4831" s="404"/>
    </row>
    <row r="4832" spans="1:64">
      <c r="A4832" s="406"/>
      <c r="B4832" s="406"/>
      <c r="C4832" s="417" t="s">
        <v>1635</v>
      </c>
      <c r="D4832" s="459">
        <v>1</v>
      </c>
      <c r="E4832" s="458" t="s">
        <v>122</v>
      </c>
      <c r="F4832" s="459">
        <f>[161]LEAD!N10</f>
        <v>61000</v>
      </c>
      <c r="G4832" s="458">
        <v>1</v>
      </c>
      <c r="H4832" s="599" t="str">
        <f t="shared" ref="H4832:H4834" si="1027">IF(E4832="","",IF(E4832="No.","Each",IF(E4832="Nos.","Each",E4832)))</f>
        <v>MT</v>
      </c>
      <c r="I4832" s="459">
        <f t="shared" ref="I4832:I4835" si="1028">IF(G4832="",D4832*F4832,(D4832*F4832/G4832))</f>
        <v>61000</v>
      </c>
      <c r="J4832" s="400"/>
      <c r="K4832" s="401"/>
      <c r="L4832" s="401"/>
      <c r="M4832" s="404"/>
      <c r="N4832" s="404"/>
      <c r="O4832" s="404"/>
      <c r="P4832" s="404"/>
      <c r="Q4832" s="404"/>
      <c r="R4832" s="404"/>
      <c r="S4832" s="404"/>
      <c r="T4832" s="404"/>
      <c r="U4832" s="404"/>
      <c r="V4832" s="404"/>
      <c r="W4832" s="404"/>
      <c r="X4832" s="404"/>
      <c r="Y4832" s="404"/>
      <c r="Z4832" s="404"/>
      <c r="AA4832" s="404"/>
      <c r="AB4832" s="404"/>
      <c r="AC4832" s="404"/>
      <c r="AD4832" s="404"/>
      <c r="AE4832" s="404"/>
      <c r="AF4832" s="404"/>
      <c r="AG4832" s="404"/>
      <c r="AH4832" s="404"/>
      <c r="AI4832" s="404"/>
      <c r="AJ4832" s="404"/>
      <c r="AK4832" s="404"/>
      <c r="AL4832" s="404"/>
      <c r="AM4832" s="404"/>
      <c r="AN4832" s="404"/>
      <c r="AO4832" s="404"/>
      <c r="AP4832" s="404"/>
      <c r="AQ4832" s="404"/>
      <c r="AR4832" s="404"/>
      <c r="AS4832" s="404"/>
      <c r="AT4832" s="404"/>
      <c r="AU4832" s="404"/>
      <c r="AV4832" s="404"/>
      <c r="AW4832" s="404"/>
      <c r="AX4832" s="404"/>
      <c r="AY4832" s="404"/>
      <c r="AZ4832" s="404"/>
      <c r="BA4832" s="404"/>
      <c r="BB4832" s="404"/>
      <c r="BC4832" s="404"/>
      <c r="BD4832" s="404"/>
      <c r="BE4832" s="404"/>
      <c r="BF4832" s="404"/>
      <c r="BG4832" s="404"/>
      <c r="BH4832" s="404"/>
      <c r="BI4832" s="404"/>
      <c r="BJ4832" s="404"/>
      <c r="BK4832" s="404"/>
      <c r="BL4832" s="404"/>
    </row>
    <row r="4833" spans="1:64" ht="25">
      <c r="A4833" s="406"/>
      <c r="B4833" s="406"/>
      <c r="C4833" s="435" t="s">
        <v>1636</v>
      </c>
      <c r="D4833" s="459">
        <f t="shared" ref="D4833:D4834" si="1029">D4832</f>
        <v>1</v>
      </c>
      <c r="E4833" s="458" t="s">
        <v>122</v>
      </c>
      <c r="F4833" s="459">
        <v>37000</v>
      </c>
      <c r="G4833" s="458">
        <v>1</v>
      </c>
      <c r="H4833" s="599" t="str">
        <f t="shared" si="1027"/>
        <v>MT</v>
      </c>
      <c r="I4833" s="459">
        <f t="shared" si="1028"/>
        <v>37000</v>
      </c>
      <c r="J4833" s="400"/>
      <c r="K4833" s="401"/>
      <c r="L4833" s="401"/>
      <c r="M4833" s="404"/>
      <c r="N4833" s="404"/>
      <c r="O4833" s="404"/>
      <c r="P4833" s="404"/>
      <c r="Q4833" s="404"/>
      <c r="R4833" s="404"/>
      <c r="S4833" s="404"/>
      <c r="T4833" s="404"/>
      <c r="U4833" s="404"/>
      <c r="V4833" s="404"/>
      <c r="W4833" s="404"/>
      <c r="X4833" s="404"/>
      <c r="Y4833" s="404"/>
      <c r="Z4833" s="404"/>
      <c r="AA4833" s="404"/>
      <c r="AB4833" s="404"/>
      <c r="AC4833" s="404"/>
      <c r="AD4833" s="404"/>
      <c r="AE4833" s="404"/>
      <c r="AF4833" s="404"/>
      <c r="AG4833" s="404"/>
      <c r="AH4833" s="404"/>
      <c r="AI4833" s="404"/>
      <c r="AJ4833" s="404"/>
      <c r="AK4833" s="404"/>
      <c r="AL4833" s="404"/>
      <c r="AM4833" s="404"/>
      <c r="AN4833" s="404"/>
      <c r="AO4833" s="404"/>
      <c r="AP4833" s="404"/>
      <c r="AQ4833" s="404"/>
      <c r="AR4833" s="404"/>
      <c r="AS4833" s="404"/>
      <c r="AT4833" s="404"/>
      <c r="AU4833" s="404"/>
      <c r="AV4833" s="404"/>
      <c r="AW4833" s="404"/>
      <c r="AX4833" s="404"/>
      <c r="AY4833" s="404"/>
      <c r="AZ4833" s="404"/>
      <c r="BA4833" s="404"/>
      <c r="BB4833" s="404"/>
      <c r="BC4833" s="404"/>
      <c r="BD4833" s="404"/>
      <c r="BE4833" s="404"/>
      <c r="BF4833" s="404"/>
      <c r="BG4833" s="404"/>
      <c r="BH4833" s="404"/>
      <c r="BI4833" s="404"/>
      <c r="BJ4833" s="404"/>
      <c r="BK4833" s="404"/>
      <c r="BL4833" s="404"/>
    </row>
    <row r="4834" spans="1:64">
      <c r="A4834" s="406"/>
      <c r="B4834" s="406"/>
      <c r="C4834" s="435" t="s">
        <v>1637</v>
      </c>
      <c r="D4834" s="459">
        <f t="shared" si="1029"/>
        <v>1</v>
      </c>
      <c r="E4834" s="458" t="s">
        <v>122</v>
      </c>
      <c r="F4834" s="459">
        <v>6000</v>
      </c>
      <c r="G4834" s="458">
        <v>1</v>
      </c>
      <c r="H4834" s="599" t="str">
        <f t="shared" si="1027"/>
        <v>MT</v>
      </c>
      <c r="I4834" s="459">
        <f t="shared" si="1028"/>
        <v>6000</v>
      </c>
      <c r="J4834" s="400"/>
      <c r="K4834" s="401"/>
      <c r="L4834" s="401"/>
      <c r="M4834" s="404"/>
      <c r="N4834" s="404"/>
      <c r="O4834" s="404"/>
      <c r="P4834" s="404"/>
      <c r="Q4834" s="404"/>
      <c r="R4834" s="404"/>
      <c r="S4834" s="404"/>
      <c r="T4834" s="404"/>
      <c r="U4834" s="404"/>
      <c r="V4834" s="404"/>
      <c r="W4834" s="404"/>
      <c r="X4834" s="404"/>
      <c r="Y4834" s="404"/>
      <c r="Z4834" s="404"/>
      <c r="AA4834" s="404"/>
      <c r="AB4834" s="404"/>
      <c r="AC4834" s="404"/>
      <c r="AD4834" s="404"/>
      <c r="AE4834" s="404"/>
      <c r="AF4834" s="404"/>
      <c r="AG4834" s="404"/>
      <c r="AH4834" s="404"/>
      <c r="AI4834" s="404"/>
      <c r="AJ4834" s="404"/>
      <c r="AK4834" s="404"/>
      <c r="AL4834" s="404"/>
      <c r="AM4834" s="404"/>
      <c r="AN4834" s="404"/>
      <c r="AO4834" s="404"/>
      <c r="AP4834" s="404"/>
      <c r="AQ4834" s="404"/>
      <c r="AR4834" s="404"/>
      <c r="AS4834" s="404"/>
      <c r="AT4834" s="404"/>
      <c r="AU4834" s="404"/>
      <c r="AV4834" s="404"/>
      <c r="AW4834" s="404"/>
      <c r="AX4834" s="404"/>
      <c r="AY4834" s="404"/>
      <c r="AZ4834" s="404"/>
      <c r="BA4834" s="404"/>
      <c r="BB4834" s="404"/>
      <c r="BC4834" s="404"/>
      <c r="BD4834" s="404"/>
      <c r="BE4834" s="404"/>
      <c r="BF4834" s="404"/>
      <c r="BG4834" s="404"/>
      <c r="BH4834" s="404"/>
      <c r="BI4834" s="404"/>
      <c r="BJ4834" s="404"/>
      <c r="BK4834" s="404"/>
      <c r="BL4834" s="404"/>
    </row>
    <row r="4835" spans="1:64">
      <c r="A4835" s="406"/>
      <c r="B4835" s="406"/>
      <c r="C4835" s="417" t="str">
        <f>[161]Input!C$47</f>
        <v>Add for MA @ 40%</v>
      </c>
      <c r="D4835" s="746">
        <f>[161]Input!D$47</f>
        <v>0.4</v>
      </c>
      <c r="E4835" s="458"/>
      <c r="F4835" s="459">
        <f>I4833*40%+I4834</f>
        <v>20800</v>
      </c>
      <c r="G4835" s="406"/>
      <c r="H4835" s="406"/>
      <c r="I4835" s="459">
        <f t="shared" si="1028"/>
        <v>8320</v>
      </c>
      <c r="J4835" s="400"/>
      <c r="K4835" s="401"/>
      <c r="L4835" s="401"/>
      <c r="M4835" s="404"/>
      <c r="N4835" s="404"/>
      <c r="O4835" s="404"/>
      <c r="P4835" s="404"/>
      <c r="Q4835" s="404"/>
      <c r="R4835" s="404"/>
      <c r="S4835" s="404"/>
      <c r="T4835" s="404"/>
      <c r="U4835" s="404"/>
      <c r="V4835" s="404"/>
      <c r="W4835" s="404"/>
      <c r="X4835" s="404"/>
      <c r="Y4835" s="404"/>
      <c r="Z4835" s="404"/>
      <c r="AA4835" s="404"/>
      <c r="AB4835" s="404"/>
      <c r="AC4835" s="404"/>
      <c r="AD4835" s="404"/>
      <c r="AE4835" s="404"/>
      <c r="AF4835" s="404"/>
      <c r="AG4835" s="404"/>
      <c r="AH4835" s="404"/>
      <c r="AI4835" s="404"/>
      <c r="AJ4835" s="404"/>
      <c r="AK4835" s="404"/>
      <c r="AL4835" s="404"/>
      <c r="AM4835" s="404"/>
      <c r="AN4835" s="404"/>
      <c r="AO4835" s="404"/>
      <c r="AP4835" s="404"/>
      <c r="AQ4835" s="404"/>
      <c r="AR4835" s="404"/>
      <c r="AS4835" s="404"/>
      <c r="AT4835" s="404"/>
      <c r="AU4835" s="404"/>
      <c r="AV4835" s="404"/>
      <c r="AW4835" s="404"/>
      <c r="AX4835" s="404"/>
      <c r="AY4835" s="404"/>
      <c r="AZ4835" s="404"/>
      <c r="BA4835" s="404"/>
      <c r="BB4835" s="404"/>
      <c r="BC4835" s="404"/>
      <c r="BD4835" s="404"/>
      <c r="BE4835" s="404"/>
      <c r="BF4835" s="404"/>
      <c r="BG4835" s="404"/>
      <c r="BH4835" s="404"/>
      <c r="BI4835" s="404"/>
      <c r="BJ4835" s="404"/>
      <c r="BK4835" s="404"/>
      <c r="BL4835" s="404"/>
    </row>
    <row r="4836" spans="1:64" ht="13">
      <c r="A4836" s="406"/>
      <c r="B4836" s="406"/>
      <c r="C4836" s="473" t="s">
        <v>1117</v>
      </c>
      <c r="D4836" s="459"/>
      <c r="E4836" s="471"/>
      <c r="F4836" s="458"/>
      <c r="G4836" s="458"/>
      <c r="H4836" s="407"/>
      <c r="I4836" s="461">
        <f>SUM(I4832:I4835)</f>
        <v>112320</v>
      </c>
      <c r="J4836" s="400"/>
      <c r="K4836" s="401"/>
      <c r="L4836" s="401"/>
      <c r="M4836" s="404"/>
      <c r="N4836" s="404"/>
      <c r="O4836" s="404"/>
      <c r="P4836" s="404"/>
      <c r="Q4836" s="404"/>
      <c r="R4836" s="404"/>
      <c r="S4836" s="404"/>
      <c r="T4836" s="404"/>
      <c r="U4836" s="404"/>
      <c r="V4836" s="404"/>
      <c r="W4836" s="404"/>
      <c r="X4836" s="404"/>
      <c r="Y4836" s="404"/>
      <c r="Z4836" s="404"/>
      <c r="AA4836" s="404"/>
      <c r="AB4836" s="404"/>
      <c r="AC4836" s="404"/>
      <c r="AD4836" s="404"/>
      <c r="AE4836" s="404"/>
      <c r="AF4836" s="404"/>
      <c r="AG4836" s="404"/>
      <c r="AH4836" s="404"/>
      <c r="AI4836" s="404"/>
      <c r="AJ4836" s="404"/>
      <c r="AK4836" s="404"/>
      <c r="AL4836" s="404"/>
      <c r="AM4836" s="404"/>
      <c r="AN4836" s="404"/>
      <c r="AO4836" s="404"/>
      <c r="AP4836" s="404"/>
      <c r="AQ4836" s="404"/>
      <c r="AR4836" s="404"/>
      <c r="AS4836" s="404"/>
      <c r="AT4836" s="404"/>
      <c r="AU4836" s="404"/>
      <c r="AV4836" s="404"/>
      <c r="AW4836" s="404"/>
      <c r="AX4836" s="404"/>
      <c r="AY4836" s="404"/>
      <c r="AZ4836" s="404"/>
      <c r="BA4836" s="404"/>
      <c r="BB4836" s="404"/>
      <c r="BC4836" s="404"/>
      <c r="BD4836" s="404"/>
      <c r="BE4836" s="404"/>
      <c r="BF4836" s="404"/>
      <c r="BG4836" s="404"/>
      <c r="BH4836" s="404"/>
      <c r="BI4836" s="404"/>
      <c r="BJ4836" s="404"/>
      <c r="BK4836" s="404"/>
      <c r="BL4836" s="404"/>
    </row>
    <row r="4837" spans="1:64" ht="25">
      <c r="A4837" s="406"/>
      <c r="B4837" s="406"/>
      <c r="C4837" s="417" t="str">
        <f>[161]Input!$C$48</f>
        <v>Overheads &amp; Contractors Profit @ 13.615%</v>
      </c>
      <c r="D4837" s="444">
        <f>[161]Input!$D$48</f>
        <v>0.13614999999999999</v>
      </c>
      <c r="E4837" s="471"/>
      <c r="F4837" s="459">
        <f>I4836</f>
        <v>112320</v>
      </c>
      <c r="G4837" s="458"/>
      <c r="H4837" s="407"/>
      <c r="I4837" s="459">
        <f>IF(G4837="",D4837*F4837,(D4837*F4837/G4837))</f>
        <v>15292.367999999999</v>
      </c>
      <c r="J4837" s="400"/>
      <c r="K4837" s="401"/>
      <c r="L4837" s="401"/>
      <c r="M4837" s="404"/>
      <c r="N4837" s="404"/>
      <c r="O4837" s="404"/>
      <c r="P4837" s="404"/>
      <c r="Q4837" s="404"/>
      <c r="R4837" s="404"/>
      <c r="S4837" s="404"/>
      <c r="T4837" s="404"/>
      <c r="U4837" s="404"/>
      <c r="V4837" s="404"/>
      <c r="W4837" s="404"/>
      <c r="X4837" s="404"/>
      <c r="Y4837" s="404"/>
      <c r="Z4837" s="404"/>
      <c r="AA4837" s="404"/>
      <c r="AB4837" s="404"/>
      <c r="AC4837" s="404"/>
      <c r="AD4837" s="404"/>
      <c r="AE4837" s="404"/>
      <c r="AF4837" s="404"/>
      <c r="AG4837" s="404"/>
      <c r="AH4837" s="404"/>
      <c r="AI4837" s="404"/>
      <c r="AJ4837" s="404"/>
      <c r="AK4837" s="404"/>
      <c r="AL4837" s="404"/>
      <c r="AM4837" s="404"/>
      <c r="AN4837" s="404"/>
      <c r="AO4837" s="404"/>
      <c r="AP4837" s="404"/>
      <c r="AQ4837" s="404"/>
      <c r="AR4837" s="404"/>
      <c r="AS4837" s="404"/>
      <c r="AT4837" s="404"/>
      <c r="AU4837" s="404"/>
      <c r="AV4837" s="404"/>
      <c r="AW4837" s="404"/>
      <c r="AX4837" s="404"/>
      <c r="AY4837" s="404"/>
      <c r="AZ4837" s="404"/>
      <c r="BA4837" s="404"/>
      <c r="BB4837" s="404"/>
      <c r="BC4837" s="404"/>
      <c r="BD4837" s="404"/>
      <c r="BE4837" s="404"/>
      <c r="BF4837" s="404"/>
      <c r="BG4837" s="404"/>
      <c r="BH4837" s="404"/>
      <c r="BI4837" s="404"/>
      <c r="BJ4837" s="404"/>
      <c r="BK4837" s="404"/>
      <c r="BL4837" s="404"/>
    </row>
    <row r="4838" spans="1:64" ht="13">
      <c r="A4838" s="426"/>
      <c r="B4838" s="426"/>
      <c r="C4838" s="473"/>
      <c r="D4838" s="408"/>
      <c r="E4838" s="415"/>
      <c r="F4838" s="454"/>
      <c r="G4838" s="454"/>
      <c r="H4838" s="474"/>
      <c r="I4838" s="414">
        <f>SUM(I4836:I4837)</f>
        <v>127612.368</v>
      </c>
      <c r="J4838" s="400"/>
      <c r="K4838" s="401"/>
      <c r="L4838" s="401"/>
      <c r="M4838" s="404"/>
      <c r="N4838" s="404"/>
      <c r="O4838" s="404"/>
      <c r="P4838" s="404"/>
      <c r="Q4838" s="404"/>
      <c r="R4838" s="404"/>
      <c r="S4838" s="404"/>
      <c r="T4838" s="404"/>
      <c r="U4838" s="404"/>
      <c r="V4838" s="404"/>
      <c r="W4838" s="404"/>
      <c r="X4838" s="404"/>
      <c r="Y4838" s="404"/>
      <c r="Z4838" s="404"/>
      <c r="AA4838" s="404"/>
      <c r="AB4838" s="404"/>
      <c r="AC4838" s="404"/>
      <c r="AD4838" s="404"/>
      <c r="AE4838" s="404"/>
      <c r="AF4838" s="404"/>
      <c r="AG4838" s="404"/>
      <c r="AH4838" s="404"/>
      <c r="AI4838" s="404"/>
      <c r="AJ4838" s="404"/>
      <c r="AK4838" s="404"/>
      <c r="AL4838" s="404"/>
      <c r="AM4838" s="404"/>
      <c r="AN4838" s="404"/>
      <c r="AO4838" s="404"/>
      <c r="AP4838" s="404"/>
      <c r="AQ4838" s="404"/>
      <c r="AR4838" s="404"/>
      <c r="AS4838" s="404"/>
      <c r="AT4838" s="404"/>
      <c r="AU4838" s="404"/>
      <c r="AV4838" s="404"/>
      <c r="AW4838" s="404"/>
      <c r="AX4838" s="404"/>
      <c r="AY4838" s="404"/>
      <c r="AZ4838" s="404"/>
      <c r="BA4838" s="404"/>
      <c r="BB4838" s="404"/>
      <c r="BC4838" s="404"/>
      <c r="BD4838" s="404"/>
      <c r="BE4838" s="404"/>
      <c r="BF4838" s="404"/>
      <c r="BG4838" s="404"/>
      <c r="BH4838" s="404"/>
      <c r="BI4838" s="404"/>
      <c r="BJ4838" s="404"/>
      <c r="BK4838" s="404"/>
      <c r="BL4838" s="404"/>
    </row>
    <row r="4839" spans="1:64" ht="13">
      <c r="A4839" s="426"/>
      <c r="B4839" s="426"/>
      <c r="C4839" s="473" t="s">
        <v>1117</v>
      </c>
      <c r="D4839" s="408"/>
      <c r="E4839" s="415"/>
      <c r="F4839" s="454"/>
      <c r="G4839" s="454"/>
      <c r="H4839" s="474" t="s">
        <v>774</v>
      </c>
      <c r="I4839" s="414">
        <f>ROUND(I4838,0)</f>
        <v>127612</v>
      </c>
      <c r="J4839" s="400"/>
      <c r="K4839" s="401"/>
      <c r="L4839" s="401"/>
      <c r="M4839" s="404"/>
      <c r="N4839" s="404"/>
      <c r="O4839" s="404"/>
      <c r="P4839" s="404"/>
      <c r="Q4839" s="404"/>
      <c r="R4839" s="404"/>
      <c r="S4839" s="404"/>
      <c r="T4839" s="404"/>
      <c r="U4839" s="404"/>
      <c r="V4839" s="404"/>
      <c r="W4839" s="404"/>
      <c r="X4839" s="404"/>
      <c r="Y4839" s="404"/>
      <c r="Z4839" s="404"/>
      <c r="AA4839" s="404"/>
      <c r="AB4839" s="404"/>
      <c r="AC4839" s="404"/>
      <c r="AD4839" s="404"/>
      <c r="AE4839" s="404"/>
      <c r="AF4839" s="404"/>
      <c r="AG4839" s="404"/>
      <c r="AH4839" s="404"/>
      <c r="AI4839" s="404"/>
      <c r="AJ4839" s="404"/>
      <c r="AK4839" s="404"/>
      <c r="AL4839" s="404"/>
      <c r="AM4839" s="404"/>
      <c r="AN4839" s="404"/>
      <c r="AO4839" s="404"/>
      <c r="AP4839" s="404"/>
      <c r="AQ4839" s="404"/>
      <c r="AR4839" s="404"/>
      <c r="AS4839" s="404"/>
      <c r="AT4839" s="404"/>
      <c r="AU4839" s="404"/>
      <c r="AV4839" s="404"/>
      <c r="AW4839" s="404"/>
      <c r="AX4839" s="404"/>
      <c r="AY4839" s="404"/>
      <c r="AZ4839" s="404"/>
      <c r="BA4839" s="404"/>
      <c r="BB4839" s="404"/>
      <c r="BC4839" s="404"/>
      <c r="BD4839" s="404"/>
      <c r="BE4839" s="404"/>
      <c r="BF4839" s="404"/>
      <c r="BG4839" s="404"/>
      <c r="BH4839" s="404"/>
      <c r="BI4839" s="404"/>
      <c r="BJ4839" s="404"/>
      <c r="BK4839" s="404"/>
      <c r="BL4839" s="404"/>
    </row>
    <row r="4840" spans="1:64" ht="13">
      <c r="A4840" s="426"/>
      <c r="B4840" s="426"/>
      <c r="C4840" s="473" t="s">
        <v>1632</v>
      </c>
      <c r="D4840" s="408"/>
      <c r="E4840" s="415"/>
      <c r="F4840" s="454"/>
      <c r="G4840" s="454"/>
      <c r="H4840" s="474"/>
      <c r="I4840" s="414">
        <f>I4839/1000</f>
        <v>127.61199999999999</v>
      </c>
      <c r="J4840" s="400"/>
      <c r="K4840" s="401"/>
      <c r="L4840" s="401"/>
      <c r="M4840" s="404"/>
      <c r="N4840" s="404"/>
      <c r="O4840" s="404"/>
      <c r="P4840" s="404"/>
      <c r="Q4840" s="404"/>
      <c r="R4840" s="404"/>
      <c r="S4840" s="404"/>
      <c r="T4840" s="404"/>
      <c r="U4840" s="404"/>
      <c r="V4840" s="404"/>
      <c r="W4840" s="404"/>
      <c r="X4840" s="404"/>
      <c r="Y4840" s="404"/>
      <c r="Z4840" s="404"/>
      <c r="AA4840" s="404"/>
      <c r="AB4840" s="404"/>
      <c r="AC4840" s="404"/>
      <c r="AD4840" s="404"/>
      <c r="AE4840" s="404"/>
      <c r="AF4840" s="404"/>
      <c r="AG4840" s="404"/>
      <c r="AH4840" s="404"/>
      <c r="AI4840" s="404"/>
      <c r="AJ4840" s="404"/>
      <c r="AK4840" s="404"/>
      <c r="AL4840" s="404"/>
      <c r="AM4840" s="404"/>
      <c r="AN4840" s="404"/>
      <c r="AO4840" s="404"/>
      <c r="AP4840" s="404"/>
      <c r="AQ4840" s="404"/>
      <c r="AR4840" s="404"/>
      <c r="AS4840" s="404"/>
      <c r="AT4840" s="404"/>
      <c r="AU4840" s="404"/>
      <c r="AV4840" s="404"/>
      <c r="AW4840" s="404"/>
      <c r="AX4840" s="404"/>
      <c r="AY4840" s="404"/>
      <c r="AZ4840" s="404"/>
      <c r="BA4840" s="404"/>
      <c r="BB4840" s="404"/>
      <c r="BC4840" s="404"/>
      <c r="BD4840" s="404"/>
      <c r="BE4840" s="404"/>
      <c r="BF4840" s="404"/>
      <c r="BG4840" s="404"/>
      <c r="BH4840" s="404"/>
      <c r="BI4840" s="404"/>
      <c r="BJ4840" s="404"/>
      <c r="BK4840" s="404"/>
      <c r="BL4840" s="404"/>
    </row>
    <row r="4841" spans="1:64" ht="13">
      <c r="A4841" s="426"/>
      <c r="B4841" s="426"/>
      <c r="C4841" s="417"/>
      <c r="D4841" s="408"/>
      <c r="E4841" s="408"/>
      <c r="F4841" s="408"/>
      <c r="G4841" s="1283" t="s">
        <v>1633</v>
      </c>
      <c r="H4841" s="1283"/>
      <c r="I4841" s="414">
        <f>ROUND(I4840,0)</f>
        <v>128</v>
      </c>
      <c r="J4841" s="400"/>
      <c r="K4841" s="401"/>
      <c r="L4841" s="401"/>
      <c r="M4841" s="404"/>
      <c r="N4841" s="404"/>
      <c r="O4841" s="404"/>
      <c r="P4841" s="404"/>
      <c r="Q4841" s="404"/>
      <c r="R4841" s="404"/>
      <c r="S4841" s="404"/>
      <c r="T4841" s="404"/>
      <c r="U4841" s="404"/>
      <c r="V4841" s="404"/>
      <c r="W4841" s="404"/>
      <c r="X4841" s="404"/>
      <c r="Y4841" s="404"/>
      <c r="Z4841" s="404"/>
      <c r="AA4841" s="404"/>
      <c r="AB4841" s="404"/>
      <c r="AC4841" s="404"/>
      <c r="AD4841" s="404"/>
      <c r="AE4841" s="404"/>
      <c r="AF4841" s="404"/>
      <c r="AG4841" s="404"/>
      <c r="AH4841" s="404"/>
      <c r="AI4841" s="404"/>
      <c r="AJ4841" s="404"/>
      <c r="AK4841" s="404"/>
      <c r="AL4841" s="404"/>
      <c r="AM4841" s="404"/>
      <c r="AN4841" s="404"/>
      <c r="AO4841" s="404"/>
      <c r="AP4841" s="404"/>
      <c r="AQ4841" s="404"/>
      <c r="AR4841" s="404"/>
      <c r="AS4841" s="404"/>
      <c r="AT4841" s="404"/>
      <c r="AU4841" s="404"/>
      <c r="AV4841" s="404"/>
      <c r="AW4841" s="404"/>
      <c r="AX4841" s="404"/>
      <c r="AY4841" s="404"/>
      <c r="AZ4841" s="404"/>
      <c r="BA4841" s="404"/>
      <c r="BB4841" s="404"/>
      <c r="BC4841" s="404"/>
      <c r="BD4841" s="404"/>
      <c r="BE4841" s="404"/>
      <c r="BF4841" s="404"/>
      <c r="BG4841" s="404"/>
      <c r="BH4841" s="404"/>
      <c r="BI4841" s="404"/>
      <c r="BJ4841" s="404"/>
      <c r="BK4841" s="404"/>
      <c r="BL4841" s="404"/>
    </row>
    <row r="4842" spans="1:64">
      <c r="A4842" s="426"/>
      <c r="B4842" s="426"/>
      <c r="C4842" s="417"/>
      <c r="D4842" s="409"/>
      <c r="E4842" s="426"/>
      <c r="F4842" s="409"/>
      <c r="G4842" s="410"/>
      <c r="H4842" s="426"/>
      <c r="I4842" s="409"/>
      <c r="J4842" s="400"/>
      <c r="K4842" s="401"/>
      <c r="L4842" s="401"/>
      <c r="M4842" s="404"/>
      <c r="N4842" s="404"/>
      <c r="O4842" s="404"/>
      <c r="P4842" s="404"/>
      <c r="Q4842" s="404"/>
      <c r="R4842" s="404"/>
      <c r="S4842" s="404"/>
      <c r="T4842" s="404"/>
      <c r="U4842" s="404"/>
      <c r="V4842" s="404"/>
      <c r="W4842" s="404"/>
      <c r="X4842" s="404"/>
      <c r="Y4842" s="404"/>
      <c r="Z4842" s="404"/>
      <c r="AA4842" s="404"/>
      <c r="AB4842" s="404"/>
      <c r="AC4842" s="404"/>
      <c r="AD4842" s="404"/>
      <c r="AE4842" s="404"/>
      <c r="AF4842" s="404"/>
      <c r="AG4842" s="404"/>
      <c r="AH4842" s="404"/>
      <c r="AI4842" s="404"/>
      <c r="AJ4842" s="404"/>
      <c r="AK4842" s="404"/>
      <c r="AL4842" s="404"/>
      <c r="AM4842" s="404"/>
      <c r="AN4842" s="404"/>
      <c r="AO4842" s="404"/>
      <c r="AP4842" s="404"/>
      <c r="AQ4842" s="404"/>
      <c r="AR4842" s="404"/>
      <c r="AS4842" s="404"/>
      <c r="AT4842" s="404"/>
      <c r="AU4842" s="404"/>
      <c r="AV4842" s="404"/>
      <c r="AW4842" s="404"/>
      <c r="AX4842" s="404"/>
      <c r="AY4842" s="404"/>
      <c r="AZ4842" s="404"/>
      <c r="BA4842" s="404"/>
      <c r="BB4842" s="404"/>
      <c r="BC4842" s="404"/>
      <c r="BD4842" s="404"/>
      <c r="BE4842" s="404"/>
      <c r="BF4842" s="404"/>
      <c r="BG4842" s="404"/>
      <c r="BH4842" s="404"/>
      <c r="BI4842" s="404"/>
      <c r="BJ4842" s="404"/>
      <c r="BK4842" s="404"/>
      <c r="BL4842" s="404"/>
    </row>
    <row r="4843" spans="1:64" ht="36.65" customHeight="1">
      <c r="A4843" s="1287">
        <f>A4630+1</f>
        <v>29</v>
      </c>
      <c r="B4843" s="1287"/>
      <c r="C4843" s="1288" t="s">
        <v>1727</v>
      </c>
      <c r="D4843" s="1288"/>
      <c r="E4843" s="1288"/>
      <c r="F4843" s="1288"/>
      <c r="G4843" s="1288"/>
      <c r="H4843" s="1288"/>
      <c r="I4843" s="754"/>
      <c r="J4843" s="400"/>
      <c r="K4843" s="401"/>
      <c r="L4843" s="401"/>
      <c r="M4843" s="404"/>
      <c r="N4843" s="404"/>
      <c r="O4843" s="404"/>
      <c r="P4843" s="404"/>
      <c r="Q4843" s="404"/>
      <c r="R4843" s="404"/>
      <c r="S4843" s="404"/>
      <c r="T4843" s="404"/>
      <c r="U4843" s="404"/>
      <c r="V4843" s="404"/>
      <c r="W4843" s="404"/>
      <c r="X4843" s="404"/>
      <c r="Y4843" s="404"/>
      <c r="Z4843" s="404"/>
      <c r="AA4843" s="404"/>
      <c r="AB4843" s="404"/>
      <c r="AC4843" s="404"/>
      <c r="AD4843" s="404"/>
      <c r="AE4843" s="404"/>
      <c r="AF4843" s="404"/>
      <c r="AG4843" s="404"/>
      <c r="AH4843" s="404"/>
      <c r="AI4843" s="404"/>
      <c r="AJ4843" s="404"/>
      <c r="AK4843" s="404"/>
      <c r="AL4843" s="404"/>
      <c r="AM4843" s="404"/>
      <c r="AN4843" s="404"/>
      <c r="AO4843" s="404"/>
      <c r="AP4843" s="404"/>
      <c r="AQ4843" s="404"/>
      <c r="AR4843" s="404"/>
      <c r="AS4843" s="404"/>
      <c r="AT4843" s="404"/>
      <c r="AU4843" s="404"/>
      <c r="AV4843" s="404"/>
      <c r="AW4843" s="404"/>
      <c r="AX4843" s="404"/>
      <c r="AY4843" s="404"/>
      <c r="AZ4843" s="404"/>
      <c r="BA4843" s="404"/>
      <c r="BB4843" s="404"/>
      <c r="BC4843" s="404"/>
      <c r="BD4843" s="404"/>
      <c r="BE4843" s="404"/>
      <c r="BF4843" s="404"/>
      <c r="BG4843" s="404"/>
      <c r="BH4843" s="404"/>
      <c r="BI4843" s="404"/>
      <c r="BJ4843" s="404"/>
      <c r="BK4843" s="404"/>
      <c r="BL4843" s="404"/>
    </row>
    <row r="4844" spans="1:64">
      <c r="A4844" s="689"/>
      <c r="B4844" s="689"/>
      <c r="C4844" s="755" t="s">
        <v>1728</v>
      </c>
      <c r="D4844" s="682"/>
      <c r="E4844" s="682"/>
      <c r="F4844" s="682"/>
      <c r="G4844" s="682"/>
      <c r="H4844" s="682"/>
      <c r="I4844" s="686">
        <v>475</v>
      </c>
      <c r="J4844" s="400"/>
      <c r="K4844" s="401"/>
      <c r="L4844" s="401"/>
      <c r="M4844" s="404"/>
      <c r="N4844" s="404"/>
      <c r="O4844" s="404"/>
      <c r="P4844" s="404"/>
      <c r="Q4844" s="404"/>
      <c r="R4844" s="404"/>
      <c r="S4844" s="404"/>
      <c r="T4844" s="404"/>
      <c r="U4844" s="404"/>
      <c r="V4844" s="404"/>
      <c r="W4844" s="404"/>
      <c r="X4844" s="404"/>
      <c r="Y4844" s="404"/>
      <c r="Z4844" s="404"/>
      <c r="AA4844" s="404"/>
      <c r="AB4844" s="404"/>
      <c r="AC4844" s="404"/>
      <c r="AD4844" s="404"/>
      <c r="AE4844" s="404"/>
      <c r="AF4844" s="404"/>
      <c r="AG4844" s="404"/>
      <c r="AH4844" s="404"/>
      <c r="AI4844" s="404"/>
      <c r="AJ4844" s="404"/>
      <c r="AK4844" s="404"/>
      <c r="AL4844" s="404"/>
      <c r="AM4844" s="404"/>
      <c r="AN4844" s="404"/>
      <c r="AO4844" s="404"/>
      <c r="AP4844" s="404"/>
      <c r="AQ4844" s="404"/>
      <c r="AR4844" s="404"/>
      <c r="AS4844" s="404"/>
      <c r="AT4844" s="404"/>
      <c r="AU4844" s="404"/>
      <c r="AV4844" s="404"/>
      <c r="AW4844" s="404"/>
      <c r="AX4844" s="404"/>
      <c r="AY4844" s="404"/>
      <c r="AZ4844" s="404"/>
      <c r="BA4844" s="404"/>
      <c r="BB4844" s="404"/>
      <c r="BC4844" s="404"/>
      <c r="BD4844" s="404"/>
      <c r="BE4844" s="404"/>
      <c r="BF4844" s="404"/>
      <c r="BG4844" s="404"/>
      <c r="BH4844" s="404"/>
      <c r="BI4844" s="404"/>
      <c r="BJ4844" s="404"/>
      <c r="BK4844" s="404"/>
      <c r="BL4844" s="404"/>
    </row>
    <row r="4845" spans="1:64" ht="13">
      <c r="A4845" s="689"/>
      <c r="B4845" s="689"/>
      <c r="C4845" s="679" t="s">
        <v>1729</v>
      </c>
      <c r="D4845" s="682"/>
      <c r="E4845" s="682"/>
      <c r="F4845" s="682"/>
      <c r="G4845" s="682"/>
      <c r="H4845" s="688"/>
      <c r="I4845" s="686">
        <f>+I4844</f>
        <v>475</v>
      </c>
      <c r="J4845" s="400"/>
      <c r="K4845" s="401"/>
      <c r="L4845" s="401"/>
      <c r="M4845" s="404"/>
      <c r="N4845" s="404"/>
      <c r="O4845" s="404"/>
      <c r="P4845" s="404"/>
      <c r="Q4845" s="404"/>
      <c r="R4845" s="404"/>
      <c r="S4845" s="404"/>
      <c r="T4845" s="404"/>
      <c r="U4845" s="404"/>
      <c r="V4845" s="404"/>
      <c r="W4845" s="404"/>
      <c r="X4845" s="404"/>
      <c r="Y4845" s="404"/>
      <c r="Z4845" s="404"/>
      <c r="AA4845" s="404"/>
      <c r="AB4845" s="404"/>
      <c r="AC4845" s="404"/>
      <c r="AD4845" s="404"/>
      <c r="AE4845" s="404"/>
      <c r="AF4845" s="404"/>
      <c r="AG4845" s="404"/>
      <c r="AH4845" s="404"/>
      <c r="AI4845" s="404"/>
      <c r="AJ4845" s="404"/>
      <c r="AK4845" s="404"/>
      <c r="AL4845" s="404"/>
      <c r="AM4845" s="404"/>
      <c r="AN4845" s="404"/>
      <c r="AO4845" s="404"/>
      <c r="AP4845" s="404"/>
      <c r="AQ4845" s="404"/>
      <c r="AR4845" s="404"/>
      <c r="AS4845" s="404"/>
      <c r="AT4845" s="404"/>
      <c r="AU4845" s="404"/>
      <c r="AV4845" s="404"/>
      <c r="AW4845" s="404"/>
      <c r="AX4845" s="404"/>
      <c r="AY4845" s="404"/>
      <c r="AZ4845" s="404"/>
      <c r="BA4845" s="404"/>
      <c r="BB4845" s="404"/>
      <c r="BC4845" s="404"/>
      <c r="BD4845" s="404"/>
      <c r="BE4845" s="404"/>
      <c r="BF4845" s="404"/>
      <c r="BG4845" s="404"/>
      <c r="BH4845" s="404"/>
      <c r="BI4845" s="404"/>
      <c r="BJ4845" s="404"/>
      <c r="BK4845" s="404"/>
      <c r="BL4845" s="404"/>
    </row>
    <row r="4846" spans="1:64">
      <c r="A4846" s="682"/>
      <c r="B4846" s="682"/>
      <c r="C4846" s="684"/>
      <c r="D4846" s="683"/>
      <c r="E4846" s="682"/>
      <c r="F4846" s="683"/>
      <c r="G4846" s="685"/>
      <c r="H4846" s="682"/>
      <c r="I4846" s="683"/>
      <c r="J4846" s="400"/>
      <c r="K4846" s="401"/>
      <c r="L4846" s="401"/>
      <c r="M4846" s="404"/>
      <c r="N4846" s="404"/>
      <c r="O4846" s="404"/>
      <c r="P4846" s="404"/>
      <c r="Q4846" s="404"/>
      <c r="R4846" s="404"/>
      <c r="S4846" s="404"/>
      <c r="T4846" s="404"/>
      <c r="U4846" s="404"/>
      <c r="V4846" s="404"/>
      <c r="W4846" s="404"/>
      <c r="X4846" s="404"/>
      <c r="Y4846" s="404"/>
      <c r="Z4846" s="404"/>
      <c r="AA4846" s="404"/>
      <c r="AB4846" s="404"/>
      <c r="AC4846" s="404"/>
      <c r="AD4846" s="404"/>
      <c r="AE4846" s="404"/>
      <c r="AF4846" s="404"/>
      <c r="AG4846" s="404"/>
      <c r="AH4846" s="404"/>
      <c r="AI4846" s="404"/>
      <c r="AJ4846" s="404"/>
      <c r="AK4846" s="404"/>
      <c r="AL4846" s="404"/>
      <c r="AM4846" s="404"/>
      <c r="AN4846" s="404"/>
      <c r="AO4846" s="404"/>
      <c r="AP4846" s="404"/>
      <c r="AQ4846" s="404"/>
      <c r="AR4846" s="404"/>
      <c r="AS4846" s="404"/>
      <c r="AT4846" s="404"/>
      <c r="AU4846" s="404"/>
      <c r="AV4846" s="404"/>
      <c r="AW4846" s="404"/>
      <c r="AX4846" s="404"/>
      <c r="AY4846" s="404"/>
      <c r="AZ4846" s="404"/>
      <c r="BA4846" s="404"/>
      <c r="BB4846" s="404"/>
      <c r="BC4846" s="404"/>
      <c r="BD4846" s="404"/>
      <c r="BE4846" s="404"/>
      <c r="BF4846" s="404"/>
      <c r="BG4846" s="404"/>
      <c r="BH4846" s="404"/>
      <c r="BI4846" s="404"/>
      <c r="BJ4846" s="404"/>
      <c r="BK4846" s="404"/>
      <c r="BL4846" s="404"/>
    </row>
    <row r="4847" spans="1:64" ht="25.4" customHeight="1">
      <c r="A4847" s="1287">
        <f>1+A4843</f>
        <v>30</v>
      </c>
      <c r="B4847" s="1287"/>
      <c r="C4847" s="1289" t="s">
        <v>1730</v>
      </c>
      <c r="D4847" s="1289"/>
      <c r="E4847" s="1289"/>
      <c r="F4847" s="1289"/>
      <c r="G4847" s="1289"/>
      <c r="H4847" s="1289"/>
      <c r="I4847" s="754"/>
      <c r="J4847" s="400"/>
      <c r="K4847" s="401"/>
      <c r="L4847" s="401"/>
      <c r="M4847" s="404"/>
      <c r="N4847" s="404"/>
      <c r="O4847" s="404"/>
      <c r="P4847" s="404"/>
      <c r="Q4847" s="404"/>
      <c r="R4847" s="404"/>
      <c r="S4847" s="404"/>
      <c r="T4847" s="404"/>
      <c r="U4847" s="404"/>
      <c r="V4847" s="404"/>
      <c r="W4847" s="404"/>
      <c r="X4847" s="404"/>
      <c r="Y4847" s="404"/>
      <c r="Z4847" s="404"/>
      <c r="AA4847" s="404"/>
      <c r="AB4847" s="404"/>
      <c r="AC4847" s="404"/>
      <c r="AD4847" s="404"/>
      <c r="AE4847" s="404"/>
      <c r="AF4847" s="404"/>
      <c r="AG4847" s="404"/>
      <c r="AH4847" s="404"/>
      <c r="AI4847" s="404"/>
      <c r="AJ4847" s="404"/>
      <c r="AK4847" s="404"/>
      <c r="AL4847" s="404"/>
      <c r="AM4847" s="404"/>
      <c r="AN4847" s="404"/>
      <c r="AO4847" s="404"/>
      <c r="AP4847" s="404"/>
      <c r="AQ4847" s="404"/>
      <c r="AR4847" s="404"/>
      <c r="AS4847" s="404"/>
      <c r="AT4847" s="404"/>
      <c r="AU4847" s="404"/>
      <c r="AV4847" s="404"/>
      <c r="AW4847" s="404"/>
      <c r="AX4847" s="404"/>
      <c r="AY4847" s="404"/>
      <c r="AZ4847" s="404"/>
      <c r="BA4847" s="404"/>
      <c r="BB4847" s="404"/>
      <c r="BC4847" s="404"/>
      <c r="BD4847" s="404"/>
      <c r="BE4847" s="404"/>
      <c r="BF4847" s="404"/>
      <c r="BG4847" s="404"/>
      <c r="BH4847" s="404"/>
      <c r="BI4847" s="404"/>
      <c r="BJ4847" s="404"/>
      <c r="BK4847" s="404"/>
      <c r="BL4847" s="404"/>
    </row>
    <row r="4848" spans="1:64" ht="25">
      <c r="A4848" s="689"/>
      <c r="B4848" s="689"/>
      <c r="C4848" s="756" t="s">
        <v>1731</v>
      </c>
      <c r="D4848" s="691">
        <v>1</v>
      </c>
      <c r="E4848" s="687" t="s">
        <v>62</v>
      </c>
      <c r="F4848" s="691">
        <v>22</v>
      </c>
      <c r="G4848" s="687">
        <v>1</v>
      </c>
      <c r="H4848" s="757" t="str">
        <f>IF(E4848="","",IF(E4848="No.","Each",IF(E4848="Nos.","Each",E4848)))</f>
        <v>Sqm</v>
      </c>
      <c r="I4848" s="691">
        <f t="shared" ref="I4848:I4849" si="1030">IF(G4848="",D4848*F4848,(D4848*F4848/G4848))</f>
        <v>22</v>
      </c>
      <c r="J4848" s="400"/>
      <c r="K4848" s="401"/>
      <c r="L4848" s="401"/>
      <c r="M4848" s="404"/>
      <c r="N4848" s="404"/>
      <c r="O4848" s="404"/>
      <c r="P4848" s="404"/>
      <c r="Q4848" s="404"/>
      <c r="R4848" s="404"/>
      <c r="S4848" s="404"/>
      <c r="T4848" s="404"/>
      <c r="U4848" s="404"/>
      <c r="V4848" s="404"/>
      <c r="W4848" s="404"/>
      <c r="X4848" s="404"/>
      <c r="Y4848" s="404"/>
      <c r="Z4848" s="404"/>
      <c r="AA4848" s="404"/>
      <c r="AB4848" s="404"/>
      <c r="AC4848" s="404"/>
      <c r="AD4848" s="404"/>
      <c r="AE4848" s="404"/>
      <c r="AF4848" s="404"/>
      <c r="AG4848" s="404"/>
      <c r="AH4848" s="404"/>
      <c r="AI4848" s="404"/>
      <c r="AJ4848" s="404"/>
      <c r="AK4848" s="404"/>
      <c r="AL4848" s="404"/>
      <c r="AM4848" s="404"/>
      <c r="AN4848" s="404"/>
      <c r="AO4848" s="404"/>
      <c r="AP4848" s="404"/>
      <c r="AQ4848" s="404"/>
      <c r="AR4848" s="404"/>
      <c r="AS4848" s="404"/>
      <c r="AT4848" s="404"/>
      <c r="AU4848" s="404"/>
      <c r="AV4848" s="404"/>
      <c r="AW4848" s="404"/>
      <c r="AX4848" s="404"/>
      <c r="AY4848" s="404"/>
      <c r="AZ4848" s="404"/>
      <c r="BA4848" s="404"/>
      <c r="BB4848" s="404"/>
      <c r="BC4848" s="404"/>
      <c r="BD4848" s="404"/>
      <c r="BE4848" s="404"/>
      <c r="BF4848" s="404"/>
      <c r="BG4848" s="404"/>
      <c r="BH4848" s="404"/>
      <c r="BI4848" s="404"/>
      <c r="BJ4848" s="404"/>
      <c r="BK4848" s="404"/>
      <c r="BL4848" s="404"/>
    </row>
    <row r="4849" spans="1:64" ht="25">
      <c r="A4849" s="689"/>
      <c r="B4849" s="689"/>
      <c r="C4849" s="684" t="str">
        <f>[161]Input!$C$48</f>
        <v>Overheads &amp; Contractors Profit @ 13.615%</v>
      </c>
      <c r="D4849" s="758">
        <f>[161]Input!$D$48</f>
        <v>0.13614999999999999</v>
      </c>
      <c r="E4849" s="759"/>
      <c r="F4849" s="691">
        <f>I4848</f>
        <v>22</v>
      </c>
      <c r="G4849" s="687"/>
      <c r="H4849" s="754"/>
      <c r="I4849" s="691">
        <f t="shared" si="1030"/>
        <v>2.9952999999999999</v>
      </c>
      <c r="J4849" s="400"/>
      <c r="K4849" s="401"/>
      <c r="L4849" s="401"/>
      <c r="M4849" s="404"/>
      <c r="N4849" s="404"/>
      <c r="O4849" s="404"/>
      <c r="P4849" s="404"/>
      <c r="Q4849" s="404"/>
      <c r="R4849" s="404"/>
      <c r="S4849" s="404"/>
      <c r="T4849" s="404"/>
      <c r="U4849" s="404"/>
      <c r="V4849" s="404"/>
      <c r="W4849" s="404"/>
      <c r="X4849" s="404"/>
      <c r="Y4849" s="404"/>
      <c r="Z4849" s="404"/>
      <c r="AA4849" s="404"/>
      <c r="AB4849" s="404"/>
      <c r="AC4849" s="404"/>
      <c r="AD4849" s="404"/>
      <c r="AE4849" s="404"/>
      <c r="AF4849" s="404"/>
      <c r="AG4849" s="404"/>
      <c r="AH4849" s="404"/>
      <c r="AI4849" s="404"/>
      <c r="AJ4849" s="404"/>
      <c r="AK4849" s="404"/>
      <c r="AL4849" s="404"/>
      <c r="AM4849" s="404"/>
      <c r="AN4849" s="404"/>
      <c r="AO4849" s="404"/>
      <c r="AP4849" s="404"/>
      <c r="AQ4849" s="404"/>
      <c r="AR4849" s="404"/>
      <c r="AS4849" s="404"/>
      <c r="AT4849" s="404"/>
      <c r="AU4849" s="404"/>
      <c r="AV4849" s="404"/>
      <c r="AW4849" s="404"/>
      <c r="AX4849" s="404"/>
      <c r="AY4849" s="404"/>
      <c r="AZ4849" s="404"/>
      <c r="BA4849" s="404"/>
      <c r="BB4849" s="404"/>
      <c r="BC4849" s="404"/>
      <c r="BD4849" s="404"/>
      <c r="BE4849" s="404"/>
      <c r="BF4849" s="404"/>
      <c r="BG4849" s="404"/>
      <c r="BH4849" s="404"/>
      <c r="BI4849" s="404"/>
      <c r="BJ4849" s="404"/>
      <c r="BK4849" s="404"/>
      <c r="BL4849" s="404"/>
    </row>
    <row r="4850" spans="1:64" ht="13">
      <c r="A4850" s="682"/>
      <c r="B4850" s="682"/>
      <c r="C4850" s="681"/>
      <c r="D4850" s="686"/>
      <c r="E4850" s="697"/>
      <c r="F4850" s="678"/>
      <c r="G4850" s="678"/>
      <c r="H4850" s="760"/>
      <c r="I4850" s="694">
        <f>SUM(I4848:I4849)</f>
        <v>24.9953</v>
      </c>
      <c r="J4850" s="400"/>
      <c r="K4850" s="401"/>
      <c r="L4850" s="401"/>
      <c r="M4850" s="404"/>
      <c r="N4850" s="404"/>
      <c r="O4850" s="404"/>
      <c r="P4850" s="404"/>
      <c r="Q4850" s="404"/>
      <c r="R4850" s="404"/>
      <c r="S4850" s="404"/>
      <c r="T4850" s="404"/>
      <c r="U4850" s="404"/>
      <c r="V4850" s="404"/>
      <c r="W4850" s="404"/>
      <c r="X4850" s="404"/>
      <c r="Y4850" s="404"/>
      <c r="Z4850" s="404"/>
      <c r="AA4850" s="404"/>
      <c r="AB4850" s="404"/>
      <c r="AC4850" s="404"/>
      <c r="AD4850" s="404"/>
      <c r="AE4850" s="404"/>
      <c r="AF4850" s="404"/>
      <c r="AG4850" s="404"/>
      <c r="AH4850" s="404"/>
      <c r="AI4850" s="404"/>
      <c r="AJ4850" s="404"/>
      <c r="AK4850" s="404"/>
      <c r="AL4850" s="404"/>
      <c r="AM4850" s="404"/>
      <c r="AN4850" s="404"/>
      <c r="AO4850" s="404"/>
      <c r="AP4850" s="404"/>
      <c r="AQ4850" s="404"/>
      <c r="AR4850" s="404"/>
      <c r="AS4850" s="404"/>
      <c r="AT4850" s="404"/>
      <c r="AU4850" s="404"/>
      <c r="AV4850" s="404"/>
      <c r="AW4850" s="404"/>
      <c r="AX4850" s="404"/>
      <c r="AY4850" s="404"/>
      <c r="AZ4850" s="404"/>
      <c r="BA4850" s="404"/>
      <c r="BB4850" s="404"/>
      <c r="BC4850" s="404"/>
      <c r="BD4850" s="404"/>
      <c r="BE4850" s="404"/>
      <c r="BF4850" s="404"/>
      <c r="BG4850" s="404"/>
      <c r="BH4850" s="404"/>
      <c r="BI4850" s="404"/>
      <c r="BJ4850" s="404"/>
      <c r="BK4850" s="404"/>
      <c r="BL4850" s="404"/>
    </row>
    <row r="4851" spans="1:64" ht="25">
      <c r="A4851" s="682"/>
      <c r="B4851" s="682"/>
      <c r="C4851" s="761" t="s">
        <v>1732</v>
      </c>
      <c r="D4851" s="691">
        <v>1</v>
      </c>
      <c r="E4851" s="687" t="s">
        <v>62</v>
      </c>
      <c r="F4851" s="682">
        <v>113</v>
      </c>
      <c r="G4851" s="687">
        <v>1</v>
      </c>
      <c r="H4851" s="757" t="str">
        <f>IF(E4851="","",IF(E4851="No.","Each",IF(E4851="Nos.","Each",E4851)))</f>
        <v>Sqm</v>
      </c>
      <c r="I4851" s="691">
        <f t="shared" ref="I4851:I4852" si="1031">IF(G4851="",D4851*F4851,(D4851*F4851/G4851))</f>
        <v>113</v>
      </c>
      <c r="J4851" s="400"/>
      <c r="K4851" s="401"/>
      <c r="L4851" s="401"/>
      <c r="M4851" s="404"/>
      <c r="N4851" s="404"/>
      <c r="O4851" s="404"/>
      <c r="P4851" s="404"/>
      <c r="Q4851" s="404"/>
      <c r="R4851" s="404"/>
      <c r="S4851" s="404"/>
      <c r="T4851" s="404"/>
      <c r="U4851" s="404"/>
      <c r="V4851" s="404"/>
      <c r="W4851" s="404"/>
      <c r="X4851" s="404"/>
      <c r="Y4851" s="404"/>
      <c r="Z4851" s="404"/>
      <c r="AA4851" s="404"/>
      <c r="AB4851" s="404"/>
      <c r="AC4851" s="404"/>
      <c r="AD4851" s="404"/>
      <c r="AE4851" s="404"/>
      <c r="AF4851" s="404"/>
      <c r="AG4851" s="404"/>
      <c r="AH4851" s="404"/>
      <c r="AI4851" s="404"/>
      <c r="AJ4851" s="404"/>
      <c r="AK4851" s="404"/>
      <c r="AL4851" s="404"/>
      <c r="AM4851" s="404"/>
      <c r="AN4851" s="404"/>
      <c r="AO4851" s="404"/>
      <c r="AP4851" s="404"/>
      <c r="AQ4851" s="404"/>
      <c r="AR4851" s="404"/>
      <c r="AS4851" s="404"/>
      <c r="AT4851" s="404"/>
      <c r="AU4851" s="404"/>
      <c r="AV4851" s="404"/>
      <c r="AW4851" s="404"/>
      <c r="AX4851" s="404"/>
      <c r="AY4851" s="404"/>
      <c r="AZ4851" s="404"/>
      <c r="BA4851" s="404"/>
      <c r="BB4851" s="404"/>
      <c r="BC4851" s="404"/>
      <c r="BD4851" s="404"/>
      <c r="BE4851" s="404"/>
      <c r="BF4851" s="404"/>
      <c r="BG4851" s="404"/>
      <c r="BH4851" s="404"/>
      <c r="BI4851" s="404"/>
      <c r="BJ4851" s="404"/>
      <c r="BK4851" s="404"/>
      <c r="BL4851" s="404"/>
    </row>
    <row r="4852" spans="1:64">
      <c r="A4852" s="689"/>
      <c r="B4852" s="689"/>
      <c r="C4852" s="684" t="str">
        <f>[161]Input!C$47</f>
        <v>Add for MA @ 40%</v>
      </c>
      <c r="D4852" s="762">
        <f>[161]Input!D$47</f>
        <v>0.4</v>
      </c>
      <c r="E4852" s="687"/>
      <c r="F4852" s="691">
        <f>I4851</f>
        <v>113</v>
      </c>
      <c r="G4852" s="689"/>
      <c r="H4852" s="689"/>
      <c r="I4852" s="691">
        <f t="shared" si="1031"/>
        <v>45.2</v>
      </c>
      <c r="J4852" s="400"/>
      <c r="K4852" s="401"/>
      <c r="L4852" s="401"/>
      <c r="M4852" s="404"/>
      <c r="N4852" s="404"/>
      <c r="O4852" s="404"/>
      <c r="P4852" s="404"/>
      <c r="Q4852" s="404"/>
      <c r="R4852" s="404"/>
      <c r="S4852" s="404"/>
      <c r="T4852" s="404"/>
      <c r="U4852" s="404"/>
      <c r="V4852" s="404"/>
      <c r="W4852" s="404"/>
      <c r="X4852" s="404"/>
      <c r="Y4852" s="404"/>
      <c r="Z4852" s="404"/>
      <c r="AA4852" s="404"/>
      <c r="AB4852" s="404"/>
      <c r="AC4852" s="404"/>
      <c r="AD4852" s="404"/>
      <c r="AE4852" s="404"/>
      <c r="AF4852" s="404"/>
      <c r="AG4852" s="404"/>
      <c r="AH4852" s="404"/>
      <c r="AI4852" s="404"/>
      <c r="AJ4852" s="404"/>
      <c r="AK4852" s="404"/>
      <c r="AL4852" s="404"/>
      <c r="AM4852" s="404"/>
      <c r="AN4852" s="404"/>
      <c r="AO4852" s="404"/>
      <c r="AP4852" s="404"/>
      <c r="AQ4852" s="404"/>
      <c r="AR4852" s="404"/>
      <c r="AS4852" s="404"/>
      <c r="AT4852" s="404"/>
      <c r="AU4852" s="404"/>
      <c r="AV4852" s="404"/>
      <c r="AW4852" s="404"/>
      <c r="AX4852" s="404"/>
      <c r="AY4852" s="404"/>
      <c r="AZ4852" s="404"/>
      <c r="BA4852" s="404"/>
      <c r="BB4852" s="404"/>
      <c r="BC4852" s="404"/>
      <c r="BD4852" s="404"/>
      <c r="BE4852" s="404"/>
      <c r="BF4852" s="404"/>
      <c r="BG4852" s="404"/>
      <c r="BH4852" s="404"/>
      <c r="BI4852" s="404"/>
      <c r="BJ4852" s="404"/>
      <c r="BK4852" s="404"/>
      <c r="BL4852" s="404"/>
    </row>
    <row r="4853" spans="1:64" ht="13">
      <c r="A4853" s="682"/>
      <c r="B4853" s="682"/>
      <c r="C4853" s="679" t="s">
        <v>742</v>
      </c>
      <c r="D4853" s="686"/>
      <c r="E4853" s="697"/>
      <c r="F4853" s="678"/>
      <c r="G4853" s="678"/>
      <c r="H4853" s="760"/>
      <c r="I4853" s="694">
        <f>SUM(I4850:I4852)</f>
        <v>183.19529999999997</v>
      </c>
      <c r="J4853" s="400"/>
      <c r="K4853" s="401"/>
      <c r="L4853" s="401"/>
      <c r="M4853" s="404"/>
      <c r="N4853" s="404"/>
      <c r="O4853" s="404"/>
      <c r="P4853" s="404"/>
      <c r="Q4853" s="404"/>
      <c r="R4853" s="404"/>
      <c r="S4853" s="404"/>
      <c r="T4853" s="404"/>
      <c r="U4853" s="404"/>
      <c r="V4853" s="404"/>
      <c r="W4853" s="404"/>
      <c r="X4853" s="404"/>
      <c r="Y4853" s="404"/>
      <c r="Z4853" s="404"/>
      <c r="AA4853" s="404"/>
      <c r="AB4853" s="404"/>
      <c r="AC4853" s="404"/>
      <c r="AD4853" s="404"/>
      <c r="AE4853" s="404"/>
      <c r="AF4853" s="404"/>
      <c r="AG4853" s="404"/>
      <c r="AH4853" s="404"/>
      <c r="AI4853" s="404"/>
      <c r="AJ4853" s="404"/>
      <c r="AK4853" s="404"/>
      <c r="AL4853" s="404"/>
      <c r="AM4853" s="404"/>
      <c r="AN4853" s="404"/>
      <c r="AO4853" s="404"/>
      <c r="AP4853" s="404"/>
      <c r="AQ4853" s="404"/>
      <c r="AR4853" s="404"/>
      <c r="AS4853" s="404"/>
      <c r="AT4853" s="404"/>
      <c r="AU4853" s="404"/>
      <c r="AV4853" s="404"/>
      <c r="AW4853" s="404"/>
      <c r="AX4853" s="404"/>
      <c r="AY4853" s="404"/>
      <c r="AZ4853" s="404"/>
      <c r="BA4853" s="404"/>
      <c r="BB4853" s="404"/>
      <c r="BC4853" s="404"/>
      <c r="BD4853" s="404"/>
      <c r="BE4853" s="404"/>
      <c r="BF4853" s="404"/>
      <c r="BG4853" s="404"/>
      <c r="BH4853" s="404"/>
      <c r="BI4853" s="404"/>
      <c r="BJ4853" s="404"/>
      <c r="BK4853" s="404"/>
      <c r="BL4853" s="404"/>
    </row>
    <row r="4854" spans="1:64" ht="13">
      <c r="A4854" s="682"/>
      <c r="B4854" s="682"/>
      <c r="C4854" s="684"/>
      <c r="D4854" s="686"/>
      <c r="E4854" s="686"/>
      <c r="F4854" s="686"/>
      <c r="G4854" s="1290"/>
      <c r="H4854" s="1290"/>
      <c r="I4854" s="694">
        <f>ROUND(I4853,0)</f>
        <v>183</v>
      </c>
      <c r="J4854" s="400"/>
      <c r="K4854" s="401"/>
      <c r="L4854" s="401"/>
      <c r="M4854" s="404"/>
      <c r="N4854" s="404"/>
      <c r="O4854" s="404"/>
      <c r="P4854" s="404"/>
      <c r="Q4854" s="404"/>
      <c r="R4854" s="404"/>
      <c r="S4854" s="404"/>
      <c r="T4854" s="404"/>
      <c r="U4854" s="404"/>
      <c r="V4854" s="404"/>
      <c r="W4854" s="404"/>
      <c r="X4854" s="404"/>
      <c r="Y4854" s="404"/>
      <c r="Z4854" s="404"/>
      <c r="AA4854" s="404"/>
      <c r="AB4854" s="404"/>
      <c r="AC4854" s="404"/>
      <c r="AD4854" s="404"/>
      <c r="AE4854" s="404"/>
      <c r="AF4854" s="404"/>
      <c r="AG4854" s="404"/>
      <c r="AH4854" s="404"/>
      <c r="AI4854" s="404"/>
      <c r="AJ4854" s="404"/>
      <c r="AK4854" s="404"/>
      <c r="AL4854" s="404"/>
      <c r="AM4854" s="404"/>
      <c r="AN4854" s="404"/>
      <c r="AO4854" s="404"/>
      <c r="AP4854" s="404"/>
      <c r="AQ4854" s="404"/>
      <c r="AR4854" s="404"/>
      <c r="AS4854" s="404"/>
      <c r="AT4854" s="404"/>
      <c r="AU4854" s="404"/>
      <c r="AV4854" s="404"/>
      <c r="AW4854" s="404"/>
      <c r="AX4854" s="404"/>
      <c r="AY4854" s="404"/>
      <c r="AZ4854" s="404"/>
      <c r="BA4854" s="404"/>
      <c r="BB4854" s="404"/>
      <c r="BC4854" s="404"/>
      <c r="BD4854" s="404"/>
      <c r="BE4854" s="404"/>
      <c r="BF4854" s="404"/>
      <c r="BG4854" s="404"/>
      <c r="BH4854" s="404"/>
      <c r="BI4854" s="404"/>
      <c r="BJ4854" s="404"/>
      <c r="BK4854" s="404"/>
      <c r="BL4854" s="404"/>
    </row>
    <row r="4855" spans="1:64" ht="47.9" customHeight="1">
      <c r="A4855" s="1280">
        <f>1+A4847</f>
        <v>31</v>
      </c>
      <c r="B4855" s="1280"/>
      <c r="C4855" s="1276" t="s">
        <v>1733</v>
      </c>
      <c r="D4855" s="1276"/>
      <c r="E4855" s="1276"/>
      <c r="F4855" s="1276"/>
      <c r="G4855" s="1276"/>
      <c r="H4855" s="1276"/>
      <c r="I4855" s="1276"/>
      <c r="J4855" s="400"/>
      <c r="K4855" s="401"/>
      <c r="L4855" s="401"/>
      <c r="M4855" s="404"/>
      <c r="N4855" s="404"/>
      <c r="O4855" s="404"/>
      <c r="P4855" s="404"/>
      <c r="Q4855" s="404"/>
      <c r="R4855" s="404"/>
      <c r="S4855" s="404"/>
      <c r="T4855" s="404"/>
      <c r="U4855" s="404"/>
      <c r="V4855" s="404"/>
      <c r="W4855" s="404"/>
      <c r="X4855" s="404"/>
      <c r="Y4855" s="404"/>
      <c r="Z4855" s="404"/>
      <c r="AA4855" s="404"/>
      <c r="AB4855" s="404"/>
      <c r="AC4855" s="404"/>
      <c r="AD4855" s="404"/>
      <c r="AE4855" s="404"/>
      <c r="AF4855" s="404"/>
      <c r="AG4855" s="404"/>
      <c r="AH4855" s="404"/>
      <c r="AI4855" s="404"/>
      <c r="AJ4855" s="404"/>
      <c r="AK4855" s="404"/>
      <c r="AL4855" s="404"/>
      <c r="AM4855" s="404"/>
      <c r="AN4855" s="404"/>
      <c r="AO4855" s="404"/>
      <c r="AP4855" s="404"/>
      <c r="AQ4855" s="404"/>
      <c r="AR4855" s="404"/>
      <c r="AS4855" s="404"/>
      <c r="AT4855" s="404"/>
      <c r="AU4855" s="404"/>
      <c r="AV4855" s="404"/>
      <c r="AW4855" s="404"/>
      <c r="AX4855" s="404"/>
      <c r="AY4855" s="404"/>
      <c r="AZ4855" s="404"/>
      <c r="BA4855" s="404"/>
      <c r="BB4855" s="404"/>
      <c r="BC4855" s="404"/>
      <c r="BD4855" s="404"/>
      <c r="BE4855" s="404"/>
      <c r="BF4855" s="404"/>
      <c r="BG4855" s="404"/>
      <c r="BH4855" s="404"/>
      <c r="BI4855" s="404"/>
      <c r="BJ4855" s="404"/>
      <c r="BK4855" s="404"/>
      <c r="BL4855" s="404"/>
    </row>
    <row r="4856" spans="1:64" ht="13">
      <c r="A4856" s="426"/>
      <c r="B4856" s="426"/>
      <c r="C4856" s="427" t="s">
        <v>1734</v>
      </c>
      <c r="D4856" s="407"/>
      <c r="E4856" s="407"/>
      <c r="F4856" s="407"/>
      <c r="G4856" s="407"/>
      <c r="H4856" s="407"/>
      <c r="I4856" s="407"/>
      <c r="J4856" s="400"/>
      <c r="K4856" s="401"/>
      <c r="L4856" s="401"/>
      <c r="M4856" s="404"/>
      <c r="N4856" s="404"/>
      <c r="O4856" s="404"/>
      <c r="P4856" s="404"/>
      <c r="Q4856" s="404"/>
      <c r="R4856" s="404"/>
      <c r="S4856" s="404"/>
      <c r="T4856" s="404"/>
      <c r="U4856" s="404"/>
      <c r="V4856" s="404"/>
      <c r="W4856" s="404"/>
      <c r="X4856" s="404"/>
      <c r="Y4856" s="404"/>
      <c r="Z4856" s="404"/>
      <c r="AA4856" s="404"/>
      <c r="AB4856" s="404"/>
      <c r="AC4856" s="404"/>
      <c r="AD4856" s="404"/>
      <c r="AE4856" s="404"/>
      <c r="AF4856" s="404"/>
      <c r="AG4856" s="404"/>
      <c r="AH4856" s="404"/>
      <c r="AI4856" s="404"/>
      <c r="AJ4856" s="404"/>
      <c r="AK4856" s="404"/>
      <c r="AL4856" s="404"/>
      <c r="AM4856" s="404"/>
      <c r="AN4856" s="404"/>
      <c r="AO4856" s="404"/>
      <c r="AP4856" s="404"/>
      <c r="AQ4856" s="404"/>
      <c r="AR4856" s="404"/>
      <c r="AS4856" s="404"/>
      <c r="AT4856" s="404"/>
      <c r="AU4856" s="404"/>
      <c r="AV4856" s="404"/>
      <c r="AW4856" s="404"/>
      <c r="AX4856" s="404"/>
      <c r="AY4856" s="404"/>
      <c r="AZ4856" s="404"/>
      <c r="BA4856" s="404"/>
      <c r="BB4856" s="404"/>
      <c r="BC4856" s="404"/>
      <c r="BD4856" s="404"/>
      <c r="BE4856" s="404"/>
      <c r="BF4856" s="404"/>
      <c r="BG4856" s="404"/>
      <c r="BH4856" s="404"/>
      <c r="BI4856" s="404"/>
      <c r="BJ4856" s="404"/>
      <c r="BK4856" s="404"/>
      <c r="BL4856" s="404"/>
    </row>
    <row r="4857" spans="1:64" ht="25">
      <c r="A4857" s="406"/>
      <c r="B4857" s="406"/>
      <c r="C4857" s="417" t="s">
        <v>1735</v>
      </c>
      <c r="D4857" s="459">
        <v>1</v>
      </c>
      <c r="E4857" s="408" t="s">
        <v>1052</v>
      </c>
      <c r="F4857" s="432">
        <v>136</v>
      </c>
      <c r="G4857" s="458">
        <v>1</v>
      </c>
      <c r="H4857" s="599" t="str">
        <f>IF(E4857="","",IF(E4857="No.","Each",IF(E4857="Nos.","Each",E4857)))</f>
        <v>RM</v>
      </c>
      <c r="I4857" s="459">
        <f t="shared" ref="I4857:I4858" si="1032">IF(G4857="",D4857*F4857,(D4857*F4857/G4857))</f>
        <v>136</v>
      </c>
      <c r="J4857" s="400"/>
      <c r="K4857" s="401"/>
      <c r="L4857" s="401"/>
      <c r="M4857" s="404"/>
      <c r="N4857" s="404"/>
      <c r="O4857" s="404"/>
      <c r="P4857" s="404"/>
      <c r="Q4857" s="404"/>
      <c r="R4857" s="404"/>
      <c r="S4857" s="404"/>
      <c r="T4857" s="404"/>
      <c r="U4857" s="404"/>
      <c r="V4857" s="404"/>
      <c r="W4857" s="404"/>
      <c r="X4857" s="404"/>
      <c r="Y4857" s="404"/>
      <c r="Z4857" s="404"/>
      <c r="AA4857" s="404"/>
      <c r="AB4857" s="404"/>
      <c r="AC4857" s="404"/>
      <c r="AD4857" s="404"/>
      <c r="AE4857" s="404"/>
      <c r="AF4857" s="404"/>
      <c r="AG4857" s="404"/>
      <c r="AH4857" s="404"/>
      <c r="AI4857" s="404"/>
      <c r="AJ4857" s="404"/>
      <c r="AK4857" s="404"/>
      <c r="AL4857" s="404"/>
      <c r="AM4857" s="404"/>
      <c r="AN4857" s="404"/>
      <c r="AO4857" s="404"/>
      <c r="AP4857" s="404"/>
      <c r="AQ4857" s="404"/>
      <c r="AR4857" s="404"/>
      <c r="AS4857" s="404"/>
      <c r="AT4857" s="404"/>
      <c r="AU4857" s="404"/>
      <c r="AV4857" s="404"/>
      <c r="AW4857" s="404"/>
      <c r="AX4857" s="404"/>
      <c r="AY4857" s="404"/>
      <c r="AZ4857" s="404"/>
      <c r="BA4857" s="404"/>
      <c r="BB4857" s="404"/>
      <c r="BC4857" s="404"/>
      <c r="BD4857" s="404"/>
      <c r="BE4857" s="404"/>
      <c r="BF4857" s="404"/>
      <c r="BG4857" s="404"/>
      <c r="BH4857" s="404"/>
      <c r="BI4857" s="404"/>
      <c r="BJ4857" s="404"/>
      <c r="BK4857" s="404"/>
      <c r="BL4857" s="404"/>
    </row>
    <row r="4858" spans="1:64" ht="25">
      <c r="A4858" s="406"/>
      <c r="B4858" s="406"/>
      <c r="C4858" s="417" t="str">
        <f>[161]Input!$C$48</f>
        <v>Overheads &amp; Contractors Profit @ 13.615%</v>
      </c>
      <c r="D4858" s="444">
        <f>[161]Input!$D$48</f>
        <v>0.13614999999999999</v>
      </c>
      <c r="E4858" s="471"/>
      <c r="F4858" s="459">
        <f>I4857</f>
        <v>136</v>
      </c>
      <c r="G4858" s="458"/>
      <c r="H4858" s="407"/>
      <c r="I4858" s="459">
        <f t="shared" si="1032"/>
        <v>18.516399999999997</v>
      </c>
      <c r="J4858" s="400"/>
      <c r="K4858" s="401"/>
      <c r="L4858" s="401"/>
      <c r="M4858" s="404"/>
      <c r="N4858" s="404"/>
      <c r="O4858" s="404"/>
      <c r="P4858" s="404"/>
      <c r="Q4858" s="404"/>
      <c r="R4858" s="404"/>
      <c r="S4858" s="404"/>
      <c r="T4858" s="404"/>
      <c r="U4858" s="404"/>
      <c r="V4858" s="404"/>
      <c r="W4858" s="404"/>
      <c r="X4858" s="404"/>
      <c r="Y4858" s="404"/>
      <c r="Z4858" s="404"/>
      <c r="AA4858" s="404"/>
      <c r="AB4858" s="404"/>
      <c r="AC4858" s="404"/>
      <c r="AD4858" s="404"/>
      <c r="AE4858" s="404"/>
      <c r="AF4858" s="404"/>
      <c r="AG4858" s="404"/>
      <c r="AH4858" s="404"/>
      <c r="AI4858" s="404"/>
      <c r="AJ4858" s="404"/>
      <c r="AK4858" s="404"/>
      <c r="AL4858" s="404"/>
      <c r="AM4858" s="404"/>
      <c r="AN4858" s="404"/>
      <c r="AO4858" s="404"/>
      <c r="AP4858" s="404"/>
      <c r="AQ4858" s="404"/>
      <c r="AR4858" s="404"/>
      <c r="AS4858" s="404"/>
      <c r="AT4858" s="404"/>
      <c r="AU4858" s="404"/>
      <c r="AV4858" s="404"/>
      <c r="AW4858" s="404"/>
      <c r="AX4858" s="404"/>
      <c r="AY4858" s="404"/>
      <c r="AZ4858" s="404"/>
      <c r="BA4858" s="404"/>
      <c r="BB4858" s="404"/>
      <c r="BC4858" s="404"/>
      <c r="BD4858" s="404"/>
      <c r="BE4858" s="404"/>
      <c r="BF4858" s="404"/>
      <c r="BG4858" s="404"/>
      <c r="BH4858" s="404"/>
      <c r="BI4858" s="404"/>
      <c r="BJ4858" s="404"/>
      <c r="BK4858" s="404"/>
      <c r="BL4858" s="404"/>
    </row>
    <row r="4859" spans="1:64" ht="13">
      <c r="A4859" s="426"/>
      <c r="B4859" s="426"/>
      <c r="C4859" s="473"/>
      <c r="D4859" s="408"/>
      <c r="E4859" s="415"/>
      <c r="F4859" s="454"/>
      <c r="G4859" s="454"/>
      <c r="H4859" s="474"/>
      <c r="I4859" s="414">
        <f>SUM(I4857:I4858)</f>
        <v>154.5164</v>
      </c>
      <c r="J4859" s="400"/>
      <c r="K4859" s="401"/>
      <c r="L4859" s="401"/>
      <c r="M4859" s="404"/>
      <c r="N4859" s="404"/>
      <c r="O4859" s="404"/>
      <c r="P4859" s="404"/>
      <c r="Q4859" s="404"/>
      <c r="R4859" s="404"/>
      <c r="S4859" s="404"/>
      <c r="T4859" s="404"/>
      <c r="U4859" s="404"/>
      <c r="V4859" s="404"/>
      <c r="W4859" s="404"/>
      <c r="X4859" s="404"/>
      <c r="Y4859" s="404"/>
      <c r="Z4859" s="404"/>
      <c r="AA4859" s="404"/>
      <c r="AB4859" s="404"/>
      <c r="AC4859" s="404"/>
      <c r="AD4859" s="404"/>
      <c r="AE4859" s="404"/>
      <c r="AF4859" s="404"/>
      <c r="AG4859" s="404"/>
      <c r="AH4859" s="404"/>
      <c r="AI4859" s="404"/>
      <c r="AJ4859" s="404"/>
      <c r="AK4859" s="404"/>
      <c r="AL4859" s="404"/>
      <c r="AM4859" s="404"/>
      <c r="AN4859" s="404"/>
      <c r="AO4859" s="404"/>
      <c r="AP4859" s="404"/>
      <c r="AQ4859" s="404"/>
      <c r="AR4859" s="404"/>
      <c r="AS4859" s="404"/>
      <c r="AT4859" s="404"/>
      <c r="AU4859" s="404"/>
      <c r="AV4859" s="404"/>
      <c r="AW4859" s="404"/>
      <c r="AX4859" s="404"/>
      <c r="AY4859" s="404"/>
      <c r="AZ4859" s="404"/>
      <c r="BA4859" s="404"/>
      <c r="BB4859" s="404"/>
      <c r="BC4859" s="404"/>
      <c r="BD4859" s="404"/>
      <c r="BE4859" s="404"/>
      <c r="BF4859" s="404"/>
      <c r="BG4859" s="404"/>
      <c r="BH4859" s="404"/>
      <c r="BI4859" s="404"/>
      <c r="BJ4859" s="404"/>
      <c r="BK4859" s="404"/>
      <c r="BL4859" s="404"/>
    </row>
    <row r="4860" spans="1:64" ht="13">
      <c r="A4860" s="426"/>
      <c r="B4860" s="426"/>
      <c r="C4860" s="417"/>
      <c r="D4860" s="409"/>
      <c r="E4860" s="426"/>
      <c r="F4860" s="409"/>
      <c r="G4860" s="410"/>
      <c r="H4860" s="415" t="s">
        <v>774</v>
      </c>
      <c r="I4860" s="416">
        <f>ROUND(I4859,0)</f>
        <v>155</v>
      </c>
      <c r="J4860" s="400"/>
      <c r="K4860" s="401"/>
      <c r="L4860" s="401"/>
      <c r="M4860" s="404"/>
      <c r="N4860" s="404"/>
      <c r="O4860" s="404"/>
      <c r="P4860" s="404"/>
      <c r="Q4860" s="404"/>
      <c r="R4860" s="404"/>
      <c r="S4860" s="404"/>
      <c r="T4860" s="404"/>
      <c r="U4860" s="404"/>
      <c r="V4860" s="404"/>
      <c r="W4860" s="404"/>
      <c r="X4860" s="404"/>
      <c r="Y4860" s="404"/>
      <c r="Z4860" s="404"/>
      <c r="AA4860" s="404"/>
      <c r="AB4860" s="404"/>
      <c r="AC4860" s="404"/>
      <c r="AD4860" s="404"/>
      <c r="AE4860" s="404"/>
      <c r="AF4860" s="404"/>
      <c r="AG4860" s="404"/>
      <c r="AH4860" s="404"/>
      <c r="AI4860" s="404"/>
      <c r="AJ4860" s="404"/>
      <c r="AK4860" s="404"/>
      <c r="AL4860" s="404"/>
      <c r="AM4860" s="404"/>
      <c r="AN4860" s="404"/>
      <c r="AO4860" s="404"/>
      <c r="AP4860" s="404"/>
      <c r="AQ4860" s="404"/>
      <c r="AR4860" s="404"/>
      <c r="AS4860" s="404"/>
      <c r="AT4860" s="404"/>
      <c r="AU4860" s="404"/>
      <c r="AV4860" s="404"/>
      <c r="AW4860" s="404"/>
      <c r="AX4860" s="404"/>
      <c r="AY4860" s="404"/>
      <c r="AZ4860" s="404"/>
      <c r="BA4860" s="404"/>
      <c r="BB4860" s="404"/>
      <c r="BC4860" s="404"/>
      <c r="BD4860" s="404"/>
      <c r="BE4860" s="404"/>
      <c r="BF4860" s="404"/>
      <c r="BG4860" s="404"/>
      <c r="BH4860" s="404"/>
      <c r="BI4860" s="404"/>
      <c r="BJ4860" s="404"/>
      <c r="BK4860" s="404"/>
      <c r="BL4860" s="404"/>
    </row>
    <row r="4861" spans="1:64">
      <c r="A4861" s="426"/>
      <c r="B4861" s="426"/>
      <c r="C4861" s="417"/>
      <c r="D4861" s="409"/>
      <c r="E4861" s="426"/>
      <c r="F4861" s="409"/>
      <c r="G4861" s="410"/>
      <c r="H4861" s="426"/>
      <c r="I4861" s="409"/>
      <c r="J4861" s="400"/>
      <c r="K4861" s="401"/>
      <c r="L4861" s="401"/>
      <c r="M4861" s="404"/>
      <c r="N4861" s="404"/>
      <c r="O4861" s="404"/>
      <c r="P4861" s="404"/>
      <c r="Q4861" s="404"/>
      <c r="R4861" s="404"/>
      <c r="S4861" s="404"/>
      <c r="T4861" s="404"/>
      <c r="U4861" s="404"/>
      <c r="V4861" s="404"/>
      <c r="W4861" s="404"/>
      <c r="X4861" s="404"/>
      <c r="Y4861" s="404"/>
      <c r="Z4861" s="404"/>
      <c r="AA4861" s="404"/>
      <c r="AB4861" s="404"/>
      <c r="AC4861" s="404"/>
      <c r="AD4861" s="404"/>
      <c r="AE4861" s="404"/>
      <c r="AF4861" s="404"/>
      <c r="AG4861" s="404"/>
      <c r="AH4861" s="404"/>
      <c r="AI4861" s="404"/>
      <c r="AJ4861" s="404"/>
      <c r="AK4861" s="404"/>
      <c r="AL4861" s="404"/>
      <c r="AM4861" s="404"/>
      <c r="AN4861" s="404"/>
      <c r="AO4861" s="404"/>
      <c r="AP4861" s="404"/>
      <c r="AQ4861" s="404"/>
      <c r="AR4861" s="404"/>
      <c r="AS4861" s="404"/>
      <c r="AT4861" s="404"/>
      <c r="AU4861" s="404"/>
      <c r="AV4861" s="404"/>
      <c r="AW4861" s="404"/>
      <c r="AX4861" s="404"/>
      <c r="AY4861" s="404"/>
      <c r="AZ4861" s="404"/>
      <c r="BA4861" s="404"/>
      <c r="BB4861" s="404"/>
      <c r="BC4861" s="404"/>
      <c r="BD4861" s="404"/>
      <c r="BE4861" s="404"/>
      <c r="BF4861" s="404"/>
      <c r="BG4861" s="404"/>
      <c r="BH4861" s="404"/>
      <c r="BI4861" s="404"/>
      <c r="BJ4861" s="404"/>
      <c r="BK4861" s="404"/>
      <c r="BL4861" s="404"/>
    </row>
    <row r="4862" spans="1:64" ht="25.4" customHeight="1">
      <c r="A4862" s="1280">
        <f>1+A4855</f>
        <v>32</v>
      </c>
      <c r="B4862" s="1280"/>
      <c r="C4862" s="1276" t="s">
        <v>1736</v>
      </c>
      <c r="D4862" s="1276"/>
      <c r="E4862" s="1276"/>
      <c r="F4862" s="1276"/>
      <c r="G4862" s="1276"/>
      <c r="H4862" s="1276"/>
      <c r="I4862" s="1276"/>
      <c r="J4862" s="400"/>
      <c r="K4862" s="401"/>
      <c r="L4862" s="401"/>
      <c r="M4862" s="404"/>
      <c r="N4862" s="404"/>
      <c r="O4862" s="404"/>
      <c r="P4862" s="404"/>
      <c r="Q4862" s="404"/>
      <c r="R4862" s="404"/>
      <c r="S4862" s="404"/>
      <c r="T4862" s="404"/>
      <c r="U4862" s="404"/>
      <c r="V4862" s="404"/>
      <c r="W4862" s="404"/>
      <c r="X4862" s="404"/>
      <c r="Y4862" s="404"/>
      <c r="Z4862" s="404"/>
      <c r="AA4862" s="404"/>
      <c r="AB4862" s="404"/>
      <c r="AC4862" s="404"/>
      <c r="AD4862" s="404"/>
      <c r="AE4862" s="404"/>
      <c r="AF4862" s="404"/>
      <c r="AG4862" s="404"/>
      <c r="AH4862" s="404"/>
      <c r="AI4862" s="404"/>
      <c r="AJ4862" s="404"/>
      <c r="AK4862" s="404"/>
      <c r="AL4862" s="404"/>
      <c r="AM4862" s="404"/>
      <c r="AN4862" s="404"/>
      <c r="AO4862" s="404"/>
      <c r="AP4862" s="404"/>
      <c r="AQ4862" s="404"/>
      <c r="AR4862" s="404"/>
      <c r="AS4862" s="404"/>
      <c r="AT4862" s="404"/>
      <c r="AU4862" s="404"/>
      <c r="AV4862" s="404"/>
      <c r="AW4862" s="404"/>
      <c r="AX4862" s="404"/>
      <c r="AY4862" s="404"/>
      <c r="AZ4862" s="404"/>
      <c r="BA4862" s="404"/>
      <c r="BB4862" s="404"/>
      <c r="BC4862" s="404"/>
      <c r="BD4862" s="404"/>
      <c r="BE4862" s="404"/>
      <c r="BF4862" s="404"/>
      <c r="BG4862" s="404"/>
      <c r="BH4862" s="404"/>
      <c r="BI4862" s="404"/>
      <c r="BJ4862" s="404"/>
      <c r="BK4862" s="404"/>
      <c r="BL4862" s="404"/>
    </row>
    <row r="4863" spans="1:64" ht="13">
      <c r="A4863" s="426"/>
      <c r="B4863" s="426"/>
      <c r="C4863" s="427" t="s">
        <v>1734</v>
      </c>
      <c r="D4863" s="407"/>
      <c r="E4863" s="407"/>
      <c r="F4863" s="407"/>
      <c r="G4863" s="407"/>
      <c r="H4863" s="407"/>
      <c r="I4863" s="407"/>
      <c r="J4863" s="400"/>
      <c r="K4863" s="401"/>
      <c r="L4863" s="401"/>
      <c r="M4863" s="404"/>
      <c r="N4863" s="404"/>
      <c r="O4863" s="404"/>
      <c r="P4863" s="404"/>
      <c r="Q4863" s="404"/>
      <c r="R4863" s="404"/>
      <c r="S4863" s="404"/>
      <c r="T4863" s="404"/>
      <c r="U4863" s="404"/>
      <c r="V4863" s="404"/>
      <c r="W4863" s="404"/>
      <c r="X4863" s="404"/>
      <c r="Y4863" s="404"/>
      <c r="Z4863" s="404"/>
      <c r="AA4863" s="404"/>
      <c r="AB4863" s="404"/>
      <c r="AC4863" s="404"/>
      <c r="AD4863" s="404"/>
      <c r="AE4863" s="404"/>
      <c r="AF4863" s="404"/>
      <c r="AG4863" s="404"/>
      <c r="AH4863" s="404"/>
      <c r="AI4863" s="404"/>
      <c r="AJ4863" s="404"/>
      <c r="AK4863" s="404"/>
      <c r="AL4863" s="404"/>
      <c r="AM4863" s="404"/>
      <c r="AN4863" s="404"/>
      <c r="AO4863" s="404"/>
      <c r="AP4863" s="404"/>
      <c r="AQ4863" s="404"/>
      <c r="AR4863" s="404"/>
      <c r="AS4863" s="404"/>
      <c r="AT4863" s="404"/>
      <c r="AU4863" s="404"/>
      <c r="AV4863" s="404"/>
      <c r="AW4863" s="404"/>
      <c r="AX4863" s="404"/>
      <c r="AY4863" s="404"/>
      <c r="AZ4863" s="404"/>
      <c r="BA4863" s="404"/>
      <c r="BB4863" s="404"/>
      <c r="BC4863" s="404"/>
      <c r="BD4863" s="404"/>
      <c r="BE4863" s="404"/>
      <c r="BF4863" s="404"/>
      <c r="BG4863" s="404"/>
      <c r="BH4863" s="404"/>
      <c r="BI4863" s="404"/>
      <c r="BJ4863" s="404"/>
      <c r="BK4863" s="404"/>
      <c r="BL4863" s="404"/>
    </row>
    <row r="4864" spans="1:64" ht="25">
      <c r="A4864" s="406"/>
      <c r="B4864" s="406"/>
      <c r="C4864" s="417" t="s">
        <v>1737</v>
      </c>
      <c r="D4864" s="459">
        <v>1</v>
      </c>
      <c r="E4864" s="408" t="s">
        <v>1052</v>
      </c>
      <c r="F4864" s="432">
        <v>116</v>
      </c>
      <c r="G4864" s="458">
        <v>1</v>
      </c>
      <c r="H4864" s="599" t="str">
        <f>IF(E4864="","",IF(E4864="No.","Each",IF(E4864="Nos.","Each",E4864)))</f>
        <v>RM</v>
      </c>
      <c r="I4864" s="459">
        <f t="shared" ref="I4864:I4865" si="1033">IF(G4864="",D4864*F4864,(D4864*F4864/G4864))</f>
        <v>116</v>
      </c>
      <c r="J4864" s="400"/>
      <c r="K4864" s="401"/>
      <c r="L4864" s="401"/>
      <c r="M4864" s="404"/>
      <c r="N4864" s="404"/>
      <c r="O4864" s="404"/>
      <c r="P4864" s="404"/>
      <c r="Q4864" s="404"/>
      <c r="R4864" s="404"/>
      <c r="S4864" s="404"/>
      <c r="T4864" s="404"/>
      <c r="U4864" s="404"/>
      <c r="V4864" s="404"/>
      <c r="W4864" s="404"/>
      <c r="X4864" s="404"/>
      <c r="Y4864" s="404"/>
      <c r="Z4864" s="404"/>
      <c r="AA4864" s="404"/>
      <c r="AB4864" s="404"/>
      <c r="AC4864" s="404"/>
      <c r="AD4864" s="404"/>
      <c r="AE4864" s="404"/>
      <c r="AF4864" s="404"/>
      <c r="AG4864" s="404"/>
      <c r="AH4864" s="404"/>
      <c r="AI4864" s="404"/>
      <c r="AJ4864" s="404"/>
      <c r="AK4864" s="404"/>
      <c r="AL4864" s="404"/>
      <c r="AM4864" s="404"/>
      <c r="AN4864" s="404"/>
      <c r="AO4864" s="404"/>
      <c r="AP4864" s="404"/>
      <c r="AQ4864" s="404"/>
      <c r="AR4864" s="404"/>
      <c r="AS4864" s="404"/>
      <c r="AT4864" s="404"/>
      <c r="AU4864" s="404"/>
      <c r="AV4864" s="404"/>
      <c r="AW4864" s="404"/>
      <c r="AX4864" s="404"/>
      <c r="AY4864" s="404"/>
      <c r="AZ4864" s="404"/>
      <c r="BA4864" s="404"/>
      <c r="BB4864" s="404"/>
      <c r="BC4864" s="404"/>
      <c r="BD4864" s="404"/>
      <c r="BE4864" s="404"/>
      <c r="BF4864" s="404"/>
      <c r="BG4864" s="404"/>
      <c r="BH4864" s="404"/>
      <c r="BI4864" s="404"/>
      <c r="BJ4864" s="404"/>
      <c r="BK4864" s="404"/>
      <c r="BL4864" s="404"/>
    </row>
    <row r="4865" spans="1:64" ht="25">
      <c r="A4865" s="406"/>
      <c r="B4865" s="406"/>
      <c r="C4865" s="417" t="str">
        <f>[161]Input!$C$48</f>
        <v>Overheads &amp; Contractors Profit @ 13.615%</v>
      </c>
      <c r="D4865" s="444">
        <f>[161]Input!$D$48</f>
        <v>0.13614999999999999</v>
      </c>
      <c r="E4865" s="471"/>
      <c r="F4865" s="459">
        <f>I4864</f>
        <v>116</v>
      </c>
      <c r="G4865" s="458"/>
      <c r="H4865" s="407"/>
      <c r="I4865" s="459">
        <f t="shared" si="1033"/>
        <v>15.793399999999998</v>
      </c>
      <c r="J4865" s="400"/>
      <c r="K4865" s="401"/>
      <c r="L4865" s="401"/>
      <c r="M4865" s="404"/>
      <c r="N4865" s="404"/>
      <c r="O4865" s="404"/>
      <c r="P4865" s="404"/>
      <c r="Q4865" s="404"/>
      <c r="R4865" s="404"/>
      <c r="S4865" s="404"/>
      <c r="T4865" s="404"/>
      <c r="U4865" s="404"/>
      <c r="V4865" s="404"/>
      <c r="W4865" s="404"/>
      <c r="X4865" s="404"/>
      <c r="Y4865" s="404"/>
      <c r="Z4865" s="404"/>
      <c r="AA4865" s="404"/>
      <c r="AB4865" s="404"/>
      <c r="AC4865" s="404"/>
      <c r="AD4865" s="404"/>
      <c r="AE4865" s="404"/>
      <c r="AF4865" s="404"/>
      <c r="AG4865" s="404"/>
      <c r="AH4865" s="404"/>
      <c r="AI4865" s="404"/>
      <c r="AJ4865" s="404"/>
      <c r="AK4865" s="404"/>
      <c r="AL4865" s="404"/>
      <c r="AM4865" s="404"/>
      <c r="AN4865" s="404"/>
      <c r="AO4865" s="404"/>
      <c r="AP4865" s="404"/>
      <c r="AQ4865" s="404"/>
      <c r="AR4865" s="404"/>
      <c r="AS4865" s="404"/>
      <c r="AT4865" s="404"/>
      <c r="AU4865" s="404"/>
      <c r="AV4865" s="404"/>
      <c r="AW4865" s="404"/>
      <c r="AX4865" s="404"/>
      <c r="AY4865" s="404"/>
      <c r="AZ4865" s="404"/>
      <c r="BA4865" s="404"/>
      <c r="BB4865" s="404"/>
      <c r="BC4865" s="404"/>
      <c r="BD4865" s="404"/>
      <c r="BE4865" s="404"/>
      <c r="BF4865" s="404"/>
      <c r="BG4865" s="404"/>
      <c r="BH4865" s="404"/>
      <c r="BI4865" s="404"/>
      <c r="BJ4865" s="404"/>
      <c r="BK4865" s="404"/>
      <c r="BL4865" s="404"/>
    </row>
    <row r="4866" spans="1:64" ht="13">
      <c r="A4866" s="426"/>
      <c r="B4866" s="426"/>
      <c r="C4866" s="473"/>
      <c r="D4866" s="408"/>
      <c r="E4866" s="415"/>
      <c r="F4866" s="454"/>
      <c r="G4866" s="454"/>
      <c r="H4866" s="474"/>
      <c r="I4866" s="414">
        <f>SUM(I4864:I4865)</f>
        <v>131.79339999999999</v>
      </c>
      <c r="J4866" s="400"/>
      <c r="K4866" s="401"/>
      <c r="L4866" s="401"/>
      <c r="M4866" s="404"/>
      <c r="N4866" s="404"/>
      <c r="O4866" s="404"/>
      <c r="P4866" s="404"/>
      <c r="Q4866" s="404"/>
      <c r="R4866" s="404"/>
      <c r="S4866" s="404"/>
      <c r="T4866" s="404"/>
      <c r="U4866" s="404"/>
      <c r="V4866" s="404"/>
      <c r="W4866" s="404"/>
      <c r="X4866" s="404"/>
      <c r="Y4866" s="404"/>
      <c r="Z4866" s="404"/>
      <c r="AA4866" s="404"/>
      <c r="AB4866" s="404"/>
      <c r="AC4866" s="404"/>
      <c r="AD4866" s="404"/>
      <c r="AE4866" s="404"/>
      <c r="AF4866" s="404"/>
      <c r="AG4866" s="404"/>
      <c r="AH4866" s="404"/>
      <c r="AI4866" s="404"/>
      <c r="AJ4866" s="404"/>
      <c r="AK4866" s="404"/>
      <c r="AL4866" s="404"/>
      <c r="AM4866" s="404"/>
      <c r="AN4866" s="404"/>
      <c r="AO4866" s="404"/>
      <c r="AP4866" s="404"/>
      <c r="AQ4866" s="404"/>
      <c r="AR4866" s="404"/>
      <c r="AS4866" s="404"/>
      <c r="AT4866" s="404"/>
      <c r="AU4866" s="404"/>
      <c r="AV4866" s="404"/>
      <c r="AW4866" s="404"/>
      <c r="AX4866" s="404"/>
      <c r="AY4866" s="404"/>
      <c r="AZ4866" s="404"/>
      <c r="BA4866" s="404"/>
      <c r="BB4866" s="404"/>
      <c r="BC4866" s="404"/>
      <c r="BD4866" s="404"/>
      <c r="BE4866" s="404"/>
      <c r="BF4866" s="404"/>
      <c r="BG4866" s="404"/>
      <c r="BH4866" s="404"/>
      <c r="BI4866" s="404"/>
      <c r="BJ4866" s="404"/>
      <c r="BK4866" s="404"/>
      <c r="BL4866" s="404"/>
    </row>
    <row r="4867" spans="1:64" ht="13">
      <c r="A4867" s="426"/>
      <c r="B4867" s="426"/>
      <c r="C4867" s="417"/>
      <c r="D4867" s="409"/>
      <c r="E4867" s="426"/>
      <c r="F4867" s="409"/>
      <c r="G4867" s="410"/>
      <c r="H4867" s="415" t="s">
        <v>774</v>
      </c>
      <c r="I4867" s="416">
        <f>ROUND(I4866,0)</f>
        <v>132</v>
      </c>
      <c r="J4867" s="400"/>
      <c r="K4867" s="401"/>
      <c r="L4867" s="401"/>
      <c r="M4867" s="404"/>
      <c r="N4867" s="404"/>
      <c r="O4867" s="404"/>
      <c r="P4867" s="404"/>
      <c r="Q4867" s="404"/>
      <c r="R4867" s="404"/>
      <c r="S4867" s="404"/>
      <c r="T4867" s="404"/>
      <c r="U4867" s="404"/>
      <c r="V4867" s="404"/>
      <c r="W4867" s="404"/>
      <c r="X4867" s="404"/>
      <c r="Y4867" s="404"/>
      <c r="Z4867" s="404"/>
      <c r="AA4867" s="404"/>
      <c r="AB4867" s="404"/>
      <c r="AC4867" s="404"/>
      <c r="AD4867" s="404"/>
      <c r="AE4867" s="404"/>
      <c r="AF4867" s="404"/>
      <c r="AG4867" s="404"/>
      <c r="AH4867" s="404"/>
      <c r="AI4867" s="404"/>
      <c r="AJ4867" s="404"/>
      <c r="AK4867" s="404"/>
      <c r="AL4867" s="404"/>
      <c r="AM4867" s="404"/>
      <c r="AN4867" s="404"/>
      <c r="AO4867" s="404"/>
      <c r="AP4867" s="404"/>
      <c r="AQ4867" s="404"/>
      <c r="AR4867" s="404"/>
      <c r="AS4867" s="404"/>
      <c r="AT4867" s="404"/>
      <c r="AU4867" s="404"/>
      <c r="AV4867" s="404"/>
      <c r="AW4867" s="404"/>
      <c r="AX4867" s="404"/>
      <c r="AY4867" s="404"/>
      <c r="AZ4867" s="404"/>
      <c r="BA4867" s="404"/>
      <c r="BB4867" s="404"/>
      <c r="BC4867" s="404"/>
      <c r="BD4867" s="404"/>
      <c r="BE4867" s="404"/>
      <c r="BF4867" s="404"/>
      <c r="BG4867" s="404"/>
      <c r="BH4867" s="404"/>
      <c r="BI4867" s="404"/>
      <c r="BJ4867" s="404"/>
      <c r="BK4867" s="404"/>
      <c r="BL4867" s="404"/>
    </row>
    <row r="4868" spans="1:64">
      <c r="A4868" s="426"/>
      <c r="B4868" s="426"/>
      <c r="C4868" s="417"/>
      <c r="D4868" s="409"/>
      <c r="E4868" s="426"/>
      <c r="F4868" s="409"/>
      <c r="G4868" s="410"/>
      <c r="H4868" s="426"/>
      <c r="I4868" s="409"/>
      <c r="J4868" s="400"/>
      <c r="K4868" s="401"/>
      <c r="L4868" s="401"/>
      <c r="M4868" s="404"/>
      <c r="N4868" s="404"/>
      <c r="O4868" s="404"/>
      <c r="P4868" s="404"/>
      <c r="Q4868" s="404"/>
      <c r="R4868" s="404"/>
      <c r="S4868" s="404"/>
      <c r="T4868" s="404"/>
      <c r="U4868" s="404"/>
      <c r="V4868" s="404"/>
      <c r="W4868" s="404"/>
      <c r="X4868" s="404"/>
      <c r="Y4868" s="404"/>
      <c r="Z4868" s="404"/>
      <c r="AA4868" s="404"/>
      <c r="AB4868" s="404"/>
      <c r="AC4868" s="404"/>
      <c r="AD4868" s="404"/>
      <c r="AE4868" s="404"/>
      <c r="AF4868" s="404"/>
      <c r="AG4868" s="404"/>
      <c r="AH4868" s="404"/>
      <c r="AI4868" s="404"/>
      <c r="AJ4868" s="404"/>
      <c r="AK4868" s="404"/>
      <c r="AL4868" s="404"/>
      <c r="AM4868" s="404"/>
      <c r="AN4868" s="404"/>
      <c r="AO4868" s="404"/>
      <c r="AP4868" s="404"/>
      <c r="AQ4868" s="404"/>
      <c r="AR4868" s="404"/>
      <c r="AS4868" s="404"/>
      <c r="AT4868" s="404"/>
      <c r="AU4868" s="404"/>
      <c r="AV4868" s="404"/>
      <c r="AW4868" s="404"/>
      <c r="AX4868" s="404"/>
      <c r="AY4868" s="404"/>
      <c r="AZ4868" s="404"/>
      <c r="BA4868" s="404"/>
      <c r="BB4868" s="404"/>
      <c r="BC4868" s="404"/>
      <c r="BD4868" s="404"/>
      <c r="BE4868" s="404"/>
      <c r="BF4868" s="404"/>
      <c r="BG4868" s="404"/>
      <c r="BH4868" s="404"/>
      <c r="BI4868" s="404"/>
      <c r="BJ4868" s="404"/>
      <c r="BK4868" s="404"/>
      <c r="BL4868" s="404"/>
    </row>
    <row r="4869" spans="1:64" ht="25.4" customHeight="1">
      <c r="A4869" s="1280">
        <f>1+A4862</f>
        <v>33</v>
      </c>
      <c r="B4869" s="1280"/>
      <c r="C4869" s="1276" t="s">
        <v>1738</v>
      </c>
      <c r="D4869" s="1276"/>
      <c r="E4869" s="1276"/>
      <c r="F4869" s="1276"/>
      <c r="G4869" s="1276"/>
      <c r="H4869" s="1276"/>
      <c r="I4869" s="1276"/>
      <c r="J4869" s="400"/>
      <c r="K4869" s="401"/>
      <c r="L4869" s="401"/>
      <c r="M4869" s="404"/>
      <c r="N4869" s="404"/>
      <c r="O4869" s="404"/>
      <c r="P4869" s="404"/>
      <c r="Q4869" s="404"/>
      <c r="R4869" s="404"/>
      <c r="S4869" s="404"/>
      <c r="T4869" s="404"/>
      <c r="U4869" s="404"/>
      <c r="V4869" s="404"/>
      <c r="W4869" s="404"/>
      <c r="X4869" s="404"/>
      <c r="Y4869" s="404"/>
      <c r="Z4869" s="404"/>
      <c r="AA4869" s="404"/>
      <c r="AB4869" s="404"/>
      <c r="AC4869" s="404"/>
      <c r="AD4869" s="404"/>
      <c r="AE4869" s="404"/>
      <c r="AF4869" s="404"/>
      <c r="AG4869" s="404"/>
      <c r="AH4869" s="404"/>
      <c r="AI4869" s="404"/>
      <c r="AJ4869" s="404"/>
      <c r="AK4869" s="404"/>
      <c r="AL4869" s="404"/>
      <c r="AM4869" s="404"/>
      <c r="AN4869" s="404"/>
      <c r="AO4869" s="404"/>
      <c r="AP4869" s="404"/>
      <c r="AQ4869" s="404"/>
      <c r="AR4869" s="404"/>
      <c r="AS4869" s="404"/>
      <c r="AT4869" s="404"/>
      <c r="AU4869" s="404"/>
      <c r="AV4869" s="404"/>
      <c r="AW4869" s="404"/>
      <c r="AX4869" s="404"/>
      <c r="AY4869" s="404"/>
      <c r="AZ4869" s="404"/>
      <c r="BA4869" s="404"/>
      <c r="BB4869" s="404"/>
      <c r="BC4869" s="404"/>
      <c r="BD4869" s="404"/>
      <c r="BE4869" s="404"/>
      <c r="BF4869" s="404"/>
      <c r="BG4869" s="404"/>
      <c r="BH4869" s="404"/>
      <c r="BI4869" s="404"/>
      <c r="BJ4869" s="404"/>
      <c r="BK4869" s="404"/>
      <c r="BL4869" s="404"/>
    </row>
    <row r="4870" spans="1:64">
      <c r="A4870" s="406"/>
      <c r="B4870" s="406"/>
      <c r="C4870" s="466" t="s">
        <v>1739</v>
      </c>
      <c r="D4870" s="459">
        <v>1</v>
      </c>
      <c r="E4870" s="408" t="s">
        <v>1188</v>
      </c>
      <c r="F4870" s="432">
        <v>4</v>
      </c>
      <c r="G4870" s="458">
        <v>1</v>
      </c>
      <c r="H4870" s="599" t="str">
        <f>IF(E4870="","",IF(E4870="No.","Each",IF(E4870="Nos.","Each",E4870)))</f>
        <v>SQM</v>
      </c>
      <c r="I4870" s="459">
        <f t="shared" ref="I4870:I4871" si="1034">IF(G4870="",D4870*F4870,(D4870*F4870/G4870))</f>
        <v>4</v>
      </c>
      <c r="J4870" s="400"/>
      <c r="K4870" s="401"/>
      <c r="L4870" s="401"/>
      <c r="M4870" s="404"/>
      <c r="N4870" s="404"/>
      <c r="O4870" s="404"/>
      <c r="P4870" s="404"/>
      <c r="Q4870" s="404"/>
      <c r="R4870" s="404"/>
      <c r="S4870" s="404"/>
      <c r="T4870" s="404"/>
      <c r="U4870" s="404"/>
      <c r="V4870" s="404"/>
      <c r="W4870" s="404"/>
      <c r="X4870" s="404"/>
      <c r="Y4870" s="404"/>
      <c r="Z4870" s="404"/>
      <c r="AA4870" s="404"/>
      <c r="AB4870" s="404"/>
      <c r="AC4870" s="404"/>
      <c r="AD4870" s="404"/>
      <c r="AE4870" s="404"/>
      <c r="AF4870" s="404"/>
      <c r="AG4870" s="404"/>
      <c r="AH4870" s="404"/>
      <c r="AI4870" s="404"/>
      <c r="AJ4870" s="404"/>
      <c r="AK4870" s="404"/>
      <c r="AL4870" s="404"/>
      <c r="AM4870" s="404"/>
      <c r="AN4870" s="404"/>
      <c r="AO4870" s="404"/>
      <c r="AP4870" s="404"/>
      <c r="AQ4870" s="404"/>
      <c r="AR4870" s="404"/>
      <c r="AS4870" s="404"/>
      <c r="AT4870" s="404"/>
      <c r="AU4870" s="404"/>
      <c r="AV4870" s="404"/>
      <c r="AW4870" s="404"/>
      <c r="AX4870" s="404"/>
      <c r="AY4870" s="404"/>
      <c r="AZ4870" s="404"/>
      <c r="BA4870" s="404"/>
      <c r="BB4870" s="404"/>
      <c r="BC4870" s="404"/>
      <c r="BD4870" s="404"/>
      <c r="BE4870" s="404"/>
      <c r="BF4870" s="404"/>
      <c r="BG4870" s="404"/>
      <c r="BH4870" s="404"/>
      <c r="BI4870" s="404"/>
      <c r="BJ4870" s="404"/>
      <c r="BK4870" s="404"/>
      <c r="BL4870" s="404"/>
    </row>
    <row r="4871" spans="1:64" ht="25">
      <c r="A4871" s="406"/>
      <c r="B4871" s="406"/>
      <c r="C4871" s="417" t="str">
        <f>[161]Input!$C$48</f>
        <v>Overheads &amp; Contractors Profit @ 13.615%</v>
      </c>
      <c r="D4871" s="444">
        <f>[161]Input!$D$48</f>
        <v>0.13614999999999999</v>
      </c>
      <c r="E4871" s="471"/>
      <c r="F4871" s="459">
        <f>I4870</f>
        <v>4</v>
      </c>
      <c r="G4871" s="458"/>
      <c r="H4871" s="407"/>
      <c r="I4871" s="459">
        <f t="shared" si="1034"/>
        <v>0.54459999999999997</v>
      </c>
      <c r="J4871" s="400"/>
      <c r="K4871" s="401"/>
      <c r="L4871" s="401"/>
      <c r="M4871" s="404"/>
      <c r="N4871" s="404"/>
      <c r="O4871" s="404"/>
      <c r="P4871" s="404"/>
      <c r="Q4871" s="404"/>
      <c r="R4871" s="404"/>
      <c r="S4871" s="404"/>
      <c r="T4871" s="404"/>
      <c r="U4871" s="404"/>
      <c r="V4871" s="404"/>
      <c r="W4871" s="404"/>
      <c r="X4871" s="404"/>
      <c r="Y4871" s="404"/>
      <c r="Z4871" s="404"/>
      <c r="AA4871" s="404"/>
      <c r="AB4871" s="404"/>
      <c r="AC4871" s="404"/>
      <c r="AD4871" s="404"/>
      <c r="AE4871" s="404"/>
      <c r="AF4871" s="404"/>
      <c r="AG4871" s="404"/>
      <c r="AH4871" s="404"/>
      <c r="AI4871" s="404"/>
      <c r="AJ4871" s="404"/>
      <c r="AK4871" s="404"/>
      <c r="AL4871" s="404"/>
      <c r="AM4871" s="404"/>
      <c r="AN4871" s="404"/>
      <c r="AO4871" s="404"/>
      <c r="AP4871" s="404"/>
      <c r="AQ4871" s="404"/>
      <c r="AR4871" s="404"/>
      <c r="AS4871" s="404"/>
      <c r="AT4871" s="404"/>
      <c r="AU4871" s="404"/>
      <c r="AV4871" s="404"/>
      <c r="AW4871" s="404"/>
      <c r="AX4871" s="404"/>
      <c r="AY4871" s="404"/>
      <c r="AZ4871" s="404"/>
      <c r="BA4871" s="404"/>
      <c r="BB4871" s="404"/>
      <c r="BC4871" s="404"/>
      <c r="BD4871" s="404"/>
      <c r="BE4871" s="404"/>
      <c r="BF4871" s="404"/>
      <c r="BG4871" s="404"/>
      <c r="BH4871" s="404"/>
      <c r="BI4871" s="404"/>
      <c r="BJ4871" s="404"/>
      <c r="BK4871" s="404"/>
      <c r="BL4871" s="404"/>
    </row>
    <row r="4872" spans="1:64" ht="13">
      <c r="A4872" s="426"/>
      <c r="B4872" s="426"/>
      <c r="C4872" s="473"/>
      <c r="D4872" s="408"/>
      <c r="E4872" s="415"/>
      <c r="F4872" s="454"/>
      <c r="G4872" s="454"/>
      <c r="H4872" s="474"/>
      <c r="I4872" s="414">
        <f>SUM(I4870:I4871)</f>
        <v>4.5446</v>
      </c>
      <c r="J4872" s="400"/>
      <c r="K4872" s="401"/>
      <c r="L4872" s="401"/>
      <c r="M4872" s="404"/>
      <c r="N4872" s="404"/>
      <c r="O4872" s="404"/>
      <c r="P4872" s="404"/>
      <c r="Q4872" s="404"/>
      <c r="R4872" s="404"/>
      <c r="S4872" s="404"/>
      <c r="T4872" s="404"/>
      <c r="U4872" s="404"/>
      <c r="V4872" s="404"/>
      <c r="W4872" s="404"/>
      <c r="X4872" s="404"/>
      <c r="Y4872" s="404"/>
      <c r="Z4872" s="404"/>
      <c r="AA4872" s="404"/>
      <c r="AB4872" s="404"/>
      <c r="AC4872" s="404"/>
      <c r="AD4872" s="404"/>
      <c r="AE4872" s="404"/>
      <c r="AF4872" s="404"/>
      <c r="AG4872" s="404"/>
      <c r="AH4872" s="404"/>
      <c r="AI4872" s="404"/>
      <c r="AJ4872" s="404"/>
      <c r="AK4872" s="404"/>
      <c r="AL4872" s="404"/>
      <c r="AM4872" s="404"/>
      <c r="AN4872" s="404"/>
      <c r="AO4872" s="404"/>
      <c r="AP4872" s="404"/>
      <c r="AQ4872" s="404"/>
      <c r="AR4872" s="404"/>
      <c r="AS4872" s="404"/>
      <c r="AT4872" s="404"/>
      <c r="AU4872" s="404"/>
      <c r="AV4872" s="404"/>
      <c r="AW4872" s="404"/>
      <c r="AX4872" s="404"/>
      <c r="AY4872" s="404"/>
      <c r="AZ4872" s="404"/>
      <c r="BA4872" s="404"/>
      <c r="BB4872" s="404"/>
      <c r="BC4872" s="404"/>
      <c r="BD4872" s="404"/>
      <c r="BE4872" s="404"/>
      <c r="BF4872" s="404"/>
      <c r="BG4872" s="404"/>
      <c r="BH4872" s="404"/>
      <c r="BI4872" s="404"/>
      <c r="BJ4872" s="404"/>
      <c r="BK4872" s="404"/>
      <c r="BL4872" s="404"/>
    </row>
    <row r="4873" spans="1:64" ht="13">
      <c r="A4873" s="426"/>
      <c r="B4873" s="426"/>
      <c r="C4873" s="417"/>
      <c r="D4873" s="409"/>
      <c r="E4873" s="426"/>
      <c r="F4873" s="409"/>
      <c r="G4873" s="410"/>
      <c r="H4873" s="415" t="s">
        <v>774</v>
      </c>
      <c r="I4873" s="555">
        <f>ROUND(I4872,2)</f>
        <v>4.54</v>
      </c>
      <c r="J4873" s="400"/>
      <c r="K4873" s="401"/>
      <c r="L4873" s="401"/>
      <c r="M4873" s="404"/>
      <c r="N4873" s="404"/>
      <c r="O4873" s="404"/>
      <c r="P4873" s="404"/>
      <c r="Q4873" s="404"/>
      <c r="R4873" s="404"/>
      <c r="S4873" s="404"/>
      <c r="T4873" s="404"/>
      <c r="U4873" s="404"/>
      <c r="V4873" s="404"/>
      <c r="W4873" s="404"/>
      <c r="X4873" s="404"/>
      <c r="Y4873" s="404"/>
      <c r="Z4873" s="404"/>
      <c r="AA4873" s="404"/>
      <c r="AB4873" s="404"/>
      <c r="AC4873" s="404"/>
      <c r="AD4873" s="404"/>
      <c r="AE4873" s="404"/>
      <c r="AF4873" s="404"/>
      <c r="AG4873" s="404"/>
      <c r="AH4873" s="404"/>
      <c r="AI4873" s="404"/>
      <c r="AJ4873" s="404"/>
      <c r="AK4873" s="404"/>
      <c r="AL4873" s="404"/>
      <c r="AM4873" s="404"/>
      <c r="AN4873" s="404"/>
      <c r="AO4873" s="404"/>
      <c r="AP4873" s="404"/>
      <c r="AQ4873" s="404"/>
      <c r="AR4873" s="404"/>
      <c r="AS4873" s="404"/>
      <c r="AT4873" s="404"/>
      <c r="AU4873" s="404"/>
      <c r="AV4873" s="404"/>
      <c r="AW4873" s="404"/>
      <c r="AX4873" s="404"/>
      <c r="AY4873" s="404"/>
      <c r="AZ4873" s="404"/>
      <c r="BA4873" s="404"/>
      <c r="BB4873" s="404"/>
      <c r="BC4873" s="404"/>
      <c r="BD4873" s="404"/>
      <c r="BE4873" s="404"/>
      <c r="BF4873" s="404"/>
      <c r="BG4873" s="404"/>
      <c r="BH4873" s="404"/>
      <c r="BI4873" s="404"/>
      <c r="BJ4873" s="404"/>
      <c r="BK4873" s="404"/>
      <c r="BL4873" s="404"/>
    </row>
    <row r="4874" spans="1:64">
      <c r="A4874" s="426"/>
      <c r="B4874" s="426"/>
      <c r="C4874" s="417"/>
      <c r="D4874" s="409"/>
      <c r="E4874" s="426"/>
      <c r="F4874" s="409"/>
      <c r="G4874" s="410"/>
      <c r="H4874" s="426"/>
      <c r="I4874" s="409"/>
      <c r="J4874" s="400"/>
      <c r="K4874" s="401"/>
      <c r="L4874" s="401"/>
      <c r="M4874" s="404"/>
      <c r="N4874" s="404"/>
      <c r="O4874" s="404"/>
      <c r="P4874" s="404"/>
      <c r="Q4874" s="404"/>
      <c r="R4874" s="404"/>
      <c r="S4874" s="404"/>
      <c r="T4874" s="404"/>
      <c r="U4874" s="404"/>
      <c r="V4874" s="404"/>
      <c r="W4874" s="404"/>
      <c r="X4874" s="404"/>
      <c r="Y4874" s="404"/>
      <c r="Z4874" s="404"/>
      <c r="AA4874" s="404"/>
      <c r="AB4874" s="404"/>
      <c r="AC4874" s="404"/>
      <c r="AD4874" s="404"/>
      <c r="AE4874" s="404"/>
      <c r="AF4874" s="404"/>
      <c r="AG4874" s="404"/>
      <c r="AH4874" s="404"/>
      <c r="AI4874" s="404"/>
      <c r="AJ4874" s="404"/>
      <c r="AK4874" s="404"/>
      <c r="AL4874" s="404"/>
      <c r="AM4874" s="404"/>
      <c r="AN4874" s="404"/>
      <c r="AO4874" s="404"/>
      <c r="AP4874" s="404"/>
      <c r="AQ4874" s="404"/>
      <c r="AR4874" s="404"/>
      <c r="AS4874" s="404"/>
      <c r="AT4874" s="404"/>
      <c r="AU4874" s="404"/>
      <c r="AV4874" s="404"/>
      <c r="AW4874" s="404"/>
      <c r="AX4874" s="404"/>
      <c r="AY4874" s="404"/>
      <c r="AZ4874" s="404"/>
      <c r="BA4874" s="404"/>
      <c r="BB4874" s="404"/>
      <c r="BC4874" s="404"/>
      <c r="BD4874" s="404"/>
      <c r="BE4874" s="404"/>
      <c r="BF4874" s="404"/>
      <c r="BG4874" s="404"/>
      <c r="BH4874" s="404"/>
      <c r="BI4874" s="404"/>
      <c r="BJ4874" s="404"/>
      <c r="BK4874" s="404"/>
      <c r="BL4874" s="404"/>
    </row>
    <row r="4875" spans="1:64" ht="47.9" customHeight="1">
      <c r="A4875" s="1284">
        <f>1+A4869</f>
        <v>34</v>
      </c>
      <c r="B4875" s="1284"/>
      <c r="C4875" s="1285" t="s">
        <v>1740</v>
      </c>
      <c r="D4875" s="1285"/>
      <c r="E4875" s="1285"/>
      <c r="F4875" s="1285"/>
      <c r="G4875" s="1285"/>
      <c r="H4875" s="1285"/>
      <c r="I4875" s="765"/>
      <c r="J4875" s="400"/>
      <c r="K4875" s="401"/>
      <c r="L4875" s="401"/>
      <c r="M4875" s="404"/>
      <c r="N4875" s="404"/>
      <c r="O4875" s="404"/>
      <c r="P4875" s="404"/>
      <c r="Q4875" s="404"/>
      <c r="R4875" s="404"/>
      <c r="S4875" s="404"/>
      <c r="T4875" s="404"/>
      <c r="U4875" s="404"/>
      <c r="V4875" s="404"/>
      <c r="W4875" s="404"/>
      <c r="X4875" s="404"/>
      <c r="Y4875" s="404"/>
      <c r="Z4875" s="404"/>
      <c r="AA4875" s="404"/>
      <c r="AB4875" s="404"/>
      <c r="AC4875" s="404"/>
      <c r="AD4875" s="404"/>
      <c r="AE4875" s="404"/>
      <c r="AF4875" s="404"/>
      <c r="AG4875" s="404"/>
      <c r="AH4875" s="404"/>
      <c r="AI4875" s="404"/>
      <c r="AJ4875" s="404"/>
      <c r="AK4875" s="404"/>
      <c r="AL4875" s="404"/>
      <c r="AM4875" s="404"/>
      <c r="AN4875" s="404"/>
      <c r="AO4875" s="404"/>
      <c r="AP4875" s="404"/>
      <c r="AQ4875" s="404"/>
      <c r="AR4875" s="404"/>
      <c r="AS4875" s="404"/>
      <c r="AT4875" s="404"/>
      <c r="AU4875" s="404"/>
      <c r="AV4875" s="404"/>
      <c r="AW4875" s="404"/>
      <c r="AX4875" s="404"/>
      <c r="AY4875" s="404"/>
      <c r="AZ4875" s="404"/>
      <c r="BA4875" s="404"/>
      <c r="BB4875" s="404"/>
      <c r="BC4875" s="404"/>
      <c r="BD4875" s="404"/>
      <c r="BE4875" s="404"/>
      <c r="BF4875" s="404"/>
      <c r="BG4875" s="404"/>
      <c r="BH4875" s="404"/>
      <c r="BI4875" s="404"/>
      <c r="BJ4875" s="404"/>
      <c r="BK4875" s="404"/>
      <c r="BL4875" s="404"/>
    </row>
    <row r="4876" spans="1:64" ht="13">
      <c r="A4876" s="763"/>
      <c r="B4876" s="763"/>
      <c r="C4876" s="764" t="s">
        <v>1734</v>
      </c>
      <c r="D4876" s="765"/>
      <c r="E4876" s="765"/>
      <c r="F4876" s="765"/>
      <c r="G4876" s="765"/>
      <c r="H4876" s="765"/>
      <c r="I4876" s="765"/>
      <c r="J4876" s="400"/>
      <c r="K4876" s="401"/>
      <c r="L4876" s="401"/>
      <c r="M4876" s="404"/>
      <c r="N4876" s="404"/>
      <c r="O4876" s="404"/>
      <c r="P4876" s="404"/>
      <c r="Q4876" s="404"/>
      <c r="R4876" s="404"/>
      <c r="S4876" s="404"/>
      <c r="T4876" s="404"/>
      <c r="U4876" s="404"/>
      <c r="V4876" s="404"/>
      <c r="W4876" s="404"/>
      <c r="X4876" s="404"/>
      <c r="Y4876" s="404"/>
      <c r="Z4876" s="404"/>
      <c r="AA4876" s="404"/>
      <c r="AB4876" s="404"/>
      <c r="AC4876" s="404"/>
      <c r="AD4876" s="404"/>
      <c r="AE4876" s="404"/>
      <c r="AF4876" s="404"/>
      <c r="AG4876" s="404"/>
      <c r="AH4876" s="404"/>
      <c r="AI4876" s="404"/>
      <c r="AJ4876" s="404"/>
      <c r="AK4876" s="404"/>
      <c r="AL4876" s="404"/>
      <c r="AM4876" s="404"/>
      <c r="AN4876" s="404"/>
      <c r="AO4876" s="404"/>
      <c r="AP4876" s="404"/>
      <c r="AQ4876" s="404"/>
      <c r="AR4876" s="404"/>
      <c r="AS4876" s="404"/>
      <c r="AT4876" s="404"/>
      <c r="AU4876" s="404"/>
      <c r="AV4876" s="404"/>
      <c r="AW4876" s="404"/>
      <c r="AX4876" s="404"/>
      <c r="AY4876" s="404"/>
      <c r="AZ4876" s="404"/>
      <c r="BA4876" s="404"/>
      <c r="BB4876" s="404"/>
      <c r="BC4876" s="404"/>
      <c r="BD4876" s="404"/>
      <c r="BE4876" s="404"/>
      <c r="BF4876" s="404"/>
      <c r="BG4876" s="404"/>
      <c r="BH4876" s="404"/>
      <c r="BI4876" s="404"/>
      <c r="BJ4876" s="404"/>
      <c r="BK4876" s="404"/>
      <c r="BL4876" s="404"/>
    </row>
    <row r="4877" spans="1:64">
      <c r="A4877" s="766"/>
      <c r="B4877" s="766"/>
      <c r="C4877" s="435" t="s">
        <v>1429</v>
      </c>
      <c r="D4877" s="767">
        <v>1</v>
      </c>
      <c r="E4877" s="768" t="s">
        <v>1052</v>
      </c>
      <c r="F4877" s="432">
        <v>437</v>
      </c>
      <c r="G4877" s="769">
        <v>1</v>
      </c>
      <c r="H4877" s="770" t="str">
        <f>IF(E4877="","",IF(E4877="No.","Each",IF(E4877="Nos.","Each",E4877)))</f>
        <v>RM</v>
      </c>
      <c r="I4877" s="767">
        <f t="shared" ref="I4877:I4878" si="1035">IF(G4877="",D4877*F4877,(D4877*F4877/G4877))</f>
        <v>437</v>
      </c>
      <c r="J4877" s="400"/>
      <c r="K4877" s="401"/>
      <c r="L4877" s="401"/>
      <c r="M4877" s="404"/>
      <c r="N4877" s="404"/>
      <c r="O4877" s="404"/>
      <c r="P4877" s="404"/>
      <c r="Q4877" s="404"/>
      <c r="R4877" s="404"/>
      <c r="S4877" s="404"/>
      <c r="T4877" s="404"/>
      <c r="U4877" s="404"/>
      <c r="V4877" s="404"/>
      <c r="W4877" s="404"/>
      <c r="X4877" s="404"/>
      <c r="Y4877" s="404"/>
      <c r="Z4877" s="404"/>
      <c r="AA4877" s="404"/>
      <c r="AB4877" s="404"/>
      <c r="AC4877" s="404"/>
      <c r="AD4877" s="404"/>
      <c r="AE4877" s="404"/>
      <c r="AF4877" s="404"/>
      <c r="AG4877" s="404"/>
      <c r="AH4877" s="404"/>
      <c r="AI4877" s="404"/>
      <c r="AJ4877" s="404"/>
      <c r="AK4877" s="404"/>
      <c r="AL4877" s="404"/>
      <c r="AM4877" s="404"/>
      <c r="AN4877" s="404"/>
      <c r="AO4877" s="404"/>
      <c r="AP4877" s="404"/>
      <c r="AQ4877" s="404"/>
      <c r="AR4877" s="404"/>
      <c r="AS4877" s="404"/>
      <c r="AT4877" s="404"/>
      <c r="AU4877" s="404"/>
      <c r="AV4877" s="404"/>
      <c r="AW4877" s="404"/>
      <c r="AX4877" s="404"/>
      <c r="AY4877" s="404"/>
      <c r="AZ4877" s="404"/>
      <c r="BA4877" s="404"/>
      <c r="BB4877" s="404"/>
      <c r="BC4877" s="404"/>
      <c r="BD4877" s="404"/>
      <c r="BE4877" s="404"/>
      <c r="BF4877" s="404"/>
      <c r="BG4877" s="404"/>
      <c r="BH4877" s="404"/>
      <c r="BI4877" s="404"/>
      <c r="BJ4877" s="404"/>
      <c r="BK4877" s="404"/>
      <c r="BL4877" s="404"/>
    </row>
    <row r="4878" spans="1:64" ht="25">
      <c r="A4878" s="766"/>
      <c r="B4878" s="766"/>
      <c r="C4878" s="771" t="str">
        <f>[161]Input!$C$48</f>
        <v>Overheads &amp; Contractors Profit @ 13.615%</v>
      </c>
      <c r="D4878" s="772">
        <f>[161]Input!$D$48</f>
        <v>0.13614999999999999</v>
      </c>
      <c r="E4878" s="773"/>
      <c r="F4878" s="767">
        <f>I4877</f>
        <v>437</v>
      </c>
      <c r="G4878" s="769"/>
      <c r="H4878" s="765"/>
      <c r="I4878" s="767">
        <f t="shared" si="1035"/>
        <v>59.497549999999997</v>
      </c>
      <c r="J4878" s="400"/>
      <c r="K4878" s="401"/>
      <c r="L4878" s="401"/>
      <c r="M4878" s="404"/>
      <c r="N4878" s="404"/>
      <c r="O4878" s="404"/>
      <c r="P4878" s="404"/>
      <c r="Q4878" s="404"/>
      <c r="R4878" s="404"/>
      <c r="S4878" s="404"/>
      <c r="T4878" s="404"/>
      <c r="U4878" s="404"/>
      <c r="V4878" s="404"/>
      <c r="W4878" s="404"/>
      <c r="X4878" s="404"/>
      <c r="Y4878" s="404"/>
      <c r="Z4878" s="404"/>
      <c r="AA4878" s="404"/>
      <c r="AB4878" s="404"/>
      <c r="AC4878" s="404"/>
      <c r="AD4878" s="404"/>
      <c r="AE4878" s="404"/>
      <c r="AF4878" s="404"/>
      <c r="AG4878" s="404"/>
      <c r="AH4878" s="404"/>
      <c r="AI4878" s="404"/>
      <c r="AJ4878" s="404"/>
      <c r="AK4878" s="404"/>
      <c r="AL4878" s="404"/>
      <c r="AM4878" s="404"/>
      <c r="AN4878" s="404"/>
      <c r="AO4878" s="404"/>
      <c r="AP4878" s="404"/>
      <c r="AQ4878" s="404"/>
      <c r="AR4878" s="404"/>
      <c r="AS4878" s="404"/>
      <c r="AT4878" s="404"/>
      <c r="AU4878" s="404"/>
      <c r="AV4878" s="404"/>
      <c r="AW4878" s="404"/>
      <c r="AX4878" s="404"/>
      <c r="AY4878" s="404"/>
      <c r="AZ4878" s="404"/>
      <c r="BA4878" s="404"/>
      <c r="BB4878" s="404"/>
      <c r="BC4878" s="404"/>
      <c r="BD4878" s="404"/>
      <c r="BE4878" s="404"/>
      <c r="BF4878" s="404"/>
      <c r="BG4878" s="404"/>
      <c r="BH4878" s="404"/>
      <c r="BI4878" s="404"/>
      <c r="BJ4878" s="404"/>
      <c r="BK4878" s="404"/>
      <c r="BL4878" s="404"/>
    </row>
    <row r="4879" spans="1:64" ht="13">
      <c r="A4879" s="763"/>
      <c r="B4879" s="763"/>
      <c r="C4879" s="774"/>
      <c r="D4879" s="768"/>
      <c r="E4879" s="775"/>
      <c r="F4879" s="776"/>
      <c r="G4879" s="776"/>
      <c r="H4879" s="777"/>
      <c r="I4879" s="778">
        <f>SUM(I4877:I4878)</f>
        <v>496.49754999999999</v>
      </c>
      <c r="J4879" s="400"/>
      <c r="K4879" s="401"/>
      <c r="L4879" s="401"/>
      <c r="M4879" s="404"/>
      <c r="N4879" s="404"/>
      <c r="O4879" s="404"/>
      <c r="P4879" s="404"/>
      <c r="Q4879" s="404"/>
      <c r="R4879" s="404"/>
      <c r="S4879" s="404"/>
      <c r="T4879" s="404"/>
      <c r="U4879" s="404"/>
      <c r="V4879" s="404"/>
      <c r="W4879" s="404"/>
      <c r="X4879" s="404"/>
      <c r="Y4879" s="404"/>
      <c r="Z4879" s="404"/>
      <c r="AA4879" s="404"/>
      <c r="AB4879" s="404"/>
      <c r="AC4879" s="404"/>
      <c r="AD4879" s="404"/>
      <c r="AE4879" s="404"/>
      <c r="AF4879" s="404"/>
      <c r="AG4879" s="404"/>
      <c r="AH4879" s="404"/>
      <c r="AI4879" s="404"/>
      <c r="AJ4879" s="404"/>
      <c r="AK4879" s="404"/>
      <c r="AL4879" s="404"/>
      <c r="AM4879" s="404"/>
      <c r="AN4879" s="404"/>
      <c r="AO4879" s="404"/>
      <c r="AP4879" s="404"/>
      <c r="AQ4879" s="404"/>
      <c r="AR4879" s="404"/>
      <c r="AS4879" s="404"/>
      <c r="AT4879" s="404"/>
      <c r="AU4879" s="404"/>
      <c r="AV4879" s="404"/>
      <c r="AW4879" s="404"/>
      <c r="AX4879" s="404"/>
      <c r="AY4879" s="404"/>
      <c r="AZ4879" s="404"/>
      <c r="BA4879" s="404"/>
      <c r="BB4879" s="404"/>
      <c r="BC4879" s="404"/>
      <c r="BD4879" s="404"/>
      <c r="BE4879" s="404"/>
      <c r="BF4879" s="404"/>
      <c r="BG4879" s="404"/>
      <c r="BH4879" s="404"/>
      <c r="BI4879" s="404"/>
      <c r="BJ4879" s="404"/>
      <c r="BK4879" s="404"/>
      <c r="BL4879" s="404"/>
    </row>
    <row r="4880" spans="1:64" ht="13">
      <c r="A4880" s="763"/>
      <c r="B4880" s="763"/>
      <c r="C4880" s="771"/>
      <c r="D4880" s="779"/>
      <c r="E4880" s="763"/>
      <c r="F4880" s="779"/>
      <c r="G4880" s="780"/>
      <c r="H4880" s="775" t="s">
        <v>774</v>
      </c>
      <c r="I4880" s="781">
        <f>ROUND(I4879,0)</f>
        <v>496</v>
      </c>
      <c r="J4880" s="400"/>
      <c r="K4880" s="401"/>
      <c r="L4880" s="401"/>
      <c r="M4880" s="404"/>
      <c r="N4880" s="404"/>
      <c r="O4880" s="404"/>
      <c r="P4880" s="404"/>
      <c r="Q4880" s="404"/>
      <c r="R4880" s="404"/>
      <c r="S4880" s="404"/>
      <c r="T4880" s="404"/>
      <c r="U4880" s="404"/>
      <c r="V4880" s="404"/>
      <c r="W4880" s="404"/>
      <c r="X4880" s="404"/>
      <c r="Y4880" s="404"/>
      <c r="Z4880" s="404"/>
      <c r="AA4880" s="404"/>
      <c r="AB4880" s="404"/>
      <c r="AC4880" s="404"/>
      <c r="AD4880" s="404"/>
      <c r="AE4880" s="404"/>
      <c r="AF4880" s="404"/>
      <c r="AG4880" s="404"/>
      <c r="AH4880" s="404"/>
      <c r="AI4880" s="404"/>
      <c r="AJ4880" s="404"/>
      <c r="AK4880" s="404"/>
      <c r="AL4880" s="404"/>
      <c r="AM4880" s="404"/>
      <c r="AN4880" s="404"/>
      <c r="AO4880" s="404"/>
      <c r="AP4880" s="404"/>
      <c r="AQ4880" s="404"/>
      <c r="AR4880" s="404"/>
      <c r="AS4880" s="404"/>
      <c r="AT4880" s="404"/>
      <c r="AU4880" s="404"/>
      <c r="AV4880" s="404"/>
      <c r="AW4880" s="404"/>
      <c r="AX4880" s="404"/>
      <c r="AY4880" s="404"/>
      <c r="AZ4880" s="404"/>
      <c r="BA4880" s="404"/>
      <c r="BB4880" s="404"/>
      <c r="BC4880" s="404"/>
      <c r="BD4880" s="404"/>
      <c r="BE4880" s="404"/>
      <c r="BF4880" s="404"/>
      <c r="BG4880" s="404"/>
      <c r="BH4880" s="404"/>
      <c r="BI4880" s="404"/>
      <c r="BJ4880" s="404"/>
      <c r="BK4880" s="404"/>
      <c r="BL4880" s="404"/>
    </row>
    <row r="4881" spans="1:64">
      <c r="A4881" s="426"/>
      <c r="B4881" s="426"/>
      <c r="C4881" s="417"/>
      <c r="D4881" s="409"/>
      <c r="E4881" s="426"/>
      <c r="F4881" s="409"/>
      <c r="G4881" s="410"/>
      <c r="H4881" s="426"/>
      <c r="I4881" s="409"/>
      <c r="J4881" s="400"/>
      <c r="K4881" s="401"/>
      <c r="L4881" s="401"/>
      <c r="M4881" s="404"/>
      <c r="N4881" s="404"/>
      <c r="O4881" s="404"/>
      <c r="P4881" s="404"/>
      <c r="Q4881" s="404"/>
      <c r="R4881" s="404"/>
      <c r="S4881" s="404"/>
      <c r="T4881" s="404"/>
      <c r="U4881" s="404"/>
      <c r="V4881" s="404"/>
      <c r="W4881" s="404"/>
      <c r="X4881" s="404"/>
      <c r="Y4881" s="404"/>
      <c r="Z4881" s="404"/>
      <c r="AA4881" s="404"/>
      <c r="AB4881" s="404"/>
      <c r="AC4881" s="404"/>
      <c r="AD4881" s="404"/>
      <c r="AE4881" s="404"/>
      <c r="AF4881" s="404"/>
      <c r="AG4881" s="404"/>
      <c r="AH4881" s="404"/>
      <c r="AI4881" s="404"/>
      <c r="AJ4881" s="404"/>
      <c r="AK4881" s="404"/>
      <c r="AL4881" s="404"/>
      <c r="AM4881" s="404"/>
      <c r="AN4881" s="404"/>
      <c r="AO4881" s="404"/>
      <c r="AP4881" s="404"/>
      <c r="AQ4881" s="404"/>
      <c r="AR4881" s="404"/>
      <c r="AS4881" s="404"/>
      <c r="AT4881" s="404"/>
      <c r="AU4881" s="404"/>
      <c r="AV4881" s="404"/>
      <c r="AW4881" s="404"/>
      <c r="AX4881" s="404"/>
      <c r="AY4881" s="404"/>
      <c r="AZ4881" s="404"/>
      <c r="BA4881" s="404"/>
      <c r="BB4881" s="404"/>
      <c r="BC4881" s="404"/>
      <c r="BD4881" s="404"/>
      <c r="BE4881" s="404"/>
      <c r="BF4881" s="404"/>
      <c r="BG4881" s="404"/>
      <c r="BH4881" s="404"/>
      <c r="BI4881" s="404"/>
      <c r="BJ4881" s="404"/>
      <c r="BK4881" s="404"/>
      <c r="BL4881" s="404"/>
    </row>
    <row r="4882" spans="1:64" ht="47.9" customHeight="1">
      <c r="A4882" s="1286">
        <f>+A4541+1</f>
        <v>36</v>
      </c>
      <c r="B4882" s="1286"/>
      <c r="C4882" s="1281" t="s">
        <v>1741</v>
      </c>
      <c r="D4882" s="1281"/>
      <c r="E4882" s="1281"/>
      <c r="F4882" s="1281"/>
      <c r="G4882" s="1281"/>
      <c r="H4882" s="1281"/>
      <c r="I4882" s="1281"/>
      <c r="J4882" s="400"/>
      <c r="K4882" s="401"/>
      <c r="L4882" s="401"/>
      <c r="M4882" s="404"/>
      <c r="N4882" s="404"/>
      <c r="O4882" s="404"/>
      <c r="P4882" s="404"/>
      <c r="Q4882" s="404"/>
      <c r="R4882" s="404"/>
      <c r="S4882" s="404"/>
      <c r="T4882" s="404"/>
      <c r="U4882" s="404"/>
      <c r="V4882" s="404"/>
      <c r="W4882" s="404"/>
      <c r="X4882" s="404"/>
      <c r="Y4882" s="404"/>
      <c r="Z4882" s="404"/>
      <c r="AA4882" s="404"/>
      <c r="AB4882" s="404"/>
      <c r="AC4882" s="404"/>
      <c r="AD4882" s="404"/>
      <c r="AE4882" s="404"/>
      <c r="AF4882" s="404"/>
      <c r="AG4882" s="404"/>
      <c r="AH4882" s="404"/>
      <c r="AI4882" s="404"/>
      <c r="AJ4882" s="404"/>
      <c r="AK4882" s="404"/>
      <c r="AL4882" s="404"/>
      <c r="AM4882" s="404"/>
      <c r="AN4882" s="404"/>
      <c r="AO4882" s="404"/>
      <c r="AP4882" s="404"/>
      <c r="AQ4882" s="404"/>
      <c r="AR4882" s="404"/>
      <c r="AS4882" s="404"/>
      <c r="AT4882" s="404"/>
      <c r="AU4882" s="404"/>
      <c r="AV4882" s="404"/>
      <c r="AW4882" s="404"/>
      <c r="AX4882" s="404"/>
      <c r="AY4882" s="404"/>
      <c r="AZ4882" s="404"/>
      <c r="BA4882" s="404"/>
      <c r="BB4882" s="404"/>
      <c r="BC4882" s="404"/>
      <c r="BD4882" s="404"/>
      <c r="BE4882" s="404"/>
      <c r="BF4882" s="404"/>
      <c r="BG4882" s="404"/>
      <c r="BH4882" s="404"/>
      <c r="BI4882" s="404"/>
      <c r="BJ4882" s="404"/>
      <c r="BK4882" s="404"/>
      <c r="BL4882" s="404"/>
    </row>
    <row r="4883" spans="1:64" ht="13">
      <c r="A4883" s="454"/>
      <c r="B4883" s="454"/>
      <c r="C4883" s="427" t="s">
        <v>1742</v>
      </c>
      <c r="D4883" s="406">
        <v>1</v>
      </c>
      <c r="E4883" s="426" t="s">
        <v>17</v>
      </c>
      <c r="F4883" s="753">
        <v>1800</v>
      </c>
      <c r="G4883" s="430">
        <v>1</v>
      </c>
      <c r="H4883" s="456" t="str">
        <f>IF(E4883="","",IF(E4883="No.","Each",IF(E4883="Nos.","Each",E4883)))</f>
        <v>sqm</v>
      </c>
      <c r="I4883" s="408">
        <f t="shared" ref="I4883:I4884" si="1036">IF(G4883="",D4883*F4883,(D4883*F4883/G4883))</f>
        <v>1800</v>
      </c>
      <c r="J4883" s="400"/>
      <c r="K4883" s="401"/>
      <c r="L4883" s="401"/>
      <c r="M4883" s="404"/>
      <c r="N4883" s="404"/>
      <c r="O4883" s="404"/>
      <c r="P4883" s="404"/>
      <c r="Q4883" s="404"/>
      <c r="R4883" s="404"/>
      <c r="S4883" s="404"/>
      <c r="T4883" s="404"/>
      <c r="U4883" s="404"/>
      <c r="V4883" s="404"/>
      <c r="W4883" s="404"/>
      <c r="X4883" s="404"/>
      <c r="Y4883" s="404"/>
      <c r="Z4883" s="404"/>
      <c r="AA4883" s="404"/>
      <c r="AB4883" s="404"/>
      <c r="AC4883" s="404"/>
      <c r="AD4883" s="404"/>
      <c r="AE4883" s="404"/>
      <c r="AF4883" s="404"/>
      <c r="AG4883" s="404"/>
      <c r="AH4883" s="404"/>
      <c r="AI4883" s="404"/>
      <c r="AJ4883" s="404"/>
      <c r="AK4883" s="404"/>
      <c r="AL4883" s="404"/>
      <c r="AM4883" s="404"/>
      <c r="AN4883" s="404"/>
      <c r="AO4883" s="404"/>
      <c r="AP4883" s="404"/>
      <c r="AQ4883" s="404"/>
      <c r="AR4883" s="404"/>
      <c r="AS4883" s="404"/>
      <c r="AT4883" s="404"/>
      <c r="AU4883" s="404"/>
      <c r="AV4883" s="404"/>
      <c r="AW4883" s="404"/>
      <c r="AX4883" s="404"/>
      <c r="AY4883" s="404"/>
      <c r="AZ4883" s="404"/>
      <c r="BA4883" s="404"/>
      <c r="BB4883" s="404"/>
      <c r="BC4883" s="404"/>
      <c r="BD4883" s="404"/>
      <c r="BE4883" s="404"/>
      <c r="BF4883" s="404"/>
      <c r="BG4883" s="404"/>
      <c r="BH4883" s="404"/>
      <c r="BI4883" s="404"/>
      <c r="BJ4883" s="404"/>
      <c r="BK4883" s="404"/>
      <c r="BL4883" s="404"/>
    </row>
    <row r="4884" spans="1:64" ht="25">
      <c r="A4884" s="406"/>
      <c r="B4884" s="406"/>
      <c r="C4884" s="417" t="str">
        <f>[161]Input!$C$48</f>
        <v>Overheads &amp; Contractors Profit @ 13.615%</v>
      </c>
      <c r="D4884" s="444">
        <f>[161]Input!$D$48</f>
        <v>0.13614999999999999</v>
      </c>
      <c r="E4884" s="459"/>
      <c r="F4884" s="459">
        <f>+I4883</f>
        <v>1800</v>
      </c>
      <c r="G4884" s="460"/>
      <c r="H4884" s="406"/>
      <c r="I4884" s="459">
        <f t="shared" si="1036"/>
        <v>245.07</v>
      </c>
      <c r="J4884" s="400"/>
      <c r="K4884" s="401"/>
      <c r="L4884" s="401"/>
      <c r="M4884" s="404"/>
      <c r="N4884" s="404"/>
      <c r="O4884" s="404"/>
      <c r="P4884" s="404"/>
      <c r="Q4884" s="404"/>
      <c r="R4884" s="404"/>
      <c r="S4884" s="404"/>
      <c r="T4884" s="404"/>
      <c r="U4884" s="404"/>
      <c r="V4884" s="404"/>
      <c r="W4884" s="404"/>
      <c r="X4884" s="404"/>
      <c r="Y4884" s="404"/>
      <c r="Z4884" s="404"/>
      <c r="AA4884" s="404"/>
      <c r="AB4884" s="404"/>
      <c r="AC4884" s="404"/>
      <c r="AD4884" s="404"/>
      <c r="AE4884" s="404"/>
      <c r="AF4884" s="404"/>
      <c r="AG4884" s="404"/>
      <c r="AH4884" s="404"/>
      <c r="AI4884" s="404"/>
      <c r="AJ4884" s="404"/>
      <c r="AK4884" s="404"/>
      <c r="AL4884" s="404"/>
      <c r="AM4884" s="404"/>
      <c r="AN4884" s="404"/>
      <c r="AO4884" s="404"/>
      <c r="AP4884" s="404"/>
      <c r="AQ4884" s="404"/>
      <c r="AR4884" s="404"/>
      <c r="AS4884" s="404"/>
      <c r="AT4884" s="404"/>
      <c r="AU4884" s="404"/>
      <c r="AV4884" s="404"/>
      <c r="AW4884" s="404"/>
      <c r="AX4884" s="404"/>
      <c r="AY4884" s="404"/>
      <c r="AZ4884" s="404"/>
      <c r="BA4884" s="404"/>
      <c r="BB4884" s="404"/>
      <c r="BC4884" s="404"/>
      <c r="BD4884" s="404"/>
      <c r="BE4884" s="404"/>
      <c r="BF4884" s="404"/>
      <c r="BG4884" s="404"/>
      <c r="BH4884" s="404"/>
      <c r="BI4884" s="404"/>
      <c r="BJ4884" s="404"/>
      <c r="BK4884" s="404"/>
      <c r="BL4884" s="404"/>
    </row>
    <row r="4885" spans="1:64" ht="13">
      <c r="A4885" s="426"/>
      <c r="B4885" s="426"/>
      <c r="C4885" s="417"/>
      <c r="D4885" s="408"/>
      <c r="E4885" s="408"/>
      <c r="F4885" s="408"/>
      <c r="G4885" s="430"/>
      <c r="H4885" s="474"/>
      <c r="I4885" s="414">
        <f>SUM(I4883:I4884)</f>
        <v>2045.07</v>
      </c>
      <c r="J4885" s="400"/>
      <c r="K4885" s="401"/>
      <c r="L4885" s="401"/>
      <c r="M4885" s="404"/>
      <c r="N4885" s="404"/>
      <c r="O4885" s="404"/>
      <c r="P4885" s="404"/>
      <c r="Q4885" s="404"/>
      <c r="R4885" s="404"/>
      <c r="S4885" s="404"/>
      <c r="T4885" s="404"/>
      <c r="U4885" s="404"/>
      <c r="V4885" s="404"/>
      <c r="W4885" s="404"/>
      <c r="X4885" s="404"/>
      <c r="Y4885" s="404"/>
      <c r="Z4885" s="404"/>
      <c r="AA4885" s="404"/>
      <c r="AB4885" s="404"/>
      <c r="AC4885" s="404"/>
      <c r="AD4885" s="404"/>
      <c r="AE4885" s="404"/>
      <c r="AF4885" s="404"/>
      <c r="AG4885" s="404"/>
      <c r="AH4885" s="404"/>
      <c r="AI4885" s="404"/>
      <c r="AJ4885" s="404"/>
      <c r="AK4885" s="404"/>
      <c r="AL4885" s="404"/>
      <c r="AM4885" s="404"/>
      <c r="AN4885" s="404"/>
      <c r="AO4885" s="404"/>
      <c r="AP4885" s="404"/>
      <c r="AQ4885" s="404"/>
      <c r="AR4885" s="404"/>
      <c r="AS4885" s="404"/>
      <c r="AT4885" s="404"/>
      <c r="AU4885" s="404"/>
      <c r="AV4885" s="404"/>
      <c r="AW4885" s="404"/>
      <c r="AX4885" s="404"/>
      <c r="AY4885" s="404"/>
      <c r="AZ4885" s="404"/>
      <c r="BA4885" s="404"/>
      <c r="BB4885" s="404"/>
      <c r="BC4885" s="404"/>
      <c r="BD4885" s="404"/>
      <c r="BE4885" s="404"/>
      <c r="BF4885" s="404"/>
      <c r="BG4885" s="404"/>
      <c r="BH4885" s="404"/>
      <c r="BI4885" s="404"/>
      <c r="BJ4885" s="404"/>
      <c r="BK4885" s="404"/>
      <c r="BL4885" s="404"/>
    </row>
    <row r="4886" spans="1:64" ht="13">
      <c r="A4886" s="426"/>
      <c r="B4886" s="426"/>
      <c r="C4886" s="417"/>
      <c r="D4886" s="408"/>
      <c r="E4886" s="408"/>
      <c r="F4886" s="408"/>
      <c r="G4886" s="430"/>
      <c r="H4886" s="474" t="s">
        <v>774</v>
      </c>
      <c r="I4886" s="414">
        <f>ROUND(I4885,0)</f>
        <v>2045</v>
      </c>
      <c r="J4886" s="400"/>
      <c r="K4886" s="401"/>
      <c r="L4886" s="401"/>
      <c r="M4886" s="404"/>
      <c r="N4886" s="404"/>
      <c r="O4886" s="404"/>
      <c r="P4886" s="404"/>
      <c r="Q4886" s="404"/>
      <c r="R4886" s="404"/>
      <c r="S4886" s="404"/>
      <c r="T4886" s="404"/>
      <c r="U4886" s="404"/>
      <c r="V4886" s="404"/>
      <c r="W4886" s="404"/>
      <c r="X4886" s="404"/>
      <c r="Y4886" s="404"/>
      <c r="Z4886" s="404"/>
      <c r="AA4886" s="404"/>
      <c r="AB4886" s="404"/>
      <c r="AC4886" s="404"/>
      <c r="AD4886" s="404"/>
      <c r="AE4886" s="404"/>
      <c r="AF4886" s="404"/>
      <c r="AG4886" s="404"/>
      <c r="AH4886" s="404"/>
      <c r="AI4886" s="404"/>
      <c r="AJ4886" s="404"/>
      <c r="AK4886" s="404"/>
      <c r="AL4886" s="404"/>
      <c r="AM4886" s="404"/>
      <c r="AN4886" s="404"/>
      <c r="AO4886" s="404"/>
      <c r="AP4886" s="404"/>
      <c r="AQ4886" s="404"/>
      <c r="AR4886" s="404"/>
      <c r="AS4886" s="404"/>
      <c r="AT4886" s="404"/>
      <c r="AU4886" s="404"/>
      <c r="AV4886" s="404"/>
      <c r="AW4886" s="404"/>
      <c r="AX4886" s="404"/>
      <c r="AY4886" s="404"/>
      <c r="AZ4886" s="404"/>
      <c r="BA4886" s="404"/>
      <c r="BB4886" s="404"/>
      <c r="BC4886" s="404"/>
      <c r="BD4886" s="404"/>
      <c r="BE4886" s="404"/>
      <c r="BF4886" s="404"/>
      <c r="BG4886" s="404"/>
      <c r="BH4886" s="404"/>
      <c r="BI4886" s="404"/>
      <c r="BJ4886" s="404"/>
      <c r="BK4886" s="404"/>
      <c r="BL4886" s="404"/>
    </row>
    <row r="4887" spans="1:64">
      <c r="A4887" s="426"/>
      <c r="B4887" s="426"/>
      <c r="C4887" s="417"/>
      <c r="D4887" s="409"/>
      <c r="E4887" s="426"/>
      <c r="F4887" s="409"/>
      <c r="G4887" s="410"/>
      <c r="H4887" s="426"/>
      <c r="I4887" s="409"/>
      <c r="J4887" s="400"/>
      <c r="K4887" s="401"/>
      <c r="L4887" s="401"/>
      <c r="M4887" s="404"/>
      <c r="N4887" s="404"/>
      <c r="O4887" s="404"/>
      <c r="P4887" s="404"/>
      <c r="Q4887" s="404"/>
      <c r="R4887" s="404"/>
      <c r="S4887" s="404"/>
      <c r="T4887" s="404"/>
      <c r="U4887" s="404"/>
      <c r="V4887" s="404"/>
      <c r="W4887" s="404"/>
      <c r="X4887" s="404"/>
      <c r="Y4887" s="404"/>
      <c r="Z4887" s="404"/>
      <c r="AA4887" s="404"/>
      <c r="AB4887" s="404"/>
      <c r="AC4887" s="404"/>
      <c r="AD4887" s="404"/>
      <c r="AE4887" s="404"/>
      <c r="AF4887" s="404"/>
      <c r="AG4887" s="404"/>
      <c r="AH4887" s="404"/>
      <c r="AI4887" s="404"/>
      <c r="AJ4887" s="404"/>
      <c r="AK4887" s="404"/>
      <c r="AL4887" s="404"/>
      <c r="AM4887" s="404"/>
      <c r="AN4887" s="404"/>
      <c r="AO4887" s="404"/>
      <c r="AP4887" s="404"/>
      <c r="AQ4887" s="404"/>
      <c r="AR4887" s="404"/>
      <c r="AS4887" s="404"/>
      <c r="AT4887" s="404"/>
      <c r="AU4887" s="404"/>
      <c r="AV4887" s="404"/>
      <c r="AW4887" s="404"/>
      <c r="AX4887" s="404"/>
      <c r="AY4887" s="404"/>
      <c r="AZ4887" s="404"/>
      <c r="BA4887" s="404"/>
      <c r="BB4887" s="404"/>
      <c r="BC4887" s="404"/>
      <c r="BD4887" s="404"/>
      <c r="BE4887" s="404"/>
      <c r="BF4887" s="404"/>
      <c r="BG4887" s="404"/>
      <c r="BH4887" s="404"/>
      <c r="BI4887" s="404"/>
      <c r="BJ4887" s="404"/>
      <c r="BK4887" s="404"/>
      <c r="BL4887" s="404"/>
    </row>
    <row r="4888" spans="1:64" ht="36.65" customHeight="1">
      <c r="A4888" s="1286">
        <f>1+A4882</f>
        <v>37</v>
      </c>
      <c r="B4888" s="1286"/>
      <c r="C4888" s="1281" t="s">
        <v>1743</v>
      </c>
      <c r="D4888" s="1281"/>
      <c r="E4888" s="1281"/>
      <c r="F4888" s="1281"/>
      <c r="G4888" s="1281"/>
      <c r="H4888" s="1281"/>
      <c r="I4888" s="1281"/>
      <c r="J4888" s="400"/>
      <c r="K4888" s="401"/>
      <c r="L4888" s="401"/>
      <c r="M4888" s="404"/>
      <c r="N4888" s="404"/>
      <c r="O4888" s="404"/>
      <c r="P4888" s="404"/>
      <c r="Q4888" s="404"/>
      <c r="R4888" s="404"/>
      <c r="S4888" s="404"/>
      <c r="T4888" s="404"/>
      <c r="U4888" s="404"/>
      <c r="V4888" s="404"/>
      <c r="W4888" s="404"/>
      <c r="X4888" s="404"/>
      <c r="Y4888" s="404"/>
      <c r="Z4888" s="404"/>
      <c r="AA4888" s="404"/>
      <c r="AB4888" s="404"/>
      <c r="AC4888" s="404"/>
      <c r="AD4888" s="404"/>
      <c r="AE4888" s="404"/>
      <c r="AF4888" s="404"/>
      <c r="AG4888" s="404"/>
      <c r="AH4888" s="404"/>
      <c r="AI4888" s="404"/>
      <c r="AJ4888" s="404"/>
      <c r="AK4888" s="404"/>
      <c r="AL4888" s="404"/>
      <c r="AM4888" s="404"/>
      <c r="AN4888" s="404"/>
      <c r="AO4888" s="404"/>
      <c r="AP4888" s="404"/>
      <c r="AQ4888" s="404"/>
      <c r="AR4888" s="404"/>
      <c r="AS4888" s="404"/>
      <c r="AT4888" s="404"/>
      <c r="AU4888" s="404"/>
      <c r="AV4888" s="404"/>
      <c r="AW4888" s="404"/>
      <c r="AX4888" s="404"/>
      <c r="AY4888" s="404"/>
      <c r="AZ4888" s="404"/>
      <c r="BA4888" s="404"/>
      <c r="BB4888" s="404"/>
      <c r="BC4888" s="404"/>
      <c r="BD4888" s="404"/>
      <c r="BE4888" s="404"/>
      <c r="BF4888" s="404"/>
      <c r="BG4888" s="404"/>
      <c r="BH4888" s="404"/>
      <c r="BI4888" s="404"/>
      <c r="BJ4888" s="404"/>
      <c r="BK4888" s="404"/>
      <c r="BL4888" s="404"/>
    </row>
    <row r="4889" spans="1:64" ht="13">
      <c r="A4889" s="454"/>
      <c r="B4889" s="454"/>
      <c r="C4889" s="618" t="s">
        <v>1744</v>
      </c>
      <c r="D4889" s="406">
        <v>1</v>
      </c>
      <c r="E4889" s="406" t="s">
        <v>1052</v>
      </c>
      <c r="F4889" s="748">
        <v>600</v>
      </c>
      <c r="G4889" s="406">
        <v>1</v>
      </c>
      <c r="H4889" s="406" t="str">
        <f>E4889</f>
        <v>RM</v>
      </c>
      <c r="I4889" s="414">
        <f>IF(G4889="",D4889*F4889,(D4889*F4889/G4889))</f>
        <v>600</v>
      </c>
      <c r="J4889" s="400"/>
      <c r="K4889" s="401"/>
      <c r="L4889" s="401"/>
      <c r="M4889" s="404"/>
      <c r="N4889" s="404"/>
      <c r="O4889" s="404"/>
      <c r="P4889" s="404"/>
      <c r="Q4889" s="404"/>
      <c r="R4889" s="404"/>
      <c r="S4889" s="404"/>
      <c r="T4889" s="404"/>
      <c r="U4889" s="404"/>
      <c r="V4889" s="404"/>
      <c r="W4889" s="404"/>
      <c r="X4889" s="404"/>
      <c r="Y4889" s="404"/>
      <c r="Z4889" s="404"/>
      <c r="AA4889" s="404"/>
      <c r="AB4889" s="404"/>
      <c r="AC4889" s="404"/>
      <c r="AD4889" s="404"/>
      <c r="AE4889" s="404"/>
      <c r="AF4889" s="404"/>
      <c r="AG4889" s="404"/>
      <c r="AH4889" s="404"/>
      <c r="AI4889" s="404"/>
      <c r="AJ4889" s="404"/>
      <c r="AK4889" s="404"/>
      <c r="AL4889" s="404"/>
      <c r="AM4889" s="404"/>
      <c r="AN4889" s="404"/>
      <c r="AO4889" s="404"/>
      <c r="AP4889" s="404"/>
      <c r="AQ4889" s="404"/>
      <c r="AR4889" s="404"/>
      <c r="AS4889" s="404"/>
      <c r="AT4889" s="404"/>
      <c r="AU4889" s="404"/>
      <c r="AV4889" s="404"/>
      <c r="AW4889" s="404"/>
      <c r="AX4889" s="404"/>
      <c r="AY4889" s="404"/>
      <c r="AZ4889" s="404"/>
      <c r="BA4889" s="404"/>
      <c r="BB4889" s="404"/>
      <c r="BC4889" s="404"/>
      <c r="BD4889" s="404"/>
      <c r="BE4889" s="404"/>
      <c r="BF4889" s="404"/>
      <c r="BG4889" s="404"/>
      <c r="BH4889" s="404"/>
      <c r="BI4889" s="404"/>
      <c r="BJ4889" s="404"/>
      <c r="BK4889" s="404"/>
      <c r="BL4889" s="404"/>
    </row>
    <row r="4890" spans="1:64" ht="13">
      <c r="A4890" s="454"/>
      <c r="B4890" s="454"/>
      <c r="C4890" s="433"/>
      <c r="D4890" s="408"/>
      <c r="E4890" s="454"/>
      <c r="F4890" s="408"/>
      <c r="G4890" s="430"/>
      <c r="H4890" s="454"/>
      <c r="I4890" s="409"/>
      <c r="J4890" s="400"/>
      <c r="K4890" s="401"/>
      <c r="L4890" s="401"/>
      <c r="M4890" s="404"/>
      <c r="N4890" s="404"/>
      <c r="O4890" s="404"/>
      <c r="P4890" s="404"/>
      <c r="Q4890" s="404"/>
      <c r="R4890" s="404"/>
      <c r="S4890" s="404"/>
      <c r="T4890" s="404"/>
      <c r="U4890" s="404"/>
      <c r="V4890" s="404"/>
      <c r="W4890" s="404"/>
      <c r="X4890" s="404"/>
      <c r="Y4890" s="404"/>
      <c r="Z4890" s="404"/>
      <c r="AA4890" s="404"/>
      <c r="AB4890" s="404"/>
      <c r="AC4890" s="404"/>
      <c r="AD4890" s="404"/>
      <c r="AE4890" s="404"/>
      <c r="AF4890" s="404"/>
      <c r="AG4890" s="404"/>
      <c r="AH4890" s="404"/>
      <c r="AI4890" s="404"/>
      <c r="AJ4890" s="404"/>
      <c r="AK4890" s="404"/>
      <c r="AL4890" s="404"/>
      <c r="AM4890" s="404"/>
      <c r="AN4890" s="404"/>
      <c r="AO4890" s="404"/>
      <c r="AP4890" s="404"/>
      <c r="AQ4890" s="404"/>
      <c r="AR4890" s="404"/>
      <c r="AS4890" s="404"/>
      <c r="AT4890" s="404"/>
      <c r="AU4890" s="404"/>
      <c r="AV4890" s="404"/>
      <c r="AW4890" s="404"/>
      <c r="AX4890" s="404"/>
      <c r="AY4890" s="404"/>
      <c r="AZ4890" s="404"/>
      <c r="BA4890" s="404"/>
      <c r="BB4890" s="404"/>
      <c r="BC4890" s="404"/>
      <c r="BD4890" s="404"/>
      <c r="BE4890" s="404"/>
      <c r="BF4890" s="404"/>
      <c r="BG4890" s="404"/>
      <c r="BH4890" s="404"/>
      <c r="BI4890" s="404"/>
      <c r="BJ4890" s="404"/>
      <c r="BK4890" s="404"/>
      <c r="BL4890" s="404"/>
    </row>
    <row r="4891" spans="1:64" ht="103.75" customHeight="1">
      <c r="A4891" s="1280">
        <f>1+A4888</f>
        <v>38</v>
      </c>
      <c r="B4891" s="1280"/>
      <c r="C4891" s="1281" t="s">
        <v>1745</v>
      </c>
      <c r="D4891" s="1281"/>
      <c r="E4891" s="1281"/>
      <c r="F4891" s="1281"/>
      <c r="G4891" s="1281"/>
      <c r="H4891" s="1281"/>
      <c r="I4891" s="1281"/>
      <c r="J4891" s="400"/>
      <c r="K4891" s="401"/>
      <c r="L4891" s="401"/>
      <c r="M4891" s="404"/>
      <c r="N4891" s="404"/>
      <c r="O4891" s="404"/>
      <c r="P4891" s="404"/>
      <c r="Q4891" s="404"/>
      <c r="R4891" s="404"/>
      <c r="S4891" s="404"/>
      <c r="T4891" s="404"/>
      <c r="U4891" s="404"/>
      <c r="V4891" s="404"/>
      <c r="W4891" s="404"/>
      <c r="X4891" s="404"/>
      <c r="Y4891" s="404"/>
      <c r="Z4891" s="404"/>
      <c r="AA4891" s="404"/>
      <c r="AB4891" s="404"/>
      <c r="AC4891" s="404"/>
      <c r="AD4891" s="404"/>
      <c r="AE4891" s="404"/>
      <c r="AF4891" s="404"/>
      <c r="AG4891" s="404"/>
      <c r="AH4891" s="404"/>
      <c r="AI4891" s="404"/>
      <c r="AJ4891" s="404"/>
      <c r="AK4891" s="404"/>
      <c r="AL4891" s="404"/>
      <c r="AM4891" s="404"/>
      <c r="AN4891" s="404"/>
      <c r="AO4891" s="404"/>
      <c r="AP4891" s="404"/>
      <c r="AQ4891" s="404"/>
      <c r="AR4891" s="404"/>
      <c r="AS4891" s="404"/>
      <c r="AT4891" s="404"/>
      <c r="AU4891" s="404"/>
      <c r="AV4891" s="404"/>
      <c r="AW4891" s="404"/>
      <c r="AX4891" s="404"/>
      <c r="AY4891" s="404"/>
      <c r="AZ4891" s="404"/>
      <c r="BA4891" s="404"/>
      <c r="BB4891" s="404"/>
      <c r="BC4891" s="404"/>
      <c r="BD4891" s="404"/>
      <c r="BE4891" s="404"/>
      <c r="BF4891" s="404"/>
      <c r="BG4891" s="404"/>
      <c r="BH4891" s="404"/>
      <c r="BI4891" s="404"/>
      <c r="BJ4891" s="404"/>
      <c r="BK4891" s="404"/>
      <c r="BL4891" s="404"/>
    </row>
    <row r="4892" spans="1:64" ht="12.75" customHeight="1">
      <c r="A4892" s="426"/>
      <c r="B4892" s="426"/>
      <c r="C4892" s="1282" t="s">
        <v>1350</v>
      </c>
      <c r="D4892" s="1282"/>
      <c r="E4892" s="676"/>
      <c r="F4892" s="408"/>
      <c r="G4892" s="432"/>
      <c r="H4892" s="676"/>
      <c r="I4892" s="408"/>
      <c r="J4892" s="400"/>
      <c r="K4892" s="401"/>
      <c r="L4892" s="401"/>
      <c r="M4892" s="404"/>
      <c r="N4892" s="404"/>
      <c r="O4892" s="404"/>
      <c r="P4892" s="404"/>
      <c r="Q4892" s="404"/>
      <c r="R4892" s="404"/>
      <c r="S4892" s="404"/>
      <c r="T4892" s="404"/>
      <c r="U4892" s="404"/>
      <c r="V4892" s="404"/>
      <c r="W4892" s="404"/>
      <c r="X4892" s="404"/>
      <c r="Y4892" s="404"/>
      <c r="Z4892" s="404"/>
      <c r="AA4892" s="404"/>
      <c r="AB4892" s="404"/>
      <c r="AC4892" s="404"/>
      <c r="AD4892" s="404"/>
      <c r="AE4892" s="404"/>
      <c r="AF4892" s="404"/>
      <c r="AG4892" s="404"/>
      <c r="AH4892" s="404"/>
      <c r="AI4892" s="404"/>
      <c r="AJ4892" s="404"/>
      <c r="AK4892" s="404"/>
      <c r="AL4892" s="404"/>
      <c r="AM4892" s="404"/>
      <c r="AN4892" s="404"/>
      <c r="AO4892" s="404"/>
      <c r="AP4892" s="404"/>
      <c r="AQ4892" s="404"/>
      <c r="AR4892" s="404"/>
      <c r="AS4892" s="404"/>
      <c r="AT4892" s="404"/>
      <c r="AU4892" s="404"/>
      <c r="AV4892" s="404"/>
      <c r="AW4892" s="404"/>
      <c r="AX4892" s="404"/>
      <c r="AY4892" s="404"/>
      <c r="AZ4892" s="404"/>
      <c r="BA4892" s="404"/>
      <c r="BB4892" s="404"/>
      <c r="BC4892" s="404"/>
      <c r="BD4892" s="404"/>
      <c r="BE4892" s="404"/>
      <c r="BF4892" s="404"/>
      <c r="BG4892" s="404"/>
      <c r="BH4892" s="404"/>
      <c r="BI4892" s="404"/>
      <c r="BJ4892" s="404"/>
      <c r="BK4892" s="404"/>
      <c r="BL4892" s="404"/>
    </row>
    <row r="4893" spans="1:64">
      <c r="A4893" s="426"/>
      <c r="B4893" s="426"/>
      <c r="C4893" s="417" t="s">
        <v>1351</v>
      </c>
      <c r="D4893" s="406"/>
      <c r="E4893" s="406"/>
      <c r="F4893" s="406"/>
      <c r="G4893" s="406"/>
      <c r="H4893" s="406"/>
      <c r="I4893" s="406"/>
      <c r="J4893" s="400"/>
      <c r="K4893" s="401"/>
      <c r="L4893" s="401"/>
      <c r="M4893" s="404"/>
      <c r="N4893" s="404"/>
      <c r="O4893" s="404"/>
      <c r="P4893" s="404"/>
      <c r="Q4893" s="404"/>
      <c r="R4893" s="404"/>
      <c r="S4893" s="404"/>
      <c r="T4893" s="404"/>
      <c r="U4893" s="404"/>
      <c r="V4893" s="404"/>
      <c r="W4893" s="404"/>
      <c r="X4893" s="404"/>
      <c r="Y4893" s="404"/>
      <c r="Z4893" s="404"/>
      <c r="AA4893" s="404"/>
      <c r="AB4893" s="404"/>
      <c r="AC4893" s="404"/>
      <c r="AD4893" s="404"/>
      <c r="AE4893" s="404"/>
      <c r="AF4893" s="404"/>
      <c r="AG4893" s="404"/>
      <c r="AH4893" s="404"/>
      <c r="AI4893" s="404"/>
      <c r="AJ4893" s="404"/>
      <c r="AK4893" s="404"/>
      <c r="AL4893" s="404"/>
      <c r="AM4893" s="404"/>
      <c r="AN4893" s="404"/>
      <c r="AO4893" s="404"/>
      <c r="AP4893" s="404"/>
      <c r="AQ4893" s="404"/>
      <c r="AR4893" s="404"/>
      <c r="AS4893" s="404"/>
      <c r="AT4893" s="404"/>
      <c r="AU4893" s="404"/>
      <c r="AV4893" s="404"/>
      <c r="AW4893" s="404"/>
      <c r="AX4893" s="404"/>
      <c r="AY4893" s="404"/>
      <c r="AZ4893" s="404"/>
      <c r="BA4893" s="404"/>
      <c r="BB4893" s="404"/>
      <c r="BC4893" s="404"/>
      <c r="BD4893" s="404"/>
      <c r="BE4893" s="404"/>
      <c r="BF4893" s="404"/>
      <c r="BG4893" s="404"/>
      <c r="BH4893" s="404"/>
      <c r="BI4893" s="404"/>
      <c r="BJ4893" s="404"/>
      <c r="BK4893" s="404"/>
      <c r="BL4893" s="404"/>
    </row>
    <row r="4894" spans="1:64" ht="13">
      <c r="A4894" s="426"/>
      <c r="B4894" s="426" t="s">
        <v>720</v>
      </c>
      <c r="C4894" s="427" t="s">
        <v>1746</v>
      </c>
      <c r="D4894" s="406"/>
      <c r="E4894" s="406"/>
      <c r="F4894" s="406"/>
      <c r="G4894" s="406"/>
      <c r="H4894" s="406"/>
      <c r="I4894" s="406"/>
      <c r="J4894" s="400"/>
      <c r="K4894" s="401"/>
      <c r="L4894" s="401"/>
      <c r="M4894" s="404"/>
      <c r="N4894" s="404"/>
      <c r="O4894" s="404"/>
      <c r="P4894" s="404"/>
      <c r="Q4894" s="404"/>
      <c r="R4894" s="404"/>
      <c r="S4894" s="404"/>
      <c r="T4894" s="404"/>
      <c r="U4894" s="404"/>
      <c r="V4894" s="404"/>
      <c r="W4894" s="404"/>
      <c r="X4894" s="404"/>
      <c r="Y4894" s="404"/>
      <c r="Z4894" s="404"/>
      <c r="AA4894" s="404"/>
      <c r="AB4894" s="404"/>
      <c r="AC4894" s="404"/>
      <c r="AD4894" s="404"/>
      <c r="AE4894" s="404"/>
      <c r="AF4894" s="404"/>
      <c r="AG4894" s="404"/>
      <c r="AH4894" s="404"/>
      <c r="AI4894" s="404"/>
      <c r="AJ4894" s="404"/>
      <c r="AK4894" s="404"/>
      <c r="AL4894" s="404"/>
      <c r="AM4894" s="404"/>
      <c r="AN4894" s="404"/>
      <c r="AO4894" s="404"/>
      <c r="AP4894" s="404"/>
      <c r="AQ4894" s="404"/>
      <c r="AR4894" s="404"/>
      <c r="AS4894" s="404"/>
      <c r="AT4894" s="404"/>
      <c r="AU4894" s="404"/>
      <c r="AV4894" s="404"/>
      <c r="AW4894" s="404"/>
      <c r="AX4894" s="404"/>
      <c r="AY4894" s="404"/>
      <c r="AZ4894" s="404"/>
      <c r="BA4894" s="404"/>
      <c r="BB4894" s="404"/>
      <c r="BC4894" s="404"/>
      <c r="BD4894" s="404"/>
      <c r="BE4894" s="404"/>
      <c r="BF4894" s="404"/>
      <c r="BG4894" s="404"/>
      <c r="BH4894" s="404"/>
      <c r="BI4894" s="404"/>
      <c r="BJ4894" s="404"/>
      <c r="BK4894" s="404"/>
      <c r="BL4894" s="404"/>
    </row>
    <row r="4895" spans="1:64">
      <c r="A4895" s="426"/>
      <c r="B4895" s="426"/>
      <c r="C4895" s="417" t="s">
        <v>1746</v>
      </c>
      <c r="D4895" s="706">
        <v>23</v>
      </c>
      <c r="E4895" s="406" t="s">
        <v>833</v>
      </c>
      <c r="F4895" s="432">
        <f>+'[161]Civil-SOR'!$G$57</f>
        <v>41</v>
      </c>
      <c r="G4895" s="431">
        <v>1</v>
      </c>
      <c r="H4895" s="406" t="s">
        <v>312</v>
      </c>
      <c r="I4895" s="408">
        <f t="shared" ref="I4895:I4900" si="1037">IF(G4895="",D4895*F4895,(D4895*F4895/G4895))</f>
        <v>943</v>
      </c>
      <c r="J4895" s="400"/>
      <c r="K4895" s="401"/>
      <c r="L4895" s="401"/>
      <c r="M4895" s="404"/>
      <c r="N4895" s="404"/>
      <c r="O4895" s="404"/>
      <c r="P4895" s="404"/>
      <c r="Q4895" s="404"/>
      <c r="R4895" s="404"/>
      <c r="S4895" s="404"/>
      <c r="T4895" s="404"/>
      <c r="U4895" s="404"/>
      <c r="V4895" s="404"/>
      <c r="W4895" s="404"/>
      <c r="X4895" s="404"/>
      <c r="Y4895" s="404"/>
      <c r="Z4895" s="404"/>
      <c r="AA4895" s="404"/>
      <c r="AB4895" s="404"/>
      <c r="AC4895" s="404"/>
      <c r="AD4895" s="404"/>
      <c r="AE4895" s="404"/>
      <c r="AF4895" s="404"/>
      <c r="AG4895" s="404"/>
      <c r="AH4895" s="404"/>
      <c r="AI4895" s="404"/>
      <c r="AJ4895" s="404"/>
      <c r="AK4895" s="404"/>
      <c r="AL4895" s="404"/>
      <c r="AM4895" s="404"/>
      <c r="AN4895" s="404"/>
      <c r="AO4895" s="404"/>
      <c r="AP4895" s="404"/>
      <c r="AQ4895" s="404"/>
      <c r="AR4895" s="404"/>
      <c r="AS4895" s="404"/>
      <c r="AT4895" s="404"/>
      <c r="AU4895" s="404"/>
      <c r="AV4895" s="404"/>
      <c r="AW4895" s="404"/>
      <c r="AX4895" s="404"/>
      <c r="AY4895" s="404"/>
      <c r="AZ4895" s="404"/>
      <c r="BA4895" s="404"/>
      <c r="BB4895" s="404"/>
      <c r="BC4895" s="404"/>
      <c r="BD4895" s="404"/>
      <c r="BE4895" s="404"/>
      <c r="BF4895" s="404"/>
      <c r="BG4895" s="404"/>
      <c r="BH4895" s="404"/>
      <c r="BI4895" s="404"/>
      <c r="BJ4895" s="404"/>
      <c r="BK4895" s="404"/>
      <c r="BL4895" s="404"/>
    </row>
    <row r="4896" spans="1:64">
      <c r="A4896" s="426"/>
      <c r="B4896" s="426"/>
      <c r="C4896" s="417" t="s">
        <v>1343</v>
      </c>
      <c r="D4896" s="441">
        <v>0.27300000000000002</v>
      </c>
      <c r="E4896" s="406" t="s">
        <v>375</v>
      </c>
      <c r="F4896" s="432">
        <f>'[161]Civil-SOR'!$G$296</f>
        <v>665</v>
      </c>
      <c r="G4896" s="406">
        <v>1</v>
      </c>
      <c r="H4896" s="406" t="s">
        <v>572</v>
      </c>
      <c r="I4896" s="408">
        <f t="shared" si="1037"/>
        <v>181.54500000000002</v>
      </c>
      <c r="J4896" s="400"/>
      <c r="K4896" s="401"/>
      <c r="L4896" s="401"/>
      <c r="M4896" s="404"/>
      <c r="N4896" s="404"/>
      <c r="O4896" s="404"/>
      <c r="P4896" s="404"/>
      <c r="Q4896" s="404"/>
      <c r="R4896" s="404"/>
      <c r="S4896" s="404"/>
      <c r="T4896" s="404"/>
      <c r="U4896" s="404"/>
      <c r="V4896" s="404"/>
      <c r="W4896" s="404"/>
      <c r="X4896" s="404"/>
      <c r="Y4896" s="404"/>
      <c r="Z4896" s="404"/>
      <c r="AA4896" s="404"/>
      <c r="AB4896" s="404"/>
      <c r="AC4896" s="404"/>
      <c r="AD4896" s="404"/>
      <c r="AE4896" s="404"/>
      <c r="AF4896" s="404"/>
      <c r="AG4896" s="404"/>
      <c r="AH4896" s="404"/>
      <c r="AI4896" s="404"/>
      <c r="AJ4896" s="404"/>
      <c r="AK4896" s="404"/>
      <c r="AL4896" s="404"/>
      <c r="AM4896" s="404"/>
      <c r="AN4896" s="404"/>
      <c r="AO4896" s="404"/>
      <c r="AP4896" s="404"/>
      <c r="AQ4896" s="404"/>
      <c r="AR4896" s="404"/>
      <c r="AS4896" s="404"/>
      <c r="AT4896" s="404"/>
      <c r="AU4896" s="404"/>
      <c r="AV4896" s="404"/>
      <c r="AW4896" s="404"/>
      <c r="AX4896" s="404"/>
      <c r="AY4896" s="404"/>
      <c r="AZ4896" s="404"/>
      <c r="BA4896" s="404"/>
      <c r="BB4896" s="404"/>
      <c r="BC4896" s="404"/>
      <c r="BD4896" s="404"/>
      <c r="BE4896" s="404"/>
      <c r="BF4896" s="404"/>
      <c r="BG4896" s="404"/>
      <c r="BH4896" s="404"/>
      <c r="BI4896" s="404"/>
      <c r="BJ4896" s="404"/>
      <c r="BK4896" s="404"/>
      <c r="BL4896" s="404"/>
    </row>
    <row r="4897" spans="1:64">
      <c r="A4897" s="426"/>
      <c r="B4897" s="426"/>
      <c r="C4897" s="417" t="s">
        <v>1344</v>
      </c>
      <c r="D4897" s="441">
        <v>0.63700000000000001</v>
      </c>
      <c r="E4897" s="406" t="s">
        <v>375</v>
      </c>
      <c r="F4897" s="432">
        <f>'[161]Civil-SOR'!$G$303</f>
        <v>550</v>
      </c>
      <c r="G4897" s="406">
        <v>1</v>
      </c>
      <c r="H4897" s="406" t="s">
        <v>572</v>
      </c>
      <c r="I4897" s="408">
        <f t="shared" si="1037"/>
        <v>350.35</v>
      </c>
      <c r="J4897" s="400"/>
      <c r="K4897" s="401"/>
      <c r="L4897" s="401"/>
      <c r="M4897" s="404"/>
      <c r="N4897" s="404"/>
      <c r="O4897" s="404"/>
      <c r="P4897" s="404"/>
      <c r="Q4897" s="404"/>
      <c r="R4897" s="404"/>
      <c r="S4897" s="404"/>
      <c r="T4897" s="404"/>
      <c r="U4897" s="404"/>
      <c r="V4897" s="404"/>
      <c r="W4897" s="404"/>
      <c r="X4897" s="404"/>
      <c r="Y4897" s="404"/>
      <c r="Z4897" s="404"/>
      <c r="AA4897" s="404"/>
      <c r="AB4897" s="404"/>
      <c r="AC4897" s="404"/>
      <c r="AD4897" s="404"/>
      <c r="AE4897" s="404"/>
      <c r="AF4897" s="404"/>
      <c r="AG4897" s="404"/>
      <c r="AH4897" s="404"/>
      <c r="AI4897" s="404"/>
      <c r="AJ4897" s="404"/>
      <c r="AK4897" s="404"/>
      <c r="AL4897" s="404"/>
      <c r="AM4897" s="404"/>
      <c r="AN4897" s="404"/>
      <c r="AO4897" s="404"/>
      <c r="AP4897" s="404"/>
      <c r="AQ4897" s="404"/>
      <c r="AR4897" s="404"/>
      <c r="AS4897" s="404"/>
      <c r="AT4897" s="404"/>
      <c r="AU4897" s="404"/>
      <c r="AV4897" s="404"/>
      <c r="AW4897" s="404"/>
      <c r="AX4897" s="404"/>
      <c r="AY4897" s="404"/>
      <c r="AZ4897" s="404"/>
      <c r="BA4897" s="404"/>
      <c r="BB4897" s="404"/>
      <c r="BC4897" s="404"/>
      <c r="BD4897" s="404"/>
      <c r="BE4897" s="404"/>
      <c r="BF4897" s="404"/>
      <c r="BG4897" s="404"/>
      <c r="BH4897" s="404"/>
      <c r="BI4897" s="404"/>
      <c r="BJ4897" s="404"/>
      <c r="BK4897" s="404"/>
      <c r="BL4897" s="404"/>
    </row>
    <row r="4898" spans="1:64">
      <c r="A4898" s="426"/>
      <c r="B4898" s="426"/>
      <c r="C4898" s="417" t="s">
        <v>1353</v>
      </c>
      <c r="D4898" s="432">
        <v>0.91</v>
      </c>
      <c r="E4898" s="406" t="s">
        <v>375</v>
      </c>
      <c r="F4898" s="408">
        <f>'[161]Civil-SOR'!$G$307</f>
        <v>520</v>
      </c>
      <c r="G4898" s="406">
        <v>1</v>
      </c>
      <c r="H4898" s="406" t="s">
        <v>572</v>
      </c>
      <c r="I4898" s="408">
        <f t="shared" si="1037"/>
        <v>473.2</v>
      </c>
      <c r="J4898" s="400"/>
      <c r="K4898" s="401"/>
      <c r="L4898" s="401"/>
      <c r="M4898" s="404"/>
      <c r="N4898" s="404"/>
      <c r="O4898" s="404"/>
      <c r="P4898" s="404"/>
      <c r="Q4898" s="404"/>
      <c r="R4898" s="404"/>
      <c r="S4898" s="404"/>
      <c r="T4898" s="404"/>
      <c r="U4898" s="404"/>
      <c r="V4898" s="404"/>
      <c r="W4898" s="404"/>
      <c r="X4898" s="404"/>
      <c r="Y4898" s="404"/>
      <c r="Z4898" s="404"/>
      <c r="AA4898" s="404"/>
      <c r="AB4898" s="404"/>
      <c r="AC4898" s="404"/>
      <c r="AD4898" s="404"/>
      <c r="AE4898" s="404"/>
      <c r="AF4898" s="404"/>
      <c r="AG4898" s="404"/>
      <c r="AH4898" s="404"/>
      <c r="AI4898" s="404"/>
      <c r="AJ4898" s="404"/>
      <c r="AK4898" s="404"/>
      <c r="AL4898" s="404"/>
      <c r="AM4898" s="404"/>
      <c r="AN4898" s="404"/>
      <c r="AO4898" s="404"/>
      <c r="AP4898" s="404"/>
      <c r="AQ4898" s="404"/>
      <c r="AR4898" s="404"/>
      <c r="AS4898" s="404"/>
      <c r="AT4898" s="404"/>
      <c r="AU4898" s="404"/>
      <c r="AV4898" s="404"/>
      <c r="AW4898" s="404"/>
      <c r="AX4898" s="404"/>
      <c r="AY4898" s="404"/>
      <c r="AZ4898" s="404"/>
      <c r="BA4898" s="404"/>
      <c r="BB4898" s="404"/>
      <c r="BC4898" s="404"/>
      <c r="BD4898" s="404"/>
      <c r="BE4898" s="404"/>
      <c r="BF4898" s="404"/>
      <c r="BG4898" s="404"/>
      <c r="BH4898" s="404"/>
      <c r="BI4898" s="404"/>
      <c r="BJ4898" s="404"/>
      <c r="BK4898" s="404"/>
      <c r="BL4898" s="404"/>
    </row>
    <row r="4899" spans="1:64">
      <c r="A4899" s="426"/>
      <c r="B4899" s="426"/>
      <c r="C4899" s="417" t="str">
        <f>[161]Input!$C$47</f>
        <v>Add for MA @ 40%</v>
      </c>
      <c r="D4899" s="432">
        <f>[161]Input!$D$47</f>
        <v>0.4</v>
      </c>
      <c r="E4899" s="406"/>
      <c r="F4899" s="432">
        <f>SUM(I4896:I4898)</f>
        <v>1005.095</v>
      </c>
      <c r="G4899" s="406"/>
      <c r="H4899" s="406"/>
      <c r="I4899" s="408">
        <f t="shared" si="1037"/>
        <v>402.03800000000001</v>
      </c>
      <c r="J4899" s="400"/>
      <c r="K4899" s="401"/>
      <c r="L4899" s="401"/>
      <c r="M4899" s="404"/>
      <c r="N4899" s="404"/>
      <c r="O4899" s="404"/>
      <c r="P4899" s="404"/>
      <c r="Q4899" s="404"/>
      <c r="R4899" s="404"/>
      <c r="S4899" s="404"/>
      <c r="T4899" s="404"/>
      <c r="U4899" s="404"/>
      <c r="V4899" s="404"/>
      <c r="W4899" s="404"/>
      <c r="X4899" s="404"/>
      <c r="Y4899" s="404"/>
      <c r="Z4899" s="404"/>
      <c r="AA4899" s="404"/>
      <c r="AB4899" s="404"/>
      <c r="AC4899" s="404"/>
      <c r="AD4899" s="404"/>
      <c r="AE4899" s="404"/>
      <c r="AF4899" s="404"/>
      <c r="AG4899" s="404"/>
      <c r="AH4899" s="404"/>
      <c r="AI4899" s="404"/>
      <c r="AJ4899" s="404"/>
      <c r="AK4899" s="404"/>
      <c r="AL4899" s="404"/>
      <c r="AM4899" s="404"/>
      <c r="AN4899" s="404"/>
      <c r="AO4899" s="404"/>
      <c r="AP4899" s="404"/>
      <c r="AQ4899" s="404"/>
      <c r="AR4899" s="404"/>
      <c r="AS4899" s="404"/>
      <c r="AT4899" s="404"/>
      <c r="AU4899" s="404"/>
      <c r="AV4899" s="404"/>
      <c r="AW4899" s="404"/>
      <c r="AX4899" s="404"/>
      <c r="AY4899" s="404"/>
      <c r="AZ4899" s="404"/>
      <c r="BA4899" s="404"/>
      <c r="BB4899" s="404"/>
      <c r="BC4899" s="404"/>
      <c r="BD4899" s="404"/>
      <c r="BE4899" s="404"/>
      <c r="BF4899" s="404"/>
      <c r="BG4899" s="404"/>
      <c r="BH4899" s="404"/>
      <c r="BI4899" s="404"/>
      <c r="BJ4899" s="404"/>
      <c r="BK4899" s="404"/>
      <c r="BL4899" s="404"/>
    </row>
    <row r="4900" spans="1:64" ht="25">
      <c r="A4900" s="426"/>
      <c r="B4900" s="426"/>
      <c r="C4900" s="417" t="s">
        <v>1354</v>
      </c>
      <c r="D4900" s="406">
        <v>0.01</v>
      </c>
      <c r="E4900" s="406"/>
      <c r="F4900" s="409">
        <f>SUM(I4895:I4899)</f>
        <v>2350.1329999999998</v>
      </c>
      <c r="G4900" s="406"/>
      <c r="H4900" s="406"/>
      <c r="I4900" s="408">
        <f t="shared" si="1037"/>
        <v>23.501329999999999</v>
      </c>
      <c r="J4900" s="400"/>
      <c r="K4900" s="401"/>
      <c r="L4900" s="401"/>
      <c r="M4900" s="404"/>
      <c r="N4900" s="404"/>
      <c r="O4900" s="404"/>
      <c r="P4900" s="404"/>
      <c r="Q4900" s="404"/>
      <c r="R4900" s="404"/>
      <c r="S4900" s="404"/>
      <c r="T4900" s="404"/>
      <c r="U4900" s="404"/>
      <c r="V4900" s="404"/>
      <c r="W4900" s="404"/>
      <c r="X4900" s="404"/>
      <c r="Y4900" s="404"/>
      <c r="Z4900" s="404"/>
      <c r="AA4900" s="404"/>
      <c r="AB4900" s="404"/>
      <c r="AC4900" s="404"/>
      <c r="AD4900" s="404"/>
      <c r="AE4900" s="404"/>
      <c r="AF4900" s="404"/>
      <c r="AG4900" s="404"/>
      <c r="AH4900" s="404"/>
      <c r="AI4900" s="404"/>
      <c r="AJ4900" s="404"/>
      <c r="AK4900" s="404"/>
      <c r="AL4900" s="404"/>
      <c r="AM4900" s="404"/>
      <c r="AN4900" s="404"/>
      <c r="AO4900" s="404"/>
      <c r="AP4900" s="404"/>
      <c r="AQ4900" s="404"/>
      <c r="AR4900" s="404"/>
      <c r="AS4900" s="404"/>
      <c r="AT4900" s="404"/>
      <c r="AU4900" s="404"/>
      <c r="AV4900" s="404"/>
      <c r="AW4900" s="404"/>
      <c r="AX4900" s="404"/>
      <c r="AY4900" s="404"/>
      <c r="AZ4900" s="404"/>
      <c r="BA4900" s="404"/>
      <c r="BB4900" s="404"/>
      <c r="BC4900" s="404"/>
      <c r="BD4900" s="404"/>
      <c r="BE4900" s="404"/>
      <c r="BF4900" s="404"/>
      <c r="BG4900" s="404"/>
      <c r="BH4900" s="404"/>
      <c r="BI4900" s="404"/>
      <c r="BJ4900" s="404"/>
      <c r="BK4900" s="404"/>
      <c r="BL4900" s="404"/>
    </row>
    <row r="4901" spans="1:64" ht="13">
      <c r="A4901" s="426"/>
      <c r="B4901" s="426"/>
      <c r="C4901" s="417"/>
      <c r="D4901" s="406"/>
      <c r="E4901" s="406"/>
      <c r="F4901" s="409"/>
      <c r="G4901" s="406"/>
      <c r="H4901" s="406"/>
      <c r="I4901" s="414">
        <f>SUM(I4895:I4900)</f>
        <v>2373.6343299999999</v>
      </c>
      <c r="J4901" s="400"/>
      <c r="K4901" s="401"/>
      <c r="L4901" s="401"/>
      <c r="M4901" s="404"/>
      <c r="N4901" s="404"/>
      <c r="O4901" s="404"/>
      <c r="P4901" s="404"/>
      <c r="Q4901" s="404"/>
      <c r="R4901" s="404"/>
      <c r="S4901" s="404"/>
      <c r="T4901" s="404"/>
      <c r="U4901" s="404"/>
      <c r="V4901" s="404"/>
      <c r="W4901" s="404"/>
      <c r="X4901" s="404"/>
      <c r="Y4901" s="404"/>
      <c r="Z4901" s="404"/>
      <c r="AA4901" s="404"/>
      <c r="AB4901" s="404"/>
      <c r="AC4901" s="404"/>
      <c r="AD4901" s="404"/>
      <c r="AE4901" s="404"/>
      <c r="AF4901" s="404"/>
      <c r="AG4901" s="404"/>
      <c r="AH4901" s="404"/>
      <c r="AI4901" s="404"/>
      <c r="AJ4901" s="404"/>
      <c r="AK4901" s="404"/>
      <c r="AL4901" s="404"/>
      <c r="AM4901" s="404"/>
      <c r="AN4901" s="404"/>
      <c r="AO4901" s="404"/>
      <c r="AP4901" s="404"/>
      <c r="AQ4901" s="404"/>
      <c r="AR4901" s="404"/>
      <c r="AS4901" s="404"/>
      <c r="AT4901" s="404"/>
      <c r="AU4901" s="404"/>
      <c r="AV4901" s="404"/>
      <c r="AW4901" s="404"/>
      <c r="AX4901" s="404"/>
      <c r="AY4901" s="404"/>
      <c r="AZ4901" s="404"/>
      <c r="BA4901" s="404"/>
      <c r="BB4901" s="404"/>
      <c r="BC4901" s="404"/>
      <c r="BD4901" s="404"/>
      <c r="BE4901" s="404"/>
      <c r="BF4901" s="404"/>
      <c r="BG4901" s="404"/>
      <c r="BH4901" s="404"/>
      <c r="BI4901" s="404"/>
      <c r="BJ4901" s="404"/>
      <c r="BK4901" s="404"/>
      <c r="BL4901" s="404"/>
    </row>
    <row r="4902" spans="1:64" ht="13">
      <c r="A4902" s="426"/>
      <c r="B4902" s="426" t="s">
        <v>727</v>
      </c>
      <c r="C4902" s="427" t="s">
        <v>1747</v>
      </c>
      <c r="D4902" s="406"/>
      <c r="E4902" s="406"/>
      <c r="F4902" s="409"/>
      <c r="G4902" s="406"/>
      <c r="H4902" s="406"/>
      <c r="I4902" s="414"/>
      <c r="J4902" s="400"/>
      <c r="K4902" s="401"/>
      <c r="L4902" s="401"/>
      <c r="M4902" s="404"/>
      <c r="N4902" s="404"/>
      <c r="O4902" s="404"/>
      <c r="P4902" s="404"/>
      <c r="Q4902" s="404"/>
      <c r="R4902" s="404"/>
      <c r="S4902" s="404"/>
      <c r="T4902" s="404"/>
      <c r="U4902" s="404"/>
      <c r="V4902" s="404"/>
      <c r="W4902" s="404"/>
      <c r="X4902" s="404"/>
      <c r="Y4902" s="404"/>
      <c r="Z4902" s="404"/>
      <c r="AA4902" s="404"/>
      <c r="AB4902" s="404"/>
      <c r="AC4902" s="404"/>
      <c r="AD4902" s="404"/>
      <c r="AE4902" s="404"/>
      <c r="AF4902" s="404"/>
      <c r="AG4902" s="404"/>
      <c r="AH4902" s="404"/>
      <c r="AI4902" s="404"/>
      <c r="AJ4902" s="404"/>
      <c r="AK4902" s="404"/>
      <c r="AL4902" s="404"/>
      <c r="AM4902" s="404"/>
      <c r="AN4902" s="404"/>
      <c r="AO4902" s="404"/>
      <c r="AP4902" s="404"/>
      <c r="AQ4902" s="404"/>
      <c r="AR4902" s="404"/>
      <c r="AS4902" s="404"/>
      <c r="AT4902" s="404"/>
      <c r="AU4902" s="404"/>
      <c r="AV4902" s="404"/>
      <c r="AW4902" s="404"/>
      <c r="AX4902" s="404"/>
      <c r="AY4902" s="404"/>
      <c r="AZ4902" s="404"/>
      <c r="BA4902" s="404"/>
      <c r="BB4902" s="404"/>
      <c r="BC4902" s="404"/>
      <c r="BD4902" s="404"/>
      <c r="BE4902" s="404"/>
      <c r="BF4902" s="404"/>
      <c r="BG4902" s="404"/>
      <c r="BH4902" s="404"/>
      <c r="BI4902" s="404"/>
      <c r="BJ4902" s="404"/>
      <c r="BK4902" s="404"/>
      <c r="BL4902" s="404"/>
    </row>
    <row r="4903" spans="1:64">
      <c r="A4903" s="426"/>
      <c r="B4903" s="426"/>
      <c r="C4903" s="417" t="s">
        <v>1748</v>
      </c>
      <c r="D4903" s="408">
        <v>1</v>
      </c>
      <c r="E4903" s="454" t="s">
        <v>312</v>
      </c>
      <c r="F4903" s="408">
        <f>+'[161]Civil-SOR'!$G$55</f>
        <v>173</v>
      </c>
      <c r="G4903" s="430">
        <v>1</v>
      </c>
      <c r="H4903" s="456" t="str">
        <f t="shared" ref="H4903:H4905" si="1038">IF(E4903="","",IF(E4903="No.","Each",IF(E4903="Nos.","Each",E4903)))</f>
        <v>Kg</v>
      </c>
      <c r="I4903" s="408">
        <f t="shared" ref="I4903:I4907" si="1039">IF(G4903="",D4903*F4903,(D4903*F4903/G4903))</f>
        <v>173</v>
      </c>
      <c r="J4903" s="400"/>
      <c r="K4903" s="401"/>
      <c r="L4903" s="401"/>
      <c r="M4903" s="404"/>
      <c r="N4903" s="404"/>
      <c r="O4903" s="404"/>
      <c r="P4903" s="404"/>
      <c r="Q4903" s="404"/>
      <c r="R4903" s="404"/>
      <c r="S4903" s="404"/>
      <c r="T4903" s="404"/>
      <c r="U4903" s="404"/>
      <c r="V4903" s="404"/>
      <c r="W4903" s="404"/>
      <c r="X4903" s="404"/>
      <c r="Y4903" s="404"/>
      <c r="Z4903" s="404"/>
      <c r="AA4903" s="404"/>
      <c r="AB4903" s="404"/>
      <c r="AC4903" s="404"/>
      <c r="AD4903" s="404"/>
      <c r="AE4903" s="404"/>
      <c r="AF4903" s="404"/>
      <c r="AG4903" s="404"/>
      <c r="AH4903" s="404"/>
      <c r="AI4903" s="404"/>
      <c r="AJ4903" s="404"/>
      <c r="AK4903" s="404"/>
      <c r="AL4903" s="404"/>
      <c r="AM4903" s="404"/>
      <c r="AN4903" s="404"/>
      <c r="AO4903" s="404"/>
      <c r="AP4903" s="404"/>
      <c r="AQ4903" s="404"/>
      <c r="AR4903" s="404"/>
      <c r="AS4903" s="404"/>
      <c r="AT4903" s="404"/>
      <c r="AU4903" s="404"/>
      <c r="AV4903" s="404"/>
      <c r="AW4903" s="404"/>
      <c r="AX4903" s="404"/>
      <c r="AY4903" s="404"/>
      <c r="AZ4903" s="404"/>
      <c r="BA4903" s="404"/>
      <c r="BB4903" s="404"/>
      <c r="BC4903" s="404"/>
      <c r="BD4903" s="404"/>
      <c r="BE4903" s="404"/>
      <c r="BF4903" s="404"/>
      <c r="BG4903" s="404"/>
      <c r="BH4903" s="404"/>
      <c r="BI4903" s="404"/>
      <c r="BJ4903" s="404"/>
      <c r="BK4903" s="404"/>
      <c r="BL4903" s="404"/>
    </row>
    <row r="4904" spans="1:64">
      <c r="A4904" s="426"/>
      <c r="B4904" s="426"/>
      <c r="C4904" s="417" t="s">
        <v>1343</v>
      </c>
      <c r="D4904" s="408">
        <v>0.21</v>
      </c>
      <c r="E4904" s="454" t="s">
        <v>375</v>
      </c>
      <c r="F4904" s="432">
        <f>'[161]Civil-SOR'!$G$296</f>
        <v>665</v>
      </c>
      <c r="G4904" s="430">
        <v>1</v>
      </c>
      <c r="H4904" s="456" t="str">
        <f t="shared" si="1038"/>
        <v>Each</v>
      </c>
      <c r="I4904" s="408">
        <f t="shared" si="1039"/>
        <v>139.65</v>
      </c>
      <c r="J4904" s="400"/>
      <c r="K4904" s="401"/>
      <c r="L4904" s="401"/>
      <c r="M4904" s="404"/>
      <c r="N4904" s="404"/>
      <c r="O4904" s="404"/>
      <c r="P4904" s="404"/>
      <c r="Q4904" s="404"/>
      <c r="R4904" s="404"/>
      <c r="S4904" s="404"/>
      <c r="T4904" s="404"/>
      <c r="U4904" s="404"/>
      <c r="V4904" s="404"/>
      <c r="W4904" s="404"/>
      <c r="X4904" s="404"/>
      <c r="Y4904" s="404"/>
      <c r="Z4904" s="404"/>
      <c r="AA4904" s="404"/>
      <c r="AB4904" s="404"/>
      <c r="AC4904" s="404"/>
      <c r="AD4904" s="404"/>
      <c r="AE4904" s="404"/>
      <c r="AF4904" s="404"/>
      <c r="AG4904" s="404"/>
      <c r="AH4904" s="404"/>
      <c r="AI4904" s="404"/>
      <c r="AJ4904" s="404"/>
      <c r="AK4904" s="404"/>
      <c r="AL4904" s="404"/>
      <c r="AM4904" s="404"/>
      <c r="AN4904" s="404"/>
      <c r="AO4904" s="404"/>
      <c r="AP4904" s="404"/>
      <c r="AQ4904" s="404"/>
      <c r="AR4904" s="404"/>
      <c r="AS4904" s="404"/>
      <c r="AT4904" s="404"/>
      <c r="AU4904" s="404"/>
      <c r="AV4904" s="404"/>
      <c r="AW4904" s="404"/>
      <c r="AX4904" s="404"/>
      <c r="AY4904" s="404"/>
      <c r="AZ4904" s="404"/>
      <c r="BA4904" s="404"/>
      <c r="BB4904" s="404"/>
      <c r="BC4904" s="404"/>
      <c r="BD4904" s="404"/>
      <c r="BE4904" s="404"/>
      <c r="BF4904" s="404"/>
      <c r="BG4904" s="404"/>
      <c r="BH4904" s="404"/>
      <c r="BI4904" s="404"/>
      <c r="BJ4904" s="404"/>
      <c r="BK4904" s="404"/>
      <c r="BL4904" s="404"/>
    </row>
    <row r="4905" spans="1:64">
      <c r="A4905" s="426"/>
      <c r="B4905" s="426"/>
      <c r="C4905" s="417" t="s">
        <v>1344</v>
      </c>
      <c r="D4905" s="408">
        <v>0.49</v>
      </c>
      <c r="E4905" s="454" t="s">
        <v>375</v>
      </c>
      <c r="F4905" s="432">
        <f>'[161]Civil-SOR'!$G$303</f>
        <v>550</v>
      </c>
      <c r="G4905" s="430">
        <v>1</v>
      </c>
      <c r="H4905" s="456" t="str">
        <f t="shared" si="1038"/>
        <v>Each</v>
      </c>
      <c r="I4905" s="408">
        <f t="shared" si="1039"/>
        <v>269.5</v>
      </c>
      <c r="J4905" s="400"/>
      <c r="K4905" s="401"/>
      <c r="L4905" s="401"/>
      <c r="M4905" s="404"/>
      <c r="N4905" s="404"/>
      <c r="O4905" s="404"/>
      <c r="P4905" s="404"/>
      <c r="Q4905" s="404"/>
      <c r="R4905" s="404"/>
      <c r="S4905" s="404"/>
      <c r="T4905" s="404"/>
      <c r="U4905" s="404"/>
      <c r="V4905" s="404"/>
      <c r="W4905" s="404"/>
      <c r="X4905" s="404"/>
      <c r="Y4905" s="404"/>
      <c r="Z4905" s="404"/>
      <c r="AA4905" s="404"/>
      <c r="AB4905" s="404"/>
      <c r="AC4905" s="404"/>
      <c r="AD4905" s="404"/>
      <c r="AE4905" s="404"/>
      <c r="AF4905" s="404"/>
      <c r="AG4905" s="404"/>
      <c r="AH4905" s="404"/>
      <c r="AI4905" s="404"/>
      <c r="AJ4905" s="404"/>
      <c r="AK4905" s="404"/>
      <c r="AL4905" s="404"/>
      <c r="AM4905" s="404"/>
      <c r="AN4905" s="404"/>
      <c r="AO4905" s="404"/>
      <c r="AP4905" s="404"/>
      <c r="AQ4905" s="404"/>
      <c r="AR4905" s="404"/>
      <c r="AS4905" s="404"/>
      <c r="AT4905" s="404"/>
      <c r="AU4905" s="404"/>
      <c r="AV4905" s="404"/>
      <c r="AW4905" s="404"/>
      <c r="AX4905" s="404"/>
      <c r="AY4905" s="404"/>
      <c r="AZ4905" s="404"/>
      <c r="BA4905" s="404"/>
      <c r="BB4905" s="404"/>
      <c r="BC4905" s="404"/>
      <c r="BD4905" s="404"/>
      <c r="BE4905" s="404"/>
      <c r="BF4905" s="404"/>
      <c r="BG4905" s="404"/>
      <c r="BH4905" s="404"/>
      <c r="BI4905" s="404"/>
      <c r="BJ4905" s="404"/>
      <c r="BK4905" s="404"/>
      <c r="BL4905" s="404"/>
    </row>
    <row r="4906" spans="1:64">
      <c r="A4906" s="426"/>
      <c r="B4906" s="426"/>
      <c r="C4906" s="417" t="str">
        <f>[161]Input!$C$47</f>
        <v>Add for MA @ 40%</v>
      </c>
      <c r="D4906" s="432">
        <f>[161]Input!$D$47</f>
        <v>0.4</v>
      </c>
      <c r="E4906" s="406"/>
      <c r="F4906" s="432">
        <f>SUM(I4904:I4905)</f>
        <v>409.15</v>
      </c>
      <c r="G4906" s="406"/>
      <c r="H4906" s="406"/>
      <c r="I4906" s="408">
        <f t="shared" si="1039"/>
        <v>163.66</v>
      </c>
      <c r="J4906" s="400"/>
      <c r="K4906" s="401"/>
      <c r="L4906" s="401"/>
      <c r="M4906" s="404"/>
      <c r="N4906" s="404"/>
      <c r="O4906" s="404"/>
      <c r="P4906" s="404"/>
      <c r="Q4906" s="404"/>
      <c r="R4906" s="404"/>
      <c r="S4906" s="404"/>
      <c r="T4906" s="404"/>
      <c r="U4906" s="404"/>
      <c r="V4906" s="404"/>
      <c r="W4906" s="404"/>
      <c r="X4906" s="404"/>
      <c r="Y4906" s="404"/>
      <c r="Z4906" s="404"/>
      <c r="AA4906" s="404"/>
      <c r="AB4906" s="404"/>
      <c r="AC4906" s="404"/>
      <c r="AD4906" s="404"/>
      <c r="AE4906" s="404"/>
      <c r="AF4906" s="404"/>
      <c r="AG4906" s="404"/>
      <c r="AH4906" s="404"/>
      <c r="AI4906" s="404"/>
      <c r="AJ4906" s="404"/>
      <c r="AK4906" s="404"/>
      <c r="AL4906" s="404"/>
      <c r="AM4906" s="404"/>
      <c r="AN4906" s="404"/>
      <c r="AO4906" s="404"/>
      <c r="AP4906" s="404"/>
      <c r="AQ4906" s="404"/>
      <c r="AR4906" s="404"/>
      <c r="AS4906" s="404"/>
      <c r="AT4906" s="404"/>
      <c r="AU4906" s="404"/>
      <c r="AV4906" s="404"/>
      <c r="AW4906" s="404"/>
      <c r="AX4906" s="404"/>
      <c r="AY4906" s="404"/>
      <c r="AZ4906" s="404"/>
      <c r="BA4906" s="404"/>
      <c r="BB4906" s="404"/>
      <c r="BC4906" s="404"/>
      <c r="BD4906" s="404"/>
      <c r="BE4906" s="404"/>
      <c r="BF4906" s="404"/>
      <c r="BG4906" s="404"/>
      <c r="BH4906" s="404"/>
      <c r="BI4906" s="404"/>
      <c r="BJ4906" s="404"/>
      <c r="BK4906" s="404"/>
      <c r="BL4906" s="404"/>
    </row>
    <row r="4907" spans="1:64" ht="25">
      <c r="A4907" s="426"/>
      <c r="B4907" s="426"/>
      <c r="C4907" s="417" t="s">
        <v>1389</v>
      </c>
      <c r="D4907" s="406">
        <v>0.01</v>
      </c>
      <c r="E4907" s="406"/>
      <c r="F4907" s="432">
        <f>SUM(I4903:I4906)</f>
        <v>745.81</v>
      </c>
      <c r="G4907" s="406"/>
      <c r="H4907" s="406"/>
      <c r="I4907" s="408">
        <f t="shared" si="1039"/>
        <v>7.4581</v>
      </c>
      <c r="J4907" s="400"/>
      <c r="K4907" s="401"/>
      <c r="L4907" s="401"/>
      <c r="M4907" s="404"/>
      <c r="N4907" s="404"/>
      <c r="O4907" s="404"/>
      <c r="P4907" s="404"/>
      <c r="Q4907" s="404"/>
      <c r="R4907" s="404"/>
      <c r="S4907" s="404"/>
      <c r="T4907" s="404"/>
      <c r="U4907" s="404"/>
      <c r="V4907" s="404"/>
      <c r="W4907" s="404"/>
      <c r="X4907" s="404"/>
      <c r="Y4907" s="404"/>
      <c r="Z4907" s="404"/>
      <c r="AA4907" s="404"/>
      <c r="AB4907" s="404"/>
      <c r="AC4907" s="404"/>
      <c r="AD4907" s="404"/>
      <c r="AE4907" s="404"/>
      <c r="AF4907" s="404"/>
      <c r="AG4907" s="404"/>
      <c r="AH4907" s="404"/>
      <c r="AI4907" s="404"/>
      <c r="AJ4907" s="404"/>
      <c r="AK4907" s="404"/>
      <c r="AL4907" s="404"/>
      <c r="AM4907" s="404"/>
      <c r="AN4907" s="404"/>
      <c r="AO4907" s="404"/>
      <c r="AP4907" s="404"/>
      <c r="AQ4907" s="404"/>
      <c r="AR4907" s="404"/>
      <c r="AS4907" s="404"/>
      <c r="AT4907" s="404"/>
      <c r="AU4907" s="404"/>
      <c r="AV4907" s="404"/>
      <c r="AW4907" s="404"/>
      <c r="AX4907" s="404"/>
      <c r="AY4907" s="404"/>
      <c r="AZ4907" s="404"/>
      <c r="BA4907" s="404"/>
      <c r="BB4907" s="404"/>
      <c r="BC4907" s="404"/>
      <c r="BD4907" s="404"/>
      <c r="BE4907" s="404"/>
      <c r="BF4907" s="404"/>
      <c r="BG4907" s="404"/>
      <c r="BH4907" s="404"/>
      <c r="BI4907" s="404"/>
      <c r="BJ4907" s="404"/>
      <c r="BK4907" s="404"/>
      <c r="BL4907" s="404"/>
    </row>
    <row r="4908" spans="1:64" ht="13">
      <c r="A4908" s="426"/>
      <c r="B4908" s="426"/>
      <c r="C4908" s="417"/>
      <c r="D4908" s="406"/>
      <c r="E4908" s="406"/>
      <c r="F4908" s="409"/>
      <c r="G4908" s="406"/>
      <c r="H4908" s="406"/>
      <c r="I4908" s="414">
        <f>SUM(I4903:I4907)</f>
        <v>753.26809999999989</v>
      </c>
      <c r="J4908" s="400"/>
      <c r="K4908" s="401"/>
      <c r="L4908" s="401"/>
      <c r="M4908" s="404"/>
      <c r="N4908" s="404"/>
      <c r="O4908" s="404"/>
      <c r="P4908" s="404"/>
      <c r="Q4908" s="404"/>
      <c r="R4908" s="404"/>
      <c r="S4908" s="404"/>
      <c r="T4908" s="404"/>
      <c r="U4908" s="404"/>
      <c r="V4908" s="404"/>
      <c r="W4908" s="404"/>
      <c r="X4908" s="404"/>
      <c r="Y4908" s="404"/>
      <c r="Z4908" s="404"/>
      <c r="AA4908" s="404"/>
      <c r="AB4908" s="404"/>
      <c r="AC4908" s="404"/>
      <c r="AD4908" s="404"/>
      <c r="AE4908" s="404"/>
      <c r="AF4908" s="404"/>
      <c r="AG4908" s="404"/>
      <c r="AH4908" s="404"/>
      <c r="AI4908" s="404"/>
      <c r="AJ4908" s="404"/>
      <c r="AK4908" s="404"/>
      <c r="AL4908" s="404"/>
      <c r="AM4908" s="404"/>
      <c r="AN4908" s="404"/>
      <c r="AO4908" s="404"/>
      <c r="AP4908" s="404"/>
      <c r="AQ4908" s="404"/>
      <c r="AR4908" s="404"/>
      <c r="AS4908" s="404"/>
      <c r="AT4908" s="404"/>
      <c r="AU4908" s="404"/>
      <c r="AV4908" s="404"/>
      <c r="AW4908" s="404"/>
      <c r="AX4908" s="404"/>
      <c r="AY4908" s="404"/>
      <c r="AZ4908" s="404"/>
      <c r="BA4908" s="404"/>
      <c r="BB4908" s="404"/>
      <c r="BC4908" s="404"/>
      <c r="BD4908" s="404"/>
      <c r="BE4908" s="404"/>
      <c r="BF4908" s="404"/>
      <c r="BG4908" s="404"/>
      <c r="BH4908" s="404"/>
      <c r="BI4908" s="404"/>
      <c r="BJ4908" s="404"/>
      <c r="BK4908" s="404"/>
      <c r="BL4908" s="404"/>
    </row>
    <row r="4909" spans="1:64" ht="13">
      <c r="A4909" s="426"/>
      <c r="B4909" s="426" t="s">
        <v>730</v>
      </c>
      <c r="C4909" s="427" t="s">
        <v>1749</v>
      </c>
      <c r="D4909" s="406"/>
      <c r="E4909" s="406"/>
      <c r="F4909" s="409"/>
      <c r="G4909" s="406"/>
      <c r="H4909" s="406"/>
      <c r="I4909" s="414"/>
      <c r="J4909" s="400"/>
      <c r="K4909" s="401"/>
      <c r="L4909" s="401"/>
      <c r="M4909" s="404"/>
      <c r="N4909" s="404"/>
      <c r="O4909" s="404"/>
      <c r="P4909" s="404"/>
      <c r="Q4909" s="404"/>
      <c r="R4909" s="404"/>
      <c r="S4909" s="404"/>
      <c r="T4909" s="404"/>
      <c r="U4909" s="404"/>
      <c r="V4909" s="404"/>
      <c r="W4909" s="404"/>
      <c r="X4909" s="404"/>
      <c r="Y4909" s="404"/>
      <c r="Z4909" s="404"/>
      <c r="AA4909" s="404"/>
      <c r="AB4909" s="404"/>
      <c r="AC4909" s="404"/>
      <c r="AD4909" s="404"/>
      <c r="AE4909" s="404"/>
      <c r="AF4909" s="404"/>
      <c r="AG4909" s="404"/>
      <c r="AH4909" s="404"/>
      <c r="AI4909" s="404"/>
      <c r="AJ4909" s="404"/>
      <c r="AK4909" s="404"/>
      <c r="AL4909" s="404"/>
      <c r="AM4909" s="404"/>
      <c r="AN4909" s="404"/>
      <c r="AO4909" s="404"/>
      <c r="AP4909" s="404"/>
      <c r="AQ4909" s="404"/>
      <c r="AR4909" s="404"/>
      <c r="AS4909" s="404"/>
      <c r="AT4909" s="404"/>
      <c r="AU4909" s="404"/>
      <c r="AV4909" s="404"/>
      <c r="AW4909" s="404"/>
      <c r="AX4909" s="404"/>
      <c r="AY4909" s="404"/>
      <c r="AZ4909" s="404"/>
      <c r="BA4909" s="404"/>
      <c r="BB4909" s="404"/>
      <c r="BC4909" s="404"/>
      <c r="BD4909" s="404"/>
      <c r="BE4909" s="404"/>
      <c r="BF4909" s="404"/>
      <c r="BG4909" s="404"/>
      <c r="BH4909" s="404"/>
      <c r="BI4909" s="404"/>
      <c r="BJ4909" s="404"/>
      <c r="BK4909" s="404"/>
      <c r="BL4909" s="404"/>
    </row>
    <row r="4910" spans="1:64">
      <c r="A4910" s="426"/>
      <c r="B4910" s="426"/>
      <c r="C4910" s="417" t="s">
        <v>1750</v>
      </c>
      <c r="D4910" s="408">
        <v>1.35</v>
      </c>
      <c r="E4910" s="454" t="s">
        <v>1361</v>
      </c>
      <c r="F4910" s="782">
        <v>661</v>
      </c>
      <c r="G4910" s="430">
        <v>1</v>
      </c>
      <c r="H4910" s="456" t="str">
        <f t="shared" ref="H4910:H4912" si="1040">IF(E4910="","",IF(E4910="No.","Each",IF(E4910="Nos.","Each",E4910)))</f>
        <v>Ltr</v>
      </c>
      <c r="I4910" s="408">
        <f t="shared" ref="I4910:I4914" si="1041">IF(G4910="",D4910*F4910,(D4910*F4910/G4910))</f>
        <v>892.35</v>
      </c>
      <c r="J4910" s="400"/>
      <c r="K4910" s="401"/>
      <c r="L4910" s="401"/>
      <c r="M4910" s="404"/>
      <c r="N4910" s="404"/>
      <c r="O4910" s="404"/>
      <c r="P4910" s="404"/>
      <c r="Q4910" s="404"/>
      <c r="R4910" s="404"/>
      <c r="S4910" s="404"/>
      <c r="T4910" s="404"/>
      <c r="U4910" s="404"/>
      <c r="V4910" s="404"/>
      <c r="W4910" s="404"/>
      <c r="X4910" s="404"/>
      <c r="Y4910" s="404"/>
      <c r="Z4910" s="404"/>
      <c r="AA4910" s="404"/>
      <c r="AB4910" s="404"/>
      <c r="AC4910" s="404"/>
      <c r="AD4910" s="404"/>
      <c r="AE4910" s="404"/>
      <c r="AF4910" s="404"/>
      <c r="AG4910" s="404"/>
      <c r="AH4910" s="404"/>
      <c r="AI4910" s="404"/>
      <c r="AJ4910" s="404"/>
      <c r="AK4910" s="404"/>
      <c r="AL4910" s="404"/>
      <c r="AM4910" s="404"/>
      <c r="AN4910" s="404"/>
      <c r="AO4910" s="404"/>
      <c r="AP4910" s="404"/>
      <c r="AQ4910" s="404"/>
      <c r="AR4910" s="404"/>
      <c r="AS4910" s="404"/>
      <c r="AT4910" s="404"/>
      <c r="AU4910" s="404"/>
      <c r="AV4910" s="404"/>
      <c r="AW4910" s="404"/>
      <c r="AX4910" s="404"/>
      <c r="AY4910" s="404"/>
      <c r="AZ4910" s="404"/>
      <c r="BA4910" s="404"/>
      <c r="BB4910" s="404"/>
      <c r="BC4910" s="404"/>
      <c r="BD4910" s="404"/>
      <c r="BE4910" s="404"/>
      <c r="BF4910" s="404"/>
      <c r="BG4910" s="404"/>
      <c r="BH4910" s="404"/>
      <c r="BI4910" s="404"/>
      <c r="BJ4910" s="404"/>
      <c r="BK4910" s="404"/>
      <c r="BL4910" s="404"/>
    </row>
    <row r="4911" spans="1:64">
      <c r="A4911" s="426"/>
      <c r="B4911" s="426"/>
      <c r="C4911" s="417" t="s">
        <v>1385</v>
      </c>
      <c r="D4911" s="408">
        <v>0.36</v>
      </c>
      <c r="E4911" s="454" t="s">
        <v>375</v>
      </c>
      <c r="F4911" s="432">
        <f>'[161]Civil-SOR'!$G$296</f>
        <v>665</v>
      </c>
      <c r="G4911" s="430">
        <v>1</v>
      </c>
      <c r="H4911" s="456" t="str">
        <f t="shared" si="1040"/>
        <v>Each</v>
      </c>
      <c r="I4911" s="408">
        <f t="shared" si="1041"/>
        <v>239.39999999999998</v>
      </c>
      <c r="J4911" s="400"/>
      <c r="K4911" s="401"/>
      <c r="L4911" s="401"/>
      <c r="M4911" s="404"/>
      <c r="N4911" s="404"/>
      <c r="O4911" s="404"/>
      <c r="P4911" s="404"/>
      <c r="Q4911" s="404"/>
      <c r="R4911" s="404"/>
      <c r="S4911" s="404"/>
      <c r="T4911" s="404"/>
      <c r="U4911" s="404"/>
      <c r="V4911" s="404"/>
      <c r="W4911" s="404"/>
      <c r="X4911" s="404"/>
      <c r="Y4911" s="404"/>
      <c r="Z4911" s="404"/>
      <c r="AA4911" s="404"/>
      <c r="AB4911" s="404"/>
      <c r="AC4911" s="404"/>
      <c r="AD4911" s="404"/>
      <c r="AE4911" s="404"/>
      <c r="AF4911" s="404"/>
      <c r="AG4911" s="404"/>
      <c r="AH4911" s="404"/>
      <c r="AI4911" s="404"/>
      <c r="AJ4911" s="404"/>
      <c r="AK4911" s="404"/>
      <c r="AL4911" s="404"/>
      <c r="AM4911" s="404"/>
      <c r="AN4911" s="404"/>
      <c r="AO4911" s="404"/>
      <c r="AP4911" s="404"/>
      <c r="AQ4911" s="404"/>
      <c r="AR4911" s="404"/>
      <c r="AS4911" s="404"/>
      <c r="AT4911" s="404"/>
      <c r="AU4911" s="404"/>
      <c r="AV4911" s="404"/>
      <c r="AW4911" s="404"/>
      <c r="AX4911" s="404"/>
      <c r="AY4911" s="404"/>
      <c r="AZ4911" s="404"/>
      <c r="BA4911" s="404"/>
      <c r="BB4911" s="404"/>
      <c r="BC4911" s="404"/>
      <c r="BD4911" s="404"/>
      <c r="BE4911" s="404"/>
      <c r="BF4911" s="404"/>
      <c r="BG4911" s="404"/>
      <c r="BH4911" s="404"/>
      <c r="BI4911" s="404"/>
      <c r="BJ4911" s="404"/>
      <c r="BK4911" s="404"/>
      <c r="BL4911" s="404"/>
    </row>
    <row r="4912" spans="1:64">
      <c r="A4912" s="426"/>
      <c r="B4912" s="426"/>
      <c r="C4912" s="417" t="s">
        <v>1386</v>
      </c>
      <c r="D4912" s="408">
        <v>0.84</v>
      </c>
      <c r="E4912" s="454" t="s">
        <v>375</v>
      </c>
      <c r="F4912" s="432">
        <f>'[161]Civil-SOR'!$G$303</f>
        <v>550</v>
      </c>
      <c r="G4912" s="430">
        <v>1</v>
      </c>
      <c r="H4912" s="456" t="str">
        <f t="shared" si="1040"/>
        <v>Each</v>
      </c>
      <c r="I4912" s="408">
        <f t="shared" si="1041"/>
        <v>462</v>
      </c>
      <c r="J4912" s="400"/>
      <c r="K4912" s="401"/>
      <c r="L4912" s="401"/>
      <c r="M4912" s="404"/>
      <c r="N4912" s="404"/>
      <c r="O4912" s="404"/>
      <c r="P4912" s="404"/>
      <c r="Q4912" s="404"/>
      <c r="R4912" s="404"/>
      <c r="S4912" s="404"/>
      <c r="T4912" s="404"/>
      <c r="U4912" s="404"/>
      <c r="V4912" s="404"/>
      <c r="W4912" s="404"/>
      <c r="X4912" s="404"/>
      <c r="Y4912" s="404"/>
      <c r="Z4912" s="404"/>
      <c r="AA4912" s="404"/>
      <c r="AB4912" s="404"/>
      <c r="AC4912" s="404"/>
      <c r="AD4912" s="404"/>
      <c r="AE4912" s="404"/>
      <c r="AF4912" s="404"/>
      <c r="AG4912" s="404"/>
      <c r="AH4912" s="404"/>
      <c r="AI4912" s="404"/>
      <c r="AJ4912" s="404"/>
      <c r="AK4912" s="404"/>
      <c r="AL4912" s="404"/>
      <c r="AM4912" s="404"/>
      <c r="AN4912" s="404"/>
      <c r="AO4912" s="404"/>
      <c r="AP4912" s="404"/>
      <c r="AQ4912" s="404"/>
      <c r="AR4912" s="404"/>
      <c r="AS4912" s="404"/>
      <c r="AT4912" s="404"/>
      <c r="AU4912" s="404"/>
      <c r="AV4912" s="404"/>
      <c r="AW4912" s="404"/>
      <c r="AX4912" s="404"/>
      <c r="AY4912" s="404"/>
      <c r="AZ4912" s="404"/>
      <c r="BA4912" s="404"/>
      <c r="BB4912" s="404"/>
      <c r="BC4912" s="404"/>
      <c r="BD4912" s="404"/>
      <c r="BE4912" s="404"/>
      <c r="BF4912" s="404"/>
      <c r="BG4912" s="404"/>
      <c r="BH4912" s="404"/>
      <c r="BI4912" s="404"/>
      <c r="BJ4912" s="404"/>
      <c r="BK4912" s="404"/>
      <c r="BL4912" s="404"/>
    </row>
    <row r="4913" spans="1:64">
      <c r="A4913" s="426"/>
      <c r="B4913" s="426"/>
      <c r="C4913" s="417" t="str">
        <f>[161]Input!$C$47</f>
        <v>Add for MA @ 40%</v>
      </c>
      <c r="D4913" s="432">
        <f>[161]Input!$D$47</f>
        <v>0.4</v>
      </c>
      <c r="E4913" s="454"/>
      <c r="F4913" s="432">
        <f>SUM(I4911:I4912)</f>
        <v>701.4</v>
      </c>
      <c r="G4913" s="410"/>
      <c r="H4913" s="426"/>
      <c r="I4913" s="408">
        <f t="shared" si="1041"/>
        <v>280.56</v>
      </c>
      <c r="J4913" s="400"/>
      <c r="K4913" s="401"/>
      <c r="L4913" s="401"/>
      <c r="M4913" s="404"/>
      <c r="N4913" s="404"/>
      <c r="O4913" s="404"/>
      <c r="P4913" s="404"/>
      <c r="Q4913" s="404"/>
      <c r="R4913" s="404"/>
      <c r="S4913" s="404"/>
      <c r="T4913" s="404"/>
      <c r="U4913" s="404"/>
      <c r="V4913" s="404"/>
      <c r="W4913" s="404"/>
      <c r="X4913" s="404"/>
      <c r="Y4913" s="404"/>
      <c r="Z4913" s="404"/>
      <c r="AA4913" s="404"/>
      <c r="AB4913" s="404"/>
      <c r="AC4913" s="404"/>
      <c r="AD4913" s="404"/>
      <c r="AE4913" s="404"/>
      <c r="AF4913" s="404"/>
      <c r="AG4913" s="404"/>
      <c r="AH4913" s="404"/>
      <c r="AI4913" s="404"/>
      <c r="AJ4913" s="404"/>
      <c r="AK4913" s="404"/>
      <c r="AL4913" s="404"/>
      <c r="AM4913" s="404"/>
      <c r="AN4913" s="404"/>
      <c r="AO4913" s="404"/>
      <c r="AP4913" s="404"/>
      <c r="AQ4913" s="404"/>
      <c r="AR4913" s="404"/>
      <c r="AS4913" s="404"/>
      <c r="AT4913" s="404"/>
      <c r="AU4913" s="404"/>
      <c r="AV4913" s="404"/>
      <c r="AW4913" s="404"/>
      <c r="AX4913" s="404"/>
      <c r="AY4913" s="404"/>
      <c r="AZ4913" s="404"/>
      <c r="BA4913" s="404"/>
      <c r="BB4913" s="404"/>
      <c r="BC4913" s="404"/>
      <c r="BD4913" s="404"/>
      <c r="BE4913" s="404"/>
      <c r="BF4913" s="404"/>
      <c r="BG4913" s="404"/>
      <c r="BH4913" s="404"/>
      <c r="BI4913" s="404"/>
      <c r="BJ4913" s="404"/>
      <c r="BK4913" s="404"/>
      <c r="BL4913" s="404"/>
    </row>
    <row r="4914" spans="1:64" ht="25">
      <c r="A4914" s="426"/>
      <c r="B4914" s="426"/>
      <c r="C4914" s="417" t="s">
        <v>1389</v>
      </c>
      <c r="D4914" s="406">
        <v>0.01</v>
      </c>
      <c r="E4914" s="406"/>
      <c r="F4914" s="432">
        <f>SUM(I4910:I4913)</f>
        <v>1874.31</v>
      </c>
      <c r="G4914" s="406"/>
      <c r="H4914" s="406"/>
      <c r="I4914" s="408">
        <f t="shared" si="1041"/>
        <v>18.743099999999998</v>
      </c>
      <c r="J4914" s="400"/>
      <c r="K4914" s="401"/>
      <c r="L4914" s="401"/>
      <c r="M4914" s="404"/>
      <c r="N4914" s="404"/>
      <c r="O4914" s="404"/>
      <c r="P4914" s="404"/>
      <c r="Q4914" s="404"/>
      <c r="R4914" s="404"/>
      <c r="S4914" s="404"/>
      <c r="T4914" s="404"/>
      <c r="U4914" s="404"/>
      <c r="V4914" s="404"/>
      <c r="W4914" s="404"/>
      <c r="X4914" s="404"/>
      <c r="Y4914" s="404"/>
      <c r="Z4914" s="404"/>
      <c r="AA4914" s="404"/>
      <c r="AB4914" s="404"/>
      <c r="AC4914" s="404"/>
      <c r="AD4914" s="404"/>
      <c r="AE4914" s="404"/>
      <c r="AF4914" s="404"/>
      <c r="AG4914" s="404"/>
      <c r="AH4914" s="404"/>
      <c r="AI4914" s="404"/>
      <c r="AJ4914" s="404"/>
      <c r="AK4914" s="404"/>
      <c r="AL4914" s="404"/>
      <c r="AM4914" s="404"/>
      <c r="AN4914" s="404"/>
      <c r="AO4914" s="404"/>
      <c r="AP4914" s="404"/>
      <c r="AQ4914" s="404"/>
      <c r="AR4914" s="404"/>
      <c r="AS4914" s="404"/>
      <c r="AT4914" s="404"/>
      <c r="AU4914" s="404"/>
      <c r="AV4914" s="404"/>
      <c r="AW4914" s="404"/>
      <c r="AX4914" s="404"/>
      <c r="AY4914" s="404"/>
      <c r="AZ4914" s="404"/>
      <c r="BA4914" s="404"/>
      <c r="BB4914" s="404"/>
      <c r="BC4914" s="404"/>
      <c r="BD4914" s="404"/>
      <c r="BE4914" s="404"/>
      <c r="BF4914" s="404"/>
      <c r="BG4914" s="404"/>
      <c r="BH4914" s="404"/>
      <c r="BI4914" s="404"/>
      <c r="BJ4914" s="404"/>
      <c r="BK4914" s="404"/>
      <c r="BL4914" s="404"/>
    </row>
    <row r="4915" spans="1:64" ht="13">
      <c r="A4915" s="426"/>
      <c r="B4915" s="426"/>
      <c r="C4915" s="417"/>
      <c r="D4915" s="406"/>
      <c r="E4915" s="406"/>
      <c r="F4915" s="409"/>
      <c r="G4915" s="406"/>
      <c r="H4915" s="406"/>
      <c r="I4915" s="414">
        <f>SUM(I4910:I4914)</f>
        <v>1893.0530999999999</v>
      </c>
      <c r="J4915" s="400"/>
      <c r="K4915" s="401"/>
      <c r="L4915" s="401"/>
      <c r="M4915" s="404"/>
      <c r="N4915" s="404"/>
      <c r="O4915" s="404"/>
      <c r="P4915" s="404"/>
      <c r="Q4915" s="404"/>
      <c r="R4915" s="404"/>
      <c r="S4915" s="404"/>
      <c r="T4915" s="404"/>
      <c r="U4915" s="404"/>
      <c r="V4915" s="404"/>
      <c r="W4915" s="404"/>
      <c r="X4915" s="404"/>
      <c r="Y4915" s="404"/>
      <c r="Z4915" s="404"/>
      <c r="AA4915" s="404"/>
      <c r="AB4915" s="404"/>
      <c r="AC4915" s="404"/>
      <c r="AD4915" s="404"/>
      <c r="AE4915" s="404"/>
      <c r="AF4915" s="404"/>
      <c r="AG4915" s="404"/>
      <c r="AH4915" s="404"/>
      <c r="AI4915" s="404"/>
      <c r="AJ4915" s="404"/>
      <c r="AK4915" s="404"/>
      <c r="AL4915" s="404"/>
      <c r="AM4915" s="404"/>
      <c r="AN4915" s="404"/>
      <c r="AO4915" s="404"/>
      <c r="AP4915" s="404"/>
      <c r="AQ4915" s="404"/>
      <c r="AR4915" s="404"/>
      <c r="AS4915" s="404"/>
      <c r="AT4915" s="404"/>
      <c r="AU4915" s="404"/>
      <c r="AV4915" s="404"/>
      <c r="AW4915" s="404"/>
      <c r="AX4915" s="404"/>
      <c r="AY4915" s="404"/>
      <c r="AZ4915" s="404"/>
      <c r="BA4915" s="404"/>
      <c r="BB4915" s="404"/>
      <c r="BC4915" s="404"/>
      <c r="BD4915" s="404"/>
      <c r="BE4915" s="404"/>
      <c r="BF4915" s="404"/>
      <c r="BG4915" s="404"/>
      <c r="BH4915" s="404"/>
      <c r="BI4915" s="404"/>
      <c r="BJ4915" s="404"/>
      <c r="BK4915" s="404"/>
      <c r="BL4915" s="404"/>
    </row>
    <row r="4916" spans="1:64" ht="13">
      <c r="A4916" s="426"/>
      <c r="B4916" s="426"/>
      <c r="C4916" s="417" t="s">
        <v>1751</v>
      </c>
      <c r="D4916" s="406"/>
      <c r="E4916" s="406"/>
      <c r="F4916" s="409"/>
      <c r="G4916" s="406"/>
      <c r="H4916" s="406"/>
      <c r="I4916" s="414">
        <f>I4901+I4908+I4915</f>
        <v>5019.9555299999993</v>
      </c>
      <c r="J4916" s="400"/>
      <c r="K4916" s="401"/>
      <c r="L4916" s="401"/>
      <c r="M4916" s="404"/>
      <c r="N4916" s="404"/>
      <c r="O4916" s="404"/>
      <c r="P4916" s="404"/>
      <c r="Q4916" s="404"/>
      <c r="R4916" s="404"/>
      <c r="S4916" s="404"/>
      <c r="T4916" s="404"/>
      <c r="U4916" s="404"/>
      <c r="V4916" s="404"/>
      <c r="W4916" s="404"/>
      <c r="X4916" s="404"/>
      <c r="Y4916" s="404"/>
      <c r="Z4916" s="404"/>
      <c r="AA4916" s="404"/>
      <c r="AB4916" s="404"/>
      <c r="AC4916" s="404"/>
      <c r="AD4916" s="404"/>
      <c r="AE4916" s="404"/>
      <c r="AF4916" s="404"/>
      <c r="AG4916" s="404"/>
      <c r="AH4916" s="404"/>
      <c r="AI4916" s="404"/>
      <c r="AJ4916" s="404"/>
      <c r="AK4916" s="404"/>
      <c r="AL4916" s="404"/>
      <c r="AM4916" s="404"/>
      <c r="AN4916" s="404"/>
      <c r="AO4916" s="404"/>
      <c r="AP4916" s="404"/>
      <c r="AQ4916" s="404"/>
      <c r="AR4916" s="404"/>
      <c r="AS4916" s="404"/>
      <c r="AT4916" s="404"/>
      <c r="AU4916" s="404"/>
      <c r="AV4916" s="404"/>
      <c r="AW4916" s="404"/>
      <c r="AX4916" s="404"/>
      <c r="AY4916" s="404"/>
      <c r="AZ4916" s="404"/>
      <c r="BA4916" s="404"/>
      <c r="BB4916" s="404"/>
      <c r="BC4916" s="404"/>
      <c r="BD4916" s="404"/>
      <c r="BE4916" s="404"/>
      <c r="BF4916" s="404"/>
      <c r="BG4916" s="404"/>
      <c r="BH4916" s="404"/>
      <c r="BI4916" s="404"/>
      <c r="BJ4916" s="404"/>
      <c r="BK4916" s="404"/>
      <c r="BL4916" s="404"/>
    </row>
    <row r="4917" spans="1:64" ht="25">
      <c r="A4917" s="426"/>
      <c r="B4917" s="426"/>
      <c r="C4917" s="417" t="str">
        <f>[161]Input!$C$48</f>
        <v>Overheads &amp; Contractors Profit @ 13.615%</v>
      </c>
      <c r="D4917" s="444">
        <f>[161]Input!$D$48</f>
        <v>0.13614999999999999</v>
      </c>
      <c r="E4917" s="408"/>
      <c r="F4917" s="408">
        <f>I4916</f>
        <v>5019.9555299999993</v>
      </c>
      <c r="G4917" s="430"/>
      <c r="H4917" s="426"/>
      <c r="I4917" s="408">
        <f>IF(G4917="",D4917*F4917,(D4917*F4917/G4917))</f>
        <v>683.46694540949989</v>
      </c>
      <c r="J4917" s="400"/>
      <c r="K4917" s="401"/>
      <c r="L4917" s="401"/>
      <c r="M4917" s="404"/>
      <c r="N4917" s="404"/>
      <c r="O4917" s="404"/>
      <c r="P4917" s="404"/>
      <c r="Q4917" s="404"/>
      <c r="R4917" s="404"/>
      <c r="S4917" s="404"/>
      <c r="T4917" s="404"/>
      <c r="U4917" s="404"/>
      <c r="V4917" s="404"/>
      <c r="W4917" s="404"/>
      <c r="X4917" s="404"/>
      <c r="Y4917" s="404"/>
      <c r="Z4917" s="404"/>
      <c r="AA4917" s="404"/>
      <c r="AB4917" s="404"/>
      <c r="AC4917" s="404"/>
      <c r="AD4917" s="404"/>
      <c r="AE4917" s="404"/>
      <c r="AF4917" s="404"/>
      <c r="AG4917" s="404"/>
      <c r="AH4917" s="404"/>
      <c r="AI4917" s="404"/>
      <c r="AJ4917" s="404"/>
      <c r="AK4917" s="404"/>
      <c r="AL4917" s="404"/>
      <c r="AM4917" s="404"/>
      <c r="AN4917" s="404"/>
      <c r="AO4917" s="404"/>
      <c r="AP4917" s="404"/>
      <c r="AQ4917" s="404"/>
      <c r="AR4917" s="404"/>
      <c r="AS4917" s="404"/>
      <c r="AT4917" s="404"/>
      <c r="AU4917" s="404"/>
      <c r="AV4917" s="404"/>
      <c r="AW4917" s="404"/>
      <c r="AX4917" s="404"/>
      <c r="AY4917" s="404"/>
      <c r="AZ4917" s="404"/>
      <c r="BA4917" s="404"/>
      <c r="BB4917" s="404"/>
      <c r="BC4917" s="404"/>
      <c r="BD4917" s="404"/>
      <c r="BE4917" s="404"/>
      <c r="BF4917" s="404"/>
      <c r="BG4917" s="404"/>
      <c r="BH4917" s="404"/>
      <c r="BI4917" s="404"/>
      <c r="BJ4917" s="404"/>
      <c r="BK4917" s="404"/>
      <c r="BL4917" s="404"/>
    </row>
    <row r="4918" spans="1:64" ht="13">
      <c r="A4918" s="426"/>
      <c r="B4918" s="426"/>
      <c r="C4918" s="427" t="s">
        <v>741</v>
      </c>
      <c r="D4918" s="406"/>
      <c r="E4918" s="406"/>
      <c r="F4918" s="406"/>
      <c r="G4918" s="406"/>
      <c r="H4918" s="406"/>
      <c r="I4918" s="432">
        <f>SUM(I4916:I4917)</f>
        <v>5703.4224754094994</v>
      </c>
      <c r="J4918" s="400"/>
      <c r="K4918" s="401"/>
      <c r="L4918" s="401"/>
      <c r="M4918" s="404"/>
      <c r="N4918" s="404"/>
      <c r="O4918" s="404"/>
      <c r="P4918" s="404"/>
      <c r="Q4918" s="404"/>
      <c r="R4918" s="404"/>
      <c r="S4918" s="404"/>
      <c r="T4918" s="404"/>
      <c r="U4918" s="404"/>
      <c r="V4918" s="404"/>
      <c r="W4918" s="404"/>
      <c r="X4918" s="404"/>
      <c r="Y4918" s="404"/>
      <c r="Z4918" s="404"/>
      <c r="AA4918" s="404"/>
      <c r="AB4918" s="404"/>
      <c r="AC4918" s="404"/>
      <c r="AD4918" s="404"/>
      <c r="AE4918" s="404"/>
      <c r="AF4918" s="404"/>
      <c r="AG4918" s="404"/>
      <c r="AH4918" s="404"/>
      <c r="AI4918" s="404"/>
      <c r="AJ4918" s="404"/>
      <c r="AK4918" s="404"/>
      <c r="AL4918" s="404"/>
      <c r="AM4918" s="404"/>
      <c r="AN4918" s="404"/>
      <c r="AO4918" s="404"/>
      <c r="AP4918" s="404"/>
      <c r="AQ4918" s="404"/>
      <c r="AR4918" s="404"/>
      <c r="AS4918" s="404"/>
      <c r="AT4918" s="404"/>
      <c r="AU4918" s="404"/>
      <c r="AV4918" s="404"/>
      <c r="AW4918" s="404"/>
      <c r="AX4918" s="404"/>
      <c r="AY4918" s="404"/>
      <c r="AZ4918" s="404"/>
      <c r="BA4918" s="404"/>
      <c r="BB4918" s="404"/>
      <c r="BC4918" s="404"/>
      <c r="BD4918" s="404"/>
      <c r="BE4918" s="404"/>
      <c r="BF4918" s="404"/>
      <c r="BG4918" s="404"/>
      <c r="BH4918" s="404"/>
      <c r="BI4918" s="404"/>
      <c r="BJ4918" s="404"/>
      <c r="BK4918" s="404"/>
      <c r="BL4918" s="404"/>
    </row>
    <row r="4919" spans="1:64" ht="13">
      <c r="A4919" s="426"/>
      <c r="B4919" s="426"/>
      <c r="C4919" s="427" t="s">
        <v>742</v>
      </c>
      <c r="D4919" s="406"/>
      <c r="E4919" s="406"/>
      <c r="F4919" s="406"/>
      <c r="G4919" s="406"/>
      <c r="H4919" s="406"/>
      <c r="I4919" s="432">
        <f>I4918/10</f>
        <v>570.34224754094998</v>
      </c>
      <c r="J4919" s="400"/>
      <c r="K4919" s="401"/>
      <c r="L4919" s="401"/>
      <c r="M4919" s="404"/>
      <c r="N4919" s="404"/>
      <c r="O4919" s="404"/>
      <c r="P4919" s="404"/>
      <c r="Q4919" s="404"/>
      <c r="R4919" s="404"/>
      <c r="S4919" s="404"/>
      <c r="T4919" s="404"/>
      <c r="U4919" s="404"/>
      <c r="V4919" s="404"/>
      <c r="W4919" s="404"/>
      <c r="X4919" s="404"/>
      <c r="Y4919" s="404"/>
      <c r="Z4919" s="404"/>
      <c r="AA4919" s="404"/>
      <c r="AB4919" s="404"/>
      <c r="AC4919" s="404"/>
      <c r="AD4919" s="404"/>
      <c r="AE4919" s="404"/>
      <c r="AF4919" s="404"/>
      <c r="AG4919" s="404"/>
      <c r="AH4919" s="404"/>
      <c r="AI4919" s="404"/>
      <c r="AJ4919" s="404"/>
      <c r="AK4919" s="404"/>
      <c r="AL4919" s="404"/>
      <c r="AM4919" s="404"/>
      <c r="AN4919" s="404"/>
      <c r="AO4919" s="404"/>
      <c r="AP4919" s="404"/>
      <c r="AQ4919" s="404"/>
      <c r="AR4919" s="404"/>
      <c r="AS4919" s="404"/>
      <c r="AT4919" s="404"/>
      <c r="AU4919" s="404"/>
      <c r="AV4919" s="404"/>
      <c r="AW4919" s="404"/>
      <c r="AX4919" s="404"/>
      <c r="AY4919" s="404"/>
      <c r="AZ4919" s="404"/>
      <c r="BA4919" s="404"/>
      <c r="BB4919" s="404"/>
      <c r="BC4919" s="404"/>
      <c r="BD4919" s="404"/>
      <c r="BE4919" s="404"/>
      <c r="BF4919" s="404"/>
      <c r="BG4919" s="404"/>
      <c r="BH4919" s="404"/>
      <c r="BI4919" s="404"/>
      <c r="BJ4919" s="404"/>
      <c r="BK4919" s="404"/>
      <c r="BL4919" s="404"/>
    </row>
    <row r="4920" spans="1:64" ht="13">
      <c r="A4920" s="426"/>
      <c r="B4920" s="426"/>
      <c r="C4920" s="469"/>
      <c r="D4920" s="406"/>
      <c r="E4920" s="406"/>
      <c r="F4920" s="406"/>
      <c r="G4920" s="406"/>
      <c r="H4920" s="415" t="s">
        <v>774</v>
      </c>
      <c r="I4920" s="416">
        <f>ROUND(I4919,0)</f>
        <v>570</v>
      </c>
      <c r="J4920" s="400"/>
      <c r="K4920" s="401"/>
      <c r="L4920" s="401"/>
      <c r="M4920" s="404"/>
      <c r="N4920" s="404"/>
      <c r="O4920" s="404"/>
      <c r="P4920" s="404"/>
      <c r="Q4920" s="404"/>
      <c r="R4920" s="404"/>
      <c r="S4920" s="404"/>
      <c r="T4920" s="404"/>
      <c r="U4920" s="404"/>
      <c r="V4920" s="404"/>
      <c r="W4920" s="404"/>
      <c r="X4920" s="404"/>
      <c r="Y4920" s="404"/>
      <c r="Z4920" s="404"/>
      <c r="AA4920" s="404"/>
      <c r="AB4920" s="404"/>
      <c r="AC4920" s="404"/>
      <c r="AD4920" s="404"/>
      <c r="AE4920" s="404"/>
      <c r="AF4920" s="404"/>
      <c r="AG4920" s="404"/>
      <c r="AH4920" s="404"/>
      <c r="AI4920" s="404"/>
      <c r="AJ4920" s="404"/>
      <c r="AK4920" s="404"/>
      <c r="AL4920" s="404"/>
      <c r="AM4920" s="404"/>
      <c r="AN4920" s="404"/>
      <c r="AO4920" s="404"/>
      <c r="AP4920" s="404"/>
      <c r="AQ4920" s="404"/>
      <c r="AR4920" s="404"/>
      <c r="AS4920" s="404"/>
      <c r="AT4920" s="404"/>
      <c r="AU4920" s="404"/>
      <c r="AV4920" s="404"/>
      <c r="AW4920" s="404"/>
      <c r="AX4920" s="404"/>
      <c r="AY4920" s="404"/>
      <c r="AZ4920" s="404"/>
      <c r="BA4920" s="404"/>
      <c r="BB4920" s="404"/>
      <c r="BC4920" s="404"/>
      <c r="BD4920" s="404"/>
      <c r="BE4920" s="404"/>
      <c r="BF4920" s="404"/>
      <c r="BG4920" s="404"/>
      <c r="BH4920" s="404"/>
      <c r="BI4920" s="404"/>
      <c r="BJ4920" s="404"/>
      <c r="BK4920" s="404"/>
      <c r="BL4920" s="404"/>
    </row>
    <row r="4921" spans="1:64">
      <c r="A4921" s="426"/>
      <c r="B4921" s="426"/>
      <c r="C4921" s="417"/>
      <c r="D4921" s="409"/>
      <c r="E4921" s="426"/>
      <c r="F4921" s="409"/>
      <c r="G4921" s="410"/>
      <c r="H4921" s="426"/>
      <c r="I4921" s="409"/>
      <c r="J4921" s="400"/>
      <c r="K4921" s="401"/>
      <c r="L4921" s="401"/>
      <c r="M4921" s="404"/>
      <c r="N4921" s="404"/>
      <c r="O4921" s="404"/>
      <c r="P4921" s="404"/>
      <c r="Q4921" s="404"/>
      <c r="R4921" s="404"/>
      <c r="S4921" s="404"/>
      <c r="T4921" s="404"/>
      <c r="U4921" s="404"/>
      <c r="V4921" s="404"/>
      <c r="W4921" s="404"/>
      <c r="X4921" s="404"/>
      <c r="Y4921" s="404"/>
      <c r="Z4921" s="404"/>
      <c r="AA4921" s="404"/>
      <c r="AB4921" s="404"/>
      <c r="AC4921" s="404"/>
      <c r="AD4921" s="404"/>
      <c r="AE4921" s="404"/>
      <c r="AF4921" s="404"/>
      <c r="AG4921" s="404"/>
      <c r="AH4921" s="404"/>
      <c r="AI4921" s="404"/>
      <c r="AJ4921" s="404"/>
      <c r="AK4921" s="404"/>
      <c r="AL4921" s="404"/>
      <c r="AM4921" s="404"/>
      <c r="AN4921" s="404"/>
      <c r="AO4921" s="404"/>
      <c r="AP4921" s="404"/>
      <c r="AQ4921" s="404"/>
      <c r="AR4921" s="404"/>
      <c r="AS4921" s="404"/>
      <c r="AT4921" s="404"/>
      <c r="AU4921" s="404"/>
      <c r="AV4921" s="404"/>
      <c r="AW4921" s="404"/>
      <c r="AX4921" s="404"/>
      <c r="AY4921" s="404"/>
      <c r="AZ4921" s="404"/>
      <c r="BA4921" s="404"/>
      <c r="BB4921" s="404"/>
      <c r="BC4921" s="404"/>
      <c r="BD4921" s="404"/>
      <c r="BE4921" s="404"/>
      <c r="BF4921" s="404"/>
      <c r="BG4921" s="404"/>
      <c r="BH4921" s="404"/>
      <c r="BI4921" s="404"/>
      <c r="BJ4921" s="404"/>
      <c r="BK4921" s="404"/>
      <c r="BL4921" s="404"/>
    </row>
    <row r="4922" spans="1:64" ht="58.9" customHeight="1">
      <c r="A4922" s="1280">
        <f>1+A4891</f>
        <v>39</v>
      </c>
      <c r="B4922" s="1280"/>
      <c r="C4922" s="1276" t="s">
        <v>1726</v>
      </c>
      <c r="D4922" s="1276"/>
      <c r="E4922" s="1276"/>
      <c r="F4922" s="1276"/>
      <c r="G4922" s="1276"/>
      <c r="H4922" s="1276"/>
      <c r="I4922" s="407"/>
      <c r="J4922" s="400"/>
      <c r="K4922" s="401"/>
      <c r="L4922" s="401"/>
      <c r="M4922" s="404"/>
      <c r="N4922" s="404"/>
      <c r="O4922" s="404"/>
      <c r="P4922" s="404"/>
      <c r="Q4922" s="404"/>
      <c r="R4922" s="404"/>
      <c r="S4922" s="404"/>
      <c r="T4922" s="404"/>
      <c r="U4922" s="404"/>
      <c r="V4922" s="404"/>
      <c r="W4922" s="404"/>
      <c r="X4922" s="404"/>
      <c r="Y4922" s="404"/>
      <c r="Z4922" s="404"/>
      <c r="AA4922" s="404"/>
      <c r="AB4922" s="404"/>
      <c r="AC4922" s="404"/>
      <c r="AD4922" s="404"/>
      <c r="AE4922" s="404"/>
      <c r="AF4922" s="404"/>
      <c r="AG4922" s="404"/>
      <c r="AH4922" s="404"/>
      <c r="AI4922" s="404"/>
      <c r="AJ4922" s="404"/>
      <c r="AK4922" s="404"/>
      <c r="AL4922" s="404"/>
      <c r="AM4922" s="404"/>
      <c r="AN4922" s="404"/>
      <c r="AO4922" s="404"/>
      <c r="AP4922" s="404"/>
      <c r="AQ4922" s="404"/>
      <c r="AR4922" s="404"/>
      <c r="AS4922" s="404"/>
      <c r="AT4922" s="404"/>
      <c r="AU4922" s="404"/>
      <c r="AV4922" s="404"/>
      <c r="AW4922" s="404"/>
      <c r="AX4922" s="404"/>
      <c r="AY4922" s="404"/>
      <c r="AZ4922" s="404"/>
      <c r="BA4922" s="404"/>
      <c r="BB4922" s="404"/>
      <c r="BC4922" s="404"/>
      <c r="BD4922" s="404"/>
      <c r="BE4922" s="404"/>
      <c r="BF4922" s="404"/>
      <c r="BG4922" s="404"/>
      <c r="BH4922" s="404"/>
      <c r="BI4922" s="404"/>
      <c r="BJ4922" s="404"/>
      <c r="BK4922" s="404"/>
      <c r="BL4922" s="404"/>
    </row>
    <row r="4923" spans="1:64">
      <c r="A4923" s="406"/>
      <c r="B4923" s="406"/>
      <c r="C4923" s="417" t="s">
        <v>1635</v>
      </c>
      <c r="D4923" s="459">
        <v>1</v>
      </c>
      <c r="E4923" s="458" t="s">
        <v>122</v>
      </c>
      <c r="F4923" s="459">
        <f>[161]LEAD!N10</f>
        <v>61000</v>
      </c>
      <c r="G4923" s="458">
        <v>1</v>
      </c>
      <c r="H4923" s="599" t="str">
        <f t="shared" ref="H4923:H4925" si="1042">IF(E4923="","",IF(E4923="No.","Each",IF(E4923="Nos.","Each",E4923)))</f>
        <v>MT</v>
      </c>
      <c r="I4923" s="459">
        <f t="shared" ref="I4923:I4926" si="1043">IF(G4923="",D4923*F4923,(D4923*F4923/G4923))</f>
        <v>61000</v>
      </c>
      <c r="J4923" s="462"/>
      <c r="K4923" s="463"/>
      <c r="L4923" s="463"/>
      <c r="M4923" s="464"/>
      <c r="N4923" s="464"/>
      <c r="O4923" s="464"/>
      <c r="P4923" s="464"/>
      <c r="Q4923" s="464"/>
      <c r="R4923" s="464"/>
      <c r="S4923" s="464"/>
      <c r="T4923" s="464"/>
      <c r="U4923" s="464"/>
      <c r="V4923" s="464"/>
      <c r="W4923" s="464"/>
      <c r="X4923" s="464"/>
      <c r="Y4923" s="464"/>
      <c r="Z4923" s="464"/>
      <c r="AA4923" s="464"/>
      <c r="AB4923" s="464"/>
      <c r="AC4923" s="464"/>
      <c r="AD4923" s="464"/>
      <c r="AE4923" s="464"/>
      <c r="AF4923" s="464"/>
      <c r="AG4923" s="464"/>
      <c r="AH4923" s="464"/>
      <c r="AI4923" s="464"/>
      <c r="AJ4923" s="464"/>
      <c r="AK4923" s="464"/>
      <c r="AL4923" s="464"/>
      <c r="AM4923" s="464"/>
      <c r="AN4923" s="464"/>
      <c r="AO4923" s="464"/>
      <c r="AP4923" s="464"/>
      <c r="AQ4923" s="464"/>
      <c r="AR4923" s="464"/>
      <c r="AS4923" s="464"/>
      <c r="AT4923" s="464"/>
      <c r="AU4923" s="464"/>
      <c r="AV4923" s="464"/>
      <c r="AW4923" s="464"/>
      <c r="AX4923" s="464"/>
      <c r="AY4923" s="464"/>
      <c r="AZ4923" s="464"/>
      <c r="BA4923" s="464"/>
      <c r="BB4923" s="464"/>
      <c r="BC4923" s="464"/>
      <c r="BD4923" s="464"/>
      <c r="BE4923" s="464"/>
      <c r="BF4923" s="464"/>
      <c r="BG4923" s="464"/>
      <c r="BH4923" s="464"/>
      <c r="BI4923" s="464"/>
      <c r="BJ4923" s="464"/>
      <c r="BK4923" s="464"/>
      <c r="BL4923" s="464"/>
    </row>
    <row r="4924" spans="1:64" ht="25">
      <c r="A4924" s="406"/>
      <c r="B4924" s="406"/>
      <c r="C4924" s="435" t="s">
        <v>1636</v>
      </c>
      <c r="D4924" s="459">
        <f t="shared" ref="D4924:D4925" si="1044">D4923</f>
        <v>1</v>
      </c>
      <c r="E4924" s="458" t="s">
        <v>122</v>
      </c>
      <c r="F4924" s="459">
        <v>37000</v>
      </c>
      <c r="G4924" s="458">
        <v>1</v>
      </c>
      <c r="H4924" s="599" t="str">
        <f t="shared" si="1042"/>
        <v>MT</v>
      </c>
      <c r="I4924" s="459">
        <f t="shared" si="1043"/>
        <v>37000</v>
      </c>
      <c r="J4924" s="462"/>
      <c r="K4924" s="463"/>
      <c r="L4924" s="463"/>
      <c r="M4924" s="464"/>
      <c r="N4924" s="464"/>
      <c r="O4924" s="464"/>
      <c r="P4924" s="464"/>
      <c r="Q4924" s="464"/>
      <c r="R4924" s="464"/>
      <c r="S4924" s="464"/>
      <c r="T4924" s="464"/>
      <c r="U4924" s="464"/>
      <c r="V4924" s="464"/>
      <c r="W4924" s="464"/>
      <c r="X4924" s="464"/>
      <c r="Y4924" s="464"/>
      <c r="Z4924" s="464"/>
      <c r="AA4924" s="464"/>
      <c r="AB4924" s="464"/>
      <c r="AC4924" s="464"/>
      <c r="AD4924" s="464"/>
      <c r="AE4924" s="464"/>
      <c r="AF4924" s="464"/>
      <c r="AG4924" s="464"/>
      <c r="AH4924" s="464"/>
      <c r="AI4924" s="464"/>
      <c r="AJ4924" s="464"/>
      <c r="AK4924" s="464"/>
      <c r="AL4924" s="464"/>
      <c r="AM4924" s="464"/>
      <c r="AN4924" s="464"/>
      <c r="AO4924" s="464"/>
      <c r="AP4924" s="464"/>
      <c r="AQ4924" s="464"/>
      <c r="AR4924" s="464"/>
      <c r="AS4924" s="464"/>
      <c r="AT4924" s="464"/>
      <c r="AU4924" s="464"/>
      <c r="AV4924" s="464"/>
      <c r="AW4924" s="464"/>
      <c r="AX4924" s="464"/>
      <c r="AY4924" s="464"/>
      <c r="AZ4924" s="464"/>
      <c r="BA4924" s="464"/>
      <c r="BB4924" s="464"/>
      <c r="BC4924" s="464"/>
      <c r="BD4924" s="464"/>
      <c r="BE4924" s="464"/>
      <c r="BF4924" s="464"/>
      <c r="BG4924" s="464"/>
      <c r="BH4924" s="464"/>
      <c r="BI4924" s="464"/>
      <c r="BJ4924" s="464"/>
      <c r="BK4924" s="464"/>
      <c r="BL4924" s="464"/>
    </row>
    <row r="4925" spans="1:64">
      <c r="A4925" s="406"/>
      <c r="B4925" s="406"/>
      <c r="C4925" s="435" t="s">
        <v>1637</v>
      </c>
      <c r="D4925" s="459">
        <f t="shared" si="1044"/>
        <v>1</v>
      </c>
      <c r="E4925" s="458" t="s">
        <v>122</v>
      </c>
      <c r="F4925" s="459">
        <v>6000</v>
      </c>
      <c r="G4925" s="458"/>
      <c r="H4925" s="599" t="str">
        <f t="shared" si="1042"/>
        <v>MT</v>
      </c>
      <c r="I4925" s="459">
        <f t="shared" si="1043"/>
        <v>6000</v>
      </c>
      <c r="J4925" s="462"/>
      <c r="K4925" s="463"/>
      <c r="L4925" s="463"/>
      <c r="M4925" s="464"/>
      <c r="N4925" s="464"/>
      <c r="O4925" s="464"/>
      <c r="P4925" s="464"/>
      <c r="Q4925" s="464"/>
      <c r="R4925" s="464"/>
      <c r="S4925" s="464"/>
      <c r="T4925" s="464"/>
      <c r="U4925" s="464"/>
      <c r="V4925" s="464"/>
      <c r="W4925" s="464"/>
      <c r="X4925" s="464"/>
      <c r="Y4925" s="464"/>
      <c r="Z4925" s="464"/>
      <c r="AA4925" s="464"/>
      <c r="AB4925" s="464"/>
      <c r="AC4925" s="464"/>
      <c r="AD4925" s="464"/>
      <c r="AE4925" s="464"/>
      <c r="AF4925" s="464"/>
      <c r="AG4925" s="464"/>
      <c r="AH4925" s="464"/>
      <c r="AI4925" s="464"/>
      <c r="AJ4925" s="464"/>
      <c r="AK4925" s="464"/>
      <c r="AL4925" s="464"/>
      <c r="AM4925" s="464"/>
      <c r="AN4925" s="464"/>
      <c r="AO4925" s="464"/>
      <c r="AP4925" s="464"/>
      <c r="AQ4925" s="464"/>
      <c r="AR4925" s="464"/>
      <c r="AS4925" s="464"/>
      <c r="AT4925" s="464"/>
      <c r="AU4925" s="464"/>
      <c r="AV4925" s="464"/>
      <c r="AW4925" s="464"/>
      <c r="AX4925" s="464"/>
      <c r="AY4925" s="464"/>
      <c r="AZ4925" s="464"/>
      <c r="BA4925" s="464"/>
      <c r="BB4925" s="464"/>
      <c r="BC4925" s="464"/>
      <c r="BD4925" s="464"/>
      <c r="BE4925" s="464"/>
      <c r="BF4925" s="464"/>
      <c r="BG4925" s="464"/>
      <c r="BH4925" s="464"/>
      <c r="BI4925" s="464"/>
      <c r="BJ4925" s="464"/>
      <c r="BK4925" s="464"/>
      <c r="BL4925" s="464"/>
    </row>
    <row r="4926" spans="1:64">
      <c r="A4926" s="406"/>
      <c r="B4926" s="406"/>
      <c r="C4926" s="417" t="str">
        <f>[161]Input!C$47</f>
        <v>Add for MA @ 40%</v>
      </c>
      <c r="D4926" s="746">
        <f>[161]Input!D$47</f>
        <v>0.4</v>
      </c>
      <c r="E4926" s="458"/>
      <c r="F4926" s="459">
        <f>I4924*40%+I4925</f>
        <v>20800</v>
      </c>
      <c r="G4926" s="406"/>
      <c r="H4926" s="406"/>
      <c r="I4926" s="459">
        <f t="shared" si="1043"/>
        <v>8320</v>
      </c>
      <c r="J4926" s="462"/>
      <c r="K4926" s="463"/>
      <c r="L4926" s="463"/>
      <c r="M4926" s="464"/>
      <c r="N4926" s="464"/>
      <c r="O4926" s="464"/>
      <c r="P4926" s="464"/>
      <c r="Q4926" s="464"/>
      <c r="R4926" s="464"/>
      <c r="S4926" s="464"/>
      <c r="T4926" s="464"/>
      <c r="U4926" s="464"/>
      <c r="V4926" s="464"/>
      <c r="W4926" s="464"/>
      <c r="X4926" s="464"/>
      <c r="Y4926" s="464"/>
      <c r="Z4926" s="464"/>
      <c r="AA4926" s="464"/>
      <c r="AB4926" s="464"/>
      <c r="AC4926" s="464"/>
      <c r="AD4926" s="464"/>
      <c r="AE4926" s="464"/>
      <c r="AF4926" s="464"/>
      <c r="AG4926" s="464"/>
      <c r="AH4926" s="464"/>
      <c r="AI4926" s="464"/>
      <c r="AJ4926" s="464"/>
      <c r="AK4926" s="464"/>
      <c r="AL4926" s="464"/>
      <c r="AM4926" s="464"/>
      <c r="AN4926" s="464"/>
      <c r="AO4926" s="464"/>
      <c r="AP4926" s="464"/>
      <c r="AQ4926" s="464"/>
      <c r="AR4926" s="464"/>
      <c r="AS4926" s="464"/>
      <c r="AT4926" s="464"/>
      <c r="AU4926" s="464"/>
      <c r="AV4926" s="464"/>
      <c r="AW4926" s="464"/>
      <c r="AX4926" s="464"/>
      <c r="AY4926" s="464"/>
      <c r="AZ4926" s="464"/>
      <c r="BA4926" s="464"/>
      <c r="BB4926" s="464"/>
      <c r="BC4926" s="464"/>
      <c r="BD4926" s="464"/>
      <c r="BE4926" s="464"/>
      <c r="BF4926" s="464"/>
      <c r="BG4926" s="464"/>
      <c r="BH4926" s="464"/>
      <c r="BI4926" s="464"/>
      <c r="BJ4926" s="464"/>
      <c r="BK4926" s="464"/>
      <c r="BL4926" s="464"/>
    </row>
    <row r="4927" spans="1:64" ht="13">
      <c r="A4927" s="406"/>
      <c r="B4927" s="406"/>
      <c r="C4927" s="473" t="s">
        <v>1117</v>
      </c>
      <c r="D4927" s="459"/>
      <c r="E4927" s="471"/>
      <c r="F4927" s="458"/>
      <c r="G4927" s="458"/>
      <c r="H4927" s="407"/>
      <c r="I4927" s="461">
        <f>SUM(I4923:I4926)</f>
        <v>112320</v>
      </c>
      <c r="J4927" s="462"/>
      <c r="K4927" s="463"/>
      <c r="L4927" s="463"/>
      <c r="M4927" s="464"/>
      <c r="N4927" s="464"/>
      <c r="O4927" s="464"/>
      <c r="P4927" s="464"/>
      <c r="Q4927" s="464"/>
      <c r="R4927" s="464"/>
      <c r="S4927" s="464"/>
      <c r="T4927" s="464"/>
      <c r="U4927" s="464"/>
      <c r="V4927" s="464"/>
      <c r="W4927" s="464"/>
      <c r="X4927" s="464"/>
      <c r="Y4927" s="464"/>
      <c r="Z4927" s="464"/>
      <c r="AA4927" s="464"/>
      <c r="AB4927" s="464"/>
      <c r="AC4927" s="464"/>
      <c r="AD4927" s="464"/>
      <c r="AE4927" s="464"/>
      <c r="AF4927" s="464"/>
      <c r="AG4927" s="464"/>
      <c r="AH4927" s="464"/>
      <c r="AI4927" s="464"/>
      <c r="AJ4927" s="464"/>
      <c r="AK4927" s="464"/>
      <c r="AL4927" s="464"/>
      <c r="AM4927" s="464"/>
      <c r="AN4927" s="464"/>
      <c r="AO4927" s="464"/>
      <c r="AP4927" s="464"/>
      <c r="AQ4927" s="464"/>
      <c r="AR4927" s="464"/>
      <c r="AS4927" s="464"/>
      <c r="AT4927" s="464"/>
      <c r="AU4927" s="464"/>
      <c r="AV4927" s="464"/>
      <c r="AW4927" s="464"/>
      <c r="AX4927" s="464"/>
      <c r="AY4927" s="464"/>
      <c r="AZ4927" s="464"/>
      <c r="BA4927" s="464"/>
      <c r="BB4927" s="464"/>
      <c r="BC4927" s="464"/>
      <c r="BD4927" s="464"/>
      <c r="BE4927" s="464"/>
      <c r="BF4927" s="464"/>
      <c r="BG4927" s="464"/>
      <c r="BH4927" s="464"/>
      <c r="BI4927" s="464"/>
      <c r="BJ4927" s="464"/>
      <c r="BK4927" s="464"/>
      <c r="BL4927" s="464"/>
    </row>
    <row r="4928" spans="1:64" ht="25">
      <c r="A4928" s="406"/>
      <c r="B4928" s="406"/>
      <c r="C4928" s="417" t="str">
        <f>[161]Input!$C$48</f>
        <v>Overheads &amp; Contractors Profit @ 13.615%</v>
      </c>
      <c r="D4928" s="444">
        <f>[161]Input!$D$48</f>
        <v>0.13614999999999999</v>
      </c>
      <c r="E4928" s="471"/>
      <c r="F4928" s="459">
        <f>I4927</f>
        <v>112320</v>
      </c>
      <c r="G4928" s="458"/>
      <c r="H4928" s="407"/>
      <c r="I4928" s="459">
        <f>IF(G4928="",D4928*F4928,(D4928*F4928/G4928))</f>
        <v>15292.367999999999</v>
      </c>
      <c r="J4928" s="462"/>
      <c r="K4928" s="463"/>
      <c r="L4928" s="463"/>
      <c r="M4928" s="464"/>
      <c r="N4928" s="464"/>
      <c r="O4928" s="464"/>
      <c r="P4928" s="464"/>
      <c r="Q4928" s="464"/>
      <c r="R4928" s="464"/>
      <c r="S4928" s="464"/>
      <c r="T4928" s="464"/>
      <c r="U4928" s="464"/>
      <c r="V4928" s="464"/>
      <c r="W4928" s="464"/>
      <c r="X4928" s="464"/>
      <c r="Y4928" s="464"/>
      <c r="Z4928" s="464"/>
      <c r="AA4928" s="464"/>
      <c r="AB4928" s="464"/>
      <c r="AC4928" s="464"/>
      <c r="AD4928" s="464"/>
      <c r="AE4928" s="464"/>
      <c r="AF4928" s="464"/>
      <c r="AG4928" s="464"/>
      <c r="AH4928" s="464"/>
      <c r="AI4928" s="464"/>
      <c r="AJ4928" s="464"/>
      <c r="AK4928" s="464"/>
      <c r="AL4928" s="464"/>
      <c r="AM4928" s="464"/>
      <c r="AN4928" s="464"/>
      <c r="AO4928" s="464"/>
      <c r="AP4928" s="464"/>
      <c r="AQ4928" s="464"/>
      <c r="AR4928" s="464"/>
      <c r="AS4928" s="464"/>
      <c r="AT4928" s="464"/>
      <c r="AU4928" s="464"/>
      <c r="AV4928" s="464"/>
      <c r="AW4928" s="464"/>
      <c r="AX4928" s="464"/>
      <c r="AY4928" s="464"/>
      <c r="AZ4928" s="464"/>
      <c r="BA4928" s="464"/>
      <c r="BB4928" s="464"/>
      <c r="BC4928" s="464"/>
      <c r="BD4928" s="464"/>
      <c r="BE4928" s="464"/>
      <c r="BF4928" s="464"/>
      <c r="BG4928" s="464"/>
      <c r="BH4928" s="464"/>
      <c r="BI4928" s="464"/>
      <c r="BJ4928" s="464"/>
      <c r="BK4928" s="464"/>
      <c r="BL4928" s="464"/>
    </row>
    <row r="4929" spans="1:64" ht="13">
      <c r="A4929" s="426"/>
      <c r="B4929" s="426"/>
      <c r="C4929" s="455"/>
      <c r="D4929" s="408"/>
      <c r="E4929" s="415"/>
      <c r="F4929" s="454"/>
      <c r="G4929" s="454"/>
      <c r="H4929" s="474"/>
      <c r="I4929" s="414">
        <f>SUM(I4927:I4928)</f>
        <v>127612.368</v>
      </c>
      <c r="J4929" s="400"/>
      <c r="K4929" s="401"/>
      <c r="L4929" s="401"/>
      <c r="M4929" s="404"/>
      <c r="N4929" s="404"/>
      <c r="O4929" s="404"/>
      <c r="P4929" s="404"/>
      <c r="Q4929" s="404"/>
      <c r="R4929" s="404"/>
      <c r="S4929" s="404"/>
      <c r="T4929" s="404"/>
      <c r="U4929" s="404"/>
      <c r="V4929" s="404"/>
      <c r="W4929" s="404"/>
      <c r="X4929" s="404"/>
      <c r="Y4929" s="404"/>
      <c r="Z4929" s="404"/>
      <c r="AA4929" s="404"/>
      <c r="AB4929" s="404"/>
      <c r="AC4929" s="404"/>
      <c r="AD4929" s="404"/>
      <c r="AE4929" s="404"/>
      <c r="AF4929" s="404"/>
      <c r="AG4929" s="404"/>
      <c r="AH4929" s="404"/>
      <c r="AI4929" s="404"/>
      <c r="AJ4929" s="404"/>
      <c r="AK4929" s="404"/>
      <c r="AL4929" s="404"/>
      <c r="AM4929" s="404"/>
      <c r="AN4929" s="404"/>
      <c r="AO4929" s="404"/>
      <c r="AP4929" s="404"/>
      <c r="AQ4929" s="404"/>
      <c r="AR4929" s="404"/>
      <c r="AS4929" s="404"/>
      <c r="AT4929" s="404"/>
      <c r="AU4929" s="404"/>
      <c r="AV4929" s="404"/>
      <c r="AW4929" s="404"/>
      <c r="AX4929" s="404"/>
      <c r="AY4929" s="404"/>
      <c r="AZ4929" s="404"/>
      <c r="BA4929" s="404"/>
      <c r="BB4929" s="404"/>
      <c r="BC4929" s="404"/>
      <c r="BD4929" s="404"/>
      <c r="BE4929" s="404"/>
      <c r="BF4929" s="404"/>
      <c r="BG4929" s="404"/>
      <c r="BH4929" s="404"/>
      <c r="BI4929" s="404"/>
      <c r="BJ4929" s="404"/>
      <c r="BK4929" s="404"/>
      <c r="BL4929" s="404"/>
    </row>
    <row r="4930" spans="1:64" ht="13">
      <c r="A4930" s="426"/>
      <c r="B4930" s="426"/>
      <c r="C4930" s="783" t="s">
        <v>1117</v>
      </c>
      <c r="D4930" s="408"/>
      <c r="E4930" s="415"/>
      <c r="F4930" s="454"/>
      <c r="G4930" s="454"/>
      <c r="H4930" s="474" t="s">
        <v>774</v>
      </c>
      <c r="I4930" s="414">
        <f>ROUND(I4929,0)</f>
        <v>127612</v>
      </c>
      <c r="J4930" s="411"/>
      <c r="K4930" s="412"/>
      <c r="L4930" s="412"/>
      <c r="M4930" s="413"/>
      <c r="N4930" s="413"/>
      <c r="O4930" s="413"/>
      <c r="P4930" s="413"/>
      <c r="Q4930" s="413"/>
      <c r="R4930" s="413"/>
      <c r="S4930" s="413"/>
      <c r="T4930" s="413"/>
      <c r="U4930" s="413"/>
      <c r="V4930" s="413"/>
      <c r="W4930" s="413"/>
      <c r="X4930" s="413"/>
      <c r="Y4930" s="413"/>
      <c r="Z4930" s="413"/>
      <c r="AA4930" s="413"/>
      <c r="AB4930" s="413"/>
      <c r="AC4930" s="413"/>
      <c r="AD4930" s="413"/>
      <c r="AE4930" s="413"/>
      <c r="AF4930" s="413"/>
      <c r="AG4930" s="413"/>
      <c r="AH4930" s="413"/>
      <c r="AI4930" s="413"/>
      <c r="AJ4930" s="413"/>
      <c r="AK4930" s="413"/>
      <c r="AL4930" s="413"/>
      <c r="AM4930" s="413"/>
      <c r="AN4930" s="413"/>
      <c r="AO4930" s="413"/>
      <c r="AP4930" s="413"/>
      <c r="AQ4930" s="413"/>
      <c r="AR4930" s="413"/>
      <c r="AS4930" s="413"/>
      <c r="AT4930" s="413"/>
      <c r="AU4930" s="413"/>
      <c r="AV4930" s="413"/>
      <c r="AW4930" s="413"/>
      <c r="AX4930" s="413"/>
      <c r="AY4930" s="413"/>
      <c r="AZ4930" s="413"/>
      <c r="BA4930" s="413"/>
      <c r="BB4930" s="413"/>
      <c r="BC4930" s="413"/>
      <c r="BD4930" s="413"/>
      <c r="BE4930" s="413"/>
      <c r="BF4930" s="413"/>
      <c r="BG4930" s="413"/>
      <c r="BH4930" s="413"/>
      <c r="BI4930" s="413"/>
      <c r="BJ4930" s="413"/>
      <c r="BK4930" s="413"/>
      <c r="BL4930" s="413"/>
    </row>
    <row r="4931" spans="1:64" ht="13">
      <c r="A4931" s="426"/>
      <c r="B4931" s="426"/>
      <c r="C4931" s="783" t="s">
        <v>1632</v>
      </c>
      <c r="D4931" s="408"/>
      <c r="E4931" s="415"/>
      <c r="F4931" s="454"/>
      <c r="G4931" s="454"/>
      <c r="H4931" s="474"/>
      <c r="I4931" s="414">
        <f>I4930/1000</f>
        <v>127.61199999999999</v>
      </c>
      <c r="J4931" s="411"/>
      <c r="K4931" s="412"/>
      <c r="L4931" s="412"/>
      <c r="M4931" s="413"/>
      <c r="N4931" s="413"/>
      <c r="O4931" s="413"/>
      <c r="P4931" s="413"/>
      <c r="Q4931" s="413"/>
      <c r="R4931" s="413"/>
      <c r="S4931" s="413"/>
      <c r="T4931" s="413"/>
      <c r="U4931" s="413"/>
      <c r="V4931" s="413"/>
      <c r="W4931" s="413"/>
      <c r="X4931" s="413"/>
      <c r="Y4931" s="413"/>
      <c r="Z4931" s="413"/>
      <c r="AA4931" s="413"/>
      <c r="AB4931" s="413"/>
      <c r="AC4931" s="413"/>
      <c r="AD4931" s="413"/>
      <c r="AE4931" s="413"/>
      <c r="AF4931" s="413"/>
      <c r="AG4931" s="413"/>
      <c r="AH4931" s="413"/>
      <c r="AI4931" s="413"/>
      <c r="AJ4931" s="413"/>
      <c r="AK4931" s="413"/>
      <c r="AL4931" s="413"/>
      <c r="AM4931" s="413"/>
      <c r="AN4931" s="413"/>
      <c r="AO4931" s="413"/>
      <c r="AP4931" s="413"/>
      <c r="AQ4931" s="413"/>
      <c r="AR4931" s="413"/>
      <c r="AS4931" s="413"/>
      <c r="AT4931" s="413"/>
      <c r="AU4931" s="413"/>
      <c r="AV4931" s="413"/>
      <c r="AW4931" s="413"/>
      <c r="AX4931" s="413"/>
      <c r="AY4931" s="413"/>
      <c r="AZ4931" s="413"/>
      <c r="BA4931" s="413"/>
      <c r="BB4931" s="413"/>
      <c r="BC4931" s="413"/>
      <c r="BD4931" s="413"/>
      <c r="BE4931" s="413"/>
      <c r="BF4931" s="413"/>
      <c r="BG4931" s="413"/>
      <c r="BH4931" s="413"/>
      <c r="BI4931" s="413"/>
      <c r="BJ4931" s="413"/>
      <c r="BK4931" s="413"/>
      <c r="BL4931" s="413"/>
    </row>
    <row r="4932" spans="1:64" ht="13">
      <c r="A4932" s="426"/>
      <c r="B4932" s="426"/>
      <c r="C4932" s="496"/>
      <c r="D4932" s="408"/>
      <c r="E4932" s="408"/>
      <c r="F4932" s="408"/>
      <c r="G4932" s="1283" t="s">
        <v>1633</v>
      </c>
      <c r="H4932" s="1283"/>
      <c r="I4932" s="414">
        <f>ROUND(I4931,0)</f>
        <v>128</v>
      </c>
      <c r="J4932" s="411"/>
      <c r="K4932" s="412"/>
      <c r="L4932" s="412"/>
      <c r="M4932" s="413"/>
      <c r="N4932" s="413"/>
      <c r="O4932" s="413"/>
      <c r="P4932" s="413"/>
      <c r="Q4932" s="413"/>
      <c r="R4932" s="413"/>
      <c r="S4932" s="413"/>
      <c r="T4932" s="413"/>
      <c r="U4932" s="413"/>
      <c r="V4932" s="413"/>
      <c r="W4932" s="413"/>
      <c r="X4932" s="413"/>
      <c r="Y4932" s="413"/>
      <c r="Z4932" s="413"/>
      <c r="AA4932" s="413"/>
      <c r="AB4932" s="413"/>
      <c r="AC4932" s="413"/>
      <c r="AD4932" s="413"/>
      <c r="AE4932" s="413"/>
      <c r="AF4932" s="413"/>
      <c r="AG4932" s="413"/>
      <c r="AH4932" s="413"/>
      <c r="AI4932" s="413"/>
      <c r="AJ4932" s="413"/>
      <c r="AK4932" s="413"/>
      <c r="AL4932" s="413"/>
      <c r="AM4932" s="413"/>
      <c r="AN4932" s="413"/>
      <c r="AO4932" s="413"/>
      <c r="AP4932" s="413"/>
      <c r="AQ4932" s="413"/>
      <c r="AR4932" s="413"/>
      <c r="AS4932" s="413"/>
      <c r="AT4932" s="413"/>
      <c r="AU4932" s="413"/>
      <c r="AV4932" s="413"/>
      <c r="AW4932" s="413"/>
      <c r="AX4932" s="413"/>
      <c r="AY4932" s="413"/>
      <c r="AZ4932" s="413"/>
      <c r="BA4932" s="413"/>
      <c r="BB4932" s="413"/>
      <c r="BC4932" s="413"/>
      <c r="BD4932" s="413"/>
      <c r="BE4932" s="413"/>
      <c r="BF4932" s="413"/>
      <c r="BG4932" s="413"/>
      <c r="BH4932" s="413"/>
      <c r="BI4932" s="413"/>
      <c r="BJ4932" s="413"/>
      <c r="BK4932" s="413"/>
      <c r="BL4932" s="413"/>
    </row>
    <row r="4933" spans="1:64">
      <c r="A4933" s="426"/>
      <c r="B4933" s="426"/>
      <c r="C4933" s="417"/>
      <c r="D4933" s="409"/>
      <c r="E4933" s="426"/>
      <c r="F4933" s="409"/>
      <c r="G4933" s="410"/>
      <c r="H4933" s="426"/>
      <c r="I4933" s="409"/>
      <c r="J4933" s="400"/>
      <c r="K4933" s="401"/>
      <c r="L4933" s="401"/>
    </row>
    <row r="4934" spans="1:64" ht="58.9" customHeight="1">
      <c r="A4934" s="1277">
        <f>1+A4922</f>
        <v>40</v>
      </c>
      <c r="B4934" s="1277"/>
      <c r="C4934" s="1276" t="s">
        <v>1752</v>
      </c>
      <c r="D4934" s="1276"/>
      <c r="E4934" s="1276"/>
      <c r="F4934" s="1276"/>
      <c r="G4934" s="1276"/>
      <c r="H4934" s="1276"/>
      <c r="I4934" s="407"/>
      <c r="J4934" s="462"/>
      <c r="K4934" s="463"/>
      <c r="L4934" s="463"/>
    </row>
    <row r="4935" spans="1:64" ht="13">
      <c r="A4935" s="406"/>
      <c r="B4935" s="426"/>
      <c r="C4935" s="427" t="s">
        <v>1753</v>
      </c>
      <c r="D4935" s="422">
        <v>10</v>
      </c>
      <c r="E4935" s="407" t="s">
        <v>1052</v>
      </c>
      <c r="F4935" s="406"/>
      <c r="G4935" s="406"/>
      <c r="H4935" s="406"/>
      <c r="I4935" s="432"/>
      <c r="J4935" s="462"/>
      <c r="K4935" s="463"/>
      <c r="L4935" s="463"/>
    </row>
    <row r="4936" spans="1:64">
      <c r="A4936" s="406"/>
      <c r="B4936" s="426"/>
      <c r="C4936" s="417" t="s">
        <v>1754</v>
      </c>
      <c r="D4936" s="409">
        <f>1*10</f>
        <v>10</v>
      </c>
      <c r="E4936" s="426" t="s">
        <v>1052</v>
      </c>
      <c r="F4936" s="409"/>
      <c r="G4936" s="410"/>
      <c r="H4936" s="426"/>
      <c r="I4936" s="408"/>
      <c r="J4936" s="462"/>
      <c r="K4936" s="463"/>
      <c r="L4936" s="463"/>
    </row>
    <row r="4937" spans="1:64">
      <c r="A4937" s="406"/>
      <c r="B4937" s="426"/>
      <c r="C4937" s="417" t="s">
        <v>1755</v>
      </c>
      <c r="D4937" s="409">
        <f>9*0.3</f>
        <v>2.6999999999999997</v>
      </c>
      <c r="E4937" s="426" t="s">
        <v>1052</v>
      </c>
      <c r="F4937" s="409"/>
      <c r="G4937" s="410"/>
      <c r="H4937" s="426"/>
      <c r="I4937" s="408"/>
      <c r="J4937" s="462"/>
      <c r="K4937" s="463"/>
      <c r="L4937" s="463"/>
    </row>
    <row r="4938" spans="1:64">
      <c r="A4938" s="406"/>
      <c r="B4938" s="426"/>
      <c r="C4938" s="445" t="s">
        <v>1756</v>
      </c>
      <c r="D4938" s="408">
        <f>ROUND(10*2.39,2)</f>
        <v>23.9</v>
      </c>
      <c r="E4938" s="454" t="s">
        <v>833</v>
      </c>
      <c r="F4938" s="408"/>
      <c r="G4938" s="430"/>
      <c r="H4938" s="454"/>
      <c r="I4938" s="408"/>
      <c r="J4938" s="462"/>
      <c r="K4938" s="463"/>
      <c r="L4938" s="463"/>
    </row>
    <row r="4939" spans="1:64">
      <c r="A4939" s="406"/>
      <c r="B4939" s="426"/>
      <c r="C4939" s="445" t="s">
        <v>1757</v>
      </c>
      <c r="D4939" s="408">
        <f>ROUND(2.7*0.89,2)</f>
        <v>2.4</v>
      </c>
      <c r="E4939" s="454" t="s">
        <v>833</v>
      </c>
      <c r="F4939" s="409"/>
      <c r="G4939" s="410"/>
      <c r="H4939" s="426"/>
      <c r="I4939" s="408"/>
      <c r="J4939" s="462"/>
      <c r="K4939" s="463"/>
      <c r="L4939" s="463"/>
    </row>
    <row r="4940" spans="1:64" ht="25">
      <c r="A4940" s="406"/>
      <c r="B4940" s="406"/>
      <c r="C4940" s="417" t="s">
        <v>1316</v>
      </c>
      <c r="D4940" s="459">
        <f>ROUND(SUM(D4938:D4939),2)</f>
        <v>26.3</v>
      </c>
      <c r="E4940" s="458" t="s">
        <v>833</v>
      </c>
      <c r="F4940" s="459">
        <f>'[161]Civil-SOR'!$G$47</f>
        <v>434</v>
      </c>
      <c r="G4940" s="460">
        <v>1</v>
      </c>
      <c r="H4940" s="458" t="s">
        <v>312</v>
      </c>
      <c r="I4940" s="459">
        <f t="shared" ref="I4940:I4943" si="1045">IF(G4940="",D4940*F4940,(D4940*F4940/G4940))</f>
        <v>11414.2</v>
      </c>
      <c r="J4940" s="400"/>
      <c r="K4940" s="401"/>
      <c r="L4940" s="401"/>
    </row>
    <row r="4941" spans="1:64" ht="25">
      <c r="A4941" s="406"/>
      <c r="B4941" s="406"/>
      <c r="C4941" s="417" t="s">
        <v>1317</v>
      </c>
      <c r="D4941" s="459">
        <f>D4940</f>
        <v>26.3</v>
      </c>
      <c r="E4941" s="458" t="s">
        <v>833</v>
      </c>
      <c r="F4941" s="459">
        <f>'[161]Civil-SOR'!$G$204</f>
        <v>188</v>
      </c>
      <c r="G4941" s="460">
        <v>1</v>
      </c>
      <c r="H4941" s="458" t="s">
        <v>312</v>
      </c>
      <c r="I4941" s="459">
        <f t="shared" si="1045"/>
        <v>4944.4000000000005</v>
      </c>
      <c r="J4941" s="411"/>
      <c r="K4941" s="412"/>
      <c r="L4941" s="412"/>
    </row>
    <row r="4942" spans="1:64">
      <c r="A4942" s="406"/>
      <c r="B4942" s="406"/>
      <c r="C4942" s="417" t="s">
        <v>1758</v>
      </c>
      <c r="D4942" s="459">
        <f>9*0.1</f>
        <v>0.9</v>
      </c>
      <c r="E4942" s="458" t="s">
        <v>1052</v>
      </c>
      <c r="F4942" s="459">
        <f>'[161]Civil-SOR'!$G$348</f>
        <v>136</v>
      </c>
      <c r="G4942" s="460">
        <v>1</v>
      </c>
      <c r="H4942" s="458" t="s">
        <v>1052</v>
      </c>
      <c r="I4942" s="459">
        <f t="shared" si="1045"/>
        <v>122.4</v>
      </c>
      <c r="J4942" s="411"/>
      <c r="K4942" s="412"/>
      <c r="L4942" s="412"/>
    </row>
    <row r="4943" spans="1:64">
      <c r="A4943" s="406"/>
      <c r="B4943" s="406"/>
      <c r="C4943" s="417" t="s">
        <v>1319</v>
      </c>
      <c r="D4943" s="431">
        <v>9</v>
      </c>
      <c r="E4943" s="406" t="s">
        <v>375</v>
      </c>
      <c r="F4943" s="432">
        <f>'[161]Civil-SOR'!$G$379</f>
        <v>100</v>
      </c>
      <c r="G4943" s="431">
        <v>1</v>
      </c>
      <c r="H4943" s="406" t="s">
        <v>572</v>
      </c>
      <c r="I4943" s="459">
        <f t="shared" si="1045"/>
        <v>900</v>
      </c>
      <c r="J4943" s="411"/>
      <c r="K4943" s="412"/>
      <c r="L4943" s="412"/>
    </row>
    <row r="4944" spans="1:64" ht="13">
      <c r="A4944" s="406"/>
      <c r="B4944" s="426"/>
      <c r="C4944" s="469"/>
      <c r="D4944" s="409"/>
      <c r="E4944" s="426"/>
      <c r="F4944" s="409"/>
      <c r="G4944" s="410"/>
      <c r="H4944" s="426"/>
      <c r="I4944" s="434">
        <f>SUM(I4940:I4943)</f>
        <v>17381.000000000004</v>
      </c>
      <c r="J4944" s="462"/>
      <c r="K4944" s="463"/>
      <c r="L4944" s="463"/>
    </row>
    <row r="4945" spans="1:12" ht="13">
      <c r="A4945" s="406"/>
      <c r="B4945" s="426"/>
      <c r="C4945" s="417" t="s">
        <v>1032</v>
      </c>
      <c r="D4945" s="409"/>
      <c r="E4945" s="426"/>
      <c r="F4945" s="409"/>
      <c r="G4945" s="410"/>
      <c r="H4945" s="426"/>
      <c r="I4945" s="434">
        <f>I4944/D4935</f>
        <v>1738.1000000000004</v>
      </c>
      <c r="J4945" s="462"/>
      <c r="K4945" s="463"/>
      <c r="L4945" s="463"/>
    </row>
    <row r="4946" spans="1:12" ht="13">
      <c r="A4946" s="406"/>
      <c r="B4946" s="426"/>
      <c r="C4946" s="732" t="str">
        <f>[161]Input!$C$48</f>
        <v>Overheads &amp; Contractors Profit @ 13.615%</v>
      </c>
      <c r="D4946" s="494">
        <f>[161]Input!$D$48</f>
        <v>0.13614999999999999</v>
      </c>
      <c r="E4946" s="426"/>
      <c r="F4946" s="409">
        <f>+I4945</f>
        <v>1738.1000000000004</v>
      </c>
      <c r="G4946" s="410"/>
      <c r="H4946" s="474"/>
      <c r="I4946" s="408">
        <f>IF(G4946="",D4946*F4946,(D4946*F4946/G4946))</f>
        <v>236.64231500000002</v>
      </c>
      <c r="J4946" s="462"/>
      <c r="K4946" s="463"/>
      <c r="L4946" s="463"/>
    </row>
    <row r="4947" spans="1:12" ht="13">
      <c r="A4947" s="406"/>
      <c r="B4947" s="426"/>
      <c r="C4947" s="731"/>
      <c r="D4947" s="409"/>
      <c r="E4947" s="426"/>
      <c r="F4947" s="409"/>
      <c r="G4947" s="410"/>
      <c r="H4947" s="474"/>
      <c r="I4947" s="434">
        <f>SUM(I4945:I4946)</f>
        <v>1974.7423150000004</v>
      </c>
      <c r="J4947" s="462"/>
      <c r="K4947" s="463"/>
      <c r="L4947" s="463"/>
    </row>
    <row r="4948" spans="1:12" ht="13">
      <c r="A4948" s="406"/>
      <c r="B4948" s="426"/>
      <c r="C4948" s="731"/>
      <c r="D4948" s="409"/>
      <c r="E4948" s="426"/>
      <c r="F4948" s="409"/>
      <c r="G4948" s="410"/>
      <c r="H4948" s="474" t="s">
        <v>1322</v>
      </c>
      <c r="I4948" s="414">
        <f>ROUND(I4947,0)</f>
        <v>1975</v>
      </c>
      <c r="J4948" s="462"/>
      <c r="K4948" s="463"/>
      <c r="L4948" s="463"/>
    </row>
    <row r="4949" spans="1:12" ht="70.150000000000006" customHeight="1">
      <c r="A4949" s="1278">
        <f>1+A4934</f>
        <v>41</v>
      </c>
      <c r="B4949" s="1278"/>
      <c r="C4949" s="1279" t="s">
        <v>1759</v>
      </c>
      <c r="D4949" s="1279"/>
      <c r="E4949" s="1279"/>
      <c r="F4949" s="1279"/>
      <c r="G4949" s="1279"/>
      <c r="H4949" s="1279"/>
      <c r="I4949" s="1279"/>
      <c r="J4949" s="462"/>
      <c r="K4949" s="463"/>
      <c r="L4949" s="463"/>
    </row>
    <row r="4950" spans="1:12" ht="13">
      <c r="A4950" s="406"/>
      <c r="B4950" s="406"/>
      <c r="C4950" s="427" t="s">
        <v>1760</v>
      </c>
      <c r="D4950" s="409"/>
      <c r="E4950" s="426"/>
      <c r="F4950" s="409"/>
      <c r="G4950" s="410"/>
      <c r="H4950" s="426"/>
      <c r="I4950" s="409"/>
      <c r="J4950" s="462"/>
      <c r="K4950" s="463"/>
      <c r="L4950" s="463"/>
    </row>
    <row r="4951" spans="1:12" ht="13">
      <c r="A4951" s="406"/>
      <c r="B4951" s="406"/>
      <c r="C4951" s="427" t="s">
        <v>1761</v>
      </c>
      <c r="D4951" s="406"/>
      <c r="E4951" s="784"/>
      <c r="F4951" s="406"/>
      <c r="G4951" s="784"/>
      <c r="H4951" s="784"/>
      <c r="I4951" s="409"/>
      <c r="J4951" s="462"/>
      <c r="K4951" s="463"/>
      <c r="L4951" s="463"/>
    </row>
    <row r="4952" spans="1:12">
      <c r="A4952" s="406"/>
      <c r="B4952" s="406"/>
      <c r="C4952" s="417" t="s">
        <v>1762</v>
      </c>
      <c r="D4952" s="406"/>
      <c r="E4952" s="784"/>
      <c r="F4952" s="432">
        <v>30</v>
      </c>
      <c r="G4952" s="785">
        <v>3</v>
      </c>
      <c r="H4952" s="786">
        <f>+F4952*G4952</f>
        <v>90</v>
      </c>
      <c r="I4952" s="409" t="s">
        <v>17</v>
      </c>
      <c r="J4952" s="462"/>
      <c r="K4952" s="463"/>
      <c r="L4952" s="463"/>
    </row>
    <row r="4953" spans="1:12" ht="13">
      <c r="A4953" s="406"/>
      <c r="B4953" s="406"/>
      <c r="C4953" s="427" t="s">
        <v>1763</v>
      </c>
      <c r="D4953" s="406"/>
      <c r="E4953" s="784"/>
      <c r="F4953" s="406"/>
      <c r="G4953" s="784"/>
      <c r="H4953" s="784"/>
      <c r="I4953" s="409"/>
      <c r="J4953" s="462"/>
      <c r="K4953" s="463"/>
      <c r="L4953" s="463"/>
    </row>
    <row r="4954" spans="1:12">
      <c r="A4954" s="406"/>
      <c r="B4954" s="406"/>
      <c r="C4954" s="417" t="s">
        <v>1603</v>
      </c>
      <c r="D4954" s="675"/>
      <c r="E4954" s="784" t="s">
        <v>555</v>
      </c>
      <c r="F4954" s="787"/>
      <c r="G4954" s="788">
        <v>1</v>
      </c>
      <c r="H4954" s="784" t="s">
        <v>555</v>
      </c>
      <c r="I4954" s="409">
        <f t="shared" ref="I4954:I4956" si="1046">IF(G4954="",D4954*F4954,(D4954*F4954/G4954))</f>
        <v>0</v>
      </c>
      <c r="J4954" s="462"/>
      <c r="K4954" s="463"/>
      <c r="L4954" s="463"/>
    </row>
    <row r="4955" spans="1:12">
      <c r="A4955" s="406"/>
      <c r="B4955" s="406"/>
      <c r="C4955" s="417" t="s">
        <v>1764</v>
      </c>
      <c r="D4955" s="675">
        <v>0.4</v>
      </c>
      <c r="E4955" s="784" t="s">
        <v>555</v>
      </c>
      <c r="F4955" s="409">
        <v>615</v>
      </c>
      <c r="G4955" s="788">
        <v>1</v>
      </c>
      <c r="H4955" s="784" t="s">
        <v>555</v>
      </c>
      <c r="I4955" s="409">
        <f t="shared" si="1046"/>
        <v>246</v>
      </c>
      <c r="J4955" s="462"/>
      <c r="K4955" s="463"/>
      <c r="L4955" s="463"/>
    </row>
    <row r="4956" spans="1:12">
      <c r="A4956" s="406"/>
      <c r="B4956" s="406"/>
      <c r="C4956" s="417" t="s">
        <v>1353</v>
      </c>
      <c r="D4956" s="675">
        <v>2.62</v>
      </c>
      <c r="E4956" s="784" t="s">
        <v>555</v>
      </c>
      <c r="F4956" s="408">
        <f>+'[161]Civil-SOR'!$G$307</f>
        <v>520</v>
      </c>
      <c r="G4956" s="788">
        <v>1</v>
      </c>
      <c r="H4956" s="784" t="s">
        <v>555</v>
      </c>
      <c r="I4956" s="409">
        <f t="shared" si="1046"/>
        <v>1362.4</v>
      </c>
      <c r="J4956" s="462"/>
      <c r="K4956" s="463"/>
      <c r="L4956" s="463"/>
    </row>
    <row r="4957" spans="1:12">
      <c r="A4957" s="406"/>
      <c r="B4957" s="406"/>
      <c r="C4957" s="417" t="str">
        <f>[161]Input!C$47</f>
        <v>Add for MA @ 40%</v>
      </c>
      <c r="D4957" s="746">
        <f>[161]Input!D$47</f>
        <v>0.4</v>
      </c>
      <c r="E4957" s="784"/>
      <c r="F4957" s="787">
        <f>+SUM(I4954:I4956)</f>
        <v>1608.4</v>
      </c>
      <c r="G4957" s="788"/>
      <c r="H4957" s="784"/>
      <c r="I4957" s="409">
        <f>+D4957*F4957</f>
        <v>643.36000000000013</v>
      </c>
      <c r="J4957" s="462"/>
      <c r="K4957" s="463"/>
      <c r="L4957" s="463"/>
    </row>
    <row r="4958" spans="1:12" ht="13">
      <c r="A4958" s="406"/>
      <c r="B4958" s="406"/>
      <c r="C4958" s="427" t="s">
        <v>558</v>
      </c>
      <c r="D4958" s="789"/>
      <c r="E4958" s="784"/>
      <c r="F4958" s="406"/>
      <c r="G4958" s="788"/>
      <c r="H4958" s="784"/>
      <c r="I4958" s="409"/>
      <c r="J4958" s="462"/>
      <c r="K4958" s="463"/>
      <c r="L4958" s="463"/>
    </row>
    <row r="4959" spans="1:12" ht="37.5">
      <c r="A4959" s="406"/>
      <c r="B4959" s="406"/>
      <c r="C4959" s="417" t="s">
        <v>1765</v>
      </c>
      <c r="D4959" s="675">
        <f>41.25*4.4</f>
        <v>181.50000000000003</v>
      </c>
      <c r="E4959" s="784" t="s">
        <v>634</v>
      </c>
      <c r="F4959" s="432">
        <f>+[161]LEAD!N10/1000</f>
        <v>61</v>
      </c>
      <c r="G4959" s="788">
        <v>1</v>
      </c>
      <c r="H4959" s="784" t="s">
        <v>634</v>
      </c>
      <c r="I4959" s="409">
        <f t="shared" ref="I4959:I4961" si="1047">IF(G4959="",D4959*F4959,(D4959*F4959/G4959))</f>
        <v>11071.500000000002</v>
      </c>
      <c r="J4959" s="462"/>
      <c r="K4959" s="463"/>
      <c r="L4959" s="463"/>
    </row>
    <row r="4960" spans="1:12" ht="25">
      <c r="A4960" s="406"/>
      <c r="B4960" s="406"/>
      <c r="C4960" s="417" t="s">
        <v>1766</v>
      </c>
      <c r="D4960" s="675">
        <f>3*30*2.8</f>
        <v>251.99999999999997</v>
      </c>
      <c r="E4960" s="784" t="s">
        <v>634</v>
      </c>
      <c r="F4960" s="432">
        <f>+F4959</f>
        <v>61</v>
      </c>
      <c r="G4960" s="788">
        <v>1</v>
      </c>
      <c r="H4960" s="784" t="s">
        <v>634</v>
      </c>
      <c r="I4960" s="409">
        <f t="shared" si="1047"/>
        <v>15371.999999999998</v>
      </c>
      <c r="J4960" s="462"/>
      <c r="K4960" s="463"/>
      <c r="L4960" s="463"/>
    </row>
    <row r="4961" spans="1:12" ht="37.5">
      <c r="A4961" s="406"/>
      <c r="B4961" s="458"/>
      <c r="C4961" s="417" t="s">
        <v>1767</v>
      </c>
      <c r="D4961" s="675">
        <f>+H4952*1.05</f>
        <v>94.5</v>
      </c>
      <c r="E4961" s="784" t="s">
        <v>62</v>
      </c>
      <c r="F4961" s="432">
        <v>581</v>
      </c>
      <c r="G4961" s="788">
        <v>1</v>
      </c>
      <c r="H4961" s="784" t="s">
        <v>62</v>
      </c>
      <c r="I4961" s="409">
        <f t="shared" si="1047"/>
        <v>54904.5</v>
      </c>
      <c r="J4961" s="462"/>
      <c r="K4961" s="463"/>
      <c r="L4961" s="463"/>
    </row>
    <row r="4962" spans="1:12" ht="50">
      <c r="A4962" s="406"/>
      <c r="B4962" s="406"/>
      <c r="C4962" s="417" t="s">
        <v>1768</v>
      </c>
      <c r="D4962" s="790">
        <v>2.5000000000000001E-2</v>
      </c>
      <c r="E4962" s="784"/>
      <c r="F4962" s="406">
        <f>ROUNDUP(SUM(I4959:I4961),2)</f>
        <v>81348</v>
      </c>
      <c r="G4962" s="788"/>
      <c r="H4962" s="784"/>
      <c r="I4962" s="409">
        <f>+D4962*F4962</f>
        <v>2033.7</v>
      </c>
      <c r="J4962" s="462"/>
      <c r="K4962" s="463"/>
      <c r="L4962" s="463"/>
    </row>
    <row r="4963" spans="1:12" ht="13">
      <c r="A4963" s="406"/>
      <c r="B4963" s="406"/>
      <c r="C4963" s="427" t="s">
        <v>1769</v>
      </c>
      <c r="D4963" s="675"/>
      <c r="E4963" s="784"/>
      <c r="F4963" s="406"/>
      <c r="G4963" s="788"/>
      <c r="H4963" s="784"/>
      <c r="I4963" s="409"/>
      <c r="J4963" s="462"/>
      <c r="K4963" s="463"/>
      <c r="L4963" s="463"/>
    </row>
    <row r="4964" spans="1:12" ht="37.5">
      <c r="A4964" s="406"/>
      <c r="B4964" s="406"/>
      <c r="C4964" s="417" t="s">
        <v>1770</v>
      </c>
      <c r="D4964" s="675">
        <f>3.96/1.8*3.6</f>
        <v>7.919999999999999</v>
      </c>
      <c r="E4964" s="784" t="s">
        <v>17</v>
      </c>
      <c r="F4964" s="791">
        <f>I4099/10</f>
        <v>182.03399999999999</v>
      </c>
      <c r="G4964" s="788">
        <v>1</v>
      </c>
      <c r="H4964" s="784" t="s">
        <v>17</v>
      </c>
      <c r="I4964" s="409">
        <f>IF(G4964="",D4964*F4964,(D4964*F4964/G4964))</f>
        <v>1441.7092799999998</v>
      </c>
      <c r="J4964" s="462"/>
      <c r="K4964" s="463"/>
      <c r="L4964" s="463"/>
    </row>
    <row r="4965" spans="1:12" ht="13">
      <c r="A4965" s="406"/>
      <c r="B4965" s="406"/>
      <c r="C4965" s="476" t="s">
        <v>1771</v>
      </c>
      <c r="D4965" s="494">
        <f>[161]Input!$D$48</f>
        <v>0.13614999999999999</v>
      </c>
      <c r="E4965" s="407"/>
      <c r="F4965" s="787">
        <f>+SUM(I4954:I4964)</f>
        <v>87075.169280000002</v>
      </c>
      <c r="G4965" s="410"/>
      <c r="H4965" s="426"/>
      <c r="I4965" s="409">
        <f>+D4965*F4965</f>
        <v>11855.284297471999</v>
      </c>
      <c r="J4965" s="462"/>
      <c r="K4965" s="463"/>
      <c r="L4965" s="463"/>
    </row>
    <row r="4966" spans="1:12">
      <c r="A4966" s="406"/>
      <c r="B4966" s="406"/>
      <c r="C4966" s="417" t="s">
        <v>1772</v>
      </c>
      <c r="D4966" s="406"/>
      <c r="E4966" s="784"/>
      <c r="F4966" s="406"/>
      <c r="G4966" s="410"/>
      <c r="H4966" s="426"/>
      <c r="I4966" s="409">
        <f>+SUM(I4954:I4965)</f>
        <v>98930.453577471999</v>
      </c>
      <c r="J4966" s="462"/>
      <c r="K4966" s="463"/>
      <c r="L4966" s="463"/>
    </row>
    <row r="4967" spans="1:12" ht="13">
      <c r="A4967" s="406"/>
      <c r="B4967" s="406"/>
      <c r="C4967" s="427" t="s">
        <v>1773</v>
      </c>
      <c r="D4967" s="406"/>
      <c r="E4967" s="784"/>
      <c r="F4967" s="406"/>
      <c r="G4967" s="410"/>
      <c r="H4967" s="426"/>
      <c r="I4967" s="434">
        <f>+ROUND(I4966/30,2)</f>
        <v>3297.68</v>
      </c>
      <c r="J4967" s="462"/>
      <c r="K4967" s="463"/>
      <c r="L4967" s="463"/>
    </row>
    <row r="4968" spans="1:12" ht="13">
      <c r="A4968" s="406"/>
      <c r="B4968" s="406"/>
      <c r="C4968" s="427" t="s">
        <v>1774</v>
      </c>
      <c r="D4968" s="406"/>
      <c r="E4968" s="784"/>
      <c r="F4968" s="409"/>
      <c r="G4968" s="410"/>
      <c r="H4968" s="426" t="s">
        <v>1322</v>
      </c>
      <c r="I4968" s="792">
        <f>+ROUND(I4967,2)</f>
        <v>3297.68</v>
      </c>
      <c r="J4968" s="462"/>
      <c r="K4968" s="463"/>
      <c r="L4968" s="463"/>
    </row>
    <row r="4969" spans="1:12" ht="13">
      <c r="A4969" s="406"/>
      <c r="B4969" s="406"/>
      <c r="C4969" s="731" t="s">
        <v>1775</v>
      </c>
      <c r="D4969" s="409"/>
      <c r="E4969" s="426"/>
      <c r="F4969" s="409"/>
      <c r="G4969" s="426"/>
      <c r="H4969" s="426"/>
      <c r="I4969" s="434">
        <f>I4966/90</f>
        <v>1099.227261971911</v>
      </c>
      <c r="J4969" s="462"/>
      <c r="K4969" s="463"/>
      <c r="L4969" s="463"/>
    </row>
    <row r="4970" spans="1:12">
      <c r="A4970" s="426"/>
      <c r="B4970" s="426"/>
      <c r="C4970" s="417"/>
      <c r="D4970" s="409"/>
      <c r="E4970" s="426"/>
      <c r="F4970" s="409"/>
      <c r="G4970" s="410"/>
      <c r="H4970" s="426"/>
      <c r="I4970" s="409"/>
      <c r="J4970" s="462"/>
      <c r="K4970" s="463"/>
      <c r="L4970" s="463"/>
    </row>
    <row r="4971" spans="1:12" ht="58.9" customHeight="1">
      <c r="A4971" s="458">
        <f>1+A4949</f>
        <v>42</v>
      </c>
      <c r="B4971" s="458"/>
      <c r="C4971" s="1276" t="s">
        <v>1776</v>
      </c>
      <c r="D4971" s="1276"/>
      <c r="E4971" s="1276"/>
      <c r="F4971" s="1276"/>
      <c r="G4971" s="1276"/>
      <c r="H4971" s="1276"/>
      <c r="I4971" s="1276"/>
      <c r="J4971" s="462"/>
      <c r="K4971" s="463"/>
      <c r="L4971" s="463"/>
    </row>
    <row r="4972" spans="1:12">
      <c r="A4972" s="458"/>
      <c r="B4972" s="458"/>
      <c r="C4972" s="417" t="s">
        <v>779</v>
      </c>
      <c r="D4972" s="408"/>
      <c r="E4972" s="408"/>
      <c r="F4972" s="408"/>
      <c r="G4972" s="430"/>
      <c r="H4972" s="456" t="str">
        <f>IF(E4972="","",IF(E4972="No.","Each",IF(E4972="Nos.","Each",E4972)))</f>
        <v/>
      </c>
      <c r="I4972" s="408"/>
      <c r="J4972" s="462"/>
      <c r="K4972" s="463"/>
      <c r="L4972" s="463"/>
    </row>
    <row r="4973" spans="1:12">
      <c r="A4973" s="458"/>
      <c r="B4973" s="458"/>
      <c r="C4973" s="417" t="s">
        <v>1777</v>
      </c>
      <c r="D4973" s="621"/>
      <c r="E4973" s="454"/>
      <c r="F4973" s="408"/>
      <c r="G4973" s="410"/>
      <c r="H4973" s="426"/>
      <c r="I4973" s="408"/>
      <c r="J4973" s="462"/>
      <c r="K4973" s="463"/>
      <c r="L4973" s="463"/>
    </row>
    <row r="4974" spans="1:12" ht="13">
      <c r="A4974" s="458"/>
      <c r="B4974" s="458"/>
      <c r="C4974" s="417" t="s">
        <v>781</v>
      </c>
      <c r="D4974" s="408"/>
      <c r="E4974" s="408"/>
      <c r="F4974" s="408"/>
      <c r="G4974" s="430"/>
      <c r="H4974" s="414"/>
      <c r="I4974" s="414"/>
      <c r="J4974" s="462"/>
      <c r="K4974" s="463"/>
      <c r="L4974" s="463"/>
    </row>
    <row r="4975" spans="1:12">
      <c r="A4975" s="458"/>
      <c r="B4975" s="458"/>
      <c r="C4975" s="417" t="s">
        <v>1603</v>
      </c>
      <c r="D4975" s="408">
        <v>0.02</v>
      </c>
      <c r="E4975" s="408" t="s">
        <v>375</v>
      </c>
      <c r="F4975" s="408">
        <f>+'[161]Civil-SOR'!$G$304</f>
        <v>550</v>
      </c>
      <c r="G4975" s="430">
        <v>1</v>
      </c>
      <c r="H4975" s="408" t="s">
        <v>678</v>
      </c>
      <c r="I4975" s="408">
        <f t="shared" ref="I4975:I4977" si="1048">IF(G4975="",D4975*F4975,(D4975*F4975/G4975))</f>
        <v>11</v>
      </c>
      <c r="J4975" s="462"/>
      <c r="K4975" s="463"/>
      <c r="L4975" s="463"/>
    </row>
    <row r="4976" spans="1:12">
      <c r="A4976" s="458"/>
      <c r="B4976" s="458"/>
      <c r="C4976" s="417" t="s">
        <v>782</v>
      </c>
      <c r="D4976" s="408">
        <v>0.5</v>
      </c>
      <c r="E4976" s="408" t="s">
        <v>375</v>
      </c>
      <c r="F4976" s="408">
        <f>+'[161]Civil-SOR'!$G$307</f>
        <v>520</v>
      </c>
      <c r="G4976" s="430">
        <v>1</v>
      </c>
      <c r="H4976" s="408" t="s">
        <v>678</v>
      </c>
      <c r="I4976" s="408">
        <f t="shared" si="1048"/>
        <v>260</v>
      </c>
      <c r="J4976" s="462"/>
      <c r="K4976" s="463"/>
      <c r="L4976" s="463"/>
    </row>
    <row r="4977" spans="1:12">
      <c r="A4977" s="458"/>
      <c r="B4977" s="458"/>
      <c r="C4977" s="417" t="str">
        <f>[161]Input!C$47</f>
        <v>Add for MA @ 40%</v>
      </c>
      <c r="D4977" s="746">
        <f>[161]Input!D$47</f>
        <v>0.4</v>
      </c>
      <c r="E4977" s="408"/>
      <c r="F4977" s="408">
        <f>SUM(I4975:I4976)</f>
        <v>271</v>
      </c>
      <c r="G4977" s="430"/>
      <c r="H4977" s="408"/>
      <c r="I4977" s="408">
        <f t="shared" si="1048"/>
        <v>108.4</v>
      </c>
      <c r="J4977" s="462"/>
      <c r="K4977" s="463"/>
      <c r="L4977" s="463"/>
    </row>
    <row r="4978" spans="1:12">
      <c r="A4978" s="458"/>
      <c r="B4978" s="458"/>
      <c r="C4978" s="417" t="s">
        <v>794</v>
      </c>
      <c r="D4978" s="408"/>
      <c r="E4978" s="408"/>
      <c r="F4978" s="408"/>
      <c r="G4978" s="430"/>
      <c r="H4978" s="408"/>
      <c r="I4978" s="408"/>
      <c r="J4978" s="462"/>
      <c r="K4978" s="463"/>
      <c r="L4978" s="463"/>
    </row>
    <row r="4979" spans="1:12">
      <c r="A4979" s="458"/>
      <c r="B4979" s="458"/>
      <c r="C4979" s="417" t="s">
        <v>1778</v>
      </c>
      <c r="D4979" s="408">
        <v>0.5</v>
      </c>
      <c r="E4979" s="408" t="s">
        <v>796</v>
      </c>
      <c r="F4979" s="408">
        <f>+'[161]Civil-SOR'!$G$355</f>
        <v>1934</v>
      </c>
      <c r="G4979" s="430">
        <v>1</v>
      </c>
      <c r="H4979" s="408" t="s">
        <v>797</v>
      </c>
      <c r="I4979" s="408">
        <f t="shared" ref="I4979:I4982" si="1049">IF(G4979="",D4979*F4979,(D4979*F4979/G4979))</f>
        <v>967</v>
      </c>
      <c r="J4979" s="462"/>
      <c r="K4979" s="463"/>
      <c r="L4979" s="463"/>
    </row>
    <row r="4980" spans="1:12">
      <c r="A4980" s="458"/>
      <c r="B4980" s="458"/>
      <c r="C4980" s="417" t="s">
        <v>1779</v>
      </c>
      <c r="D4980" s="408">
        <v>1</v>
      </c>
      <c r="E4980" s="408" t="s">
        <v>796</v>
      </c>
      <c r="F4980" s="408">
        <f>+'[161]Civil-SOR'!$G$360</f>
        <v>3962</v>
      </c>
      <c r="G4980" s="430">
        <v>1</v>
      </c>
      <c r="H4980" s="408" t="s">
        <v>797</v>
      </c>
      <c r="I4980" s="408">
        <f t="shared" si="1049"/>
        <v>3962</v>
      </c>
      <c r="J4980" s="462"/>
      <c r="K4980" s="463"/>
      <c r="L4980" s="463"/>
    </row>
    <row r="4981" spans="1:12">
      <c r="A4981" s="458"/>
      <c r="B4981" s="458"/>
      <c r="C4981" s="417" t="s">
        <v>1780</v>
      </c>
      <c r="D4981" s="408">
        <v>4</v>
      </c>
      <c r="E4981" s="408" t="s">
        <v>796</v>
      </c>
      <c r="F4981" s="408">
        <f>+'[161]Civil-SOR'!$G$357</f>
        <v>769</v>
      </c>
      <c r="G4981" s="430">
        <v>1</v>
      </c>
      <c r="H4981" s="408" t="s">
        <v>797</v>
      </c>
      <c r="I4981" s="408">
        <f t="shared" si="1049"/>
        <v>3076</v>
      </c>
      <c r="J4981" s="462"/>
      <c r="K4981" s="463"/>
      <c r="L4981" s="463"/>
    </row>
    <row r="4982" spans="1:12">
      <c r="A4982" s="458"/>
      <c r="B4982" s="458"/>
      <c r="C4982" s="417" t="s">
        <v>1781</v>
      </c>
      <c r="D4982" s="408">
        <v>1</v>
      </c>
      <c r="E4982" s="408" t="s">
        <v>796</v>
      </c>
      <c r="F4982" s="408">
        <f>+'[161]Civil-SOR'!$G$356</f>
        <v>3475.2</v>
      </c>
      <c r="G4982" s="430">
        <v>1</v>
      </c>
      <c r="H4982" s="408" t="s">
        <v>797</v>
      </c>
      <c r="I4982" s="408">
        <f t="shared" si="1049"/>
        <v>3475.2</v>
      </c>
      <c r="J4982" s="462"/>
      <c r="K4982" s="463"/>
      <c r="L4982" s="463"/>
    </row>
    <row r="4983" spans="1:12">
      <c r="A4983" s="458"/>
      <c r="B4983" s="458"/>
      <c r="C4983" s="417" t="s">
        <v>1782</v>
      </c>
      <c r="D4983" s="408"/>
      <c r="E4983" s="408"/>
      <c r="F4983" s="408"/>
      <c r="G4983" s="430"/>
      <c r="H4983" s="408"/>
      <c r="I4983" s="408"/>
      <c r="J4983" s="462"/>
      <c r="K4983" s="463"/>
      <c r="L4983" s="463"/>
    </row>
    <row r="4984" spans="1:12">
      <c r="A4984" s="458"/>
      <c r="B4984" s="458"/>
      <c r="C4984" s="417" t="s">
        <v>1783</v>
      </c>
      <c r="D4984" s="408">
        <v>24</v>
      </c>
      <c r="E4984" s="408" t="s">
        <v>1784</v>
      </c>
      <c r="F4984" s="408">
        <f>+[161]Input!$D$53</f>
        <v>108</v>
      </c>
      <c r="G4984" s="430">
        <v>1</v>
      </c>
      <c r="H4984" s="408" t="s">
        <v>1784</v>
      </c>
      <c r="I4984" s="408">
        <f>IF(G4984="",D4984*F4984,(D4984*F4984/G4984))</f>
        <v>2592</v>
      </c>
      <c r="J4984" s="462"/>
      <c r="K4984" s="463"/>
      <c r="L4984" s="463"/>
    </row>
    <row r="4985" spans="1:12">
      <c r="A4985" s="458"/>
      <c r="B4985" s="458"/>
      <c r="C4985" s="417"/>
      <c r="D4985" s="408"/>
      <c r="E4985" s="408"/>
      <c r="F4985" s="408"/>
      <c r="G4985" s="408"/>
      <c r="H4985" s="408"/>
      <c r="I4985" s="408">
        <f>SUM(I4975:I4984)</f>
        <v>14451.599999999999</v>
      </c>
      <c r="J4985" s="462"/>
      <c r="K4985" s="463"/>
      <c r="L4985" s="463"/>
    </row>
    <row r="4986" spans="1:12" ht="13">
      <c r="A4986" s="458"/>
      <c r="B4986" s="458"/>
      <c r="C4986" s="476" t="s">
        <v>1771</v>
      </c>
      <c r="D4986" s="494">
        <f>[161]Input!$D$48</f>
        <v>0.13614999999999999</v>
      </c>
      <c r="E4986" s="408"/>
      <c r="F4986" s="408">
        <f>SUM(I4985:I4985)</f>
        <v>14451.599999999999</v>
      </c>
      <c r="G4986" s="430"/>
      <c r="H4986" s="414"/>
      <c r="I4986" s="408">
        <f>IF(G4986="",D4986*F4986,(D4986*F4986/G4986))</f>
        <v>1967.5853399999996</v>
      </c>
      <c r="J4986" s="462"/>
      <c r="K4986" s="463"/>
      <c r="L4986" s="463"/>
    </row>
    <row r="4987" spans="1:12" ht="13">
      <c r="A4987" s="458"/>
      <c r="B4987" s="458"/>
      <c r="C4987" s="417" t="s">
        <v>1785</v>
      </c>
      <c r="D4987" s="408"/>
      <c r="E4987" s="408"/>
      <c r="F4987" s="408"/>
      <c r="G4987" s="430"/>
      <c r="H4987" s="414"/>
      <c r="I4987" s="408">
        <f>SUM(I4985:I4986)</f>
        <v>16419.185339999996</v>
      </c>
      <c r="J4987" s="462"/>
      <c r="K4987" s="463"/>
      <c r="L4987" s="463"/>
    </row>
    <row r="4988" spans="1:12" ht="13">
      <c r="A4988" s="458"/>
      <c r="B4988" s="458"/>
      <c r="C4988" s="427" t="s">
        <v>1786</v>
      </c>
      <c r="D4988" s="408"/>
      <c r="E4988" s="408"/>
      <c r="F4988" s="408"/>
      <c r="G4988" s="430"/>
      <c r="H4988" s="414"/>
      <c r="I4988" s="414">
        <f>I4987/100</f>
        <v>164.19185339999996</v>
      </c>
      <c r="J4988" s="462"/>
      <c r="K4988" s="463"/>
      <c r="L4988" s="463"/>
    </row>
    <row r="4989" spans="1:12" ht="13">
      <c r="A4989" s="458"/>
      <c r="B4989" s="458"/>
      <c r="C4989" s="427" t="s">
        <v>1787</v>
      </c>
      <c r="D4989" s="408"/>
      <c r="E4989" s="408"/>
      <c r="F4989" s="408"/>
      <c r="G4989" s="430"/>
      <c r="H4989" s="426"/>
      <c r="I4989" s="409">
        <f>SUM(I4988:I4988)</f>
        <v>164.19185339999996</v>
      </c>
      <c r="J4989" s="462"/>
      <c r="K4989" s="463"/>
      <c r="L4989" s="463"/>
    </row>
    <row r="4990" spans="1:12" ht="13">
      <c r="A4990" s="458"/>
      <c r="B4990" s="458"/>
      <c r="C4990" s="427"/>
      <c r="D4990" s="408"/>
      <c r="E4990" s="408"/>
      <c r="F4990" s="408"/>
      <c r="G4990" s="430"/>
      <c r="H4990" s="415" t="s">
        <v>774</v>
      </c>
      <c r="I4990" s="792">
        <f>+ROUND(I4989,0)</f>
        <v>164</v>
      </c>
      <c r="J4990" s="462"/>
      <c r="K4990" s="463"/>
      <c r="L4990" s="463"/>
    </row>
    <row r="4991" spans="1:12" ht="13">
      <c r="A4991" s="458"/>
      <c r="B4991" s="458"/>
      <c r="C4991" s="427"/>
      <c r="D4991" s="408"/>
      <c r="E4991" s="408"/>
      <c r="F4991" s="408"/>
      <c r="G4991" s="430"/>
      <c r="H4991" s="430"/>
      <c r="I4991" s="430"/>
      <c r="J4991" s="462"/>
      <c r="K4991" s="463"/>
      <c r="L4991" s="463"/>
    </row>
    <row r="4992" spans="1:12" ht="47.9" customHeight="1">
      <c r="A4992" s="458">
        <f>1+A4971</f>
        <v>43</v>
      </c>
      <c r="B4992" s="458"/>
      <c r="C4992" s="1276" t="s">
        <v>1788</v>
      </c>
      <c r="D4992" s="1276"/>
      <c r="E4992" s="1276"/>
      <c r="F4992" s="1276"/>
      <c r="G4992" s="1276"/>
      <c r="H4992" s="1276"/>
      <c r="I4992" s="1276"/>
      <c r="J4992" s="793"/>
      <c r="K4992" s="794"/>
      <c r="L4992" s="794"/>
    </row>
    <row r="4993" spans="1:12">
      <c r="A4993" s="458"/>
      <c r="B4993" s="458"/>
      <c r="C4993" s="417" t="s">
        <v>779</v>
      </c>
      <c r="D4993" s="408"/>
      <c r="E4993" s="408"/>
      <c r="F4993" s="408"/>
      <c r="G4993" s="430"/>
      <c r="H4993" s="456" t="str">
        <f>IF(E4993="","",IF(E4993="No.","Each",IF(E4993="Nos.","Each",E4993)))</f>
        <v/>
      </c>
      <c r="I4993" s="408"/>
      <c r="J4993" s="795"/>
      <c r="K4993" s="796"/>
      <c r="L4993" s="796"/>
    </row>
    <row r="4994" spans="1:12">
      <c r="A4994" s="458"/>
      <c r="B4994" s="458"/>
      <c r="C4994" s="417" t="s">
        <v>1777</v>
      </c>
      <c r="D4994" s="621"/>
      <c r="E4994" s="454"/>
      <c r="F4994" s="408"/>
      <c r="G4994" s="410"/>
      <c r="H4994" s="426"/>
      <c r="I4994" s="408"/>
      <c r="J4994" s="795"/>
      <c r="K4994" s="796"/>
      <c r="L4994" s="796"/>
    </row>
    <row r="4995" spans="1:12" ht="13">
      <c r="A4995" s="458"/>
      <c r="B4995" s="458"/>
      <c r="C4995" s="417" t="s">
        <v>781</v>
      </c>
      <c r="D4995" s="408"/>
      <c r="E4995" s="408"/>
      <c r="F4995" s="408"/>
      <c r="G4995" s="430"/>
      <c r="H4995" s="414"/>
      <c r="I4995" s="414"/>
      <c r="J4995" s="795"/>
      <c r="K4995" s="796"/>
      <c r="L4995" s="796"/>
    </row>
    <row r="4996" spans="1:12">
      <c r="A4996" s="458"/>
      <c r="B4996" s="458"/>
      <c r="C4996" s="417" t="s">
        <v>1603</v>
      </c>
      <c r="D4996" s="408">
        <v>0.04</v>
      </c>
      <c r="E4996" s="408" t="s">
        <v>375</v>
      </c>
      <c r="F4996" s="408">
        <f>+'[161]Civil-SOR'!$G$304</f>
        <v>550</v>
      </c>
      <c r="G4996" s="430">
        <v>1</v>
      </c>
      <c r="H4996" s="408" t="s">
        <v>678</v>
      </c>
      <c r="I4996" s="408">
        <f t="shared" ref="I4996:I4998" si="1050">IF(G4996="",D4996*F4996,(D4996*F4996/G4996))</f>
        <v>22</v>
      </c>
      <c r="J4996" s="795"/>
      <c r="K4996" s="796"/>
      <c r="L4996" s="796"/>
    </row>
    <row r="4997" spans="1:12">
      <c r="A4997" s="458"/>
      <c r="B4997" s="458"/>
      <c r="C4997" s="417" t="s">
        <v>782</v>
      </c>
      <c r="D4997" s="408">
        <v>1</v>
      </c>
      <c r="E4997" s="408" t="s">
        <v>375</v>
      </c>
      <c r="F4997" s="408">
        <f>+'[161]Civil-SOR'!$G$307</f>
        <v>520</v>
      </c>
      <c r="G4997" s="430">
        <v>1</v>
      </c>
      <c r="H4997" s="408" t="s">
        <v>678</v>
      </c>
      <c r="I4997" s="408">
        <f t="shared" si="1050"/>
        <v>520</v>
      </c>
      <c r="J4997" s="795"/>
      <c r="K4997" s="796"/>
      <c r="L4997" s="796"/>
    </row>
    <row r="4998" spans="1:12">
      <c r="A4998" s="458"/>
      <c r="B4998" s="458"/>
      <c r="C4998" s="417" t="str">
        <f>[161]Input!C$47</f>
        <v>Add for MA @ 40%</v>
      </c>
      <c r="D4998" s="746">
        <f>[161]Input!D$47</f>
        <v>0.4</v>
      </c>
      <c r="E4998" s="408"/>
      <c r="F4998" s="408">
        <f>SUM(I4996:I4997)</f>
        <v>542</v>
      </c>
      <c r="G4998" s="430"/>
      <c r="H4998" s="408"/>
      <c r="I4998" s="408">
        <f t="shared" si="1050"/>
        <v>216.8</v>
      </c>
      <c r="J4998" s="795"/>
      <c r="K4998" s="796"/>
      <c r="L4998" s="796"/>
    </row>
    <row r="4999" spans="1:12">
      <c r="A4999" s="458"/>
      <c r="B4999" s="458"/>
      <c r="C4999" s="417" t="s">
        <v>794</v>
      </c>
      <c r="D4999" s="408"/>
      <c r="E4999" s="408"/>
      <c r="F4999" s="408"/>
      <c r="G4999" s="430"/>
      <c r="H4999" s="408"/>
      <c r="I4999" s="408"/>
      <c r="J4999" s="795"/>
      <c r="K4999" s="796"/>
      <c r="L4999" s="796"/>
    </row>
    <row r="5000" spans="1:12" ht="25">
      <c r="A5000" s="458"/>
      <c r="B5000" s="458"/>
      <c r="C5000" s="435" t="s">
        <v>1789</v>
      </c>
      <c r="D5000" s="408">
        <v>1.67</v>
      </c>
      <c r="E5000" s="408" t="s">
        <v>796</v>
      </c>
      <c r="F5000" s="408">
        <f>'[161]Civil-SOR'!$G$333</f>
        <v>3185.7</v>
      </c>
      <c r="G5000" s="430">
        <v>1</v>
      </c>
      <c r="H5000" s="408" t="s">
        <v>797</v>
      </c>
      <c r="I5000" s="408">
        <f>IF(G5000="",D5000*F5000,(D5000*F5000/G5000))</f>
        <v>5320.1189999999997</v>
      </c>
      <c r="J5000" s="795"/>
      <c r="K5000" s="796"/>
      <c r="L5000" s="796"/>
    </row>
    <row r="5001" spans="1:12" ht="25">
      <c r="A5001" s="458"/>
      <c r="B5001" s="458"/>
      <c r="C5001" s="435" t="s">
        <v>1790</v>
      </c>
      <c r="D5001" s="408" t="s">
        <v>1791</v>
      </c>
      <c r="E5001" s="408" t="s">
        <v>1792</v>
      </c>
      <c r="F5001" s="408">
        <v>9</v>
      </c>
      <c r="G5001" s="430">
        <v>1</v>
      </c>
      <c r="H5001" s="408" t="s">
        <v>1792</v>
      </c>
      <c r="I5001" s="408">
        <f>160*8*5</f>
        <v>6400</v>
      </c>
      <c r="J5001" s="795"/>
      <c r="K5001" s="796"/>
      <c r="L5001" s="796"/>
    </row>
    <row r="5002" spans="1:12">
      <c r="A5002" s="458"/>
      <c r="B5002" s="458"/>
      <c r="C5002" s="417" t="s">
        <v>1793</v>
      </c>
      <c r="D5002" s="408">
        <v>0.5</v>
      </c>
      <c r="E5002" s="408" t="s">
        <v>796</v>
      </c>
      <c r="F5002" s="408">
        <f>+'[161]Civil-SOR'!$G$355</f>
        <v>1934</v>
      </c>
      <c r="G5002" s="430">
        <v>1</v>
      </c>
      <c r="H5002" s="408" t="s">
        <v>797</v>
      </c>
      <c r="I5002" s="408">
        <f t="shared" ref="I5002:I5005" si="1051">IF(G5002="",D5002*F5002,(D5002*F5002/G5002))</f>
        <v>967</v>
      </c>
      <c r="J5002" s="795"/>
      <c r="K5002" s="796"/>
      <c r="L5002" s="796"/>
    </row>
    <row r="5003" spans="1:12">
      <c r="A5003" s="458"/>
      <c r="B5003" s="458"/>
      <c r="C5003" s="417" t="s">
        <v>1779</v>
      </c>
      <c r="D5003" s="408">
        <v>1</v>
      </c>
      <c r="E5003" s="408" t="s">
        <v>796</v>
      </c>
      <c r="F5003" s="408">
        <f>+'[161]Civil-SOR'!$G$360</f>
        <v>3962</v>
      </c>
      <c r="G5003" s="430">
        <v>1</v>
      </c>
      <c r="H5003" s="408" t="s">
        <v>797</v>
      </c>
      <c r="I5003" s="408">
        <f t="shared" si="1051"/>
        <v>3962</v>
      </c>
      <c r="J5003" s="795"/>
      <c r="K5003" s="796"/>
      <c r="L5003" s="796"/>
    </row>
    <row r="5004" spans="1:12">
      <c r="A5004" s="458"/>
      <c r="B5004" s="458"/>
      <c r="C5004" s="417" t="s">
        <v>1780</v>
      </c>
      <c r="D5004" s="408">
        <v>4</v>
      </c>
      <c r="E5004" s="408" t="s">
        <v>796</v>
      </c>
      <c r="F5004" s="408">
        <f>+'[161]Civil-SOR'!$G$357</f>
        <v>769</v>
      </c>
      <c r="G5004" s="430">
        <v>1</v>
      </c>
      <c r="H5004" s="408" t="s">
        <v>797</v>
      </c>
      <c r="I5004" s="408">
        <f t="shared" si="1051"/>
        <v>3076</v>
      </c>
      <c r="J5004" s="795"/>
      <c r="K5004" s="796"/>
      <c r="L5004" s="796"/>
    </row>
    <row r="5005" spans="1:12">
      <c r="A5005" s="458"/>
      <c r="B5005" s="458"/>
      <c r="C5005" s="417" t="s">
        <v>1781</v>
      </c>
      <c r="D5005" s="408">
        <v>1</v>
      </c>
      <c r="E5005" s="408" t="s">
        <v>796</v>
      </c>
      <c r="F5005" s="408">
        <f>+'[161]Civil-SOR'!$G$356</f>
        <v>3475.2</v>
      </c>
      <c r="G5005" s="430">
        <v>1</v>
      </c>
      <c r="H5005" s="408" t="s">
        <v>797</v>
      </c>
      <c r="I5005" s="408">
        <f t="shared" si="1051"/>
        <v>3475.2</v>
      </c>
      <c r="J5005" s="795"/>
      <c r="K5005" s="796"/>
      <c r="L5005" s="796"/>
    </row>
    <row r="5006" spans="1:12">
      <c r="A5006" s="458"/>
      <c r="B5006" s="458"/>
      <c r="C5006" s="417" t="s">
        <v>1782</v>
      </c>
      <c r="D5006" s="408"/>
      <c r="E5006" s="408"/>
      <c r="F5006" s="408"/>
      <c r="G5006" s="430"/>
      <c r="H5006" s="408"/>
      <c r="I5006" s="408"/>
      <c r="J5006" s="795"/>
      <c r="K5006" s="796"/>
      <c r="L5006" s="796"/>
    </row>
    <row r="5007" spans="1:12">
      <c r="A5007" s="458"/>
      <c r="B5007" s="458"/>
      <c r="C5007" s="417" t="s">
        <v>1783</v>
      </c>
      <c r="D5007" s="408">
        <v>24</v>
      </c>
      <c r="E5007" s="408" t="s">
        <v>1784</v>
      </c>
      <c r="F5007" s="408">
        <f>+[161]Input!$D$53</f>
        <v>108</v>
      </c>
      <c r="G5007" s="430">
        <v>1</v>
      </c>
      <c r="H5007" s="408" t="s">
        <v>1784</v>
      </c>
      <c r="I5007" s="408">
        <f t="shared" ref="I5007:I5008" si="1052">IF(G5007="",D5007*F5007,(D5007*F5007/G5007))</f>
        <v>2592</v>
      </c>
      <c r="J5007" s="795"/>
      <c r="K5007" s="796"/>
      <c r="L5007" s="796"/>
    </row>
    <row r="5008" spans="1:12" ht="25">
      <c r="A5008" s="458"/>
      <c r="B5008" s="458"/>
      <c r="C5008" s="417" t="s">
        <v>1794</v>
      </c>
      <c r="D5008" s="408">
        <v>100</v>
      </c>
      <c r="E5008" s="408" t="s">
        <v>57</v>
      </c>
      <c r="F5008" s="408">
        <v>72</v>
      </c>
      <c r="G5008" s="430">
        <v>1</v>
      </c>
      <c r="H5008" s="408" t="s">
        <v>1784</v>
      </c>
      <c r="I5008" s="408">
        <f t="shared" si="1052"/>
        <v>7200</v>
      </c>
      <c r="J5008" s="795"/>
      <c r="K5008" s="796"/>
      <c r="L5008" s="796"/>
    </row>
    <row r="5009" spans="1:12">
      <c r="A5009" s="458"/>
      <c r="B5009" s="458"/>
      <c r="C5009" s="417"/>
      <c r="D5009" s="408"/>
      <c r="E5009" s="408"/>
      <c r="F5009" s="408"/>
      <c r="G5009" s="408"/>
      <c r="H5009" s="408"/>
      <c r="I5009" s="408">
        <f>SUM(I4996:I5008)</f>
        <v>33751.119000000006</v>
      </c>
      <c r="J5009" s="795"/>
      <c r="K5009" s="796"/>
      <c r="L5009" s="796"/>
    </row>
    <row r="5010" spans="1:12" ht="13">
      <c r="A5010" s="458"/>
      <c r="B5010" s="458"/>
      <c r="C5010" s="476" t="s">
        <v>1771</v>
      </c>
      <c r="D5010" s="494">
        <f>[161]Input!$D$48</f>
        <v>0.13614999999999999</v>
      </c>
      <c r="E5010" s="408"/>
      <c r="F5010" s="408">
        <f>SUM(I5009:I5009)</f>
        <v>33751.119000000006</v>
      </c>
      <c r="G5010" s="430"/>
      <c r="H5010" s="414"/>
      <c r="I5010" s="408">
        <f>IF(G5010="",D5010*F5010,(D5010*F5010/G5010))</f>
        <v>4595.2148518500007</v>
      </c>
      <c r="J5010" s="795"/>
      <c r="K5010" s="796"/>
      <c r="L5010" s="796"/>
    </row>
    <row r="5011" spans="1:12" ht="13">
      <c r="A5011" s="458"/>
      <c r="B5011" s="458"/>
      <c r="C5011" s="417" t="s">
        <v>1785</v>
      </c>
      <c r="D5011" s="408"/>
      <c r="E5011" s="408"/>
      <c r="F5011" s="408"/>
      <c r="G5011" s="430"/>
      <c r="H5011" s="414"/>
      <c r="I5011" s="408">
        <f>SUM(I5009:I5010)</f>
        <v>38346.33385185001</v>
      </c>
      <c r="J5011" s="795"/>
      <c r="K5011" s="796"/>
      <c r="L5011" s="796"/>
    </row>
    <row r="5012" spans="1:12" ht="13">
      <c r="A5012" s="458"/>
      <c r="B5012" s="458"/>
      <c r="C5012" s="427" t="s">
        <v>1786</v>
      </c>
      <c r="D5012" s="408"/>
      <c r="E5012" s="408"/>
      <c r="F5012" s="408"/>
      <c r="G5012" s="430"/>
      <c r="H5012" s="414"/>
      <c r="I5012" s="414">
        <f>I5011/100</f>
        <v>383.46333851850011</v>
      </c>
      <c r="J5012" s="795"/>
      <c r="K5012" s="796"/>
      <c r="L5012" s="796"/>
    </row>
    <row r="5013" spans="1:12" ht="13">
      <c r="A5013" s="458"/>
      <c r="B5013" s="458"/>
      <c r="C5013" s="427" t="s">
        <v>1787</v>
      </c>
      <c r="D5013" s="408"/>
      <c r="E5013" s="408"/>
      <c r="F5013" s="408"/>
      <c r="G5013" s="430"/>
      <c r="H5013" s="426"/>
      <c r="I5013" s="409">
        <f>SUM(I5012:I5012)</f>
        <v>383.46333851850011</v>
      </c>
      <c r="J5013" s="795"/>
      <c r="K5013" s="796"/>
      <c r="L5013" s="796"/>
    </row>
    <row r="5014" spans="1:12" ht="13">
      <c r="A5014" s="458"/>
      <c r="B5014" s="458"/>
      <c r="C5014" s="427"/>
      <c r="D5014" s="408"/>
      <c r="E5014" s="408"/>
      <c r="F5014" s="408"/>
      <c r="G5014" s="430"/>
      <c r="H5014" s="415" t="s">
        <v>774</v>
      </c>
      <c r="I5014" s="792">
        <f>+ROUND(I5013,0)</f>
        <v>383</v>
      </c>
      <c r="J5014" s="795"/>
      <c r="K5014" s="796"/>
      <c r="L5014" s="796"/>
    </row>
    <row r="5015" spans="1:12">
      <c r="A5015" s="426"/>
      <c r="B5015" s="426"/>
      <c r="C5015" s="417"/>
      <c r="D5015" s="409"/>
      <c r="E5015" s="426"/>
      <c r="F5015" s="409"/>
      <c r="G5015" s="410"/>
      <c r="H5015" s="426"/>
      <c r="I5015" s="409"/>
      <c r="J5015" s="795"/>
      <c r="K5015" s="796"/>
      <c r="L5015" s="796"/>
    </row>
    <row r="5016" spans="1:12">
      <c r="A5016" s="426"/>
      <c r="B5016" s="426"/>
      <c r="C5016" s="417"/>
      <c r="D5016" s="409"/>
      <c r="E5016" s="426"/>
      <c r="F5016" s="409"/>
      <c r="G5016" s="410"/>
      <c r="H5016" s="426"/>
      <c r="I5016" s="409"/>
      <c r="J5016" s="795"/>
      <c r="K5016" s="796"/>
      <c r="L5016" s="796"/>
    </row>
    <row r="5017" spans="1:12">
      <c r="A5017" s="426"/>
      <c r="B5017" s="426"/>
      <c r="C5017" s="417"/>
      <c r="D5017" s="409"/>
      <c r="E5017" s="426"/>
      <c r="F5017" s="409"/>
      <c r="G5017" s="410"/>
      <c r="H5017" s="426"/>
      <c r="I5017" s="409"/>
      <c r="J5017" s="559"/>
      <c r="K5017" s="559"/>
      <c r="L5017" s="559"/>
    </row>
    <row r="5018" spans="1:12" ht="54.75" customHeight="1">
      <c r="A5018" s="797">
        <v>16</v>
      </c>
      <c r="B5018" s="798"/>
      <c r="C5018" s="1273" t="s">
        <v>1795</v>
      </c>
      <c r="D5018" s="1274"/>
      <c r="E5018" s="1274"/>
      <c r="F5018" s="1274"/>
      <c r="G5018" s="1274"/>
      <c r="H5018" s="1274"/>
      <c r="I5018" s="1274"/>
    </row>
    <row r="5019" spans="1:12">
      <c r="A5019" s="798"/>
      <c r="B5019" s="798" t="s">
        <v>965</v>
      </c>
      <c r="C5019" s="801" t="s">
        <v>1796</v>
      </c>
      <c r="D5019" s="802">
        <v>0.3</v>
      </c>
      <c r="E5019" s="803" t="s">
        <v>666</v>
      </c>
      <c r="F5019" s="804">
        <f>'[161]Civil-SOR'!G307</f>
        <v>520</v>
      </c>
      <c r="G5019" s="803">
        <v>1</v>
      </c>
      <c r="H5019" s="803" t="s">
        <v>666</v>
      </c>
      <c r="I5019" s="802">
        <f>IF(G5019="",D5019*F5019,(D5019*F5019/G5019))</f>
        <v>156</v>
      </c>
    </row>
    <row r="5020" spans="1:12">
      <c r="A5020" s="798"/>
      <c r="B5020" s="798"/>
      <c r="C5020" s="805" t="str">
        <f>[161]Input!C47</f>
        <v>Add for MA @ 40%</v>
      </c>
      <c r="D5020" s="802">
        <f>[161]Input!D47</f>
        <v>0.4</v>
      </c>
      <c r="E5020" s="803"/>
      <c r="F5020" s="804">
        <f>I5019+I5022</f>
        <v>269.60000000000002</v>
      </c>
      <c r="G5020" s="803"/>
      <c r="H5020" s="803"/>
      <c r="I5020" s="802">
        <f>IF(G5020="",D5020*F5020,(D5020*F5020/G5020))</f>
        <v>107.84000000000002</v>
      </c>
    </row>
    <row r="5021" spans="1:12" ht="25.5">
      <c r="A5021" s="798"/>
      <c r="B5021" s="798" t="s">
        <v>1797</v>
      </c>
      <c r="C5021" s="801" t="s">
        <v>1798</v>
      </c>
      <c r="D5021" s="803"/>
      <c r="E5021" s="803"/>
      <c r="F5021" s="804"/>
      <c r="G5021" s="803"/>
      <c r="H5021" s="803"/>
      <c r="I5021" s="802"/>
    </row>
    <row r="5022" spans="1:12" ht="13">
      <c r="A5022" s="798"/>
      <c r="B5022" s="798"/>
      <c r="C5022" s="806" t="s">
        <v>1799</v>
      </c>
      <c r="D5022" s="803">
        <v>1</v>
      </c>
      <c r="E5022" s="803" t="s">
        <v>666</v>
      </c>
      <c r="F5022" s="804">
        <f>[161]conveyance!D12</f>
        <v>113.6</v>
      </c>
      <c r="G5022" s="803">
        <v>1</v>
      </c>
      <c r="H5022" s="803" t="s">
        <v>666</v>
      </c>
      <c r="I5022" s="802">
        <f>IF(G5022="",D5022*F5022,(D5022*F5022/G5022))</f>
        <v>113.6</v>
      </c>
    </row>
    <row r="5023" spans="1:12" s="809" customFormat="1" ht="13">
      <c r="A5023" s="807"/>
      <c r="B5023" s="798"/>
      <c r="C5023" s="806" t="s">
        <v>1800</v>
      </c>
      <c r="D5023" s="803">
        <v>1</v>
      </c>
      <c r="E5023" s="803" t="s">
        <v>666</v>
      </c>
      <c r="F5023" s="804">
        <f>[161]conveyance!D13</f>
        <v>17</v>
      </c>
      <c r="G5023" s="803">
        <v>1</v>
      </c>
      <c r="H5023" s="803" t="s">
        <v>666</v>
      </c>
      <c r="I5023" s="802">
        <f>IF(G5023="",D5023*F5023,(D5023*F5023/G5023))</f>
        <v>17</v>
      </c>
      <c r="J5023" s="808"/>
      <c r="K5023" s="808"/>
      <c r="L5023" s="808"/>
    </row>
    <row r="5024" spans="1:12">
      <c r="A5024" s="798"/>
      <c r="B5024" s="798"/>
      <c r="C5024" s="801"/>
      <c r="D5024" s="803"/>
      <c r="E5024" s="803"/>
      <c r="F5024" s="807"/>
      <c r="G5024" s="803"/>
      <c r="H5024" s="803"/>
      <c r="I5024" s="804">
        <f>SUM(I5019:I5022)</f>
        <v>377.44000000000005</v>
      </c>
    </row>
    <row r="5025" spans="1:9">
      <c r="A5025" s="798"/>
      <c r="B5025" s="798"/>
      <c r="C5025" s="800" t="str">
        <f>[162]Input!$C$37</f>
        <v>Overheads&amp;Contractors Profit @14%</v>
      </c>
      <c r="D5025" s="802">
        <v>0</v>
      </c>
      <c r="E5025" s="803"/>
      <c r="F5025" s="802">
        <f>I5024</f>
        <v>377.44000000000005</v>
      </c>
      <c r="G5025" s="803"/>
      <c r="H5025" s="803"/>
      <c r="I5025" s="802">
        <f>IF(G5025="",D5025*F5025,(D5025*F5025/G5025))</f>
        <v>0</v>
      </c>
    </row>
    <row r="5026" spans="1:9">
      <c r="A5026" s="798"/>
      <c r="B5026" s="798"/>
      <c r="C5026" s="800"/>
      <c r="D5026" s="803"/>
      <c r="E5026" s="803"/>
      <c r="F5026" s="803"/>
      <c r="G5026" s="803"/>
      <c r="H5026" s="803"/>
      <c r="I5026" s="802">
        <f>SUM(I5024:I5025)</f>
        <v>377.44000000000005</v>
      </c>
    </row>
    <row r="5027" spans="1:9" ht="13">
      <c r="A5027" s="798"/>
      <c r="B5027" s="798"/>
      <c r="C5027" s="799" t="s">
        <v>724</v>
      </c>
      <c r="D5027" s="803"/>
      <c r="E5027" s="803"/>
      <c r="F5027" s="803"/>
      <c r="G5027" s="803"/>
      <c r="H5027" s="810" t="s">
        <v>774</v>
      </c>
      <c r="I5027" s="811">
        <f>ROUND(I5026,0)</f>
        <v>377</v>
      </c>
    </row>
    <row r="5028" spans="1:9">
      <c r="A5028" s="426"/>
      <c r="B5028" s="426"/>
      <c r="C5028" s="417"/>
      <c r="D5028" s="409"/>
      <c r="E5028" s="426"/>
      <c r="F5028" s="409"/>
      <c r="G5028" s="410"/>
      <c r="H5028" s="426"/>
      <c r="I5028" s="409"/>
    </row>
    <row r="5029" spans="1:9" s="559" customFormat="1" ht="45.75" customHeight="1">
      <c r="A5029" s="1275">
        <f>[161]Joinery!A1242+1</f>
        <v>13</v>
      </c>
      <c r="B5029" s="1275"/>
      <c r="C5029" s="1276" t="s">
        <v>1801</v>
      </c>
      <c r="D5029" s="1276"/>
      <c r="E5029" s="1276"/>
      <c r="F5029" s="1276"/>
      <c r="G5029" s="1276"/>
      <c r="H5029" s="1276"/>
      <c r="I5029" s="427"/>
    </row>
    <row r="5030" spans="1:9" s="816" customFormat="1" ht="28.5">
      <c r="A5030" s="812"/>
      <c r="B5030" s="813"/>
      <c r="C5030" s="814" t="s">
        <v>1802</v>
      </c>
      <c r="D5030" s="813">
        <v>1</v>
      </c>
      <c r="E5030" s="813" t="s">
        <v>62</v>
      </c>
      <c r="F5030" s="815">
        <v>1427</v>
      </c>
      <c r="G5030" s="813">
        <v>1</v>
      </c>
      <c r="H5030" s="813" t="s">
        <v>1361</v>
      </c>
      <c r="I5030" s="815">
        <f t="shared" ref="I5030:I5031" si="1053">IF(G5030="",D5030*F5030,(D5030*F5030/G5030))</f>
        <v>1427</v>
      </c>
    </row>
    <row r="5031" spans="1:9" s="816" customFormat="1" ht="14.5">
      <c r="A5031" s="812"/>
      <c r="B5031" s="813"/>
      <c r="C5031" s="813" t="str">
        <f>[161]Input!$C$47</f>
        <v>Add for MA @ 40%</v>
      </c>
      <c r="D5031" s="817">
        <f>[161]Input!D47</f>
        <v>0.4</v>
      </c>
      <c r="E5031" s="813"/>
      <c r="F5031" s="815">
        <f>I5030</f>
        <v>1427</v>
      </c>
      <c r="G5031" s="813"/>
      <c r="H5031" s="813"/>
      <c r="I5031" s="815">
        <f t="shared" si="1053"/>
        <v>570.80000000000007</v>
      </c>
    </row>
    <row r="5032" spans="1:9" s="816" customFormat="1" ht="14.5">
      <c r="A5032" s="812"/>
      <c r="B5032" s="813"/>
      <c r="C5032" s="813"/>
      <c r="D5032" s="813"/>
      <c r="E5032" s="813"/>
      <c r="F5032" s="815"/>
      <c r="G5032" s="813"/>
      <c r="H5032" s="813"/>
      <c r="I5032" s="815">
        <f>SUM(I5030:I5031)</f>
        <v>1997.8000000000002</v>
      </c>
    </row>
    <row r="5033" spans="1:9" s="816" customFormat="1" ht="14.5">
      <c r="A5033" s="812"/>
      <c r="B5033" s="813"/>
      <c r="C5033" s="813" t="str">
        <f>[161]Input!$C$48</f>
        <v>Overheads &amp; Contractors Profit @ 13.615%</v>
      </c>
      <c r="D5033" s="813">
        <f>[161]Input!D48</f>
        <v>0.13614999999999999</v>
      </c>
      <c r="E5033" s="813"/>
      <c r="F5033" s="815">
        <f>I5032</f>
        <v>1997.8000000000002</v>
      </c>
      <c r="G5033" s="813"/>
      <c r="H5033" s="813"/>
      <c r="I5033" s="815">
        <f>IF(G5033="",D5033*F5033,(D5033*F5033/G5033))</f>
        <v>272.00047000000001</v>
      </c>
    </row>
    <row r="5034" spans="1:9" s="816" customFormat="1" ht="14.5">
      <c r="A5034" s="812"/>
      <c r="B5034" s="813"/>
      <c r="C5034" s="813" t="s">
        <v>1803</v>
      </c>
      <c r="D5034" s="813"/>
      <c r="E5034" s="813"/>
      <c r="F5034" s="815"/>
      <c r="G5034" s="813"/>
      <c r="H5034" s="813"/>
      <c r="I5034" s="815">
        <f>ROUND(SUM(I5032:I5033),2)</f>
        <v>2269.8000000000002</v>
      </c>
    </row>
    <row r="5035" spans="1:9">
      <c r="A5035" s="426"/>
      <c r="B5035" s="426"/>
      <c r="C5035" s="417"/>
      <c r="D5035" s="409"/>
      <c r="E5035" s="426"/>
      <c r="F5035" s="409"/>
      <c r="G5035" s="410"/>
      <c r="H5035" s="426" t="s">
        <v>1346</v>
      </c>
      <c r="I5035" s="409">
        <f>ROUND(I5034,0)</f>
        <v>2270</v>
      </c>
    </row>
  </sheetData>
  <sheetProtection selectLockedCells="1" selectUnlockedCells="1"/>
  <mergeCells count="388">
    <mergeCell ref="C18:F18"/>
    <mergeCell ref="C22:E22"/>
    <mergeCell ref="A23:I23"/>
    <mergeCell ref="A24:B24"/>
    <mergeCell ref="D24:E24"/>
    <mergeCell ref="G24:H24"/>
    <mergeCell ref="A1:I1"/>
    <mergeCell ref="A2:I2"/>
    <mergeCell ref="A3:B4"/>
    <mergeCell ref="C3:C4"/>
    <mergeCell ref="C11:F11"/>
    <mergeCell ref="C16:E16"/>
    <mergeCell ref="C68:E68"/>
    <mergeCell ref="C85:E85"/>
    <mergeCell ref="C94:G94"/>
    <mergeCell ref="C103:E103"/>
    <mergeCell ref="C130:G130"/>
    <mergeCell ref="A139:B139"/>
    <mergeCell ref="C139:G139"/>
    <mergeCell ref="C26:H26"/>
    <mergeCell ref="C34:G34"/>
    <mergeCell ref="C36:E36"/>
    <mergeCell ref="C43:G43"/>
    <mergeCell ref="C45:E45"/>
    <mergeCell ref="C58:E58"/>
    <mergeCell ref="C213:H213"/>
    <mergeCell ref="C215:E215"/>
    <mergeCell ref="C231:H231"/>
    <mergeCell ref="C233:F233"/>
    <mergeCell ref="C245:H245"/>
    <mergeCell ref="C247:G247"/>
    <mergeCell ref="C148:H148"/>
    <mergeCell ref="C172:H172"/>
    <mergeCell ref="C174:E174"/>
    <mergeCell ref="C186:H186"/>
    <mergeCell ref="C195:H195"/>
    <mergeCell ref="C197:E197"/>
    <mergeCell ref="A308:B308"/>
    <mergeCell ref="C308:H308"/>
    <mergeCell ref="A313:B313"/>
    <mergeCell ref="C313:I313"/>
    <mergeCell ref="A320:B320"/>
    <mergeCell ref="C320:H320"/>
    <mergeCell ref="A263:B263"/>
    <mergeCell ref="C263:H263"/>
    <mergeCell ref="C264:G264"/>
    <mergeCell ref="A288:B288"/>
    <mergeCell ref="C288:H288"/>
    <mergeCell ref="C289:G289"/>
    <mergeCell ref="A396:B396"/>
    <mergeCell ref="C396:H396"/>
    <mergeCell ref="A417:B417"/>
    <mergeCell ref="C417:H417"/>
    <mergeCell ref="A435:B435"/>
    <mergeCell ref="C435:H435"/>
    <mergeCell ref="A334:B334"/>
    <mergeCell ref="C334:H334"/>
    <mergeCell ref="A354:B354"/>
    <mergeCell ref="C354:H354"/>
    <mergeCell ref="A375:B375"/>
    <mergeCell ref="C375:H375"/>
    <mergeCell ref="C555:D555"/>
    <mergeCell ref="C565:D565"/>
    <mergeCell ref="C575:D575"/>
    <mergeCell ref="C584:D584"/>
    <mergeCell ref="C594:D594"/>
    <mergeCell ref="C604:D604"/>
    <mergeCell ref="A453:B453"/>
    <mergeCell ref="C453:H453"/>
    <mergeCell ref="C473:I473"/>
    <mergeCell ref="C494:H494"/>
    <mergeCell ref="C496:G496"/>
    <mergeCell ref="C545:D545"/>
    <mergeCell ref="I684:I685"/>
    <mergeCell ref="D711:D713"/>
    <mergeCell ref="E711:E713"/>
    <mergeCell ref="F711:F713"/>
    <mergeCell ref="G711:G713"/>
    <mergeCell ref="H711:H713"/>
    <mergeCell ref="I711:I713"/>
    <mergeCell ref="C614:D614"/>
    <mergeCell ref="C623:D623"/>
    <mergeCell ref="C633:D633"/>
    <mergeCell ref="C648:I648"/>
    <mergeCell ref="C650:G650"/>
    <mergeCell ref="D684:D685"/>
    <mergeCell ref="E684:E685"/>
    <mergeCell ref="F684:F685"/>
    <mergeCell ref="G684:G685"/>
    <mergeCell ref="H684:H685"/>
    <mergeCell ref="D773:D774"/>
    <mergeCell ref="E773:E774"/>
    <mergeCell ref="F773:F774"/>
    <mergeCell ref="G773:G774"/>
    <mergeCell ref="H773:H774"/>
    <mergeCell ref="I773:I774"/>
    <mergeCell ref="C737:I737"/>
    <mergeCell ref="C739:G739"/>
    <mergeCell ref="D760:D761"/>
    <mergeCell ref="E760:E761"/>
    <mergeCell ref="F760:F761"/>
    <mergeCell ref="G760:G761"/>
    <mergeCell ref="H760:H761"/>
    <mergeCell ref="I760:I761"/>
    <mergeCell ref="D801:D802"/>
    <mergeCell ref="E801:E802"/>
    <mergeCell ref="F801:F802"/>
    <mergeCell ref="G801:G802"/>
    <mergeCell ref="H801:H802"/>
    <mergeCell ref="I801:I802"/>
    <mergeCell ref="D788:D789"/>
    <mergeCell ref="E788:E789"/>
    <mergeCell ref="F788:F789"/>
    <mergeCell ref="G788:G789"/>
    <mergeCell ref="H788:H789"/>
    <mergeCell ref="I788:I789"/>
    <mergeCell ref="D831:D832"/>
    <mergeCell ref="E831:E832"/>
    <mergeCell ref="F831:F832"/>
    <mergeCell ref="G831:G832"/>
    <mergeCell ref="H831:H832"/>
    <mergeCell ref="I831:I832"/>
    <mergeCell ref="D816:D817"/>
    <mergeCell ref="E816:E817"/>
    <mergeCell ref="F816:F817"/>
    <mergeCell ref="G816:G817"/>
    <mergeCell ref="H816:H817"/>
    <mergeCell ref="I816:I817"/>
    <mergeCell ref="I863:I864"/>
    <mergeCell ref="D875:D876"/>
    <mergeCell ref="E875:E876"/>
    <mergeCell ref="F875:F876"/>
    <mergeCell ref="G875:G876"/>
    <mergeCell ref="H875:H876"/>
    <mergeCell ref="I875:I876"/>
    <mergeCell ref="D849:D850"/>
    <mergeCell ref="D863:D864"/>
    <mergeCell ref="E863:E864"/>
    <mergeCell ref="F863:F864"/>
    <mergeCell ref="G863:G864"/>
    <mergeCell ref="H863:H864"/>
    <mergeCell ref="C1281:E1281"/>
    <mergeCell ref="C1309:E1309"/>
    <mergeCell ref="C1327:F1327"/>
    <mergeCell ref="C1354:F1354"/>
    <mergeCell ref="C1400:I1400"/>
    <mergeCell ref="C1511:E1511"/>
    <mergeCell ref="C1014:H1014"/>
    <mergeCell ref="C1195:E1195"/>
    <mergeCell ref="C1209:E1209"/>
    <mergeCell ref="C1223:E1223"/>
    <mergeCell ref="C1237:E1237"/>
    <mergeCell ref="C1251:E1251"/>
    <mergeCell ref="I1594:I1595"/>
    <mergeCell ref="C1611:H1611"/>
    <mergeCell ref="C1643:I1643"/>
    <mergeCell ref="C1678:I1678"/>
    <mergeCell ref="C1693:I1693"/>
    <mergeCell ref="C1697:I1697"/>
    <mergeCell ref="C1554:F1554"/>
    <mergeCell ref="D1594:D1595"/>
    <mergeCell ref="E1594:E1595"/>
    <mergeCell ref="F1594:F1595"/>
    <mergeCell ref="G1594:G1595"/>
    <mergeCell ref="H1594:H1595"/>
    <mergeCell ref="C1802:E1802"/>
    <mergeCell ref="A1833:B1833"/>
    <mergeCell ref="C1833:H1833"/>
    <mergeCell ref="A1874:B1874"/>
    <mergeCell ref="C1874:H1874"/>
    <mergeCell ref="C1890:E1890"/>
    <mergeCell ref="C1702:H1702"/>
    <mergeCell ref="A1724:B1724"/>
    <mergeCell ref="C1724:H1724"/>
    <mergeCell ref="A1758:B1758"/>
    <mergeCell ref="C1758:H1758"/>
    <mergeCell ref="A1786:B1786"/>
    <mergeCell ref="C1786:H1786"/>
    <mergeCell ref="C2086:H2086"/>
    <mergeCell ref="C2160:I2160"/>
    <mergeCell ref="C2226:H2226"/>
    <mergeCell ref="C2257:H2257"/>
    <mergeCell ref="C2288:H2288"/>
    <mergeCell ref="C2331:H2331"/>
    <mergeCell ref="A1909:B1909"/>
    <mergeCell ref="C1909:H1909"/>
    <mergeCell ref="C1937:H1937"/>
    <mergeCell ref="C1979:H1979"/>
    <mergeCell ref="C2000:H2000"/>
    <mergeCell ref="C2044:H2044"/>
    <mergeCell ref="C2588:H2588"/>
    <mergeCell ref="C2615:H2615"/>
    <mergeCell ref="C2642:H2642"/>
    <mergeCell ref="C2679:H2679"/>
    <mergeCell ref="C2705:I2705"/>
    <mergeCell ref="C2732:H2732"/>
    <mergeCell ref="C2375:H2375"/>
    <mergeCell ref="C2408:H2408"/>
    <mergeCell ref="C2440:H2440"/>
    <mergeCell ref="C2473:H2473"/>
    <mergeCell ref="C2508:H2508"/>
    <mergeCell ref="C2541:H2541"/>
    <mergeCell ref="C2908:I2908"/>
    <mergeCell ref="C2915:I2915"/>
    <mergeCell ref="C2921:I2921"/>
    <mergeCell ref="C2930:H2930"/>
    <mergeCell ref="C2957:H2957"/>
    <mergeCell ref="C2994:H2994"/>
    <mergeCell ref="C2759:H2759"/>
    <mergeCell ref="C2786:H2786"/>
    <mergeCell ref="C2823:I2823"/>
    <mergeCell ref="C2861:I2861"/>
    <mergeCell ref="C2895:I2895"/>
    <mergeCell ref="C2902:I2902"/>
    <mergeCell ref="C3283:H3283"/>
    <mergeCell ref="C3363:H3363"/>
    <mergeCell ref="C3389:H3389"/>
    <mergeCell ref="C3415:H3415"/>
    <mergeCell ref="C3441:H3441"/>
    <mergeCell ref="C3467:H3467"/>
    <mergeCell ref="C3034:I3034"/>
    <mergeCell ref="C3061:H3061"/>
    <mergeCell ref="C3096:H3096"/>
    <mergeCell ref="C3133:I3133"/>
    <mergeCell ref="C3169:H3169"/>
    <mergeCell ref="C3226:H3226"/>
    <mergeCell ref="A3692:B3692"/>
    <mergeCell ref="C3692:H3692"/>
    <mergeCell ref="A3728:B3728"/>
    <mergeCell ref="C3728:H3728"/>
    <mergeCell ref="A3773:B3773"/>
    <mergeCell ref="C3773:H3773"/>
    <mergeCell ref="C3504:H3504"/>
    <mergeCell ref="C3531:H3531"/>
    <mergeCell ref="C3542:H3542"/>
    <mergeCell ref="C3581:H3581"/>
    <mergeCell ref="C3618:H3618"/>
    <mergeCell ref="C3656:H3656"/>
    <mergeCell ref="C3862:H3862"/>
    <mergeCell ref="C3879:I3879"/>
    <mergeCell ref="A3885:B3885"/>
    <mergeCell ref="C3885:H3885"/>
    <mergeCell ref="C3886:D3886"/>
    <mergeCell ref="A3900:B3900"/>
    <mergeCell ref="C3900:H3900"/>
    <mergeCell ref="C3792:I3792"/>
    <mergeCell ref="C3810:I3810"/>
    <mergeCell ref="A3817:B3817"/>
    <mergeCell ref="C3817:I3817"/>
    <mergeCell ref="C3828:I3828"/>
    <mergeCell ref="A3838:B3838"/>
    <mergeCell ref="C3838:H3838"/>
    <mergeCell ref="A3966:B3966"/>
    <mergeCell ref="C3966:H3966"/>
    <mergeCell ref="A3980:B3980"/>
    <mergeCell ref="C3980:H3980"/>
    <mergeCell ref="C3981:E3981"/>
    <mergeCell ref="A3998:B3998"/>
    <mergeCell ref="C3998:H3998"/>
    <mergeCell ref="C3901:D3901"/>
    <mergeCell ref="A3918:B3918"/>
    <mergeCell ref="C3918:H3918"/>
    <mergeCell ref="A3935:B3935"/>
    <mergeCell ref="C3935:H3935"/>
    <mergeCell ref="A3949:B3949"/>
    <mergeCell ref="C3949:H3949"/>
    <mergeCell ref="C4106:H4106"/>
    <mergeCell ref="C4122:H4122"/>
    <mergeCell ref="C4138:H4138"/>
    <mergeCell ref="C4139:D4139"/>
    <mergeCell ref="C4155:H4155"/>
    <mergeCell ref="C4156:D4156"/>
    <mergeCell ref="C3999:D3999"/>
    <mergeCell ref="C4020:H4020"/>
    <mergeCell ref="C4039:H4039"/>
    <mergeCell ref="C4052:H4052"/>
    <mergeCell ref="C4068:H4068"/>
    <mergeCell ref="C4084:H4084"/>
    <mergeCell ref="A4190:B4190"/>
    <mergeCell ref="C4190:H4190"/>
    <mergeCell ref="A4196:B4196"/>
    <mergeCell ref="C4196:H4196"/>
    <mergeCell ref="A4205:B4205"/>
    <mergeCell ref="C4205:H4205"/>
    <mergeCell ref="A4172:B4172"/>
    <mergeCell ref="C4172:H4172"/>
    <mergeCell ref="A4178:B4178"/>
    <mergeCell ref="C4178:H4178"/>
    <mergeCell ref="A4184:B4184"/>
    <mergeCell ref="C4184:H4184"/>
    <mergeCell ref="C4225:H4225"/>
    <mergeCell ref="A4231:B4231"/>
    <mergeCell ref="C4231:H4231"/>
    <mergeCell ref="C4232:H4232"/>
    <mergeCell ref="C4238:H4238"/>
    <mergeCell ref="C4242:I4242"/>
    <mergeCell ref="A4211:B4211"/>
    <mergeCell ref="C4211:H4211"/>
    <mergeCell ref="A4217:B4217"/>
    <mergeCell ref="C4217:I4217"/>
    <mergeCell ref="C4218:I4218"/>
    <mergeCell ref="A4224:B4224"/>
    <mergeCell ref="C4224:H4224"/>
    <mergeCell ref="A4311:B4311"/>
    <mergeCell ref="C4311:H4311"/>
    <mergeCell ref="C4312:E4312"/>
    <mergeCell ref="C4314:D4314"/>
    <mergeCell ref="A4343:B4343"/>
    <mergeCell ref="C4343:I4343"/>
    <mergeCell ref="A4247:B4247"/>
    <mergeCell ref="C4247:H4247"/>
    <mergeCell ref="C4248:E4248"/>
    <mergeCell ref="A4276:B4276"/>
    <mergeCell ref="C4276:H4276"/>
    <mergeCell ref="C4279:F4279"/>
    <mergeCell ref="A4437:B4437"/>
    <mergeCell ref="C4437:H4437"/>
    <mergeCell ref="A4456:B4456"/>
    <mergeCell ref="C4456:H4456"/>
    <mergeCell ref="A4463:B4463"/>
    <mergeCell ref="C4463:I4463"/>
    <mergeCell ref="C4344:E4344"/>
    <mergeCell ref="A4372:B4372"/>
    <mergeCell ref="C4372:H4372"/>
    <mergeCell ref="A4398:B4398"/>
    <mergeCell ref="C4398:H4398"/>
    <mergeCell ref="A4408:B4408"/>
    <mergeCell ref="C4408:H4408"/>
    <mergeCell ref="C4574:I4574"/>
    <mergeCell ref="C4580:I4580"/>
    <mergeCell ref="C4588:I4588"/>
    <mergeCell ref="G4598:H4598"/>
    <mergeCell ref="A4600:B4600"/>
    <mergeCell ref="C4600:I4600"/>
    <mergeCell ref="A4469:B4469"/>
    <mergeCell ref="C4469:I4469"/>
    <mergeCell ref="C4497:I4497"/>
    <mergeCell ref="A4523:B4523"/>
    <mergeCell ref="C4523:I4523"/>
    <mergeCell ref="A4541:B4541"/>
    <mergeCell ref="C4541:I4541"/>
    <mergeCell ref="C4652:I4652"/>
    <mergeCell ref="C4682:I4682"/>
    <mergeCell ref="C4713:I4713"/>
    <mergeCell ref="C4746:I4746"/>
    <mergeCell ref="C4779:I4779"/>
    <mergeCell ref="A4831:B4831"/>
    <mergeCell ref="C4831:H4831"/>
    <mergeCell ref="A4609:B4609"/>
    <mergeCell ref="C4609:I4609"/>
    <mergeCell ref="A4618:B4618"/>
    <mergeCell ref="C4618:I4618"/>
    <mergeCell ref="G4628:H4628"/>
    <mergeCell ref="B4630:B4631"/>
    <mergeCell ref="C4630:I4630"/>
    <mergeCell ref="A4855:B4855"/>
    <mergeCell ref="C4855:I4855"/>
    <mergeCell ref="A4862:B4862"/>
    <mergeCell ref="C4862:I4862"/>
    <mergeCell ref="A4869:B4869"/>
    <mergeCell ref="C4869:I4869"/>
    <mergeCell ref="G4841:H4841"/>
    <mergeCell ref="A4843:B4843"/>
    <mergeCell ref="C4843:H4843"/>
    <mergeCell ref="A4847:B4847"/>
    <mergeCell ref="C4847:H4847"/>
    <mergeCell ref="G4854:H4854"/>
    <mergeCell ref="A4891:B4891"/>
    <mergeCell ref="C4891:I4891"/>
    <mergeCell ref="C4892:D4892"/>
    <mergeCell ref="A4922:B4922"/>
    <mergeCell ref="C4922:H4922"/>
    <mergeCell ref="G4932:H4932"/>
    <mergeCell ref="A4875:B4875"/>
    <mergeCell ref="C4875:H4875"/>
    <mergeCell ref="A4882:B4882"/>
    <mergeCell ref="C4882:I4882"/>
    <mergeCell ref="A4888:B4888"/>
    <mergeCell ref="C4888:I4888"/>
    <mergeCell ref="C5018:I5018"/>
    <mergeCell ref="A5029:B5029"/>
    <mergeCell ref="C5029:H5029"/>
    <mergeCell ref="A4934:B4934"/>
    <mergeCell ref="C4934:H4934"/>
    <mergeCell ref="A4949:B4949"/>
    <mergeCell ref="C4949:I4949"/>
    <mergeCell ref="C4971:I4971"/>
    <mergeCell ref="C4992:I4992"/>
  </mergeCells>
  <printOptions horizontalCentered="1"/>
  <pageMargins left="0.26" right="0.22" top="0.27" bottom="0.34" header="0.25" footer="0.16"/>
  <pageSetup paperSize="9" firstPageNumber="0" orientation="portrait" horizontalDpi="300" verticalDpi="300" r:id="rId1"/>
  <headerFooter alignWithMargins="0">
    <oddFooter>Page &amp;P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77B2-BB03-4AA2-9518-6817D343A4C7}">
  <sheetPr codeName="Sheet14">
    <tabColor indexed="29"/>
  </sheetPr>
  <dimension ref="A1:BL1309"/>
  <sheetViews>
    <sheetView view="pageBreakPreview" zoomScaleSheetLayoutView="100" workbookViewId="0">
      <pane ySplit="1" topLeftCell="A2" activePane="bottomLeft" state="frozen"/>
      <selection pane="bottomLeft" activeCell="C10" sqref="C10:I10"/>
    </sheetView>
  </sheetViews>
  <sheetFormatPr defaultColWidth="9.296875" defaultRowHeight="13"/>
  <cols>
    <col min="1" max="1" width="2.3984375" style="922" customWidth="1"/>
    <col min="2" max="2" width="2.796875" style="938" customWidth="1"/>
    <col min="3" max="3" width="47" style="971" customWidth="1"/>
    <col min="4" max="4" width="13" style="972" customWidth="1"/>
    <col min="5" max="5" width="5" style="922" customWidth="1"/>
    <col min="6" max="6" width="10.796875" style="972" customWidth="1"/>
    <col min="7" max="7" width="6.3984375" style="922" customWidth="1"/>
    <col min="8" max="8" width="7.19921875" style="922" customWidth="1"/>
    <col min="9" max="9" width="14.09765625" style="973" customWidth="1"/>
    <col min="10" max="10" width="7.5" style="405" customWidth="1"/>
    <col min="11" max="11" width="19.5" style="405" customWidth="1"/>
    <col min="12" max="12" width="9.69921875" style="405" customWidth="1"/>
    <col min="13" max="13" width="16" style="405" customWidth="1"/>
    <col min="14" max="19" width="9.69921875" style="405" customWidth="1"/>
    <col min="20" max="16384" width="9.296875" style="405"/>
  </cols>
  <sheetData>
    <row r="1" spans="1:64" ht="17.25" customHeight="1">
      <c r="A1" s="1363" t="s">
        <v>1804</v>
      </c>
      <c r="B1" s="1363"/>
      <c r="C1" s="1363"/>
      <c r="D1" s="1363"/>
      <c r="E1" s="1363"/>
      <c r="F1" s="1363"/>
      <c r="G1" s="1363"/>
      <c r="H1" s="1363"/>
      <c r="I1" s="1363"/>
      <c r="K1" s="822" t="e">
        <f>#REF!</f>
        <v>#REF!</v>
      </c>
      <c r="L1" s="405">
        <v>375000000</v>
      </c>
      <c r="M1" s="822" t="e">
        <f>+L1-K1</f>
        <v>#REF!</v>
      </c>
    </row>
    <row r="2" spans="1:64" ht="17.25" customHeight="1">
      <c r="A2" s="1316" t="s">
        <v>1805</v>
      </c>
      <c r="B2" s="1316"/>
      <c r="C2" s="1316"/>
      <c r="D2" s="1316"/>
      <c r="E2" s="1316"/>
      <c r="F2" s="1316"/>
      <c r="G2" s="1316"/>
      <c r="H2" s="1316"/>
      <c r="I2" s="1316"/>
    </row>
    <row r="3" spans="1:64" ht="14.65" customHeight="1">
      <c r="A3" s="823"/>
      <c r="B3" s="476"/>
      <c r="C3" s="667"/>
      <c r="D3" s="824"/>
      <c r="E3" s="825"/>
      <c r="F3" s="826"/>
      <c r="G3" s="823"/>
      <c r="H3" s="827"/>
      <c r="I3" s="828"/>
    </row>
    <row r="4" spans="1:64" ht="24" customHeight="1">
      <c r="A4" s="469"/>
      <c r="B4" s="588" t="s">
        <v>720</v>
      </c>
      <c r="C4" s="476" t="s">
        <v>1806</v>
      </c>
      <c r="D4" s="476"/>
      <c r="E4" s="825"/>
      <c r="F4" s="826"/>
      <c r="G4" s="823"/>
      <c r="H4" s="827"/>
      <c r="I4" s="828"/>
    </row>
    <row r="5" spans="1:64" ht="24" customHeight="1">
      <c r="A5" s="469"/>
      <c r="B5" s="588"/>
      <c r="C5" s="417" t="s">
        <v>1807</v>
      </c>
      <c r="D5" s="829">
        <v>5.31</v>
      </c>
      <c r="E5" s="639" t="s">
        <v>375</v>
      </c>
      <c r="F5" s="829">
        <f>'[161]Civil-SOR'!$G$291</f>
        <v>685</v>
      </c>
      <c r="G5" s="830">
        <v>1</v>
      </c>
      <c r="H5" s="639" t="str">
        <f t="shared" ref="H5:H7" si="0">IF(E5="","",IF(E5="No.","Each",IF(E5="Nos.","Each",E5)))</f>
        <v>Each</v>
      </c>
      <c r="I5" s="831">
        <f t="shared" ref="I5:I7" si="1">IF(G5="",D5*F5,(D5*F5/G5))</f>
        <v>3637.35</v>
      </c>
    </row>
    <row r="6" spans="1:64" ht="24" customHeight="1">
      <c r="A6" s="469"/>
      <c r="B6" s="588"/>
      <c r="C6" s="667" t="s">
        <v>1808</v>
      </c>
      <c r="D6" s="829">
        <v>12.39</v>
      </c>
      <c r="E6" s="639" t="s">
        <v>375</v>
      </c>
      <c r="F6" s="829">
        <f>'[161]Civil-SOR'!$G$300</f>
        <v>550</v>
      </c>
      <c r="G6" s="830">
        <v>1</v>
      </c>
      <c r="H6" s="639" t="str">
        <f t="shared" si="0"/>
        <v>Each</v>
      </c>
      <c r="I6" s="831">
        <f t="shared" si="1"/>
        <v>6814.5</v>
      </c>
    </row>
    <row r="7" spans="1:64" ht="24" customHeight="1">
      <c r="A7" s="469"/>
      <c r="B7" s="588"/>
      <c r="C7" s="667" t="s">
        <v>1075</v>
      </c>
      <c r="D7" s="829">
        <v>8.8000000000000007</v>
      </c>
      <c r="E7" s="639" t="s">
        <v>375</v>
      </c>
      <c r="F7" s="829">
        <f>'[161]Civil-SOR'!$G$307</f>
        <v>520</v>
      </c>
      <c r="G7" s="830">
        <v>1</v>
      </c>
      <c r="H7" s="639" t="str">
        <f t="shared" si="0"/>
        <v>Each</v>
      </c>
      <c r="I7" s="831">
        <f t="shared" si="1"/>
        <v>4576</v>
      </c>
    </row>
    <row r="8" spans="1:64" ht="24" customHeight="1">
      <c r="A8" s="710"/>
      <c r="B8" s="474"/>
      <c r="C8" s="666" t="s">
        <v>1809</v>
      </c>
      <c r="D8" s="832"/>
      <c r="E8" s="454"/>
      <c r="F8" s="833"/>
      <c r="G8" s="1313" t="s">
        <v>687</v>
      </c>
      <c r="H8" s="1313"/>
      <c r="I8" s="434">
        <f>SUM(I5:I7)</f>
        <v>15027.85</v>
      </c>
      <c r="J8" s="554"/>
      <c r="K8" s="554"/>
      <c r="L8" s="554"/>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c r="BJ8" s="554"/>
      <c r="BK8" s="554"/>
      <c r="BL8" s="554"/>
    </row>
    <row r="9" spans="1:64" ht="15.75" customHeight="1">
      <c r="A9" s="469"/>
      <c r="B9" s="588"/>
      <c r="C9" s="667"/>
      <c r="D9" s="824"/>
      <c r="E9" s="825"/>
      <c r="F9" s="826"/>
      <c r="G9" s="823"/>
      <c r="H9" s="827"/>
      <c r="I9" s="828"/>
    </row>
    <row r="10" spans="1:64" s="475" customFormat="1" ht="29.5" customHeight="1">
      <c r="A10" s="466"/>
      <c r="B10" s="588" t="s">
        <v>727</v>
      </c>
      <c r="C10" s="1310" t="s">
        <v>1810</v>
      </c>
      <c r="D10" s="1310"/>
      <c r="E10" s="1310"/>
      <c r="F10" s="1310"/>
      <c r="G10" s="1310"/>
      <c r="H10" s="1310"/>
      <c r="I10" s="1310"/>
    </row>
    <row r="11" spans="1:64" s="559" customFormat="1" ht="18" customHeight="1">
      <c r="A11" s="435"/>
      <c r="B11" s="399"/>
      <c r="C11" s="417" t="s">
        <v>1807</v>
      </c>
      <c r="D11" s="834">
        <v>9.9000000000000005E-2</v>
      </c>
      <c r="E11" s="435" t="s">
        <v>375</v>
      </c>
      <c r="F11" s="835">
        <f>'[161]Civil-SOR'!$G$291</f>
        <v>685</v>
      </c>
      <c r="G11" s="435"/>
      <c r="H11" s="435" t="s">
        <v>572</v>
      </c>
      <c r="I11" s="836">
        <f t="shared" ref="I11:I17" si="2">IF(G11="",D11*F11,(D11*F11/G11))</f>
        <v>67.814999999999998</v>
      </c>
    </row>
    <row r="12" spans="1:64" s="559" customFormat="1" ht="18" customHeight="1">
      <c r="A12" s="435"/>
      <c r="B12" s="399"/>
      <c r="C12" s="417" t="s">
        <v>1808</v>
      </c>
      <c r="D12" s="834">
        <v>0.19800000000000001</v>
      </c>
      <c r="E12" s="435" t="s">
        <v>375</v>
      </c>
      <c r="F12" s="835">
        <f>'[161]Civil-SOR'!$G$302</f>
        <v>550</v>
      </c>
      <c r="G12" s="435"/>
      <c r="H12" s="435" t="s">
        <v>572</v>
      </c>
      <c r="I12" s="836">
        <f t="shared" si="2"/>
        <v>108.9</v>
      </c>
    </row>
    <row r="13" spans="1:64" s="559" customFormat="1" ht="30.65" customHeight="1">
      <c r="A13" s="435"/>
      <c r="B13" s="399"/>
      <c r="C13" s="417" t="s">
        <v>1811</v>
      </c>
      <c r="D13" s="834">
        <v>9.9000000000000005E-2</v>
      </c>
      <c r="E13" s="435" t="s">
        <v>375</v>
      </c>
      <c r="F13" s="835">
        <f>'[161]Civil-SOR'!$G$291</f>
        <v>685</v>
      </c>
      <c r="G13" s="435"/>
      <c r="H13" s="435" t="s">
        <v>572</v>
      </c>
      <c r="I13" s="836">
        <f t="shared" si="2"/>
        <v>67.814999999999998</v>
      </c>
    </row>
    <row r="14" spans="1:64" s="559" customFormat="1" ht="18" customHeight="1">
      <c r="A14" s="435"/>
      <c r="B14" s="399"/>
      <c r="C14" s="417" t="s">
        <v>1812</v>
      </c>
      <c r="D14" s="834">
        <v>9.9000000000000005E-2</v>
      </c>
      <c r="E14" s="435" t="s">
        <v>375</v>
      </c>
      <c r="F14" s="835">
        <f>'[161]Civil-SOR'!$G$291</f>
        <v>685</v>
      </c>
      <c r="G14" s="435"/>
      <c r="H14" s="435" t="s">
        <v>572</v>
      </c>
      <c r="I14" s="836">
        <f t="shared" si="2"/>
        <v>67.814999999999998</v>
      </c>
    </row>
    <row r="15" spans="1:64" s="559" customFormat="1" ht="18" customHeight="1">
      <c r="A15" s="435"/>
      <c r="B15" s="399"/>
      <c r="C15" s="417" t="s">
        <v>1115</v>
      </c>
      <c r="D15" s="834">
        <v>0.29699999999999999</v>
      </c>
      <c r="E15" s="435" t="s">
        <v>375</v>
      </c>
      <c r="F15" s="835">
        <f>'[161]Civil-SOR'!$G$307</f>
        <v>520</v>
      </c>
      <c r="G15" s="435"/>
      <c r="H15" s="435" t="s">
        <v>572</v>
      </c>
      <c r="I15" s="836">
        <f t="shared" si="2"/>
        <v>154.44</v>
      </c>
    </row>
    <row r="16" spans="1:64" s="559" customFormat="1" ht="18" customHeight="1">
      <c r="A16" s="435"/>
      <c r="B16" s="399"/>
      <c r="C16" s="417" t="s">
        <v>1813</v>
      </c>
      <c r="D16" s="834">
        <v>9.9000000000000005E-2</v>
      </c>
      <c r="E16" s="435" t="s">
        <v>375</v>
      </c>
      <c r="F16" s="835">
        <f>'[161]Civil-SOR'!$G$292</f>
        <v>685</v>
      </c>
      <c r="G16" s="435"/>
      <c r="H16" s="435" t="s">
        <v>572</v>
      </c>
      <c r="I16" s="836">
        <f t="shared" si="2"/>
        <v>67.814999999999998</v>
      </c>
    </row>
    <row r="17" spans="1:64" s="559" customFormat="1" ht="18" customHeight="1">
      <c r="A17" s="435"/>
      <c r="B17" s="399"/>
      <c r="C17" s="417" t="str">
        <f>[161]Input!$C$47</f>
        <v>Add for MA @ 40%</v>
      </c>
      <c r="D17" s="835">
        <f>[161]Input!$D$47</f>
        <v>0.4</v>
      </c>
      <c r="E17" s="435"/>
      <c r="F17" s="835">
        <f>SUM(I11:I16)</f>
        <v>534.6</v>
      </c>
      <c r="G17" s="435"/>
      <c r="H17" s="435"/>
      <c r="I17" s="836">
        <f t="shared" si="2"/>
        <v>213.84000000000003</v>
      </c>
    </row>
    <row r="18" spans="1:64" s="559" customFormat="1" ht="16" customHeight="1">
      <c r="A18" s="435"/>
      <c r="B18" s="399"/>
      <c r="C18" s="427" t="s">
        <v>1814</v>
      </c>
      <c r="D18" s="837"/>
      <c r="E18" s="435"/>
      <c r="F18" s="835"/>
      <c r="G18" s="435"/>
      <c r="H18" s="435"/>
      <c r="I18" s="838"/>
    </row>
    <row r="19" spans="1:64" s="559" customFormat="1" ht="28.9" customHeight="1">
      <c r="A19" s="435"/>
      <c r="B19" s="399"/>
      <c r="C19" s="417" t="s">
        <v>1815</v>
      </c>
      <c r="D19" s="834">
        <v>0.79300000000000004</v>
      </c>
      <c r="E19" s="435" t="s">
        <v>1816</v>
      </c>
      <c r="F19" s="835">
        <f>'[161]Civil-SOR'!$G$194</f>
        <v>146</v>
      </c>
      <c r="G19" s="435">
        <v>1</v>
      </c>
      <c r="H19" s="435" t="s">
        <v>797</v>
      </c>
      <c r="I19" s="836">
        <f t="shared" ref="I19:I20" si="3">IF(G19="",D19*F19,(D19*F19/G19))</f>
        <v>115.77800000000001</v>
      </c>
    </row>
    <row r="20" spans="1:64" s="559" customFormat="1" ht="20.5" customHeight="1">
      <c r="A20" s="435"/>
      <c r="B20" s="399"/>
      <c r="C20" s="417" t="s">
        <v>1817</v>
      </c>
      <c r="D20" s="834">
        <v>0.79300000000000004</v>
      </c>
      <c r="E20" s="435" t="s">
        <v>1816</v>
      </c>
      <c r="F20" s="835">
        <f>'[161]Civil-SOR'!$G$195</f>
        <v>137</v>
      </c>
      <c r="G20" s="435">
        <v>1</v>
      </c>
      <c r="H20" s="435" t="s">
        <v>797</v>
      </c>
      <c r="I20" s="836">
        <f t="shared" si="3"/>
        <v>108.64100000000001</v>
      </c>
    </row>
    <row r="21" spans="1:64" s="559" customFormat="1" ht="16" customHeight="1">
      <c r="A21" s="435"/>
      <c r="B21" s="399"/>
      <c r="C21" s="417"/>
      <c r="D21" s="834"/>
      <c r="E21" s="435"/>
      <c r="F21" s="835"/>
      <c r="G21" s="435"/>
      <c r="H21" s="435"/>
      <c r="I21" s="838">
        <f>SUM(I11:I20)</f>
        <v>972.85900000000004</v>
      </c>
    </row>
    <row r="22" spans="1:64" s="559" customFormat="1" ht="18" customHeight="1">
      <c r="A22" s="435"/>
      <c r="B22" s="399"/>
      <c r="C22" s="417" t="s">
        <v>1818</v>
      </c>
      <c r="D22" s="835">
        <v>0.01</v>
      </c>
      <c r="E22" s="435"/>
      <c r="F22" s="835">
        <f>I21</f>
        <v>972.85900000000004</v>
      </c>
      <c r="G22" s="435"/>
      <c r="H22" s="435"/>
      <c r="I22" s="836">
        <f>IF(G22="",D22*F22,(D22*F22/G22))</f>
        <v>9.7285900000000005</v>
      </c>
    </row>
    <row r="23" spans="1:64" ht="26.5" customHeight="1">
      <c r="A23" s="710"/>
      <c r="B23" s="474"/>
      <c r="C23" s="666" t="s">
        <v>1819</v>
      </c>
      <c r="D23" s="839"/>
      <c r="E23" s="840"/>
      <c r="F23" s="839"/>
      <c r="G23" s="1313" t="s">
        <v>687</v>
      </c>
      <c r="H23" s="1313"/>
      <c r="I23" s="414">
        <f>SUM(I21:I22)</f>
        <v>982.58759000000009</v>
      </c>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c r="BJ23" s="554"/>
      <c r="BK23" s="554"/>
      <c r="BL23" s="554"/>
    </row>
    <row r="24" spans="1:64" s="475" customFormat="1" ht="14.65" customHeight="1">
      <c r="A24" s="466"/>
      <c r="B24" s="588"/>
      <c r="C24" s="667"/>
      <c r="D24" s="829"/>
      <c r="E24" s="639"/>
      <c r="F24" s="829"/>
      <c r="G24" s="830"/>
      <c r="H24" s="639"/>
      <c r="I24" s="831"/>
    </row>
    <row r="25" spans="1:64" s="559" customFormat="1" ht="25.15" customHeight="1">
      <c r="A25" s="435"/>
      <c r="B25" s="399" t="s">
        <v>730</v>
      </c>
      <c r="C25" s="1276" t="s">
        <v>1820</v>
      </c>
      <c r="D25" s="1276"/>
      <c r="E25" s="1276"/>
      <c r="F25" s="1276"/>
      <c r="G25" s="1276"/>
      <c r="H25" s="1276"/>
      <c r="I25" s="1276"/>
    </row>
    <row r="26" spans="1:64" s="559" customFormat="1" ht="19.149999999999999" customHeight="1">
      <c r="A26" s="435"/>
      <c r="B26" s="399"/>
      <c r="C26" s="417" t="s">
        <v>1807</v>
      </c>
      <c r="D26" s="834">
        <v>9.6000000000000002E-2</v>
      </c>
      <c r="E26" s="435" t="s">
        <v>375</v>
      </c>
      <c r="F26" s="835">
        <f>'[161]Civil-SOR'!$G$291</f>
        <v>685</v>
      </c>
      <c r="G26" s="435"/>
      <c r="H26" s="435" t="s">
        <v>572</v>
      </c>
      <c r="I26" s="836">
        <f t="shared" ref="I26:I32" si="4">IF(G26="",D26*F26,(D26*F26/G26))</f>
        <v>65.760000000000005</v>
      </c>
      <c r="J26" s="703"/>
    </row>
    <row r="27" spans="1:64" s="559" customFormat="1" ht="19.149999999999999" customHeight="1">
      <c r="A27" s="435"/>
      <c r="B27" s="399"/>
      <c r="C27" s="417" t="s">
        <v>1808</v>
      </c>
      <c r="D27" s="834">
        <v>0.28899999999999998</v>
      </c>
      <c r="E27" s="435" t="s">
        <v>375</v>
      </c>
      <c r="F27" s="835">
        <f>'[161]Civil-SOR'!$G$300</f>
        <v>550</v>
      </c>
      <c r="G27" s="435"/>
      <c r="H27" s="435" t="s">
        <v>572</v>
      </c>
      <c r="I27" s="836">
        <f t="shared" si="4"/>
        <v>158.94999999999999</v>
      </c>
      <c r="J27" s="703"/>
    </row>
    <row r="28" spans="1:64" s="559" customFormat="1" ht="19.149999999999999" customHeight="1">
      <c r="A28" s="435"/>
      <c r="B28" s="399"/>
      <c r="C28" s="417" t="s">
        <v>1811</v>
      </c>
      <c r="D28" s="834">
        <v>9.6000000000000002E-2</v>
      </c>
      <c r="E28" s="435" t="s">
        <v>375</v>
      </c>
      <c r="F28" s="835">
        <f>'[161]Civil-SOR'!$G$291</f>
        <v>685</v>
      </c>
      <c r="G28" s="435"/>
      <c r="H28" s="435" t="s">
        <v>572</v>
      </c>
      <c r="I28" s="836">
        <f t="shared" si="4"/>
        <v>65.760000000000005</v>
      </c>
      <c r="J28" s="703"/>
    </row>
    <row r="29" spans="1:64" s="559" customFormat="1" ht="19.149999999999999" customHeight="1">
      <c r="A29" s="435"/>
      <c r="B29" s="399"/>
      <c r="C29" s="417" t="s">
        <v>1812</v>
      </c>
      <c r="D29" s="834">
        <v>9.6000000000000002E-2</v>
      </c>
      <c r="E29" s="435" t="s">
        <v>375</v>
      </c>
      <c r="F29" s="835">
        <f>'[161]Civil-SOR'!$G$291</f>
        <v>685</v>
      </c>
      <c r="G29" s="435"/>
      <c r="H29" s="435" t="s">
        <v>572</v>
      </c>
      <c r="I29" s="836">
        <f t="shared" si="4"/>
        <v>65.760000000000005</v>
      </c>
      <c r="J29" s="703"/>
    </row>
    <row r="30" spans="1:64" s="559" customFormat="1" ht="19.149999999999999" customHeight="1">
      <c r="A30" s="435"/>
      <c r="B30" s="399"/>
      <c r="C30" s="417" t="s">
        <v>1115</v>
      </c>
      <c r="D30" s="834">
        <v>0.28899999999999998</v>
      </c>
      <c r="E30" s="435" t="s">
        <v>375</v>
      </c>
      <c r="F30" s="835">
        <f>'[161]Civil-SOR'!$G$307</f>
        <v>520</v>
      </c>
      <c r="G30" s="435"/>
      <c r="H30" s="435" t="s">
        <v>572</v>
      </c>
      <c r="I30" s="836">
        <f t="shared" si="4"/>
        <v>150.28</v>
      </c>
      <c r="J30" s="703"/>
    </row>
    <row r="31" spans="1:64" s="559" customFormat="1" ht="19.149999999999999" customHeight="1">
      <c r="A31" s="435"/>
      <c r="B31" s="399"/>
      <c r="C31" s="417" t="s">
        <v>1813</v>
      </c>
      <c r="D31" s="834">
        <v>9.6000000000000002E-2</v>
      </c>
      <c r="E31" s="435" t="s">
        <v>375</v>
      </c>
      <c r="F31" s="835">
        <f>'[161]Civil-SOR'!$G$292</f>
        <v>685</v>
      </c>
      <c r="G31" s="435"/>
      <c r="H31" s="435" t="s">
        <v>572</v>
      </c>
      <c r="I31" s="836">
        <f t="shared" si="4"/>
        <v>65.760000000000005</v>
      </c>
      <c r="J31" s="703"/>
    </row>
    <row r="32" spans="1:64" s="559" customFormat="1" ht="19.149999999999999" customHeight="1">
      <c r="A32" s="435"/>
      <c r="B32" s="399"/>
      <c r="C32" s="417" t="str">
        <f>[161]Input!$C$47</f>
        <v>Add for MA @ 40%</v>
      </c>
      <c r="D32" s="835">
        <f>[161]Input!$D$47</f>
        <v>0.4</v>
      </c>
      <c r="E32" s="435"/>
      <c r="F32" s="835">
        <f>SUM(I26:I31)</f>
        <v>572.27</v>
      </c>
      <c r="G32" s="435"/>
      <c r="H32" s="435"/>
      <c r="I32" s="836">
        <f t="shared" si="4"/>
        <v>228.90800000000002</v>
      </c>
      <c r="J32" s="703"/>
    </row>
    <row r="33" spans="1:10" s="559" customFormat="1" ht="14.5" customHeight="1">
      <c r="A33" s="435"/>
      <c r="B33" s="399"/>
      <c r="C33" s="427" t="s">
        <v>1821</v>
      </c>
      <c r="D33" s="837"/>
      <c r="E33" s="435"/>
      <c r="F33" s="835"/>
      <c r="G33" s="435"/>
      <c r="H33" s="435"/>
      <c r="I33" s="838"/>
      <c r="J33" s="703"/>
    </row>
    <row r="34" spans="1:10" s="559" customFormat="1" ht="16" customHeight="1">
      <c r="A34" s="435"/>
      <c r="B34" s="399"/>
      <c r="C34" s="417" t="s">
        <v>1815</v>
      </c>
      <c r="D34" s="834">
        <v>0.77100000000000002</v>
      </c>
      <c r="E34" s="435" t="s">
        <v>1816</v>
      </c>
      <c r="F34" s="835">
        <f>'[161]Civil-SOR'!$G$194</f>
        <v>146</v>
      </c>
      <c r="G34" s="435">
        <v>1</v>
      </c>
      <c r="H34" s="435" t="s">
        <v>797</v>
      </c>
      <c r="I34" s="836">
        <f t="shared" ref="I34:I35" si="5">IF(G34="",D34*F34,(D34*F34/G34))</f>
        <v>112.566</v>
      </c>
      <c r="J34" s="703"/>
    </row>
    <row r="35" spans="1:10" s="559" customFormat="1" ht="22.15" customHeight="1">
      <c r="A35" s="435"/>
      <c r="B35" s="399"/>
      <c r="C35" s="417" t="s">
        <v>1822</v>
      </c>
      <c r="D35" s="834">
        <v>0.77100000000000002</v>
      </c>
      <c r="E35" s="435" t="s">
        <v>1816</v>
      </c>
      <c r="F35" s="835">
        <f>'[161]Civil-SOR'!$G$195</f>
        <v>137</v>
      </c>
      <c r="G35" s="435">
        <v>1</v>
      </c>
      <c r="H35" s="435" t="s">
        <v>797</v>
      </c>
      <c r="I35" s="836">
        <f t="shared" si="5"/>
        <v>105.62700000000001</v>
      </c>
      <c r="J35" s="703"/>
    </row>
    <row r="36" spans="1:10" s="559" customFormat="1" ht="18.649999999999999" customHeight="1">
      <c r="A36" s="435"/>
      <c r="B36" s="399"/>
      <c r="C36" s="417"/>
      <c r="D36" s="834"/>
      <c r="E36" s="435"/>
      <c r="F36" s="835"/>
      <c r="G36" s="435"/>
      <c r="H36" s="435"/>
      <c r="I36" s="838">
        <f>SUM(I26:I35)</f>
        <v>1019.3710000000001</v>
      </c>
      <c r="J36" s="703"/>
    </row>
    <row r="37" spans="1:10" s="559" customFormat="1" ht="21.65" customHeight="1">
      <c r="A37" s="435"/>
      <c r="B37" s="399"/>
      <c r="C37" s="417" t="s">
        <v>1818</v>
      </c>
      <c r="D37" s="835">
        <v>0.01</v>
      </c>
      <c r="E37" s="435"/>
      <c r="F37" s="835">
        <f>I36</f>
        <v>1019.3710000000001</v>
      </c>
      <c r="G37" s="435"/>
      <c r="H37" s="435"/>
      <c r="I37" s="836">
        <f>IF(G37="",D37*F37,(D37*F37/G37))</f>
        <v>10.193710000000001</v>
      </c>
      <c r="J37" s="703"/>
    </row>
    <row r="38" spans="1:10" s="560" customFormat="1" ht="33" customHeight="1">
      <c r="A38" s="740"/>
      <c r="B38" s="407"/>
      <c r="C38" s="481" t="s">
        <v>1819</v>
      </c>
      <c r="D38" s="841"/>
      <c r="E38" s="842"/>
      <c r="F38" s="841"/>
      <c r="G38" s="1313" t="s">
        <v>687</v>
      </c>
      <c r="H38" s="1313"/>
      <c r="I38" s="461">
        <f>SUM(I36:I37)</f>
        <v>1029.5647100000001</v>
      </c>
    </row>
    <row r="39" spans="1:10" s="559" customFormat="1" ht="14.65" customHeight="1">
      <c r="A39" s="435"/>
      <c r="B39" s="399"/>
      <c r="C39" s="417"/>
      <c r="D39" s="843"/>
      <c r="E39" s="751"/>
      <c r="F39" s="843"/>
      <c r="G39" s="844"/>
      <c r="H39" s="751"/>
      <c r="I39" s="836"/>
    </row>
    <row r="40" spans="1:10" s="559" customFormat="1" ht="25.15" customHeight="1">
      <c r="A40" s="435"/>
      <c r="B40" s="399" t="s">
        <v>733</v>
      </c>
      <c r="C40" s="1276" t="s">
        <v>1823</v>
      </c>
      <c r="D40" s="1276"/>
      <c r="E40" s="1276"/>
      <c r="F40" s="1276"/>
      <c r="G40" s="1276"/>
      <c r="H40" s="1276"/>
      <c r="I40" s="1276"/>
    </row>
    <row r="41" spans="1:10" s="559" customFormat="1" ht="16.149999999999999" customHeight="1">
      <c r="A41" s="435"/>
      <c r="B41" s="399"/>
      <c r="C41" s="417" t="s">
        <v>1807</v>
      </c>
      <c r="D41" s="834">
        <v>0.434</v>
      </c>
      <c r="E41" s="435" t="s">
        <v>375</v>
      </c>
      <c r="F41" s="835">
        <f>'[161]Civil-SOR'!$G$291</f>
        <v>685</v>
      </c>
      <c r="G41" s="435"/>
      <c r="H41" s="435" t="s">
        <v>572</v>
      </c>
      <c r="I41" s="836">
        <f t="shared" ref="I41:I47" si="6">IF(G41="",D41*F41,(D41*F41/G41))</f>
        <v>297.29000000000002</v>
      </c>
    </row>
    <row r="42" spans="1:10" s="559" customFormat="1" ht="14.5" customHeight="1">
      <c r="A42" s="435"/>
      <c r="B42" s="399"/>
      <c r="C42" s="417" t="s">
        <v>1808</v>
      </c>
      <c r="D42" s="834">
        <v>0.434</v>
      </c>
      <c r="E42" s="435" t="s">
        <v>375</v>
      </c>
      <c r="F42" s="835">
        <f>'[161]Civil-SOR'!$G$300</f>
        <v>550</v>
      </c>
      <c r="G42" s="435"/>
      <c r="H42" s="435" t="s">
        <v>572</v>
      </c>
      <c r="I42" s="836">
        <f t="shared" si="6"/>
        <v>238.7</v>
      </c>
    </row>
    <row r="43" spans="1:10" s="559" customFormat="1" ht="15.65" customHeight="1">
      <c r="A43" s="435"/>
      <c r="B43" s="399"/>
      <c r="C43" s="417" t="s">
        <v>1811</v>
      </c>
      <c r="D43" s="834">
        <v>4.2999999999999997E-2</v>
      </c>
      <c r="E43" s="435" t="s">
        <v>375</v>
      </c>
      <c r="F43" s="835">
        <f>'[161]Civil-SOR'!$G$291</f>
        <v>685</v>
      </c>
      <c r="G43" s="435"/>
      <c r="H43" s="435" t="s">
        <v>572</v>
      </c>
      <c r="I43" s="836">
        <f t="shared" si="6"/>
        <v>29.454999999999998</v>
      </c>
    </row>
    <row r="44" spans="1:10" s="559" customFormat="1" ht="19.899999999999999" customHeight="1">
      <c r="A44" s="435"/>
      <c r="B44" s="399"/>
      <c r="C44" s="417" t="s">
        <v>1812</v>
      </c>
      <c r="D44" s="834">
        <v>5.8000000000000003E-2</v>
      </c>
      <c r="E44" s="435" t="s">
        <v>375</v>
      </c>
      <c r="F44" s="835">
        <f>'[161]Civil-SOR'!$G$291</f>
        <v>685</v>
      </c>
      <c r="G44" s="435"/>
      <c r="H44" s="435" t="s">
        <v>572</v>
      </c>
      <c r="I44" s="836">
        <f t="shared" si="6"/>
        <v>39.730000000000004</v>
      </c>
    </row>
    <row r="45" spans="1:10" s="559" customFormat="1" ht="16.149999999999999" customHeight="1">
      <c r="A45" s="435"/>
      <c r="B45" s="399"/>
      <c r="C45" s="417" t="s">
        <v>1115</v>
      </c>
      <c r="D45" s="834">
        <v>0.14499999999999999</v>
      </c>
      <c r="E45" s="435" t="s">
        <v>375</v>
      </c>
      <c r="F45" s="835">
        <f>'[161]Civil-SOR'!$G$307</f>
        <v>520</v>
      </c>
      <c r="G45" s="435"/>
      <c r="H45" s="435" t="s">
        <v>572</v>
      </c>
      <c r="I45" s="836">
        <f t="shared" si="6"/>
        <v>75.399999999999991</v>
      </c>
    </row>
    <row r="46" spans="1:10" s="559" customFormat="1" ht="16.149999999999999" customHeight="1">
      <c r="A46" s="435"/>
      <c r="B46" s="399"/>
      <c r="C46" s="417" t="s">
        <v>1813</v>
      </c>
      <c r="D46" s="834">
        <v>7.1999999999999995E-2</v>
      </c>
      <c r="E46" s="435" t="s">
        <v>375</v>
      </c>
      <c r="F46" s="835">
        <f>'[161]Civil-SOR'!$G$292</f>
        <v>685</v>
      </c>
      <c r="G46" s="435"/>
      <c r="H46" s="435" t="s">
        <v>572</v>
      </c>
      <c r="I46" s="836">
        <f t="shared" si="6"/>
        <v>49.319999999999993</v>
      </c>
    </row>
    <row r="47" spans="1:10" s="559" customFormat="1" ht="15" customHeight="1">
      <c r="A47" s="435"/>
      <c r="B47" s="399"/>
      <c r="C47" s="417" t="str">
        <f>[161]Input!$C$47</f>
        <v>Add for MA @ 40%</v>
      </c>
      <c r="D47" s="835">
        <f>[161]Input!$D$47</f>
        <v>0.4</v>
      </c>
      <c r="E47" s="435"/>
      <c r="F47" s="835">
        <f>SUM(I41:I46)</f>
        <v>729.89499999999998</v>
      </c>
      <c r="G47" s="435"/>
      <c r="H47" s="435"/>
      <c r="I47" s="836">
        <f t="shared" si="6"/>
        <v>291.95800000000003</v>
      </c>
    </row>
    <row r="48" spans="1:10" s="559" customFormat="1" ht="16" customHeight="1">
      <c r="A48" s="435"/>
      <c r="B48" s="399"/>
      <c r="C48" s="427" t="s">
        <v>1821</v>
      </c>
      <c r="D48" s="837"/>
      <c r="E48" s="435"/>
      <c r="F48" s="835"/>
      <c r="G48" s="435"/>
      <c r="H48" s="435"/>
      <c r="I48" s="838"/>
    </row>
    <row r="49" spans="1:9" s="559" customFormat="1" ht="18" customHeight="1">
      <c r="A49" s="435"/>
      <c r="B49" s="399"/>
      <c r="C49" s="417" t="s">
        <v>1815</v>
      </c>
      <c r="D49" s="834">
        <v>0.34699999999999998</v>
      </c>
      <c r="E49" s="435" t="s">
        <v>1816</v>
      </c>
      <c r="F49" s="835">
        <f>'[161]Civil-SOR'!$G$194</f>
        <v>146</v>
      </c>
      <c r="G49" s="435">
        <v>1</v>
      </c>
      <c r="H49" s="435" t="s">
        <v>797</v>
      </c>
      <c r="I49" s="836">
        <f t="shared" ref="I49:I50" si="7">IF(G49="",D49*F49,(D49*F49/G49))</f>
        <v>50.661999999999999</v>
      </c>
    </row>
    <row r="50" spans="1:9" s="559" customFormat="1" ht="18" customHeight="1">
      <c r="A50" s="435"/>
      <c r="B50" s="399"/>
      <c r="C50" s="417" t="s">
        <v>1822</v>
      </c>
      <c r="D50" s="834">
        <v>0.46300000000000002</v>
      </c>
      <c r="E50" s="435" t="s">
        <v>1816</v>
      </c>
      <c r="F50" s="835">
        <f>'[161]Civil-SOR'!$G$195</f>
        <v>137</v>
      </c>
      <c r="G50" s="435">
        <v>1</v>
      </c>
      <c r="H50" s="435" t="s">
        <v>797</v>
      </c>
      <c r="I50" s="836">
        <f t="shared" si="7"/>
        <v>63.431000000000004</v>
      </c>
    </row>
    <row r="51" spans="1:9" s="559" customFormat="1" ht="16" customHeight="1">
      <c r="A51" s="435"/>
      <c r="B51" s="399"/>
      <c r="C51" s="417"/>
      <c r="D51" s="834"/>
      <c r="E51" s="435"/>
      <c r="F51" s="835"/>
      <c r="G51" s="435"/>
      <c r="H51" s="435"/>
      <c r="I51" s="838">
        <f>SUM(I41:I50)</f>
        <v>1135.9460000000001</v>
      </c>
    </row>
    <row r="52" spans="1:9" s="559" customFormat="1" ht="16.899999999999999" customHeight="1">
      <c r="A52" s="435"/>
      <c r="B52" s="399"/>
      <c r="C52" s="417" t="s">
        <v>1818</v>
      </c>
      <c r="D52" s="835">
        <v>0.01</v>
      </c>
      <c r="E52" s="435"/>
      <c r="F52" s="835">
        <f>I51</f>
        <v>1135.9460000000001</v>
      </c>
      <c r="G52" s="435"/>
      <c r="H52" s="435"/>
      <c r="I52" s="836">
        <f>IF(G52="",D52*F52,(D52*F52/G52))</f>
        <v>11.359460000000002</v>
      </c>
    </row>
    <row r="53" spans="1:9" s="560" customFormat="1" ht="21" customHeight="1">
      <c r="A53" s="740"/>
      <c r="B53" s="407"/>
      <c r="C53" s="481" t="s">
        <v>1819</v>
      </c>
      <c r="D53" s="841"/>
      <c r="E53" s="842"/>
      <c r="F53" s="841"/>
      <c r="G53" s="1313" t="s">
        <v>687</v>
      </c>
      <c r="H53" s="1313"/>
      <c r="I53" s="461">
        <f>SUM(I51:I52)</f>
        <v>1147.30546</v>
      </c>
    </row>
    <row r="54" spans="1:9" s="559" customFormat="1" ht="14.65" customHeight="1">
      <c r="A54" s="435"/>
      <c r="B54" s="399"/>
      <c r="C54" s="417"/>
      <c r="D54" s="843"/>
      <c r="E54" s="751"/>
      <c r="F54" s="843"/>
      <c r="G54" s="844"/>
      <c r="H54" s="751"/>
      <c r="I54" s="836"/>
    </row>
    <row r="55" spans="1:9" s="559" customFormat="1" ht="19.149999999999999" customHeight="1">
      <c r="A55" s="435"/>
      <c r="B55" s="399" t="s">
        <v>1017</v>
      </c>
      <c r="C55" s="1276" t="s">
        <v>1824</v>
      </c>
      <c r="D55" s="1276"/>
      <c r="E55" s="1276"/>
      <c r="F55" s="1276"/>
      <c r="G55" s="1276"/>
      <c r="H55" s="1276"/>
      <c r="I55" s="1276"/>
    </row>
    <row r="56" spans="1:9" s="559" customFormat="1" ht="19.899999999999999" customHeight="1">
      <c r="A56" s="845"/>
      <c r="B56" s="473"/>
      <c r="C56" s="417" t="s">
        <v>1807</v>
      </c>
      <c r="D56" s="834">
        <v>0.1</v>
      </c>
      <c r="E56" s="435" t="s">
        <v>375</v>
      </c>
      <c r="F56" s="835">
        <f>'[161]Civil-SOR'!$G$291</f>
        <v>685</v>
      </c>
      <c r="G56" s="435"/>
      <c r="H56" s="435" t="s">
        <v>572</v>
      </c>
      <c r="I56" s="836">
        <f t="shared" ref="I56:I62" si="8">IF(G56="",D56*F56,(D56*F56/G56))</f>
        <v>68.5</v>
      </c>
    </row>
    <row r="57" spans="1:9" s="559" customFormat="1" ht="19.899999999999999" customHeight="1">
      <c r="A57" s="845"/>
      <c r="B57" s="473"/>
      <c r="C57" s="417" t="s">
        <v>1808</v>
      </c>
      <c r="D57" s="834">
        <v>0.3</v>
      </c>
      <c r="E57" s="435" t="s">
        <v>375</v>
      </c>
      <c r="F57" s="835">
        <f>'[161]Civil-SOR'!$G$300</f>
        <v>550</v>
      </c>
      <c r="G57" s="435"/>
      <c r="H57" s="435" t="s">
        <v>572</v>
      </c>
      <c r="I57" s="836">
        <f t="shared" si="8"/>
        <v>165</v>
      </c>
    </row>
    <row r="58" spans="1:9" s="559" customFormat="1" ht="18.649999999999999" customHeight="1">
      <c r="A58" s="845"/>
      <c r="B58" s="473"/>
      <c r="C58" s="417" t="s">
        <v>1811</v>
      </c>
      <c r="D58" s="834">
        <v>0.1</v>
      </c>
      <c r="E58" s="435" t="s">
        <v>375</v>
      </c>
      <c r="F58" s="835">
        <f>'[161]Civil-SOR'!$G$291</f>
        <v>685</v>
      </c>
      <c r="G58" s="435"/>
      <c r="H58" s="435" t="s">
        <v>572</v>
      </c>
      <c r="I58" s="836">
        <f t="shared" si="8"/>
        <v>68.5</v>
      </c>
    </row>
    <row r="59" spans="1:9" s="559" customFormat="1" ht="18.649999999999999" customHeight="1">
      <c r="A59" s="845"/>
      <c r="B59" s="473"/>
      <c r="C59" s="417" t="s">
        <v>1812</v>
      </c>
      <c r="D59" s="834">
        <v>0.1</v>
      </c>
      <c r="E59" s="435" t="s">
        <v>375</v>
      </c>
      <c r="F59" s="835">
        <f>'[161]Civil-SOR'!$G$291</f>
        <v>685</v>
      </c>
      <c r="G59" s="435"/>
      <c r="H59" s="435" t="s">
        <v>572</v>
      </c>
      <c r="I59" s="836">
        <f t="shared" si="8"/>
        <v>68.5</v>
      </c>
    </row>
    <row r="60" spans="1:9" s="559" customFormat="1" ht="19.899999999999999" customHeight="1">
      <c r="A60" s="845"/>
      <c r="B60" s="473"/>
      <c r="C60" s="417" t="s">
        <v>1115</v>
      </c>
      <c r="D60" s="834">
        <v>0.3</v>
      </c>
      <c r="E60" s="435" t="s">
        <v>375</v>
      </c>
      <c r="F60" s="835">
        <f>'[161]Civil-SOR'!$G$307</f>
        <v>520</v>
      </c>
      <c r="G60" s="435"/>
      <c r="H60" s="435" t="s">
        <v>572</v>
      </c>
      <c r="I60" s="836">
        <f t="shared" si="8"/>
        <v>156</v>
      </c>
    </row>
    <row r="61" spans="1:9" s="559" customFormat="1" ht="19.899999999999999" customHeight="1">
      <c r="A61" s="845"/>
      <c r="B61" s="473"/>
      <c r="C61" s="417" t="s">
        <v>1813</v>
      </c>
      <c r="D61" s="834">
        <v>0.1</v>
      </c>
      <c r="E61" s="435" t="s">
        <v>375</v>
      </c>
      <c r="F61" s="835">
        <f>'[161]Civil-SOR'!$G$292</f>
        <v>685</v>
      </c>
      <c r="G61" s="435"/>
      <c r="H61" s="435" t="s">
        <v>572</v>
      </c>
      <c r="I61" s="836">
        <f t="shared" si="8"/>
        <v>68.5</v>
      </c>
    </row>
    <row r="62" spans="1:9" s="559" customFormat="1" ht="19.899999999999999" customHeight="1">
      <c r="A62" s="845"/>
      <c r="B62" s="473"/>
      <c r="C62" s="417" t="str">
        <f>[161]Input!$C$47</f>
        <v>Add for MA @ 40%</v>
      </c>
      <c r="D62" s="835">
        <f>[161]Input!$D$47</f>
        <v>0.4</v>
      </c>
      <c r="E62" s="435"/>
      <c r="F62" s="835">
        <f>SUM(I56:I61)</f>
        <v>595</v>
      </c>
      <c r="G62" s="435"/>
      <c r="H62" s="435"/>
      <c r="I62" s="836">
        <f t="shared" si="8"/>
        <v>238</v>
      </c>
    </row>
    <row r="63" spans="1:9" s="559" customFormat="1" ht="19.899999999999999" customHeight="1">
      <c r="A63" s="845"/>
      <c r="B63" s="473"/>
      <c r="C63" s="427" t="s">
        <v>1821</v>
      </c>
      <c r="D63" s="837"/>
      <c r="E63" s="435"/>
      <c r="F63" s="835"/>
      <c r="G63" s="435"/>
      <c r="H63" s="435"/>
      <c r="I63" s="838"/>
    </row>
    <row r="64" spans="1:9" s="559" customFormat="1" ht="26.5" customHeight="1">
      <c r="A64" s="845"/>
      <c r="B64" s="473"/>
      <c r="C64" s="417" t="s">
        <v>1815</v>
      </c>
      <c r="D64" s="834">
        <v>0.8</v>
      </c>
      <c r="E64" s="435" t="s">
        <v>1816</v>
      </c>
      <c r="F64" s="835">
        <f>'[161]Civil-SOR'!$G$194</f>
        <v>146</v>
      </c>
      <c r="G64" s="435">
        <v>1</v>
      </c>
      <c r="H64" s="435" t="s">
        <v>797</v>
      </c>
      <c r="I64" s="836">
        <f t="shared" ref="I64:I65" si="9">IF(G64="",D64*F64,(D64*F64/G64))</f>
        <v>116.80000000000001</v>
      </c>
    </row>
    <row r="65" spans="1:9" s="559" customFormat="1" ht="19.899999999999999" customHeight="1">
      <c r="A65" s="845"/>
      <c r="B65" s="473"/>
      <c r="C65" s="417" t="s">
        <v>1822</v>
      </c>
      <c r="D65" s="834">
        <v>0.8</v>
      </c>
      <c r="E65" s="435" t="s">
        <v>1816</v>
      </c>
      <c r="F65" s="835">
        <f>'[161]Civil-SOR'!$G$195</f>
        <v>137</v>
      </c>
      <c r="G65" s="435">
        <v>1</v>
      </c>
      <c r="H65" s="435" t="s">
        <v>797</v>
      </c>
      <c r="I65" s="836">
        <f t="shared" si="9"/>
        <v>109.60000000000001</v>
      </c>
    </row>
    <row r="66" spans="1:9" s="559" customFormat="1" ht="21.65" customHeight="1">
      <c r="A66" s="845"/>
      <c r="B66" s="473"/>
      <c r="C66" s="417"/>
      <c r="D66" s="834"/>
      <c r="E66" s="435"/>
      <c r="F66" s="835"/>
      <c r="G66" s="435"/>
      <c r="H66" s="435"/>
      <c r="I66" s="838">
        <f>SUM(I56:I65)</f>
        <v>1059.3999999999999</v>
      </c>
    </row>
    <row r="67" spans="1:9" s="559" customFormat="1" ht="16.899999999999999" customHeight="1">
      <c r="A67" s="845"/>
      <c r="B67" s="473"/>
      <c r="C67" s="417" t="s">
        <v>1818</v>
      </c>
      <c r="D67" s="835">
        <v>0.01</v>
      </c>
      <c r="E67" s="435"/>
      <c r="F67" s="835">
        <f>I66</f>
        <v>1059.3999999999999</v>
      </c>
      <c r="G67" s="435"/>
      <c r="H67" s="435"/>
      <c r="I67" s="836">
        <f>IF(G67="",D67*F67,(D67*F67/G67))</f>
        <v>10.593999999999999</v>
      </c>
    </row>
    <row r="68" spans="1:9" s="560" customFormat="1" ht="24" customHeight="1">
      <c r="A68" s="406"/>
      <c r="B68" s="846"/>
      <c r="C68" s="481" t="s">
        <v>1819</v>
      </c>
      <c r="D68" s="841"/>
      <c r="E68" s="842"/>
      <c r="F68" s="841"/>
      <c r="G68" s="847"/>
      <c r="H68" s="842"/>
      <c r="I68" s="461">
        <f>SUM(I66:I67)</f>
        <v>1069.9939999999999</v>
      </c>
    </row>
    <row r="69" spans="1:9" s="559" customFormat="1" ht="14.65" customHeight="1">
      <c r="A69" s="845"/>
      <c r="B69" s="473"/>
      <c r="C69" s="417"/>
      <c r="D69" s="843"/>
      <c r="E69" s="751"/>
      <c r="F69" s="843"/>
      <c r="G69" s="844"/>
      <c r="H69" s="751"/>
      <c r="I69" s="836"/>
    </row>
    <row r="70" spans="1:9" s="559" customFormat="1" ht="55.9" customHeight="1">
      <c r="A70" s="845">
        <f>A24+1</f>
        <v>1</v>
      </c>
      <c r="B70" s="473"/>
      <c r="C70" s="1276" t="s">
        <v>1825</v>
      </c>
      <c r="D70" s="1276"/>
      <c r="E70" s="1276"/>
      <c r="F70" s="1276"/>
      <c r="G70" s="1276"/>
      <c r="H70" s="1276"/>
      <c r="I70" s="435"/>
    </row>
    <row r="71" spans="1:9" s="559" customFormat="1" ht="18.649999999999999" customHeight="1">
      <c r="A71" s="845"/>
      <c r="B71" s="473"/>
      <c r="C71" s="427" t="s">
        <v>1826</v>
      </c>
      <c r="D71" s="417"/>
      <c r="E71" s="417"/>
      <c r="F71" s="417"/>
      <c r="G71" s="1362">
        <f>0.535*0.435</f>
        <v>0.23272500000000002</v>
      </c>
      <c r="H71" s="1362"/>
      <c r="I71" s="451" t="s">
        <v>62</v>
      </c>
    </row>
    <row r="72" spans="1:9" s="559" customFormat="1" ht="15" customHeight="1">
      <c r="A72" s="845"/>
      <c r="B72" s="473"/>
      <c r="C72" s="417" t="s">
        <v>1827</v>
      </c>
      <c r="D72" s="435">
        <f>4*(0.535+0.435)+4*0.1+2*0.38</f>
        <v>5.04</v>
      </c>
      <c r="E72" s="435" t="s">
        <v>1052</v>
      </c>
      <c r="F72" s="435" t="s">
        <v>1828</v>
      </c>
      <c r="G72" s="1350">
        <f>5.04*1</f>
        <v>5.04</v>
      </c>
      <c r="H72" s="1350"/>
      <c r="I72" s="845" t="s">
        <v>833</v>
      </c>
    </row>
    <row r="73" spans="1:9" s="559" customFormat="1" ht="15" customHeight="1">
      <c r="A73" s="845"/>
      <c r="B73" s="473"/>
      <c r="C73" s="417" t="s">
        <v>1829</v>
      </c>
      <c r="D73" s="435">
        <f t="shared" ref="D73:D75" si="10">$G$72</f>
        <v>5.04</v>
      </c>
      <c r="E73" s="435" t="s">
        <v>833</v>
      </c>
      <c r="F73" s="835">
        <f>[161]LEAD!$N$11</f>
        <v>62000</v>
      </c>
      <c r="G73" s="435">
        <v>1000</v>
      </c>
      <c r="H73" s="435" t="s">
        <v>833</v>
      </c>
      <c r="I73" s="836">
        <f t="shared" ref="I73:I76" si="11">IF(G73="",D73*F73,(D73*F73/G73))</f>
        <v>312.48</v>
      </c>
    </row>
    <row r="74" spans="1:9" s="559" customFormat="1" ht="18" customHeight="1">
      <c r="A74" s="845"/>
      <c r="B74" s="473"/>
      <c r="C74" s="417" t="s">
        <v>1830</v>
      </c>
      <c r="D74" s="435">
        <f t="shared" si="10"/>
        <v>5.04</v>
      </c>
      <c r="E74" s="435" t="s">
        <v>833</v>
      </c>
      <c r="F74" s="835">
        <f>'[161]Civil-SOR'!$G$202</f>
        <v>37</v>
      </c>
      <c r="G74" s="435">
        <v>1</v>
      </c>
      <c r="H74" s="435" t="s">
        <v>312</v>
      </c>
      <c r="I74" s="836">
        <f t="shared" si="11"/>
        <v>186.48</v>
      </c>
    </row>
    <row r="75" spans="1:9" s="559" customFormat="1" ht="15.65" customHeight="1">
      <c r="A75" s="845"/>
      <c r="B75" s="473"/>
      <c r="C75" s="417" t="s">
        <v>1831</v>
      </c>
      <c r="D75" s="435">
        <f t="shared" si="10"/>
        <v>5.04</v>
      </c>
      <c r="E75" s="435" t="s">
        <v>833</v>
      </c>
      <c r="F75" s="835">
        <f>'[161]Civil-SOR'!$G$203</f>
        <v>6</v>
      </c>
      <c r="G75" s="435">
        <v>1</v>
      </c>
      <c r="H75" s="435" t="s">
        <v>312</v>
      </c>
      <c r="I75" s="836">
        <f t="shared" si="11"/>
        <v>30.240000000000002</v>
      </c>
    </row>
    <row r="76" spans="1:9" s="559" customFormat="1" ht="16" customHeight="1">
      <c r="A76" s="845"/>
      <c r="B76" s="473"/>
      <c r="C76" s="417" t="str">
        <f>[161]Input!$C$47</f>
        <v>Add for MA @ 40%</v>
      </c>
      <c r="D76" s="835">
        <f>[161]Input!$D$47</f>
        <v>0.4</v>
      </c>
      <c r="E76" s="835"/>
      <c r="F76" s="835">
        <f>I74*40%+I75</f>
        <v>104.83199999999999</v>
      </c>
      <c r="G76" s="834"/>
      <c r="H76" s="835"/>
      <c r="I76" s="836">
        <f t="shared" si="11"/>
        <v>41.9328</v>
      </c>
    </row>
    <row r="77" spans="1:9" s="559" customFormat="1" ht="14.5" customHeight="1">
      <c r="A77" s="845"/>
      <c r="B77" s="473"/>
      <c r="C77" s="427" t="s">
        <v>1832</v>
      </c>
      <c r="D77" s="435"/>
      <c r="E77" s="435"/>
      <c r="F77" s="435"/>
      <c r="G77" s="435"/>
      <c r="H77" s="435"/>
      <c r="I77" s="836">
        <f>SUM(I73:I76)</f>
        <v>571.13280000000009</v>
      </c>
    </row>
    <row r="78" spans="1:9" s="559" customFormat="1" ht="20.5" customHeight="1">
      <c r="A78" s="845"/>
      <c r="B78" s="473"/>
      <c r="C78" s="427" t="s">
        <v>845</v>
      </c>
      <c r="D78" s="435"/>
      <c r="E78" s="435"/>
      <c r="F78" s="435"/>
      <c r="G78" s="435"/>
      <c r="H78" s="435"/>
      <c r="I78" s="848">
        <f>I77/G71</f>
        <v>2454.1102159200777</v>
      </c>
    </row>
    <row r="79" spans="1:9" s="559" customFormat="1" ht="15" customHeight="1">
      <c r="A79" s="845"/>
      <c r="B79" s="473"/>
      <c r="C79" s="427" t="s">
        <v>845</v>
      </c>
      <c r="D79" s="435"/>
      <c r="E79" s="435"/>
      <c r="F79" s="435"/>
      <c r="G79" s="1313" t="s">
        <v>687</v>
      </c>
      <c r="H79" s="1313"/>
      <c r="I79" s="849">
        <f>ROUND(I78,0)</f>
        <v>2454</v>
      </c>
    </row>
    <row r="80" spans="1:9" s="559" customFormat="1" ht="5.5" customHeight="1">
      <c r="A80" s="845"/>
      <c r="B80" s="473"/>
      <c r="C80" s="417"/>
      <c r="D80" s="843"/>
      <c r="E80" s="751"/>
      <c r="F80" s="843"/>
      <c r="G80" s="844"/>
      <c r="H80" s="751"/>
      <c r="I80" s="836"/>
    </row>
    <row r="81" spans="1:10" s="559" customFormat="1" ht="67.900000000000006" customHeight="1">
      <c r="A81" s="845">
        <v>2</v>
      </c>
      <c r="B81" s="473"/>
      <c r="C81" s="1276" t="s">
        <v>1833</v>
      </c>
      <c r="D81" s="1276"/>
      <c r="E81" s="1276"/>
      <c r="F81" s="1276"/>
      <c r="G81" s="1276"/>
      <c r="H81" s="1276"/>
      <c r="I81" s="473"/>
    </row>
    <row r="82" spans="1:10" s="559" customFormat="1" ht="83.5" customHeight="1">
      <c r="A82" s="845"/>
      <c r="B82" s="473"/>
      <c r="C82" s="1291" t="s">
        <v>1834</v>
      </c>
      <c r="D82" s="1291"/>
      <c r="E82" s="1291"/>
      <c r="F82" s="1291"/>
      <c r="G82" s="1291"/>
      <c r="H82" s="1291"/>
      <c r="I82" s="435"/>
    </row>
    <row r="83" spans="1:10" s="559" customFormat="1" ht="15" customHeight="1">
      <c r="A83" s="845"/>
      <c r="B83" s="473"/>
      <c r="C83" s="427" t="s">
        <v>660</v>
      </c>
      <c r="D83" s="850" t="s">
        <v>1835</v>
      </c>
      <c r="E83" s="1316" t="s">
        <v>1836</v>
      </c>
      <c r="F83" s="1316"/>
      <c r="G83" s="851">
        <f>3*2.6</f>
        <v>7.8000000000000007</v>
      </c>
      <c r="H83" s="851" t="s">
        <v>17</v>
      </c>
      <c r="I83" s="435"/>
    </row>
    <row r="84" spans="1:10" s="559" customFormat="1" ht="13.9" customHeight="1">
      <c r="A84" s="845"/>
      <c r="B84" s="473"/>
      <c r="C84" s="417" t="s">
        <v>433</v>
      </c>
      <c r="D84" s="1314" t="s">
        <v>1837</v>
      </c>
      <c r="E84" s="1314"/>
      <c r="F84" s="1314"/>
      <c r="G84" s="435"/>
      <c r="H84" s="435"/>
      <c r="I84" s="838"/>
    </row>
    <row r="85" spans="1:10" s="559" customFormat="1" ht="13.9" customHeight="1">
      <c r="A85" s="845"/>
      <c r="B85" s="473"/>
      <c r="C85" s="417"/>
      <c r="D85" s="1314" t="s">
        <v>1838</v>
      </c>
      <c r="E85" s="1314"/>
      <c r="F85" s="1314"/>
      <c r="G85" s="852">
        <f>ROUND(15.4*0.15*0.1,4)</f>
        <v>0.23100000000000001</v>
      </c>
      <c r="H85" s="473" t="s">
        <v>57</v>
      </c>
      <c r="I85" s="838"/>
    </row>
    <row r="86" spans="1:10" s="559" customFormat="1" ht="13.9" customHeight="1">
      <c r="A86" s="845"/>
      <c r="B86" s="473"/>
      <c r="C86" s="1296" t="s">
        <v>1839</v>
      </c>
      <c r="D86" s="1314" t="s">
        <v>1840</v>
      </c>
      <c r="E86" s="1314"/>
      <c r="F86" s="1314"/>
      <c r="G86" s="435"/>
      <c r="H86" s="435"/>
      <c r="I86" s="838"/>
    </row>
    <row r="87" spans="1:10" s="559" customFormat="1" ht="13.9" customHeight="1">
      <c r="A87" s="845"/>
      <c r="B87" s="473"/>
      <c r="C87" s="1296"/>
      <c r="D87" s="1314" t="s">
        <v>1841</v>
      </c>
      <c r="E87" s="1314"/>
      <c r="F87" s="1314"/>
      <c r="G87" s="853">
        <f>ROUND(3.9*0.15*0.1,4)</f>
        <v>5.8500000000000003E-2</v>
      </c>
      <c r="H87" s="435" t="s">
        <v>57</v>
      </c>
      <c r="I87" s="838"/>
    </row>
    <row r="88" spans="1:10" s="559" customFormat="1" ht="13.9" customHeight="1">
      <c r="A88" s="845"/>
      <c r="B88" s="473"/>
      <c r="C88" s="417" t="s">
        <v>1842</v>
      </c>
      <c r="D88" s="1314" t="s">
        <v>1843</v>
      </c>
      <c r="E88" s="1314"/>
      <c r="F88" s="1314"/>
      <c r="G88" s="435"/>
      <c r="H88" s="435"/>
      <c r="I88" s="838"/>
    </row>
    <row r="89" spans="1:10" s="559" customFormat="1" ht="13.9" customHeight="1">
      <c r="A89" s="845"/>
      <c r="B89" s="473"/>
      <c r="C89" s="417"/>
      <c r="D89" s="1314" t="s">
        <v>1844</v>
      </c>
      <c r="E89" s="1314"/>
      <c r="F89" s="1314"/>
      <c r="G89" s="853">
        <f>ROUND(8*0.12*0.035,4)</f>
        <v>3.3599999999999998E-2</v>
      </c>
      <c r="H89" s="435" t="s">
        <v>57</v>
      </c>
      <c r="I89" s="838"/>
    </row>
    <row r="90" spans="1:10" s="559" customFormat="1" ht="13.9" customHeight="1">
      <c r="A90" s="845"/>
      <c r="B90" s="473"/>
      <c r="C90" s="417" t="s">
        <v>1845</v>
      </c>
      <c r="D90" s="1314" t="s">
        <v>1846</v>
      </c>
      <c r="E90" s="1314"/>
      <c r="F90" s="1314"/>
      <c r="G90" s="435"/>
      <c r="H90" s="435"/>
      <c r="I90" s="838"/>
    </row>
    <row r="91" spans="1:10" s="559" customFormat="1" ht="13.9" customHeight="1">
      <c r="A91" s="845"/>
      <c r="B91" s="473"/>
      <c r="C91" s="417"/>
      <c r="D91" s="1314" t="s">
        <v>1847</v>
      </c>
      <c r="E91" s="1314"/>
      <c r="F91" s="1314"/>
      <c r="G91" s="853">
        <f>ROUND(3.2*0.12*0.035,4)</f>
        <v>1.34E-2</v>
      </c>
      <c r="H91" s="435" t="s">
        <v>57</v>
      </c>
      <c r="I91" s="838"/>
    </row>
    <row r="92" spans="1:10" s="559" customFormat="1" ht="13.9" customHeight="1">
      <c r="A92" s="845"/>
      <c r="B92" s="473"/>
      <c r="C92" s="417" t="s">
        <v>1848</v>
      </c>
      <c r="D92" s="1314" t="s">
        <v>1849</v>
      </c>
      <c r="E92" s="1314"/>
      <c r="F92" s="1314"/>
      <c r="G92" s="435"/>
      <c r="H92" s="435"/>
      <c r="I92" s="838"/>
    </row>
    <row r="93" spans="1:10" s="559" customFormat="1" ht="13.9" customHeight="1">
      <c r="A93" s="845"/>
      <c r="B93" s="473"/>
      <c r="C93" s="417"/>
      <c r="D93" s="1314" t="s">
        <v>1850</v>
      </c>
      <c r="E93" s="1314"/>
      <c r="F93" s="1314"/>
      <c r="G93" s="853">
        <f>ROUND(1.6*0.15*0.035,4)</f>
        <v>8.3999999999999995E-3</v>
      </c>
      <c r="H93" s="435" t="s">
        <v>57</v>
      </c>
      <c r="I93" s="838"/>
    </row>
    <row r="94" spans="1:10" s="559" customFormat="1" ht="13.9" customHeight="1">
      <c r="A94" s="845"/>
      <c r="B94" s="473"/>
      <c r="C94" s="417"/>
      <c r="D94" s="1354"/>
      <c r="E94" s="1354"/>
      <c r="F94" s="1354"/>
      <c r="G94" s="854">
        <f>SUM(G87:G93)</f>
        <v>0.1139</v>
      </c>
      <c r="H94" s="473" t="s">
        <v>57</v>
      </c>
      <c r="I94" s="838"/>
    </row>
    <row r="95" spans="1:10" s="559" customFormat="1" ht="15" customHeight="1">
      <c r="A95" s="845"/>
      <c r="B95" s="473"/>
      <c r="C95" s="417" t="s">
        <v>1851</v>
      </c>
      <c r="D95" s="1314" t="s">
        <v>1852</v>
      </c>
      <c r="E95" s="1314"/>
      <c r="F95" s="1314"/>
      <c r="G95" s="835">
        <f>0.5*0.4*2+0.4*0.75*2</f>
        <v>1</v>
      </c>
      <c r="H95" s="435" t="s">
        <v>62</v>
      </c>
      <c r="I95" s="838"/>
      <c r="J95" s="703"/>
    </row>
    <row r="96" spans="1:10" s="559" customFormat="1" ht="15" customHeight="1">
      <c r="A96" s="845"/>
      <c r="B96" s="473"/>
      <c r="C96" s="417" t="s">
        <v>1853</v>
      </c>
      <c r="D96" s="1314" t="s">
        <v>1854</v>
      </c>
      <c r="E96" s="1314"/>
      <c r="F96" s="1314"/>
      <c r="G96" s="835">
        <f>1.1*0.5*2+0.7*0.5*2</f>
        <v>1.8</v>
      </c>
      <c r="H96" s="435" t="s">
        <v>62</v>
      </c>
      <c r="I96" s="838"/>
    </row>
    <row r="97" spans="1:9" s="559" customFormat="1" ht="13.9" customHeight="1">
      <c r="A97" s="845"/>
      <c r="B97" s="473"/>
      <c r="C97" s="417" t="s">
        <v>1855</v>
      </c>
      <c r="D97" s="1314" t="s">
        <v>1856</v>
      </c>
      <c r="E97" s="1314"/>
      <c r="F97" s="1314"/>
      <c r="G97" s="855">
        <f>(2*0.56*1.61)</f>
        <v>1.8032000000000004</v>
      </c>
      <c r="H97" s="473" t="s">
        <v>62</v>
      </c>
      <c r="I97" s="838"/>
    </row>
    <row r="98" spans="1:9" s="559" customFormat="1" ht="13.9" customHeight="1">
      <c r="A98" s="845"/>
      <c r="B98" s="473"/>
      <c r="C98" s="526" t="s">
        <v>1857</v>
      </c>
      <c r="D98" s="1314"/>
      <c r="E98" s="1314"/>
      <c r="F98" s="1314"/>
      <c r="G98" s="855"/>
      <c r="H98" s="473"/>
      <c r="I98" s="838"/>
    </row>
    <row r="99" spans="1:9" s="559" customFormat="1" ht="13.9" customHeight="1">
      <c r="A99" s="845"/>
      <c r="B99" s="473"/>
      <c r="C99" s="417" t="s">
        <v>1858</v>
      </c>
      <c r="D99" s="1314" t="s">
        <v>1859</v>
      </c>
      <c r="E99" s="1314"/>
      <c r="F99" s="1314"/>
      <c r="G99" s="835">
        <f>2*2*(0.4+0.5)+2*2*(0.75+0.4)</f>
        <v>8.1999999999999993</v>
      </c>
      <c r="H99" s="435" t="s">
        <v>1052</v>
      </c>
      <c r="I99" s="838"/>
    </row>
    <row r="100" spans="1:9" s="559" customFormat="1" ht="13.9" customHeight="1">
      <c r="A100" s="845"/>
      <c r="B100" s="473"/>
      <c r="C100" s="417" t="s">
        <v>1860</v>
      </c>
      <c r="D100" s="1314" t="s">
        <v>1861</v>
      </c>
      <c r="E100" s="1314"/>
      <c r="F100" s="1314"/>
      <c r="G100" s="835">
        <f>4*1.6+4*1.2</f>
        <v>11.2</v>
      </c>
      <c r="H100" s="435" t="s">
        <v>1052</v>
      </c>
      <c r="I100" s="838"/>
    </row>
    <row r="101" spans="1:9" s="559" customFormat="1" ht="13.9" customHeight="1">
      <c r="A101" s="845"/>
      <c r="B101" s="473"/>
      <c r="C101" s="417" t="s">
        <v>1862</v>
      </c>
      <c r="D101" s="1314" t="s">
        <v>1863</v>
      </c>
      <c r="E101" s="1314"/>
      <c r="F101" s="1314"/>
      <c r="G101" s="835">
        <f>2*2*(0.56+1.61)</f>
        <v>8.68</v>
      </c>
      <c r="H101" s="435" t="s">
        <v>1052</v>
      </c>
      <c r="I101" s="838"/>
    </row>
    <row r="102" spans="1:9" s="559" customFormat="1" ht="14.5" customHeight="1">
      <c r="A102" s="845"/>
      <c r="B102" s="473"/>
      <c r="C102" s="526" t="s">
        <v>672</v>
      </c>
      <c r="D102" s="835"/>
      <c r="E102" s="835"/>
      <c r="F102" s="835"/>
      <c r="G102" s="855">
        <f>SUM(G99:G101)</f>
        <v>28.08</v>
      </c>
      <c r="H102" s="473" t="s">
        <v>1052</v>
      </c>
      <c r="I102" s="838"/>
    </row>
    <row r="103" spans="1:9" s="559" customFormat="1" ht="13.9" customHeight="1">
      <c r="A103" s="845"/>
      <c r="B103" s="473"/>
      <c r="C103" s="417" t="s">
        <v>1864</v>
      </c>
      <c r="D103" s="853">
        <f>G85</f>
        <v>0.23100000000000001</v>
      </c>
      <c r="E103" s="435" t="s">
        <v>57</v>
      </c>
      <c r="F103" s="835">
        <f>'[161]Civil-SOR'!$G$30</f>
        <v>150940</v>
      </c>
      <c r="G103" s="435">
        <v>1</v>
      </c>
      <c r="H103" s="435" t="s">
        <v>57</v>
      </c>
      <c r="I103" s="836">
        <f t="shared" ref="I103:I119" si="12">IF(G103="",D103*F103,(D103*F103/G103))</f>
        <v>34867.14</v>
      </c>
    </row>
    <row r="104" spans="1:9" s="559" customFormat="1" ht="13.9" customHeight="1">
      <c r="A104" s="845"/>
      <c r="B104" s="473"/>
      <c r="C104" s="417" t="s">
        <v>1865</v>
      </c>
      <c r="D104" s="853">
        <f>G94</f>
        <v>0.1139</v>
      </c>
      <c r="E104" s="435" t="s">
        <v>57</v>
      </c>
      <c r="F104" s="835">
        <f>'[161]Civil-SOR'!$G$29</f>
        <v>141792</v>
      </c>
      <c r="G104" s="435">
        <v>1</v>
      </c>
      <c r="H104" s="435" t="s">
        <v>57</v>
      </c>
      <c r="I104" s="836">
        <f t="shared" si="12"/>
        <v>16150.1088</v>
      </c>
    </row>
    <row r="105" spans="1:9" s="559" customFormat="1" ht="13.9" customHeight="1">
      <c r="A105" s="845"/>
      <c r="B105" s="473"/>
      <c r="C105" s="417" t="s">
        <v>1866</v>
      </c>
      <c r="D105" s="835">
        <f>G95+G96</f>
        <v>2.8</v>
      </c>
      <c r="E105" s="435" t="s">
        <v>62</v>
      </c>
      <c r="F105" s="835">
        <f>'[161]Civil-SOR'!$G$52</f>
        <v>1569</v>
      </c>
      <c r="G105" s="435">
        <v>1</v>
      </c>
      <c r="H105" s="435" t="s">
        <v>62</v>
      </c>
      <c r="I105" s="836">
        <f t="shared" si="12"/>
        <v>4393.2</v>
      </c>
    </row>
    <row r="106" spans="1:9" s="559" customFormat="1" ht="13.9" customHeight="1">
      <c r="A106" s="845"/>
      <c r="B106" s="473"/>
      <c r="C106" s="417" t="s">
        <v>1867</v>
      </c>
      <c r="D106" s="835">
        <f>G96</f>
        <v>1.8</v>
      </c>
      <c r="E106" s="435" t="s">
        <v>62</v>
      </c>
      <c r="F106" s="835">
        <f>'[161]Civil-SOR'!$G$50</f>
        <v>1194</v>
      </c>
      <c r="G106" s="435">
        <v>1</v>
      </c>
      <c r="H106" s="435" t="s">
        <v>62</v>
      </c>
      <c r="I106" s="836">
        <f t="shared" si="12"/>
        <v>2149.2000000000003</v>
      </c>
    </row>
    <row r="107" spans="1:9" s="559" customFormat="1" ht="13.9" customHeight="1">
      <c r="A107" s="845"/>
      <c r="B107" s="473"/>
      <c r="C107" s="417" t="s">
        <v>1868</v>
      </c>
      <c r="D107" s="835">
        <f>G102</f>
        <v>28.08</v>
      </c>
      <c r="E107" s="435" t="s">
        <v>1052</v>
      </c>
      <c r="F107" s="835">
        <f>'[161]Civil-SOR'!$G$382</f>
        <v>26</v>
      </c>
      <c r="G107" s="435">
        <v>1</v>
      </c>
      <c r="H107" s="435" t="s">
        <v>1052</v>
      </c>
      <c r="I107" s="836">
        <f t="shared" si="12"/>
        <v>730.07999999999993</v>
      </c>
    </row>
    <row r="108" spans="1:9" s="559" customFormat="1" ht="13.9" customHeight="1">
      <c r="A108" s="845"/>
      <c r="B108" s="473"/>
      <c r="C108" s="417" t="s">
        <v>1869</v>
      </c>
      <c r="D108" s="837">
        <v>8</v>
      </c>
      <c r="E108" s="435" t="s">
        <v>14</v>
      </c>
      <c r="F108" s="835">
        <f>'[161]Civil-SOR'!$G$384</f>
        <v>600</v>
      </c>
      <c r="G108" s="435"/>
      <c r="H108" s="435" t="s">
        <v>572</v>
      </c>
      <c r="I108" s="836">
        <f t="shared" si="12"/>
        <v>4800</v>
      </c>
    </row>
    <row r="109" spans="1:9" s="559" customFormat="1" ht="13.9" customHeight="1">
      <c r="A109" s="845"/>
      <c r="B109" s="473"/>
      <c r="C109" s="417" t="s">
        <v>1870</v>
      </c>
      <c r="D109" s="837">
        <v>2</v>
      </c>
      <c r="E109" s="435" t="s">
        <v>14</v>
      </c>
      <c r="F109" s="835">
        <f>'[161]Civil-SOR'!$G$168</f>
        <v>1683</v>
      </c>
      <c r="G109" s="435"/>
      <c r="H109" s="435" t="s">
        <v>572</v>
      </c>
      <c r="I109" s="836">
        <f t="shared" si="12"/>
        <v>3366</v>
      </c>
    </row>
    <row r="110" spans="1:9" s="559" customFormat="1" ht="13.9" customHeight="1">
      <c r="A110" s="845"/>
      <c r="B110" s="473"/>
      <c r="C110" s="417" t="s">
        <v>1871</v>
      </c>
      <c r="D110" s="837">
        <v>1</v>
      </c>
      <c r="E110" s="435" t="s">
        <v>66</v>
      </c>
      <c r="F110" s="835">
        <f>'[161]Civil-SOR'!$G$170</f>
        <v>3622</v>
      </c>
      <c r="G110" s="435"/>
      <c r="H110" s="435" t="s">
        <v>572</v>
      </c>
      <c r="I110" s="836">
        <f t="shared" si="12"/>
        <v>3622</v>
      </c>
    </row>
    <row r="111" spans="1:9" s="559" customFormat="1" ht="13.9" customHeight="1">
      <c r="A111" s="845"/>
      <c r="B111" s="473"/>
      <c r="C111" s="417" t="s">
        <v>1872</v>
      </c>
      <c r="D111" s="837">
        <v>3</v>
      </c>
      <c r="E111" s="435" t="s">
        <v>14</v>
      </c>
      <c r="F111" s="835">
        <f>'[161]Civil-SOR'!$G$151</f>
        <v>358</v>
      </c>
      <c r="G111" s="435"/>
      <c r="H111" s="435" t="s">
        <v>572</v>
      </c>
      <c r="I111" s="836">
        <f t="shared" si="12"/>
        <v>1074</v>
      </c>
    </row>
    <row r="112" spans="1:9" s="559" customFormat="1" ht="13.9" customHeight="1">
      <c r="A112" s="845"/>
      <c r="B112" s="473"/>
      <c r="C112" s="417" t="s">
        <v>1873</v>
      </c>
      <c r="D112" s="837">
        <v>2</v>
      </c>
      <c r="E112" s="435" t="s">
        <v>14</v>
      </c>
      <c r="F112" s="835">
        <f>'[161]Civil-SOR'!$G$176</f>
        <v>205</v>
      </c>
      <c r="G112" s="435"/>
      <c r="H112" s="435" t="s">
        <v>572</v>
      </c>
      <c r="I112" s="836">
        <f t="shared" si="12"/>
        <v>410</v>
      </c>
    </row>
    <row r="113" spans="1:9" s="559" customFormat="1" ht="13.9" customHeight="1">
      <c r="A113" s="845"/>
      <c r="B113" s="473"/>
      <c r="C113" s="417" t="s">
        <v>1874</v>
      </c>
      <c r="D113" s="837">
        <v>6</v>
      </c>
      <c r="E113" s="435" t="s">
        <v>14</v>
      </c>
      <c r="F113" s="835">
        <f>'[161]Civil-SOR'!$G$385</f>
        <v>37</v>
      </c>
      <c r="G113" s="435"/>
      <c r="H113" s="435" t="s">
        <v>572</v>
      </c>
      <c r="I113" s="836">
        <f t="shared" si="12"/>
        <v>222</v>
      </c>
    </row>
    <row r="114" spans="1:9" s="559" customFormat="1" ht="13.9" customHeight="1">
      <c r="A114" s="845"/>
      <c r="B114" s="473"/>
      <c r="C114" s="417" t="s">
        <v>926</v>
      </c>
      <c r="D114" s="853">
        <f>D103+D104</f>
        <v>0.34489999999999998</v>
      </c>
      <c r="E114" s="435" t="s">
        <v>57</v>
      </c>
      <c r="F114" s="835">
        <f>$I$8</f>
        <v>15027.85</v>
      </c>
      <c r="G114" s="435">
        <v>1</v>
      </c>
      <c r="H114" s="435" t="s">
        <v>57</v>
      </c>
      <c r="I114" s="836">
        <f t="shared" si="12"/>
        <v>5183.1054649999996</v>
      </c>
    </row>
    <row r="115" spans="1:9" s="559" customFormat="1" ht="13.9" customHeight="1">
      <c r="A115" s="845"/>
      <c r="B115" s="473"/>
      <c r="C115" s="417" t="str">
        <f>[161]Input!$C$47</f>
        <v>Add for MA @ 40%</v>
      </c>
      <c r="D115" s="835">
        <f>[161]Input!$D$47</f>
        <v>0.4</v>
      </c>
      <c r="E115" s="435"/>
      <c r="F115" s="835">
        <f>I114</f>
        <v>5183.1054649999996</v>
      </c>
      <c r="G115" s="435"/>
      <c r="H115" s="435"/>
      <c r="I115" s="836">
        <f t="shared" si="12"/>
        <v>2073.2421859999999</v>
      </c>
    </row>
    <row r="116" spans="1:9" s="559" customFormat="1" ht="13.9" customHeight="1">
      <c r="A116" s="845"/>
      <c r="B116" s="473"/>
      <c r="C116" s="417" t="s">
        <v>1875</v>
      </c>
      <c r="D116" s="835">
        <f>G95+G96</f>
        <v>2.8</v>
      </c>
      <c r="E116" s="435" t="s">
        <v>62</v>
      </c>
      <c r="F116" s="835">
        <f>'[161]Civil-SOR'!$G$207</f>
        <v>410</v>
      </c>
      <c r="G116" s="435">
        <v>1</v>
      </c>
      <c r="H116" s="435" t="s">
        <v>62</v>
      </c>
      <c r="I116" s="836">
        <f t="shared" si="12"/>
        <v>1148</v>
      </c>
    </row>
    <row r="117" spans="1:9" s="559" customFormat="1" ht="13.9" customHeight="1">
      <c r="A117" s="845"/>
      <c r="B117" s="473"/>
      <c r="C117" s="417" t="str">
        <f>[161]Input!$C$47</f>
        <v>Add for MA @ 40%</v>
      </c>
      <c r="D117" s="835">
        <f>[161]Input!$D$47</f>
        <v>0.4</v>
      </c>
      <c r="E117" s="435"/>
      <c r="F117" s="835">
        <f>I116</f>
        <v>1148</v>
      </c>
      <c r="G117" s="435"/>
      <c r="H117" s="435"/>
      <c r="I117" s="836">
        <f t="shared" si="12"/>
        <v>459.20000000000005</v>
      </c>
    </row>
    <row r="118" spans="1:9" s="559" customFormat="1" ht="21.65" customHeight="1">
      <c r="A118" s="845"/>
      <c r="B118" s="473"/>
      <c r="C118" s="417" t="s">
        <v>1876</v>
      </c>
      <c r="D118" s="835">
        <f>D106</f>
        <v>1.8</v>
      </c>
      <c r="E118" s="435" t="s">
        <v>62</v>
      </c>
      <c r="F118" s="835">
        <f>'[161]Civil-SOR'!$G$205</f>
        <v>1369</v>
      </c>
      <c r="G118" s="435">
        <v>1</v>
      </c>
      <c r="H118" s="435" t="s">
        <v>62</v>
      </c>
      <c r="I118" s="836">
        <f t="shared" si="12"/>
        <v>2464.2000000000003</v>
      </c>
    </row>
    <row r="119" spans="1:9" s="559" customFormat="1" ht="13.9" customHeight="1">
      <c r="A119" s="845"/>
      <c r="B119" s="473"/>
      <c r="C119" s="417" t="str">
        <f>[161]Input!$C$47</f>
        <v>Add for MA @ 40%</v>
      </c>
      <c r="D119" s="835">
        <f>[161]Input!$D$47</f>
        <v>0.4</v>
      </c>
      <c r="E119" s="435"/>
      <c r="F119" s="835">
        <f>I118</f>
        <v>2464.2000000000003</v>
      </c>
      <c r="G119" s="435"/>
      <c r="H119" s="435"/>
      <c r="I119" s="836">
        <f t="shared" si="12"/>
        <v>985.68000000000018</v>
      </c>
    </row>
    <row r="120" spans="1:9" s="559" customFormat="1" ht="13.9" customHeight="1">
      <c r="A120" s="845"/>
      <c r="B120" s="473"/>
      <c r="C120" s="417" t="s">
        <v>1877</v>
      </c>
      <c r="D120" s="835"/>
      <c r="E120" s="435"/>
      <c r="F120" s="835"/>
      <c r="G120" s="435"/>
      <c r="H120" s="435"/>
      <c r="I120" s="838"/>
    </row>
    <row r="121" spans="1:9" s="559" customFormat="1" ht="13.9" customHeight="1">
      <c r="A121" s="845"/>
      <c r="B121" s="473"/>
      <c r="C121" s="427" t="s">
        <v>1878</v>
      </c>
      <c r="D121" s="835"/>
      <c r="E121" s="435"/>
      <c r="F121" s="835"/>
      <c r="G121" s="435"/>
      <c r="H121" s="435"/>
      <c r="I121" s="856">
        <f>SUM(I103:I120)</f>
        <v>84097.156450999988</v>
      </c>
    </row>
    <row r="122" spans="1:9" s="559" customFormat="1" ht="13.9" customHeight="1">
      <c r="A122" s="845"/>
      <c r="B122" s="473"/>
      <c r="C122" s="427" t="s">
        <v>1585</v>
      </c>
      <c r="D122" s="835"/>
      <c r="E122" s="435"/>
      <c r="F122" s="835"/>
      <c r="G122" s="435"/>
      <c r="H122" s="435"/>
      <c r="I122" s="838">
        <f>I121/G83</f>
        <v>10781.686724487177</v>
      </c>
    </row>
    <row r="123" spans="1:9" s="559" customFormat="1" ht="13.9" customHeight="1">
      <c r="A123" s="845"/>
      <c r="B123" s="473"/>
      <c r="C123" s="417" t="str">
        <f>[161]Input!$C$48</f>
        <v>Overheads &amp; Contractors Profit @ 13.615%</v>
      </c>
      <c r="D123" s="857">
        <f>[161]Input!$D$48</f>
        <v>0.13614999999999999</v>
      </c>
      <c r="E123" s="435"/>
      <c r="F123" s="835">
        <f>I122</f>
        <v>10781.686724487177</v>
      </c>
      <c r="G123" s="435"/>
      <c r="H123" s="435"/>
      <c r="I123" s="836">
        <f>IF(G123="",D123*F123,(D123*F123/G123))</f>
        <v>1467.926647538929</v>
      </c>
    </row>
    <row r="124" spans="1:9" s="559" customFormat="1" ht="13.9" customHeight="1">
      <c r="A124" s="845"/>
      <c r="B124" s="473"/>
      <c r="C124" s="417"/>
      <c r="D124" s="835"/>
      <c r="E124" s="435"/>
      <c r="F124" s="835"/>
      <c r="G124" s="435"/>
      <c r="H124" s="435"/>
      <c r="I124" s="838">
        <f>SUM(I122:I123)</f>
        <v>12249.613372026106</v>
      </c>
    </row>
    <row r="125" spans="1:9" s="560" customFormat="1" ht="18" customHeight="1">
      <c r="A125" s="406"/>
      <c r="B125" s="846"/>
      <c r="C125" s="496" t="s">
        <v>433</v>
      </c>
      <c r="D125" s="858"/>
      <c r="E125" s="740"/>
      <c r="F125" s="858"/>
      <c r="G125" s="1313" t="s">
        <v>687</v>
      </c>
      <c r="H125" s="1313"/>
      <c r="I125" s="570">
        <f>ROUND(I124,0)</f>
        <v>12250</v>
      </c>
    </row>
    <row r="126" spans="1:9" s="559" customFormat="1" ht="9.65" customHeight="1">
      <c r="A126" s="845"/>
      <c r="B126" s="473"/>
      <c r="C126" s="417"/>
      <c r="D126" s="859"/>
      <c r="E126" s="860"/>
      <c r="F126" s="730"/>
      <c r="G126" s="861"/>
      <c r="H126" s="445"/>
      <c r="I126" s="838"/>
    </row>
    <row r="127" spans="1:9" s="559" customFormat="1" ht="78" customHeight="1">
      <c r="A127" s="1350">
        <v>1</v>
      </c>
      <c r="B127" s="1350"/>
      <c r="C127" s="1276" t="s">
        <v>1879</v>
      </c>
      <c r="D127" s="1276"/>
      <c r="E127" s="1276"/>
      <c r="F127" s="1276"/>
      <c r="G127" s="1276"/>
      <c r="H127" s="1276"/>
      <c r="I127" s="473"/>
    </row>
    <row r="128" spans="1:9" s="559" customFormat="1" ht="131.5" customHeight="1">
      <c r="A128" s="845"/>
      <c r="B128" s="399"/>
      <c r="C128" s="1291" t="s">
        <v>1880</v>
      </c>
      <c r="D128" s="1291"/>
      <c r="E128" s="1291"/>
      <c r="F128" s="1291"/>
      <c r="G128" s="1291"/>
      <c r="H128" s="1291"/>
      <c r="I128" s="435"/>
    </row>
    <row r="129" spans="1:10" s="559" customFormat="1" ht="16" customHeight="1">
      <c r="A129" s="845"/>
      <c r="B129" s="399"/>
      <c r="C129" s="427" t="s">
        <v>659</v>
      </c>
      <c r="D129" s="435"/>
      <c r="E129" s="435"/>
      <c r="F129" s="435"/>
      <c r="G129" s="435"/>
      <c r="H129" s="435"/>
      <c r="I129" s="845"/>
    </row>
    <row r="130" spans="1:10" s="559" customFormat="1" ht="12.65" customHeight="1">
      <c r="A130" s="845"/>
      <c r="B130" s="399"/>
      <c r="C130" s="417"/>
      <c r="D130" s="514" t="s">
        <v>661</v>
      </c>
      <c r="E130" s="1295" t="s">
        <v>1881</v>
      </c>
      <c r="F130" s="1295"/>
      <c r="G130" s="435"/>
      <c r="H130" s="855">
        <f>2*2.6</f>
        <v>5.2</v>
      </c>
      <c r="I130" s="851" t="s">
        <v>17</v>
      </c>
    </row>
    <row r="131" spans="1:10" s="559" customFormat="1" ht="12.65" customHeight="1">
      <c r="A131" s="845"/>
      <c r="B131" s="399"/>
      <c r="C131" s="427" t="s">
        <v>660</v>
      </c>
      <c r="D131" s="835"/>
      <c r="E131" s="435"/>
      <c r="F131" s="835"/>
      <c r="G131" s="435"/>
      <c r="H131" s="435"/>
      <c r="I131" s="449"/>
    </row>
    <row r="132" spans="1:10" s="559" customFormat="1" ht="16" customHeight="1">
      <c r="A132" s="845"/>
      <c r="B132" s="399"/>
      <c r="C132" s="417" t="s">
        <v>663</v>
      </c>
      <c r="D132" s="835" t="s">
        <v>1882</v>
      </c>
      <c r="E132" s="435"/>
      <c r="F132" s="835"/>
      <c r="G132" s="435"/>
      <c r="H132" s="435"/>
      <c r="I132" s="449"/>
    </row>
    <row r="133" spans="1:10" s="559" customFormat="1" ht="13.9" customHeight="1">
      <c r="A133" s="845"/>
      <c r="B133" s="399"/>
      <c r="C133" s="417"/>
      <c r="D133" s="1314" t="s">
        <v>1883</v>
      </c>
      <c r="E133" s="1314"/>
      <c r="F133" s="1314"/>
      <c r="G133" s="1356">
        <f>ROUND(5.22*0.1*0.065,5)</f>
        <v>3.3930000000000002E-2</v>
      </c>
      <c r="H133" s="1356"/>
      <c r="I133" s="449" t="s">
        <v>666</v>
      </c>
    </row>
    <row r="134" spans="1:10" s="559" customFormat="1" ht="13.15" customHeight="1">
      <c r="A134" s="845"/>
      <c r="B134" s="399"/>
      <c r="C134" s="417" t="s">
        <v>667</v>
      </c>
      <c r="D134" s="1314" t="s">
        <v>1884</v>
      </c>
      <c r="E134" s="1314"/>
      <c r="F134" s="1314"/>
      <c r="G134" s="435"/>
      <c r="H134" s="435"/>
      <c r="I134" s="449"/>
    </row>
    <row r="135" spans="1:10" s="559" customFormat="1" ht="15" customHeight="1">
      <c r="A135" s="845"/>
      <c r="B135" s="399"/>
      <c r="C135" s="417"/>
      <c r="D135" s="1314" t="s">
        <v>1885</v>
      </c>
      <c r="E135" s="1314"/>
      <c r="F135" s="1314"/>
      <c r="G135" s="1356">
        <f>ROUND(4.5*0.1*0.065,5)</f>
        <v>2.9250000000000002E-2</v>
      </c>
      <c r="H135" s="1356"/>
      <c r="I135" s="449" t="s">
        <v>666</v>
      </c>
    </row>
    <row r="136" spans="1:10" s="559" customFormat="1" ht="12" customHeight="1">
      <c r="A136" s="845"/>
      <c r="B136" s="399"/>
      <c r="C136" s="417"/>
      <c r="D136" s="835"/>
      <c r="E136" s="435"/>
      <c r="F136" s="835"/>
      <c r="G136" s="1355">
        <f>SUM(G133:G135)</f>
        <v>6.318E-2</v>
      </c>
      <c r="H136" s="1355"/>
      <c r="I136" s="851" t="s">
        <v>666</v>
      </c>
    </row>
    <row r="137" spans="1:10" s="559" customFormat="1" ht="15" customHeight="1">
      <c r="A137" s="845"/>
      <c r="B137" s="399"/>
      <c r="C137" s="417" t="s">
        <v>1886</v>
      </c>
      <c r="D137" s="1314" t="s">
        <v>1887</v>
      </c>
      <c r="E137" s="1314"/>
      <c r="F137" s="1314"/>
      <c r="G137" s="1352">
        <f>ROUND(2*1*0.5,2)</f>
        <v>1</v>
      </c>
      <c r="H137" s="1352"/>
      <c r="I137" s="851" t="s">
        <v>17</v>
      </c>
    </row>
    <row r="138" spans="1:10" s="559" customFormat="1" ht="15" customHeight="1">
      <c r="A138" s="845"/>
      <c r="B138" s="399"/>
      <c r="C138" s="417" t="s">
        <v>1888</v>
      </c>
      <c r="D138" s="1314" t="s">
        <v>1889</v>
      </c>
      <c r="E138" s="1314"/>
      <c r="F138" s="1314"/>
      <c r="G138" s="1352">
        <f>ROUND(2*2*(1+0.5),2)</f>
        <v>6</v>
      </c>
      <c r="H138" s="1352"/>
      <c r="I138" s="851" t="s">
        <v>1052</v>
      </c>
    </row>
    <row r="139" spans="1:10" s="559" customFormat="1" ht="15" customHeight="1">
      <c r="A139" s="845"/>
      <c r="B139" s="399"/>
      <c r="C139" s="417" t="s">
        <v>1890</v>
      </c>
      <c r="D139" s="1314" t="s">
        <v>1891</v>
      </c>
      <c r="E139" s="1314"/>
      <c r="F139" s="1314"/>
      <c r="G139" s="1358">
        <f>ROUND(2*0.95*2.05,3)</f>
        <v>3.895</v>
      </c>
      <c r="H139" s="1358"/>
      <c r="I139" s="851" t="s">
        <v>17</v>
      </c>
    </row>
    <row r="140" spans="1:10" s="559" customFormat="1" ht="15.65" customHeight="1">
      <c r="A140" s="845"/>
      <c r="B140" s="399"/>
      <c r="C140" s="417" t="s">
        <v>1892</v>
      </c>
      <c r="D140" s="1359" t="s">
        <v>1893</v>
      </c>
      <c r="E140" s="1359"/>
      <c r="F140" s="1359"/>
      <c r="G140" s="1353">
        <f>ROUND(2*2*0.785,3)</f>
        <v>3.14</v>
      </c>
      <c r="H140" s="1353"/>
      <c r="I140" s="851" t="s">
        <v>833</v>
      </c>
    </row>
    <row r="141" spans="1:10" s="559" customFormat="1" ht="16" customHeight="1">
      <c r="A141" s="845"/>
      <c r="B141" s="399"/>
      <c r="C141" s="427" t="s">
        <v>672</v>
      </c>
      <c r="D141" s="835"/>
      <c r="E141" s="435"/>
      <c r="F141" s="835"/>
      <c r="G141" s="435"/>
      <c r="H141" s="435"/>
      <c r="I141" s="838"/>
    </row>
    <row r="142" spans="1:10" s="559" customFormat="1" ht="16.149999999999999" customHeight="1">
      <c r="A142" s="845"/>
      <c r="B142" s="399"/>
      <c r="C142" s="417" t="s">
        <v>1864</v>
      </c>
      <c r="D142" s="857">
        <f>G133</f>
        <v>3.3930000000000002E-2</v>
      </c>
      <c r="E142" s="435" t="s">
        <v>666</v>
      </c>
      <c r="F142" s="835">
        <f>'[161]Civil-SOR'!G30</f>
        <v>150940</v>
      </c>
      <c r="G142" s="435">
        <v>1</v>
      </c>
      <c r="H142" s="435" t="s">
        <v>666</v>
      </c>
      <c r="I142" s="836">
        <f t="shared" ref="I142:I161" si="13">IF(G142="",D142*F142,(D142*F142/G142))</f>
        <v>5121.3942000000006</v>
      </c>
      <c r="J142" s="703"/>
    </row>
    <row r="143" spans="1:10" s="559" customFormat="1" ht="16.149999999999999" customHeight="1">
      <c r="A143" s="845"/>
      <c r="B143" s="399"/>
      <c r="C143" s="417" t="s">
        <v>1865</v>
      </c>
      <c r="D143" s="857">
        <f>G135</f>
        <v>2.9250000000000002E-2</v>
      </c>
      <c r="E143" s="435" t="s">
        <v>666</v>
      </c>
      <c r="F143" s="835">
        <f>'[161]Civil-SOR'!G29</f>
        <v>141792</v>
      </c>
      <c r="G143" s="435">
        <v>1</v>
      </c>
      <c r="H143" s="435" t="s">
        <v>666</v>
      </c>
      <c r="I143" s="836">
        <f t="shared" si="13"/>
        <v>4147.4160000000002</v>
      </c>
      <c r="J143" s="703"/>
    </row>
    <row r="144" spans="1:10" s="559" customFormat="1" ht="25">
      <c r="A144" s="845"/>
      <c r="B144" s="399"/>
      <c r="C144" s="417" t="s">
        <v>1894</v>
      </c>
      <c r="D144" s="835">
        <f t="shared" ref="D144:D146" si="14">G137</f>
        <v>1</v>
      </c>
      <c r="E144" s="435" t="s">
        <v>17</v>
      </c>
      <c r="F144" s="835">
        <f>'[161]Civil-SOR'!$G$51</f>
        <v>336</v>
      </c>
      <c r="G144" s="435">
        <v>1</v>
      </c>
      <c r="H144" s="435" t="s">
        <v>17</v>
      </c>
      <c r="I144" s="836">
        <f t="shared" si="13"/>
        <v>336</v>
      </c>
      <c r="J144" s="703"/>
    </row>
    <row r="145" spans="1:10" s="559" customFormat="1" ht="25">
      <c r="A145" s="845"/>
      <c r="B145" s="399"/>
      <c r="C145" s="417" t="s">
        <v>1895</v>
      </c>
      <c r="D145" s="835">
        <f t="shared" si="14"/>
        <v>6</v>
      </c>
      <c r="E145" s="435" t="s">
        <v>1052</v>
      </c>
      <c r="F145" s="835">
        <f>'[161]Civil-SOR'!$G$382</f>
        <v>26</v>
      </c>
      <c r="G145" s="435">
        <v>1</v>
      </c>
      <c r="H145" s="435" t="s">
        <v>1052</v>
      </c>
      <c r="I145" s="836">
        <f t="shared" si="13"/>
        <v>156</v>
      </c>
      <c r="J145" s="703"/>
    </row>
    <row r="146" spans="1:10" s="559" customFormat="1" ht="25">
      <c r="A146" s="845"/>
      <c r="B146" s="399"/>
      <c r="C146" s="417" t="s">
        <v>1896</v>
      </c>
      <c r="D146" s="834">
        <f t="shared" si="14"/>
        <v>3.895</v>
      </c>
      <c r="E146" s="435" t="s">
        <v>17</v>
      </c>
      <c r="F146" s="835">
        <f>'[161]Civil-SOR'!$G$115</f>
        <v>1509</v>
      </c>
      <c r="G146" s="435">
        <v>1</v>
      </c>
      <c r="H146" s="435" t="s">
        <v>17</v>
      </c>
      <c r="I146" s="836">
        <f t="shared" si="13"/>
        <v>5877.5550000000003</v>
      </c>
      <c r="J146" s="703"/>
    </row>
    <row r="147" spans="1:10" s="559" customFormat="1" ht="25">
      <c r="A147" s="845"/>
      <c r="B147" s="399"/>
      <c r="C147" s="417" t="s">
        <v>1897</v>
      </c>
      <c r="D147" s="837">
        <v>6</v>
      </c>
      <c r="E147" s="435" t="s">
        <v>375</v>
      </c>
      <c r="F147" s="835">
        <f>'[161]Civil-SOR'!$G$385</f>
        <v>37</v>
      </c>
      <c r="G147" s="435"/>
      <c r="H147" s="435" t="s">
        <v>572</v>
      </c>
      <c r="I147" s="836">
        <f t="shared" si="13"/>
        <v>222</v>
      </c>
      <c r="J147" s="703"/>
    </row>
    <row r="148" spans="1:10" s="559" customFormat="1" ht="25">
      <c r="A148" s="845"/>
      <c r="B148" s="399"/>
      <c r="C148" s="417" t="s">
        <v>1898</v>
      </c>
      <c r="D148" s="837">
        <v>2</v>
      </c>
      <c r="E148" s="435" t="s">
        <v>375</v>
      </c>
      <c r="F148" s="835">
        <f>'[161]Civil-SOR'!$G$151</f>
        <v>358</v>
      </c>
      <c r="G148" s="435"/>
      <c r="H148" s="435" t="s">
        <v>572</v>
      </c>
      <c r="I148" s="836">
        <f t="shared" si="13"/>
        <v>716</v>
      </c>
      <c r="J148" s="703"/>
    </row>
    <row r="149" spans="1:10" s="559" customFormat="1">
      <c r="A149" s="845"/>
      <c r="B149" s="399"/>
      <c r="C149" s="417" t="s">
        <v>1899</v>
      </c>
      <c r="D149" s="837">
        <v>1</v>
      </c>
      <c r="E149" s="435" t="s">
        <v>678</v>
      </c>
      <c r="F149" s="835">
        <f>'[161]Civil-SOR'!$G$150</f>
        <v>268</v>
      </c>
      <c r="G149" s="435"/>
      <c r="H149" s="435" t="s">
        <v>572</v>
      </c>
      <c r="I149" s="836">
        <f t="shared" si="13"/>
        <v>268</v>
      </c>
      <c r="J149" s="703"/>
    </row>
    <row r="150" spans="1:10" s="559" customFormat="1" ht="25">
      <c r="A150" s="845"/>
      <c r="B150" s="399"/>
      <c r="C150" s="417" t="s">
        <v>1900</v>
      </c>
      <c r="D150" s="837">
        <v>6</v>
      </c>
      <c r="E150" s="435" t="s">
        <v>375</v>
      </c>
      <c r="F150" s="835">
        <f>'[161]Civil-SOR'!$G$158</f>
        <v>396</v>
      </c>
      <c r="G150" s="435"/>
      <c r="H150" s="435" t="s">
        <v>572</v>
      </c>
      <c r="I150" s="836">
        <f t="shared" si="13"/>
        <v>2376</v>
      </c>
      <c r="J150" s="703"/>
    </row>
    <row r="151" spans="1:10" s="559" customFormat="1" ht="25">
      <c r="A151" s="845"/>
      <c r="B151" s="399"/>
      <c r="C151" s="417" t="s">
        <v>1901</v>
      </c>
      <c r="D151" s="837">
        <v>1</v>
      </c>
      <c r="E151" s="435" t="s">
        <v>678</v>
      </c>
      <c r="F151" s="835">
        <f>'[161]Civil-SOR'!$G$169</f>
        <v>1321</v>
      </c>
      <c r="G151" s="435"/>
      <c r="H151" s="435" t="s">
        <v>572</v>
      </c>
      <c r="I151" s="836">
        <f t="shared" si="13"/>
        <v>1321</v>
      </c>
      <c r="J151" s="703"/>
    </row>
    <row r="152" spans="1:10" s="559" customFormat="1" ht="25">
      <c r="A152" s="845"/>
      <c r="B152" s="399"/>
      <c r="C152" s="417" t="s">
        <v>1902</v>
      </c>
      <c r="D152" s="837">
        <v>2</v>
      </c>
      <c r="E152" s="435" t="s">
        <v>375</v>
      </c>
      <c r="F152" s="835">
        <f>'[161]Civil-SOR'!$G$167</f>
        <v>346</v>
      </c>
      <c r="G152" s="435"/>
      <c r="H152" s="435" t="s">
        <v>572</v>
      </c>
      <c r="I152" s="836">
        <f t="shared" si="13"/>
        <v>692</v>
      </c>
      <c r="J152" s="703"/>
    </row>
    <row r="153" spans="1:10" s="559" customFormat="1" ht="25">
      <c r="A153" s="845"/>
      <c r="B153" s="399"/>
      <c r="C153" s="417" t="s">
        <v>1903</v>
      </c>
      <c r="D153" s="837">
        <v>2</v>
      </c>
      <c r="E153" s="435" t="s">
        <v>375</v>
      </c>
      <c r="F153" s="835">
        <f>'[161]Civil-SOR'!$G$176</f>
        <v>205</v>
      </c>
      <c r="G153" s="435"/>
      <c r="H153" s="435" t="s">
        <v>572</v>
      </c>
      <c r="I153" s="836">
        <f t="shared" si="13"/>
        <v>410</v>
      </c>
      <c r="J153" s="703"/>
    </row>
    <row r="154" spans="1:10" s="559" customFormat="1" ht="25">
      <c r="A154" s="845"/>
      <c r="B154" s="399"/>
      <c r="C154" s="417" t="s">
        <v>1904</v>
      </c>
      <c r="D154" s="837">
        <v>2</v>
      </c>
      <c r="E154" s="435" t="s">
        <v>375</v>
      </c>
      <c r="F154" s="835">
        <f>'[161]Civil-SOR'!$G$386</f>
        <v>12</v>
      </c>
      <c r="G154" s="435"/>
      <c r="H154" s="435" t="s">
        <v>572</v>
      </c>
      <c r="I154" s="836">
        <f t="shared" si="13"/>
        <v>24</v>
      </c>
      <c r="J154" s="703"/>
    </row>
    <row r="155" spans="1:10" s="559" customFormat="1">
      <c r="A155" s="845"/>
      <c r="B155" s="399"/>
      <c r="C155" s="417" t="s">
        <v>1905</v>
      </c>
      <c r="D155" s="835">
        <f>G140</f>
        <v>3.14</v>
      </c>
      <c r="E155" s="435" t="s">
        <v>833</v>
      </c>
      <c r="F155" s="835">
        <f>[161]LEAD!$N$10</f>
        <v>61000</v>
      </c>
      <c r="G155" s="435">
        <v>1000</v>
      </c>
      <c r="H155" s="435" t="s">
        <v>833</v>
      </c>
      <c r="I155" s="836">
        <f t="shared" si="13"/>
        <v>191.54</v>
      </c>
      <c r="J155" s="703"/>
    </row>
    <row r="156" spans="1:10" s="559" customFormat="1">
      <c r="A156" s="845"/>
      <c r="B156" s="399"/>
      <c r="C156" s="417" t="s">
        <v>682</v>
      </c>
      <c r="D156" s="857">
        <f>G136</f>
        <v>6.318E-2</v>
      </c>
      <c r="E156" s="435" t="s">
        <v>666</v>
      </c>
      <c r="F156" s="835">
        <f>$I$8</f>
        <v>15027.85</v>
      </c>
      <c r="G156" s="435">
        <v>1</v>
      </c>
      <c r="H156" s="435" t="s">
        <v>666</v>
      </c>
      <c r="I156" s="836">
        <f t="shared" si="13"/>
        <v>949.459563</v>
      </c>
      <c r="J156" s="703"/>
    </row>
    <row r="157" spans="1:10" s="559" customFormat="1">
      <c r="A157" s="845"/>
      <c r="B157" s="399"/>
      <c r="C157" s="417" t="str">
        <f>[161]Input!$C$47</f>
        <v>Add for MA @ 40%</v>
      </c>
      <c r="D157" s="835">
        <f>[161]Input!$D$47</f>
        <v>0.4</v>
      </c>
      <c r="E157" s="435"/>
      <c r="F157" s="835">
        <f>I156</f>
        <v>949.459563</v>
      </c>
      <c r="G157" s="435"/>
      <c r="H157" s="435"/>
      <c r="I157" s="836">
        <f t="shared" si="13"/>
        <v>379.78382520000002</v>
      </c>
      <c r="J157" s="703"/>
    </row>
    <row r="158" spans="1:10" s="559" customFormat="1" ht="37.5">
      <c r="A158" s="845"/>
      <c r="B158" s="399"/>
      <c r="C158" s="445" t="s">
        <v>683</v>
      </c>
      <c r="D158" s="834">
        <f>G139</f>
        <v>3.895</v>
      </c>
      <c r="E158" s="435" t="s">
        <v>17</v>
      </c>
      <c r="F158" s="835">
        <f>'[161]Civil-SOR'!$G$206</f>
        <v>550</v>
      </c>
      <c r="G158" s="435">
        <v>1</v>
      </c>
      <c r="H158" s="435" t="s">
        <v>17</v>
      </c>
      <c r="I158" s="836">
        <f t="shared" si="13"/>
        <v>2142.25</v>
      </c>
      <c r="J158" s="703"/>
    </row>
    <row r="159" spans="1:10" s="559" customFormat="1" ht="14.5" customHeight="1">
      <c r="A159" s="845"/>
      <c r="B159" s="399"/>
      <c r="C159" s="417" t="str">
        <f>[161]Input!$C$47</f>
        <v>Add for MA @ 40%</v>
      </c>
      <c r="D159" s="835">
        <f>[161]Input!$D$47</f>
        <v>0.4</v>
      </c>
      <c r="E159" s="435"/>
      <c r="F159" s="835">
        <f>I158</f>
        <v>2142.25</v>
      </c>
      <c r="G159" s="435"/>
      <c r="H159" s="435"/>
      <c r="I159" s="836">
        <f t="shared" si="13"/>
        <v>856.90000000000009</v>
      </c>
      <c r="J159" s="703"/>
    </row>
    <row r="160" spans="1:10" s="559" customFormat="1" ht="13.15" customHeight="1">
      <c r="A160" s="845"/>
      <c r="B160" s="399"/>
      <c r="C160" s="417" t="s">
        <v>1906</v>
      </c>
      <c r="D160" s="835">
        <f>G137</f>
        <v>1</v>
      </c>
      <c r="E160" s="435" t="s">
        <v>17</v>
      </c>
      <c r="F160" s="835">
        <f>'[161]Civil-SOR'!$G$207</f>
        <v>410</v>
      </c>
      <c r="G160" s="435">
        <v>1</v>
      </c>
      <c r="H160" s="435" t="s">
        <v>17</v>
      </c>
      <c r="I160" s="836">
        <f t="shared" si="13"/>
        <v>410</v>
      </c>
      <c r="J160" s="703"/>
    </row>
    <row r="161" spans="1:11" s="559" customFormat="1" ht="13.9" customHeight="1">
      <c r="A161" s="845"/>
      <c r="B161" s="399"/>
      <c r="C161" s="417" t="str">
        <f>[161]Input!$C$47</f>
        <v>Add for MA @ 40%</v>
      </c>
      <c r="D161" s="835">
        <f>[161]Input!$D$47</f>
        <v>0.4</v>
      </c>
      <c r="E161" s="435"/>
      <c r="F161" s="835">
        <f>I160</f>
        <v>410</v>
      </c>
      <c r="G161" s="435"/>
      <c r="H161" s="435"/>
      <c r="I161" s="836">
        <f t="shared" si="13"/>
        <v>164</v>
      </c>
      <c r="J161" s="703"/>
    </row>
    <row r="162" spans="1:11" s="559" customFormat="1" ht="13.15" customHeight="1">
      <c r="A162" s="845"/>
      <c r="B162" s="399"/>
      <c r="C162" s="417" t="s">
        <v>684</v>
      </c>
      <c r="D162" s="835"/>
      <c r="E162" s="435"/>
      <c r="F162" s="835"/>
      <c r="G162" s="435"/>
      <c r="H162" s="435"/>
      <c r="I162" s="838"/>
      <c r="J162" s="703"/>
    </row>
    <row r="163" spans="1:11" s="559" customFormat="1" ht="14.5" customHeight="1">
      <c r="A163" s="845"/>
      <c r="B163" s="399"/>
      <c r="C163" s="427" t="s">
        <v>1907</v>
      </c>
      <c r="D163" s="835"/>
      <c r="E163" s="435"/>
      <c r="F163" s="835"/>
      <c r="G163" s="435"/>
      <c r="H163" s="435"/>
      <c r="I163" s="856">
        <f>SUM(I142:I162)</f>
        <v>26761.298588200003</v>
      </c>
      <c r="J163" s="703"/>
    </row>
    <row r="164" spans="1:11" s="559" customFormat="1" ht="14.5" customHeight="1">
      <c r="A164" s="845"/>
      <c r="B164" s="399"/>
      <c r="C164" s="417" t="str">
        <f>[161]Input!$C$48</f>
        <v>Overheads &amp; Contractors Profit @ 13.615%</v>
      </c>
      <c r="D164" s="857">
        <f>[161]Input!$D$48</f>
        <v>0.13614999999999999</v>
      </c>
      <c r="E164" s="435"/>
      <c r="F164" s="835">
        <f>I163</f>
        <v>26761.298588200003</v>
      </c>
      <c r="G164" s="435"/>
      <c r="H164" s="435"/>
      <c r="I164" s="836">
        <f>IF(G164="",D164*F164,(D164*F164/G164))</f>
        <v>3643.5508027834303</v>
      </c>
      <c r="J164" s="703"/>
    </row>
    <row r="165" spans="1:11" s="559" customFormat="1" ht="13.9" customHeight="1">
      <c r="A165" s="845"/>
      <c r="B165" s="399"/>
      <c r="C165" s="417"/>
      <c r="D165" s="835"/>
      <c r="E165" s="435"/>
      <c r="F165" s="835"/>
      <c r="G165" s="435"/>
      <c r="H165" s="435"/>
      <c r="I165" s="838">
        <f>SUM(I163:I164)</f>
        <v>30404.849390983432</v>
      </c>
      <c r="J165" s="703"/>
    </row>
    <row r="166" spans="1:11" s="559" customFormat="1" ht="14.5" customHeight="1">
      <c r="A166" s="845"/>
      <c r="B166" s="399"/>
      <c r="C166" s="427" t="s">
        <v>686</v>
      </c>
      <c r="D166" s="835"/>
      <c r="E166" s="435"/>
      <c r="F166" s="835"/>
      <c r="G166" s="435"/>
      <c r="H166" s="435"/>
      <c r="I166" s="838">
        <f>I165/H130</f>
        <v>5847.0864213429677</v>
      </c>
      <c r="J166" s="703"/>
    </row>
    <row r="167" spans="1:11" s="559" customFormat="1" ht="14.5" customHeight="1">
      <c r="A167" s="845"/>
      <c r="B167" s="399"/>
      <c r="C167" s="417"/>
      <c r="D167" s="835"/>
      <c r="E167" s="435"/>
      <c r="F167" s="835"/>
      <c r="G167" s="1313" t="s">
        <v>687</v>
      </c>
      <c r="H167" s="1313"/>
      <c r="I167" s="865">
        <f>ROUND(I166,0)</f>
        <v>5847</v>
      </c>
      <c r="J167" s="703"/>
    </row>
    <row r="168" spans="1:11" s="559" customFormat="1" ht="14.65" customHeight="1">
      <c r="A168" s="845"/>
      <c r="B168" s="399"/>
      <c r="C168" s="417"/>
      <c r="D168" s="843"/>
      <c r="E168" s="751"/>
      <c r="F168" s="843"/>
      <c r="G168" s="844"/>
      <c r="H168" s="751"/>
      <c r="I168" s="836"/>
    </row>
    <row r="169" spans="1:11" s="559" customFormat="1" ht="86.5" customHeight="1">
      <c r="A169" s="845">
        <f>A127+1</f>
        <v>2</v>
      </c>
      <c r="B169" s="399"/>
      <c r="C169" s="1276" t="s">
        <v>1908</v>
      </c>
      <c r="D169" s="1276"/>
      <c r="E169" s="1276"/>
      <c r="F169" s="1276"/>
      <c r="G169" s="1276"/>
      <c r="H169" s="1276"/>
      <c r="I169" s="473"/>
    </row>
    <row r="170" spans="1:11" s="559" customFormat="1" ht="120" customHeight="1">
      <c r="A170" s="845"/>
      <c r="B170" s="399"/>
      <c r="C170" s="1291" t="s">
        <v>1909</v>
      </c>
      <c r="D170" s="1291"/>
      <c r="E170" s="1291"/>
      <c r="F170" s="1291"/>
      <c r="G170" s="1291"/>
      <c r="H170" s="1291"/>
      <c r="I170" s="435"/>
    </row>
    <row r="171" spans="1:11" s="559" customFormat="1" ht="14.65" customHeight="1">
      <c r="A171" s="845"/>
      <c r="B171" s="399"/>
      <c r="C171" s="427" t="s">
        <v>659</v>
      </c>
      <c r="D171" s="1350"/>
      <c r="E171" s="1350"/>
      <c r="F171" s="1350"/>
      <c r="G171" s="435"/>
      <c r="H171" s="435"/>
      <c r="I171" s="845"/>
      <c r="K171" s="559">
        <f>2*2.41</f>
        <v>4.82</v>
      </c>
    </row>
    <row r="172" spans="1:11" s="559" customFormat="1" ht="13.9" customHeight="1">
      <c r="A172" s="845"/>
      <c r="B172" s="399"/>
      <c r="C172" s="427" t="s">
        <v>660</v>
      </c>
      <c r="D172" s="855" t="s">
        <v>661</v>
      </c>
      <c r="E172" s="1295" t="s">
        <v>1881</v>
      </c>
      <c r="F172" s="1295"/>
      <c r="G172" s="435"/>
      <c r="H172" s="855">
        <f>2*2.6</f>
        <v>5.2</v>
      </c>
      <c r="I172" s="851" t="s">
        <v>17</v>
      </c>
      <c r="K172" s="866">
        <f>2*2.61</f>
        <v>5.22</v>
      </c>
    </row>
    <row r="173" spans="1:11" s="559" customFormat="1" ht="14.25" customHeight="1">
      <c r="A173" s="845"/>
      <c r="B173" s="399"/>
      <c r="C173" s="417" t="s">
        <v>663</v>
      </c>
      <c r="D173" s="1314" t="s">
        <v>1882</v>
      </c>
      <c r="E173" s="1314"/>
      <c r="F173" s="1314"/>
      <c r="G173" s="435"/>
      <c r="H173" s="435"/>
      <c r="I173" s="838"/>
      <c r="K173" s="559">
        <f>4.82*0.1*0.065</f>
        <v>3.1330000000000004E-2</v>
      </c>
    </row>
    <row r="174" spans="1:11" s="559" customFormat="1" ht="18" customHeight="1">
      <c r="A174" s="845"/>
      <c r="B174" s="399"/>
      <c r="C174" s="417"/>
      <c r="D174" s="1314" t="s">
        <v>1910</v>
      </c>
      <c r="E174" s="1314"/>
      <c r="F174" s="1314"/>
      <c r="G174" s="1355">
        <f>ROUND(5.22*0.1*0.065,5)</f>
        <v>3.3930000000000002E-2</v>
      </c>
      <c r="H174" s="1355"/>
      <c r="I174" s="449" t="s">
        <v>666</v>
      </c>
    </row>
    <row r="175" spans="1:11" s="559" customFormat="1" ht="14.5" customHeight="1">
      <c r="A175" s="845"/>
      <c r="B175" s="399"/>
      <c r="C175" s="417" t="s">
        <v>667</v>
      </c>
      <c r="D175" s="1314" t="s">
        <v>1884</v>
      </c>
      <c r="E175" s="1314"/>
      <c r="F175" s="1314"/>
      <c r="G175" s="1358"/>
      <c r="H175" s="1358"/>
      <c r="I175" s="449"/>
    </row>
    <row r="176" spans="1:11" s="559" customFormat="1" ht="14.5" customHeight="1">
      <c r="A176" s="845"/>
      <c r="B176" s="399"/>
      <c r="C176" s="417"/>
      <c r="D176" s="1314" t="s">
        <v>1911</v>
      </c>
      <c r="E176" s="1314"/>
      <c r="F176" s="1314"/>
      <c r="G176" s="1355">
        <f>ROUND(4.5*0.1*0.065,5)</f>
        <v>2.9250000000000002E-2</v>
      </c>
      <c r="H176" s="1355"/>
      <c r="I176" s="449" t="s">
        <v>666</v>
      </c>
      <c r="K176" s="559">
        <f>4.5*0.1*0.065</f>
        <v>2.9250000000000002E-2</v>
      </c>
    </row>
    <row r="177" spans="1:10" s="559" customFormat="1" ht="12.65" customHeight="1">
      <c r="A177" s="845"/>
      <c r="B177" s="399"/>
      <c r="C177" s="417"/>
      <c r="D177" s="1314"/>
      <c r="E177" s="1314"/>
      <c r="F177" s="1314"/>
      <c r="G177" s="1361">
        <f>+SUM(G174:G176)</f>
        <v>6.318E-2</v>
      </c>
      <c r="H177" s="1361"/>
      <c r="I177" s="449" t="s">
        <v>666</v>
      </c>
    </row>
    <row r="178" spans="1:10" s="559" customFormat="1" ht="13.9" customHeight="1">
      <c r="A178" s="845"/>
      <c r="B178" s="399"/>
      <c r="C178" s="417" t="s">
        <v>1886</v>
      </c>
      <c r="D178" s="1314" t="s">
        <v>1912</v>
      </c>
      <c r="E178" s="1314"/>
      <c r="F178" s="1314"/>
      <c r="G178" s="1352">
        <f>ROUND(2*1*0.5,2)</f>
        <v>1</v>
      </c>
      <c r="H178" s="1352"/>
      <c r="I178" s="851" t="s">
        <v>17</v>
      </c>
    </row>
    <row r="179" spans="1:10" s="559" customFormat="1" ht="13.9" customHeight="1">
      <c r="A179" s="845"/>
      <c r="B179" s="399"/>
      <c r="C179" s="417" t="s">
        <v>1888</v>
      </c>
      <c r="D179" s="1314" t="s">
        <v>1913</v>
      </c>
      <c r="E179" s="1314"/>
      <c r="F179" s="1314"/>
      <c r="G179" s="1352">
        <f>ROUND(2*2*(1+0.5),2)</f>
        <v>6</v>
      </c>
      <c r="H179" s="1352"/>
      <c r="I179" s="851" t="s">
        <v>1052</v>
      </c>
    </row>
    <row r="180" spans="1:10" s="559" customFormat="1" ht="13.9" customHeight="1">
      <c r="A180" s="845"/>
      <c r="B180" s="399"/>
      <c r="C180" s="417" t="s">
        <v>1890</v>
      </c>
      <c r="D180" s="1314" t="s">
        <v>1914</v>
      </c>
      <c r="E180" s="1314"/>
      <c r="F180" s="1314"/>
      <c r="G180" s="1358">
        <f>ROUND(2*0.95*2.05,3)</f>
        <v>3.895</v>
      </c>
      <c r="H180" s="1358"/>
      <c r="I180" s="851" t="s">
        <v>17</v>
      </c>
    </row>
    <row r="181" spans="1:10" s="559" customFormat="1" ht="13.9" customHeight="1">
      <c r="A181" s="845"/>
      <c r="B181" s="399"/>
      <c r="C181" s="417" t="s">
        <v>1892</v>
      </c>
      <c r="D181" s="1359" t="s">
        <v>1915</v>
      </c>
      <c r="E181" s="1359"/>
      <c r="F181" s="1359"/>
      <c r="G181" s="1353">
        <f>ROUND(2*2*0.785,3)</f>
        <v>3.14</v>
      </c>
      <c r="H181" s="1353"/>
      <c r="I181" s="851" t="s">
        <v>833</v>
      </c>
    </row>
    <row r="182" spans="1:10" s="559" customFormat="1" ht="16" customHeight="1">
      <c r="A182" s="845"/>
      <c r="B182" s="399"/>
      <c r="C182" s="427" t="s">
        <v>672</v>
      </c>
      <c r="D182" s="835"/>
      <c r="E182" s="435"/>
      <c r="F182" s="835"/>
      <c r="G182" s="435"/>
      <c r="H182" s="435"/>
      <c r="I182" s="838"/>
    </row>
    <row r="183" spans="1:10" s="559" customFormat="1">
      <c r="A183" s="845"/>
      <c r="B183" s="399"/>
      <c r="C183" s="417" t="s">
        <v>1864</v>
      </c>
      <c r="D183" s="857">
        <f>G174</f>
        <v>3.3930000000000002E-2</v>
      </c>
      <c r="E183" s="435" t="s">
        <v>666</v>
      </c>
      <c r="F183" s="835">
        <f>'[161]Civil-SOR'!$G$26</f>
        <v>91479</v>
      </c>
      <c r="G183" s="435">
        <v>1</v>
      </c>
      <c r="H183" s="435" t="s">
        <v>666</v>
      </c>
      <c r="I183" s="836">
        <f t="shared" ref="I183:I202" si="15">IF(G183="",D183*F183,(D183*F183/G183))</f>
        <v>3103.88247</v>
      </c>
      <c r="J183" s="703"/>
    </row>
    <row r="184" spans="1:10" s="559" customFormat="1">
      <c r="A184" s="845"/>
      <c r="B184" s="399"/>
      <c r="C184" s="417" t="s">
        <v>1865</v>
      </c>
      <c r="D184" s="857">
        <f>G176</f>
        <v>2.9250000000000002E-2</v>
      </c>
      <c r="E184" s="435" t="s">
        <v>666</v>
      </c>
      <c r="F184" s="835">
        <f>'[161]Civil-SOR'!$G$25</f>
        <v>82331</v>
      </c>
      <c r="G184" s="435">
        <v>1</v>
      </c>
      <c r="H184" s="435" t="s">
        <v>666</v>
      </c>
      <c r="I184" s="836">
        <f t="shared" si="15"/>
        <v>2408.1817500000002</v>
      </c>
      <c r="J184" s="703"/>
    </row>
    <row r="185" spans="1:10" s="559" customFormat="1" ht="25">
      <c r="A185" s="845"/>
      <c r="B185" s="399"/>
      <c r="C185" s="417" t="s">
        <v>1894</v>
      </c>
      <c r="D185" s="834">
        <f t="shared" ref="D185:D187" si="16">G178</f>
        <v>1</v>
      </c>
      <c r="E185" s="435" t="s">
        <v>17</v>
      </c>
      <c r="F185" s="835">
        <f>'[161]Civil-SOR'!$G$51</f>
        <v>336</v>
      </c>
      <c r="G185" s="435">
        <v>1</v>
      </c>
      <c r="H185" s="435" t="s">
        <v>17</v>
      </c>
      <c r="I185" s="836">
        <f t="shared" si="15"/>
        <v>336</v>
      </c>
      <c r="J185" s="703"/>
    </row>
    <row r="186" spans="1:10" s="559" customFormat="1" ht="25">
      <c r="A186" s="845"/>
      <c r="B186" s="399"/>
      <c r="C186" s="417" t="s">
        <v>1895</v>
      </c>
      <c r="D186" s="835">
        <f t="shared" si="16"/>
        <v>6</v>
      </c>
      <c r="E186" s="435" t="s">
        <v>1052</v>
      </c>
      <c r="F186" s="835">
        <f>'[161]Civil-SOR'!$G$382</f>
        <v>26</v>
      </c>
      <c r="G186" s="435">
        <v>1</v>
      </c>
      <c r="H186" s="435" t="s">
        <v>1052</v>
      </c>
      <c r="I186" s="836">
        <f t="shared" si="15"/>
        <v>156</v>
      </c>
      <c r="J186" s="703"/>
    </row>
    <row r="187" spans="1:10" s="559" customFormat="1" ht="25">
      <c r="A187" s="845"/>
      <c r="B187" s="399"/>
      <c r="C187" s="417" t="s">
        <v>1896</v>
      </c>
      <c r="D187" s="834">
        <f t="shared" si="16"/>
        <v>3.895</v>
      </c>
      <c r="E187" s="435" t="s">
        <v>17</v>
      </c>
      <c r="F187" s="835">
        <f>'[161]Civil-SOR'!$G$115</f>
        <v>1509</v>
      </c>
      <c r="G187" s="435">
        <v>1</v>
      </c>
      <c r="H187" s="435" t="s">
        <v>17</v>
      </c>
      <c r="I187" s="836">
        <f t="shared" si="15"/>
        <v>5877.5550000000003</v>
      </c>
      <c r="J187" s="703"/>
    </row>
    <row r="188" spans="1:10" s="559" customFormat="1" ht="25">
      <c r="A188" s="845"/>
      <c r="B188" s="399"/>
      <c r="C188" s="417" t="s">
        <v>1897</v>
      </c>
      <c r="D188" s="837">
        <v>6</v>
      </c>
      <c r="E188" s="435" t="s">
        <v>375</v>
      </c>
      <c r="F188" s="835">
        <f>'[161]Civil-SOR'!$G$385</f>
        <v>37</v>
      </c>
      <c r="G188" s="435"/>
      <c r="H188" s="435" t="s">
        <v>572</v>
      </c>
      <c r="I188" s="836">
        <f t="shared" si="15"/>
        <v>222</v>
      </c>
      <c r="J188" s="703"/>
    </row>
    <row r="189" spans="1:10" s="559" customFormat="1" ht="25">
      <c r="A189" s="845"/>
      <c r="B189" s="399"/>
      <c r="C189" s="417" t="s">
        <v>1898</v>
      </c>
      <c r="D189" s="837">
        <v>2</v>
      </c>
      <c r="E189" s="435" t="s">
        <v>375</v>
      </c>
      <c r="F189" s="835">
        <f>'[161]Civil-SOR'!$G$151</f>
        <v>358</v>
      </c>
      <c r="G189" s="435"/>
      <c r="H189" s="435" t="s">
        <v>572</v>
      </c>
      <c r="I189" s="836">
        <f t="shared" si="15"/>
        <v>716</v>
      </c>
      <c r="J189" s="703"/>
    </row>
    <row r="190" spans="1:10" s="559" customFormat="1">
      <c r="A190" s="845"/>
      <c r="B190" s="399"/>
      <c r="C190" s="417" t="s">
        <v>1899</v>
      </c>
      <c r="D190" s="837">
        <v>1</v>
      </c>
      <c r="E190" s="435" t="s">
        <v>678</v>
      </c>
      <c r="F190" s="835">
        <f>'[161]Civil-SOR'!$G$150</f>
        <v>268</v>
      </c>
      <c r="G190" s="435"/>
      <c r="H190" s="435" t="s">
        <v>572</v>
      </c>
      <c r="I190" s="836">
        <f t="shared" si="15"/>
        <v>268</v>
      </c>
      <c r="J190" s="703"/>
    </row>
    <row r="191" spans="1:10" s="559" customFormat="1" ht="25">
      <c r="A191" s="845"/>
      <c r="B191" s="399"/>
      <c r="C191" s="417" t="s">
        <v>1900</v>
      </c>
      <c r="D191" s="837">
        <v>6</v>
      </c>
      <c r="E191" s="435" t="s">
        <v>375</v>
      </c>
      <c r="F191" s="835">
        <f>'[161]Civil-SOR'!$G$158</f>
        <v>396</v>
      </c>
      <c r="G191" s="435"/>
      <c r="H191" s="435" t="s">
        <v>572</v>
      </c>
      <c r="I191" s="836">
        <f t="shared" si="15"/>
        <v>2376</v>
      </c>
      <c r="J191" s="703"/>
    </row>
    <row r="192" spans="1:10" s="559" customFormat="1" ht="25">
      <c r="A192" s="845"/>
      <c r="B192" s="399"/>
      <c r="C192" s="417" t="s">
        <v>1901</v>
      </c>
      <c r="D192" s="837">
        <v>1</v>
      </c>
      <c r="E192" s="435" t="s">
        <v>678</v>
      </c>
      <c r="F192" s="835">
        <f>'[161]Civil-SOR'!$G$169</f>
        <v>1321</v>
      </c>
      <c r="G192" s="435"/>
      <c r="H192" s="435" t="s">
        <v>572</v>
      </c>
      <c r="I192" s="836">
        <f t="shared" si="15"/>
        <v>1321</v>
      </c>
      <c r="J192" s="703"/>
    </row>
    <row r="193" spans="1:10" s="559" customFormat="1" ht="25">
      <c r="A193" s="845"/>
      <c r="B193" s="399"/>
      <c r="C193" s="417" t="s">
        <v>1902</v>
      </c>
      <c r="D193" s="837">
        <v>2</v>
      </c>
      <c r="E193" s="435" t="s">
        <v>375</v>
      </c>
      <c r="F193" s="835">
        <f>'[161]Civil-SOR'!$G$167</f>
        <v>346</v>
      </c>
      <c r="G193" s="435"/>
      <c r="H193" s="435" t="s">
        <v>572</v>
      </c>
      <c r="I193" s="836">
        <f t="shared" si="15"/>
        <v>692</v>
      </c>
      <c r="J193" s="703"/>
    </row>
    <row r="194" spans="1:10" s="559" customFormat="1" ht="25">
      <c r="A194" s="845"/>
      <c r="B194" s="399"/>
      <c r="C194" s="417" t="s">
        <v>1903</v>
      </c>
      <c r="D194" s="837">
        <v>2</v>
      </c>
      <c r="E194" s="435" t="s">
        <v>375</v>
      </c>
      <c r="F194" s="835">
        <f>'[161]Civil-SOR'!$G$176</f>
        <v>205</v>
      </c>
      <c r="G194" s="435"/>
      <c r="H194" s="435" t="s">
        <v>572</v>
      </c>
      <c r="I194" s="836">
        <f t="shared" si="15"/>
        <v>410</v>
      </c>
      <c r="J194" s="703"/>
    </row>
    <row r="195" spans="1:10" s="559" customFormat="1" ht="25">
      <c r="A195" s="845"/>
      <c r="B195" s="399"/>
      <c r="C195" s="417" t="s">
        <v>1904</v>
      </c>
      <c r="D195" s="837">
        <v>2</v>
      </c>
      <c r="E195" s="435" t="s">
        <v>375</v>
      </c>
      <c r="F195" s="835">
        <f>'[161]Civil-SOR'!$G$386</f>
        <v>12</v>
      </c>
      <c r="G195" s="435"/>
      <c r="H195" s="435" t="s">
        <v>572</v>
      </c>
      <c r="I195" s="836">
        <f t="shared" si="15"/>
        <v>24</v>
      </c>
      <c r="J195" s="703"/>
    </row>
    <row r="196" spans="1:10" s="559" customFormat="1">
      <c r="A196" s="845"/>
      <c r="B196" s="399"/>
      <c r="C196" s="417" t="s">
        <v>1905</v>
      </c>
      <c r="D196" s="835">
        <f>G181</f>
        <v>3.14</v>
      </c>
      <c r="E196" s="435" t="s">
        <v>833</v>
      </c>
      <c r="F196" s="835">
        <f>[161]LEAD!$N$10</f>
        <v>61000</v>
      </c>
      <c r="G196" s="435">
        <v>1000</v>
      </c>
      <c r="H196" s="435" t="s">
        <v>833</v>
      </c>
      <c r="I196" s="836">
        <f t="shared" si="15"/>
        <v>191.54</v>
      </c>
      <c r="J196" s="703"/>
    </row>
    <row r="197" spans="1:10" s="559" customFormat="1">
      <c r="A197" s="845"/>
      <c r="B197" s="399"/>
      <c r="C197" s="417" t="s">
        <v>682</v>
      </c>
      <c r="D197" s="857">
        <f>G177</f>
        <v>6.318E-2</v>
      </c>
      <c r="E197" s="435" t="s">
        <v>666</v>
      </c>
      <c r="F197" s="835">
        <f>$I$8</f>
        <v>15027.85</v>
      </c>
      <c r="G197" s="435">
        <v>1</v>
      </c>
      <c r="H197" s="435" t="s">
        <v>666</v>
      </c>
      <c r="I197" s="836">
        <f t="shared" si="15"/>
        <v>949.459563</v>
      </c>
      <c r="J197" s="703"/>
    </row>
    <row r="198" spans="1:10" s="559" customFormat="1">
      <c r="A198" s="845"/>
      <c r="B198" s="399"/>
      <c r="C198" s="417" t="str">
        <f>[161]Input!$C$47</f>
        <v>Add for MA @ 40%</v>
      </c>
      <c r="D198" s="835">
        <f>[161]Input!$D$47</f>
        <v>0.4</v>
      </c>
      <c r="E198" s="435"/>
      <c r="F198" s="835">
        <f>I197</f>
        <v>949.459563</v>
      </c>
      <c r="G198" s="435"/>
      <c r="H198" s="435"/>
      <c r="I198" s="836">
        <f t="shared" si="15"/>
        <v>379.78382520000002</v>
      </c>
      <c r="J198" s="703"/>
    </row>
    <row r="199" spans="1:10" s="559" customFormat="1" ht="37.5">
      <c r="A199" s="845"/>
      <c r="B199" s="399"/>
      <c r="C199" s="445" t="s">
        <v>683</v>
      </c>
      <c r="D199" s="834">
        <f>G180</f>
        <v>3.895</v>
      </c>
      <c r="E199" s="435" t="s">
        <v>17</v>
      </c>
      <c r="F199" s="835">
        <f>'[161]Civil-SOR'!$G$206</f>
        <v>550</v>
      </c>
      <c r="G199" s="435">
        <v>1</v>
      </c>
      <c r="H199" s="435" t="s">
        <v>17</v>
      </c>
      <c r="I199" s="836">
        <f t="shared" si="15"/>
        <v>2142.25</v>
      </c>
      <c r="J199" s="703"/>
    </row>
    <row r="200" spans="1:10" s="559" customFormat="1">
      <c r="A200" s="845"/>
      <c r="B200" s="399"/>
      <c r="C200" s="417" t="str">
        <f>[161]Input!$C$47</f>
        <v>Add for MA @ 40%</v>
      </c>
      <c r="D200" s="835">
        <f>[161]Input!$D$47</f>
        <v>0.4</v>
      </c>
      <c r="E200" s="435"/>
      <c r="F200" s="835">
        <f>I199</f>
        <v>2142.25</v>
      </c>
      <c r="G200" s="435"/>
      <c r="H200" s="435"/>
      <c r="I200" s="836">
        <f t="shared" si="15"/>
        <v>856.90000000000009</v>
      </c>
      <c r="J200" s="703"/>
    </row>
    <row r="201" spans="1:10" s="559" customFormat="1">
      <c r="A201" s="845"/>
      <c r="B201" s="399"/>
      <c r="C201" s="417" t="s">
        <v>1906</v>
      </c>
      <c r="D201" s="835">
        <f>G178</f>
        <v>1</v>
      </c>
      <c r="E201" s="435" t="s">
        <v>17</v>
      </c>
      <c r="F201" s="835">
        <f>'[161]Civil-SOR'!$G$207</f>
        <v>410</v>
      </c>
      <c r="G201" s="435">
        <v>1</v>
      </c>
      <c r="H201" s="435" t="s">
        <v>17</v>
      </c>
      <c r="I201" s="836">
        <f t="shared" si="15"/>
        <v>410</v>
      </c>
      <c r="J201" s="703"/>
    </row>
    <row r="202" spans="1:10" s="559" customFormat="1" ht="15" customHeight="1">
      <c r="A202" s="845"/>
      <c r="B202" s="399"/>
      <c r="C202" s="417" t="str">
        <f>[161]Input!$C$47</f>
        <v>Add for MA @ 40%</v>
      </c>
      <c r="D202" s="835">
        <f>[161]Input!$D$47</f>
        <v>0.4</v>
      </c>
      <c r="E202" s="435"/>
      <c r="F202" s="835">
        <f>I201</f>
        <v>410</v>
      </c>
      <c r="G202" s="435"/>
      <c r="H202" s="435"/>
      <c r="I202" s="836">
        <f t="shared" si="15"/>
        <v>164</v>
      </c>
      <c r="J202" s="703"/>
    </row>
    <row r="203" spans="1:10" s="559" customFormat="1" ht="16" customHeight="1">
      <c r="A203" s="845"/>
      <c r="B203" s="399"/>
      <c r="C203" s="417" t="s">
        <v>684</v>
      </c>
      <c r="D203" s="835"/>
      <c r="E203" s="435"/>
      <c r="F203" s="835"/>
      <c r="G203" s="435"/>
      <c r="H203" s="435"/>
      <c r="I203" s="838"/>
      <c r="J203" s="703"/>
    </row>
    <row r="204" spans="1:10" s="559" customFormat="1" ht="16" customHeight="1">
      <c r="A204" s="845"/>
      <c r="B204" s="399"/>
      <c r="C204" s="427" t="s">
        <v>1907</v>
      </c>
      <c r="D204" s="835"/>
      <c r="E204" s="435"/>
      <c r="F204" s="835"/>
      <c r="G204" s="435"/>
      <c r="H204" s="435"/>
      <c r="I204" s="856">
        <f>SUM(I183:I203)</f>
        <v>23004.552608200003</v>
      </c>
      <c r="J204" s="703"/>
    </row>
    <row r="205" spans="1:10" s="559" customFormat="1" ht="14.5" customHeight="1">
      <c r="A205" s="845"/>
      <c r="B205" s="399"/>
      <c r="C205" s="417" t="str">
        <f>[161]Input!$C$48</f>
        <v>Overheads &amp; Contractors Profit @ 13.615%</v>
      </c>
      <c r="D205" s="857">
        <f>[161]Input!$D$48</f>
        <v>0.13614999999999999</v>
      </c>
      <c r="E205" s="435"/>
      <c r="F205" s="835">
        <f>I204</f>
        <v>23004.552608200003</v>
      </c>
      <c r="G205" s="435"/>
      <c r="H205" s="435"/>
      <c r="I205" s="836">
        <f>IF(G205="",D205*F205,(D205*F205/G205))</f>
        <v>3132.0698376064302</v>
      </c>
      <c r="J205" s="703"/>
    </row>
    <row r="206" spans="1:10" s="559" customFormat="1" ht="16" customHeight="1">
      <c r="A206" s="845"/>
      <c r="B206" s="399"/>
      <c r="C206" s="417"/>
      <c r="D206" s="835"/>
      <c r="E206" s="435"/>
      <c r="F206" s="835"/>
      <c r="G206" s="435"/>
      <c r="H206" s="435"/>
      <c r="I206" s="838">
        <f>SUM(I204:I205)</f>
        <v>26136.622445806432</v>
      </c>
      <c r="J206" s="703"/>
    </row>
    <row r="207" spans="1:10" s="559" customFormat="1" ht="16" customHeight="1">
      <c r="A207" s="845"/>
      <c r="B207" s="399"/>
      <c r="C207" s="427" t="s">
        <v>686</v>
      </c>
      <c r="D207" s="835"/>
      <c r="E207" s="435"/>
      <c r="F207" s="835"/>
      <c r="G207" s="435"/>
      <c r="H207" s="435"/>
      <c r="I207" s="838">
        <f>I206/H172</f>
        <v>5026.2735472704671</v>
      </c>
      <c r="J207" s="703"/>
    </row>
    <row r="208" spans="1:10" s="559" customFormat="1" ht="15" customHeight="1">
      <c r="A208" s="845"/>
      <c r="B208" s="399"/>
      <c r="C208" s="417"/>
      <c r="D208" s="835"/>
      <c r="E208" s="435"/>
      <c r="F208" s="835"/>
      <c r="G208" s="1313" t="s">
        <v>687</v>
      </c>
      <c r="H208" s="1313"/>
      <c r="I208" s="865">
        <f>ROUND(I207,0)</f>
        <v>5026</v>
      </c>
      <c r="J208" s="703"/>
    </row>
    <row r="209" spans="1:9" s="559" customFormat="1" ht="11.5" customHeight="1">
      <c r="A209" s="845"/>
      <c r="B209" s="399"/>
      <c r="C209" s="417"/>
      <c r="D209" s="843"/>
      <c r="E209" s="751"/>
      <c r="F209" s="843"/>
      <c r="G209" s="844"/>
      <c r="H209" s="751"/>
      <c r="I209" s="836"/>
    </row>
    <row r="210" spans="1:9" s="559" customFormat="1" ht="89.5" customHeight="1">
      <c r="A210" s="845">
        <f>A169+1</f>
        <v>3</v>
      </c>
      <c r="B210" s="399"/>
      <c r="C210" s="1276" t="s">
        <v>1916</v>
      </c>
      <c r="D210" s="1276"/>
      <c r="E210" s="1276"/>
      <c r="F210" s="1276"/>
      <c r="G210" s="1276"/>
      <c r="H210" s="1276"/>
      <c r="I210" s="427"/>
    </row>
    <row r="211" spans="1:9" s="559" customFormat="1" ht="110.5" customHeight="1">
      <c r="A211" s="845"/>
      <c r="B211" s="399"/>
      <c r="C211" s="1291" t="s">
        <v>1917</v>
      </c>
      <c r="D211" s="1291"/>
      <c r="E211" s="1291"/>
      <c r="F211" s="1291"/>
      <c r="G211" s="1291"/>
      <c r="H211" s="1291"/>
      <c r="I211" s="417"/>
    </row>
    <row r="212" spans="1:9" s="559" customFormat="1" ht="14.65" customHeight="1">
      <c r="A212" s="845"/>
      <c r="B212" s="399"/>
      <c r="C212" s="427" t="s">
        <v>659</v>
      </c>
      <c r="D212" s="1350"/>
      <c r="E212" s="1350"/>
      <c r="F212" s="1350"/>
      <c r="G212" s="1350"/>
      <c r="H212" s="1350"/>
      <c r="I212" s="845"/>
    </row>
    <row r="213" spans="1:9" s="559" customFormat="1" ht="16.899999999999999" customHeight="1">
      <c r="A213" s="845"/>
      <c r="B213" s="399"/>
      <c r="C213" s="417"/>
      <c r="D213" s="514" t="s">
        <v>661</v>
      </c>
      <c r="E213" s="1294" t="s">
        <v>1918</v>
      </c>
      <c r="F213" s="1294"/>
      <c r="G213" s="1352">
        <f>1.8*2.6</f>
        <v>4.6800000000000006</v>
      </c>
      <c r="H213" s="1352"/>
      <c r="I213" s="851" t="s">
        <v>17</v>
      </c>
    </row>
    <row r="214" spans="1:9" s="559" customFormat="1" ht="13.9" customHeight="1">
      <c r="A214" s="845"/>
      <c r="B214" s="399"/>
      <c r="C214" s="427" t="s">
        <v>660</v>
      </c>
      <c r="D214" s="1354"/>
      <c r="E214" s="1354"/>
      <c r="F214" s="1354"/>
      <c r="G214" s="1350"/>
      <c r="H214" s="1350"/>
      <c r="I214" s="838"/>
    </row>
    <row r="215" spans="1:9" s="559" customFormat="1" ht="12.75" customHeight="1">
      <c r="A215" s="845"/>
      <c r="B215" s="399"/>
      <c r="C215" s="417" t="s">
        <v>663</v>
      </c>
      <c r="D215" s="1314" t="s">
        <v>1882</v>
      </c>
      <c r="E215" s="1314"/>
      <c r="F215" s="1314"/>
      <c r="G215" s="1350"/>
      <c r="H215" s="1350"/>
      <c r="I215" s="838"/>
    </row>
    <row r="216" spans="1:9" s="559" customFormat="1" ht="15" customHeight="1">
      <c r="A216" s="845"/>
      <c r="B216" s="399"/>
      <c r="C216" s="417"/>
      <c r="D216" s="1314" t="s">
        <v>1919</v>
      </c>
      <c r="E216" s="1314"/>
      <c r="F216" s="1314"/>
      <c r="G216" s="1356">
        <f>ROUND(5.22*0.1*0.065,5)</f>
        <v>3.3930000000000002E-2</v>
      </c>
      <c r="H216" s="1356"/>
      <c r="I216" s="449" t="s">
        <v>666</v>
      </c>
    </row>
    <row r="217" spans="1:9" s="559" customFormat="1" ht="15" customHeight="1">
      <c r="A217" s="845"/>
      <c r="B217" s="399"/>
      <c r="C217" s="417" t="s">
        <v>667</v>
      </c>
      <c r="D217" s="1314" t="s">
        <v>1920</v>
      </c>
      <c r="E217" s="1314"/>
      <c r="F217" s="1314"/>
      <c r="G217" s="1357"/>
      <c r="H217" s="1357"/>
      <c r="I217" s="449"/>
    </row>
    <row r="218" spans="1:9" s="559" customFormat="1" ht="15" customHeight="1">
      <c r="A218" s="845"/>
      <c r="B218" s="399"/>
      <c r="C218" s="417"/>
      <c r="D218" s="1314" t="s">
        <v>1921</v>
      </c>
      <c r="E218" s="1314"/>
      <c r="F218" s="1314"/>
      <c r="G218" s="1356">
        <f>ROUND(4.1*0.1*0.065,5)</f>
        <v>2.665E-2</v>
      </c>
      <c r="H218" s="1356"/>
      <c r="I218" s="449" t="s">
        <v>666</v>
      </c>
    </row>
    <row r="219" spans="1:9" s="559" customFormat="1" ht="13.9" customHeight="1">
      <c r="A219" s="845"/>
      <c r="B219" s="399"/>
      <c r="C219" s="417"/>
      <c r="D219" s="1354"/>
      <c r="E219" s="1354"/>
      <c r="F219" s="1354"/>
      <c r="G219" s="1356">
        <f>SUM(G216:G218)</f>
        <v>6.0580000000000002E-2</v>
      </c>
      <c r="H219" s="1356"/>
      <c r="I219" s="851" t="s">
        <v>666</v>
      </c>
    </row>
    <row r="220" spans="1:9" s="559" customFormat="1" ht="16.149999999999999" customHeight="1">
      <c r="A220" s="845"/>
      <c r="B220" s="399"/>
      <c r="C220" s="417" t="s">
        <v>1886</v>
      </c>
      <c r="D220" s="1314" t="s">
        <v>1922</v>
      </c>
      <c r="E220" s="1314"/>
      <c r="F220" s="1314"/>
      <c r="G220" s="1352">
        <f>1.8*0.5</f>
        <v>0.9</v>
      </c>
      <c r="H220" s="1352"/>
      <c r="I220" s="851" t="s">
        <v>17</v>
      </c>
    </row>
    <row r="221" spans="1:9" s="559" customFormat="1" ht="16.149999999999999" customHeight="1">
      <c r="A221" s="845"/>
      <c r="B221" s="399"/>
      <c r="C221" s="417" t="s">
        <v>1888</v>
      </c>
      <c r="D221" s="1314" t="s">
        <v>1923</v>
      </c>
      <c r="E221" s="1314"/>
      <c r="F221" s="1314"/>
      <c r="G221" s="1352">
        <f>ROUND(2*2*(0.9+0.5),2)</f>
        <v>5.6</v>
      </c>
      <c r="H221" s="1352"/>
      <c r="I221" s="851" t="s">
        <v>1052</v>
      </c>
    </row>
    <row r="222" spans="1:9" s="559" customFormat="1" ht="16.149999999999999" customHeight="1">
      <c r="A222" s="845"/>
      <c r="B222" s="399"/>
      <c r="C222" s="417" t="s">
        <v>1924</v>
      </c>
      <c r="D222" s="1314" t="s">
        <v>1925</v>
      </c>
      <c r="E222" s="1314"/>
      <c r="F222" s="1314"/>
      <c r="G222" s="1358">
        <f>ROUND(2*0.85*2.05,3)</f>
        <v>3.4849999999999999</v>
      </c>
      <c r="H222" s="1358"/>
      <c r="I222" s="851" t="s">
        <v>17</v>
      </c>
    </row>
    <row r="223" spans="1:9" s="559" customFormat="1" ht="16.149999999999999" customHeight="1">
      <c r="A223" s="845"/>
      <c r="B223" s="399"/>
      <c r="C223" s="417" t="s">
        <v>1892</v>
      </c>
      <c r="D223" s="1359" t="s">
        <v>1926</v>
      </c>
      <c r="E223" s="1359"/>
      <c r="F223" s="1359"/>
      <c r="G223" s="1353">
        <f>ROUND(2*1.8*0.785,3)</f>
        <v>2.8260000000000001</v>
      </c>
      <c r="H223" s="1353"/>
      <c r="I223" s="851" t="s">
        <v>833</v>
      </c>
    </row>
    <row r="224" spans="1:9" s="559" customFormat="1" ht="13.9" customHeight="1">
      <c r="A224" s="845"/>
      <c r="B224" s="399"/>
      <c r="C224" s="427" t="s">
        <v>672</v>
      </c>
      <c r="D224" s="1354"/>
      <c r="E224" s="1354"/>
      <c r="F224" s="1354"/>
      <c r="G224" s="1350"/>
      <c r="H224" s="1350"/>
      <c r="I224" s="838"/>
    </row>
    <row r="225" spans="1:10" s="559" customFormat="1" ht="13.15" customHeight="1">
      <c r="A225" s="845"/>
      <c r="B225" s="399"/>
      <c r="C225" s="417" t="s">
        <v>1927</v>
      </c>
      <c r="D225" s="857">
        <v>3.3930000000000002E-2</v>
      </c>
      <c r="E225" s="435" t="s">
        <v>666</v>
      </c>
      <c r="F225" s="835">
        <f>'[161]Civil-SOR'!$G$26</f>
        <v>91479</v>
      </c>
      <c r="G225" s="435">
        <v>1</v>
      </c>
      <c r="H225" s="435" t="s">
        <v>666</v>
      </c>
      <c r="I225" s="836">
        <f t="shared" ref="I225:I243" si="17">IF(G225="",D225*F225,(D225*F225/G225))</f>
        <v>3103.88247</v>
      </c>
      <c r="J225" s="703"/>
    </row>
    <row r="226" spans="1:10" s="559" customFormat="1" ht="13.15" customHeight="1">
      <c r="A226" s="845"/>
      <c r="B226" s="399"/>
      <c r="C226" s="417" t="s">
        <v>1928</v>
      </c>
      <c r="D226" s="857">
        <v>2.665E-2</v>
      </c>
      <c r="E226" s="435" t="s">
        <v>666</v>
      </c>
      <c r="F226" s="835">
        <f>'[161]Civil-SOR'!$G$25</f>
        <v>82331</v>
      </c>
      <c r="G226" s="435">
        <v>1</v>
      </c>
      <c r="H226" s="435" t="s">
        <v>666</v>
      </c>
      <c r="I226" s="836">
        <f t="shared" si="17"/>
        <v>2194.1211499999999</v>
      </c>
      <c r="J226" s="703"/>
    </row>
    <row r="227" spans="1:10" s="559" customFormat="1" ht="13.15" customHeight="1">
      <c r="A227" s="845"/>
      <c r="B227" s="399"/>
      <c r="C227" s="417" t="s">
        <v>1894</v>
      </c>
      <c r="D227" s="835">
        <f t="shared" ref="D227:D229" si="18">G220</f>
        <v>0.9</v>
      </c>
      <c r="E227" s="435" t="s">
        <v>17</v>
      </c>
      <c r="F227" s="835">
        <f>'[161]Civil-SOR'!$G$51</f>
        <v>336</v>
      </c>
      <c r="G227" s="435">
        <v>1</v>
      </c>
      <c r="H227" s="435" t="s">
        <v>17</v>
      </c>
      <c r="I227" s="836">
        <f t="shared" si="17"/>
        <v>302.40000000000003</v>
      </c>
      <c r="J227" s="703"/>
    </row>
    <row r="228" spans="1:10" s="559" customFormat="1" ht="15.75" customHeight="1">
      <c r="A228" s="845"/>
      <c r="B228" s="399"/>
      <c r="C228" s="417" t="s">
        <v>1895</v>
      </c>
      <c r="D228" s="835">
        <f t="shared" si="18"/>
        <v>5.6</v>
      </c>
      <c r="E228" s="435" t="s">
        <v>1052</v>
      </c>
      <c r="F228" s="835">
        <f>'[161]Civil-SOR'!$G$382</f>
        <v>26</v>
      </c>
      <c r="G228" s="435">
        <v>1</v>
      </c>
      <c r="H228" s="435" t="s">
        <v>1929</v>
      </c>
      <c r="I228" s="836">
        <f t="shared" si="17"/>
        <v>145.6</v>
      </c>
      <c r="J228" s="703"/>
    </row>
    <row r="229" spans="1:10" s="559" customFormat="1" ht="12.75" customHeight="1">
      <c r="A229" s="845"/>
      <c r="B229" s="399"/>
      <c r="C229" s="417" t="s">
        <v>1930</v>
      </c>
      <c r="D229" s="834">
        <f t="shared" si="18"/>
        <v>3.4849999999999999</v>
      </c>
      <c r="E229" s="435" t="s">
        <v>17</v>
      </c>
      <c r="F229" s="835">
        <f>'[161]Civil-SOR'!$G$114</f>
        <v>1334</v>
      </c>
      <c r="G229" s="435">
        <v>1</v>
      </c>
      <c r="H229" s="435" t="s">
        <v>17</v>
      </c>
      <c r="I229" s="836">
        <f t="shared" si="17"/>
        <v>4648.99</v>
      </c>
      <c r="J229" s="703"/>
    </row>
    <row r="230" spans="1:10" s="559" customFormat="1" ht="16" customHeight="1">
      <c r="A230" s="845"/>
      <c r="B230" s="399"/>
      <c r="C230" s="417" t="s">
        <v>1931</v>
      </c>
      <c r="D230" s="837">
        <v>6</v>
      </c>
      <c r="E230" s="435" t="s">
        <v>375</v>
      </c>
      <c r="F230" s="835">
        <f>'[161]Civil-SOR'!$G$385</f>
        <v>37</v>
      </c>
      <c r="G230" s="435"/>
      <c r="H230" s="435" t="s">
        <v>572</v>
      </c>
      <c r="I230" s="836">
        <f t="shared" si="17"/>
        <v>222</v>
      </c>
      <c r="J230" s="703"/>
    </row>
    <row r="231" spans="1:10" s="559" customFormat="1" ht="13.15" customHeight="1">
      <c r="A231" s="845"/>
      <c r="B231" s="399"/>
      <c r="C231" s="417" t="s">
        <v>1932</v>
      </c>
      <c r="D231" s="837">
        <v>2</v>
      </c>
      <c r="E231" s="435" t="s">
        <v>375</v>
      </c>
      <c r="F231" s="835">
        <f>'[161]Civil-SOR'!$G$153</f>
        <v>90</v>
      </c>
      <c r="G231" s="435"/>
      <c r="H231" s="435" t="s">
        <v>572</v>
      </c>
      <c r="I231" s="836">
        <f t="shared" si="17"/>
        <v>180</v>
      </c>
      <c r="J231" s="703"/>
    </row>
    <row r="232" spans="1:10" s="559" customFormat="1" ht="26.5" customHeight="1">
      <c r="A232" s="845"/>
      <c r="B232" s="399"/>
      <c r="C232" s="417" t="s">
        <v>1933</v>
      </c>
      <c r="D232" s="837">
        <v>6</v>
      </c>
      <c r="E232" s="435" t="s">
        <v>375</v>
      </c>
      <c r="F232" s="835">
        <f>'[161]Civil-SOR'!$G$159</f>
        <v>106</v>
      </c>
      <c r="G232" s="435"/>
      <c r="H232" s="435" t="s">
        <v>572</v>
      </c>
      <c r="I232" s="836">
        <f t="shared" si="17"/>
        <v>636</v>
      </c>
      <c r="J232" s="703"/>
    </row>
    <row r="233" spans="1:10" s="559" customFormat="1" ht="16.149999999999999" customHeight="1">
      <c r="A233" s="845"/>
      <c r="B233" s="399"/>
      <c r="C233" s="417" t="s">
        <v>1934</v>
      </c>
      <c r="D233" s="837">
        <v>1</v>
      </c>
      <c r="E233" s="435" t="s">
        <v>678</v>
      </c>
      <c r="F233" s="835">
        <f>'[161]Civil-SOR'!$G$172</f>
        <v>239</v>
      </c>
      <c r="G233" s="435"/>
      <c r="H233" s="435" t="s">
        <v>572</v>
      </c>
      <c r="I233" s="836">
        <f t="shared" si="17"/>
        <v>239</v>
      </c>
      <c r="J233" s="703"/>
    </row>
    <row r="234" spans="1:10" s="559" customFormat="1" ht="16.149999999999999" customHeight="1">
      <c r="A234" s="845"/>
      <c r="B234" s="399"/>
      <c r="C234" s="417" t="s">
        <v>1935</v>
      </c>
      <c r="D234" s="837">
        <v>2</v>
      </c>
      <c r="E234" s="435" t="s">
        <v>375</v>
      </c>
      <c r="F234" s="835">
        <f>'[161]Civil-SOR'!$G$164</f>
        <v>100</v>
      </c>
      <c r="G234" s="435"/>
      <c r="H234" s="435" t="s">
        <v>572</v>
      </c>
      <c r="I234" s="836">
        <f t="shared" si="17"/>
        <v>200</v>
      </c>
      <c r="J234" s="703"/>
    </row>
    <row r="235" spans="1:10" s="559" customFormat="1" ht="12.75" customHeight="1">
      <c r="A235" s="845"/>
      <c r="B235" s="399"/>
      <c r="C235" s="417" t="s">
        <v>1936</v>
      </c>
      <c r="D235" s="837">
        <v>2</v>
      </c>
      <c r="E235" s="435" t="s">
        <v>375</v>
      </c>
      <c r="F235" s="835">
        <f>'[161]Civil-SOR'!$G$178</f>
        <v>66</v>
      </c>
      <c r="G235" s="435"/>
      <c r="H235" s="435" t="s">
        <v>572</v>
      </c>
      <c r="I235" s="836">
        <f t="shared" si="17"/>
        <v>132</v>
      </c>
      <c r="J235" s="703"/>
    </row>
    <row r="236" spans="1:10" s="559" customFormat="1" ht="16" customHeight="1">
      <c r="A236" s="845"/>
      <c r="B236" s="399"/>
      <c r="C236" s="417" t="s">
        <v>1937</v>
      </c>
      <c r="D236" s="837">
        <v>2</v>
      </c>
      <c r="E236" s="435" t="s">
        <v>375</v>
      </c>
      <c r="F236" s="835">
        <f>'[161]Civil-SOR'!$G$386</f>
        <v>12</v>
      </c>
      <c r="G236" s="435"/>
      <c r="H236" s="435" t="s">
        <v>572</v>
      </c>
      <c r="I236" s="836">
        <f t="shared" si="17"/>
        <v>24</v>
      </c>
      <c r="J236" s="703"/>
    </row>
    <row r="237" spans="1:10" s="559" customFormat="1" ht="16" customHeight="1">
      <c r="A237" s="845"/>
      <c r="B237" s="399"/>
      <c r="C237" s="417" t="s">
        <v>1905</v>
      </c>
      <c r="D237" s="834">
        <f>G223</f>
        <v>2.8260000000000001</v>
      </c>
      <c r="E237" s="435" t="s">
        <v>833</v>
      </c>
      <c r="F237" s="835">
        <f>[161]LEAD!$N$10</f>
        <v>61000</v>
      </c>
      <c r="G237" s="435">
        <v>1000</v>
      </c>
      <c r="H237" s="435" t="s">
        <v>833</v>
      </c>
      <c r="I237" s="836">
        <f t="shared" si="17"/>
        <v>172.386</v>
      </c>
      <c r="J237" s="703"/>
    </row>
    <row r="238" spans="1:10" s="559" customFormat="1" ht="16" customHeight="1">
      <c r="A238" s="845"/>
      <c r="B238" s="399"/>
      <c r="C238" s="417" t="s">
        <v>682</v>
      </c>
      <c r="D238" s="857">
        <f>G219</f>
        <v>6.0580000000000002E-2</v>
      </c>
      <c r="E238" s="435" t="s">
        <v>666</v>
      </c>
      <c r="F238" s="835">
        <f>$I$8</f>
        <v>15027.85</v>
      </c>
      <c r="G238" s="435">
        <v>1</v>
      </c>
      <c r="H238" s="435" t="s">
        <v>666</v>
      </c>
      <c r="I238" s="836">
        <f t="shared" si="17"/>
        <v>910.38715300000001</v>
      </c>
      <c r="J238" s="703"/>
    </row>
    <row r="239" spans="1:10" s="559" customFormat="1" ht="16" customHeight="1">
      <c r="A239" s="845"/>
      <c r="B239" s="399"/>
      <c r="C239" s="417" t="str">
        <f>[161]Input!$C$47</f>
        <v>Add for MA @ 40%</v>
      </c>
      <c r="D239" s="835">
        <f>[161]Input!$D$47</f>
        <v>0.4</v>
      </c>
      <c r="E239" s="435"/>
      <c r="F239" s="835">
        <f>I238</f>
        <v>910.38715300000001</v>
      </c>
      <c r="G239" s="435"/>
      <c r="H239" s="435"/>
      <c r="I239" s="836">
        <f t="shared" si="17"/>
        <v>364.15486120000003</v>
      </c>
      <c r="J239" s="703"/>
    </row>
    <row r="240" spans="1:10" s="559" customFormat="1" ht="25.5" customHeight="1">
      <c r="A240" s="845"/>
      <c r="B240" s="399"/>
      <c r="C240" s="445" t="s">
        <v>683</v>
      </c>
      <c r="D240" s="834">
        <f>G222</f>
        <v>3.4849999999999999</v>
      </c>
      <c r="E240" s="435" t="s">
        <v>17</v>
      </c>
      <c r="F240" s="835">
        <f>'[161]Civil-SOR'!$G$206</f>
        <v>550</v>
      </c>
      <c r="G240" s="435">
        <v>1</v>
      </c>
      <c r="H240" s="435" t="s">
        <v>17</v>
      </c>
      <c r="I240" s="836">
        <f t="shared" si="17"/>
        <v>1916.75</v>
      </c>
      <c r="J240" s="703"/>
    </row>
    <row r="241" spans="1:10" s="559" customFormat="1" ht="16" customHeight="1">
      <c r="A241" s="845"/>
      <c r="B241" s="399"/>
      <c r="C241" s="417" t="str">
        <f>[161]Input!$C$47</f>
        <v>Add for MA @ 40%</v>
      </c>
      <c r="D241" s="835">
        <f>[161]Input!$D$47</f>
        <v>0.4</v>
      </c>
      <c r="E241" s="435"/>
      <c r="F241" s="835">
        <f>I240</f>
        <v>1916.75</v>
      </c>
      <c r="G241" s="435"/>
      <c r="H241" s="435"/>
      <c r="I241" s="836">
        <f t="shared" si="17"/>
        <v>766.7</v>
      </c>
      <c r="J241" s="703"/>
    </row>
    <row r="242" spans="1:10" s="559" customFormat="1" ht="16" customHeight="1">
      <c r="A242" s="845"/>
      <c r="B242" s="399"/>
      <c r="C242" s="417" t="s">
        <v>1906</v>
      </c>
      <c r="D242" s="835">
        <f>G220</f>
        <v>0.9</v>
      </c>
      <c r="E242" s="435" t="s">
        <v>17</v>
      </c>
      <c r="F242" s="835">
        <f>'[161]Civil-SOR'!$G$207</f>
        <v>410</v>
      </c>
      <c r="G242" s="435">
        <v>1</v>
      </c>
      <c r="H242" s="435" t="s">
        <v>17</v>
      </c>
      <c r="I242" s="836">
        <f t="shared" si="17"/>
        <v>369</v>
      </c>
      <c r="J242" s="703"/>
    </row>
    <row r="243" spans="1:10" s="559" customFormat="1" ht="16" customHeight="1">
      <c r="A243" s="845"/>
      <c r="B243" s="399"/>
      <c r="C243" s="417" t="str">
        <f>[161]Input!$C$47</f>
        <v>Add for MA @ 40%</v>
      </c>
      <c r="D243" s="835">
        <f>[161]Input!$D$47</f>
        <v>0.4</v>
      </c>
      <c r="E243" s="435"/>
      <c r="F243" s="835">
        <f>I242</f>
        <v>369</v>
      </c>
      <c r="G243" s="435"/>
      <c r="H243" s="435"/>
      <c r="I243" s="836">
        <f t="shared" si="17"/>
        <v>147.6</v>
      </c>
      <c r="J243" s="703"/>
    </row>
    <row r="244" spans="1:10" s="559" customFormat="1" ht="16" customHeight="1">
      <c r="A244" s="845"/>
      <c r="B244" s="399"/>
      <c r="C244" s="417" t="s">
        <v>684</v>
      </c>
      <c r="D244" s="835"/>
      <c r="E244" s="435"/>
      <c r="F244" s="835"/>
      <c r="G244" s="435"/>
      <c r="H244" s="435"/>
      <c r="I244" s="838"/>
      <c r="J244" s="703"/>
    </row>
    <row r="245" spans="1:10" s="559" customFormat="1" ht="16" customHeight="1">
      <c r="A245" s="845"/>
      <c r="B245" s="399"/>
      <c r="C245" s="417" t="s">
        <v>1938</v>
      </c>
      <c r="D245" s="835"/>
      <c r="E245" s="435"/>
      <c r="F245" s="835"/>
      <c r="G245" s="435"/>
      <c r="H245" s="435"/>
      <c r="I245" s="856">
        <f>SUM(I225:I244)</f>
        <v>16674.971634199999</v>
      </c>
      <c r="J245" s="703"/>
    </row>
    <row r="246" spans="1:10" s="559" customFormat="1" ht="13" customHeight="1">
      <c r="A246" s="845"/>
      <c r="B246" s="399"/>
      <c r="C246" s="417" t="str">
        <f>[161]Input!$C$48</f>
        <v>Overheads &amp; Contractors Profit @ 13.615%</v>
      </c>
      <c r="D246" s="857">
        <f>[161]Input!$D$48</f>
        <v>0.13614999999999999</v>
      </c>
      <c r="E246" s="435"/>
      <c r="F246" s="835">
        <f>I245</f>
        <v>16674.971634199999</v>
      </c>
      <c r="G246" s="435"/>
      <c r="H246" s="435"/>
      <c r="I246" s="836">
        <f>IF(G246="",D246*F246,(D246*F246/G246))</f>
        <v>2270.2973879963297</v>
      </c>
      <c r="J246" s="703"/>
    </row>
    <row r="247" spans="1:10" s="559" customFormat="1" ht="16" customHeight="1">
      <c r="A247" s="845"/>
      <c r="B247" s="399"/>
      <c r="C247" s="417"/>
      <c r="D247" s="835"/>
      <c r="E247" s="435"/>
      <c r="F247" s="835"/>
      <c r="G247" s="435"/>
      <c r="H247" s="435"/>
      <c r="I247" s="838">
        <f>SUM(I245:I246)</f>
        <v>18945.269022196328</v>
      </c>
      <c r="J247" s="703"/>
    </row>
    <row r="248" spans="1:10" s="559" customFormat="1" ht="16" customHeight="1">
      <c r="A248" s="845"/>
      <c r="B248" s="399"/>
      <c r="C248" s="427" t="s">
        <v>686</v>
      </c>
      <c r="D248" s="835"/>
      <c r="E248" s="435"/>
      <c r="F248" s="835"/>
      <c r="G248" s="435"/>
      <c r="H248" s="435"/>
      <c r="I248" s="838">
        <f>I247/G213</f>
        <v>4048.1344064522063</v>
      </c>
      <c r="J248" s="703"/>
    </row>
    <row r="249" spans="1:10" s="559" customFormat="1" ht="13.5" customHeight="1">
      <c r="A249" s="845"/>
      <c r="B249" s="845"/>
      <c r="C249" s="417"/>
      <c r="D249" s="835"/>
      <c r="E249" s="435"/>
      <c r="F249" s="835"/>
      <c r="G249" s="1313" t="s">
        <v>687</v>
      </c>
      <c r="H249" s="1313"/>
      <c r="I249" s="865">
        <f>ROUND(I248,0)</f>
        <v>4048</v>
      </c>
    </row>
    <row r="250" spans="1:10" s="559" customFormat="1" ht="14.65" customHeight="1">
      <c r="A250" s="845"/>
      <c r="B250" s="399"/>
      <c r="C250" s="435"/>
      <c r="D250" s="435"/>
      <c r="E250" s="435"/>
      <c r="F250" s="435"/>
      <c r="G250" s="435"/>
      <c r="H250" s="435"/>
      <c r="I250" s="845"/>
    </row>
    <row r="251" spans="1:10" s="559" customFormat="1" ht="76.900000000000006" customHeight="1">
      <c r="A251" s="845">
        <f>1+A169</f>
        <v>3</v>
      </c>
      <c r="B251" s="399"/>
      <c r="C251" s="1276" t="s">
        <v>1939</v>
      </c>
      <c r="D251" s="1276"/>
      <c r="E251" s="1276"/>
      <c r="F251" s="1276"/>
      <c r="G251" s="1276"/>
      <c r="H251" s="1276"/>
      <c r="I251" s="427"/>
    </row>
    <row r="252" spans="1:10" s="559" customFormat="1" ht="125.25" customHeight="1">
      <c r="A252" s="845"/>
      <c r="B252" s="399"/>
      <c r="C252" s="1291" t="s">
        <v>1940</v>
      </c>
      <c r="D252" s="1291"/>
      <c r="E252" s="1291"/>
      <c r="F252" s="1291"/>
      <c r="G252" s="1291"/>
      <c r="H252" s="1291"/>
      <c r="I252" s="417"/>
    </row>
    <row r="253" spans="1:10" s="559" customFormat="1" ht="13.9" customHeight="1">
      <c r="A253" s="845"/>
      <c r="B253" s="399"/>
      <c r="C253" s="427" t="s">
        <v>659</v>
      </c>
      <c r="D253" s="1350"/>
      <c r="E253" s="1350"/>
      <c r="F253" s="1350"/>
      <c r="G253" s="435"/>
      <c r="H253" s="435"/>
      <c r="I253" s="845"/>
    </row>
    <row r="254" spans="1:10" s="559" customFormat="1" ht="15" customHeight="1">
      <c r="A254" s="845"/>
      <c r="B254" s="399"/>
      <c r="C254" s="417"/>
      <c r="D254" s="514" t="s">
        <v>661</v>
      </c>
      <c r="E254" s="1294" t="s">
        <v>1941</v>
      </c>
      <c r="F254" s="1294"/>
      <c r="G254" s="435"/>
      <c r="H254" s="855">
        <f>1.5*2.6</f>
        <v>3.9000000000000004</v>
      </c>
      <c r="I254" s="851" t="s">
        <v>17</v>
      </c>
    </row>
    <row r="255" spans="1:10" s="559" customFormat="1" ht="13.9" customHeight="1">
      <c r="A255" s="845"/>
      <c r="B255" s="399"/>
      <c r="C255" s="427" t="s">
        <v>660</v>
      </c>
      <c r="D255" s="1354"/>
      <c r="E255" s="1354"/>
      <c r="F255" s="1354"/>
      <c r="G255" s="435"/>
      <c r="H255" s="435"/>
      <c r="I255" s="838"/>
    </row>
    <row r="256" spans="1:10" s="559" customFormat="1" ht="13.9" customHeight="1">
      <c r="A256" s="845"/>
      <c r="B256" s="399"/>
      <c r="C256" s="417" t="s">
        <v>663</v>
      </c>
      <c r="D256" s="1314" t="s">
        <v>1882</v>
      </c>
      <c r="E256" s="1314"/>
      <c r="F256" s="1314"/>
      <c r="G256" s="435"/>
      <c r="H256" s="435"/>
      <c r="I256" s="838"/>
    </row>
    <row r="257" spans="1:9" s="559" customFormat="1" ht="13.9" customHeight="1">
      <c r="A257" s="845"/>
      <c r="B257" s="399"/>
      <c r="C257" s="417"/>
      <c r="D257" s="1314" t="s">
        <v>1942</v>
      </c>
      <c r="E257" s="1314"/>
      <c r="F257" s="1314"/>
      <c r="G257" s="1356">
        <f>ROUND(5.22*0.1*0.065,5)</f>
        <v>3.3930000000000002E-2</v>
      </c>
      <c r="H257" s="1356"/>
      <c r="I257" s="449" t="s">
        <v>666</v>
      </c>
    </row>
    <row r="258" spans="1:9" s="559" customFormat="1" ht="13.9" customHeight="1">
      <c r="A258" s="845"/>
      <c r="B258" s="399"/>
      <c r="C258" s="417" t="s">
        <v>667</v>
      </c>
      <c r="D258" s="1314" t="s">
        <v>1943</v>
      </c>
      <c r="E258" s="1314"/>
      <c r="F258" s="1314"/>
      <c r="G258" s="1357"/>
      <c r="H258" s="1357"/>
      <c r="I258" s="449"/>
    </row>
    <row r="259" spans="1:9" s="559" customFormat="1" ht="13.9" customHeight="1">
      <c r="A259" s="845"/>
      <c r="B259" s="399"/>
      <c r="C259" s="417"/>
      <c r="D259" s="1314" t="s">
        <v>1944</v>
      </c>
      <c r="E259" s="1314"/>
      <c r="F259" s="1314"/>
      <c r="G259" s="1356">
        <f>ROUND(3.5*0.1*0.065,5)</f>
        <v>2.2749999999999999E-2</v>
      </c>
      <c r="H259" s="1356"/>
      <c r="I259" s="449" t="s">
        <v>666</v>
      </c>
    </row>
    <row r="260" spans="1:9" s="559" customFormat="1" ht="13.9" customHeight="1">
      <c r="A260" s="845"/>
      <c r="B260" s="399"/>
      <c r="C260" s="417"/>
      <c r="D260" s="1314"/>
      <c r="E260" s="1314"/>
      <c r="F260" s="1314"/>
      <c r="G260" s="1356">
        <f>SUM(G257:G259)</f>
        <v>5.6680000000000001E-2</v>
      </c>
      <c r="H260" s="1356"/>
      <c r="I260" s="449" t="s">
        <v>666</v>
      </c>
    </row>
    <row r="261" spans="1:9" s="559" customFormat="1" ht="16.899999999999999" customHeight="1">
      <c r="A261" s="845"/>
      <c r="B261" s="399"/>
      <c r="C261" s="417" t="s">
        <v>1886</v>
      </c>
      <c r="D261" s="1314" t="s">
        <v>1945</v>
      </c>
      <c r="E261" s="1314"/>
      <c r="F261" s="1314"/>
      <c r="G261" s="1352">
        <f>ROUND(2*0.75*0.5,2)</f>
        <v>0.75</v>
      </c>
      <c r="H261" s="1352"/>
      <c r="I261" s="851" t="s">
        <v>17</v>
      </c>
    </row>
    <row r="262" spans="1:9" s="559" customFormat="1" ht="16.899999999999999" customHeight="1">
      <c r="A262" s="845"/>
      <c r="B262" s="399"/>
      <c r="C262" s="417" t="s">
        <v>1888</v>
      </c>
      <c r="D262" s="1314" t="s">
        <v>1946</v>
      </c>
      <c r="E262" s="1314"/>
      <c r="F262" s="1314"/>
      <c r="G262" s="1352">
        <f>ROUND(2*2*(0.75+0.5),2)</f>
        <v>5</v>
      </c>
      <c r="H262" s="1352"/>
      <c r="I262" s="851" t="s">
        <v>1052</v>
      </c>
    </row>
    <row r="263" spans="1:9" s="559" customFormat="1" ht="16.899999999999999" customHeight="1">
      <c r="A263" s="845"/>
      <c r="B263" s="399"/>
      <c r="C263" s="417" t="s">
        <v>1924</v>
      </c>
      <c r="D263" s="1314" t="s">
        <v>1947</v>
      </c>
      <c r="E263" s="1314"/>
      <c r="F263" s="1314"/>
      <c r="G263" s="1358">
        <f>ROUND(2*0.7*2.05,3)</f>
        <v>2.87</v>
      </c>
      <c r="H263" s="1358"/>
      <c r="I263" s="851" t="s">
        <v>17</v>
      </c>
    </row>
    <row r="264" spans="1:9" s="559" customFormat="1" ht="16.899999999999999" customHeight="1">
      <c r="A264" s="845"/>
      <c r="B264" s="399"/>
      <c r="C264" s="417" t="s">
        <v>1892</v>
      </c>
      <c r="D264" s="1359" t="s">
        <v>1948</v>
      </c>
      <c r="E264" s="1359"/>
      <c r="F264" s="1359"/>
      <c r="G264" s="1353">
        <f>ROUND(2*1.5*0.785,3)</f>
        <v>2.355</v>
      </c>
      <c r="H264" s="1353"/>
      <c r="I264" s="851" t="s">
        <v>833</v>
      </c>
    </row>
    <row r="265" spans="1:9" s="559" customFormat="1" ht="16" customHeight="1">
      <c r="A265" s="845"/>
      <c r="B265" s="399"/>
      <c r="C265" s="427" t="s">
        <v>672</v>
      </c>
      <c r="D265" s="835"/>
      <c r="E265" s="435"/>
      <c r="F265" s="435"/>
      <c r="G265" s="835"/>
      <c r="H265" s="435"/>
      <c r="I265" s="838"/>
    </row>
    <row r="266" spans="1:9" s="559" customFormat="1" ht="12.75" customHeight="1">
      <c r="A266" s="845"/>
      <c r="B266" s="399"/>
      <c r="C266" s="417" t="s">
        <v>1949</v>
      </c>
      <c r="D266" s="857">
        <f>G257</f>
        <v>3.3930000000000002E-2</v>
      </c>
      <c r="E266" s="435" t="s">
        <v>666</v>
      </c>
      <c r="F266" s="835">
        <f>'[161]Civil-SOR'!$G$26</f>
        <v>91479</v>
      </c>
      <c r="G266" s="435">
        <v>1</v>
      </c>
      <c r="H266" s="435" t="s">
        <v>666</v>
      </c>
      <c r="I266" s="836">
        <f t="shared" ref="I266:I284" si="19">IF(G266="",D266*F266,(D266*F266/G266))</f>
        <v>3103.88247</v>
      </c>
    </row>
    <row r="267" spans="1:9" s="559" customFormat="1" ht="12.75" customHeight="1">
      <c r="A267" s="845"/>
      <c r="B267" s="399"/>
      <c r="C267" s="417" t="s">
        <v>1928</v>
      </c>
      <c r="D267" s="857">
        <f>G259</f>
        <v>2.2749999999999999E-2</v>
      </c>
      <c r="E267" s="435" t="s">
        <v>666</v>
      </c>
      <c r="F267" s="835">
        <f>'[161]Civil-SOR'!$G$25</f>
        <v>82331</v>
      </c>
      <c r="G267" s="435">
        <v>1</v>
      </c>
      <c r="H267" s="435" t="s">
        <v>666</v>
      </c>
      <c r="I267" s="836">
        <f t="shared" si="19"/>
        <v>1873.03025</v>
      </c>
    </row>
    <row r="268" spans="1:9" s="559" customFormat="1" ht="25">
      <c r="A268" s="845"/>
      <c r="B268" s="399"/>
      <c r="C268" s="417" t="s">
        <v>1894</v>
      </c>
      <c r="D268" s="835">
        <f t="shared" ref="D268:D270" si="20">G261</f>
        <v>0.75</v>
      </c>
      <c r="E268" s="435" t="s">
        <v>17</v>
      </c>
      <c r="F268" s="835">
        <f>'[161]Civil-SOR'!$G$51</f>
        <v>336</v>
      </c>
      <c r="G268" s="435">
        <v>1</v>
      </c>
      <c r="H268" s="435" t="s">
        <v>17</v>
      </c>
      <c r="I268" s="836">
        <f t="shared" si="19"/>
        <v>252</v>
      </c>
    </row>
    <row r="269" spans="1:9" s="559" customFormat="1">
      <c r="A269" s="845"/>
      <c r="B269" s="399"/>
      <c r="C269" s="417" t="s">
        <v>1950</v>
      </c>
      <c r="D269" s="835">
        <f t="shared" si="20"/>
        <v>5</v>
      </c>
      <c r="E269" s="435" t="s">
        <v>1052</v>
      </c>
      <c r="F269" s="835">
        <f>'[161]Civil-SOR'!$G$382</f>
        <v>26</v>
      </c>
      <c r="G269" s="435">
        <v>1</v>
      </c>
      <c r="H269" s="435" t="s">
        <v>1929</v>
      </c>
      <c r="I269" s="836">
        <f t="shared" si="19"/>
        <v>130</v>
      </c>
    </row>
    <row r="270" spans="1:9" s="559" customFormat="1">
      <c r="A270" s="845"/>
      <c r="B270" s="399"/>
      <c r="C270" s="417" t="s">
        <v>1951</v>
      </c>
      <c r="D270" s="835">
        <f t="shared" si="20"/>
        <v>2.87</v>
      </c>
      <c r="E270" s="435" t="s">
        <v>17</v>
      </c>
      <c r="F270" s="835">
        <f>'[161]Civil-SOR'!$G$114</f>
        <v>1334</v>
      </c>
      <c r="G270" s="435">
        <v>1</v>
      </c>
      <c r="H270" s="435" t="s">
        <v>17</v>
      </c>
      <c r="I270" s="836">
        <f t="shared" si="19"/>
        <v>3828.58</v>
      </c>
    </row>
    <row r="271" spans="1:9" s="559" customFormat="1">
      <c r="A271" s="845"/>
      <c r="B271" s="399"/>
      <c r="C271" s="417" t="s">
        <v>1952</v>
      </c>
      <c r="D271" s="837">
        <v>6</v>
      </c>
      <c r="E271" s="435" t="s">
        <v>375</v>
      </c>
      <c r="F271" s="835">
        <f>'[161]Civil-SOR'!$G$385</f>
        <v>37</v>
      </c>
      <c r="G271" s="435"/>
      <c r="H271" s="435" t="s">
        <v>572</v>
      </c>
      <c r="I271" s="836">
        <f t="shared" si="19"/>
        <v>222</v>
      </c>
    </row>
    <row r="272" spans="1:9" s="559" customFormat="1" ht="25">
      <c r="A272" s="845"/>
      <c r="B272" s="399"/>
      <c r="C272" s="417" t="s">
        <v>1932</v>
      </c>
      <c r="D272" s="837">
        <v>2</v>
      </c>
      <c r="E272" s="435" t="s">
        <v>375</v>
      </c>
      <c r="F272" s="835">
        <f>'[161]Civil-SOR'!$G$153</f>
        <v>90</v>
      </c>
      <c r="G272" s="435"/>
      <c r="H272" s="435" t="s">
        <v>572</v>
      </c>
      <c r="I272" s="836">
        <f t="shared" si="19"/>
        <v>180</v>
      </c>
    </row>
    <row r="273" spans="1:9" s="559" customFormat="1" ht="25">
      <c r="A273" s="845"/>
      <c r="B273" s="399"/>
      <c r="C273" s="417" t="s">
        <v>1933</v>
      </c>
      <c r="D273" s="837">
        <v>6</v>
      </c>
      <c r="E273" s="435" t="s">
        <v>375</v>
      </c>
      <c r="F273" s="835">
        <f>'[161]Civil-SOR'!$G$159</f>
        <v>106</v>
      </c>
      <c r="G273" s="435"/>
      <c r="H273" s="435" t="s">
        <v>572</v>
      </c>
      <c r="I273" s="836">
        <f t="shared" si="19"/>
        <v>636</v>
      </c>
    </row>
    <row r="274" spans="1:9" s="559" customFormat="1" ht="25">
      <c r="A274" s="845"/>
      <c r="B274" s="399"/>
      <c r="C274" s="417" t="s">
        <v>1934</v>
      </c>
      <c r="D274" s="837">
        <v>1</v>
      </c>
      <c r="E274" s="435" t="s">
        <v>678</v>
      </c>
      <c r="F274" s="835">
        <f>'[161]Civil-SOR'!$G$172</f>
        <v>239</v>
      </c>
      <c r="G274" s="435"/>
      <c r="H274" s="435" t="s">
        <v>572</v>
      </c>
      <c r="I274" s="836">
        <f t="shared" si="19"/>
        <v>239</v>
      </c>
    </row>
    <row r="275" spans="1:9" s="559" customFormat="1" ht="25">
      <c r="A275" s="845"/>
      <c r="B275" s="399"/>
      <c r="C275" s="417" t="s">
        <v>1935</v>
      </c>
      <c r="D275" s="837">
        <v>2</v>
      </c>
      <c r="E275" s="435" t="s">
        <v>375</v>
      </c>
      <c r="F275" s="835">
        <f>'[161]Civil-SOR'!$G$164</f>
        <v>100</v>
      </c>
      <c r="G275" s="435"/>
      <c r="H275" s="435" t="s">
        <v>572</v>
      </c>
      <c r="I275" s="836">
        <f t="shared" si="19"/>
        <v>200</v>
      </c>
    </row>
    <row r="276" spans="1:9" s="559" customFormat="1" ht="25">
      <c r="A276" s="845"/>
      <c r="B276" s="399"/>
      <c r="C276" s="417" t="s">
        <v>1936</v>
      </c>
      <c r="D276" s="837">
        <v>2</v>
      </c>
      <c r="E276" s="435" t="s">
        <v>375</v>
      </c>
      <c r="F276" s="835">
        <f>'[161]Civil-SOR'!$G$178</f>
        <v>66</v>
      </c>
      <c r="G276" s="435"/>
      <c r="H276" s="435" t="s">
        <v>572</v>
      </c>
      <c r="I276" s="836">
        <f t="shared" si="19"/>
        <v>132</v>
      </c>
    </row>
    <row r="277" spans="1:9" s="559" customFormat="1" ht="25">
      <c r="A277" s="845"/>
      <c r="B277" s="399"/>
      <c r="C277" s="417" t="s">
        <v>1937</v>
      </c>
      <c r="D277" s="837">
        <v>2</v>
      </c>
      <c r="E277" s="435" t="s">
        <v>375</v>
      </c>
      <c r="F277" s="835">
        <f>'[161]Civil-SOR'!$G$386</f>
        <v>12</v>
      </c>
      <c r="G277" s="435"/>
      <c r="H277" s="435" t="s">
        <v>572</v>
      </c>
      <c r="I277" s="836">
        <f t="shared" si="19"/>
        <v>24</v>
      </c>
    </row>
    <row r="278" spans="1:9" s="559" customFormat="1">
      <c r="A278" s="845"/>
      <c r="B278" s="399"/>
      <c r="C278" s="417" t="s">
        <v>1905</v>
      </c>
      <c r="D278" s="834">
        <f>G264</f>
        <v>2.355</v>
      </c>
      <c r="E278" s="435" t="s">
        <v>833</v>
      </c>
      <c r="F278" s="835">
        <f>[161]LEAD!$N$10</f>
        <v>61000</v>
      </c>
      <c r="G278" s="435">
        <v>1000</v>
      </c>
      <c r="H278" s="435" t="s">
        <v>833</v>
      </c>
      <c r="I278" s="836">
        <f t="shared" si="19"/>
        <v>143.655</v>
      </c>
    </row>
    <row r="279" spans="1:9" s="559" customFormat="1">
      <c r="A279" s="845"/>
      <c r="B279" s="399"/>
      <c r="C279" s="417" t="s">
        <v>682</v>
      </c>
      <c r="D279" s="862">
        <f>G260</f>
        <v>5.6680000000000001E-2</v>
      </c>
      <c r="E279" s="435" t="s">
        <v>666</v>
      </c>
      <c r="F279" s="835">
        <f>$I$8</f>
        <v>15027.85</v>
      </c>
      <c r="G279" s="435">
        <v>1</v>
      </c>
      <c r="H279" s="435" t="s">
        <v>666</v>
      </c>
      <c r="I279" s="836">
        <f t="shared" si="19"/>
        <v>851.77853800000003</v>
      </c>
    </row>
    <row r="280" spans="1:9" s="559" customFormat="1">
      <c r="A280" s="845"/>
      <c r="B280" s="399"/>
      <c r="C280" s="417" t="str">
        <f>[161]Input!$C$47</f>
        <v>Add for MA @ 40%</v>
      </c>
      <c r="D280" s="835">
        <f>[161]Input!$D$47</f>
        <v>0.4</v>
      </c>
      <c r="E280" s="435"/>
      <c r="F280" s="835">
        <f>I279</f>
        <v>851.77853800000003</v>
      </c>
      <c r="G280" s="435"/>
      <c r="H280" s="435"/>
      <c r="I280" s="836">
        <f t="shared" si="19"/>
        <v>340.71141520000003</v>
      </c>
    </row>
    <row r="281" spans="1:9" s="559" customFormat="1" ht="37.5">
      <c r="A281" s="845"/>
      <c r="B281" s="399"/>
      <c r="C281" s="445" t="s">
        <v>683</v>
      </c>
      <c r="D281" s="835">
        <f>G263</f>
        <v>2.87</v>
      </c>
      <c r="E281" s="435" t="s">
        <v>17</v>
      </c>
      <c r="F281" s="835">
        <f>'[161]Civil-SOR'!$G$206</f>
        <v>550</v>
      </c>
      <c r="G281" s="435">
        <v>1</v>
      </c>
      <c r="H281" s="435" t="s">
        <v>17</v>
      </c>
      <c r="I281" s="836">
        <f t="shared" si="19"/>
        <v>1578.5</v>
      </c>
    </row>
    <row r="282" spans="1:9" s="559" customFormat="1" ht="16" customHeight="1">
      <c r="A282" s="845"/>
      <c r="B282" s="399"/>
      <c r="C282" s="417" t="str">
        <f>[161]Input!$C$47</f>
        <v>Add for MA @ 40%</v>
      </c>
      <c r="D282" s="835">
        <f>[161]Input!$D$47</f>
        <v>0.4</v>
      </c>
      <c r="E282" s="435"/>
      <c r="F282" s="835">
        <f>I281</f>
        <v>1578.5</v>
      </c>
      <c r="G282" s="435"/>
      <c r="H282" s="435"/>
      <c r="I282" s="836">
        <f t="shared" si="19"/>
        <v>631.40000000000009</v>
      </c>
    </row>
    <row r="283" spans="1:9" s="559" customFormat="1" ht="16" customHeight="1">
      <c r="A283" s="845"/>
      <c r="B283" s="399"/>
      <c r="C283" s="417" t="s">
        <v>1953</v>
      </c>
      <c r="D283" s="835">
        <f>G261</f>
        <v>0.75</v>
      </c>
      <c r="E283" s="435" t="s">
        <v>17</v>
      </c>
      <c r="F283" s="835">
        <f>'[161]Civil-SOR'!$G$207</f>
        <v>410</v>
      </c>
      <c r="G283" s="435">
        <v>1</v>
      </c>
      <c r="H283" s="435" t="s">
        <v>17</v>
      </c>
      <c r="I283" s="836">
        <f t="shared" si="19"/>
        <v>307.5</v>
      </c>
    </row>
    <row r="284" spans="1:9" s="559" customFormat="1" ht="16" customHeight="1">
      <c r="A284" s="845"/>
      <c r="B284" s="399"/>
      <c r="C284" s="417" t="str">
        <f>[161]Input!$C$47</f>
        <v>Add for MA @ 40%</v>
      </c>
      <c r="D284" s="835">
        <f>[161]Input!$D$47</f>
        <v>0.4</v>
      </c>
      <c r="E284" s="435"/>
      <c r="F284" s="835">
        <f>I283</f>
        <v>307.5</v>
      </c>
      <c r="G284" s="435"/>
      <c r="H284" s="435"/>
      <c r="I284" s="836">
        <f t="shared" si="19"/>
        <v>123</v>
      </c>
    </row>
    <row r="285" spans="1:9" s="559" customFormat="1" ht="16" customHeight="1">
      <c r="A285" s="845"/>
      <c r="B285" s="399"/>
      <c r="C285" s="417" t="s">
        <v>684</v>
      </c>
      <c r="D285" s="835"/>
      <c r="E285" s="435"/>
      <c r="F285" s="835"/>
      <c r="G285" s="435"/>
      <c r="H285" s="435"/>
      <c r="I285" s="838"/>
    </row>
    <row r="286" spans="1:9" s="559" customFormat="1" ht="16" customHeight="1">
      <c r="A286" s="845"/>
      <c r="B286" s="399"/>
      <c r="C286" s="417" t="s">
        <v>1954</v>
      </c>
      <c r="D286" s="835"/>
      <c r="E286" s="435"/>
      <c r="F286" s="835"/>
      <c r="G286" s="435"/>
      <c r="H286" s="435"/>
      <c r="I286" s="856">
        <f>SUM(I266:I285)</f>
        <v>14797.0376732</v>
      </c>
    </row>
    <row r="287" spans="1:9" s="559" customFormat="1" ht="12.75" customHeight="1">
      <c r="A287" s="845"/>
      <c r="B287" s="399"/>
      <c r="C287" s="417" t="str">
        <f>[161]Input!$C$48</f>
        <v>Overheads &amp; Contractors Profit @ 13.615%</v>
      </c>
      <c r="D287" s="857">
        <f>[161]Input!$D$48</f>
        <v>0.13614999999999999</v>
      </c>
      <c r="E287" s="435"/>
      <c r="F287" s="835">
        <f>I286</f>
        <v>14797.0376732</v>
      </c>
      <c r="G287" s="435"/>
      <c r="H287" s="435"/>
      <c r="I287" s="836">
        <f>IF(G287="",D287*F287,(D287*F287/G287))</f>
        <v>2014.6166792061799</v>
      </c>
    </row>
    <row r="288" spans="1:9" s="559" customFormat="1" ht="16" customHeight="1">
      <c r="A288" s="845"/>
      <c r="B288" s="399"/>
      <c r="C288" s="417"/>
      <c r="D288" s="835"/>
      <c r="E288" s="435"/>
      <c r="F288" s="835"/>
      <c r="G288" s="435"/>
      <c r="H288" s="435"/>
      <c r="I288" s="838">
        <f>SUM(I286:I287)</f>
        <v>16811.654352406182</v>
      </c>
    </row>
    <row r="289" spans="1:16" s="559" customFormat="1" ht="16" customHeight="1">
      <c r="A289" s="845"/>
      <c r="B289" s="399"/>
      <c r="C289" s="427" t="s">
        <v>686</v>
      </c>
      <c r="D289" s="835"/>
      <c r="E289" s="435"/>
      <c r="F289" s="835"/>
      <c r="G289" s="435"/>
      <c r="H289" s="435"/>
      <c r="I289" s="838">
        <f>I288/H254</f>
        <v>4310.680603181072</v>
      </c>
    </row>
    <row r="290" spans="1:16" s="559" customFormat="1" ht="13.5" customHeight="1">
      <c r="A290" s="845"/>
      <c r="B290" s="399"/>
      <c r="C290" s="417"/>
      <c r="D290" s="835"/>
      <c r="E290" s="435"/>
      <c r="F290" s="835"/>
      <c r="G290" s="1313" t="s">
        <v>687</v>
      </c>
      <c r="H290" s="1313"/>
      <c r="I290" s="865">
        <f>ROUND(I289,0)</f>
        <v>4311</v>
      </c>
    </row>
    <row r="291" spans="1:16" s="559" customFormat="1" ht="14.65" customHeight="1">
      <c r="A291" s="845"/>
      <c r="B291" s="399"/>
      <c r="C291" s="417"/>
      <c r="D291" s="835"/>
      <c r="E291" s="435"/>
      <c r="F291" s="835"/>
      <c r="G291" s="435"/>
      <c r="H291" s="399"/>
      <c r="I291" s="865"/>
    </row>
    <row r="292" spans="1:16" s="559" customFormat="1" ht="75.650000000000006" customHeight="1" thickBot="1">
      <c r="A292" s="845">
        <f>A251+1</f>
        <v>4</v>
      </c>
      <c r="B292" s="399"/>
      <c r="C292" s="1276" t="s">
        <v>1955</v>
      </c>
      <c r="D292" s="1276"/>
      <c r="E292" s="1276"/>
      <c r="F292" s="1276"/>
      <c r="G292" s="1276"/>
      <c r="H292" s="1276"/>
      <c r="I292" s="427"/>
    </row>
    <row r="293" spans="1:16" s="559" customFormat="1" ht="120.65" customHeight="1" thickTop="1">
      <c r="A293" s="845"/>
      <c r="B293" s="399"/>
      <c r="C293" s="1291" t="s">
        <v>1956</v>
      </c>
      <c r="D293" s="1291"/>
      <c r="E293" s="1291"/>
      <c r="F293" s="1291"/>
      <c r="G293" s="1291"/>
      <c r="H293" s="1291"/>
      <c r="I293" s="417"/>
      <c r="K293" s="1360"/>
      <c r="L293" s="1360"/>
      <c r="M293" s="1360"/>
      <c r="N293" s="1360"/>
      <c r="O293" s="1360"/>
      <c r="P293" s="1360"/>
    </row>
    <row r="294" spans="1:16" s="559" customFormat="1" ht="13.9" customHeight="1">
      <c r="A294" s="845"/>
      <c r="B294" s="399"/>
      <c r="C294" s="427" t="s">
        <v>659</v>
      </c>
      <c r="D294" s="1350"/>
      <c r="E294" s="1350"/>
      <c r="F294" s="1350"/>
      <c r="G294" s="435"/>
      <c r="H294" s="435"/>
      <c r="I294" s="845"/>
    </row>
    <row r="295" spans="1:16" s="559" customFormat="1" ht="13.15" customHeight="1">
      <c r="A295" s="845"/>
      <c r="B295" s="399"/>
      <c r="C295" s="417"/>
      <c r="D295" s="514" t="s">
        <v>661</v>
      </c>
      <c r="E295" s="1294" t="s">
        <v>1957</v>
      </c>
      <c r="F295" s="1294"/>
      <c r="G295" s="435"/>
      <c r="H295" s="855">
        <f>1.5*2.4</f>
        <v>3.5999999999999996</v>
      </c>
      <c r="I295" s="851" t="s">
        <v>17</v>
      </c>
    </row>
    <row r="296" spans="1:16" s="559" customFormat="1" ht="14.25" customHeight="1">
      <c r="A296" s="845"/>
      <c r="B296" s="399"/>
      <c r="C296" s="427" t="s">
        <v>660</v>
      </c>
      <c r="D296" s="1354"/>
      <c r="E296" s="1354"/>
      <c r="F296" s="1354"/>
      <c r="G296" s="435"/>
      <c r="H296" s="435"/>
      <c r="I296" s="838"/>
    </row>
    <row r="297" spans="1:16" s="559" customFormat="1" ht="13.15" customHeight="1">
      <c r="A297" s="845"/>
      <c r="B297" s="399"/>
      <c r="C297" s="417" t="s">
        <v>663</v>
      </c>
      <c r="D297" s="1314" t="s">
        <v>1958</v>
      </c>
      <c r="E297" s="1314"/>
      <c r="F297" s="1314"/>
      <c r="G297" s="435"/>
      <c r="H297" s="435"/>
      <c r="I297" s="838"/>
    </row>
    <row r="298" spans="1:16" s="559" customFormat="1" ht="13.15" customHeight="1">
      <c r="A298" s="845"/>
      <c r="B298" s="399"/>
      <c r="C298" s="417"/>
      <c r="D298" s="1314" t="s">
        <v>1959</v>
      </c>
      <c r="E298" s="1314"/>
      <c r="F298" s="1314"/>
      <c r="G298" s="1356">
        <f>ROUND(4.82*0.1*0.065,5)</f>
        <v>3.1329999999999997E-2</v>
      </c>
      <c r="H298" s="1356"/>
      <c r="I298" s="449" t="s">
        <v>666</v>
      </c>
    </row>
    <row r="299" spans="1:16" s="559" customFormat="1" ht="13.15" customHeight="1">
      <c r="A299" s="845"/>
      <c r="B299" s="399"/>
      <c r="C299" s="417" t="s">
        <v>667</v>
      </c>
      <c r="D299" s="1314" t="s">
        <v>1960</v>
      </c>
      <c r="E299" s="1314"/>
      <c r="F299" s="1314"/>
      <c r="G299" s="1357"/>
      <c r="H299" s="1357"/>
      <c r="I299" s="449"/>
    </row>
    <row r="300" spans="1:16" s="559" customFormat="1" ht="13.15" customHeight="1">
      <c r="A300" s="845"/>
      <c r="B300" s="399"/>
      <c r="C300" s="417"/>
      <c r="D300" s="1314" t="s">
        <v>1961</v>
      </c>
      <c r="E300" s="1314"/>
      <c r="F300" s="1314"/>
      <c r="G300" s="1356">
        <f>ROUND(3.5*0.1*0.065,5)</f>
        <v>2.2749999999999999E-2</v>
      </c>
      <c r="H300" s="1356"/>
      <c r="I300" s="449" t="s">
        <v>666</v>
      </c>
    </row>
    <row r="301" spans="1:16" s="559" customFormat="1" ht="13.9" customHeight="1">
      <c r="A301" s="845"/>
      <c r="B301" s="399"/>
      <c r="C301" s="417"/>
      <c r="D301" s="1314"/>
      <c r="E301" s="1314"/>
      <c r="F301" s="1314"/>
      <c r="G301" s="1355">
        <f>SUM(G298:G300)</f>
        <v>5.4079999999999996E-2</v>
      </c>
      <c r="H301" s="1355"/>
      <c r="I301" s="851" t="s">
        <v>666</v>
      </c>
    </row>
    <row r="302" spans="1:16" s="559" customFormat="1" ht="15.65" customHeight="1">
      <c r="A302" s="845"/>
      <c r="B302" s="399"/>
      <c r="C302" s="417" t="s">
        <v>1886</v>
      </c>
      <c r="D302" s="1314" t="s">
        <v>1962</v>
      </c>
      <c r="E302" s="1314"/>
      <c r="F302" s="1314"/>
      <c r="G302" s="1352">
        <f>ROUND(2*0.75*0.3,2)</f>
        <v>0.45</v>
      </c>
      <c r="H302" s="1352"/>
      <c r="I302" s="851" t="s">
        <v>17</v>
      </c>
    </row>
    <row r="303" spans="1:16" s="559" customFormat="1" ht="15.65" customHeight="1">
      <c r="A303" s="845"/>
      <c r="B303" s="399"/>
      <c r="C303" s="417" t="s">
        <v>1888</v>
      </c>
      <c r="D303" s="1314" t="s">
        <v>1963</v>
      </c>
      <c r="E303" s="1314"/>
      <c r="F303" s="1314"/>
      <c r="G303" s="1352">
        <f>ROUND(2*2*(0.75+0.3),2)</f>
        <v>4.2</v>
      </c>
      <c r="H303" s="1352"/>
      <c r="I303" s="851" t="s">
        <v>1052</v>
      </c>
    </row>
    <row r="304" spans="1:16" s="559" customFormat="1" ht="15.65" customHeight="1">
      <c r="A304" s="845"/>
      <c r="B304" s="399"/>
      <c r="C304" s="417" t="s">
        <v>1924</v>
      </c>
      <c r="D304" s="1314" t="s">
        <v>1964</v>
      </c>
      <c r="E304" s="1314"/>
      <c r="F304" s="1314"/>
      <c r="G304" s="1358">
        <f>ROUND(2*0.7*2.05,3)</f>
        <v>2.87</v>
      </c>
      <c r="H304" s="1358"/>
      <c r="I304" s="851" t="s">
        <v>17</v>
      </c>
    </row>
    <row r="305" spans="1:9" s="559" customFormat="1" ht="15.65" customHeight="1">
      <c r="A305" s="845"/>
      <c r="B305" s="399"/>
      <c r="C305" s="417" t="s">
        <v>1892</v>
      </c>
      <c r="D305" s="1359" t="s">
        <v>1965</v>
      </c>
      <c r="E305" s="1359"/>
      <c r="F305" s="1359"/>
      <c r="G305" s="1353">
        <f>ROUND(2*1.5*0.785,3)</f>
        <v>2.355</v>
      </c>
      <c r="H305" s="1353"/>
      <c r="I305" s="851" t="s">
        <v>833</v>
      </c>
    </row>
    <row r="306" spans="1:9" s="559" customFormat="1" ht="16" customHeight="1">
      <c r="A306" s="845"/>
      <c r="B306" s="399"/>
      <c r="C306" s="427" t="s">
        <v>672</v>
      </c>
      <c r="D306" s="835"/>
      <c r="E306" s="435"/>
      <c r="F306" s="835"/>
      <c r="G306" s="435"/>
      <c r="H306" s="435"/>
      <c r="I306" s="838"/>
    </row>
    <row r="307" spans="1:9" s="559" customFormat="1" ht="15.65" customHeight="1">
      <c r="A307" s="845"/>
      <c r="B307" s="399"/>
      <c r="C307" s="417" t="s">
        <v>1949</v>
      </c>
      <c r="D307" s="857">
        <f>G298</f>
        <v>3.1329999999999997E-2</v>
      </c>
      <c r="E307" s="435" t="s">
        <v>666</v>
      </c>
      <c r="F307" s="835">
        <f>'[161]Civil-SOR'!$G$26</f>
        <v>91479</v>
      </c>
      <c r="G307" s="435">
        <v>1</v>
      </c>
      <c r="H307" s="435" t="s">
        <v>666</v>
      </c>
      <c r="I307" s="836">
        <f t="shared" ref="I307:I325" si="21">IF(G307="",D307*F307,(D307*F307/G307))</f>
        <v>2866.0370699999999</v>
      </c>
    </row>
    <row r="308" spans="1:9" s="559" customFormat="1" ht="15.65" customHeight="1">
      <c r="A308" s="845"/>
      <c r="B308" s="399"/>
      <c r="C308" s="417" t="s">
        <v>1928</v>
      </c>
      <c r="D308" s="857">
        <f>G300</f>
        <v>2.2749999999999999E-2</v>
      </c>
      <c r="E308" s="435" t="s">
        <v>666</v>
      </c>
      <c r="F308" s="835">
        <f>'[161]Civil-SOR'!$G$25</f>
        <v>82331</v>
      </c>
      <c r="G308" s="435">
        <v>1</v>
      </c>
      <c r="H308" s="435" t="s">
        <v>666</v>
      </c>
      <c r="I308" s="836">
        <f t="shared" si="21"/>
        <v>1873.03025</v>
      </c>
    </row>
    <row r="309" spans="1:9" s="559" customFormat="1" ht="15.65" customHeight="1">
      <c r="A309" s="845"/>
      <c r="B309" s="399"/>
      <c r="C309" s="417" t="s">
        <v>1894</v>
      </c>
      <c r="D309" s="835">
        <f t="shared" ref="D309:D311" si="22">G302</f>
        <v>0.45</v>
      </c>
      <c r="E309" s="435" t="s">
        <v>17</v>
      </c>
      <c r="F309" s="835">
        <f>'[161]Civil-SOR'!$G$51</f>
        <v>336</v>
      </c>
      <c r="G309" s="435">
        <v>1</v>
      </c>
      <c r="H309" s="435" t="s">
        <v>17</v>
      </c>
      <c r="I309" s="836">
        <f t="shared" si="21"/>
        <v>151.20000000000002</v>
      </c>
    </row>
    <row r="310" spans="1:9" s="559" customFormat="1" ht="15.65" customHeight="1">
      <c r="A310" s="845"/>
      <c r="B310" s="399"/>
      <c r="C310" s="417" t="s">
        <v>1895</v>
      </c>
      <c r="D310" s="835">
        <f t="shared" si="22"/>
        <v>4.2</v>
      </c>
      <c r="E310" s="435" t="s">
        <v>1052</v>
      </c>
      <c r="F310" s="835">
        <f>'[161]Civil-SOR'!$G$382</f>
        <v>26</v>
      </c>
      <c r="G310" s="435">
        <v>1</v>
      </c>
      <c r="H310" s="435" t="s">
        <v>1929</v>
      </c>
      <c r="I310" s="836">
        <f t="shared" si="21"/>
        <v>109.2</v>
      </c>
    </row>
    <row r="311" spans="1:9" s="559" customFormat="1" ht="15.65" customHeight="1">
      <c r="A311" s="845"/>
      <c r="B311" s="399"/>
      <c r="C311" s="417" t="s">
        <v>1930</v>
      </c>
      <c r="D311" s="835">
        <f t="shared" si="22"/>
        <v>2.87</v>
      </c>
      <c r="E311" s="435" t="s">
        <v>17</v>
      </c>
      <c r="F311" s="835">
        <f>'[161]Civil-SOR'!$G$114</f>
        <v>1334</v>
      </c>
      <c r="G311" s="435">
        <v>1</v>
      </c>
      <c r="H311" s="435" t="s">
        <v>17</v>
      </c>
      <c r="I311" s="836">
        <f t="shared" si="21"/>
        <v>3828.58</v>
      </c>
    </row>
    <row r="312" spans="1:9" s="559" customFormat="1" ht="15.65" customHeight="1">
      <c r="A312" s="845"/>
      <c r="B312" s="399"/>
      <c r="C312" s="417" t="s">
        <v>1931</v>
      </c>
      <c r="D312" s="837">
        <v>6</v>
      </c>
      <c r="E312" s="435" t="s">
        <v>375</v>
      </c>
      <c r="F312" s="835">
        <f>'[161]Civil-SOR'!$G$385</f>
        <v>37</v>
      </c>
      <c r="G312" s="435"/>
      <c r="H312" s="435" t="s">
        <v>572</v>
      </c>
      <c r="I312" s="836">
        <f t="shared" si="21"/>
        <v>222</v>
      </c>
    </row>
    <row r="313" spans="1:9" s="559" customFormat="1" ht="15.65" customHeight="1">
      <c r="A313" s="845"/>
      <c r="B313" s="399"/>
      <c r="C313" s="417" t="s">
        <v>1932</v>
      </c>
      <c r="D313" s="837">
        <v>2</v>
      </c>
      <c r="E313" s="435" t="s">
        <v>375</v>
      </c>
      <c r="F313" s="835">
        <f>'[161]Civil-SOR'!$G$153</f>
        <v>90</v>
      </c>
      <c r="G313" s="435"/>
      <c r="H313" s="435" t="s">
        <v>572</v>
      </c>
      <c r="I313" s="836">
        <f t="shared" si="21"/>
        <v>180</v>
      </c>
    </row>
    <row r="314" spans="1:9" s="559" customFormat="1" ht="15.65" customHeight="1">
      <c r="A314" s="845"/>
      <c r="B314" s="399"/>
      <c r="C314" s="417" t="s">
        <v>1933</v>
      </c>
      <c r="D314" s="837">
        <v>6</v>
      </c>
      <c r="E314" s="435" t="s">
        <v>375</v>
      </c>
      <c r="F314" s="835">
        <f>'[161]Civil-SOR'!$G$159</f>
        <v>106</v>
      </c>
      <c r="G314" s="435"/>
      <c r="H314" s="435" t="s">
        <v>572</v>
      </c>
      <c r="I314" s="836">
        <f t="shared" si="21"/>
        <v>636</v>
      </c>
    </row>
    <row r="315" spans="1:9" s="559" customFormat="1" ht="15.65" customHeight="1">
      <c r="A315" s="845"/>
      <c r="B315" s="399"/>
      <c r="C315" s="417" t="s">
        <v>1934</v>
      </c>
      <c r="D315" s="837">
        <v>1</v>
      </c>
      <c r="E315" s="435" t="s">
        <v>678</v>
      </c>
      <c r="F315" s="835">
        <f>'[161]Civil-SOR'!$G$172</f>
        <v>239</v>
      </c>
      <c r="G315" s="435"/>
      <c r="H315" s="435" t="s">
        <v>572</v>
      </c>
      <c r="I315" s="836">
        <f t="shared" si="21"/>
        <v>239</v>
      </c>
    </row>
    <row r="316" spans="1:9" s="559" customFormat="1" ht="15.65" customHeight="1">
      <c r="A316" s="845"/>
      <c r="B316" s="399"/>
      <c r="C316" s="417" t="s">
        <v>1935</v>
      </c>
      <c r="D316" s="837">
        <v>2</v>
      </c>
      <c r="E316" s="435" t="s">
        <v>375</v>
      </c>
      <c r="F316" s="835">
        <f>'[161]Civil-SOR'!$G$164</f>
        <v>100</v>
      </c>
      <c r="G316" s="435"/>
      <c r="H316" s="435" t="s">
        <v>572</v>
      </c>
      <c r="I316" s="836">
        <f t="shared" si="21"/>
        <v>200</v>
      </c>
    </row>
    <row r="317" spans="1:9" s="559" customFormat="1" ht="15.65" customHeight="1">
      <c r="A317" s="845"/>
      <c r="B317" s="399"/>
      <c r="C317" s="417" t="s">
        <v>1936</v>
      </c>
      <c r="D317" s="837">
        <v>2</v>
      </c>
      <c r="E317" s="435" t="s">
        <v>375</v>
      </c>
      <c r="F317" s="835">
        <f>'[161]Civil-SOR'!$G$178</f>
        <v>66</v>
      </c>
      <c r="G317" s="435"/>
      <c r="H317" s="435" t="s">
        <v>572</v>
      </c>
      <c r="I317" s="836">
        <f t="shared" si="21"/>
        <v>132</v>
      </c>
    </row>
    <row r="318" spans="1:9" s="559" customFormat="1" ht="15.65" customHeight="1">
      <c r="A318" s="845"/>
      <c r="B318" s="399"/>
      <c r="C318" s="417" t="s">
        <v>1937</v>
      </c>
      <c r="D318" s="837">
        <v>2</v>
      </c>
      <c r="E318" s="435" t="s">
        <v>375</v>
      </c>
      <c r="F318" s="835">
        <f>'[161]Civil-SOR'!$G$386</f>
        <v>12</v>
      </c>
      <c r="G318" s="435"/>
      <c r="H318" s="435" t="s">
        <v>572</v>
      </c>
      <c r="I318" s="836">
        <f t="shared" si="21"/>
        <v>24</v>
      </c>
    </row>
    <row r="319" spans="1:9" s="559" customFormat="1" ht="14.5" customHeight="1">
      <c r="A319" s="845"/>
      <c r="B319" s="399"/>
      <c r="C319" s="417" t="s">
        <v>1905</v>
      </c>
      <c r="D319" s="834">
        <f>G305</f>
        <v>2.355</v>
      </c>
      <c r="E319" s="435" t="s">
        <v>833</v>
      </c>
      <c r="F319" s="835">
        <f>[161]LEAD!$N$10</f>
        <v>61000</v>
      </c>
      <c r="G319" s="435">
        <v>1000</v>
      </c>
      <c r="H319" s="435" t="s">
        <v>833</v>
      </c>
      <c r="I319" s="836">
        <f t="shared" si="21"/>
        <v>143.655</v>
      </c>
    </row>
    <row r="320" spans="1:9" s="559" customFormat="1" ht="14.5" customHeight="1">
      <c r="A320" s="845"/>
      <c r="B320" s="399"/>
      <c r="C320" s="417" t="s">
        <v>682</v>
      </c>
      <c r="D320" s="862">
        <f>G301</f>
        <v>5.4079999999999996E-2</v>
      </c>
      <c r="E320" s="435" t="s">
        <v>666</v>
      </c>
      <c r="F320" s="835">
        <f>$I$8</f>
        <v>15027.85</v>
      </c>
      <c r="G320" s="435">
        <v>1</v>
      </c>
      <c r="H320" s="435" t="s">
        <v>666</v>
      </c>
      <c r="I320" s="836">
        <f t="shared" si="21"/>
        <v>812.70612799999992</v>
      </c>
    </row>
    <row r="321" spans="1:9" s="559" customFormat="1" ht="14.5" customHeight="1">
      <c r="A321" s="845"/>
      <c r="B321" s="399"/>
      <c r="C321" s="417" t="str">
        <f>[161]Input!$C$47</f>
        <v>Add for MA @ 40%</v>
      </c>
      <c r="D321" s="835">
        <f>[161]Input!$D$47</f>
        <v>0.4</v>
      </c>
      <c r="E321" s="435"/>
      <c r="F321" s="835">
        <f>I320</f>
        <v>812.70612799999992</v>
      </c>
      <c r="G321" s="435"/>
      <c r="H321" s="435"/>
      <c r="I321" s="836">
        <f t="shared" si="21"/>
        <v>325.08245119999998</v>
      </c>
    </row>
    <row r="322" spans="1:9" s="559" customFormat="1" ht="28.9" customHeight="1">
      <c r="A322" s="845"/>
      <c r="B322" s="399"/>
      <c r="C322" s="445" t="s">
        <v>683</v>
      </c>
      <c r="D322" s="835">
        <f>G304</f>
        <v>2.87</v>
      </c>
      <c r="E322" s="435" t="s">
        <v>17</v>
      </c>
      <c r="F322" s="835">
        <f>'[161]Civil-SOR'!$G$206</f>
        <v>550</v>
      </c>
      <c r="G322" s="435">
        <v>1</v>
      </c>
      <c r="H322" s="435" t="s">
        <v>17</v>
      </c>
      <c r="I322" s="836">
        <f t="shared" si="21"/>
        <v>1578.5</v>
      </c>
    </row>
    <row r="323" spans="1:9" s="559" customFormat="1" ht="14.5" customHeight="1">
      <c r="A323" s="845"/>
      <c r="B323" s="399"/>
      <c r="C323" s="417" t="str">
        <f>[161]Input!$C$47</f>
        <v>Add for MA @ 40%</v>
      </c>
      <c r="D323" s="835">
        <f>[161]Input!$D$47</f>
        <v>0.4</v>
      </c>
      <c r="E323" s="435"/>
      <c r="F323" s="835">
        <f>I322</f>
        <v>1578.5</v>
      </c>
      <c r="G323" s="435"/>
      <c r="H323" s="435"/>
      <c r="I323" s="836">
        <f t="shared" si="21"/>
        <v>631.40000000000009</v>
      </c>
    </row>
    <row r="324" spans="1:9" s="559" customFormat="1" ht="14.5" customHeight="1">
      <c r="A324" s="845"/>
      <c r="B324" s="399"/>
      <c r="C324" s="417" t="s">
        <v>1953</v>
      </c>
      <c r="D324" s="835">
        <f>G302</f>
        <v>0.45</v>
      </c>
      <c r="E324" s="435" t="s">
        <v>17</v>
      </c>
      <c r="F324" s="835">
        <f>'[161]Civil-SOR'!$G$207</f>
        <v>410</v>
      </c>
      <c r="G324" s="435">
        <v>1</v>
      </c>
      <c r="H324" s="435" t="s">
        <v>17</v>
      </c>
      <c r="I324" s="836">
        <f t="shared" si="21"/>
        <v>184.5</v>
      </c>
    </row>
    <row r="325" spans="1:9" s="559" customFormat="1" ht="14.5" customHeight="1">
      <c r="A325" s="845"/>
      <c r="B325" s="399"/>
      <c r="C325" s="417" t="str">
        <f>[161]Input!$C$47</f>
        <v>Add for MA @ 40%</v>
      </c>
      <c r="D325" s="835">
        <f>[161]Input!$D$47</f>
        <v>0.4</v>
      </c>
      <c r="E325" s="435"/>
      <c r="F325" s="835">
        <f>I324</f>
        <v>184.5</v>
      </c>
      <c r="G325" s="435"/>
      <c r="H325" s="435"/>
      <c r="I325" s="836">
        <f t="shared" si="21"/>
        <v>73.8</v>
      </c>
    </row>
    <row r="326" spans="1:9" s="559" customFormat="1" ht="14.5" customHeight="1">
      <c r="A326" s="845"/>
      <c r="B326" s="399"/>
      <c r="C326" s="417" t="s">
        <v>684</v>
      </c>
      <c r="D326" s="835"/>
      <c r="E326" s="435"/>
      <c r="F326" s="835"/>
      <c r="G326" s="435"/>
      <c r="H326" s="435"/>
      <c r="I326" s="838"/>
    </row>
    <row r="327" spans="1:9" s="559" customFormat="1" ht="14.5" customHeight="1">
      <c r="A327" s="845"/>
      <c r="B327" s="399"/>
      <c r="C327" s="417" t="s">
        <v>1954</v>
      </c>
      <c r="D327" s="835"/>
      <c r="E327" s="435"/>
      <c r="F327" s="835"/>
      <c r="G327" s="435"/>
      <c r="H327" s="435"/>
      <c r="I327" s="856">
        <f>SUM(I307:I326)</f>
        <v>14210.690899199999</v>
      </c>
    </row>
    <row r="328" spans="1:9" s="559" customFormat="1" ht="14.5" customHeight="1">
      <c r="A328" s="845"/>
      <c r="B328" s="399"/>
      <c r="C328" s="417" t="str">
        <f>[161]Input!$C$48</f>
        <v>Overheads &amp; Contractors Profit @ 13.615%</v>
      </c>
      <c r="D328" s="857">
        <f>[161]Input!$D$48</f>
        <v>0.13614999999999999</v>
      </c>
      <c r="E328" s="435"/>
      <c r="F328" s="835">
        <f>I327</f>
        <v>14210.690899199999</v>
      </c>
      <c r="G328" s="435"/>
      <c r="H328" s="435"/>
      <c r="I328" s="836">
        <f>IF(G328="",D328*F328,(D328*F328/G328))</f>
        <v>1934.7855659260797</v>
      </c>
    </row>
    <row r="329" spans="1:9" s="559" customFormat="1" ht="16" customHeight="1">
      <c r="A329" s="845"/>
      <c r="B329" s="399"/>
      <c r="C329" s="417"/>
      <c r="D329" s="835"/>
      <c r="E329" s="435"/>
      <c r="F329" s="835"/>
      <c r="G329" s="435"/>
      <c r="H329" s="435"/>
      <c r="I329" s="838">
        <f>SUM(I327:I328)</f>
        <v>16145.476465126079</v>
      </c>
    </row>
    <row r="330" spans="1:9" s="559" customFormat="1" ht="16" customHeight="1">
      <c r="A330" s="845"/>
      <c r="B330" s="399"/>
      <c r="C330" s="427" t="s">
        <v>686</v>
      </c>
      <c r="D330" s="835"/>
      <c r="E330" s="435"/>
      <c r="F330" s="835"/>
      <c r="G330" s="435"/>
      <c r="H330" s="435"/>
      <c r="I330" s="838">
        <f>I329/H295</f>
        <v>4484.8545736461338</v>
      </c>
    </row>
    <row r="331" spans="1:9" s="559" customFormat="1" ht="15" customHeight="1">
      <c r="A331" s="845"/>
      <c r="B331" s="399"/>
      <c r="C331" s="417"/>
      <c r="D331" s="835"/>
      <c r="E331" s="435"/>
      <c r="F331" s="835"/>
      <c r="G331" s="1313" t="s">
        <v>687</v>
      </c>
      <c r="H331" s="1313"/>
      <c r="I331" s="865">
        <f>ROUND(I330,0)</f>
        <v>4485</v>
      </c>
    </row>
    <row r="332" spans="1:9" s="559" customFormat="1" ht="14.65" customHeight="1">
      <c r="A332" s="845"/>
      <c r="B332" s="399"/>
      <c r="C332" s="417"/>
      <c r="D332" s="835"/>
      <c r="E332" s="435"/>
      <c r="F332" s="835"/>
      <c r="G332" s="435"/>
      <c r="H332" s="399"/>
      <c r="I332" s="865"/>
    </row>
    <row r="333" spans="1:9" s="559" customFormat="1" ht="75.650000000000006" customHeight="1">
      <c r="A333" s="845">
        <f>1+A251</f>
        <v>4</v>
      </c>
      <c r="B333" s="399"/>
      <c r="C333" s="1276" t="s">
        <v>1955</v>
      </c>
      <c r="D333" s="1276"/>
      <c r="E333" s="1276"/>
      <c r="F333" s="1276"/>
      <c r="G333" s="1276"/>
      <c r="H333" s="1276"/>
      <c r="I333" s="427"/>
    </row>
    <row r="334" spans="1:9" s="559" customFormat="1" ht="123.65" customHeight="1">
      <c r="A334" s="845"/>
      <c r="B334" s="399"/>
      <c r="C334" s="1291" t="s">
        <v>1966</v>
      </c>
      <c r="D334" s="1291"/>
      <c r="E334" s="1291"/>
      <c r="F334" s="1291"/>
      <c r="G334" s="1291"/>
      <c r="H334" s="1291"/>
      <c r="I334" s="417"/>
    </row>
    <row r="335" spans="1:9" s="559" customFormat="1" ht="16" customHeight="1">
      <c r="A335" s="845"/>
      <c r="B335" s="399"/>
      <c r="C335" s="427" t="s">
        <v>659</v>
      </c>
      <c r="D335" s="435"/>
      <c r="E335" s="435"/>
      <c r="F335" s="435"/>
      <c r="G335" s="435"/>
      <c r="H335" s="435"/>
      <c r="I335" s="845"/>
    </row>
    <row r="336" spans="1:9" s="559" customFormat="1" ht="13.15" customHeight="1">
      <c r="A336" s="845"/>
      <c r="B336" s="399"/>
      <c r="C336" s="417"/>
      <c r="D336" s="855" t="s">
        <v>661</v>
      </c>
      <c r="E336" s="1295" t="s">
        <v>1967</v>
      </c>
      <c r="F336" s="1295"/>
      <c r="G336" s="435"/>
      <c r="H336" s="855">
        <f>1.2*2.6</f>
        <v>3.12</v>
      </c>
      <c r="I336" s="856" t="s">
        <v>17</v>
      </c>
    </row>
    <row r="337" spans="1:9" s="559" customFormat="1" ht="13.9" customHeight="1">
      <c r="A337" s="845"/>
      <c r="B337" s="399"/>
      <c r="C337" s="427" t="s">
        <v>660</v>
      </c>
      <c r="D337" s="1354"/>
      <c r="E337" s="1354"/>
      <c r="F337" s="1354"/>
      <c r="G337" s="435"/>
      <c r="H337" s="435"/>
      <c r="I337" s="838"/>
    </row>
    <row r="338" spans="1:9" s="559" customFormat="1" ht="13.9" customHeight="1">
      <c r="A338" s="845"/>
      <c r="B338" s="399"/>
      <c r="C338" s="417" t="s">
        <v>663</v>
      </c>
      <c r="D338" s="1314" t="s">
        <v>1882</v>
      </c>
      <c r="E338" s="1314"/>
      <c r="F338" s="1314"/>
      <c r="G338" s="435"/>
      <c r="H338" s="435"/>
      <c r="I338" s="838"/>
    </row>
    <row r="339" spans="1:9" s="559" customFormat="1" ht="13.15" customHeight="1">
      <c r="A339" s="845"/>
      <c r="B339" s="399"/>
      <c r="C339" s="417"/>
      <c r="D339" s="1314" t="s">
        <v>1942</v>
      </c>
      <c r="E339" s="1314"/>
      <c r="F339" s="1314"/>
      <c r="G339" s="1356">
        <f>ROUND(5.22*0.1*0.065,5)</f>
        <v>3.3930000000000002E-2</v>
      </c>
      <c r="H339" s="1356"/>
      <c r="I339" s="449" t="s">
        <v>666</v>
      </c>
    </row>
    <row r="340" spans="1:9" s="559" customFormat="1" ht="16.149999999999999" customHeight="1">
      <c r="A340" s="845"/>
      <c r="B340" s="399"/>
      <c r="C340" s="417" t="s">
        <v>667</v>
      </c>
      <c r="D340" s="1314" t="s">
        <v>1968</v>
      </c>
      <c r="E340" s="1314"/>
      <c r="F340" s="1314"/>
      <c r="G340" s="861"/>
      <c r="H340" s="861"/>
      <c r="I340" s="449"/>
    </row>
    <row r="341" spans="1:9" s="559" customFormat="1" ht="16.149999999999999" customHeight="1">
      <c r="A341" s="845"/>
      <c r="B341" s="399"/>
      <c r="C341" s="417"/>
      <c r="D341" s="1314" t="s">
        <v>1969</v>
      </c>
      <c r="E341" s="1314"/>
      <c r="F341" s="1314"/>
      <c r="G341" s="1356">
        <f>ROUND(2.9*0.1*0.065,5)</f>
        <v>1.8849999999999999E-2</v>
      </c>
      <c r="H341" s="1356"/>
      <c r="I341" s="449" t="s">
        <v>666</v>
      </c>
    </row>
    <row r="342" spans="1:9" s="559" customFormat="1" ht="13.15" customHeight="1">
      <c r="A342" s="845"/>
      <c r="B342" s="399"/>
      <c r="C342" s="417"/>
      <c r="D342" s="449"/>
      <c r="E342" s="445"/>
      <c r="F342" s="449"/>
      <c r="G342" s="1355">
        <f>SUM(G339:G341)</f>
        <v>5.2780000000000001E-2</v>
      </c>
      <c r="H342" s="1355"/>
      <c r="I342" s="851" t="s">
        <v>666</v>
      </c>
    </row>
    <row r="343" spans="1:9" s="559" customFormat="1" ht="16.149999999999999" customHeight="1">
      <c r="A343" s="845"/>
      <c r="B343" s="399"/>
      <c r="C343" s="417" t="s">
        <v>1886</v>
      </c>
      <c r="D343" s="1314" t="s">
        <v>1970</v>
      </c>
      <c r="E343" s="1314"/>
      <c r="F343" s="1314"/>
      <c r="G343" s="1352">
        <f>ROUND(2*(0.6*0.5),2)</f>
        <v>0.6</v>
      </c>
      <c r="H343" s="1352"/>
      <c r="I343" s="851" t="s">
        <v>17</v>
      </c>
    </row>
    <row r="344" spans="1:9" s="559" customFormat="1" ht="16.149999999999999" customHeight="1">
      <c r="A344" s="845"/>
      <c r="B344" s="399"/>
      <c r="C344" s="417" t="s">
        <v>1888</v>
      </c>
      <c r="D344" s="1314" t="s">
        <v>1971</v>
      </c>
      <c r="E344" s="1314"/>
      <c r="F344" s="1314"/>
      <c r="G344" s="1352">
        <f>ROUND(2*2*(0.6+0.5),2)</f>
        <v>4.4000000000000004</v>
      </c>
      <c r="H344" s="1352"/>
      <c r="I344" s="851" t="s">
        <v>1052</v>
      </c>
    </row>
    <row r="345" spans="1:9" s="559" customFormat="1" ht="16.149999999999999" customHeight="1">
      <c r="A345" s="845"/>
      <c r="B345" s="399"/>
      <c r="C345" s="417" t="s">
        <v>1924</v>
      </c>
      <c r="D345" s="1314" t="s">
        <v>1972</v>
      </c>
      <c r="E345" s="1314"/>
      <c r="F345" s="1314"/>
      <c r="G345" s="1358">
        <f>ROUND(2*0.55*2.05,3)</f>
        <v>2.2549999999999999</v>
      </c>
      <c r="H345" s="1358"/>
      <c r="I345" s="851" t="s">
        <v>17</v>
      </c>
    </row>
    <row r="346" spans="1:9" s="559" customFormat="1" ht="16.149999999999999" customHeight="1">
      <c r="A346" s="845"/>
      <c r="B346" s="399"/>
      <c r="C346" s="417" t="s">
        <v>1892</v>
      </c>
      <c r="D346" s="1359" t="s">
        <v>1973</v>
      </c>
      <c r="E346" s="1359"/>
      <c r="F346" s="1359"/>
      <c r="G346" s="1353">
        <f>ROUND(2*1.2*0.785,3)</f>
        <v>1.8839999999999999</v>
      </c>
      <c r="H346" s="1353"/>
      <c r="I346" s="851" t="s">
        <v>833</v>
      </c>
    </row>
    <row r="347" spans="1:9" s="559" customFormat="1" ht="16" customHeight="1">
      <c r="A347" s="845"/>
      <c r="B347" s="399"/>
      <c r="C347" s="427" t="s">
        <v>672</v>
      </c>
      <c r="D347" s="835"/>
      <c r="E347" s="435"/>
      <c r="F347" s="835"/>
      <c r="G347" s="435"/>
      <c r="H347" s="435"/>
      <c r="I347" s="838"/>
    </row>
    <row r="348" spans="1:9" s="559" customFormat="1" ht="12.75" customHeight="1">
      <c r="A348" s="845"/>
      <c r="B348" s="399"/>
      <c r="C348" s="417" t="s">
        <v>1949</v>
      </c>
      <c r="D348" s="857">
        <f>G339</f>
        <v>3.3930000000000002E-2</v>
      </c>
      <c r="E348" s="435" t="s">
        <v>666</v>
      </c>
      <c r="F348" s="835">
        <f>'[161]Civil-SOR'!$G$26</f>
        <v>91479</v>
      </c>
      <c r="G348" s="435">
        <v>1</v>
      </c>
      <c r="H348" s="435" t="s">
        <v>666</v>
      </c>
      <c r="I348" s="836">
        <f t="shared" ref="I348:I366" si="23">IF(G348="",D348*F348,(D348*F348/G348))</f>
        <v>3103.88247</v>
      </c>
    </row>
    <row r="349" spans="1:9" s="559" customFormat="1" ht="12.75" customHeight="1">
      <c r="A349" s="845"/>
      <c r="B349" s="399"/>
      <c r="C349" s="417" t="s">
        <v>1928</v>
      </c>
      <c r="D349" s="857">
        <f>G341</f>
        <v>1.8849999999999999E-2</v>
      </c>
      <c r="E349" s="435" t="s">
        <v>666</v>
      </c>
      <c r="F349" s="835">
        <f>'[161]Civil-SOR'!$G$25</f>
        <v>82331</v>
      </c>
      <c r="G349" s="435">
        <v>1</v>
      </c>
      <c r="H349" s="435" t="s">
        <v>666</v>
      </c>
      <c r="I349" s="836">
        <f t="shared" si="23"/>
        <v>1551.9393499999999</v>
      </c>
    </row>
    <row r="350" spans="1:9" s="559" customFormat="1" ht="25">
      <c r="A350" s="845"/>
      <c r="B350" s="399"/>
      <c r="C350" s="417" t="s">
        <v>1894</v>
      </c>
      <c r="D350" s="835">
        <f t="shared" ref="D350:D352" si="24">G343</f>
        <v>0.6</v>
      </c>
      <c r="E350" s="435" t="s">
        <v>17</v>
      </c>
      <c r="F350" s="835">
        <f>'[161]Civil-SOR'!$G$51</f>
        <v>336</v>
      </c>
      <c r="G350" s="435">
        <v>1</v>
      </c>
      <c r="H350" s="435" t="s">
        <v>17</v>
      </c>
      <c r="I350" s="836">
        <f t="shared" si="23"/>
        <v>201.6</v>
      </c>
    </row>
    <row r="351" spans="1:9" s="559" customFormat="1" ht="25">
      <c r="A351" s="845"/>
      <c r="B351" s="399"/>
      <c r="C351" s="417" t="s">
        <v>1895</v>
      </c>
      <c r="D351" s="835">
        <f t="shared" si="24"/>
        <v>4.4000000000000004</v>
      </c>
      <c r="E351" s="435" t="s">
        <v>1052</v>
      </c>
      <c r="F351" s="835">
        <f>'[161]Civil-SOR'!$G$382</f>
        <v>26</v>
      </c>
      <c r="G351" s="435">
        <v>1</v>
      </c>
      <c r="H351" s="435" t="s">
        <v>1929</v>
      </c>
      <c r="I351" s="836">
        <f t="shared" si="23"/>
        <v>114.4</v>
      </c>
    </row>
    <row r="352" spans="1:9" s="559" customFormat="1" ht="25">
      <c r="A352" s="845"/>
      <c r="B352" s="399"/>
      <c r="C352" s="417" t="s">
        <v>1930</v>
      </c>
      <c r="D352" s="834">
        <f t="shared" si="24"/>
        <v>2.2549999999999999</v>
      </c>
      <c r="E352" s="435" t="s">
        <v>17</v>
      </c>
      <c r="F352" s="835">
        <f>'[161]Civil-SOR'!$G$114</f>
        <v>1334</v>
      </c>
      <c r="G352" s="435">
        <v>1</v>
      </c>
      <c r="H352" s="435" t="s">
        <v>17</v>
      </c>
      <c r="I352" s="836">
        <f t="shared" si="23"/>
        <v>3008.17</v>
      </c>
    </row>
    <row r="353" spans="1:9" s="559" customFormat="1" ht="25">
      <c r="A353" s="845"/>
      <c r="B353" s="399"/>
      <c r="C353" s="417" t="s">
        <v>1931</v>
      </c>
      <c r="D353" s="837">
        <v>6</v>
      </c>
      <c r="E353" s="435" t="s">
        <v>375</v>
      </c>
      <c r="F353" s="835">
        <f>'[161]Civil-SOR'!$G$385</f>
        <v>37</v>
      </c>
      <c r="G353" s="435"/>
      <c r="H353" s="435" t="s">
        <v>572</v>
      </c>
      <c r="I353" s="836">
        <f t="shared" si="23"/>
        <v>222</v>
      </c>
    </row>
    <row r="354" spans="1:9" s="559" customFormat="1" ht="25">
      <c r="A354" s="845"/>
      <c r="B354" s="399"/>
      <c r="C354" s="417" t="s">
        <v>1932</v>
      </c>
      <c r="D354" s="837">
        <v>2</v>
      </c>
      <c r="E354" s="435" t="s">
        <v>375</v>
      </c>
      <c r="F354" s="835">
        <f>'[161]Civil-SOR'!$G$153</f>
        <v>90</v>
      </c>
      <c r="G354" s="435"/>
      <c r="H354" s="435" t="s">
        <v>572</v>
      </c>
      <c r="I354" s="836">
        <f t="shared" si="23"/>
        <v>180</v>
      </c>
    </row>
    <row r="355" spans="1:9" s="559" customFormat="1" ht="25">
      <c r="A355" s="845"/>
      <c r="B355" s="399"/>
      <c r="C355" s="417" t="s">
        <v>1933</v>
      </c>
      <c r="D355" s="837">
        <v>6</v>
      </c>
      <c r="E355" s="435" t="s">
        <v>375</v>
      </c>
      <c r="F355" s="835">
        <f>'[161]Civil-SOR'!$G$159</f>
        <v>106</v>
      </c>
      <c r="G355" s="435"/>
      <c r="H355" s="435" t="s">
        <v>572</v>
      </c>
      <c r="I355" s="836">
        <f t="shared" si="23"/>
        <v>636</v>
      </c>
    </row>
    <row r="356" spans="1:9" s="559" customFormat="1" ht="25">
      <c r="A356" s="845"/>
      <c r="B356" s="399"/>
      <c r="C356" s="417" t="s">
        <v>1934</v>
      </c>
      <c r="D356" s="837">
        <v>1</v>
      </c>
      <c r="E356" s="435" t="s">
        <v>678</v>
      </c>
      <c r="F356" s="835">
        <f>'[161]Civil-SOR'!$G$172</f>
        <v>239</v>
      </c>
      <c r="G356" s="435"/>
      <c r="H356" s="435" t="s">
        <v>572</v>
      </c>
      <c r="I356" s="836">
        <f t="shared" si="23"/>
        <v>239</v>
      </c>
    </row>
    <row r="357" spans="1:9" s="559" customFormat="1" ht="25">
      <c r="A357" s="845"/>
      <c r="B357" s="399"/>
      <c r="C357" s="417" t="s">
        <v>1935</v>
      </c>
      <c r="D357" s="837">
        <v>2</v>
      </c>
      <c r="E357" s="435" t="s">
        <v>375</v>
      </c>
      <c r="F357" s="835">
        <f>'[161]Civil-SOR'!$G$164</f>
        <v>100</v>
      </c>
      <c r="G357" s="435"/>
      <c r="H357" s="435" t="s">
        <v>572</v>
      </c>
      <c r="I357" s="836">
        <f t="shared" si="23"/>
        <v>200</v>
      </c>
    </row>
    <row r="358" spans="1:9" s="559" customFormat="1" ht="25">
      <c r="A358" s="845"/>
      <c r="B358" s="399"/>
      <c r="C358" s="417" t="s">
        <v>1936</v>
      </c>
      <c r="D358" s="837">
        <v>2</v>
      </c>
      <c r="E358" s="435" t="s">
        <v>375</v>
      </c>
      <c r="F358" s="835">
        <f>'[161]Civil-SOR'!$G$178</f>
        <v>66</v>
      </c>
      <c r="G358" s="435"/>
      <c r="H358" s="435" t="s">
        <v>572</v>
      </c>
      <c r="I358" s="836">
        <f t="shared" si="23"/>
        <v>132</v>
      </c>
    </row>
    <row r="359" spans="1:9" s="559" customFormat="1" ht="25">
      <c r="A359" s="845"/>
      <c r="B359" s="399"/>
      <c r="C359" s="417" t="s">
        <v>1937</v>
      </c>
      <c r="D359" s="837">
        <v>2</v>
      </c>
      <c r="E359" s="435" t="s">
        <v>375</v>
      </c>
      <c r="F359" s="835">
        <f>'[161]Civil-SOR'!$G$386</f>
        <v>12</v>
      </c>
      <c r="G359" s="435"/>
      <c r="H359" s="435" t="s">
        <v>572</v>
      </c>
      <c r="I359" s="836">
        <f t="shared" si="23"/>
        <v>24</v>
      </c>
    </row>
    <row r="360" spans="1:9" s="559" customFormat="1" ht="15" customHeight="1">
      <c r="A360" s="845"/>
      <c r="B360" s="399"/>
      <c r="C360" s="417" t="s">
        <v>1905</v>
      </c>
      <c r="D360" s="834">
        <f>G346</f>
        <v>1.8839999999999999</v>
      </c>
      <c r="E360" s="435" t="s">
        <v>833</v>
      </c>
      <c r="F360" s="835">
        <f>[161]LEAD!$N$10</f>
        <v>61000</v>
      </c>
      <c r="G360" s="435">
        <v>1000</v>
      </c>
      <c r="H360" s="435" t="s">
        <v>833</v>
      </c>
      <c r="I360" s="836">
        <f t="shared" si="23"/>
        <v>114.92400000000001</v>
      </c>
    </row>
    <row r="361" spans="1:9" s="559" customFormat="1" ht="16" customHeight="1">
      <c r="A361" s="845"/>
      <c r="B361" s="399"/>
      <c r="C361" s="417" t="s">
        <v>682</v>
      </c>
      <c r="D361" s="867">
        <f>G342</f>
        <v>5.2780000000000001E-2</v>
      </c>
      <c r="E361" s="435" t="s">
        <v>666</v>
      </c>
      <c r="F361" s="835">
        <f>$I$8</f>
        <v>15027.85</v>
      </c>
      <c r="G361" s="435">
        <v>1</v>
      </c>
      <c r="H361" s="435" t="s">
        <v>666</v>
      </c>
      <c r="I361" s="836">
        <f t="shared" si="23"/>
        <v>793.16992300000004</v>
      </c>
    </row>
    <row r="362" spans="1:9" s="559" customFormat="1" ht="16" customHeight="1">
      <c r="A362" s="845"/>
      <c r="B362" s="399"/>
      <c r="C362" s="417" t="str">
        <f>[161]Input!$C$47</f>
        <v>Add for MA @ 40%</v>
      </c>
      <c r="D362" s="835">
        <f>[161]Input!$D$47</f>
        <v>0.4</v>
      </c>
      <c r="E362" s="435"/>
      <c r="F362" s="835">
        <f>I361</f>
        <v>793.16992300000004</v>
      </c>
      <c r="G362" s="435"/>
      <c r="H362" s="435"/>
      <c r="I362" s="836">
        <f t="shared" si="23"/>
        <v>317.26796920000004</v>
      </c>
    </row>
    <row r="363" spans="1:9" s="559" customFormat="1" ht="27" customHeight="1">
      <c r="A363" s="845"/>
      <c r="B363" s="399"/>
      <c r="C363" s="417" t="s">
        <v>1974</v>
      </c>
      <c r="D363" s="834">
        <f>G345</f>
        <v>2.2549999999999999</v>
      </c>
      <c r="E363" s="435" t="s">
        <v>17</v>
      </c>
      <c r="F363" s="835">
        <f>'[161]Civil-SOR'!$G$206</f>
        <v>550</v>
      </c>
      <c r="G363" s="435">
        <v>1</v>
      </c>
      <c r="H363" s="435" t="s">
        <v>17</v>
      </c>
      <c r="I363" s="836">
        <f t="shared" si="23"/>
        <v>1240.25</v>
      </c>
    </row>
    <row r="364" spans="1:9" s="559" customFormat="1" ht="16" customHeight="1">
      <c r="A364" s="845"/>
      <c r="B364" s="399"/>
      <c r="C364" s="417" t="str">
        <f>[161]Input!$C$47</f>
        <v>Add for MA @ 40%</v>
      </c>
      <c r="D364" s="835">
        <f>[161]Input!$D$47</f>
        <v>0.4</v>
      </c>
      <c r="E364" s="435"/>
      <c r="F364" s="835">
        <f>I363</f>
        <v>1240.25</v>
      </c>
      <c r="G364" s="435"/>
      <c r="H364" s="435"/>
      <c r="I364" s="836">
        <f t="shared" si="23"/>
        <v>496.1</v>
      </c>
    </row>
    <row r="365" spans="1:9" s="559" customFormat="1" ht="16" customHeight="1">
      <c r="A365" s="845"/>
      <c r="B365" s="399"/>
      <c r="C365" s="417" t="s">
        <v>1953</v>
      </c>
      <c r="D365" s="835">
        <f>G343</f>
        <v>0.6</v>
      </c>
      <c r="E365" s="435" t="s">
        <v>17</v>
      </c>
      <c r="F365" s="835">
        <f>'[161]Civil-SOR'!$G$207</f>
        <v>410</v>
      </c>
      <c r="G365" s="435">
        <v>1</v>
      </c>
      <c r="H365" s="435" t="s">
        <v>17</v>
      </c>
      <c r="I365" s="836">
        <f t="shared" si="23"/>
        <v>246</v>
      </c>
    </row>
    <row r="366" spans="1:9" s="559" customFormat="1" ht="16" customHeight="1">
      <c r="A366" s="845"/>
      <c r="B366" s="399"/>
      <c r="C366" s="417" t="str">
        <f>[161]Input!$C$47</f>
        <v>Add for MA @ 40%</v>
      </c>
      <c r="D366" s="835">
        <f>[161]Input!$D$47</f>
        <v>0.4</v>
      </c>
      <c r="E366" s="435"/>
      <c r="F366" s="835">
        <f>I365</f>
        <v>246</v>
      </c>
      <c r="G366" s="435"/>
      <c r="H366" s="435"/>
      <c r="I366" s="836">
        <f t="shared" si="23"/>
        <v>98.4</v>
      </c>
    </row>
    <row r="367" spans="1:9" s="559" customFormat="1" ht="16" customHeight="1">
      <c r="A367" s="845"/>
      <c r="B367" s="399"/>
      <c r="C367" s="417" t="s">
        <v>684</v>
      </c>
      <c r="D367" s="835"/>
      <c r="E367" s="435"/>
      <c r="F367" s="835"/>
      <c r="G367" s="435"/>
      <c r="H367" s="435"/>
      <c r="I367" s="838"/>
    </row>
    <row r="368" spans="1:9" s="559" customFormat="1" ht="16" customHeight="1">
      <c r="A368" s="845"/>
      <c r="B368" s="399"/>
      <c r="C368" s="417" t="s">
        <v>1975</v>
      </c>
      <c r="D368" s="835"/>
      <c r="E368" s="435"/>
      <c r="F368" s="835"/>
      <c r="G368" s="435"/>
      <c r="H368" s="435"/>
      <c r="I368" s="856">
        <f>SUM(I348:I367)</f>
        <v>12919.1037122</v>
      </c>
    </row>
    <row r="369" spans="1:9" s="559" customFormat="1" ht="12.75" customHeight="1">
      <c r="A369" s="845"/>
      <c r="B369" s="399"/>
      <c r="C369" s="417" t="str">
        <f>[161]Input!$C$48</f>
        <v>Overheads &amp; Contractors Profit @ 13.615%</v>
      </c>
      <c r="D369" s="857">
        <f>[161]Input!$D$48</f>
        <v>0.13614999999999999</v>
      </c>
      <c r="E369" s="435"/>
      <c r="F369" s="835">
        <f>I368</f>
        <v>12919.1037122</v>
      </c>
      <c r="G369" s="435"/>
      <c r="H369" s="435"/>
      <c r="I369" s="836">
        <f>IF(G369="",D369*F369,(D369*F369/G369))</f>
        <v>1758.9359704160299</v>
      </c>
    </row>
    <row r="370" spans="1:9" s="559" customFormat="1" ht="16" customHeight="1">
      <c r="A370" s="845"/>
      <c r="B370" s="399"/>
      <c r="C370" s="417"/>
      <c r="D370" s="835"/>
      <c r="E370" s="435"/>
      <c r="F370" s="835"/>
      <c r="G370" s="435"/>
      <c r="H370" s="435"/>
      <c r="I370" s="838">
        <f>SUM(I368:I369)</f>
        <v>14678.03968261603</v>
      </c>
    </row>
    <row r="371" spans="1:9" s="559" customFormat="1" ht="16" customHeight="1">
      <c r="A371" s="845"/>
      <c r="B371" s="399"/>
      <c r="C371" s="427" t="s">
        <v>686</v>
      </c>
      <c r="D371" s="835"/>
      <c r="E371" s="435"/>
      <c r="F371" s="835"/>
      <c r="G371" s="435"/>
      <c r="H371" s="435"/>
      <c r="I371" s="838">
        <f>I370/H336</f>
        <v>4704.4998982743682</v>
      </c>
    </row>
    <row r="372" spans="1:9" s="559" customFormat="1" ht="13.5" customHeight="1">
      <c r="A372" s="845"/>
      <c r="B372" s="399"/>
      <c r="C372" s="417"/>
      <c r="D372" s="835"/>
      <c r="E372" s="435"/>
      <c r="F372" s="835"/>
      <c r="G372" s="1313" t="s">
        <v>687</v>
      </c>
      <c r="H372" s="1313"/>
      <c r="I372" s="865">
        <f>ROUND(I371,0)</f>
        <v>4704</v>
      </c>
    </row>
    <row r="373" spans="1:9" s="559" customFormat="1" ht="14.65" customHeight="1">
      <c r="A373" s="845"/>
      <c r="B373" s="399"/>
      <c r="C373" s="417"/>
      <c r="D373" s="835"/>
      <c r="E373" s="435"/>
      <c r="F373" s="835"/>
      <c r="G373" s="435"/>
      <c r="H373" s="399"/>
      <c r="I373" s="865"/>
    </row>
    <row r="374" spans="1:9" s="559" customFormat="1" ht="93" customHeight="1">
      <c r="A374" s="845">
        <v>1</v>
      </c>
      <c r="B374" s="399"/>
      <c r="C374" s="1276" t="s">
        <v>1976</v>
      </c>
      <c r="D374" s="1276"/>
      <c r="E374" s="1276"/>
      <c r="F374" s="1276"/>
      <c r="G374" s="1276"/>
      <c r="H374" s="1276"/>
      <c r="I374" s="1276"/>
    </row>
    <row r="375" spans="1:9" s="559" customFormat="1" ht="117" customHeight="1">
      <c r="A375" s="845"/>
      <c r="B375" s="399"/>
      <c r="C375" s="1291" t="s">
        <v>1977</v>
      </c>
      <c r="D375" s="1291"/>
      <c r="E375" s="1291"/>
      <c r="F375" s="1291"/>
      <c r="G375" s="1291"/>
      <c r="H375" s="1291"/>
      <c r="I375" s="1291"/>
    </row>
    <row r="376" spans="1:9" s="559" customFormat="1" ht="16" customHeight="1">
      <c r="A376" s="845"/>
      <c r="B376" s="399"/>
      <c r="C376" s="427" t="s">
        <v>659</v>
      </c>
      <c r="D376" s="435"/>
      <c r="E376" s="435"/>
      <c r="F376" s="435"/>
      <c r="G376" s="435"/>
      <c r="H376" s="435"/>
      <c r="I376" s="845"/>
    </row>
    <row r="377" spans="1:9" s="559" customFormat="1" ht="16.899999999999999" customHeight="1">
      <c r="A377" s="845"/>
      <c r="B377" s="399"/>
      <c r="C377" s="417"/>
      <c r="D377" s="514" t="s">
        <v>661</v>
      </c>
      <c r="E377" s="1294" t="s">
        <v>1978</v>
      </c>
      <c r="F377" s="1294"/>
      <c r="G377" s="435"/>
      <c r="H377" s="855">
        <f>1*2.6</f>
        <v>2.6</v>
      </c>
      <c r="I377" s="851" t="s">
        <v>17</v>
      </c>
    </row>
    <row r="378" spans="1:9" s="559" customFormat="1" ht="13.9" customHeight="1">
      <c r="A378" s="845"/>
      <c r="B378" s="399"/>
      <c r="C378" s="427" t="s">
        <v>660</v>
      </c>
      <c r="D378" s="1354"/>
      <c r="E378" s="1354"/>
      <c r="F378" s="1354"/>
      <c r="G378" s="435"/>
      <c r="H378" s="435"/>
      <c r="I378" s="838"/>
    </row>
    <row r="379" spans="1:9" s="559" customFormat="1" ht="15" customHeight="1">
      <c r="A379" s="845"/>
      <c r="B379" s="399"/>
      <c r="C379" s="417" t="s">
        <v>663</v>
      </c>
      <c r="D379" s="1314" t="s">
        <v>1882</v>
      </c>
      <c r="E379" s="1314"/>
      <c r="F379" s="1314"/>
      <c r="G379" s="435"/>
      <c r="H379" s="435"/>
      <c r="I379" s="838"/>
    </row>
    <row r="380" spans="1:9" s="559" customFormat="1" ht="15" customHeight="1">
      <c r="A380" s="845"/>
      <c r="B380" s="399"/>
      <c r="C380" s="417"/>
      <c r="D380" s="1314" t="s">
        <v>1919</v>
      </c>
      <c r="E380" s="1314"/>
      <c r="F380" s="1314"/>
      <c r="G380" s="1356">
        <f>ROUND(5.22*0.1*0.065,5)</f>
        <v>3.3930000000000002E-2</v>
      </c>
      <c r="H380" s="1356"/>
      <c r="I380" s="449" t="s">
        <v>666</v>
      </c>
    </row>
    <row r="381" spans="1:9" s="559" customFormat="1" ht="15" customHeight="1">
      <c r="A381" s="845"/>
      <c r="B381" s="399"/>
      <c r="C381" s="417" t="s">
        <v>667</v>
      </c>
      <c r="D381" s="1314" t="s">
        <v>1979</v>
      </c>
      <c r="E381" s="1314"/>
      <c r="F381" s="1314"/>
      <c r="G381" s="1357"/>
      <c r="H381" s="1357"/>
      <c r="I381" s="449"/>
    </row>
    <row r="382" spans="1:9" s="559" customFormat="1" ht="15" customHeight="1">
      <c r="A382" s="845"/>
      <c r="B382" s="399"/>
      <c r="C382" s="417"/>
      <c r="D382" s="1314" t="s">
        <v>1980</v>
      </c>
      <c r="E382" s="1314"/>
      <c r="F382" s="1314"/>
      <c r="G382" s="1356">
        <f>ROUND(2*0.1*0.065,5)</f>
        <v>1.2999999999999999E-2</v>
      </c>
      <c r="H382" s="1356"/>
      <c r="I382" s="449" t="s">
        <v>666</v>
      </c>
    </row>
    <row r="383" spans="1:9" s="559" customFormat="1" ht="15" customHeight="1">
      <c r="A383" s="845"/>
      <c r="B383" s="399"/>
      <c r="C383" s="417"/>
      <c r="D383" s="1314"/>
      <c r="E383" s="1314"/>
      <c r="F383" s="1314"/>
      <c r="G383" s="1355">
        <f>SUM(G380:G382)</f>
        <v>4.6929999999999999E-2</v>
      </c>
      <c r="H383" s="1355"/>
      <c r="I383" s="851" t="s">
        <v>666</v>
      </c>
    </row>
    <row r="384" spans="1:9" s="559" customFormat="1" ht="15" customHeight="1">
      <c r="A384" s="845"/>
      <c r="B384" s="399"/>
      <c r="C384" s="417" t="s">
        <v>1886</v>
      </c>
      <c r="D384" s="1314" t="s">
        <v>1981</v>
      </c>
      <c r="E384" s="1314"/>
      <c r="F384" s="1314"/>
      <c r="G384" s="1352">
        <f>ROUND(1*0.5,2)</f>
        <v>0.5</v>
      </c>
      <c r="H384" s="1352"/>
      <c r="I384" s="851" t="s">
        <v>17</v>
      </c>
    </row>
    <row r="385" spans="1:9" s="559" customFormat="1" ht="15" customHeight="1">
      <c r="A385" s="845"/>
      <c r="B385" s="399"/>
      <c r="C385" s="417" t="s">
        <v>1888</v>
      </c>
      <c r="D385" s="1314" t="s">
        <v>1982</v>
      </c>
      <c r="E385" s="1314"/>
      <c r="F385" s="1314"/>
      <c r="G385" s="1352">
        <f>2*(1+0.5)</f>
        <v>3</v>
      </c>
      <c r="H385" s="1352"/>
      <c r="I385" s="851" t="s">
        <v>1052</v>
      </c>
    </row>
    <row r="386" spans="1:9" s="559" customFormat="1" ht="15" customHeight="1">
      <c r="A386" s="845"/>
      <c r="B386" s="399"/>
      <c r="C386" s="417" t="s">
        <v>1924</v>
      </c>
      <c r="D386" s="1314" t="s">
        <v>1983</v>
      </c>
      <c r="E386" s="1314"/>
      <c r="F386" s="1314"/>
      <c r="G386" s="1358">
        <f>ROUND(0.9*2.05,3)</f>
        <v>1.845</v>
      </c>
      <c r="H386" s="1358"/>
      <c r="I386" s="851" t="s">
        <v>17</v>
      </c>
    </row>
    <row r="387" spans="1:9" s="559" customFormat="1" ht="15" customHeight="1">
      <c r="A387" s="845"/>
      <c r="B387" s="399"/>
      <c r="C387" s="417" t="s">
        <v>1892</v>
      </c>
      <c r="D387" s="1359" t="s">
        <v>1984</v>
      </c>
      <c r="E387" s="1359"/>
      <c r="F387" s="1359"/>
      <c r="G387" s="1353">
        <f>ROUND(2*1*0.785,3)</f>
        <v>1.57</v>
      </c>
      <c r="H387" s="1353"/>
      <c r="I387" s="851" t="s">
        <v>833</v>
      </c>
    </row>
    <row r="388" spans="1:9" s="559" customFormat="1" ht="16" customHeight="1">
      <c r="A388" s="845"/>
      <c r="B388" s="399"/>
      <c r="C388" s="427" t="s">
        <v>672</v>
      </c>
      <c r="D388" s="835"/>
      <c r="E388" s="435"/>
      <c r="F388" s="835"/>
      <c r="G388" s="435"/>
      <c r="H388" s="435"/>
      <c r="I388" s="838"/>
    </row>
    <row r="389" spans="1:9" s="559" customFormat="1" ht="14.5" customHeight="1">
      <c r="A389" s="845"/>
      <c r="B389" s="399"/>
      <c r="C389" s="417" t="s">
        <v>1927</v>
      </c>
      <c r="D389" s="857">
        <f>G380</f>
        <v>3.3930000000000002E-2</v>
      </c>
      <c r="E389" s="435" t="s">
        <v>666</v>
      </c>
      <c r="F389" s="835">
        <f>'[161]Civil-SOR'!$G$26</f>
        <v>91479</v>
      </c>
      <c r="G389" s="435">
        <v>1</v>
      </c>
      <c r="H389" s="435" t="s">
        <v>666</v>
      </c>
      <c r="I389" s="836">
        <f t="shared" ref="I389:I407" si="25">IF(G389="",D389*F389,(D389*F389/G389))</f>
        <v>3103.88247</v>
      </c>
    </row>
    <row r="390" spans="1:9" s="559" customFormat="1" ht="14.5" customHeight="1">
      <c r="A390" s="845"/>
      <c r="B390" s="399"/>
      <c r="C390" s="417" t="s">
        <v>1928</v>
      </c>
      <c r="D390" s="853">
        <f>G382</f>
        <v>1.2999999999999999E-2</v>
      </c>
      <c r="E390" s="435" t="s">
        <v>666</v>
      </c>
      <c r="F390" s="835">
        <f>'[161]Civil-SOR'!$G$25</f>
        <v>82331</v>
      </c>
      <c r="G390" s="435">
        <v>1</v>
      </c>
      <c r="H390" s="435" t="s">
        <v>666</v>
      </c>
      <c r="I390" s="836">
        <f t="shared" si="25"/>
        <v>1070.3029999999999</v>
      </c>
    </row>
    <row r="391" spans="1:9" s="559" customFormat="1" ht="25">
      <c r="A391" s="845"/>
      <c r="B391" s="399"/>
      <c r="C391" s="417" t="s">
        <v>1894</v>
      </c>
      <c r="D391" s="835">
        <f t="shared" ref="D391:D393" si="26">G384</f>
        <v>0.5</v>
      </c>
      <c r="E391" s="435" t="s">
        <v>17</v>
      </c>
      <c r="F391" s="835">
        <f>'[161]Civil-SOR'!$G$51</f>
        <v>336</v>
      </c>
      <c r="G391" s="435">
        <v>1</v>
      </c>
      <c r="H391" s="435" t="s">
        <v>17</v>
      </c>
      <c r="I391" s="836">
        <f t="shared" si="25"/>
        <v>168</v>
      </c>
    </row>
    <row r="392" spans="1:9" s="559" customFormat="1" ht="25">
      <c r="A392" s="845"/>
      <c r="B392" s="399"/>
      <c r="C392" s="417" t="s">
        <v>1895</v>
      </c>
      <c r="D392" s="835">
        <f t="shared" si="26"/>
        <v>3</v>
      </c>
      <c r="E392" s="435" t="s">
        <v>1052</v>
      </c>
      <c r="F392" s="835">
        <f>'[161]Civil-SOR'!$G$382</f>
        <v>26</v>
      </c>
      <c r="G392" s="435">
        <v>1</v>
      </c>
      <c r="H392" s="435" t="s">
        <v>1929</v>
      </c>
      <c r="I392" s="836">
        <f t="shared" si="25"/>
        <v>78</v>
      </c>
    </row>
    <row r="393" spans="1:9" s="559" customFormat="1" ht="25">
      <c r="A393" s="845"/>
      <c r="B393" s="399"/>
      <c r="C393" s="417" t="s">
        <v>1930</v>
      </c>
      <c r="D393" s="834">
        <f t="shared" si="26"/>
        <v>1.845</v>
      </c>
      <c r="E393" s="435" t="s">
        <v>17</v>
      </c>
      <c r="F393" s="835">
        <f>'[161]Civil-SOR'!$G$114</f>
        <v>1334</v>
      </c>
      <c r="G393" s="435">
        <v>1</v>
      </c>
      <c r="H393" s="435" t="s">
        <v>17</v>
      </c>
      <c r="I393" s="836">
        <f t="shared" si="25"/>
        <v>2461.23</v>
      </c>
    </row>
    <row r="394" spans="1:9" s="559" customFormat="1" ht="25">
      <c r="A394" s="845"/>
      <c r="B394" s="399"/>
      <c r="C394" s="417" t="s">
        <v>1931</v>
      </c>
      <c r="D394" s="837">
        <v>6</v>
      </c>
      <c r="E394" s="435" t="s">
        <v>375</v>
      </c>
      <c r="F394" s="835">
        <f>'[161]Civil-SOR'!$G$385</f>
        <v>37</v>
      </c>
      <c r="G394" s="435"/>
      <c r="H394" s="435" t="s">
        <v>572</v>
      </c>
      <c r="I394" s="836">
        <f t="shared" si="25"/>
        <v>222</v>
      </c>
    </row>
    <row r="395" spans="1:9" s="559" customFormat="1" ht="25">
      <c r="A395" s="845"/>
      <c r="B395" s="399"/>
      <c r="C395" s="417" t="s">
        <v>1932</v>
      </c>
      <c r="D395" s="837">
        <v>1</v>
      </c>
      <c r="E395" s="435" t="s">
        <v>678</v>
      </c>
      <c r="F395" s="835">
        <f>'[161]Civil-SOR'!$G$153</f>
        <v>90</v>
      </c>
      <c r="G395" s="435"/>
      <c r="H395" s="435" t="s">
        <v>572</v>
      </c>
      <c r="I395" s="836">
        <f t="shared" si="25"/>
        <v>90</v>
      </c>
    </row>
    <row r="396" spans="1:9" s="559" customFormat="1" ht="25">
      <c r="A396" s="845"/>
      <c r="B396" s="399"/>
      <c r="C396" s="417" t="s">
        <v>1933</v>
      </c>
      <c r="D396" s="837">
        <v>3</v>
      </c>
      <c r="E396" s="435" t="s">
        <v>375</v>
      </c>
      <c r="F396" s="835">
        <f>'[161]Civil-SOR'!$G$159</f>
        <v>106</v>
      </c>
      <c r="G396" s="435"/>
      <c r="H396" s="435" t="s">
        <v>572</v>
      </c>
      <c r="I396" s="836">
        <f t="shared" si="25"/>
        <v>318</v>
      </c>
    </row>
    <row r="397" spans="1:9" s="559" customFormat="1" ht="25">
      <c r="A397" s="845"/>
      <c r="B397" s="399"/>
      <c r="C397" s="417" t="s">
        <v>1934</v>
      </c>
      <c r="D397" s="837">
        <v>1</v>
      </c>
      <c r="E397" s="435" t="s">
        <v>678</v>
      </c>
      <c r="F397" s="835">
        <f>'[161]Civil-SOR'!$G$172</f>
        <v>239</v>
      </c>
      <c r="G397" s="435"/>
      <c r="H397" s="435" t="s">
        <v>572</v>
      </c>
      <c r="I397" s="836">
        <f t="shared" si="25"/>
        <v>239</v>
      </c>
    </row>
    <row r="398" spans="1:9" s="559" customFormat="1" ht="25">
      <c r="A398" s="845"/>
      <c r="B398" s="399"/>
      <c r="C398" s="417" t="s">
        <v>1935</v>
      </c>
      <c r="D398" s="837">
        <v>2</v>
      </c>
      <c r="E398" s="435" t="s">
        <v>375</v>
      </c>
      <c r="F398" s="835">
        <f>'[161]Civil-SOR'!$G$164</f>
        <v>100</v>
      </c>
      <c r="G398" s="435"/>
      <c r="H398" s="435" t="s">
        <v>572</v>
      </c>
      <c r="I398" s="836">
        <f t="shared" si="25"/>
        <v>200</v>
      </c>
    </row>
    <row r="399" spans="1:9" s="559" customFormat="1" ht="25">
      <c r="A399" s="845"/>
      <c r="B399" s="399"/>
      <c r="C399" s="417" t="s">
        <v>1936</v>
      </c>
      <c r="D399" s="837">
        <v>1</v>
      </c>
      <c r="E399" s="435" t="s">
        <v>678</v>
      </c>
      <c r="F399" s="835">
        <f>'[161]Civil-SOR'!$G$178</f>
        <v>66</v>
      </c>
      <c r="G399" s="435"/>
      <c r="H399" s="435" t="s">
        <v>572</v>
      </c>
      <c r="I399" s="836">
        <f t="shared" si="25"/>
        <v>66</v>
      </c>
    </row>
    <row r="400" spans="1:9" s="559" customFormat="1" ht="25">
      <c r="A400" s="845"/>
      <c r="B400" s="399"/>
      <c r="C400" s="417" t="s">
        <v>1937</v>
      </c>
      <c r="D400" s="837">
        <v>1</v>
      </c>
      <c r="E400" s="435" t="s">
        <v>678</v>
      </c>
      <c r="F400" s="835">
        <f>'[161]Civil-SOR'!$G$386</f>
        <v>12</v>
      </c>
      <c r="G400" s="435"/>
      <c r="H400" s="435" t="s">
        <v>572</v>
      </c>
      <c r="I400" s="836">
        <f t="shared" si="25"/>
        <v>12</v>
      </c>
    </row>
    <row r="401" spans="1:9" s="559" customFormat="1">
      <c r="A401" s="845"/>
      <c r="B401" s="399"/>
      <c r="C401" s="417" t="s">
        <v>1905</v>
      </c>
      <c r="D401" s="835">
        <f>G387</f>
        <v>1.57</v>
      </c>
      <c r="E401" s="435" t="s">
        <v>833</v>
      </c>
      <c r="F401" s="835">
        <f>[161]LEAD!$N$10</f>
        <v>61000</v>
      </c>
      <c r="G401" s="435">
        <v>1000</v>
      </c>
      <c r="H401" s="435" t="s">
        <v>833</v>
      </c>
      <c r="I401" s="836">
        <f t="shared" si="25"/>
        <v>95.77</v>
      </c>
    </row>
    <row r="402" spans="1:9" s="559" customFormat="1">
      <c r="A402" s="845"/>
      <c r="B402" s="399"/>
      <c r="C402" s="417" t="s">
        <v>682</v>
      </c>
      <c r="D402" s="867">
        <f>G383</f>
        <v>4.6929999999999999E-2</v>
      </c>
      <c r="E402" s="435" t="s">
        <v>666</v>
      </c>
      <c r="F402" s="835">
        <f>$I$8</f>
        <v>15027.85</v>
      </c>
      <c r="G402" s="435">
        <v>1</v>
      </c>
      <c r="H402" s="435" t="s">
        <v>666</v>
      </c>
      <c r="I402" s="836">
        <f t="shared" si="25"/>
        <v>705.2570005</v>
      </c>
    </row>
    <row r="403" spans="1:9" s="559" customFormat="1">
      <c r="A403" s="845"/>
      <c r="B403" s="399"/>
      <c r="C403" s="417" t="str">
        <f>[161]Input!$C$47</f>
        <v>Add for MA @ 40%</v>
      </c>
      <c r="D403" s="835">
        <f>[161]Input!$D$47</f>
        <v>0.4</v>
      </c>
      <c r="E403" s="435"/>
      <c r="F403" s="835">
        <f>I402</f>
        <v>705.2570005</v>
      </c>
      <c r="G403" s="435"/>
      <c r="H403" s="435"/>
      <c r="I403" s="836">
        <f t="shared" si="25"/>
        <v>282.10280019999999</v>
      </c>
    </row>
    <row r="404" spans="1:9" s="559" customFormat="1" ht="37.5">
      <c r="A404" s="845"/>
      <c r="B404" s="399"/>
      <c r="C404" s="417" t="s">
        <v>1974</v>
      </c>
      <c r="D404" s="834">
        <f>G386</f>
        <v>1.845</v>
      </c>
      <c r="E404" s="435" t="s">
        <v>17</v>
      </c>
      <c r="F404" s="835">
        <f>'[161]Civil-SOR'!$G$206</f>
        <v>550</v>
      </c>
      <c r="G404" s="435">
        <v>1</v>
      </c>
      <c r="H404" s="435" t="s">
        <v>17</v>
      </c>
      <c r="I404" s="836">
        <f t="shared" si="25"/>
        <v>1014.75</v>
      </c>
    </row>
    <row r="405" spans="1:9" s="559" customFormat="1" ht="16.149999999999999" customHeight="1">
      <c r="A405" s="845"/>
      <c r="B405" s="399"/>
      <c r="C405" s="417" t="str">
        <f>[161]Input!$C$47</f>
        <v>Add for MA @ 40%</v>
      </c>
      <c r="D405" s="835">
        <f>[161]Input!$D$47</f>
        <v>0.4</v>
      </c>
      <c r="E405" s="435"/>
      <c r="F405" s="835">
        <f>I404</f>
        <v>1014.75</v>
      </c>
      <c r="G405" s="435"/>
      <c r="H405" s="435"/>
      <c r="I405" s="836">
        <f t="shared" si="25"/>
        <v>405.90000000000003</v>
      </c>
    </row>
    <row r="406" spans="1:9" s="559" customFormat="1" ht="16.149999999999999" customHeight="1">
      <c r="A406" s="845"/>
      <c r="B406" s="399"/>
      <c r="C406" s="417" t="s">
        <v>1953</v>
      </c>
      <c r="D406" s="835">
        <f>G384</f>
        <v>0.5</v>
      </c>
      <c r="E406" s="435" t="s">
        <v>17</v>
      </c>
      <c r="F406" s="835">
        <f>'[161]Civil-SOR'!$G$207</f>
        <v>410</v>
      </c>
      <c r="G406" s="435">
        <v>1</v>
      </c>
      <c r="H406" s="435" t="s">
        <v>17</v>
      </c>
      <c r="I406" s="836">
        <f t="shared" si="25"/>
        <v>205</v>
      </c>
    </row>
    <row r="407" spans="1:9" s="559" customFormat="1" ht="16.149999999999999" customHeight="1">
      <c r="A407" s="845"/>
      <c r="B407" s="399"/>
      <c r="C407" s="417" t="str">
        <f>[161]Input!$C$47</f>
        <v>Add for MA @ 40%</v>
      </c>
      <c r="D407" s="835">
        <f>[161]Input!$D$47</f>
        <v>0.4</v>
      </c>
      <c r="E407" s="435"/>
      <c r="F407" s="835">
        <f>I406</f>
        <v>205</v>
      </c>
      <c r="G407" s="435"/>
      <c r="H407" s="435"/>
      <c r="I407" s="836">
        <f t="shared" si="25"/>
        <v>82</v>
      </c>
    </row>
    <row r="408" spans="1:9" s="559" customFormat="1" ht="13.15" customHeight="1">
      <c r="A408" s="845"/>
      <c r="B408" s="399"/>
      <c r="C408" s="417" t="s">
        <v>684</v>
      </c>
      <c r="D408" s="835"/>
      <c r="E408" s="435"/>
      <c r="F408" s="835"/>
      <c r="G408" s="435"/>
      <c r="H408" s="435"/>
      <c r="I408" s="838"/>
    </row>
    <row r="409" spans="1:9" s="559" customFormat="1" ht="16.149999999999999" customHeight="1">
      <c r="A409" s="845"/>
      <c r="B409" s="399"/>
      <c r="C409" s="427" t="s">
        <v>1985</v>
      </c>
      <c r="D409" s="835"/>
      <c r="E409" s="435"/>
      <c r="F409" s="835"/>
      <c r="G409" s="435"/>
      <c r="H409" s="435"/>
      <c r="I409" s="838">
        <f>SUM(I389:I408)</f>
        <v>10819.1952707</v>
      </c>
    </row>
    <row r="410" spans="1:9" s="559" customFormat="1" ht="16.149999999999999" customHeight="1">
      <c r="A410" s="845" t="s">
        <v>433</v>
      </c>
      <c r="B410" s="399"/>
      <c r="C410" s="417" t="str">
        <f>[161]Input!$C$48</f>
        <v>Overheads &amp; Contractors Profit @ 13.615%</v>
      </c>
      <c r="D410" s="857">
        <f>[161]Input!$D$48</f>
        <v>0.13614999999999999</v>
      </c>
      <c r="E410" s="435"/>
      <c r="F410" s="835">
        <f>I409</f>
        <v>10819.1952707</v>
      </c>
      <c r="G410" s="435"/>
      <c r="H410" s="435"/>
      <c r="I410" s="836">
        <f>IF(G410="",D410*F410,(D410*F410/G410))</f>
        <v>1473.0334361058049</v>
      </c>
    </row>
    <row r="411" spans="1:9" s="559" customFormat="1" ht="16" customHeight="1">
      <c r="A411" s="845"/>
      <c r="B411" s="399"/>
      <c r="C411" s="417"/>
      <c r="D411" s="835"/>
      <c r="E411" s="435"/>
      <c r="F411" s="835"/>
      <c r="G411" s="435"/>
      <c r="H411" s="435"/>
      <c r="I411" s="838">
        <f>SUM(I409:I410)</f>
        <v>12292.228706805805</v>
      </c>
    </row>
    <row r="412" spans="1:9" s="559" customFormat="1" ht="16" customHeight="1">
      <c r="A412" s="845"/>
      <c r="B412" s="399"/>
      <c r="C412" s="427" t="s">
        <v>686</v>
      </c>
      <c r="D412" s="835"/>
      <c r="E412" s="435"/>
      <c r="F412" s="835"/>
      <c r="G412" s="435"/>
      <c r="H412" s="435"/>
      <c r="I412" s="838">
        <f>I411/H377</f>
        <v>4727.7802718483863</v>
      </c>
    </row>
    <row r="413" spans="1:9" s="559" customFormat="1" ht="13.5" customHeight="1">
      <c r="A413" s="845"/>
      <c r="B413" s="399"/>
      <c r="C413" s="417"/>
      <c r="D413" s="835"/>
      <c r="E413" s="435"/>
      <c r="F413" s="835"/>
      <c r="G413" s="1313" t="s">
        <v>687</v>
      </c>
      <c r="H413" s="1313"/>
      <c r="I413" s="865">
        <f>ROUND(I412,0)</f>
        <v>4728</v>
      </c>
    </row>
    <row r="414" spans="1:9" s="559" customFormat="1" ht="14.65" customHeight="1">
      <c r="A414" s="845"/>
      <c r="B414" s="399"/>
      <c r="C414" s="417"/>
      <c r="D414" s="835"/>
      <c r="E414" s="435"/>
      <c r="F414" s="835"/>
      <c r="G414" s="435"/>
      <c r="H414" s="435"/>
      <c r="I414" s="865"/>
    </row>
    <row r="415" spans="1:9" s="559" customFormat="1" ht="101.5" customHeight="1">
      <c r="A415" s="1350">
        <f>A374+1</f>
        <v>2</v>
      </c>
      <c r="B415" s="1350"/>
      <c r="C415" s="1276" t="s">
        <v>1986</v>
      </c>
      <c r="D415" s="1276"/>
      <c r="E415" s="1276"/>
      <c r="F415" s="1276"/>
      <c r="G415" s="1276"/>
      <c r="H415" s="1276"/>
      <c r="I415" s="427"/>
    </row>
    <row r="416" spans="1:9" s="559" customFormat="1" ht="96.65" customHeight="1">
      <c r="A416" s="845"/>
      <c r="B416" s="399"/>
      <c r="C416" s="1291" t="s">
        <v>1987</v>
      </c>
      <c r="D416" s="1291"/>
      <c r="E416" s="1291"/>
      <c r="F416" s="1291"/>
      <c r="G416" s="1291"/>
      <c r="H416" s="1291"/>
      <c r="I416" s="427"/>
    </row>
    <row r="417" spans="1:9" s="559" customFormat="1" ht="16" customHeight="1">
      <c r="A417" s="845"/>
      <c r="B417" s="399"/>
      <c r="C417" s="427" t="s">
        <v>659</v>
      </c>
      <c r="D417" s="435"/>
      <c r="E417" s="435"/>
      <c r="F417" s="435"/>
      <c r="G417" s="435"/>
      <c r="H417" s="435"/>
      <c r="I417" s="845"/>
    </row>
    <row r="418" spans="1:9" s="559" customFormat="1" ht="15.65" customHeight="1">
      <c r="A418" s="845"/>
      <c r="B418" s="399"/>
      <c r="C418" s="417"/>
      <c r="D418" s="514" t="s">
        <v>661</v>
      </c>
      <c r="E418" s="1294" t="s">
        <v>1988</v>
      </c>
      <c r="F418" s="1294"/>
      <c r="G418" s="1352">
        <f>0.9*2.6</f>
        <v>2.3400000000000003</v>
      </c>
      <c r="H418" s="1352"/>
      <c r="I418" s="851" t="s">
        <v>17</v>
      </c>
    </row>
    <row r="419" spans="1:9" s="559" customFormat="1" ht="13.9" customHeight="1">
      <c r="A419" s="845"/>
      <c r="B419" s="399"/>
      <c r="C419" s="427" t="s">
        <v>660</v>
      </c>
      <c r="D419" s="1354"/>
      <c r="E419" s="1354"/>
      <c r="F419" s="1354"/>
      <c r="G419" s="1350"/>
      <c r="H419" s="1350"/>
      <c r="I419" s="449"/>
    </row>
    <row r="420" spans="1:9" s="559" customFormat="1" ht="13.9" customHeight="1">
      <c r="A420" s="845"/>
      <c r="B420" s="399"/>
      <c r="C420" s="417" t="s">
        <v>663</v>
      </c>
      <c r="D420" s="1314" t="s">
        <v>1882</v>
      </c>
      <c r="E420" s="1314"/>
      <c r="F420" s="1314"/>
      <c r="G420" s="1350"/>
      <c r="H420" s="1350"/>
      <c r="I420" s="449"/>
    </row>
    <row r="421" spans="1:9" s="559" customFormat="1" ht="14.5" customHeight="1">
      <c r="A421" s="845"/>
      <c r="B421" s="399"/>
      <c r="C421" s="417"/>
      <c r="D421" s="1314" t="s">
        <v>1942</v>
      </c>
      <c r="E421" s="1314"/>
      <c r="F421" s="1314"/>
      <c r="G421" s="1356">
        <f>ROUND(5.22*0.1*0.065,5)</f>
        <v>3.3930000000000002E-2</v>
      </c>
      <c r="H421" s="1356"/>
      <c r="I421" s="449" t="s">
        <v>666</v>
      </c>
    </row>
    <row r="422" spans="1:9" s="559" customFormat="1" ht="13.9" customHeight="1">
      <c r="A422" s="845"/>
      <c r="B422" s="399"/>
      <c r="C422" s="417" t="s">
        <v>667</v>
      </c>
      <c r="D422" s="1314" t="s">
        <v>1989</v>
      </c>
      <c r="E422" s="1314"/>
      <c r="F422" s="1314"/>
      <c r="G422" s="1357"/>
      <c r="H422" s="1357"/>
      <c r="I422" s="449"/>
    </row>
    <row r="423" spans="1:9" s="559" customFormat="1" ht="15.65" customHeight="1">
      <c r="A423" s="845"/>
      <c r="B423" s="399"/>
      <c r="C423" s="417"/>
      <c r="D423" s="1314" t="s">
        <v>1990</v>
      </c>
      <c r="E423" s="1314"/>
      <c r="F423" s="1314"/>
      <c r="G423" s="1356">
        <f>ROUND(1.8*0.1*0.065,5)</f>
        <v>1.17E-2</v>
      </c>
      <c r="H423" s="1356"/>
      <c r="I423" s="449" t="s">
        <v>666</v>
      </c>
    </row>
    <row r="424" spans="1:9" s="559" customFormat="1" ht="13.9" customHeight="1">
      <c r="A424" s="845"/>
      <c r="B424" s="399"/>
      <c r="C424" s="417"/>
      <c r="D424" s="449"/>
      <c r="E424" s="445"/>
      <c r="F424" s="449"/>
      <c r="G424" s="1355">
        <f>SUM(G421:G423)</f>
        <v>4.5630000000000004E-2</v>
      </c>
      <c r="H424" s="1355"/>
      <c r="I424" s="851" t="s">
        <v>666</v>
      </c>
    </row>
    <row r="425" spans="1:9" s="559" customFormat="1" ht="16.149999999999999" customHeight="1">
      <c r="A425" s="845"/>
      <c r="B425" s="399"/>
      <c r="C425" s="417" t="s">
        <v>1886</v>
      </c>
      <c r="D425" s="1314" t="s">
        <v>1991</v>
      </c>
      <c r="E425" s="1314"/>
      <c r="F425" s="1314"/>
      <c r="G425" s="1352">
        <f>ROUND(0.9*0.5,2)</f>
        <v>0.45</v>
      </c>
      <c r="H425" s="1352"/>
      <c r="I425" s="851" t="s">
        <v>17</v>
      </c>
    </row>
    <row r="426" spans="1:9" s="559" customFormat="1" ht="17.5" customHeight="1">
      <c r="A426" s="845"/>
      <c r="B426" s="399"/>
      <c r="C426" s="417" t="s">
        <v>1888</v>
      </c>
      <c r="D426" s="1314" t="s">
        <v>1992</v>
      </c>
      <c r="E426" s="1314"/>
      <c r="F426" s="1314"/>
      <c r="G426" s="1352">
        <f>2*(0.9+0.5)</f>
        <v>2.8</v>
      </c>
      <c r="H426" s="1352"/>
      <c r="I426" s="851" t="s">
        <v>1052</v>
      </c>
    </row>
    <row r="427" spans="1:9" s="559" customFormat="1" ht="17.5" customHeight="1">
      <c r="A427" s="845"/>
      <c r="B427" s="399"/>
      <c r="C427" s="417" t="s">
        <v>1924</v>
      </c>
      <c r="D427" s="1314" t="s">
        <v>1993</v>
      </c>
      <c r="E427" s="1314"/>
      <c r="F427" s="1314"/>
      <c r="G427" s="1358">
        <f>ROUND(0.8*2.05,3)</f>
        <v>1.64</v>
      </c>
      <c r="H427" s="1358"/>
      <c r="I427" s="851" t="s">
        <v>17</v>
      </c>
    </row>
    <row r="428" spans="1:9" s="559" customFormat="1" ht="17.5" customHeight="1">
      <c r="A428" s="845"/>
      <c r="B428" s="399"/>
      <c r="C428" s="417" t="s">
        <v>1892</v>
      </c>
      <c r="D428" s="1359" t="s">
        <v>1994</v>
      </c>
      <c r="E428" s="1359"/>
      <c r="F428" s="1359"/>
      <c r="G428" s="1353">
        <f>ROUND(2*0.9*0.785,3)</f>
        <v>1.413</v>
      </c>
      <c r="H428" s="1353"/>
      <c r="I428" s="851" t="s">
        <v>833</v>
      </c>
    </row>
    <row r="429" spans="1:9" s="559" customFormat="1" ht="16" customHeight="1">
      <c r="A429" s="845"/>
      <c r="B429" s="399"/>
      <c r="C429" s="427" t="s">
        <v>672</v>
      </c>
      <c r="D429" s="835"/>
      <c r="E429" s="435"/>
      <c r="F429" s="835"/>
      <c r="G429" s="435"/>
      <c r="H429" s="435"/>
      <c r="I429" s="838"/>
    </row>
    <row r="430" spans="1:9" s="559" customFormat="1" ht="12.75" customHeight="1">
      <c r="A430" s="845"/>
      <c r="B430" s="399"/>
      <c r="C430" s="417" t="s">
        <v>1927</v>
      </c>
      <c r="D430" s="857">
        <f>G421</f>
        <v>3.3930000000000002E-2</v>
      </c>
      <c r="E430" s="435" t="s">
        <v>666</v>
      </c>
      <c r="F430" s="835">
        <f>'[161]Civil-SOR'!$G$26</f>
        <v>91479</v>
      </c>
      <c r="G430" s="435">
        <v>1</v>
      </c>
      <c r="H430" s="435" t="s">
        <v>666</v>
      </c>
      <c r="I430" s="836">
        <f t="shared" ref="I430:I448" si="27">IF(G430="",D430*F430,(D430*F430/G430))</f>
        <v>3103.88247</v>
      </c>
    </row>
    <row r="431" spans="1:9" s="559" customFormat="1" ht="12.75" customHeight="1">
      <c r="A431" s="845"/>
      <c r="B431" s="399"/>
      <c r="C431" s="417" t="s">
        <v>1928</v>
      </c>
      <c r="D431" s="853">
        <f>G423</f>
        <v>1.17E-2</v>
      </c>
      <c r="E431" s="435" t="s">
        <v>666</v>
      </c>
      <c r="F431" s="835">
        <f>'[161]Civil-SOR'!$G$25</f>
        <v>82331</v>
      </c>
      <c r="G431" s="435">
        <v>1</v>
      </c>
      <c r="H431" s="435" t="s">
        <v>666</v>
      </c>
      <c r="I431" s="836">
        <f t="shared" si="27"/>
        <v>963.27269999999999</v>
      </c>
    </row>
    <row r="432" spans="1:9" s="559" customFormat="1" ht="14.5" customHeight="1">
      <c r="A432" s="845"/>
      <c r="B432" s="399"/>
      <c r="C432" s="417" t="s">
        <v>1894</v>
      </c>
      <c r="D432" s="835">
        <f t="shared" ref="D432:D434" si="28">G425</f>
        <v>0.45</v>
      </c>
      <c r="E432" s="435" t="s">
        <v>17</v>
      </c>
      <c r="F432" s="835">
        <f>'[161]Civil-SOR'!$G$51</f>
        <v>336</v>
      </c>
      <c r="G432" s="435">
        <v>1</v>
      </c>
      <c r="H432" s="435" t="s">
        <v>17</v>
      </c>
      <c r="I432" s="836">
        <f t="shared" si="27"/>
        <v>151.20000000000002</v>
      </c>
    </row>
    <row r="433" spans="1:9" s="559" customFormat="1" ht="14.5" customHeight="1">
      <c r="A433" s="845"/>
      <c r="B433" s="399"/>
      <c r="C433" s="417" t="s">
        <v>1895</v>
      </c>
      <c r="D433" s="835">
        <f t="shared" si="28"/>
        <v>2.8</v>
      </c>
      <c r="E433" s="435" t="s">
        <v>1052</v>
      </c>
      <c r="F433" s="835">
        <f>'[161]Civil-SOR'!$G$382</f>
        <v>26</v>
      </c>
      <c r="G433" s="435">
        <v>1</v>
      </c>
      <c r="H433" s="435" t="s">
        <v>1929</v>
      </c>
      <c r="I433" s="836">
        <f t="shared" si="27"/>
        <v>72.8</v>
      </c>
    </row>
    <row r="434" spans="1:9" s="559" customFormat="1" ht="14.5" customHeight="1">
      <c r="A434" s="845"/>
      <c r="B434" s="399"/>
      <c r="C434" s="417" t="s">
        <v>1930</v>
      </c>
      <c r="D434" s="834">
        <f t="shared" si="28"/>
        <v>1.64</v>
      </c>
      <c r="E434" s="435" t="s">
        <v>17</v>
      </c>
      <c r="F434" s="835">
        <f>'[161]Civil-SOR'!$G$114</f>
        <v>1334</v>
      </c>
      <c r="G434" s="435">
        <v>1</v>
      </c>
      <c r="H434" s="435" t="s">
        <v>17</v>
      </c>
      <c r="I434" s="836">
        <f t="shared" si="27"/>
        <v>2187.7599999999998</v>
      </c>
    </row>
    <row r="435" spans="1:9" s="559" customFormat="1" ht="14.5" customHeight="1">
      <c r="A435" s="845"/>
      <c r="B435" s="399"/>
      <c r="C435" s="417" t="s">
        <v>1931</v>
      </c>
      <c r="D435" s="837">
        <v>6</v>
      </c>
      <c r="E435" s="435" t="s">
        <v>375</v>
      </c>
      <c r="F435" s="835">
        <f>'[161]Civil-SOR'!$G$385</f>
        <v>37</v>
      </c>
      <c r="G435" s="435"/>
      <c r="H435" s="435" t="s">
        <v>572</v>
      </c>
      <c r="I435" s="836">
        <f t="shared" si="27"/>
        <v>222</v>
      </c>
    </row>
    <row r="436" spans="1:9" s="559" customFormat="1" ht="14.5" customHeight="1">
      <c r="A436" s="845"/>
      <c r="B436" s="399"/>
      <c r="C436" s="417" t="s">
        <v>1932</v>
      </c>
      <c r="D436" s="837">
        <v>1</v>
      </c>
      <c r="E436" s="435" t="s">
        <v>678</v>
      </c>
      <c r="F436" s="835">
        <f>'[161]Civil-SOR'!$G$153</f>
        <v>90</v>
      </c>
      <c r="G436" s="435"/>
      <c r="H436" s="435" t="s">
        <v>572</v>
      </c>
      <c r="I436" s="836">
        <f t="shared" si="27"/>
        <v>90</v>
      </c>
    </row>
    <row r="437" spans="1:9" s="559" customFormat="1" ht="14.5" customHeight="1">
      <c r="A437" s="845"/>
      <c r="B437" s="399"/>
      <c r="C437" s="417" t="s">
        <v>1933</v>
      </c>
      <c r="D437" s="837">
        <v>3</v>
      </c>
      <c r="E437" s="435" t="s">
        <v>375</v>
      </c>
      <c r="F437" s="835">
        <f>'[161]Civil-SOR'!$G$159</f>
        <v>106</v>
      </c>
      <c r="G437" s="435"/>
      <c r="H437" s="435" t="s">
        <v>572</v>
      </c>
      <c r="I437" s="836">
        <f t="shared" si="27"/>
        <v>318</v>
      </c>
    </row>
    <row r="438" spans="1:9" s="559" customFormat="1" ht="14.5" customHeight="1">
      <c r="A438" s="845"/>
      <c r="B438" s="399"/>
      <c r="C438" s="417" t="s">
        <v>1934</v>
      </c>
      <c r="D438" s="837">
        <v>1</v>
      </c>
      <c r="E438" s="435" t="s">
        <v>678</v>
      </c>
      <c r="F438" s="835">
        <f>'[161]Civil-SOR'!$G$172</f>
        <v>239</v>
      </c>
      <c r="G438" s="435"/>
      <c r="H438" s="435" t="s">
        <v>572</v>
      </c>
      <c r="I438" s="836">
        <f t="shared" si="27"/>
        <v>239</v>
      </c>
    </row>
    <row r="439" spans="1:9" s="559" customFormat="1" ht="14.5" customHeight="1">
      <c r="A439" s="845"/>
      <c r="B439" s="399"/>
      <c r="C439" s="417" t="s">
        <v>1935</v>
      </c>
      <c r="D439" s="837">
        <v>2</v>
      </c>
      <c r="E439" s="435" t="s">
        <v>375</v>
      </c>
      <c r="F439" s="835">
        <f>'[161]Civil-SOR'!$G$164</f>
        <v>100</v>
      </c>
      <c r="G439" s="435"/>
      <c r="H439" s="435" t="s">
        <v>572</v>
      </c>
      <c r="I439" s="836">
        <f t="shared" si="27"/>
        <v>200</v>
      </c>
    </row>
    <row r="440" spans="1:9" s="559" customFormat="1" ht="14.5" customHeight="1">
      <c r="A440" s="845"/>
      <c r="B440" s="399"/>
      <c r="C440" s="417" t="s">
        <v>1936</v>
      </c>
      <c r="D440" s="837">
        <v>1</v>
      </c>
      <c r="E440" s="435" t="s">
        <v>678</v>
      </c>
      <c r="F440" s="835">
        <f>'[161]Civil-SOR'!$G$178</f>
        <v>66</v>
      </c>
      <c r="G440" s="435"/>
      <c r="H440" s="435" t="s">
        <v>572</v>
      </c>
      <c r="I440" s="836">
        <f t="shared" si="27"/>
        <v>66</v>
      </c>
    </row>
    <row r="441" spans="1:9" s="559" customFormat="1" ht="14.5" customHeight="1">
      <c r="A441" s="845"/>
      <c r="B441" s="399"/>
      <c r="C441" s="417" t="s">
        <v>1937</v>
      </c>
      <c r="D441" s="837">
        <v>1</v>
      </c>
      <c r="E441" s="435" t="s">
        <v>678</v>
      </c>
      <c r="F441" s="868">
        <f>'[161]Civil-SOR'!$G$386</f>
        <v>12</v>
      </c>
      <c r="G441" s="435"/>
      <c r="H441" s="435" t="s">
        <v>572</v>
      </c>
      <c r="I441" s="836">
        <f t="shared" si="27"/>
        <v>12</v>
      </c>
    </row>
    <row r="442" spans="1:9" s="559" customFormat="1" ht="13.15" customHeight="1">
      <c r="A442" s="845"/>
      <c r="B442" s="399"/>
      <c r="C442" s="417" t="s">
        <v>1905</v>
      </c>
      <c r="D442" s="834">
        <f>G428</f>
        <v>1.413</v>
      </c>
      <c r="E442" s="435" t="s">
        <v>833</v>
      </c>
      <c r="F442" s="835">
        <f>[161]LEAD!$N$10</f>
        <v>61000</v>
      </c>
      <c r="G442" s="435">
        <v>1000</v>
      </c>
      <c r="H442" s="435" t="s">
        <v>833</v>
      </c>
      <c r="I442" s="836">
        <f t="shared" si="27"/>
        <v>86.192999999999998</v>
      </c>
    </row>
    <row r="443" spans="1:9" s="559" customFormat="1" ht="13.15" customHeight="1">
      <c r="A443" s="845"/>
      <c r="B443" s="399"/>
      <c r="C443" s="417" t="s">
        <v>682</v>
      </c>
      <c r="D443" s="867">
        <f>G424</f>
        <v>4.5630000000000004E-2</v>
      </c>
      <c r="E443" s="435" t="s">
        <v>666</v>
      </c>
      <c r="F443" s="835">
        <f>$I$8</f>
        <v>15027.85</v>
      </c>
      <c r="G443" s="435">
        <v>1</v>
      </c>
      <c r="H443" s="435" t="s">
        <v>666</v>
      </c>
      <c r="I443" s="836">
        <f t="shared" si="27"/>
        <v>685.72079550000012</v>
      </c>
    </row>
    <row r="444" spans="1:9" s="559" customFormat="1" ht="13.15" customHeight="1">
      <c r="A444" s="845"/>
      <c r="B444" s="399"/>
      <c r="C444" s="417" t="str">
        <f>[161]Input!$C$47</f>
        <v>Add for MA @ 40%</v>
      </c>
      <c r="D444" s="835">
        <f>[161]Input!$D$47</f>
        <v>0.4</v>
      </c>
      <c r="E444" s="435"/>
      <c r="F444" s="835">
        <f>I443</f>
        <v>685.72079550000012</v>
      </c>
      <c r="G444" s="435"/>
      <c r="H444" s="435"/>
      <c r="I444" s="836">
        <f t="shared" si="27"/>
        <v>274.28831820000005</v>
      </c>
    </row>
    <row r="445" spans="1:9" s="559" customFormat="1" ht="25.5" customHeight="1">
      <c r="A445" s="845"/>
      <c r="B445" s="399"/>
      <c r="C445" s="417" t="s">
        <v>1974</v>
      </c>
      <c r="D445" s="834">
        <f>G427</f>
        <v>1.64</v>
      </c>
      <c r="E445" s="435" t="s">
        <v>17</v>
      </c>
      <c r="F445" s="835">
        <f>'[161]Civil-SOR'!$G$206</f>
        <v>550</v>
      </c>
      <c r="G445" s="435">
        <v>1</v>
      </c>
      <c r="H445" s="435" t="s">
        <v>17</v>
      </c>
      <c r="I445" s="836">
        <f t="shared" si="27"/>
        <v>902</v>
      </c>
    </row>
    <row r="446" spans="1:9" s="559" customFormat="1" ht="16" customHeight="1">
      <c r="A446" s="845"/>
      <c r="B446" s="399"/>
      <c r="C446" s="417" t="str">
        <f>[161]Input!$C$47</f>
        <v>Add for MA @ 40%</v>
      </c>
      <c r="D446" s="835">
        <f>[161]Input!$D$47</f>
        <v>0.4</v>
      </c>
      <c r="E446" s="435"/>
      <c r="F446" s="835">
        <f>I445</f>
        <v>902</v>
      </c>
      <c r="G446" s="435"/>
      <c r="H446" s="435"/>
      <c r="I446" s="836">
        <f t="shared" si="27"/>
        <v>360.8</v>
      </c>
    </row>
    <row r="447" spans="1:9" s="559" customFormat="1" ht="16" customHeight="1">
      <c r="A447" s="845"/>
      <c r="B447" s="399"/>
      <c r="C447" s="417" t="s">
        <v>1953</v>
      </c>
      <c r="D447" s="835">
        <f>G425</f>
        <v>0.45</v>
      </c>
      <c r="E447" s="435" t="s">
        <v>17</v>
      </c>
      <c r="F447" s="835">
        <f>'[161]Civil-SOR'!$G$207</f>
        <v>410</v>
      </c>
      <c r="G447" s="435">
        <v>1</v>
      </c>
      <c r="H447" s="435" t="s">
        <v>17</v>
      </c>
      <c r="I447" s="836">
        <f t="shared" si="27"/>
        <v>184.5</v>
      </c>
    </row>
    <row r="448" spans="1:9" s="559" customFormat="1" ht="16" customHeight="1">
      <c r="A448" s="845"/>
      <c r="B448" s="399"/>
      <c r="C448" s="417" t="str">
        <f>[161]Input!$C$47</f>
        <v>Add for MA @ 40%</v>
      </c>
      <c r="D448" s="835">
        <f>[161]Input!$D$47</f>
        <v>0.4</v>
      </c>
      <c r="E448" s="435"/>
      <c r="F448" s="835">
        <f>I447</f>
        <v>184.5</v>
      </c>
      <c r="G448" s="435"/>
      <c r="H448" s="435"/>
      <c r="I448" s="836">
        <f t="shared" si="27"/>
        <v>73.8</v>
      </c>
    </row>
    <row r="449" spans="1:9" s="559" customFormat="1" ht="16" customHeight="1">
      <c r="A449" s="845"/>
      <c r="B449" s="399"/>
      <c r="C449" s="417" t="s">
        <v>684</v>
      </c>
      <c r="D449" s="835"/>
      <c r="E449" s="435"/>
      <c r="F449" s="835"/>
      <c r="G449" s="435"/>
      <c r="H449" s="435"/>
      <c r="I449" s="838"/>
    </row>
    <row r="450" spans="1:9" s="559" customFormat="1" ht="16" customHeight="1">
      <c r="A450" s="845"/>
      <c r="B450" s="399"/>
      <c r="C450" s="427" t="s">
        <v>1995</v>
      </c>
      <c r="D450" s="835"/>
      <c r="E450" s="435"/>
      <c r="F450" s="835"/>
      <c r="G450" s="435"/>
      <c r="H450" s="435"/>
      <c r="I450" s="838">
        <f>SUM(I430:I449)</f>
        <v>10193.2172837</v>
      </c>
    </row>
    <row r="451" spans="1:9" s="559" customFormat="1" ht="12.75" customHeight="1">
      <c r="A451" s="845"/>
      <c r="B451" s="399"/>
      <c r="C451" s="417" t="str">
        <f>[161]Input!$C$48</f>
        <v>Overheads &amp; Contractors Profit @ 13.615%</v>
      </c>
      <c r="D451" s="857">
        <f>[161]Input!$D$48</f>
        <v>0.13614999999999999</v>
      </c>
      <c r="E451" s="435"/>
      <c r="F451" s="835">
        <f>I450</f>
        <v>10193.2172837</v>
      </c>
      <c r="G451" s="435"/>
      <c r="H451" s="435"/>
      <c r="I451" s="836">
        <f>IF(G451="",D451*F451,(D451*F451/G451))</f>
        <v>1387.8065331757548</v>
      </c>
    </row>
    <row r="452" spans="1:9" s="559" customFormat="1" ht="16" customHeight="1">
      <c r="A452" s="845"/>
      <c r="B452" s="399"/>
      <c r="C452" s="417"/>
      <c r="D452" s="835"/>
      <c r="E452" s="435"/>
      <c r="F452" s="835"/>
      <c r="G452" s="435"/>
      <c r="H452" s="435"/>
      <c r="I452" s="838">
        <f>SUM(I450:I451)</f>
        <v>11581.023816875755</v>
      </c>
    </row>
    <row r="453" spans="1:9" s="559" customFormat="1" ht="16" customHeight="1">
      <c r="A453" s="845"/>
      <c r="B453" s="399"/>
      <c r="C453" s="427" t="s">
        <v>686</v>
      </c>
      <c r="D453" s="835"/>
      <c r="E453" s="435"/>
      <c r="F453" s="835"/>
      <c r="G453" s="435"/>
      <c r="H453" s="435"/>
      <c r="I453" s="838">
        <f>I452/G418</f>
        <v>4949.1554772973304</v>
      </c>
    </row>
    <row r="454" spans="1:9" s="559" customFormat="1" ht="13.5" customHeight="1">
      <c r="A454" s="845"/>
      <c r="B454" s="399"/>
      <c r="C454" s="417"/>
      <c r="D454" s="835"/>
      <c r="E454" s="435"/>
      <c r="F454" s="835"/>
      <c r="G454" s="1313" t="s">
        <v>687</v>
      </c>
      <c r="H454" s="1313"/>
      <c r="I454" s="865">
        <f>ROUND(I453,0)</f>
        <v>4949</v>
      </c>
    </row>
    <row r="455" spans="1:9" s="559" customFormat="1" ht="14.65" customHeight="1">
      <c r="A455" s="845"/>
      <c r="B455" s="399"/>
      <c r="C455" s="417"/>
      <c r="D455" s="835"/>
      <c r="E455" s="435"/>
      <c r="F455" s="835"/>
      <c r="G455" s="435"/>
      <c r="H455" s="435"/>
      <c r="I455" s="865"/>
    </row>
    <row r="456" spans="1:9" s="559" customFormat="1" ht="14.65" customHeight="1">
      <c r="A456" s="845"/>
      <c r="B456" s="399"/>
      <c r="C456" s="417"/>
      <c r="D456" s="835"/>
      <c r="E456" s="435"/>
      <c r="F456" s="835"/>
      <c r="G456" s="435"/>
      <c r="H456" s="435"/>
      <c r="I456" s="865"/>
    </row>
    <row r="457" spans="1:9" s="559" customFormat="1" ht="58.9" customHeight="1">
      <c r="A457" s="1350">
        <f>A415+1</f>
        <v>3</v>
      </c>
      <c r="B457" s="1350"/>
      <c r="C457" s="1276" t="s">
        <v>1996</v>
      </c>
      <c r="D457" s="1276"/>
      <c r="E457" s="1276"/>
      <c r="F457" s="1276"/>
      <c r="G457" s="1276"/>
      <c r="H457" s="1276"/>
      <c r="I457" s="427"/>
    </row>
    <row r="458" spans="1:9" s="559" customFormat="1" ht="109.9" customHeight="1">
      <c r="A458" s="845"/>
      <c r="B458" s="399"/>
      <c r="C458" s="1291" t="s">
        <v>1997</v>
      </c>
      <c r="D458" s="1291"/>
      <c r="E458" s="1291"/>
      <c r="F458" s="1291"/>
      <c r="G458" s="1291"/>
      <c r="H458" s="1291"/>
      <c r="I458" s="427"/>
    </row>
    <row r="459" spans="1:9" s="559" customFormat="1" ht="16" customHeight="1">
      <c r="A459" s="845"/>
      <c r="B459" s="399"/>
      <c r="C459" s="427" t="s">
        <v>1998</v>
      </c>
      <c r="D459" s="435"/>
      <c r="E459" s="435"/>
      <c r="F459" s="435"/>
      <c r="G459" s="435"/>
      <c r="H459" s="435"/>
      <c r="I459" s="845"/>
    </row>
    <row r="460" spans="1:9" s="559" customFormat="1" ht="16.149999999999999" customHeight="1">
      <c r="A460" s="845"/>
      <c r="B460" s="399"/>
      <c r="C460" s="427"/>
      <c r="D460" s="514" t="s">
        <v>661</v>
      </c>
      <c r="E460" s="1294" t="s">
        <v>1999</v>
      </c>
      <c r="F460" s="1294"/>
      <c r="G460" s="435"/>
      <c r="H460" s="855">
        <f>2*2.1</f>
        <v>4.2</v>
      </c>
      <c r="I460" s="451" t="s">
        <v>62</v>
      </c>
    </row>
    <row r="461" spans="1:9" s="559" customFormat="1" ht="13.9" customHeight="1">
      <c r="A461" s="845"/>
      <c r="B461" s="399"/>
      <c r="C461" s="427" t="s">
        <v>660</v>
      </c>
      <c r="D461" s="1354"/>
      <c r="E461" s="1354"/>
      <c r="F461" s="1354"/>
      <c r="G461" s="435"/>
      <c r="H461" s="435"/>
      <c r="I461" s="449"/>
    </row>
    <row r="462" spans="1:9" s="559" customFormat="1" ht="13.9" customHeight="1">
      <c r="A462" s="845"/>
      <c r="B462" s="399"/>
      <c r="C462" s="417" t="s">
        <v>663</v>
      </c>
      <c r="D462" s="1314" t="s">
        <v>2000</v>
      </c>
      <c r="E462" s="1314"/>
      <c r="F462" s="1314"/>
      <c r="G462" s="435"/>
      <c r="H462" s="435"/>
      <c r="I462" s="449"/>
    </row>
    <row r="463" spans="1:9" s="559" customFormat="1" ht="13.9" customHeight="1">
      <c r="A463" s="845"/>
      <c r="B463" s="399"/>
      <c r="C463" s="417"/>
      <c r="D463" s="1314" t="s">
        <v>2001</v>
      </c>
      <c r="E463" s="1314"/>
      <c r="F463" s="1314"/>
      <c r="G463" s="1356">
        <f>ROUND(4.22*0.1*0.065,5)</f>
        <v>2.743E-2</v>
      </c>
      <c r="H463" s="1356"/>
      <c r="I463" s="449" t="s">
        <v>666</v>
      </c>
    </row>
    <row r="464" spans="1:9" s="559" customFormat="1" ht="13.9" customHeight="1">
      <c r="A464" s="845"/>
      <c r="B464" s="399"/>
      <c r="C464" s="417" t="s">
        <v>667</v>
      </c>
      <c r="D464" s="1314" t="s">
        <v>2002</v>
      </c>
      <c r="E464" s="1314"/>
      <c r="F464" s="1314"/>
      <c r="G464" s="861"/>
      <c r="H464" s="861"/>
      <c r="I464" s="449"/>
    </row>
    <row r="465" spans="1:9" s="559" customFormat="1" ht="13.15" customHeight="1">
      <c r="A465" s="845"/>
      <c r="B465" s="399"/>
      <c r="C465" s="417"/>
      <c r="D465" s="1314" t="s">
        <v>2003</v>
      </c>
      <c r="E465" s="1314"/>
      <c r="F465" s="1314"/>
      <c r="G465" s="1356">
        <f>ROUND(2*0.1*0.065,5)</f>
        <v>1.2999999999999999E-2</v>
      </c>
      <c r="H465" s="1356"/>
      <c r="I465" s="449" t="s">
        <v>666</v>
      </c>
    </row>
    <row r="466" spans="1:9" s="559" customFormat="1" ht="13.9" customHeight="1">
      <c r="A466" s="845"/>
      <c r="B466" s="399"/>
      <c r="C466" s="417"/>
      <c r="D466" s="1354"/>
      <c r="E466" s="1354"/>
      <c r="F466" s="1354"/>
      <c r="G466" s="1355">
        <f>SUM(G463:G465)</f>
        <v>4.0430000000000001E-2</v>
      </c>
      <c r="H466" s="1355"/>
      <c r="I466" s="851" t="s">
        <v>666</v>
      </c>
    </row>
    <row r="467" spans="1:9" s="559" customFormat="1" ht="13.9" customHeight="1">
      <c r="A467" s="845"/>
      <c r="B467" s="399"/>
      <c r="C467" s="417"/>
      <c r="D467" s="1354"/>
      <c r="E467" s="1354"/>
      <c r="F467" s="1354"/>
      <c r="G467" s="435"/>
      <c r="H467" s="473"/>
      <c r="I467" s="851"/>
    </row>
    <row r="468" spans="1:9" s="559" customFormat="1" ht="15" customHeight="1">
      <c r="A468" s="845"/>
      <c r="B468" s="399"/>
      <c r="C468" s="417" t="s">
        <v>1924</v>
      </c>
      <c r="D468" s="1314" t="s">
        <v>2004</v>
      </c>
      <c r="E468" s="1314"/>
      <c r="F468" s="1314"/>
      <c r="G468" s="1358">
        <f>ROUND(2*0.95*2.05,3)</f>
        <v>3.895</v>
      </c>
      <c r="H468" s="1358"/>
      <c r="I468" s="851" t="s">
        <v>17</v>
      </c>
    </row>
    <row r="469" spans="1:9" s="559" customFormat="1" ht="14.65" customHeight="1">
      <c r="A469" s="845"/>
      <c r="B469" s="399"/>
      <c r="C469" s="427"/>
      <c r="D469" s="855"/>
      <c r="E469" s="473"/>
      <c r="F469" s="855"/>
      <c r="G469" s="435"/>
      <c r="H469" s="855"/>
      <c r="I469" s="399"/>
    </row>
    <row r="470" spans="1:9" s="559" customFormat="1" ht="17.5" customHeight="1">
      <c r="A470" s="845"/>
      <c r="B470" s="399"/>
      <c r="C470" s="417" t="s">
        <v>1927</v>
      </c>
      <c r="D470" s="857">
        <f>G463</f>
        <v>2.743E-2</v>
      </c>
      <c r="E470" s="435" t="s">
        <v>666</v>
      </c>
      <c r="F470" s="835">
        <f>'[161]Civil-SOR'!$G$26</f>
        <v>91479</v>
      </c>
      <c r="G470" s="435">
        <v>1</v>
      </c>
      <c r="H470" s="435" t="s">
        <v>666</v>
      </c>
      <c r="I470" s="836">
        <f t="shared" ref="I470:I481" si="29">IF(G470="",D470*F470,(D470*F470/G470))</f>
        <v>2509.2689700000001</v>
      </c>
    </row>
    <row r="471" spans="1:9" s="559" customFormat="1" ht="17.5" customHeight="1">
      <c r="A471" s="845"/>
      <c r="B471" s="399"/>
      <c r="C471" s="417" t="s">
        <v>1928</v>
      </c>
      <c r="D471" s="857">
        <f>G465</f>
        <v>1.2999999999999999E-2</v>
      </c>
      <c r="E471" s="435" t="s">
        <v>666</v>
      </c>
      <c r="F471" s="835">
        <f>'[161]Civil-SOR'!$G$25</f>
        <v>82331</v>
      </c>
      <c r="G471" s="435">
        <v>1</v>
      </c>
      <c r="H471" s="435" t="s">
        <v>666</v>
      </c>
      <c r="I471" s="836">
        <f t="shared" si="29"/>
        <v>1070.3029999999999</v>
      </c>
    </row>
    <row r="472" spans="1:9" s="559" customFormat="1" ht="17.5" customHeight="1">
      <c r="A472" s="845"/>
      <c r="B472" s="399"/>
      <c r="C472" s="417" t="s">
        <v>1930</v>
      </c>
      <c r="D472" s="834">
        <f>G468</f>
        <v>3.895</v>
      </c>
      <c r="E472" s="435" t="s">
        <v>17</v>
      </c>
      <c r="F472" s="835">
        <f>'[161]Civil-SOR'!$G$114</f>
        <v>1334</v>
      </c>
      <c r="G472" s="435">
        <v>1</v>
      </c>
      <c r="H472" s="435" t="s">
        <v>17</v>
      </c>
      <c r="I472" s="836">
        <f t="shared" si="29"/>
        <v>5195.93</v>
      </c>
    </row>
    <row r="473" spans="1:9" s="559" customFormat="1" ht="17.5" customHeight="1">
      <c r="A473" s="845"/>
      <c r="B473" s="399"/>
      <c r="C473" s="417" t="s">
        <v>1931</v>
      </c>
      <c r="D473" s="837">
        <v>6</v>
      </c>
      <c r="E473" s="435" t="s">
        <v>375</v>
      </c>
      <c r="F473" s="835">
        <f>'[161]Civil-SOR'!$G$385</f>
        <v>37</v>
      </c>
      <c r="G473" s="435"/>
      <c r="H473" s="435" t="s">
        <v>572</v>
      </c>
      <c r="I473" s="836">
        <f t="shared" si="29"/>
        <v>222</v>
      </c>
    </row>
    <row r="474" spans="1:9" s="559" customFormat="1" ht="17.5" customHeight="1">
      <c r="A474" s="845"/>
      <c r="B474" s="399"/>
      <c r="C474" s="417" t="s">
        <v>1932</v>
      </c>
      <c r="D474" s="837">
        <v>2</v>
      </c>
      <c r="E474" s="435" t="s">
        <v>375</v>
      </c>
      <c r="F474" s="835">
        <f>'[161]Civil-SOR'!$G$153</f>
        <v>90</v>
      </c>
      <c r="G474" s="435"/>
      <c r="H474" s="435" t="s">
        <v>572</v>
      </c>
      <c r="I474" s="836">
        <f t="shared" si="29"/>
        <v>180</v>
      </c>
    </row>
    <row r="475" spans="1:9" s="559" customFormat="1" ht="17.5" customHeight="1">
      <c r="A475" s="845"/>
      <c r="B475" s="399"/>
      <c r="C475" s="417" t="s">
        <v>1933</v>
      </c>
      <c r="D475" s="837">
        <v>6</v>
      </c>
      <c r="E475" s="435" t="s">
        <v>375</v>
      </c>
      <c r="F475" s="835">
        <f>'[161]Civil-SOR'!$G$159</f>
        <v>106</v>
      </c>
      <c r="G475" s="435"/>
      <c r="H475" s="435" t="s">
        <v>572</v>
      </c>
      <c r="I475" s="836">
        <f t="shared" si="29"/>
        <v>636</v>
      </c>
    </row>
    <row r="476" spans="1:9" s="559" customFormat="1" ht="17.5" customHeight="1">
      <c r="A476" s="845"/>
      <c r="B476" s="399"/>
      <c r="C476" s="417" t="s">
        <v>1934</v>
      </c>
      <c r="D476" s="837">
        <v>1</v>
      </c>
      <c r="E476" s="435" t="s">
        <v>678</v>
      </c>
      <c r="F476" s="835">
        <f>'[161]Civil-SOR'!$G$172</f>
        <v>239</v>
      </c>
      <c r="G476" s="435"/>
      <c r="H476" s="435" t="s">
        <v>572</v>
      </c>
      <c r="I476" s="836">
        <f t="shared" si="29"/>
        <v>239</v>
      </c>
    </row>
    <row r="477" spans="1:9" s="559" customFormat="1" ht="17.5" customHeight="1">
      <c r="A477" s="845"/>
      <c r="B477" s="399"/>
      <c r="C477" s="417" t="s">
        <v>1935</v>
      </c>
      <c r="D477" s="837">
        <v>2</v>
      </c>
      <c r="E477" s="435" t="s">
        <v>375</v>
      </c>
      <c r="F477" s="835">
        <f>'[161]Civil-SOR'!$G$164</f>
        <v>100</v>
      </c>
      <c r="G477" s="435"/>
      <c r="H477" s="435" t="s">
        <v>572</v>
      </c>
      <c r="I477" s="836">
        <f t="shared" si="29"/>
        <v>200</v>
      </c>
    </row>
    <row r="478" spans="1:9" s="559" customFormat="1" ht="17.5" customHeight="1">
      <c r="A478" s="845"/>
      <c r="B478" s="399"/>
      <c r="C478" s="417" t="s">
        <v>1936</v>
      </c>
      <c r="D478" s="837">
        <v>2</v>
      </c>
      <c r="E478" s="435" t="s">
        <v>375</v>
      </c>
      <c r="F478" s="835">
        <f>'[161]Civil-SOR'!$G$178</f>
        <v>66</v>
      </c>
      <c r="G478" s="435"/>
      <c r="H478" s="435" t="s">
        <v>572</v>
      </c>
      <c r="I478" s="836">
        <f t="shared" si="29"/>
        <v>132</v>
      </c>
    </row>
    <row r="479" spans="1:9" s="559" customFormat="1" ht="17.5" customHeight="1">
      <c r="A479" s="845"/>
      <c r="B479" s="399"/>
      <c r="C479" s="417" t="s">
        <v>1937</v>
      </c>
      <c r="D479" s="837">
        <v>2</v>
      </c>
      <c r="E479" s="435" t="s">
        <v>375</v>
      </c>
      <c r="F479" s="868">
        <f>'[161]Civil-SOR'!$G$386</f>
        <v>12</v>
      </c>
      <c r="G479" s="435"/>
      <c r="H479" s="435" t="s">
        <v>572</v>
      </c>
      <c r="I479" s="836">
        <f t="shared" si="29"/>
        <v>24</v>
      </c>
    </row>
    <row r="480" spans="1:9" s="559" customFormat="1" ht="30" customHeight="1">
      <c r="A480" s="845"/>
      <c r="B480" s="399"/>
      <c r="C480" s="417" t="s">
        <v>2005</v>
      </c>
      <c r="D480" s="834">
        <f>D472</f>
        <v>3.895</v>
      </c>
      <c r="E480" s="435" t="s">
        <v>17</v>
      </c>
      <c r="F480" s="835">
        <f>'[161]Civil-SOR'!$G$206</f>
        <v>550</v>
      </c>
      <c r="G480" s="435">
        <v>1</v>
      </c>
      <c r="H480" s="435" t="s">
        <v>17</v>
      </c>
      <c r="I480" s="836">
        <f t="shared" si="29"/>
        <v>2142.25</v>
      </c>
    </row>
    <row r="481" spans="1:9" s="559" customFormat="1" ht="15" customHeight="1">
      <c r="A481" s="845"/>
      <c r="B481" s="399"/>
      <c r="C481" s="417" t="str">
        <f>[161]Input!$C$47</f>
        <v>Add for MA @ 40%</v>
      </c>
      <c r="D481" s="835">
        <f>[161]Input!$D$47</f>
        <v>0.4</v>
      </c>
      <c r="E481" s="435"/>
      <c r="F481" s="835">
        <f>I480</f>
        <v>2142.25</v>
      </c>
      <c r="G481" s="435"/>
      <c r="H481" s="435"/>
      <c r="I481" s="836">
        <f t="shared" si="29"/>
        <v>856.90000000000009</v>
      </c>
    </row>
    <row r="482" spans="1:9" s="559" customFormat="1" ht="14.5" customHeight="1">
      <c r="A482" s="845"/>
      <c r="B482" s="399"/>
      <c r="C482" s="417" t="s">
        <v>684</v>
      </c>
      <c r="D482" s="834"/>
      <c r="E482" s="435"/>
      <c r="F482" s="835"/>
      <c r="G482" s="435"/>
      <c r="H482" s="435"/>
      <c r="I482" s="838"/>
    </row>
    <row r="483" spans="1:9" s="559" customFormat="1" ht="24.65" customHeight="1">
      <c r="A483" s="845"/>
      <c r="B483" s="399"/>
      <c r="C483" s="427" t="s">
        <v>2006</v>
      </c>
      <c r="D483" s="835"/>
      <c r="E483" s="435"/>
      <c r="F483" s="835"/>
      <c r="G483" s="435"/>
      <c r="H483" s="435"/>
      <c r="I483" s="856">
        <f>SUM(I470:I482)</f>
        <v>13407.651970000001</v>
      </c>
    </row>
    <row r="484" spans="1:9" s="559" customFormat="1" ht="24.65" customHeight="1">
      <c r="A484" s="845"/>
      <c r="B484" s="399"/>
      <c r="C484" s="427" t="s">
        <v>686</v>
      </c>
      <c r="D484" s="835"/>
      <c r="E484" s="435"/>
      <c r="F484" s="835"/>
      <c r="G484" s="435"/>
      <c r="H484" s="435"/>
      <c r="I484" s="856">
        <f>I483/H460</f>
        <v>3192.2980880952382</v>
      </c>
    </row>
    <row r="485" spans="1:9" s="559" customFormat="1" ht="24.65" customHeight="1">
      <c r="A485" s="845"/>
      <c r="B485" s="399"/>
      <c r="C485" s="417" t="str">
        <f>[161]Input!$C$48</f>
        <v>Overheads &amp; Contractors Profit @ 13.615%</v>
      </c>
      <c r="D485" s="857">
        <f>[161]Input!$D$48</f>
        <v>0.13614999999999999</v>
      </c>
      <c r="E485" s="435"/>
      <c r="F485" s="835">
        <f>I484</f>
        <v>3192.2980880952382</v>
      </c>
      <c r="G485" s="435"/>
      <c r="H485" s="435"/>
      <c r="I485" s="836">
        <f>IF(G485="",D485*F485,(D485*F485/G485))</f>
        <v>434.63138469416668</v>
      </c>
    </row>
    <row r="486" spans="1:9" s="560" customFormat="1" ht="24.65" customHeight="1">
      <c r="A486" s="845"/>
      <c r="B486" s="399"/>
      <c r="C486" s="481" t="s">
        <v>686</v>
      </c>
      <c r="D486" s="858"/>
      <c r="E486" s="740"/>
      <c r="F486" s="858"/>
      <c r="G486" s="740"/>
      <c r="H486" s="740"/>
      <c r="I486" s="422">
        <f>SUM(I484:I485)</f>
        <v>3626.9294727894048</v>
      </c>
    </row>
    <row r="487" spans="1:9" s="560" customFormat="1" ht="22.9" customHeight="1">
      <c r="A487" s="845"/>
      <c r="B487" s="399"/>
      <c r="C487" s="496"/>
      <c r="D487" s="858"/>
      <c r="E487" s="740"/>
      <c r="F487" s="858"/>
      <c r="G487" s="1313" t="s">
        <v>687</v>
      </c>
      <c r="H487" s="1313"/>
      <c r="I487" s="436">
        <f>ROUND(I486,0)</f>
        <v>3627</v>
      </c>
    </row>
    <row r="488" spans="1:9" s="559" customFormat="1" ht="14.65" customHeight="1">
      <c r="A488" s="845"/>
      <c r="B488" s="399"/>
      <c r="C488" s="417"/>
      <c r="D488" s="835"/>
      <c r="E488" s="435"/>
      <c r="F488" s="835"/>
      <c r="G488" s="435"/>
      <c r="H488" s="435"/>
      <c r="I488" s="865"/>
    </row>
    <row r="489" spans="1:9" s="559" customFormat="1" ht="75" customHeight="1">
      <c r="A489" s="1350">
        <f>A457+1</f>
        <v>4</v>
      </c>
      <c r="B489" s="1350"/>
      <c r="C489" s="1276" t="s">
        <v>2007</v>
      </c>
      <c r="D489" s="1276"/>
      <c r="E489" s="1276"/>
      <c r="F489" s="1276"/>
      <c r="G489" s="1276"/>
      <c r="H489" s="1276"/>
      <c r="I489" s="427"/>
    </row>
    <row r="490" spans="1:9" s="559" customFormat="1" ht="129.65" customHeight="1">
      <c r="A490" s="845"/>
      <c r="B490" s="399"/>
      <c r="C490" s="1291" t="s">
        <v>2008</v>
      </c>
      <c r="D490" s="1291"/>
      <c r="E490" s="1291"/>
      <c r="F490" s="1291"/>
      <c r="G490" s="1291"/>
      <c r="H490" s="1291"/>
      <c r="I490" s="427"/>
    </row>
    <row r="491" spans="1:9" s="559" customFormat="1" ht="16" customHeight="1">
      <c r="A491" s="845"/>
      <c r="B491" s="399"/>
      <c r="C491" s="427" t="s">
        <v>1998</v>
      </c>
      <c r="D491" s="435"/>
      <c r="E491" s="435"/>
      <c r="F491" s="435"/>
      <c r="G491" s="435"/>
      <c r="H491" s="435"/>
      <c r="I491" s="845"/>
    </row>
    <row r="492" spans="1:9" s="559" customFormat="1" ht="14.5" customHeight="1">
      <c r="A492" s="845"/>
      <c r="B492" s="399"/>
      <c r="C492" s="427"/>
      <c r="D492" s="514" t="s">
        <v>661</v>
      </c>
      <c r="E492" s="1295" t="s">
        <v>2009</v>
      </c>
      <c r="F492" s="1295"/>
      <c r="G492" s="1352">
        <f>1.8*2.1</f>
        <v>3.7800000000000002</v>
      </c>
      <c r="H492" s="1352"/>
      <c r="I492" s="451" t="s">
        <v>62</v>
      </c>
    </row>
    <row r="493" spans="1:9" s="559" customFormat="1" ht="13.9" customHeight="1">
      <c r="A493" s="845"/>
      <c r="B493" s="399"/>
      <c r="C493" s="427" t="s">
        <v>660</v>
      </c>
      <c r="D493" s="1314"/>
      <c r="E493" s="1314"/>
      <c r="F493" s="1314"/>
      <c r="G493" s="435"/>
      <c r="H493" s="435"/>
      <c r="I493" s="838"/>
    </row>
    <row r="494" spans="1:9" s="559" customFormat="1" ht="16.149999999999999" customHeight="1">
      <c r="A494" s="845"/>
      <c r="B494" s="399"/>
      <c r="C494" s="417" t="s">
        <v>663</v>
      </c>
      <c r="D494" s="1314" t="s">
        <v>2000</v>
      </c>
      <c r="E494" s="1314"/>
      <c r="F494" s="1314"/>
      <c r="G494" s="435"/>
      <c r="H494" s="435"/>
      <c r="I494" s="838"/>
    </row>
    <row r="495" spans="1:9" s="559" customFormat="1" ht="16.149999999999999" customHeight="1">
      <c r="A495" s="845"/>
      <c r="B495" s="399"/>
      <c r="C495" s="417"/>
      <c r="D495" s="1314" t="s">
        <v>2001</v>
      </c>
      <c r="E495" s="1314"/>
      <c r="F495" s="1314"/>
      <c r="G495" s="1356">
        <f>ROUND(4.22*0.1*0.065,5)</f>
        <v>2.743E-2</v>
      </c>
      <c r="H495" s="1356"/>
      <c r="I495" s="449" t="s">
        <v>666</v>
      </c>
    </row>
    <row r="496" spans="1:9" s="559" customFormat="1" ht="16.149999999999999" customHeight="1">
      <c r="A496" s="845"/>
      <c r="B496" s="399"/>
      <c r="C496" s="417" t="s">
        <v>667</v>
      </c>
      <c r="D496" s="1314" t="s">
        <v>2010</v>
      </c>
      <c r="E496" s="1314"/>
      <c r="F496" s="1314"/>
      <c r="G496" s="1357"/>
      <c r="H496" s="1357"/>
      <c r="I496" s="449"/>
    </row>
    <row r="497" spans="1:9" s="559" customFormat="1" ht="16.149999999999999" customHeight="1">
      <c r="A497" s="845"/>
      <c r="B497" s="399"/>
      <c r="C497" s="417"/>
      <c r="D497" s="1314" t="s">
        <v>2011</v>
      </c>
      <c r="E497" s="1314"/>
      <c r="F497" s="1314"/>
      <c r="G497" s="1356">
        <f>ROUND(1.8*0.1*0.065,5)</f>
        <v>1.17E-2</v>
      </c>
      <c r="H497" s="1356"/>
      <c r="I497" s="449" t="s">
        <v>666</v>
      </c>
    </row>
    <row r="498" spans="1:9" s="559" customFormat="1" ht="16.149999999999999" customHeight="1">
      <c r="A498" s="845"/>
      <c r="B498" s="399"/>
      <c r="C498" s="417"/>
      <c r="D498" s="449"/>
      <c r="E498" s="445"/>
      <c r="F498" s="449"/>
      <c r="G498" s="1355">
        <f>SUM(G495:G497)</f>
        <v>3.9129999999999998E-2</v>
      </c>
      <c r="H498" s="1355"/>
      <c r="I498" s="851" t="s">
        <v>666</v>
      </c>
    </row>
    <row r="499" spans="1:9" s="559" customFormat="1" ht="29.5" customHeight="1">
      <c r="A499" s="845"/>
      <c r="B499" s="399"/>
      <c r="C499" s="417" t="s">
        <v>1924</v>
      </c>
      <c r="D499" s="1314" t="s">
        <v>2012</v>
      </c>
      <c r="E499" s="1314"/>
      <c r="F499" s="1314"/>
      <c r="G499" s="1295">
        <f>ROUND(2*0.85*2.05,3)</f>
        <v>3.4849999999999999</v>
      </c>
      <c r="H499" s="1295"/>
      <c r="I499" s="856" t="s">
        <v>17</v>
      </c>
    </row>
    <row r="500" spans="1:9" s="559" customFormat="1" ht="17.5" customHeight="1">
      <c r="A500" s="845"/>
      <c r="B500" s="399"/>
      <c r="C500" s="417" t="s">
        <v>1927</v>
      </c>
      <c r="D500" s="853">
        <f>G495</f>
        <v>2.743E-2</v>
      </c>
      <c r="E500" s="435" t="s">
        <v>666</v>
      </c>
      <c r="F500" s="835">
        <f>'[161]Civil-SOR'!$G$26</f>
        <v>91479</v>
      </c>
      <c r="G500" s="435">
        <v>1</v>
      </c>
      <c r="H500" s="435" t="s">
        <v>666</v>
      </c>
      <c r="I500" s="836">
        <f t="shared" ref="I500:I513" si="30">IF(G500="",D500*F500,(D500*F500/G500))</f>
        <v>2509.2689700000001</v>
      </c>
    </row>
    <row r="501" spans="1:9" s="559" customFormat="1" ht="17.5" customHeight="1">
      <c r="A501" s="845"/>
      <c r="B501" s="399"/>
      <c r="C501" s="417" t="s">
        <v>1928</v>
      </c>
      <c r="D501" s="853">
        <f>G497</f>
        <v>1.17E-2</v>
      </c>
      <c r="E501" s="435" t="s">
        <v>666</v>
      </c>
      <c r="F501" s="835">
        <f>'[161]Civil-SOR'!$G$25</f>
        <v>82331</v>
      </c>
      <c r="G501" s="435">
        <v>1</v>
      </c>
      <c r="H501" s="435" t="s">
        <v>666</v>
      </c>
      <c r="I501" s="836">
        <f t="shared" si="30"/>
        <v>963.27269999999999</v>
      </c>
    </row>
    <row r="502" spans="1:9" s="559" customFormat="1" ht="17.5" customHeight="1">
      <c r="A502" s="845"/>
      <c r="B502" s="399"/>
      <c r="C502" s="417" t="s">
        <v>1930</v>
      </c>
      <c r="D502" s="834">
        <f>G499</f>
        <v>3.4849999999999999</v>
      </c>
      <c r="E502" s="435" t="s">
        <v>17</v>
      </c>
      <c r="F502" s="835">
        <f>'[161]Civil-SOR'!$G$114</f>
        <v>1334</v>
      </c>
      <c r="G502" s="435">
        <v>1</v>
      </c>
      <c r="H502" s="435" t="s">
        <v>17</v>
      </c>
      <c r="I502" s="836">
        <f t="shared" si="30"/>
        <v>4648.99</v>
      </c>
    </row>
    <row r="503" spans="1:9" s="559" customFormat="1" ht="17.5" customHeight="1">
      <c r="A503" s="845"/>
      <c r="B503" s="399"/>
      <c r="C503" s="417" t="s">
        <v>1931</v>
      </c>
      <c r="D503" s="837">
        <v>6</v>
      </c>
      <c r="E503" s="435" t="s">
        <v>375</v>
      </c>
      <c r="F503" s="835">
        <f>'[161]Civil-SOR'!$G$385</f>
        <v>37</v>
      </c>
      <c r="G503" s="435"/>
      <c r="H503" s="435" t="s">
        <v>572</v>
      </c>
      <c r="I503" s="836">
        <f t="shared" si="30"/>
        <v>222</v>
      </c>
    </row>
    <row r="504" spans="1:9" s="559" customFormat="1" ht="17.5" customHeight="1">
      <c r="A504" s="845"/>
      <c r="B504" s="399"/>
      <c r="C504" s="417" t="s">
        <v>1932</v>
      </c>
      <c r="D504" s="837">
        <v>2</v>
      </c>
      <c r="E504" s="435" t="s">
        <v>375</v>
      </c>
      <c r="F504" s="835">
        <f>'[161]Civil-SOR'!$G$153</f>
        <v>90</v>
      </c>
      <c r="G504" s="435"/>
      <c r="H504" s="435" t="s">
        <v>572</v>
      </c>
      <c r="I504" s="836">
        <f t="shared" si="30"/>
        <v>180</v>
      </c>
    </row>
    <row r="505" spans="1:9" s="559" customFormat="1" ht="17.5" customHeight="1">
      <c r="A505" s="845"/>
      <c r="B505" s="399"/>
      <c r="C505" s="417" t="s">
        <v>1933</v>
      </c>
      <c r="D505" s="837">
        <v>6</v>
      </c>
      <c r="E505" s="435" t="s">
        <v>375</v>
      </c>
      <c r="F505" s="835">
        <f>'[161]Civil-SOR'!$G$159</f>
        <v>106</v>
      </c>
      <c r="G505" s="435"/>
      <c r="H505" s="435" t="s">
        <v>572</v>
      </c>
      <c r="I505" s="836">
        <f t="shared" si="30"/>
        <v>636</v>
      </c>
    </row>
    <row r="506" spans="1:9" s="559" customFormat="1" ht="17.5" customHeight="1">
      <c r="A506" s="845"/>
      <c r="B506" s="399"/>
      <c r="C506" s="417" t="s">
        <v>1934</v>
      </c>
      <c r="D506" s="837">
        <v>1</v>
      </c>
      <c r="E506" s="435" t="s">
        <v>678</v>
      </c>
      <c r="F506" s="835">
        <f>'[161]Civil-SOR'!$G$172</f>
        <v>239</v>
      </c>
      <c r="G506" s="435"/>
      <c r="H506" s="435" t="s">
        <v>572</v>
      </c>
      <c r="I506" s="836">
        <f t="shared" si="30"/>
        <v>239</v>
      </c>
    </row>
    <row r="507" spans="1:9" s="559" customFormat="1" ht="17.5" customHeight="1">
      <c r="A507" s="845"/>
      <c r="B507" s="399"/>
      <c r="C507" s="417" t="s">
        <v>1935</v>
      </c>
      <c r="D507" s="837">
        <v>2</v>
      </c>
      <c r="E507" s="435" t="s">
        <v>375</v>
      </c>
      <c r="F507" s="835">
        <f>'[161]Civil-SOR'!$G$164</f>
        <v>100</v>
      </c>
      <c r="G507" s="435"/>
      <c r="H507" s="435" t="s">
        <v>572</v>
      </c>
      <c r="I507" s="836">
        <f t="shared" si="30"/>
        <v>200</v>
      </c>
    </row>
    <row r="508" spans="1:9" s="559" customFormat="1" ht="17.5" customHeight="1">
      <c r="A508" s="845"/>
      <c r="B508" s="399"/>
      <c r="C508" s="417" t="s">
        <v>1936</v>
      </c>
      <c r="D508" s="837">
        <v>2</v>
      </c>
      <c r="E508" s="435" t="s">
        <v>375</v>
      </c>
      <c r="F508" s="835">
        <f>'[161]Civil-SOR'!$G$178</f>
        <v>66</v>
      </c>
      <c r="G508" s="435"/>
      <c r="H508" s="435" t="s">
        <v>572</v>
      </c>
      <c r="I508" s="836">
        <f t="shared" si="30"/>
        <v>132</v>
      </c>
    </row>
    <row r="509" spans="1:9" s="559" customFormat="1" ht="17.5" customHeight="1">
      <c r="A509" s="845"/>
      <c r="B509" s="399"/>
      <c r="C509" s="417" t="s">
        <v>1937</v>
      </c>
      <c r="D509" s="837">
        <v>2</v>
      </c>
      <c r="E509" s="435" t="s">
        <v>375</v>
      </c>
      <c r="F509" s="868">
        <f>'[161]Civil-SOR'!$G$386</f>
        <v>12</v>
      </c>
      <c r="G509" s="435"/>
      <c r="H509" s="435" t="s">
        <v>572</v>
      </c>
      <c r="I509" s="836">
        <f t="shared" si="30"/>
        <v>24</v>
      </c>
    </row>
    <row r="510" spans="1:9" s="559" customFormat="1" ht="17.5" customHeight="1">
      <c r="A510" s="845"/>
      <c r="B510" s="399"/>
      <c r="C510" s="417" t="s">
        <v>682</v>
      </c>
      <c r="D510" s="862">
        <f>G498</f>
        <v>3.9129999999999998E-2</v>
      </c>
      <c r="E510" s="435" t="s">
        <v>666</v>
      </c>
      <c r="F510" s="835">
        <f>$I$8</f>
        <v>15027.85</v>
      </c>
      <c r="G510" s="435">
        <v>1</v>
      </c>
      <c r="H510" s="435" t="s">
        <v>666</v>
      </c>
      <c r="I510" s="836">
        <f t="shared" si="30"/>
        <v>588.03977050000003</v>
      </c>
    </row>
    <row r="511" spans="1:9" s="559" customFormat="1" ht="17.5" customHeight="1">
      <c r="A511" s="845"/>
      <c r="B511" s="399"/>
      <c r="C511" s="417" t="str">
        <f>[161]Input!$C$47</f>
        <v>Add for MA @ 40%</v>
      </c>
      <c r="D511" s="835">
        <f>[161]Input!$D$47</f>
        <v>0.4</v>
      </c>
      <c r="E511" s="435"/>
      <c r="F511" s="835">
        <f>I510</f>
        <v>588.03977050000003</v>
      </c>
      <c r="G511" s="435"/>
      <c r="H511" s="435"/>
      <c r="I511" s="836">
        <f t="shared" si="30"/>
        <v>235.21590820000003</v>
      </c>
    </row>
    <row r="512" spans="1:9" s="559" customFormat="1" ht="25.5" customHeight="1">
      <c r="A512" s="845"/>
      <c r="B512" s="399"/>
      <c r="C512" s="417" t="s">
        <v>2005</v>
      </c>
      <c r="D512" s="835">
        <f>D502</f>
        <v>3.4849999999999999</v>
      </c>
      <c r="E512" s="435" t="s">
        <v>17</v>
      </c>
      <c r="F512" s="835">
        <f>'[161]Civil-SOR'!$G$206</f>
        <v>550</v>
      </c>
      <c r="G512" s="435">
        <v>1</v>
      </c>
      <c r="H512" s="435" t="s">
        <v>17</v>
      </c>
      <c r="I512" s="836">
        <f t="shared" si="30"/>
        <v>1916.75</v>
      </c>
    </row>
    <row r="513" spans="1:9" s="559" customFormat="1" ht="17.5" customHeight="1">
      <c r="A513" s="845"/>
      <c r="B513" s="399"/>
      <c r="C513" s="417" t="str">
        <f>[161]Input!$C$47</f>
        <v>Add for MA @ 40%</v>
      </c>
      <c r="D513" s="835">
        <f>[161]Input!$D$47</f>
        <v>0.4</v>
      </c>
      <c r="E513" s="435"/>
      <c r="F513" s="835">
        <f>I512</f>
        <v>1916.75</v>
      </c>
      <c r="G513" s="435"/>
      <c r="H513" s="435"/>
      <c r="I513" s="836">
        <f t="shared" si="30"/>
        <v>766.7</v>
      </c>
    </row>
    <row r="514" spans="1:9" s="559" customFormat="1" ht="17.5" customHeight="1">
      <c r="A514" s="845"/>
      <c r="B514" s="399"/>
      <c r="C514" s="417" t="s">
        <v>684</v>
      </c>
      <c r="D514" s="834"/>
      <c r="E514" s="435"/>
      <c r="F514" s="835"/>
      <c r="G514" s="435"/>
      <c r="H514" s="435"/>
      <c r="I514" s="838"/>
    </row>
    <row r="515" spans="1:9" s="559" customFormat="1" ht="17.5" customHeight="1">
      <c r="A515" s="845"/>
      <c r="B515" s="399"/>
      <c r="C515" s="427" t="s">
        <v>2013</v>
      </c>
      <c r="D515" s="835"/>
      <c r="E515" s="435"/>
      <c r="F515" s="835"/>
      <c r="G515" s="435"/>
      <c r="H515" s="435"/>
      <c r="I515" s="856">
        <f>SUM(I500:I514)</f>
        <v>13261.2373487</v>
      </c>
    </row>
    <row r="516" spans="1:9" s="559" customFormat="1" ht="17.5" customHeight="1">
      <c r="A516" s="845"/>
      <c r="B516" s="399"/>
      <c r="C516" s="427" t="s">
        <v>686</v>
      </c>
      <c r="D516" s="835"/>
      <c r="E516" s="435"/>
      <c r="F516" s="835"/>
      <c r="G516" s="435"/>
      <c r="H516" s="435"/>
      <c r="I516" s="856">
        <f>I515/G492</f>
        <v>3508.2638488624339</v>
      </c>
    </row>
    <row r="517" spans="1:9" s="559" customFormat="1" ht="17.5" customHeight="1">
      <c r="A517" s="845"/>
      <c r="B517" s="399"/>
      <c r="C517" s="417" t="str">
        <f>[161]Input!$C$48</f>
        <v>Overheads &amp; Contractors Profit @ 13.615%</v>
      </c>
      <c r="D517" s="857">
        <f>[161]Input!$D$48</f>
        <v>0.13614999999999999</v>
      </c>
      <c r="E517" s="435"/>
      <c r="F517" s="835">
        <f>I516</f>
        <v>3508.2638488624339</v>
      </c>
      <c r="G517" s="435"/>
      <c r="H517" s="435"/>
      <c r="I517" s="836">
        <f>IF(G517="",D517*F517,(D517*F517/G517))</f>
        <v>477.65012302262033</v>
      </c>
    </row>
    <row r="518" spans="1:9" s="560" customFormat="1" ht="27" customHeight="1">
      <c r="A518" s="845"/>
      <c r="B518" s="399"/>
      <c r="C518" s="481" t="s">
        <v>686</v>
      </c>
      <c r="D518" s="858"/>
      <c r="E518" s="740"/>
      <c r="F518" s="858"/>
      <c r="G518" s="740"/>
      <c r="H518" s="740"/>
      <c r="I518" s="422">
        <f>SUM(I516:I517)</f>
        <v>3985.9139718850543</v>
      </c>
    </row>
    <row r="519" spans="1:9" s="560" customFormat="1" ht="27" customHeight="1">
      <c r="A519" s="845"/>
      <c r="B519" s="399"/>
      <c r="C519" s="496"/>
      <c r="D519" s="858"/>
      <c r="E519" s="740"/>
      <c r="F519" s="858"/>
      <c r="G519" s="1313" t="s">
        <v>687</v>
      </c>
      <c r="H519" s="1313"/>
      <c r="I519" s="436">
        <f>ROUND(I518,0)</f>
        <v>3986</v>
      </c>
    </row>
    <row r="520" spans="1:9" s="559" customFormat="1" ht="14.65" customHeight="1">
      <c r="A520" s="845"/>
      <c r="B520" s="399"/>
      <c r="C520" s="417"/>
      <c r="D520" s="835"/>
      <c r="E520" s="435"/>
      <c r="F520" s="835"/>
      <c r="G520" s="435"/>
      <c r="H520" s="399"/>
      <c r="I520" s="865"/>
    </row>
    <row r="521" spans="1:9" s="559" customFormat="1" ht="65.5" customHeight="1">
      <c r="A521" s="1350">
        <f>A489+1</f>
        <v>5</v>
      </c>
      <c r="B521" s="1350"/>
      <c r="C521" s="1276" t="s">
        <v>2014</v>
      </c>
      <c r="D521" s="1276"/>
      <c r="E521" s="1276"/>
      <c r="F521" s="1276"/>
      <c r="G521" s="1276"/>
      <c r="H521" s="1276"/>
      <c r="I521" s="427"/>
    </row>
    <row r="522" spans="1:9" s="559" customFormat="1" ht="112.9" customHeight="1">
      <c r="A522" s="845"/>
      <c r="B522" s="399"/>
      <c r="C522" s="1291" t="s">
        <v>2015</v>
      </c>
      <c r="D522" s="1291"/>
      <c r="E522" s="1291"/>
      <c r="F522" s="1291"/>
      <c r="G522" s="1291"/>
      <c r="H522" s="1291"/>
      <c r="I522" s="427"/>
    </row>
    <row r="523" spans="1:9" s="559" customFormat="1" ht="16" customHeight="1">
      <c r="A523" s="845"/>
      <c r="B523" s="399"/>
      <c r="C523" s="427" t="s">
        <v>659</v>
      </c>
      <c r="D523" s="435"/>
      <c r="E523" s="435"/>
      <c r="F523" s="435"/>
      <c r="G523" s="435"/>
      <c r="H523" s="435"/>
      <c r="I523" s="845"/>
    </row>
    <row r="524" spans="1:9" s="559" customFormat="1" ht="14.5" customHeight="1">
      <c r="A524" s="845"/>
      <c r="B524" s="399"/>
      <c r="C524" s="427"/>
      <c r="D524" s="855" t="s">
        <v>661</v>
      </c>
      <c r="E524" s="1295" t="s">
        <v>2016</v>
      </c>
      <c r="F524" s="1295"/>
      <c r="G524" s="435"/>
      <c r="H524" s="855">
        <f>1.5*2.1</f>
        <v>3.1500000000000004</v>
      </c>
      <c r="I524" s="451" t="s">
        <v>62</v>
      </c>
    </row>
    <row r="525" spans="1:9" s="559" customFormat="1" ht="14.5" customHeight="1">
      <c r="A525" s="845"/>
      <c r="B525" s="399"/>
      <c r="C525" s="427" t="s">
        <v>660</v>
      </c>
      <c r="D525" s="835"/>
      <c r="E525" s="435"/>
      <c r="F525" s="835"/>
      <c r="G525" s="435"/>
      <c r="H525" s="435"/>
      <c r="I525" s="449"/>
    </row>
    <row r="526" spans="1:9" s="559" customFormat="1" ht="14.5" customHeight="1">
      <c r="A526" s="845"/>
      <c r="B526" s="399"/>
      <c r="C526" s="417" t="s">
        <v>663</v>
      </c>
      <c r="D526" s="1314" t="s">
        <v>2000</v>
      </c>
      <c r="E526" s="1314"/>
      <c r="F526" s="1314"/>
      <c r="G526" s="435"/>
      <c r="H526" s="435"/>
      <c r="I526" s="449"/>
    </row>
    <row r="527" spans="1:9" s="559" customFormat="1" ht="14.5" customHeight="1">
      <c r="A527" s="845"/>
      <c r="B527" s="399"/>
      <c r="C527" s="417"/>
      <c r="D527" s="1314" t="s">
        <v>2017</v>
      </c>
      <c r="E527" s="1314"/>
      <c r="F527" s="1314"/>
      <c r="G527" s="1356">
        <f>ROUND(4.22*0.1*0.065,5)</f>
        <v>2.743E-2</v>
      </c>
      <c r="H527" s="1356"/>
      <c r="I527" s="449" t="s">
        <v>666</v>
      </c>
    </row>
    <row r="528" spans="1:9" s="559" customFormat="1" ht="14.5" customHeight="1">
      <c r="A528" s="845"/>
      <c r="B528" s="399"/>
      <c r="C528" s="417" t="s">
        <v>667</v>
      </c>
      <c r="D528" s="1314" t="s">
        <v>2018</v>
      </c>
      <c r="E528" s="1314"/>
      <c r="F528" s="1314"/>
      <c r="G528" s="861"/>
      <c r="H528" s="861"/>
      <c r="I528" s="449"/>
    </row>
    <row r="529" spans="1:9" s="559" customFormat="1" ht="14.5" customHeight="1">
      <c r="A529" s="845"/>
      <c r="B529" s="399"/>
      <c r="C529" s="417"/>
      <c r="D529" s="1314" t="s">
        <v>2019</v>
      </c>
      <c r="E529" s="1314"/>
      <c r="F529" s="1314"/>
      <c r="G529" s="1356">
        <f>ROUND(1.5*0.1*0.065,5)</f>
        <v>9.75E-3</v>
      </c>
      <c r="H529" s="1356"/>
      <c r="I529" s="449" t="s">
        <v>666</v>
      </c>
    </row>
    <row r="530" spans="1:9" s="559" customFormat="1" ht="14.5" customHeight="1">
      <c r="A530" s="845"/>
      <c r="B530" s="399"/>
      <c r="C530" s="417"/>
      <c r="D530" s="449"/>
      <c r="E530" s="445"/>
      <c r="F530" s="449"/>
      <c r="G530" s="1355">
        <f>SUM(G527:G529)</f>
        <v>3.7179999999999998E-2</v>
      </c>
      <c r="H530" s="1355"/>
      <c r="I530" s="851" t="s">
        <v>666</v>
      </c>
    </row>
    <row r="531" spans="1:9" s="559" customFormat="1" ht="14.5" customHeight="1">
      <c r="A531" s="845"/>
      <c r="B531" s="399"/>
      <c r="C531" s="417"/>
      <c r="D531" s="449"/>
      <c r="E531" s="445"/>
      <c r="F531" s="449"/>
      <c r="G531" s="861"/>
      <c r="H531" s="863"/>
      <c r="I531" s="851"/>
    </row>
    <row r="532" spans="1:9" s="559" customFormat="1" ht="14.5" customHeight="1">
      <c r="A532" s="845"/>
      <c r="B532" s="399"/>
      <c r="C532" s="417" t="s">
        <v>1924</v>
      </c>
      <c r="D532" s="1314" t="s">
        <v>2020</v>
      </c>
      <c r="E532" s="1314"/>
      <c r="F532" s="1314"/>
      <c r="G532" s="1358">
        <f>ROUND(2*0.7*2.05,3)</f>
        <v>2.87</v>
      </c>
      <c r="H532" s="1358"/>
      <c r="I532" s="851" t="s">
        <v>17</v>
      </c>
    </row>
    <row r="533" spans="1:9" s="559" customFormat="1" ht="14.65" customHeight="1">
      <c r="A533" s="845"/>
      <c r="B533" s="399"/>
      <c r="C533" s="417"/>
      <c r="D533" s="835"/>
      <c r="E533" s="435"/>
      <c r="F533" s="835"/>
      <c r="G533" s="435"/>
      <c r="H533" s="435"/>
      <c r="I533" s="449"/>
    </row>
    <row r="534" spans="1:9" s="559" customFormat="1" ht="18.649999999999999" customHeight="1">
      <c r="A534" s="845"/>
      <c r="B534" s="399"/>
      <c r="C534" s="417" t="s">
        <v>1949</v>
      </c>
      <c r="D534" s="857">
        <f>G527</f>
        <v>2.743E-2</v>
      </c>
      <c r="E534" s="435" t="s">
        <v>666</v>
      </c>
      <c r="F534" s="835">
        <f>'[161]Civil-SOR'!$G$26</f>
        <v>91479</v>
      </c>
      <c r="G534" s="435">
        <v>1</v>
      </c>
      <c r="H534" s="435" t="s">
        <v>666</v>
      </c>
      <c r="I534" s="836">
        <f t="shared" ref="I534:I547" si="31">IF(G534="",D534*F534,(D534*F534/G534))</f>
        <v>2509.2689700000001</v>
      </c>
    </row>
    <row r="535" spans="1:9" s="559" customFormat="1" ht="18.649999999999999" customHeight="1">
      <c r="A535" s="845"/>
      <c r="B535" s="399"/>
      <c r="C535" s="417" t="s">
        <v>1928</v>
      </c>
      <c r="D535" s="857">
        <f>G529</f>
        <v>9.75E-3</v>
      </c>
      <c r="E535" s="435" t="s">
        <v>666</v>
      </c>
      <c r="F535" s="835">
        <f>'[161]Civil-SOR'!$G$25</f>
        <v>82331</v>
      </c>
      <c r="G535" s="435">
        <v>1</v>
      </c>
      <c r="H535" s="435" t="s">
        <v>666</v>
      </c>
      <c r="I535" s="836">
        <f t="shared" si="31"/>
        <v>802.72725000000003</v>
      </c>
    </row>
    <row r="536" spans="1:9" s="559" customFormat="1" ht="18.649999999999999" customHeight="1">
      <c r="A536" s="845"/>
      <c r="B536" s="399"/>
      <c r="C536" s="417" t="s">
        <v>1930</v>
      </c>
      <c r="D536" s="835">
        <f>G532</f>
        <v>2.87</v>
      </c>
      <c r="E536" s="435" t="s">
        <v>17</v>
      </c>
      <c r="F536" s="835">
        <f>'[161]Civil-SOR'!$G$114</f>
        <v>1334</v>
      </c>
      <c r="G536" s="435">
        <v>1</v>
      </c>
      <c r="H536" s="435" t="s">
        <v>17</v>
      </c>
      <c r="I536" s="836">
        <f t="shared" si="31"/>
        <v>3828.58</v>
      </c>
    </row>
    <row r="537" spans="1:9" s="559" customFormat="1" ht="18.649999999999999" customHeight="1">
      <c r="A537" s="845"/>
      <c r="B537" s="399"/>
      <c r="C537" s="417" t="s">
        <v>1931</v>
      </c>
      <c r="D537" s="837">
        <v>6</v>
      </c>
      <c r="E537" s="435" t="s">
        <v>375</v>
      </c>
      <c r="F537" s="835">
        <f>'[161]Civil-SOR'!$G$385</f>
        <v>37</v>
      </c>
      <c r="G537" s="435"/>
      <c r="H537" s="435" t="s">
        <v>572</v>
      </c>
      <c r="I537" s="836">
        <f t="shared" si="31"/>
        <v>222</v>
      </c>
    </row>
    <row r="538" spans="1:9" s="559" customFormat="1" ht="18.649999999999999" customHeight="1">
      <c r="A538" s="845"/>
      <c r="B538" s="399"/>
      <c r="C538" s="417" t="s">
        <v>1932</v>
      </c>
      <c r="D538" s="837">
        <v>2</v>
      </c>
      <c r="E538" s="435" t="s">
        <v>375</v>
      </c>
      <c r="F538" s="835">
        <f>'[161]Civil-SOR'!$G$153</f>
        <v>90</v>
      </c>
      <c r="G538" s="435"/>
      <c r="H538" s="435" t="s">
        <v>572</v>
      </c>
      <c r="I538" s="836">
        <f t="shared" si="31"/>
        <v>180</v>
      </c>
    </row>
    <row r="539" spans="1:9" s="559" customFormat="1" ht="18.649999999999999" customHeight="1">
      <c r="A539" s="845"/>
      <c r="B539" s="399"/>
      <c r="C539" s="417" t="s">
        <v>1933</v>
      </c>
      <c r="D539" s="837">
        <v>6</v>
      </c>
      <c r="E539" s="435" t="s">
        <v>375</v>
      </c>
      <c r="F539" s="835">
        <f>'[161]Civil-SOR'!$G$159</f>
        <v>106</v>
      </c>
      <c r="G539" s="435"/>
      <c r="H539" s="435" t="s">
        <v>572</v>
      </c>
      <c r="I539" s="836">
        <f t="shared" si="31"/>
        <v>636</v>
      </c>
    </row>
    <row r="540" spans="1:9" s="559" customFormat="1" ht="18.649999999999999" customHeight="1">
      <c r="A540" s="845"/>
      <c r="B540" s="399"/>
      <c r="C540" s="417" t="s">
        <v>1934</v>
      </c>
      <c r="D540" s="837">
        <v>1</v>
      </c>
      <c r="E540" s="435" t="s">
        <v>678</v>
      </c>
      <c r="F540" s="835">
        <f>'[161]Civil-SOR'!$G$172</f>
        <v>239</v>
      </c>
      <c r="G540" s="435"/>
      <c r="H540" s="435" t="s">
        <v>572</v>
      </c>
      <c r="I540" s="836">
        <f t="shared" si="31"/>
        <v>239</v>
      </c>
    </row>
    <row r="541" spans="1:9" s="559" customFormat="1" ht="18.649999999999999" customHeight="1">
      <c r="A541" s="845"/>
      <c r="B541" s="399"/>
      <c r="C541" s="417" t="s">
        <v>1935</v>
      </c>
      <c r="D541" s="837">
        <v>2</v>
      </c>
      <c r="E541" s="435" t="s">
        <v>375</v>
      </c>
      <c r="F541" s="835">
        <f>'[161]Civil-SOR'!$G$164</f>
        <v>100</v>
      </c>
      <c r="G541" s="435"/>
      <c r="H541" s="435" t="s">
        <v>572</v>
      </c>
      <c r="I541" s="836">
        <f t="shared" si="31"/>
        <v>200</v>
      </c>
    </row>
    <row r="542" spans="1:9" s="559" customFormat="1" ht="18.649999999999999" customHeight="1">
      <c r="A542" s="845"/>
      <c r="B542" s="399"/>
      <c r="C542" s="417" t="s">
        <v>1936</v>
      </c>
      <c r="D542" s="837">
        <v>2</v>
      </c>
      <c r="E542" s="435" t="s">
        <v>375</v>
      </c>
      <c r="F542" s="835">
        <f>'[161]Civil-SOR'!$G$178</f>
        <v>66</v>
      </c>
      <c r="G542" s="435"/>
      <c r="H542" s="435" t="s">
        <v>572</v>
      </c>
      <c r="I542" s="836">
        <f t="shared" si="31"/>
        <v>132</v>
      </c>
    </row>
    <row r="543" spans="1:9" s="559" customFormat="1" ht="18.649999999999999" customHeight="1">
      <c r="A543" s="845"/>
      <c r="B543" s="399"/>
      <c r="C543" s="417" t="s">
        <v>1937</v>
      </c>
      <c r="D543" s="837">
        <v>2</v>
      </c>
      <c r="E543" s="435" t="s">
        <v>375</v>
      </c>
      <c r="F543" s="835">
        <f>'[161]Civil-SOR'!$G$386</f>
        <v>12</v>
      </c>
      <c r="G543" s="435"/>
      <c r="H543" s="435" t="s">
        <v>572</v>
      </c>
      <c r="I543" s="836">
        <f t="shared" si="31"/>
        <v>24</v>
      </c>
    </row>
    <row r="544" spans="1:9" s="559" customFormat="1" ht="18.649999999999999" customHeight="1">
      <c r="A544" s="845"/>
      <c r="B544" s="399"/>
      <c r="C544" s="417" t="s">
        <v>682</v>
      </c>
      <c r="D544" s="862">
        <f>G530</f>
        <v>3.7179999999999998E-2</v>
      </c>
      <c r="E544" s="435" t="s">
        <v>666</v>
      </c>
      <c r="F544" s="835">
        <f>$I$8</f>
        <v>15027.85</v>
      </c>
      <c r="G544" s="435">
        <v>1</v>
      </c>
      <c r="H544" s="435" t="s">
        <v>666</v>
      </c>
      <c r="I544" s="836">
        <f t="shared" si="31"/>
        <v>558.73546299999998</v>
      </c>
    </row>
    <row r="545" spans="1:9" s="559" customFormat="1" ht="18.649999999999999" customHeight="1">
      <c r="A545" s="845"/>
      <c r="B545" s="399"/>
      <c r="C545" s="417" t="str">
        <f>[161]Input!$C$47</f>
        <v>Add for MA @ 40%</v>
      </c>
      <c r="D545" s="835">
        <f>[161]Input!$D$47</f>
        <v>0.4</v>
      </c>
      <c r="E545" s="435"/>
      <c r="F545" s="835">
        <f>I544</f>
        <v>558.73546299999998</v>
      </c>
      <c r="G545" s="435"/>
      <c r="H545" s="435"/>
      <c r="I545" s="836">
        <f t="shared" si="31"/>
        <v>223.4941852</v>
      </c>
    </row>
    <row r="546" spans="1:9" s="559" customFormat="1" ht="31.15" customHeight="1">
      <c r="A546" s="845"/>
      <c r="B546" s="399"/>
      <c r="C546" s="417" t="s">
        <v>2005</v>
      </c>
      <c r="D546" s="835">
        <f>G532</f>
        <v>2.87</v>
      </c>
      <c r="E546" s="435" t="s">
        <v>17</v>
      </c>
      <c r="F546" s="835">
        <f>'[161]Civil-SOR'!$G$206</f>
        <v>550</v>
      </c>
      <c r="G546" s="435">
        <v>1</v>
      </c>
      <c r="H546" s="435" t="s">
        <v>17</v>
      </c>
      <c r="I546" s="836">
        <f t="shared" si="31"/>
        <v>1578.5</v>
      </c>
    </row>
    <row r="547" spans="1:9" s="559" customFormat="1" ht="21.65" customHeight="1">
      <c r="A547" s="845"/>
      <c r="B547" s="399"/>
      <c r="C547" s="417" t="str">
        <f>[161]Input!$C$47</f>
        <v>Add for MA @ 40%</v>
      </c>
      <c r="D547" s="835">
        <f>[161]Input!$D$47</f>
        <v>0.4</v>
      </c>
      <c r="E547" s="435"/>
      <c r="F547" s="835">
        <f>I546</f>
        <v>1578.5</v>
      </c>
      <c r="G547" s="435"/>
      <c r="H547" s="435"/>
      <c r="I547" s="836">
        <f t="shared" si="31"/>
        <v>631.40000000000009</v>
      </c>
    </row>
    <row r="548" spans="1:9" s="559" customFormat="1" ht="21.65" customHeight="1">
      <c r="A548" s="845"/>
      <c r="B548" s="399"/>
      <c r="C548" s="417" t="s">
        <v>684</v>
      </c>
      <c r="D548" s="834"/>
      <c r="E548" s="435"/>
      <c r="F548" s="835"/>
      <c r="G548" s="435"/>
      <c r="H548" s="435"/>
      <c r="I548" s="838"/>
    </row>
    <row r="549" spans="1:9" s="559" customFormat="1" ht="21.65" customHeight="1">
      <c r="A549" s="845"/>
      <c r="B549" s="399"/>
      <c r="C549" s="427" t="s">
        <v>2021</v>
      </c>
      <c r="D549" s="835"/>
      <c r="E549" s="435"/>
      <c r="F549" s="835"/>
      <c r="G549" s="435"/>
      <c r="H549" s="435"/>
      <c r="I549" s="856">
        <f>SUM(I534:I548)</f>
        <v>11765.705868199999</v>
      </c>
    </row>
    <row r="550" spans="1:9" s="559" customFormat="1" ht="21.65" customHeight="1">
      <c r="A550" s="845"/>
      <c r="B550" s="399"/>
      <c r="C550" s="427" t="s">
        <v>686</v>
      </c>
      <c r="D550" s="835"/>
      <c r="E550" s="435"/>
      <c r="F550" s="835"/>
      <c r="G550" s="435"/>
      <c r="H550" s="435"/>
      <c r="I550" s="856">
        <f>I549/H524</f>
        <v>3735.1447200634911</v>
      </c>
    </row>
    <row r="551" spans="1:9" s="559" customFormat="1" ht="21.65" customHeight="1">
      <c r="A551" s="845"/>
      <c r="B551" s="399"/>
      <c r="C551" s="417" t="str">
        <f>[161]Input!$C$48</f>
        <v>Overheads &amp; Contractors Profit @ 13.615%</v>
      </c>
      <c r="D551" s="857">
        <f>[161]Input!$D$48</f>
        <v>0.13614999999999999</v>
      </c>
      <c r="E551" s="435"/>
      <c r="F551" s="835">
        <f>I550</f>
        <v>3735.1447200634911</v>
      </c>
      <c r="G551" s="435"/>
      <c r="H551" s="435"/>
      <c r="I551" s="836">
        <f>IF(G551="",D551*F551,(D551*F551/G551))</f>
        <v>508.53995363664427</v>
      </c>
    </row>
    <row r="552" spans="1:9" s="560" customFormat="1" ht="21.65" customHeight="1">
      <c r="A552" s="845"/>
      <c r="B552" s="399"/>
      <c r="C552" s="481" t="s">
        <v>686</v>
      </c>
      <c r="D552" s="858"/>
      <c r="E552" s="740"/>
      <c r="F552" s="858"/>
      <c r="G552" s="740"/>
      <c r="H552" s="740"/>
      <c r="I552" s="432">
        <f>SUM(I550:I551)</f>
        <v>4243.6846737001351</v>
      </c>
    </row>
    <row r="553" spans="1:9" s="560" customFormat="1" ht="24" customHeight="1">
      <c r="A553" s="845"/>
      <c r="B553" s="399"/>
      <c r="C553" s="496"/>
      <c r="D553" s="858"/>
      <c r="E553" s="740"/>
      <c r="F553" s="858"/>
      <c r="G553" s="1313" t="s">
        <v>687</v>
      </c>
      <c r="H553" s="1313"/>
      <c r="I553" s="436">
        <f>ROUND(I552,0)</f>
        <v>4244</v>
      </c>
    </row>
    <row r="554" spans="1:9" s="559" customFormat="1" ht="14.65" customHeight="1">
      <c r="A554" s="845"/>
      <c r="B554" s="399"/>
      <c r="C554" s="417"/>
      <c r="D554" s="835"/>
      <c r="E554" s="435"/>
      <c r="F554" s="835"/>
      <c r="G554" s="435"/>
      <c r="H554" s="399"/>
      <c r="I554" s="865"/>
    </row>
    <row r="555" spans="1:9" s="559" customFormat="1" ht="66" customHeight="1">
      <c r="A555" s="1350">
        <v>2</v>
      </c>
      <c r="B555" s="1350"/>
      <c r="C555" s="1276" t="s">
        <v>2022</v>
      </c>
      <c r="D555" s="1276"/>
      <c r="E555" s="1276"/>
      <c r="F555" s="1276"/>
      <c r="G555" s="1276"/>
      <c r="H555" s="1276"/>
      <c r="I555" s="427"/>
    </row>
    <row r="556" spans="1:9" s="559" customFormat="1" ht="115.9" customHeight="1">
      <c r="A556" s="1350"/>
      <c r="B556" s="1350"/>
      <c r="C556" s="1291" t="s">
        <v>2023</v>
      </c>
      <c r="D556" s="1291"/>
      <c r="E556" s="1291"/>
      <c r="F556" s="1291"/>
      <c r="G556" s="1291"/>
      <c r="H556" s="1291"/>
      <c r="I556" s="427"/>
    </row>
    <row r="557" spans="1:9" s="559" customFormat="1" ht="16" customHeight="1">
      <c r="A557" s="845"/>
      <c r="B557" s="399"/>
      <c r="C557" s="427" t="s">
        <v>659</v>
      </c>
      <c r="D557" s="435"/>
      <c r="E557" s="435"/>
      <c r="F557" s="435"/>
      <c r="G557" s="435"/>
      <c r="H557" s="435"/>
      <c r="I557" s="845"/>
    </row>
    <row r="558" spans="1:9" s="559" customFormat="1" ht="15" customHeight="1">
      <c r="A558" s="845"/>
      <c r="B558" s="399"/>
      <c r="C558" s="427"/>
      <c r="D558" s="514" t="s">
        <v>661</v>
      </c>
      <c r="E558" s="1294" t="s">
        <v>2024</v>
      </c>
      <c r="F558" s="1294"/>
      <c r="G558" s="1352">
        <f>1.2*2.1</f>
        <v>2.52</v>
      </c>
      <c r="H558" s="1352"/>
      <c r="I558" s="451" t="s">
        <v>62</v>
      </c>
    </row>
    <row r="559" spans="1:9" s="559" customFormat="1" ht="14.5" customHeight="1">
      <c r="A559" s="845"/>
      <c r="B559" s="399"/>
      <c r="C559" s="427" t="s">
        <v>660</v>
      </c>
      <c r="D559" s="1354"/>
      <c r="E559" s="1354"/>
      <c r="F559" s="1354"/>
      <c r="G559" s="1357"/>
      <c r="H559" s="1357"/>
      <c r="I559" s="449"/>
    </row>
    <row r="560" spans="1:9" s="559" customFormat="1" ht="14.5" customHeight="1">
      <c r="A560" s="845"/>
      <c r="B560" s="399"/>
      <c r="C560" s="417" t="s">
        <v>663</v>
      </c>
      <c r="D560" s="1314" t="s">
        <v>2000</v>
      </c>
      <c r="E560" s="1314"/>
      <c r="F560" s="1314"/>
      <c r="G560" s="861"/>
      <c r="H560" s="861"/>
      <c r="I560" s="449"/>
    </row>
    <row r="561" spans="1:11" s="559" customFormat="1" ht="14.5" customHeight="1">
      <c r="A561" s="845"/>
      <c r="B561" s="399"/>
      <c r="C561" s="417"/>
      <c r="D561" s="1314" t="s">
        <v>2017</v>
      </c>
      <c r="E561" s="1314"/>
      <c r="F561" s="1314"/>
      <c r="G561" s="1356">
        <f>ROUND(4.22*0.1*0.065,5)</f>
        <v>2.743E-2</v>
      </c>
      <c r="H561" s="1356"/>
      <c r="I561" s="449" t="s">
        <v>666</v>
      </c>
    </row>
    <row r="562" spans="1:11" s="559" customFormat="1" ht="14.5" customHeight="1">
      <c r="A562" s="845"/>
      <c r="B562" s="399"/>
      <c r="C562" s="417" t="s">
        <v>667</v>
      </c>
      <c r="D562" s="1314" t="s">
        <v>2025</v>
      </c>
      <c r="E562" s="1314"/>
      <c r="F562" s="1314"/>
      <c r="G562" s="1357"/>
      <c r="H562" s="1357"/>
      <c r="I562" s="449"/>
    </row>
    <row r="563" spans="1:11" s="559" customFormat="1" ht="14.5" customHeight="1">
      <c r="A563" s="845"/>
      <c r="B563" s="399"/>
      <c r="C563" s="417"/>
      <c r="D563" s="1314" t="s">
        <v>2026</v>
      </c>
      <c r="E563" s="1314"/>
      <c r="F563" s="1314"/>
      <c r="G563" s="1356">
        <f>ROUND(1.2*0.1*0.065,5)</f>
        <v>7.7999999999999996E-3</v>
      </c>
      <c r="H563" s="1356"/>
      <c r="I563" s="449" t="s">
        <v>666</v>
      </c>
    </row>
    <row r="564" spans="1:11" s="559" customFormat="1" ht="13.9" customHeight="1">
      <c r="A564" s="845"/>
      <c r="B564" s="399"/>
      <c r="C564" s="417"/>
      <c r="D564" s="1314"/>
      <c r="E564" s="1314"/>
      <c r="F564" s="1314"/>
      <c r="G564" s="1355">
        <f>SUM(G561:G563)</f>
        <v>3.5229999999999997E-2</v>
      </c>
      <c r="H564" s="1355"/>
      <c r="I564" s="851" t="s">
        <v>666</v>
      </c>
    </row>
    <row r="565" spans="1:11" s="559" customFormat="1" ht="13.9" customHeight="1">
      <c r="A565" s="845"/>
      <c r="B565" s="399"/>
      <c r="C565" s="417"/>
      <c r="D565" s="1314"/>
      <c r="E565" s="1314"/>
      <c r="F565" s="1314"/>
      <c r="G565" s="435"/>
      <c r="H565" s="473"/>
      <c r="I565" s="856"/>
    </row>
    <row r="566" spans="1:11" s="559" customFormat="1" ht="15" customHeight="1">
      <c r="A566" s="845"/>
      <c r="B566" s="399"/>
      <c r="C566" s="417" t="s">
        <v>1924</v>
      </c>
      <c r="D566" s="1314" t="s">
        <v>2027</v>
      </c>
      <c r="E566" s="1314"/>
      <c r="F566" s="1314"/>
      <c r="G566" s="435"/>
      <c r="H566" s="473">
        <f>ROUND(2*0.55*2.05,3)</f>
        <v>2.2549999999999999</v>
      </c>
      <c r="I566" s="851" t="s">
        <v>17</v>
      </c>
    </row>
    <row r="567" spans="1:11" s="559" customFormat="1" ht="12.65" customHeight="1">
      <c r="A567" s="845"/>
      <c r="B567" s="399"/>
      <c r="C567" s="417"/>
      <c r="D567" s="834"/>
      <c r="E567" s="435"/>
      <c r="F567" s="835"/>
      <c r="G567" s="435"/>
      <c r="H567" s="435"/>
      <c r="I567" s="838"/>
    </row>
    <row r="568" spans="1:11" s="559" customFormat="1" ht="17.5" customHeight="1">
      <c r="A568" s="845"/>
      <c r="B568" s="399"/>
      <c r="C568" s="417" t="s">
        <v>1927</v>
      </c>
      <c r="D568" s="853">
        <f>G561</f>
        <v>2.743E-2</v>
      </c>
      <c r="E568" s="435" t="s">
        <v>666</v>
      </c>
      <c r="F568" s="835">
        <f>'[161]Civil-SOR'!$G$26</f>
        <v>91479</v>
      </c>
      <c r="G568" s="435">
        <v>1</v>
      </c>
      <c r="H568" s="435" t="s">
        <v>666</v>
      </c>
      <c r="I568" s="836">
        <f t="shared" ref="I568:I581" si="32">IF(G568="",D568*F568,(D568*F568/G568))</f>
        <v>2509.2689700000001</v>
      </c>
      <c r="K568" s="703"/>
    </row>
    <row r="569" spans="1:11" s="559" customFormat="1" ht="17.5" customHeight="1">
      <c r="A569" s="845"/>
      <c r="B569" s="399"/>
      <c r="C569" s="417" t="s">
        <v>2028</v>
      </c>
      <c r="D569" s="853">
        <f>G563</f>
        <v>7.7999999999999996E-3</v>
      </c>
      <c r="E569" s="435" t="s">
        <v>666</v>
      </c>
      <c r="F569" s="835">
        <f>'[161]Civil-SOR'!$G$25</f>
        <v>82331</v>
      </c>
      <c r="G569" s="435">
        <v>1</v>
      </c>
      <c r="H569" s="435" t="s">
        <v>666</v>
      </c>
      <c r="I569" s="836">
        <f t="shared" si="32"/>
        <v>642.18179999999995</v>
      </c>
      <c r="K569" s="703"/>
    </row>
    <row r="570" spans="1:11" s="559" customFormat="1" ht="17.5" customHeight="1">
      <c r="A570" s="845"/>
      <c r="B570" s="399"/>
      <c r="C570" s="417" t="s">
        <v>1930</v>
      </c>
      <c r="D570" s="834">
        <f>H566</f>
        <v>2.2549999999999999</v>
      </c>
      <c r="E570" s="435" t="s">
        <v>17</v>
      </c>
      <c r="F570" s="835">
        <f>'[161]Civil-SOR'!$G$114</f>
        <v>1334</v>
      </c>
      <c r="G570" s="435">
        <v>1</v>
      </c>
      <c r="H570" s="435" t="s">
        <v>17</v>
      </c>
      <c r="I570" s="836">
        <f t="shared" si="32"/>
        <v>3008.17</v>
      </c>
      <c r="K570" s="703"/>
    </row>
    <row r="571" spans="1:11" s="559" customFormat="1" ht="17.5" customHeight="1">
      <c r="A571" s="845"/>
      <c r="B571" s="399"/>
      <c r="C571" s="417" t="s">
        <v>1931</v>
      </c>
      <c r="D571" s="837">
        <v>6</v>
      </c>
      <c r="E571" s="435" t="s">
        <v>375</v>
      </c>
      <c r="F571" s="835">
        <f>'[161]Civil-SOR'!$G$385</f>
        <v>37</v>
      </c>
      <c r="G571" s="435"/>
      <c r="H571" s="435" t="s">
        <v>572</v>
      </c>
      <c r="I571" s="836">
        <f t="shared" si="32"/>
        <v>222</v>
      </c>
      <c r="K571" s="703"/>
    </row>
    <row r="572" spans="1:11" s="559" customFormat="1" ht="17.5" customHeight="1">
      <c r="A572" s="845"/>
      <c r="B572" s="399"/>
      <c r="C572" s="417" t="s">
        <v>1932</v>
      </c>
      <c r="D572" s="837">
        <v>2</v>
      </c>
      <c r="E572" s="435" t="s">
        <v>375</v>
      </c>
      <c r="F572" s="835">
        <f>'[161]Civil-SOR'!$G$153</f>
        <v>90</v>
      </c>
      <c r="G572" s="435"/>
      <c r="H572" s="435" t="s">
        <v>572</v>
      </c>
      <c r="I572" s="836">
        <f t="shared" si="32"/>
        <v>180</v>
      </c>
      <c r="K572" s="703"/>
    </row>
    <row r="573" spans="1:11" s="559" customFormat="1" ht="17.5" customHeight="1">
      <c r="A573" s="845"/>
      <c r="B573" s="399"/>
      <c r="C573" s="417" t="s">
        <v>1933</v>
      </c>
      <c r="D573" s="837">
        <v>6</v>
      </c>
      <c r="E573" s="435" t="s">
        <v>375</v>
      </c>
      <c r="F573" s="835">
        <f>'[161]Civil-SOR'!$G$159</f>
        <v>106</v>
      </c>
      <c r="G573" s="435"/>
      <c r="H573" s="435" t="s">
        <v>572</v>
      </c>
      <c r="I573" s="836">
        <f t="shared" si="32"/>
        <v>636</v>
      </c>
      <c r="K573" s="703"/>
    </row>
    <row r="574" spans="1:11" s="559" customFormat="1" ht="17.5" customHeight="1">
      <c r="A574" s="845"/>
      <c r="B574" s="399"/>
      <c r="C574" s="417" t="s">
        <v>1934</v>
      </c>
      <c r="D574" s="837">
        <v>1</v>
      </c>
      <c r="E574" s="435" t="s">
        <v>678</v>
      </c>
      <c r="F574" s="835">
        <f>'[161]Civil-SOR'!$G$172</f>
        <v>239</v>
      </c>
      <c r="G574" s="435"/>
      <c r="H574" s="435" t="s">
        <v>572</v>
      </c>
      <c r="I574" s="836">
        <f t="shared" si="32"/>
        <v>239</v>
      </c>
      <c r="K574" s="703"/>
    </row>
    <row r="575" spans="1:11" s="559" customFormat="1" ht="17.5" customHeight="1">
      <c r="A575" s="845"/>
      <c r="B575" s="399"/>
      <c r="C575" s="417" t="s">
        <v>1935</v>
      </c>
      <c r="D575" s="837">
        <v>2</v>
      </c>
      <c r="E575" s="435" t="s">
        <v>375</v>
      </c>
      <c r="F575" s="835">
        <f>'[161]Civil-SOR'!$G$164</f>
        <v>100</v>
      </c>
      <c r="G575" s="435"/>
      <c r="H575" s="435" t="s">
        <v>572</v>
      </c>
      <c r="I575" s="836">
        <f t="shared" si="32"/>
        <v>200</v>
      </c>
      <c r="K575" s="703"/>
    </row>
    <row r="576" spans="1:11" s="559" customFormat="1" ht="17.5" customHeight="1">
      <c r="A576" s="845"/>
      <c r="B576" s="399"/>
      <c r="C576" s="417" t="s">
        <v>1936</v>
      </c>
      <c r="D576" s="837">
        <v>2</v>
      </c>
      <c r="E576" s="435" t="s">
        <v>375</v>
      </c>
      <c r="F576" s="835">
        <f>'[161]Civil-SOR'!$G$178</f>
        <v>66</v>
      </c>
      <c r="G576" s="435"/>
      <c r="H576" s="435" t="s">
        <v>572</v>
      </c>
      <c r="I576" s="836">
        <f t="shared" si="32"/>
        <v>132</v>
      </c>
      <c r="K576" s="703"/>
    </row>
    <row r="577" spans="1:11" s="559" customFormat="1" ht="17.5" customHeight="1">
      <c r="A577" s="845"/>
      <c r="B577" s="399"/>
      <c r="C577" s="417" t="s">
        <v>1937</v>
      </c>
      <c r="D577" s="837">
        <v>2</v>
      </c>
      <c r="E577" s="435" t="s">
        <v>375</v>
      </c>
      <c r="F577" s="835">
        <f>'[161]Civil-SOR'!$G$386</f>
        <v>12</v>
      </c>
      <c r="G577" s="435"/>
      <c r="H577" s="435" t="s">
        <v>572</v>
      </c>
      <c r="I577" s="836">
        <f t="shared" si="32"/>
        <v>24</v>
      </c>
      <c r="K577" s="703"/>
    </row>
    <row r="578" spans="1:11" s="559" customFormat="1" ht="17.5" customHeight="1">
      <c r="A578" s="845"/>
      <c r="B578" s="399"/>
      <c r="C578" s="417" t="s">
        <v>682</v>
      </c>
      <c r="D578" s="869">
        <f>G564</f>
        <v>3.5229999999999997E-2</v>
      </c>
      <c r="E578" s="435" t="s">
        <v>666</v>
      </c>
      <c r="F578" s="835">
        <f>$I$8</f>
        <v>15027.85</v>
      </c>
      <c r="G578" s="435">
        <v>1</v>
      </c>
      <c r="H578" s="435" t="s">
        <v>666</v>
      </c>
      <c r="I578" s="836">
        <f t="shared" si="32"/>
        <v>529.43115549999993</v>
      </c>
      <c r="K578" s="703"/>
    </row>
    <row r="579" spans="1:11" s="559" customFormat="1" ht="17.5" customHeight="1">
      <c r="A579" s="845"/>
      <c r="B579" s="399"/>
      <c r="C579" s="417" t="str">
        <f>[161]Input!$C$47</f>
        <v>Add for MA @ 40%</v>
      </c>
      <c r="D579" s="835">
        <f>[161]Input!$D$47</f>
        <v>0.4</v>
      </c>
      <c r="E579" s="435"/>
      <c r="F579" s="835">
        <f>I578</f>
        <v>529.43115549999993</v>
      </c>
      <c r="G579" s="435"/>
      <c r="H579" s="435"/>
      <c r="I579" s="836">
        <f t="shared" si="32"/>
        <v>211.77246219999998</v>
      </c>
      <c r="K579" s="703"/>
    </row>
    <row r="580" spans="1:11" s="559" customFormat="1" ht="47.5" customHeight="1">
      <c r="A580" s="845"/>
      <c r="B580" s="399"/>
      <c r="C580" s="417" t="str">
        <f>C546</f>
        <v>Labour charges for fixing flush door shutter to the frame ,  fixing the fixtures to the shutter       TBSC-T.I-25</v>
      </c>
      <c r="D580" s="834">
        <f>H566</f>
        <v>2.2549999999999999</v>
      </c>
      <c r="E580" s="435" t="s">
        <v>17</v>
      </c>
      <c r="F580" s="835">
        <f>'[161]Civil-SOR'!$G$206</f>
        <v>550</v>
      </c>
      <c r="G580" s="435">
        <v>1</v>
      </c>
      <c r="H580" s="435" t="s">
        <v>17</v>
      </c>
      <c r="I580" s="836">
        <f t="shared" si="32"/>
        <v>1240.25</v>
      </c>
      <c r="K580" s="703"/>
    </row>
    <row r="581" spans="1:11" s="559" customFormat="1" ht="16.149999999999999" customHeight="1">
      <c r="A581" s="845"/>
      <c r="B581" s="399"/>
      <c r="C581" s="417" t="str">
        <f>[161]Input!$C$47</f>
        <v>Add for MA @ 40%</v>
      </c>
      <c r="D581" s="835">
        <f>[161]Input!$D$47</f>
        <v>0.4</v>
      </c>
      <c r="E581" s="435"/>
      <c r="F581" s="835">
        <f>I580</f>
        <v>1240.25</v>
      </c>
      <c r="G581" s="435"/>
      <c r="H581" s="435"/>
      <c r="I581" s="836">
        <f t="shared" si="32"/>
        <v>496.1</v>
      </c>
      <c r="K581" s="703"/>
    </row>
    <row r="582" spans="1:11" s="559" customFormat="1" ht="19.899999999999999" customHeight="1">
      <c r="A582" s="845"/>
      <c r="B582" s="399"/>
      <c r="C582" s="417" t="s">
        <v>684</v>
      </c>
      <c r="D582" s="834"/>
      <c r="E582" s="435"/>
      <c r="F582" s="835"/>
      <c r="G582" s="435"/>
      <c r="H582" s="435"/>
      <c r="I582" s="838"/>
      <c r="K582" s="703"/>
    </row>
    <row r="583" spans="1:11" s="559" customFormat="1" ht="19.899999999999999" customHeight="1">
      <c r="A583" s="845"/>
      <c r="B583" s="399"/>
      <c r="C583" s="427" t="s">
        <v>2029</v>
      </c>
      <c r="D583" s="835"/>
      <c r="E583" s="435"/>
      <c r="F583" s="835"/>
      <c r="G583" s="435"/>
      <c r="H583" s="435"/>
      <c r="I583" s="856">
        <f>SUM(I568:I582)</f>
        <v>10270.174387700001</v>
      </c>
      <c r="K583" s="703"/>
    </row>
    <row r="584" spans="1:11" s="559" customFormat="1" ht="19.899999999999999" customHeight="1">
      <c r="A584" s="845"/>
      <c r="B584" s="399"/>
      <c r="C584" s="427" t="s">
        <v>686</v>
      </c>
      <c r="D584" s="835"/>
      <c r="E584" s="435"/>
      <c r="F584" s="835"/>
      <c r="G584" s="435"/>
      <c r="H584" s="435"/>
      <c r="I584" s="856">
        <f>I583/G558</f>
        <v>4075.4660268650796</v>
      </c>
      <c r="K584" s="703"/>
    </row>
    <row r="585" spans="1:11" s="559" customFormat="1" ht="19.899999999999999" customHeight="1">
      <c r="A585" s="845"/>
      <c r="B585" s="399"/>
      <c r="C585" s="417" t="str">
        <f>[161]Input!$C$48</f>
        <v>Overheads &amp; Contractors Profit @ 13.615%</v>
      </c>
      <c r="D585" s="857">
        <f>[161]Input!$D$48</f>
        <v>0.13614999999999999</v>
      </c>
      <c r="E585" s="435"/>
      <c r="F585" s="835">
        <f>I584</f>
        <v>4075.4660268650796</v>
      </c>
      <c r="G585" s="435"/>
      <c r="H585" s="435"/>
      <c r="I585" s="836">
        <f>IF(G585="",D585*F585,(D585*F585/G585))</f>
        <v>554.87469955768051</v>
      </c>
      <c r="K585" s="703"/>
    </row>
    <row r="586" spans="1:11" s="560" customFormat="1" ht="20.5" customHeight="1">
      <c r="A586" s="845"/>
      <c r="B586" s="399"/>
      <c r="C586" s="481" t="s">
        <v>686</v>
      </c>
      <c r="D586" s="858"/>
      <c r="E586" s="740"/>
      <c r="F586" s="858"/>
      <c r="G586" s="740"/>
      <c r="H586" s="740"/>
      <c r="I586" s="422">
        <f>SUM(I584:I585)</f>
        <v>4630.3407264227599</v>
      </c>
      <c r="K586" s="405"/>
    </row>
    <row r="587" spans="1:11" s="560" customFormat="1" ht="20.5" customHeight="1">
      <c r="A587" s="845"/>
      <c r="B587" s="399"/>
      <c r="C587" s="496"/>
      <c r="D587" s="858"/>
      <c r="E587" s="740"/>
      <c r="F587" s="858"/>
      <c r="G587" s="740"/>
      <c r="H587" s="469" t="s">
        <v>774</v>
      </c>
      <c r="I587" s="436">
        <f>ROUND(I586,0)</f>
        <v>4630</v>
      </c>
      <c r="K587" s="405"/>
    </row>
    <row r="588" spans="1:11" s="559" customFormat="1" ht="14.65" customHeight="1">
      <c r="A588" s="845"/>
      <c r="B588" s="399"/>
      <c r="C588" s="417"/>
      <c r="D588" s="835"/>
      <c r="E588" s="435"/>
      <c r="F588" s="835"/>
      <c r="G588" s="435"/>
      <c r="H588" s="399"/>
      <c r="I588" s="865"/>
    </row>
    <row r="589" spans="1:11" s="559" customFormat="1" ht="83.5" customHeight="1">
      <c r="A589" s="1332">
        <f>A555+1</f>
        <v>3</v>
      </c>
      <c r="B589" s="1332"/>
      <c r="C589" s="1276" t="s">
        <v>2030</v>
      </c>
      <c r="D589" s="1276"/>
      <c r="E589" s="1276"/>
      <c r="F589" s="1276"/>
      <c r="G589" s="1276"/>
      <c r="H589" s="1276"/>
      <c r="I589" s="427"/>
    </row>
    <row r="590" spans="1:11" s="559" customFormat="1" ht="124.9" customHeight="1">
      <c r="A590" s="845"/>
      <c r="B590" s="399"/>
      <c r="C590" s="1291" t="s">
        <v>2031</v>
      </c>
      <c r="D590" s="1291"/>
      <c r="E590" s="1291"/>
      <c r="F590" s="1291"/>
      <c r="G590" s="1291"/>
      <c r="H590" s="1291"/>
      <c r="I590" s="427"/>
    </row>
    <row r="591" spans="1:11" s="559" customFormat="1" ht="13.9" customHeight="1">
      <c r="A591" s="845"/>
      <c r="B591" s="399"/>
      <c r="C591" s="427" t="s">
        <v>659</v>
      </c>
      <c r="D591" s="1275"/>
      <c r="E591" s="1275"/>
      <c r="F591" s="1275"/>
      <c r="G591" s="435"/>
      <c r="H591" s="435"/>
      <c r="I591" s="845"/>
    </row>
    <row r="592" spans="1:11" s="559" customFormat="1" ht="15.65" customHeight="1">
      <c r="A592" s="845"/>
      <c r="B592" s="399"/>
      <c r="C592" s="417"/>
      <c r="D592" s="514" t="s">
        <v>661</v>
      </c>
      <c r="E592" s="1294" t="s">
        <v>2032</v>
      </c>
      <c r="F592" s="1294"/>
      <c r="G592" s="1352">
        <f>1*2.1</f>
        <v>2.1</v>
      </c>
      <c r="H592" s="1352"/>
      <c r="I592" s="851" t="s">
        <v>17</v>
      </c>
    </row>
    <row r="593" spans="1:11" s="559" customFormat="1" ht="15.65" customHeight="1">
      <c r="A593" s="845"/>
      <c r="B593" s="399"/>
      <c r="C593" s="427" t="s">
        <v>660</v>
      </c>
      <c r="D593" s="1354"/>
      <c r="E593" s="1354"/>
      <c r="F593" s="1354"/>
      <c r="G593" s="1275"/>
      <c r="H593" s="1275"/>
      <c r="I593" s="838"/>
    </row>
    <row r="594" spans="1:11" s="559" customFormat="1" ht="15.65" customHeight="1">
      <c r="A594" s="845"/>
      <c r="B594" s="399"/>
      <c r="C594" s="417" t="s">
        <v>663</v>
      </c>
      <c r="D594" s="1314" t="s">
        <v>2000</v>
      </c>
      <c r="E594" s="1314"/>
      <c r="F594" s="1314"/>
      <c r="G594" s="435"/>
      <c r="H594" s="435"/>
      <c r="I594" s="838"/>
    </row>
    <row r="595" spans="1:11" s="559" customFormat="1" ht="15.65" customHeight="1">
      <c r="A595" s="845"/>
      <c r="B595" s="399"/>
      <c r="C595" s="417"/>
      <c r="D595" s="1314" t="s">
        <v>2017</v>
      </c>
      <c r="E595" s="1314"/>
      <c r="F595" s="1314"/>
      <c r="G595" s="1356">
        <f>ROUND(4.22*0.1*0.065,5)</f>
        <v>2.743E-2</v>
      </c>
      <c r="H595" s="1356"/>
      <c r="I595" s="449" t="s">
        <v>666</v>
      </c>
    </row>
    <row r="596" spans="1:11" s="559" customFormat="1" ht="15.65" customHeight="1">
      <c r="A596" s="845"/>
      <c r="B596" s="399"/>
      <c r="C596" s="417" t="s">
        <v>667</v>
      </c>
      <c r="D596" s="1314" t="s">
        <v>2033</v>
      </c>
      <c r="E596" s="1314"/>
      <c r="F596" s="1314"/>
      <c r="G596" s="861"/>
      <c r="H596" s="861"/>
      <c r="I596" s="449"/>
    </row>
    <row r="597" spans="1:11" s="559" customFormat="1" ht="15.65" customHeight="1">
      <c r="A597" s="845"/>
      <c r="B597" s="399"/>
      <c r="C597" s="417"/>
      <c r="D597" s="1314" t="s">
        <v>2034</v>
      </c>
      <c r="E597" s="1314"/>
      <c r="F597" s="1314"/>
      <c r="G597" s="1356">
        <f>ROUND(1*0.1*0.065,5)</f>
        <v>6.4999999999999997E-3</v>
      </c>
      <c r="H597" s="1356"/>
      <c r="I597" s="449" t="s">
        <v>666</v>
      </c>
    </row>
    <row r="598" spans="1:11" s="559" customFormat="1" ht="15.65" customHeight="1">
      <c r="A598" s="845"/>
      <c r="B598" s="399"/>
      <c r="C598" s="417"/>
      <c r="D598" s="1354"/>
      <c r="E598" s="1354"/>
      <c r="F598" s="1354"/>
      <c r="G598" s="1355">
        <f>SUM(G595:G597)</f>
        <v>3.3930000000000002E-2</v>
      </c>
      <c r="H598" s="1355"/>
      <c r="I598" s="851" t="s">
        <v>666</v>
      </c>
    </row>
    <row r="599" spans="1:11" s="559" customFormat="1" ht="15.65" customHeight="1">
      <c r="A599" s="845"/>
      <c r="B599" s="399"/>
      <c r="C599" s="417" t="s">
        <v>1924</v>
      </c>
      <c r="D599" s="1314" t="s">
        <v>2035</v>
      </c>
      <c r="E599" s="1314"/>
      <c r="F599" s="1314"/>
      <c r="G599" s="1275">
        <f>ROUND(0.9*2.05,3)</f>
        <v>1.845</v>
      </c>
      <c r="H599" s="1275"/>
      <c r="I599" s="851" t="s">
        <v>17</v>
      </c>
    </row>
    <row r="600" spans="1:11" s="559" customFormat="1" ht="16" customHeight="1">
      <c r="A600" s="845"/>
      <c r="B600" s="399"/>
      <c r="C600" s="427" t="s">
        <v>672</v>
      </c>
      <c r="D600" s="835"/>
      <c r="E600" s="435"/>
      <c r="F600" s="835"/>
      <c r="G600" s="435"/>
      <c r="H600" s="435"/>
      <c r="I600" s="838"/>
    </row>
    <row r="601" spans="1:11" s="559" customFormat="1" ht="15.65" customHeight="1">
      <c r="A601" s="845"/>
      <c r="B601" s="399"/>
      <c r="C601" s="417" t="s">
        <v>1949</v>
      </c>
      <c r="D601" s="857">
        <f>G595</f>
        <v>2.743E-2</v>
      </c>
      <c r="E601" s="435" t="s">
        <v>666</v>
      </c>
      <c r="F601" s="835">
        <f>'[161]Civil-SOR'!$G$26</f>
        <v>91479</v>
      </c>
      <c r="G601" s="435">
        <v>1</v>
      </c>
      <c r="H601" s="435" t="s">
        <v>666</v>
      </c>
      <c r="I601" s="836">
        <f t="shared" ref="I601:I614" si="33">IF(G601="",D601*F601,(D601*F601/G601))</f>
        <v>2509.2689700000001</v>
      </c>
      <c r="K601" s="703"/>
    </row>
    <row r="602" spans="1:11" s="559" customFormat="1" ht="17.5" customHeight="1">
      <c r="A602" s="845"/>
      <c r="B602" s="399"/>
      <c r="C602" s="417" t="s">
        <v>2036</v>
      </c>
      <c r="D602" s="857">
        <f>G597</f>
        <v>6.4999999999999997E-3</v>
      </c>
      <c r="E602" s="435" t="s">
        <v>666</v>
      </c>
      <c r="F602" s="835">
        <f>'[161]Civil-SOR'!$G$25</f>
        <v>82331</v>
      </c>
      <c r="G602" s="435">
        <v>1</v>
      </c>
      <c r="H602" s="435" t="s">
        <v>666</v>
      </c>
      <c r="I602" s="836">
        <f t="shared" si="33"/>
        <v>535.15149999999994</v>
      </c>
      <c r="K602" s="703"/>
    </row>
    <row r="603" spans="1:11" s="559" customFormat="1" ht="15.65" customHeight="1">
      <c r="A603" s="845"/>
      <c r="B603" s="399"/>
      <c r="C603" s="417" t="s">
        <v>1930</v>
      </c>
      <c r="D603" s="834">
        <f>G599</f>
        <v>1.845</v>
      </c>
      <c r="E603" s="435" t="s">
        <v>17</v>
      </c>
      <c r="F603" s="835">
        <f>'[161]Civil-SOR'!$G$114</f>
        <v>1334</v>
      </c>
      <c r="G603" s="435">
        <v>1</v>
      </c>
      <c r="H603" s="435" t="s">
        <v>17</v>
      </c>
      <c r="I603" s="836">
        <f t="shared" si="33"/>
        <v>2461.23</v>
      </c>
      <c r="K603" s="703"/>
    </row>
    <row r="604" spans="1:11" s="559" customFormat="1" ht="15.65" customHeight="1">
      <c r="A604" s="845"/>
      <c r="B604" s="399"/>
      <c r="C604" s="417" t="s">
        <v>1931</v>
      </c>
      <c r="D604" s="837">
        <v>6</v>
      </c>
      <c r="E604" s="435" t="s">
        <v>375</v>
      </c>
      <c r="F604" s="835">
        <f>'[161]Civil-SOR'!$G$385</f>
        <v>37</v>
      </c>
      <c r="G604" s="435"/>
      <c r="H604" s="435" t="s">
        <v>572</v>
      </c>
      <c r="I604" s="836">
        <f t="shared" si="33"/>
        <v>222</v>
      </c>
      <c r="K604" s="703"/>
    </row>
    <row r="605" spans="1:11" s="559" customFormat="1" ht="15.65" customHeight="1">
      <c r="A605" s="845"/>
      <c r="B605" s="399"/>
      <c r="C605" s="417" t="s">
        <v>1932</v>
      </c>
      <c r="D605" s="837">
        <v>1</v>
      </c>
      <c r="E605" s="435" t="s">
        <v>678</v>
      </c>
      <c r="F605" s="835">
        <f>'[161]Civil-SOR'!$G$153</f>
        <v>90</v>
      </c>
      <c r="G605" s="435"/>
      <c r="H605" s="435" t="s">
        <v>572</v>
      </c>
      <c r="I605" s="836">
        <f t="shared" si="33"/>
        <v>90</v>
      </c>
      <c r="K605" s="703"/>
    </row>
    <row r="606" spans="1:11" s="559" customFormat="1" ht="15.65" customHeight="1">
      <c r="A606" s="845"/>
      <c r="B606" s="399"/>
      <c r="C606" s="417" t="s">
        <v>1933</v>
      </c>
      <c r="D606" s="837">
        <v>3</v>
      </c>
      <c r="E606" s="435" t="s">
        <v>375</v>
      </c>
      <c r="F606" s="835">
        <f>'[161]Civil-SOR'!$G$159</f>
        <v>106</v>
      </c>
      <c r="G606" s="435"/>
      <c r="H606" s="435" t="s">
        <v>572</v>
      </c>
      <c r="I606" s="836">
        <f t="shared" si="33"/>
        <v>318</v>
      </c>
      <c r="K606" s="703"/>
    </row>
    <row r="607" spans="1:11" s="559" customFormat="1" ht="15.65" customHeight="1">
      <c r="A607" s="845"/>
      <c r="B607" s="399"/>
      <c r="C607" s="417" t="s">
        <v>1934</v>
      </c>
      <c r="D607" s="837">
        <v>1</v>
      </c>
      <c r="E607" s="435" t="s">
        <v>678</v>
      </c>
      <c r="F607" s="835">
        <f>'[161]Civil-SOR'!$G$172</f>
        <v>239</v>
      </c>
      <c r="G607" s="435"/>
      <c r="H607" s="435" t="s">
        <v>572</v>
      </c>
      <c r="I607" s="836">
        <f t="shared" si="33"/>
        <v>239</v>
      </c>
      <c r="K607" s="703"/>
    </row>
    <row r="608" spans="1:11" s="559" customFormat="1" ht="15.65" customHeight="1">
      <c r="A608" s="845"/>
      <c r="B608" s="399"/>
      <c r="C608" s="417" t="s">
        <v>1935</v>
      </c>
      <c r="D608" s="837">
        <v>2</v>
      </c>
      <c r="E608" s="435" t="s">
        <v>375</v>
      </c>
      <c r="F608" s="835">
        <f>'[161]Civil-SOR'!$G$164</f>
        <v>100</v>
      </c>
      <c r="G608" s="435"/>
      <c r="H608" s="435" t="s">
        <v>572</v>
      </c>
      <c r="I608" s="836">
        <f t="shared" si="33"/>
        <v>200</v>
      </c>
      <c r="K608" s="703"/>
    </row>
    <row r="609" spans="1:11" s="559" customFormat="1" ht="15.65" customHeight="1">
      <c r="A609" s="845"/>
      <c r="B609" s="399"/>
      <c r="C609" s="417" t="s">
        <v>1936</v>
      </c>
      <c r="D609" s="837">
        <v>1</v>
      </c>
      <c r="E609" s="435" t="s">
        <v>678</v>
      </c>
      <c r="F609" s="835">
        <f>'[161]Civil-SOR'!$G$178</f>
        <v>66</v>
      </c>
      <c r="G609" s="435"/>
      <c r="H609" s="435" t="s">
        <v>572</v>
      </c>
      <c r="I609" s="836">
        <f t="shared" si="33"/>
        <v>66</v>
      </c>
      <c r="K609" s="703"/>
    </row>
    <row r="610" spans="1:11" s="559" customFormat="1" ht="15.65" customHeight="1">
      <c r="A610" s="845"/>
      <c r="B610" s="399"/>
      <c r="C610" s="417" t="s">
        <v>1937</v>
      </c>
      <c r="D610" s="837">
        <v>1</v>
      </c>
      <c r="E610" s="435" t="s">
        <v>678</v>
      </c>
      <c r="F610" s="835">
        <f>'[161]Civil-SOR'!$G$386</f>
        <v>12</v>
      </c>
      <c r="G610" s="435"/>
      <c r="H610" s="435" t="s">
        <v>572</v>
      </c>
      <c r="I610" s="836">
        <f t="shared" si="33"/>
        <v>12</v>
      </c>
      <c r="K610" s="703"/>
    </row>
    <row r="611" spans="1:11" s="559" customFormat="1" ht="18" customHeight="1">
      <c r="A611" s="845"/>
      <c r="B611" s="399"/>
      <c r="C611" s="417" t="s">
        <v>682</v>
      </c>
      <c r="D611" s="867">
        <f>G598</f>
        <v>3.3930000000000002E-2</v>
      </c>
      <c r="E611" s="435" t="s">
        <v>666</v>
      </c>
      <c r="F611" s="835">
        <f>$I$8</f>
        <v>15027.85</v>
      </c>
      <c r="G611" s="435">
        <v>1</v>
      </c>
      <c r="H611" s="435" t="s">
        <v>666</v>
      </c>
      <c r="I611" s="836">
        <f t="shared" si="33"/>
        <v>509.89495050000005</v>
      </c>
      <c r="K611" s="703"/>
    </row>
    <row r="612" spans="1:11" s="559" customFormat="1" ht="18" customHeight="1">
      <c r="A612" s="845"/>
      <c r="B612" s="399"/>
      <c r="C612" s="417" t="str">
        <f>[161]Input!$C$47</f>
        <v>Add for MA @ 40%</v>
      </c>
      <c r="D612" s="835">
        <f>[161]Input!$D$47</f>
        <v>0.4</v>
      </c>
      <c r="E612" s="435"/>
      <c r="F612" s="835">
        <f>I611</f>
        <v>509.89495050000005</v>
      </c>
      <c r="G612" s="435"/>
      <c r="H612" s="435"/>
      <c r="I612" s="836">
        <f t="shared" si="33"/>
        <v>203.95798020000004</v>
      </c>
      <c r="K612" s="703"/>
    </row>
    <row r="613" spans="1:11" s="559" customFormat="1" ht="42.65" customHeight="1">
      <c r="A613" s="845"/>
      <c r="B613" s="399"/>
      <c r="C613" s="417" t="str">
        <f>C580</f>
        <v>Labour charges for fixing flush door shutter to the frame ,  fixing the fixtures to the shutter       TBSC-T.I-25</v>
      </c>
      <c r="D613" s="834">
        <f>G599</f>
        <v>1.845</v>
      </c>
      <c r="E613" s="435" t="s">
        <v>17</v>
      </c>
      <c r="F613" s="835">
        <f>'[161]Civil-SOR'!$G$206</f>
        <v>550</v>
      </c>
      <c r="G613" s="435">
        <v>1</v>
      </c>
      <c r="H613" s="435" t="s">
        <v>17</v>
      </c>
      <c r="I613" s="836">
        <f t="shared" si="33"/>
        <v>1014.75</v>
      </c>
      <c r="K613" s="703"/>
    </row>
    <row r="614" spans="1:11" s="559" customFormat="1" ht="18" customHeight="1">
      <c r="A614" s="845"/>
      <c r="B614" s="399"/>
      <c r="C614" s="417" t="str">
        <f>[161]Input!$C$47</f>
        <v>Add for MA @ 40%</v>
      </c>
      <c r="D614" s="835">
        <f>[161]Input!$D$47</f>
        <v>0.4</v>
      </c>
      <c r="E614" s="435"/>
      <c r="F614" s="835">
        <f>I613</f>
        <v>1014.75</v>
      </c>
      <c r="G614" s="435"/>
      <c r="H614" s="435"/>
      <c r="I614" s="836">
        <f t="shared" si="33"/>
        <v>405.90000000000003</v>
      </c>
      <c r="K614" s="703"/>
    </row>
    <row r="615" spans="1:11" s="559" customFormat="1" ht="18" customHeight="1">
      <c r="A615" s="845"/>
      <c r="B615" s="399"/>
      <c r="C615" s="417" t="s">
        <v>684</v>
      </c>
      <c r="D615" s="835"/>
      <c r="E615" s="435"/>
      <c r="F615" s="835"/>
      <c r="G615" s="435"/>
      <c r="H615" s="435"/>
      <c r="I615" s="838"/>
      <c r="K615" s="703"/>
    </row>
    <row r="616" spans="1:11" s="559" customFormat="1" ht="18" customHeight="1">
      <c r="A616" s="845"/>
      <c r="B616" s="399"/>
      <c r="C616" s="427" t="s">
        <v>2037</v>
      </c>
      <c r="D616" s="835"/>
      <c r="E616" s="435"/>
      <c r="F616" s="835"/>
      <c r="G616" s="435"/>
      <c r="H616" s="435"/>
      <c r="I616" s="856">
        <f>SUM(I601:I615)</f>
        <v>8787.1534006999991</v>
      </c>
      <c r="K616" s="703"/>
    </row>
    <row r="617" spans="1:11" s="559" customFormat="1" ht="18" customHeight="1">
      <c r="A617" s="845"/>
      <c r="B617" s="399"/>
      <c r="C617" s="417" t="str">
        <f>[161]Input!$C$48</f>
        <v>Overheads &amp; Contractors Profit @ 13.615%</v>
      </c>
      <c r="D617" s="857">
        <f>[161]Input!$D$48</f>
        <v>0.13614999999999999</v>
      </c>
      <c r="E617" s="435"/>
      <c r="F617" s="835">
        <f>I616</f>
        <v>8787.1534006999991</v>
      </c>
      <c r="G617" s="435"/>
      <c r="H617" s="435"/>
      <c r="I617" s="836">
        <f>IF(G617="",D617*F617,(D617*F617/G617))</f>
        <v>1196.3709355053047</v>
      </c>
      <c r="K617" s="703"/>
    </row>
    <row r="618" spans="1:11" s="559" customFormat="1" ht="16" customHeight="1">
      <c r="A618" s="845"/>
      <c r="B618" s="399"/>
      <c r="C618" s="417"/>
      <c r="D618" s="835"/>
      <c r="E618" s="435"/>
      <c r="F618" s="835"/>
      <c r="G618" s="435"/>
      <c r="H618" s="435"/>
      <c r="I618" s="838">
        <f>SUM(I616:I617)</f>
        <v>9983.5243362053043</v>
      </c>
      <c r="K618" s="703"/>
    </row>
    <row r="619" spans="1:11" s="560" customFormat="1" ht="19.149999999999999" customHeight="1">
      <c r="A619" s="845"/>
      <c r="B619" s="399"/>
      <c r="C619" s="481" t="s">
        <v>686</v>
      </c>
      <c r="D619" s="858"/>
      <c r="E619" s="740"/>
      <c r="F619" s="858"/>
      <c r="G619" s="740"/>
      <c r="H619" s="740"/>
      <c r="I619" s="432">
        <f>I618/G592</f>
        <v>4754.0592077168112</v>
      </c>
      <c r="K619" s="405"/>
    </row>
    <row r="620" spans="1:11" s="560" customFormat="1" ht="19.149999999999999" customHeight="1">
      <c r="A620" s="845"/>
      <c r="B620" s="399"/>
      <c r="C620" s="496"/>
      <c r="D620" s="858"/>
      <c r="E620" s="740"/>
      <c r="F620" s="858"/>
      <c r="G620" s="1313" t="s">
        <v>687</v>
      </c>
      <c r="H620" s="1313"/>
      <c r="I620" s="436">
        <f>ROUND(I619,0)</f>
        <v>4754</v>
      </c>
      <c r="K620" s="405"/>
    </row>
    <row r="621" spans="1:11" s="559" customFormat="1" ht="14.65" customHeight="1">
      <c r="A621" s="845"/>
      <c r="B621" s="399"/>
      <c r="C621" s="417"/>
      <c r="D621" s="835"/>
      <c r="E621" s="435"/>
      <c r="F621" s="835"/>
      <c r="G621" s="435"/>
      <c r="H621" s="399"/>
      <c r="I621" s="865"/>
    </row>
    <row r="622" spans="1:11" s="559" customFormat="1" ht="83.5" customHeight="1">
      <c r="A622" s="1332">
        <f>A589+1</f>
        <v>4</v>
      </c>
      <c r="B622" s="1332"/>
      <c r="C622" s="1276" t="s">
        <v>2038</v>
      </c>
      <c r="D622" s="1276"/>
      <c r="E622" s="1276"/>
      <c r="F622" s="1276"/>
      <c r="G622" s="1276"/>
      <c r="H622" s="1276"/>
      <c r="I622" s="427"/>
    </row>
    <row r="623" spans="1:11" s="559" customFormat="1" ht="125.5" customHeight="1">
      <c r="A623" s="845"/>
      <c r="B623" s="399"/>
      <c r="C623" s="1291" t="s">
        <v>2039</v>
      </c>
      <c r="D623" s="1291"/>
      <c r="E623" s="1291"/>
      <c r="F623" s="1291"/>
      <c r="G623" s="1291"/>
      <c r="H623" s="1291"/>
      <c r="I623" s="427"/>
    </row>
    <row r="624" spans="1:11" s="559" customFormat="1" ht="16" customHeight="1">
      <c r="A624" s="845"/>
      <c r="B624" s="399"/>
      <c r="C624" s="427" t="s">
        <v>659</v>
      </c>
      <c r="D624" s="435"/>
      <c r="E624" s="435"/>
      <c r="F624" s="435"/>
      <c r="G624" s="435"/>
      <c r="H624" s="435"/>
      <c r="I624" s="845"/>
    </row>
    <row r="625" spans="1:11" s="559" customFormat="1" ht="16.149999999999999" customHeight="1">
      <c r="A625" s="845"/>
      <c r="B625" s="399"/>
      <c r="C625" s="417"/>
      <c r="D625" s="855" t="s">
        <v>661</v>
      </c>
      <c r="E625" s="1295" t="s">
        <v>2040</v>
      </c>
      <c r="F625" s="1295"/>
      <c r="G625" s="1352">
        <f>0.9*2.1</f>
        <v>1.8900000000000001</v>
      </c>
      <c r="H625" s="1352"/>
      <c r="I625" s="851" t="s">
        <v>17</v>
      </c>
    </row>
    <row r="626" spans="1:11" s="559" customFormat="1" ht="12.65" customHeight="1">
      <c r="A626" s="845"/>
      <c r="B626" s="399"/>
      <c r="C626" s="427" t="s">
        <v>660</v>
      </c>
      <c r="D626" s="1354"/>
      <c r="E626" s="1354"/>
      <c r="F626" s="1354"/>
      <c r="G626" s="1275"/>
      <c r="H626" s="1275"/>
      <c r="I626" s="838"/>
    </row>
    <row r="627" spans="1:11" s="559" customFormat="1" ht="16.149999999999999" customHeight="1">
      <c r="A627" s="845"/>
      <c r="B627" s="399"/>
      <c r="C627" s="417" t="s">
        <v>663</v>
      </c>
      <c r="D627" s="1314" t="s">
        <v>2000</v>
      </c>
      <c r="E627" s="1314"/>
      <c r="F627" s="1314"/>
      <c r="G627" s="1275"/>
      <c r="H627" s="1275"/>
      <c r="I627" s="838"/>
    </row>
    <row r="628" spans="1:11" s="559" customFormat="1" ht="16.149999999999999" customHeight="1">
      <c r="A628" s="845"/>
      <c r="B628" s="399"/>
      <c r="C628" s="417"/>
      <c r="D628" s="1314" t="s">
        <v>2017</v>
      </c>
      <c r="E628" s="1314"/>
      <c r="F628" s="1314"/>
      <c r="G628" s="1356">
        <f>ROUND(4.22*0.1*0.065,5)</f>
        <v>2.743E-2</v>
      </c>
      <c r="H628" s="1356"/>
      <c r="I628" s="449" t="s">
        <v>666</v>
      </c>
    </row>
    <row r="629" spans="1:11" s="559" customFormat="1" ht="16.149999999999999" customHeight="1">
      <c r="A629" s="845"/>
      <c r="B629" s="399"/>
      <c r="C629" s="417" t="s">
        <v>667</v>
      </c>
      <c r="D629" s="1314" t="s">
        <v>2041</v>
      </c>
      <c r="E629" s="1314"/>
      <c r="F629" s="1314"/>
      <c r="G629" s="1357"/>
      <c r="H629" s="1357"/>
      <c r="I629" s="449"/>
    </row>
    <row r="630" spans="1:11" s="559" customFormat="1" ht="16.149999999999999" customHeight="1">
      <c r="A630" s="845"/>
      <c r="B630" s="399"/>
      <c r="C630" s="417"/>
      <c r="D630" s="1314" t="s">
        <v>2042</v>
      </c>
      <c r="E630" s="1314"/>
      <c r="F630" s="1314"/>
      <c r="G630" s="1356">
        <f>ROUND(0.9*0.1*0.065,5)</f>
        <v>5.8500000000000002E-3</v>
      </c>
      <c r="H630" s="1356"/>
      <c r="I630" s="449" t="s">
        <v>666</v>
      </c>
    </row>
    <row r="631" spans="1:11" s="559" customFormat="1" ht="18" customHeight="1">
      <c r="A631" s="845"/>
      <c r="B631" s="399"/>
      <c r="C631" s="417"/>
      <c r="D631" s="1314"/>
      <c r="E631" s="1314"/>
      <c r="F631" s="1314"/>
      <c r="G631" s="1355">
        <f>SUM(G628:G630)</f>
        <v>3.3279999999999997E-2</v>
      </c>
      <c r="H631" s="1355"/>
      <c r="I631" s="851" t="s">
        <v>666</v>
      </c>
    </row>
    <row r="632" spans="1:11" s="559" customFormat="1" ht="18" customHeight="1">
      <c r="A632" s="845"/>
      <c r="B632" s="399"/>
      <c r="C632" s="417" t="s">
        <v>1924</v>
      </c>
      <c r="D632" s="1314" t="s">
        <v>2043</v>
      </c>
      <c r="E632" s="1314"/>
      <c r="F632" s="1314"/>
      <c r="G632" s="1275">
        <f>ROUND(0.8*2.05,3)</f>
        <v>1.64</v>
      </c>
      <c r="H632" s="1275"/>
      <c r="I632" s="851" t="s">
        <v>17</v>
      </c>
    </row>
    <row r="633" spans="1:11" s="559" customFormat="1" ht="15.75" customHeight="1">
      <c r="A633" s="845"/>
      <c r="B633" s="399"/>
      <c r="C633" s="427"/>
      <c r="D633" s="835"/>
      <c r="E633" s="435"/>
      <c r="F633" s="835"/>
      <c r="G633" s="435"/>
      <c r="H633" s="435"/>
      <c r="I633" s="838"/>
    </row>
    <row r="634" spans="1:11" s="559" customFormat="1" ht="16" customHeight="1">
      <c r="A634" s="845"/>
      <c r="B634" s="399"/>
      <c r="C634" s="427" t="s">
        <v>672</v>
      </c>
      <c r="D634" s="835"/>
      <c r="E634" s="435"/>
      <c r="F634" s="835"/>
      <c r="G634" s="435"/>
      <c r="H634" s="435"/>
      <c r="I634" s="838"/>
    </row>
    <row r="635" spans="1:11" s="559" customFormat="1" ht="15.65" customHeight="1">
      <c r="A635" s="845"/>
      <c r="B635" s="399"/>
      <c r="C635" s="417" t="s">
        <v>1927</v>
      </c>
      <c r="D635" s="857">
        <f>G628</f>
        <v>2.743E-2</v>
      </c>
      <c r="E635" s="435" t="s">
        <v>666</v>
      </c>
      <c r="F635" s="835">
        <f>'[161]Civil-SOR'!$G$26</f>
        <v>91479</v>
      </c>
      <c r="G635" s="435">
        <v>1</v>
      </c>
      <c r="H635" s="435" t="s">
        <v>666</v>
      </c>
      <c r="I635" s="836">
        <f t="shared" ref="I635:I648" si="34">IF(G635="",D635*F635,(D635*F635/G635))</f>
        <v>2509.2689700000001</v>
      </c>
      <c r="K635" s="703"/>
    </row>
    <row r="636" spans="1:11" s="559" customFormat="1" ht="15.65" customHeight="1">
      <c r="A636" s="845"/>
      <c r="B636" s="399"/>
      <c r="C636" s="417" t="s">
        <v>1928</v>
      </c>
      <c r="D636" s="857">
        <f>G630</f>
        <v>5.8500000000000002E-3</v>
      </c>
      <c r="E636" s="435" t="s">
        <v>666</v>
      </c>
      <c r="F636" s="835">
        <f>'[161]Civil-SOR'!$G$25</f>
        <v>82331</v>
      </c>
      <c r="G636" s="435">
        <v>1</v>
      </c>
      <c r="H636" s="435" t="s">
        <v>666</v>
      </c>
      <c r="I636" s="836">
        <f t="shared" si="34"/>
        <v>481.63634999999999</v>
      </c>
      <c r="K636" s="703"/>
    </row>
    <row r="637" spans="1:11" s="559" customFormat="1" ht="15.65" customHeight="1">
      <c r="A637" s="845"/>
      <c r="B637" s="399"/>
      <c r="C637" s="417" t="s">
        <v>1930</v>
      </c>
      <c r="D637" s="835">
        <f>G632</f>
        <v>1.64</v>
      </c>
      <c r="E637" s="435" t="s">
        <v>17</v>
      </c>
      <c r="F637" s="835">
        <f>'[161]Civil-SOR'!$G$114</f>
        <v>1334</v>
      </c>
      <c r="G637" s="435">
        <v>1</v>
      </c>
      <c r="H637" s="435" t="s">
        <v>17</v>
      </c>
      <c r="I637" s="836">
        <f t="shared" si="34"/>
        <v>2187.7599999999998</v>
      </c>
      <c r="K637" s="703"/>
    </row>
    <row r="638" spans="1:11" s="559" customFormat="1" ht="15.65" customHeight="1">
      <c r="A638" s="845"/>
      <c r="B638" s="399"/>
      <c r="C638" s="417" t="s">
        <v>1931</v>
      </c>
      <c r="D638" s="837">
        <v>6</v>
      </c>
      <c r="E638" s="435" t="s">
        <v>375</v>
      </c>
      <c r="F638" s="835">
        <f>'[161]Civil-SOR'!$G$385</f>
        <v>37</v>
      </c>
      <c r="G638" s="435"/>
      <c r="H638" s="435" t="s">
        <v>572</v>
      </c>
      <c r="I638" s="836">
        <f t="shared" si="34"/>
        <v>222</v>
      </c>
      <c r="K638" s="703"/>
    </row>
    <row r="639" spans="1:11" s="559" customFormat="1" ht="15.65" customHeight="1">
      <c r="A639" s="845"/>
      <c r="B639" s="399"/>
      <c r="C639" s="417" t="s">
        <v>1932</v>
      </c>
      <c r="D639" s="837">
        <v>1</v>
      </c>
      <c r="E639" s="435" t="s">
        <v>678</v>
      </c>
      <c r="F639" s="835">
        <f>'[161]Civil-SOR'!$G$153</f>
        <v>90</v>
      </c>
      <c r="G639" s="435"/>
      <c r="H639" s="435" t="s">
        <v>572</v>
      </c>
      <c r="I639" s="836">
        <f t="shared" si="34"/>
        <v>90</v>
      </c>
      <c r="K639" s="703"/>
    </row>
    <row r="640" spans="1:11" s="559" customFormat="1" ht="15.65" customHeight="1">
      <c r="A640" s="845"/>
      <c r="B640" s="399"/>
      <c r="C640" s="417" t="s">
        <v>1933</v>
      </c>
      <c r="D640" s="837">
        <v>3</v>
      </c>
      <c r="E640" s="435" t="s">
        <v>375</v>
      </c>
      <c r="F640" s="835">
        <f>'[161]Civil-SOR'!$G$159</f>
        <v>106</v>
      </c>
      <c r="G640" s="435"/>
      <c r="H640" s="435" t="s">
        <v>572</v>
      </c>
      <c r="I640" s="836">
        <f t="shared" si="34"/>
        <v>318</v>
      </c>
      <c r="K640" s="703"/>
    </row>
    <row r="641" spans="1:11" s="559" customFormat="1" ht="15.65" customHeight="1">
      <c r="A641" s="845"/>
      <c r="B641" s="399"/>
      <c r="C641" s="417" t="s">
        <v>1934</v>
      </c>
      <c r="D641" s="837">
        <v>1</v>
      </c>
      <c r="E641" s="435" t="s">
        <v>678</v>
      </c>
      <c r="F641" s="835">
        <f>'[161]Civil-SOR'!$G$172</f>
        <v>239</v>
      </c>
      <c r="G641" s="435"/>
      <c r="H641" s="435" t="s">
        <v>572</v>
      </c>
      <c r="I641" s="836">
        <f t="shared" si="34"/>
        <v>239</v>
      </c>
      <c r="K641" s="703"/>
    </row>
    <row r="642" spans="1:11" s="559" customFormat="1" ht="15.65" customHeight="1">
      <c r="A642" s="845"/>
      <c r="B642" s="399"/>
      <c r="C642" s="417" t="s">
        <v>1935</v>
      </c>
      <c r="D642" s="837">
        <v>2</v>
      </c>
      <c r="E642" s="435" t="s">
        <v>375</v>
      </c>
      <c r="F642" s="835">
        <f>'[161]Civil-SOR'!$G$164</f>
        <v>100</v>
      </c>
      <c r="G642" s="435"/>
      <c r="H642" s="435" t="s">
        <v>572</v>
      </c>
      <c r="I642" s="836">
        <f t="shared" si="34"/>
        <v>200</v>
      </c>
      <c r="K642" s="703"/>
    </row>
    <row r="643" spans="1:11" s="559" customFormat="1" ht="15.65" customHeight="1">
      <c r="A643" s="845"/>
      <c r="B643" s="399"/>
      <c r="C643" s="417" t="s">
        <v>1936</v>
      </c>
      <c r="D643" s="837">
        <v>1</v>
      </c>
      <c r="E643" s="435" t="s">
        <v>678</v>
      </c>
      <c r="F643" s="835">
        <f>'[161]Civil-SOR'!$G$178</f>
        <v>66</v>
      </c>
      <c r="G643" s="435"/>
      <c r="H643" s="435" t="s">
        <v>572</v>
      </c>
      <c r="I643" s="836">
        <f t="shared" si="34"/>
        <v>66</v>
      </c>
      <c r="K643" s="703"/>
    </row>
    <row r="644" spans="1:11" s="559" customFormat="1" ht="15.65" customHeight="1">
      <c r="A644" s="845"/>
      <c r="B644" s="399"/>
      <c r="C644" s="417" t="s">
        <v>1937</v>
      </c>
      <c r="D644" s="837">
        <v>1</v>
      </c>
      <c r="E644" s="435" t="s">
        <v>678</v>
      </c>
      <c r="F644" s="835">
        <f>'[161]Civil-SOR'!$G$386</f>
        <v>12</v>
      </c>
      <c r="G644" s="435"/>
      <c r="H644" s="435" t="s">
        <v>572</v>
      </c>
      <c r="I644" s="836">
        <f t="shared" si="34"/>
        <v>12</v>
      </c>
      <c r="K644" s="703"/>
    </row>
    <row r="645" spans="1:11" s="559" customFormat="1" ht="15.65" customHeight="1">
      <c r="A645" s="845"/>
      <c r="B645" s="399"/>
      <c r="C645" s="417" t="s">
        <v>682</v>
      </c>
      <c r="D645" s="862">
        <f>G631</f>
        <v>3.3279999999999997E-2</v>
      </c>
      <c r="E645" s="435" t="s">
        <v>666</v>
      </c>
      <c r="F645" s="835">
        <f>$I$8</f>
        <v>15027.85</v>
      </c>
      <c r="G645" s="435">
        <v>1</v>
      </c>
      <c r="H645" s="435" t="s">
        <v>666</v>
      </c>
      <c r="I645" s="836">
        <f t="shared" si="34"/>
        <v>500.126848</v>
      </c>
      <c r="K645" s="703"/>
    </row>
    <row r="646" spans="1:11" s="559" customFormat="1" ht="16" customHeight="1">
      <c r="A646" s="845"/>
      <c r="B646" s="399"/>
      <c r="C646" s="417" t="str">
        <f>[161]Input!$C$47</f>
        <v>Add for MA @ 40%</v>
      </c>
      <c r="D646" s="835">
        <f>[161]Input!$D$47</f>
        <v>0.4</v>
      </c>
      <c r="E646" s="435"/>
      <c r="F646" s="835">
        <f>I645</f>
        <v>500.126848</v>
      </c>
      <c r="G646" s="435"/>
      <c r="H646" s="435"/>
      <c r="I646" s="836">
        <f t="shared" si="34"/>
        <v>200.05073920000001</v>
      </c>
      <c r="K646" s="703"/>
    </row>
    <row r="647" spans="1:11" s="559" customFormat="1" ht="40.15" customHeight="1">
      <c r="A647" s="845"/>
      <c r="B647" s="399"/>
      <c r="C647" s="417" t="str">
        <f>C613</f>
        <v>Labour charges for fixing flush door shutter to the frame ,  fixing the fixtures to the shutter       TBSC-T.I-25</v>
      </c>
      <c r="D647" s="835">
        <f>G632</f>
        <v>1.64</v>
      </c>
      <c r="E647" s="435" t="s">
        <v>17</v>
      </c>
      <c r="F647" s="835">
        <f>'[161]Civil-SOR'!$G$206</f>
        <v>550</v>
      </c>
      <c r="G647" s="435">
        <v>1</v>
      </c>
      <c r="H647" s="435" t="s">
        <v>17</v>
      </c>
      <c r="I647" s="836">
        <f t="shared" si="34"/>
        <v>902</v>
      </c>
      <c r="K647" s="703"/>
    </row>
    <row r="648" spans="1:11" s="559" customFormat="1" ht="16" customHeight="1">
      <c r="A648" s="845"/>
      <c r="B648" s="399"/>
      <c r="C648" s="417" t="str">
        <f>[161]Input!$C$47</f>
        <v>Add for MA @ 40%</v>
      </c>
      <c r="D648" s="835">
        <f>[161]Input!$D$47</f>
        <v>0.4</v>
      </c>
      <c r="E648" s="435"/>
      <c r="F648" s="835">
        <f>I647</f>
        <v>902</v>
      </c>
      <c r="G648" s="435"/>
      <c r="H648" s="435"/>
      <c r="I648" s="836">
        <f t="shared" si="34"/>
        <v>360.8</v>
      </c>
      <c r="K648" s="703"/>
    </row>
    <row r="649" spans="1:11" s="559" customFormat="1" ht="16" customHeight="1">
      <c r="A649" s="845"/>
      <c r="B649" s="399"/>
      <c r="C649" s="417" t="s">
        <v>684</v>
      </c>
      <c r="D649" s="835"/>
      <c r="E649" s="435"/>
      <c r="F649" s="835"/>
      <c r="G649" s="435"/>
      <c r="H649" s="435"/>
      <c r="I649" s="838"/>
      <c r="K649" s="703"/>
    </row>
    <row r="650" spans="1:11" s="559" customFormat="1" ht="16" customHeight="1">
      <c r="A650" s="845"/>
      <c r="B650" s="399"/>
      <c r="C650" s="427" t="s">
        <v>2044</v>
      </c>
      <c r="D650" s="835"/>
      <c r="E650" s="435"/>
      <c r="F650" s="835"/>
      <c r="G650" s="435"/>
      <c r="H650" s="435"/>
      <c r="I650" s="856">
        <f>SUM(I635:I649)</f>
        <v>8288.6429071999992</v>
      </c>
      <c r="K650" s="703"/>
    </row>
    <row r="651" spans="1:11" s="559" customFormat="1" ht="12.75" customHeight="1">
      <c r="A651" s="845"/>
      <c r="B651" s="399"/>
      <c r="C651" s="417" t="str">
        <f>[161]Input!$C$48</f>
        <v>Overheads &amp; Contractors Profit @ 13.615%</v>
      </c>
      <c r="D651" s="857">
        <f>[161]Input!$D$48</f>
        <v>0.13614999999999999</v>
      </c>
      <c r="E651" s="435"/>
      <c r="F651" s="835">
        <f>I650</f>
        <v>8288.6429071999992</v>
      </c>
      <c r="G651" s="435"/>
      <c r="H651" s="435"/>
      <c r="I651" s="836">
        <f>IF(G651="",D651*F651,(D651*F651/G651))</f>
        <v>1128.4987318152798</v>
      </c>
      <c r="K651" s="703"/>
    </row>
    <row r="652" spans="1:11" s="559" customFormat="1" ht="16" customHeight="1">
      <c r="A652" s="845"/>
      <c r="B652" s="399"/>
      <c r="C652" s="417"/>
      <c r="D652" s="835"/>
      <c r="E652" s="435"/>
      <c r="F652" s="835"/>
      <c r="G652" s="435"/>
      <c r="H652" s="435"/>
      <c r="I652" s="838">
        <f>SUM(I650:I651)</f>
        <v>9417.141639015279</v>
      </c>
      <c r="K652" s="703"/>
    </row>
    <row r="653" spans="1:11" s="560" customFormat="1" ht="22.15" customHeight="1">
      <c r="A653" s="845"/>
      <c r="B653" s="399"/>
      <c r="C653" s="481" t="s">
        <v>686</v>
      </c>
      <c r="D653" s="858"/>
      <c r="E653" s="740"/>
      <c r="F653" s="858"/>
      <c r="G653" s="740"/>
      <c r="H653" s="740"/>
      <c r="I653" s="432">
        <f>I652/G625</f>
        <v>4982.6146238176079</v>
      </c>
      <c r="K653" s="405"/>
    </row>
    <row r="654" spans="1:11" s="560" customFormat="1" ht="25.9" customHeight="1">
      <c r="A654" s="845"/>
      <c r="B654" s="399"/>
      <c r="C654" s="496"/>
      <c r="D654" s="858"/>
      <c r="E654" s="740"/>
      <c r="F654" s="858"/>
      <c r="G654" s="1313" t="s">
        <v>687</v>
      </c>
      <c r="H654" s="1313"/>
      <c r="I654" s="436">
        <f>ROUND(I653,0)</f>
        <v>4983</v>
      </c>
      <c r="K654" s="405"/>
    </row>
    <row r="655" spans="1:11" s="559" customFormat="1" ht="15.75" customHeight="1">
      <c r="A655" s="845"/>
      <c r="B655" s="399"/>
      <c r="C655" s="417"/>
      <c r="D655" s="835"/>
      <c r="E655" s="435"/>
      <c r="F655" s="835"/>
      <c r="G655" s="435"/>
      <c r="H655" s="435"/>
      <c r="I655" s="865"/>
      <c r="K655" s="703"/>
    </row>
    <row r="656" spans="1:11" s="559" customFormat="1" ht="115.15" customHeight="1">
      <c r="A656" s="1332">
        <f>1+A374</f>
        <v>2</v>
      </c>
      <c r="B656" s="1332"/>
      <c r="C656" s="1276" t="s">
        <v>2045</v>
      </c>
      <c r="D656" s="1276"/>
      <c r="E656" s="1276"/>
      <c r="F656" s="1276"/>
      <c r="G656" s="1276"/>
      <c r="H656" s="1276"/>
      <c r="I656" s="427"/>
    </row>
    <row r="657" spans="1:16" s="559" customFormat="1" ht="90" customHeight="1">
      <c r="A657" s="845"/>
      <c r="B657" s="399"/>
      <c r="C657" s="1291" t="s">
        <v>2046</v>
      </c>
      <c r="D657" s="1291"/>
      <c r="E657" s="1291"/>
      <c r="F657" s="1291"/>
      <c r="G657" s="1291"/>
      <c r="H657" s="1291"/>
      <c r="I657" s="427"/>
      <c r="K657" s="1328"/>
      <c r="L657" s="1328"/>
      <c r="M657" s="1328"/>
      <c r="N657" s="1328"/>
      <c r="O657" s="1328"/>
      <c r="P657" s="1328"/>
    </row>
    <row r="658" spans="1:16" s="559" customFormat="1" ht="16" customHeight="1">
      <c r="A658" s="845"/>
      <c r="B658" s="399"/>
      <c r="C658" s="473" t="s">
        <v>659</v>
      </c>
      <c r="D658" s="435"/>
      <c r="E658" s="435"/>
      <c r="F658" s="435"/>
      <c r="G658" s="435"/>
      <c r="H658" s="435"/>
      <c r="I658" s="845"/>
    </row>
    <row r="659" spans="1:16" s="559" customFormat="1" ht="14.5" customHeight="1">
      <c r="A659" s="845"/>
      <c r="B659" s="399"/>
      <c r="C659" s="427" t="s">
        <v>660</v>
      </c>
      <c r="D659" s="514" t="s">
        <v>661</v>
      </c>
      <c r="E659" s="1294" t="s">
        <v>2047</v>
      </c>
      <c r="F659" s="1294"/>
      <c r="G659" s="1275">
        <f>0.8*2.1</f>
        <v>1.6800000000000002</v>
      </c>
      <c r="H659" s="1275"/>
      <c r="I659" s="851" t="s">
        <v>17</v>
      </c>
    </row>
    <row r="660" spans="1:16" s="559" customFormat="1" ht="14.5" customHeight="1">
      <c r="A660" s="845"/>
      <c r="B660" s="399"/>
      <c r="C660" s="417" t="s">
        <v>663</v>
      </c>
      <c r="D660" s="1314" t="s">
        <v>2000</v>
      </c>
      <c r="E660" s="1314"/>
      <c r="F660" s="1314"/>
      <c r="G660" s="1357"/>
      <c r="H660" s="1357"/>
      <c r="I660" s="449"/>
    </row>
    <row r="661" spans="1:16" s="559" customFormat="1" ht="14.5" customHeight="1">
      <c r="A661" s="845"/>
      <c r="B661" s="399"/>
      <c r="C661" s="417"/>
      <c r="D661" s="1314" t="s">
        <v>2017</v>
      </c>
      <c r="E661" s="1314"/>
      <c r="F661" s="1314"/>
      <c r="G661" s="1356">
        <f>ROUND(4.22*0.1*0.065,5)</f>
        <v>2.743E-2</v>
      </c>
      <c r="H661" s="1356"/>
      <c r="I661" s="449" t="s">
        <v>666</v>
      </c>
    </row>
    <row r="662" spans="1:16" s="559" customFormat="1" ht="14.5" customHeight="1">
      <c r="A662" s="845"/>
      <c r="B662" s="399"/>
      <c r="C662" s="417" t="s">
        <v>667</v>
      </c>
      <c r="D662" s="1314" t="s">
        <v>2048</v>
      </c>
      <c r="E662" s="1314"/>
      <c r="F662" s="1314"/>
      <c r="G662" s="861"/>
      <c r="H662" s="861"/>
      <c r="I662" s="449"/>
    </row>
    <row r="663" spans="1:16" s="559" customFormat="1" ht="14.5" customHeight="1">
      <c r="A663" s="845"/>
      <c r="B663" s="399"/>
      <c r="C663" s="417"/>
      <c r="D663" s="1314" t="s">
        <v>2049</v>
      </c>
      <c r="E663" s="1314"/>
      <c r="F663" s="1314"/>
      <c r="G663" s="1356">
        <f>ROUND(0.8*0.1*0.065,5)</f>
        <v>5.1999999999999998E-3</v>
      </c>
      <c r="H663" s="1356"/>
      <c r="I663" s="449" t="s">
        <v>666</v>
      </c>
    </row>
    <row r="664" spans="1:16" s="559" customFormat="1" ht="14.5" customHeight="1">
      <c r="A664" s="845"/>
      <c r="B664" s="399"/>
      <c r="C664" s="417"/>
      <c r="D664" s="1314"/>
      <c r="E664" s="1314"/>
      <c r="F664" s="1314"/>
      <c r="G664" s="1355">
        <f>SUM(G661:G663)</f>
        <v>3.2629999999999999E-2</v>
      </c>
      <c r="H664" s="1355"/>
      <c r="I664" s="851" t="s">
        <v>666</v>
      </c>
    </row>
    <row r="665" spans="1:16" s="559" customFormat="1" ht="14.5" customHeight="1">
      <c r="A665" s="845"/>
      <c r="B665" s="399"/>
      <c r="C665" s="417"/>
      <c r="D665" s="1314"/>
      <c r="E665" s="1314"/>
      <c r="F665" s="1314"/>
      <c r="G665" s="861"/>
      <c r="H665" s="863"/>
      <c r="I665" s="851"/>
    </row>
    <row r="666" spans="1:16" s="559" customFormat="1" ht="14.5" customHeight="1">
      <c r="A666" s="845"/>
      <c r="B666" s="399"/>
      <c r="C666" s="417" t="s">
        <v>1890</v>
      </c>
      <c r="D666" s="1314" t="s">
        <v>2050</v>
      </c>
      <c r="E666" s="1314"/>
      <c r="F666" s="1314"/>
      <c r="G666" s="861"/>
      <c r="H666" s="469">
        <f>ROUND(0.7*2.05,3)</f>
        <v>1.4350000000000001</v>
      </c>
      <c r="I666" s="851" t="s">
        <v>17</v>
      </c>
    </row>
    <row r="667" spans="1:16" s="559" customFormat="1" ht="15.75" customHeight="1">
      <c r="A667" s="845"/>
      <c r="B667" s="399"/>
      <c r="C667" s="427"/>
      <c r="D667" s="855"/>
      <c r="E667" s="473"/>
      <c r="F667" s="855"/>
      <c r="G667" s="435"/>
      <c r="H667" s="473"/>
      <c r="I667" s="856"/>
    </row>
    <row r="668" spans="1:16" s="559" customFormat="1" ht="16" customHeight="1">
      <c r="A668" s="845"/>
      <c r="B668" s="399"/>
      <c r="C668" s="427" t="s">
        <v>672</v>
      </c>
      <c r="D668" s="835"/>
      <c r="E668" s="435"/>
      <c r="F668" s="835"/>
      <c r="G668" s="435"/>
      <c r="H668" s="435"/>
      <c r="I668" s="838"/>
    </row>
    <row r="669" spans="1:16" s="559" customFormat="1" ht="18.649999999999999" customHeight="1">
      <c r="A669" s="845"/>
      <c r="B669" s="399"/>
      <c r="C669" s="417" t="s">
        <v>1949</v>
      </c>
      <c r="D669" s="857">
        <f>G661</f>
        <v>2.743E-2</v>
      </c>
      <c r="E669" s="435" t="s">
        <v>666</v>
      </c>
      <c r="F669" s="835">
        <f>'[161]Civil-SOR'!$G$26</f>
        <v>91479</v>
      </c>
      <c r="G669" s="435">
        <v>1</v>
      </c>
      <c r="H669" s="435" t="s">
        <v>666</v>
      </c>
      <c r="I669" s="836">
        <f t="shared" ref="I669:I683" si="35">IF(G669="",D669*F669,(D669*F669/G669))</f>
        <v>2509.2689700000001</v>
      </c>
      <c r="K669" s="703"/>
    </row>
    <row r="670" spans="1:16" s="559" customFormat="1" ht="18.649999999999999" customHeight="1">
      <c r="A670" s="845"/>
      <c r="B670" s="399"/>
      <c r="C670" s="417" t="s">
        <v>1928</v>
      </c>
      <c r="D670" s="857">
        <f>G663</f>
        <v>5.1999999999999998E-3</v>
      </c>
      <c r="E670" s="435" t="s">
        <v>666</v>
      </c>
      <c r="F670" s="835">
        <f>'[161]Civil-SOR'!$G$25</f>
        <v>82331</v>
      </c>
      <c r="G670" s="435">
        <v>1</v>
      </c>
      <c r="H670" s="435" t="s">
        <v>666</v>
      </c>
      <c r="I670" s="836">
        <f t="shared" si="35"/>
        <v>428.12119999999999</v>
      </c>
      <c r="K670" s="703"/>
    </row>
    <row r="671" spans="1:16" s="559" customFormat="1" ht="18.649999999999999" customHeight="1">
      <c r="A671" s="845"/>
      <c r="B671" s="399"/>
      <c r="C671" s="417" t="s">
        <v>1930</v>
      </c>
      <c r="D671" s="834">
        <f>H666</f>
        <v>1.4350000000000001</v>
      </c>
      <c r="E671" s="435" t="s">
        <v>17</v>
      </c>
      <c r="F671" s="835">
        <f>'[161]Civil-SOR'!$G$114</f>
        <v>1334</v>
      </c>
      <c r="G671" s="435">
        <v>1</v>
      </c>
      <c r="H671" s="435" t="s">
        <v>17</v>
      </c>
      <c r="I671" s="836">
        <f t="shared" si="35"/>
        <v>1914.29</v>
      </c>
      <c r="K671" s="703"/>
    </row>
    <row r="672" spans="1:16" s="559" customFormat="1" ht="18.649999999999999" customHeight="1">
      <c r="A672" s="845"/>
      <c r="B672" s="399"/>
      <c r="C672" s="417" t="s">
        <v>2051</v>
      </c>
      <c r="D672" s="837">
        <v>6</v>
      </c>
      <c r="E672" s="435" t="s">
        <v>375</v>
      </c>
      <c r="F672" s="835">
        <f>'[161]Civil-SOR'!$G$385</f>
        <v>37</v>
      </c>
      <c r="G672" s="435"/>
      <c r="H672" s="435" t="s">
        <v>572</v>
      </c>
      <c r="I672" s="836">
        <f t="shared" si="35"/>
        <v>222</v>
      </c>
      <c r="K672" s="703"/>
    </row>
    <row r="673" spans="1:11" s="559" customFormat="1" ht="18.649999999999999" customHeight="1">
      <c r="A673" s="845"/>
      <c r="B673" s="399"/>
      <c r="C673" s="417" t="s">
        <v>2052</v>
      </c>
      <c r="D673" s="837">
        <v>1</v>
      </c>
      <c r="E673" s="435" t="s">
        <v>678</v>
      </c>
      <c r="F673" s="835">
        <f>'[161]Civil-SOR'!$G$152</f>
        <v>76</v>
      </c>
      <c r="G673" s="435"/>
      <c r="H673" s="435" t="s">
        <v>572</v>
      </c>
      <c r="I673" s="836">
        <f t="shared" si="35"/>
        <v>76</v>
      </c>
      <c r="K673" s="703"/>
    </row>
    <row r="674" spans="1:11" s="559" customFormat="1" ht="18.649999999999999" customHeight="1">
      <c r="A674" s="845"/>
      <c r="B674" s="399"/>
      <c r="C674" s="417" t="s">
        <v>2053</v>
      </c>
      <c r="D674" s="837">
        <v>3</v>
      </c>
      <c r="E674" s="435" t="s">
        <v>375</v>
      </c>
      <c r="F674" s="835">
        <f>'[161]Civil-SOR'!$G$159</f>
        <v>106</v>
      </c>
      <c r="G674" s="435"/>
      <c r="H674" s="435" t="s">
        <v>572</v>
      </c>
      <c r="I674" s="836">
        <f t="shared" si="35"/>
        <v>318</v>
      </c>
      <c r="K674" s="703"/>
    </row>
    <row r="675" spans="1:11" s="559" customFormat="1" ht="18.649999999999999" customHeight="1">
      <c r="A675" s="845"/>
      <c r="B675" s="399"/>
      <c r="C675" s="417" t="s">
        <v>2054</v>
      </c>
      <c r="D675" s="837">
        <v>1</v>
      </c>
      <c r="E675" s="469" t="s">
        <v>678</v>
      </c>
      <c r="F675" s="835">
        <f>'[161]Civil-SOR'!$G$171</f>
        <v>219</v>
      </c>
      <c r="G675" s="435"/>
      <c r="H675" s="435" t="s">
        <v>572</v>
      </c>
      <c r="I675" s="836">
        <f t="shared" si="35"/>
        <v>219</v>
      </c>
      <c r="K675" s="703"/>
    </row>
    <row r="676" spans="1:11" s="559" customFormat="1" ht="18.649999999999999" customHeight="1">
      <c r="A676" s="845"/>
      <c r="B676" s="399"/>
      <c r="C676" s="417" t="s">
        <v>2055</v>
      </c>
      <c r="D676" s="837">
        <v>1</v>
      </c>
      <c r="E676" s="435" t="s">
        <v>678</v>
      </c>
      <c r="F676" s="835">
        <f>'[161]Civil-SOR'!$G$163</f>
        <v>85</v>
      </c>
      <c r="G676" s="435"/>
      <c r="H676" s="435" t="s">
        <v>572</v>
      </c>
      <c r="I676" s="836">
        <f t="shared" si="35"/>
        <v>85</v>
      </c>
      <c r="K676" s="703"/>
    </row>
    <row r="677" spans="1:11" s="559" customFormat="1" ht="18.649999999999999" customHeight="1">
      <c r="A677" s="845"/>
      <c r="B677" s="399"/>
      <c r="C677" s="417" t="s">
        <v>2056</v>
      </c>
      <c r="D677" s="837">
        <v>1</v>
      </c>
      <c r="E677" s="435" t="s">
        <v>678</v>
      </c>
      <c r="F677" s="835">
        <f>'[161]Civil-SOR'!$G$386</f>
        <v>12</v>
      </c>
      <c r="G677" s="435"/>
      <c r="H677" s="435" t="s">
        <v>572</v>
      </c>
      <c r="I677" s="836">
        <f t="shared" si="35"/>
        <v>12</v>
      </c>
      <c r="K677" s="703"/>
    </row>
    <row r="678" spans="1:11" s="559" customFormat="1" ht="18.649999999999999" customHeight="1">
      <c r="A678" s="845"/>
      <c r="B678" s="399"/>
      <c r="C678" s="417" t="s">
        <v>2057</v>
      </c>
      <c r="D678" s="834">
        <f>D671</f>
        <v>1.4350000000000001</v>
      </c>
      <c r="E678" s="435" t="s">
        <v>17</v>
      </c>
      <c r="F678" s="835">
        <f>'[161]Civil-SOR'!$G$387</f>
        <v>170</v>
      </c>
      <c r="G678" s="435">
        <v>1</v>
      </c>
      <c r="H678" s="435" t="s">
        <v>17</v>
      </c>
      <c r="I678" s="836">
        <f t="shared" si="35"/>
        <v>243.95000000000002</v>
      </c>
      <c r="K678" s="703"/>
    </row>
    <row r="679" spans="1:11" s="559" customFormat="1" ht="14.5" customHeight="1">
      <c r="A679" s="845"/>
      <c r="B679" s="399"/>
      <c r="C679" s="417" t="s">
        <v>2058</v>
      </c>
      <c r="D679" s="834">
        <f>D678</f>
        <v>1.4350000000000001</v>
      </c>
      <c r="E679" s="435" t="s">
        <v>17</v>
      </c>
      <c r="F679" s="835">
        <f>'[161]Civil-SOR'!$G$388</f>
        <v>80</v>
      </c>
      <c r="G679" s="435">
        <v>1</v>
      </c>
      <c r="H679" s="435" t="s">
        <v>17</v>
      </c>
      <c r="I679" s="836">
        <f t="shared" si="35"/>
        <v>114.80000000000001</v>
      </c>
      <c r="K679" s="703"/>
    </row>
    <row r="680" spans="1:11" s="559" customFormat="1" ht="16" customHeight="1">
      <c r="A680" s="845"/>
      <c r="B680" s="399"/>
      <c r="C680" s="417" t="s">
        <v>682</v>
      </c>
      <c r="D680" s="867">
        <f>G664</f>
        <v>3.2629999999999999E-2</v>
      </c>
      <c r="E680" s="435" t="s">
        <v>666</v>
      </c>
      <c r="F680" s="835">
        <f>$I$8</f>
        <v>15027.85</v>
      </c>
      <c r="G680" s="435">
        <v>1</v>
      </c>
      <c r="H680" s="435" t="s">
        <v>666</v>
      </c>
      <c r="I680" s="836">
        <f t="shared" si="35"/>
        <v>490.3587455</v>
      </c>
      <c r="K680" s="703"/>
    </row>
    <row r="681" spans="1:11" s="559" customFormat="1" ht="16" customHeight="1">
      <c r="A681" s="845"/>
      <c r="B681" s="399"/>
      <c r="C681" s="417" t="str">
        <f>[161]Input!$C$47</f>
        <v>Add for MA @ 40%</v>
      </c>
      <c r="D681" s="835">
        <f>[161]Input!$D$47</f>
        <v>0.4</v>
      </c>
      <c r="E681" s="435"/>
      <c r="F681" s="835">
        <f>I680</f>
        <v>490.3587455</v>
      </c>
      <c r="G681" s="435"/>
      <c r="H681" s="435"/>
      <c r="I681" s="836">
        <f t="shared" si="35"/>
        <v>196.14349820000001</v>
      </c>
      <c r="K681" s="703"/>
    </row>
    <row r="682" spans="1:11" s="559" customFormat="1" ht="42" customHeight="1">
      <c r="A682" s="845"/>
      <c r="B682" s="399"/>
      <c r="C682" s="417" t="str">
        <f>C647</f>
        <v>Labour charges for fixing flush door shutter to the frame ,  fixing the fixtures to the shutter       TBSC-T.I-25</v>
      </c>
      <c r="D682" s="834">
        <f>H666</f>
        <v>1.4350000000000001</v>
      </c>
      <c r="E682" s="435" t="s">
        <v>17</v>
      </c>
      <c r="F682" s="835">
        <f>'[161]Civil-SOR'!$G$206</f>
        <v>550</v>
      </c>
      <c r="G682" s="435">
        <v>1</v>
      </c>
      <c r="H682" s="435" t="s">
        <v>17</v>
      </c>
      <c r="I682" s="836">
        <f t="shared" si="35"/>
        <v>789.25</v>
      </c>
      <c r="K682" s="703"/>
    </row>
    <row r="683" spans="1:11" s="559" customFormat="1" ht="17.5" customHeight="1">
      <c r="A683" s="845"/>
      <c r="B683" s="399"/>
      <c r="C683" s="417" t="str">
        <f>[161]Input!$C$47</f>
        <v>Add for MA @ 40%</v>
      </c>
      <c r="D683" s="835">
        <f>[161]Input!$D$47</f>
        <v>0.4</v>
      </c>
      <c r="E683" s="435"/>
      <c r="F683" s="835">
        <f>I682</f>
        <v>789.25</v>
      </c>
      <c r="G683" s="435"/>
      <c r="H683" s="435"/>
      <c r="I683" s="836">
        <f t="shared" si="35"/>
        <v>315.70000000000005</v>
      </c>
      <c r="K683" s="703"/>
    </row>
    <row r="684" spans="1:11" s="559" customFormat="1" ht="13.15" customHeight="1">
      <c r="A684" s="845"/>
      <c r="B684" s="399"/>
      <c r="C684" s="417" t="s">
        <v>684</v>
      </c>
      <c r="D684" s="835"/>
      <c r="E684" s="435"/>
      <c r="F684" s="835"/>
      <c r="G684" s="435"/>
      <c r="H684" s="435"/>
      <c r="I684" s="838"/>
      <c r="K684" s="703"/>
    </row>
    <row r="685" spans="1:11" s="559" customFormat="1" ht="13.15" customHeight="1">
      <c r="A685" s="845"/>
      <c r="B685" s="399"/>
      <c r="C685" s="427" t="s">
        <v>2059</v>
      </c>
      <c r="D685" s="835"/>
      <c r="E685" s="435"/>
      <c r="F685" s="835"/>
      <c r="G685" s="435"/>
      <c r="H685" s="435"/>
      <c r="I685" s="856">
        <f>SUM(I669:I684)</f>
        <v>7933.8824136999992</v>
      </c>
      <c r="K685" s="703"/>
    </row>
    <row r="686" spans="1:11" s="559" customFormat="1" ht="17.5" customHeight="1">
      <c r="A686" s="845"/>
      <c r="B686" s="399"/>
      <c r="C686" s="417" t="str">
        <f>[161]Input!$C$48</f>
        <v>Overheads &amp; Contractors Profit @ 13.615%</v>
      </c>
      <c r="D686" s="857">
        <f>[161]Input!$D$48</f>
        <v>0.13614999999999999</v>
      </c>
      <c r="E686" s="435"/>
      <c r="F686" s="835">
        <f>I685</f>
        <v>7933.8824136999992</v>
      </c>
      <c r="G686" s="435"/>
      <c r="H686" s="435"/>
      <c r="I686" s="836">
        <f>IF(G686="",D686*F686,(D686*F686/G686))</f>
        <v>1080.1980906252547</v>
      </c>
      <c r="K686" s="703"/>
    </row>
    <row r="687" spans="1:11" s="559" customFormat="1" ht="16" customHeight="1">
      <c r="A687" s="845"/>
      <c r="B687" s="399"/>
      <c r="C687" s="417"/>
      <c r="D687" s="835"/>
      <c r="E687" s="435"/>
      <c r="F687" s="835"/>
      <c r="G687" s="435"/>
      <c r="H687" s="435"/>
      <c r="I687" s="838">
        <f>SUM(I685:I686)</f>
        <v>9014.0805043252549</v>
      </c>
      <c r="K687" s="703"/>
    </row>
    <row r="688" spans="1:11" s="560" customFormat="1" ht="18.649999999999999" customHeight="1">
      <c r="A688" s="845"/>
      <c r="B688" s="399"/>
      <c r="C688" s="481" t="s">
        <v>686</v>
      </c>
      <c r="D688" s="858"/>
      <c r="E688" s="740"/>
      <c r="F688" s="858"/>
      <c r="G688" s="740"/>
      <c r="H688" s="740"/>
      <c r="I688" s="432">
        <f>I687/G659</f>
        <v>5365.524109717413</v>
      </c>
      <c r="K688" s="405"/>
    </row>
    <row r="689" spans="1:11" s="560" customFormat="1" ht="18.649999999999999" customHeight="1">
      <c r="A689" s="845"/>
      <c r="B689" s="399"/>
      <c r="C689" s="496"/>
      <c r="D689" s="858"/>
      <c r="E689" s="740"/>
      <c r="F689" s="858"/>
      <c r="G689" s="1275" t="s">
        <v>726</v>
      </c>
      <c r="H689" s="1275"/>
      <c r="I689" s="436">
        <f>ROUND(I688,0)</f>
        <v>5366</v>
      </c>
      <c r="K689" s="405"/>
    </row>
    <row r="690" spans="1:11" s="559" customFormat="1" ht="15.75" customHeight="1">
      <c r="A690" s="845"/>
      <c r="B690" s="399"/>
      <c r="C690" s="417"/>
      <c r="D690" s="835"/>
      <c r="E690" s="435"/>
      <c r="F690" s="835"/>
      <c r="G690" s="435"/>
      <c r="H690" s="399"/>
      <c r="I690" s="865"/>
    </row>
    <row r="691" spans="1:11" s="559" customFormat="1" ht="15.75" customHeight="1">
      <c r="A691" s="845"/>
      <c r="B691" s="399"/>
      <c r="C691" s="417"/>
      <c r="D691" s="835"/>
      <c r="E691" s="435"/>
      <c r="F691" s="835"/>
      <c r="G691" s="435"/>
      <c r="H691" s="399"/>
      <c r="I691" s="865"/>
    </row>
    <row r="692" spans="1:11" s="559" customFormat="1" ht="108" customHeight="1">
      <c r="A692" s="1332">
        <f>A656+1</f>
        <v>3</v>
      </c>
      <c r="B692" s="1332"/>
      <c r="C692" s="1276" t="s">
        <v>2045</v>
      </c>
      <c r="D692" s="1276"/>
      <c r="E692" s="1276"/>
      <c r="F692" s="1276"/>
      <c r="G692" s="1276"/>
      <c r="H692" s="1276"/>
      <c r="I692" s="427"/>
    </row>
    <row r="693" spans="1:11" s="559" customFormat="1" ht="84" customHeight="1">
      <c r="A693" s="845"/>
      <c r="B693" s="399"/>
      <c r="C693" s="1291" t="s">
        <v>2060</v>
      </c>
      <c r="D693" s="1291"/>
      <c r="E693" s="1291"/>
      <c r="F693" s="1291"/>
      <c r="G693" s="1291"/>
      <c r="H693" s="1291"/>
      <c r="I693" s="427"/>
    </row>
    <row r="694" spans="1:11" s="559" customFormat="1" ht="16" customHeight="1">
      <c r="A694" s="845"/>
      <c r="B694" s="399"/>
      <c r="C694" s="473" t="s">
        <v>659</v>
      </c>
      <c r="D694" s="435"/>
      <c r="E694" s="435"/>
      <c r="F694" s="435"/>
      <c r="G694" s="435"/>
      <c r="H694" s="435"/>
      <c r="I694" s="845"/>
    </row>
    <row r="695" spans="1:11" s="559" customFormat="1" ht="16.899999999999999" customHeight="1">
      <c r="A695" s="845"/>
      <c r="B695" s="399"/>
      <c r="C695" s="427" t="s">
        <v>660</v>
      </c>
      <c r="D695" s="855" t="s">
        <v>661</v>
      </c>
      <c r="E695" s="1295" t="s">
        <v>2061</v>
      </c>
      <c r="F695" s="1295"/>
      <c r="G695" s="1275">
        <f>0.75*2.1</f>
        <v>1.5750000000000002</v>
      </c>
      <c r="H695" s="1275"/>
      <c r="I695" s="851" t="s">
        <v>17</v>
      </c>
    </row>
    <row r="696" spans="1:11" s="559" customFormat="1" ht="16.899999999999999" customHeight="1">
      <c r="A696" s="845"/>
      <c r="B696" s="399"/>
      <c r="C696" s="417" t="s">
        <v>663</v>
      </c>
      <c r="D696" s="1314" t="s">
        <v>2000</v>
      </c>
      <c r="E696" s="1314"/>
      <c r="F696" s="1314"/>
      <c r="G696" s="861"/>
      <c r="H696" s="861"/>
      <c r="I696" s="449"/>
    </row>
    <row r="697" spans="1:11" s="559" customFormat="1" ht="16.899999999999999" customHeight="1">
      <c r="A697" s="845"/>
      <c r="B697" s="399"/>
      <c r="C697" s="417"/>
      <c r="D697" s="1314" t="s">
        <v>2017</v>
      </c>
      <c r="E697" s="1314"/>
      <c r="F697" s="1314"/>
      <c r="G697" s="1356">
        <f>ROUND(4.22*0.1*0.065,5)</f>
        <v>2.743E-2</v>
      </c>
      <c r="H697" s="1356"/>
      <c r="I697" s="449" t="s">
        <v>666</v>
      </c>
    </row>
    <row r="698" spans="1:11" s="559" customFormat="1" ht="16.899999999999999" customHeight="1">
      <c r="A698" s="845"/>
      <c r="B698" s="399"/>
      <c r="C698" s="417" t="s">
        <v>667</v>
      </c>
      <c r="D698" s="1314" t="s">
        <v>2062</v>
      </c>
      <c r="E698" s="1314"/>
      <c r="F698" s="1314"/>
      <c r="G698" s="1357"/>
      <c r="H698" s="1357"/>
      <c r="I698" s="449"/>
    </row>
    <row r="699" spans="1:11" s="559" customFormat="1" ht="16.899999999999999" customHeight="1">
      <c r="A699" s="845"/>
      <c r="B699" s="399"/>
      <c r="C699" s="417"/>
      <c r="D699" s="1314" t="s">
        <v>2063</v>
      </c>
      <c r="E699" s="1314"/>
      <c r="F699" s="1314"/>
      <c r="G699" s="1356">
        <f>ROUND(0.75*0.1*0.065,5)</f>
        <v>4.8799999999999998E-3</v>
      </c>
      <c r="H699" s="1356"/>
      <c r="I699" s="449" t="s">
        <v>666</v>
      </c>
    </row>
    <row r="700" spans="1:11" s="559" customFormat="1" ht="16.899999999999999" customHeight="1">
      <c r="A700" s="845"/>
      <c r="B700" s="399"/>
      <c r="C700" s="417"/>
      <c r="D700" s="1314"/>
      <c r="E700" s="1314"/>
      <c r="F700" s="1314"/>
      <c r="G700" s="1355">
        <f>SUM(G697:G699)</f>
        <v>3.2309999999999998E-2</v>
      </c>
      <c r="H700" s="1355"/>
      <c r="I700" s="851" t="s">
        <v>666</v>
      </c>
    </row>
    <row r="701" spans="1:11" s="559" customFormat="1" ht="16.899999999999999" customHeight="1">
      <c r="A701" s="845"/>
      <c r="B701" s="399"/>
      <c r="C701" s="417" t="s">
        <v>1924</v>
      </c>
      <c r="D701" s="1314" t="s">
        <v>2064</v>
      </c>
      <c r="E701" s="1314"/>
      <c r="F701" s="1314"/>
      <c r="G701" s="1275">
        <f>ROUND(0.65*2.05,3)</f>
        <v>1.333</v>
      </c>
      <c r="H701" s="1275"/>
      <c r="I701" s="851" t="s">
        <v>17</v>
      </c>
    </row>
    <row r="702" spans="1:11" s="559" customFormat="1" ht="15.75" customHeight="1">
      <c r="A702" s="845"/>
      <c r="B702" s="399"/>
      <c r="C702" s="427"/>
      <c r="D702" s="855"/>
      <c r="E702" s="473"/>
      <c r="F702" s="855"/>
      <c r="G702" s="435"/>
      <c r="H702" s="473"/>
      <c r="I702" s="856"/>
    </row>
    <row r="703" spans="1:11" s="559" customFormat="1" ht="16" customHeight="1">
      <c r="A703" s="845"/>
      <c r="B703" s="399"/>
      <c r="C703" s="427" t="s">
        <v>672</v>
      </c>
      <c r="D703" s="835"/>
      <c r="E703" s="435"/>
      <c r="F703" s="835"/>
      <c r="G703" s="435"/>
      <c r="H703" s="435"/>
      <c r="I703" s="838"/>
    </row>
    <row r="704" spans="1:11" s="559" customFormat="1" ht="17.5" customHeight="1">
      <c r="A704" s="845"/>
      <c r="B704" s="399"/>
      <c r="C704" s="417" t="s">
        <v>1949</v>
      </c>
      <c r="D704" s="857">
        <f>G697</f>
        <v>2.743E-2</v>
      </c>
      <c r="E704" s="435" t="s">
        <v>666</v>
      </c>
      <c r="F704" s="835">
        <f>'[161]Civil-SOR'!$G$26</f>
        <v>91479</v>
      </c>
      <c r="G704" s="435">
        <v>1</v>
      </c>
      <c r="H704" s="435" t="s">
        <v>666</v>
      </c>
      <c r="I704" s="836">
        <f t="shared" ref="I704:I718" si="36">IF(G704="",D704*F704,(D704*F704/G704))</f>
        <v>2509.2689700000001</v>
      </c>
      <c r="K704" s="703"/>
    </row>
    <row r="705" spans="1:11" s="559" customFormat="1" ht="17.5" customHeight="1">
      <c r="A705" s="845"/>
      <c r="B705" s="399"/>
      <c r="C705" s="417" t="s">
        <v>1928</v>
      </c>
      <c r="D705" s="857">
        <f>G699</f>
        <v>4.8799999999999998E-3</v>
      </c>
      <c r="E705" s="435" t="s">
        <v>666</v>
      </c>
      <c r="F705" s="835">
        <f>'[161]Civil-SOR'!$G$25</f>
        <v>82331</v>
      </c>
      <c r="G705" s="435">
        <v>1</v>
      </c>
      <c r="H705" s="435" t="s">
        <v>666</v>
      </c>
      <c r="I705" s="836">
        <f t="shared" si="36"/>
        <v>401.77528000000001</v>
      </c>
      <c r="K705" s="703"/>
    </row>
    <row r="706" spans="1:11" s="559" customFormat="1" ht="19.899999999999999" customHeight="1">
      <c r="A706" s="845"/>
      <c r="B706" s="399"/>
      <c r="C706" s="417" t="s">
        <v>1930</v>
      </c>
      <c r="D706" s="834">
        <f>G701</f>
        <v>1.333</v>
      </c>
      <c r="E706" s="435" t="s">
        <v>17</v>
      </c>
      <c r="F706" s="835">
        <f>'[161]Civil-SOR'!$G$114</f>
        <v>1334</v>
      </c>
      <c r="G706" s="435">
        <v>1</v>
      </c>
      <c r="H706" s="435" t="s">
        <v>17</v>
      </c>
      <c r="I706" s="836">
        <f t="shared" si="36"/>
        <v>1778.222</v>
      </c>
      <c r="K706" s="703"/>
    </row>
    <row r="707" spans="1:11" s="559" customFormat="1" ht="17.5" customHeight="1">
      <c r="A707" s="845"/>
      <c r="B707" s="399"/>
      <c r="C707" s="417" t="s">
        <v>2051</v>
      </c>
      <c r="D707" s="837">
        <v>6</v>
      </c>
      <c r="E707" s="435" t="s">
        <v>375</v>
      </c>
      <c r="F707" s="835">
        <f>'[161]Civil-SOR'!$G$385</f>
        <v>37</v>
      </c>
      <c r="G707" s="435"/>
      <c r="H707" s="435" t="s">
        <v>572</v>
      </c>
      <c r="I707" s="836">
        <f t="shared" si="36"/>
        <v>222</v>
      </c>
      <c r="K707" s="703"/>
    </row>
    <row r="708" spans="1:11" s="559" customFormat="1" ht="16.899999999999999" customHeight="1">
      <c r="A708" s="845"/>
      <c r="B708" s="399"/>
      <c r="C708" s="417" t="s">
        <v>2052</v>
      </c>
      <c r="D708" s="837">
        <v>1</v>
      </c>
      <c r="E708" s="435" t="s">
        <v>678</v>
      </c>
      <c r="F708" s="835">
        <f>'[161]Civil-SOR'!$G$152</f>
        <v>76</v>
      </c>
      <c r="G708" s="435"/>
      <c r="H708" s="435" t="s">
        <v>572</v>
      </c>
      <c r="I708" s="836">
        <f t="shared" si="36"/>
        <v>76</v>
      </c>
      <c r="K708" s="703"/>
    </row>
    <row r="709" spans="1:11" s="559" customFormat="1" ht="16.899999999999999" customHeight="1">
      <c r="A709" s="845"/>
      <c r="B709" s="399"/>
      <c r="C709" s="417" t="s">
        <v>2053</v>
      </c>
      <c r="D709" s="837">
        <v>3</v>
      </c>
      <c r="E709" s="435" t="s">
        <v>375</v>
      </c>
      <c r="F709" s="835">
        <f>'[161]Civil-SOR'!$G$159</f>
        <v>106</v>
      </c>
      <c r="G709" s="435"/>
      <c r="H709" s="435" t="s">
        <v>572</v>
      </c>
      <c r="I709" s="836">
        <f t="shared" si="36"/>
        <v>318</v>
      </c>
      <c r="K709" s="703"/>
    </row>
    <row r="710" spans="1:11" s="559" customFormat="1" ht="16.899999999999999" customHeight="1">
      <c r="A710" s="845"/>
      <c r="B710" s="399"/>
      <c r="C710" s="417" t="s">
        <v>2054</v>
      </c>
      <c r="D710" s="837">
        <v>1</v>
      </c>
      <c r="E710" s="435" t="s">
        <v>678</v>
      </c>
      <c r="F710" s="835">
        <f>'[161]Civil-SOR'!$G$171</f>
        <v>219</v>
      </c>
      <c r="G710" s="435"/>
      <c r="H710" s="435" t="s">
        <v>572</v>
      </c>
      <c r="I710" s="836">
        <f t="shared" si="36"/>
        <v>219</v>
      </c>
      <c r="K710" s="703"/>
    </row>
    <row r="711" spans="1:11" s="559" customFormat="1" ht="16.899999999999999" customHeight="1">
      <c r="A711" s="845"/>
      <c r="B711" s="399"/>
      <c r="C711" s="417" t="s">
        <v>2055</v>
      </c>
      <c r="D711" s="837">
        <v>1</v>
      </c>
      <c r="E711" s="435" t="s">
        <v>678</v>
      </c>
      <c r="F711" s="835">
        <f>'[161]Civil-SOR'!$G$163</f>
        <v>85</v>
      </c>
      <c r="G711" s="435"/>
      <c r="H711" s="435" t="s">
        <v>572</v>
      </c>
      <c r="I711" s="836">
        <f t="shared" si="36"/>
        <v>85</v>
      </c>
      <c r="K711" s="703"/>
    </row>
    <row r="712" spans="1:11" s="559" customFormat="1" ht="16.899999999999999" customHeight="1">
      <c r="A712" s="845"/>
      <c r="B712" s="399"/>
      <c r="C712" s="417" t="s">
        <v>2056</v>
      </c>
      <c r="D712" s="837">
        <v>1</v>
      </c>
      <c r="E712" s="435" t="s">
        <v>678</v>
      </c>
      <c r="F712" s="835">
        <f>'[161]Civil-SOR'!$G$386</f>
        <v>12</v>
      </c>
      <c r="G712" s="435"/>
      <c r="H712" s="435" t="s">
        <v>572</v>
      </c>
      <c r="I712" s="836">
        <f t="shared" si="36"/>
        <v>12</v>
      </c>
      <c r="K712" s="703"/>
    </row>
    <row r="713" spans="1:11" s="559" customFormat="1" ht="20.5" customHeight="1">
      <c r="A713" s="845"/>
      <c r="B713" s="399"/>
      <c r="C713" s="417" t="s">
        <v>2057</v>
      </c>
      <c r="D713" s="834">
        <f>D706</f>
        <v>1.333</v>
      </c>
      <c r="E713" s="435" t="s">
        <v>17</v>
      </c>
      <c r="F713" s="835">
        <f>'[161]Civil-SOR'!$G$387</f>
        <v>170</v>
      </c>
      <c r="G713" s="435">
        <v>1</v>
      </c>
      <c r="H713" s="435" t="s">
        <v>17</v>
      </c>
      <c r="I713" s="836">
        <f t="shared" si="36"/>
        <v>226.60999999999999</v>
      </c>
      <c r="K713" s="703"/>
    </row>
    <row r="714" spans="1:11" s="559" customFormat="1" ht="18.649999999999999" customHeight="1">
      <c r="A714" s="845"/>
      <c r="B714" s="399"/>
      <c r="C714" s="417" t="s">
        <v>2065</v>
      </c>
      <c r="D714" s="834">
        <f>D713</f>
        <v>1.333</v>
      </c>
      <c r="E714" s="435" t="s">
        <v>17</v>
      </c>
      <c r="F714" s="835">
        <f>'[161]Civil-SOR'!$G$388</f>
        <v>80</v>
      </c>
      <c r="G714" s="435">
        <v>1</v>
      </c>
      <c r="H714" s="435" t="s">
        <v>17</v>
      </c>
      <c r="I714" s="836">
        <f t="shared" si="36"/>
        <v>106.64</v>
      </c>
      <c r="K714" s="703"/>
    </row>
    <row r="715" spans="1:11" s="559" customFormat="1" ht="18.649999999999999" customHeight="1">
      <c r="A715" s="845"/>
      <c r="B715" s="399"/>
      <c r="C715" s="417" t="s">
        <v>682</v>
      </c>
      <c r="D715" s="862">
        <f>G700</f>
        <v>3.2309999999999998E-2</v>
      </c>
      <c r="E715" s="435" t="s">
        <v>666</v>
      </c>
      <c r="F715" s="835">
        <f>$I$8</f>
        <v>15027.85</v>
      </c>
      <c r="G715" s="435">
        <v>1</v>
      </c>
      <c r="H715" s="435" t="s">
        <v>666</v>
      </c>
      <c r="I715" s="836">
        <f t="shared" si="36"/>
        <v>485.54983349999998</v>
      </c>
      <c r="K715" s="703"/>
    </row>
    <row r="716" spans="1:11" s="559" customFormat="1" ht="18.649999999999999" customHeight="1">
      <c r="A716" s="845"/>
      <c r="B716" s="399"/>
      <c r="C716" s="417" t="str">
        <f>[161]Input!$C$47</f>
        <v>Add for MA @ 40%</v>
      </c>
      <c r="D716" s="835">
        <f>[161]Input!$D$47</f>
        <v>0.4</v>
      </c>
      <c r="E716" s="435"/>
      <c r="F716" s="835">
        <f>I715</f>
        <v>485.54983349999998</v>
      </c>
      <c r="G716" s="435"/>
      <c r="H716" s="435"/>
      <c r="I716" s="836">
        <f t="shared" si="36"/>
        <v>194.2199334</v>
      </c>
      <c r="K716" s="703"/>
    </row>
    <row r="717" spans="1:11" s="559" customFormat="1" ht="28.9" customHeight="1">
      <c r="A717" s="845"/>
      <c r="B717" s="399"/>
      <c r="C717" s="417" t="s">
        <v>2066</v>
      </c>
      <c r="D717" s="834">
        <f>G701</f>
        <v>1.333</v>
      </c>
      <c r="E717" s="435" t="s">
        <v>17</v>
      </c>
      <c r="F717" s="835">
        <f>'[161]Civil-SOR'!$G$206</f>
        <v>550</v>
      </c>
      <c r="G717" s="435">
        <v>1</v>
      </c>
      <c r="H717" s="435" t="s">
        <v>17</v>
      </c>
      <c r="I717" s="836">
        <f t="shared" si="36"/>
        <v>733.15</v>
      </c>
      <c r="K717" s="703"/>
    </row>
    <row r="718" spans="1:11" s="559" customFormat="1" ht="18" customHeight="1">
      <c r="A718" s="845"/>
      <c r="B718" s="399"/>
      <c r="C718" s="417" t="str">
        <f>[161]Input!$C$47</f>
        <v>Add for MA @ 40%</v>
      </c>
      <c r="D718" s="835">
        <f>[161]Input!$D$47</f>
        <v>0.4</v>
      </c>
      <c r="E718" s="435"/>
      <c r="F718" s="835">
        <f>I717</f>
        <v>733.15</v>
      </c>
      <c r="G718" s="435"/>
      <c r="H718" s="435"/>
      <c r="I718" s="836">
        <f t="shared" si="36"/>
        <v>293.26</v>
      </c>
      <c r="K718" s="703"/>
    </row>
    <row r="719" spans="1:11" s="559" customFormat="1" ht="18" customHeight="1">
      <c r="A719" s="845"/>
      <c r="B719" s="399"/>
      <c r="C719" s="417" t="s">
        <v>684</v>
      </c>
      <c r="D719" s="835"/>
      <c r="E719" s="435"/>
      <c r="F719" s="835"/>
      <c r="G719" s="435"/>
      <c r="H719" s="435"/>
      <c r="I719" s="838"/>
      <c r="K719" s="703"/>
    </row>
    <row r="720" spans="1:11" s="559" customFormat="1" ht="18" customHeight="1">
      <c r="A720" s="845"/>
      <c r="B720" s="399"/>
      <c r="C720" s="427" t="s">
        <v>2059</v>
      </c>
      <c r="D720" s="835"/>
      <c r="E720" s="435"/>
      <c r="F720" s="835"/>
      <c r="G720" s="435"/>
      <c r="H720" s="435"/>
      <c r="I720" s="856">
        <f>SUM(I704:I719)</f>
        <v>7660.6960168999994</v>
      </c>
      <c r="K720" s="703"/>
    </row>
    <row r="721" spans="1:11" s="559" customFormat="1" ht="18" customHeight="1">
      <c r="A721" s="845"/>
      <c r="B721" s="399"/>
      <c r="C721" s="417" t="str">
        <f>[161]Input!$C$48</f>
        <v>Overheads &amp; Contractors Profit @ 13.615%</v>
      </c>
      <c r="D721" s="857">
        <f>[161]Input!$D$48</f>
        <v>0.13614999999999999</v>
      </c>
      <c r="E721" s="435"/>
      <c r="F721" s="835">
        <f>I720</f>
        <v>7660.6960168999994</v>
      </c>
      <c r="G721" s="435"/>
      <c r="H721" s="435"/>
      <c r="I721" s="836">
        <f>IF(G721="",D721*F721,(D721*F721/G721))</f>
        <v>1043.0037627009349</v>
      </c>
      <c r="K721" s="703"/>
    </row>
    <row r="722" spans="1:11" s="559" customFormat="1" ht="16" customHeight="1">
      <c r="A722" s="845"/>
      <c r="B722" s="399"/>
      <c r="C722" s="417"/>
      <c r="D722" s="835"/>
      <c r="E722" s="435"/>
      <c r="F722" s="835"/>
      <c r="G722" s="435"/>
      <c r="H722" s="435"/>
      <c r="I722" s="838">
        <f>SUM(I720:I721)</f>
        <v>8703.6997796009346</v>
      </c>
      <c r="K722" s="703"/>
    </row>
    <row r="723" spans="1:11" s="559" customFormat="1" ht="16" customHeight="1">
      <c r="A723" s="845"/>
      <c r="B723" s="399"/>
      <c r="C723" s="427" t="s">
        <v>686</v>
      </c>
      <c r="D723" s="835"/>
      <c r="E723" s="435"/>
      <c r="F723" s="835"/>
      <c r="G723" s="435"/>
      <c r="H723" s="435"/>
      <c r="I723" s="838">
        <f>I722/G695</f>
        <v>5526.1585902228153</v>
      </c>
      <c r="K723" s="703"/>
    </row>
    <row r="724" spans="1:11" s="559" customFormat="1" ht="17.5" customHeight="1">
      <c r="A724" s="845"/>
      <c r="B724" s="399"/>
      <c r="C724" s="417"/>
      <c r="D724" s="835"/>
      <c r="E724" s="435"/>
      <c r="F724" s="835"/>
      <c r="G724" s="1275" t="s">
        <v>726</v>
      </c>
      <c r="H724" s="1275"/>
      <c r="I724" s="865">
        <f>ROUND(I723,0)</f>
        <v>5526</v>
      </c>
      <c r="K724" s="703"/>
    </row>
    <row r="725" spans="1:11" s="559" customFormat="1" ht="14.65" customHeight="1">
      <c r="A725" s="845"/>
      <c r="B725" s="399"/>
      <c r="C725" s="417"/>
      <c r="D725" s="835"/>
      <c r="E725" s="435"/>
      <c r="F725" s="835"/>
      <c r="G725" s="435"/>
      <c r="H725" s="399"/>
      <c r="I725" s="865"/>
    </row>
    <row r="726" spans="1:11" s="559" customFormat="1" ht="126.65" customHeight="1">
      <c r="A726" s="1332">
        <f>1+A656</f>
        <v>3</v>
      </c>
      <c r="B726" s="1332"/>
      <c r="C726" s="1276" t="s">
        <v>2067</v>
      </c>
      <c r="D726" s="1276"/>
      <c r="E726" s="1276"/>
      <c r="F726" s="1276"/>
      <c r="G726" s="1276"/>
      <c r="H726" s="1276"/>
      <c r="I726" s="427"/>
    </row>
    <row r="727" spans="1:11" s="559" customFormat="1" ht="106.15" customHeight="1">
      <c r="A727" s="845"/>
      <c r="B727" s="399"/>
      <c r="C727" s="1291" t="s">
        <v>2068</v>
      </c>
      <c r="D727" s="1291"/>
      <c r="E727" s="1291"/>
      <c r="F727" s="1291"/>
      <c r="G727" s="1291"/>
      <c r="H727" s="1291"/>
      <c r="I727" s="427"/>
    </row>
    <row r="728" spans="1:11" s="559" customFormat="1" ht="15" customHeight="1">
      <c r="A728" s="845"/>
      <c r="B728" s="399"/>
      <c r="C728" s="473" t="s">
        <v>2069</v>
      </c>
      <c r="D728" s="435"/>
      <c r="E728" s="435"/>
      <c r="F728" s="435"/>
      <c r="G728" s="435"/>
      <c r="H728" s="435"/>
      <c r="I728" s="845"/>
    </row>
    <row r="729" spans="1:11" s="559" customFormat="1" ht="13.9" customHeight="1">
      <c r="A729" s="845"/>
      <c r="B729" s="399"/>
      <c r="C729" s="427" t="s">
        <v>660</v>
      </c>
      <c r="D729" s="835" t="s">
        <v>661</v>
      </c>
      <c r="E729" s="1295" t="s">
        <v>2070</v>
      </c>
      <c r="F729" s="1295"/>
      <c r="G729" s="1275">
        <f>2*2.6</f>
        <v>5.2</v>
      </c>
      <c r="H729" s="1275"/>
      <c r="I729" s="851" t="s">
        <v>17</v>
      </c>
    </row>
    <row r="730" spans="1:11" s="559" customFormat="1" ht="12.65" customHeight="1">
      <c r="A730" s="845"/>
      <c r="B730" s="399"/>
      <c r="C730" s="417" t="s">
        <v>2071</v>
      </c>
      <c r="D730" s="1314" t="s">
        <v>2072</v>
      </c>
      <c r="E730" s="1314"/>
      <c r="F730" s="1314"/>
      <c r="G730" s="1275">
        <f>2*2+2*2.6</f>
        <v>9.1999999999999993</v>
      </c>
      <c r="H730" s="1275"/>
      <c r="I730" s="445" t="s">
        <v>1052</v>
      </c>
    </row>
    <row r="731" spans="1:11" s="559" customFormat="1" ht="13.15" customHeight="1">
      <c r="A731" s="845"/>
      <c r="B731" s="399"/>
      <c r="C731" s="417" t="s">
        <v>2073</v>
      </c>
      <c r="D731" s="1314" t="s">
        <v>2074</v>
      </c>
      <c r="E731" s="1314"/>
      <c r="F731" s="1314"/>
      <c r="G731" s="1275">
        <f>1*0.5</f>
        <v>0.5</v>
      </c>
      <c r="H731" s="1275"/>
      <c r="I731" s="445" t="s">
        <v>1052</v>
      </c>
    </row>
    <row r="732" spans="1:11" s="559" customFormat="1" ht="13.9" customHeight="1">
      <c r="A732" s="845"/>
      <c r="B732" s="399"/>
      <c r="C732" s="417"/>
      <c r="D732" s="449"/>
      <c r="E732" s="445"/>
      <c r="F732" s="445"/>
      <c r="G732" s="1352">
        <f>G730+G731</f>
        <v>9.6999999999999993</v>
      </c>
      <c r="H732" s="1352"/>
      <c r="I732" s="445" t="s">
        <v>1052</v>
      </c>
    </row>
    <row r="733" spans="1:11" s="559" customFormat="1" ht="14.5" customHeight="1">
      <c r="A733" s="845"/>
      <c r="B733" s="399"/>
      <c r="C733" s="417"/>
      <c r="D733" s="1314" t="s">
        <v>2075</v>
      </c>
      <c r="E733" s="1314"/>
      <c r="F733" s="1314"/>
      <c r="G733" s="1275">
        <f>ROUND(9.7*2.404,3)</f>
        <v>23.318999999999999</v>
      </c>
      <c r="H733" s="1275"/>
      <c r="I733" s="445" t="s">
        <v>1485</v>
      </c>
    </row>
    <row r="734" spans="1:11" s="559" customFormat="1" ht="14.5" customHeight="1">
      <c r="A734" s="845"/>
      <c r="B734" s="399"/>
      <c r="C734" s="1296" t="s">
        <v>2076</v>
      </c>
      <c r="D734" s="1314" t="s">
        <v>2077</v>
      </c>
      <c r="E734" s="1314"/>
      <c r="F734" s="1314"/>
      <c r="G734" s="1275">
        <f>4*2.1+2*2*1</f>
        <v>12.4</v>
      </c>
      <c r="H734" s="1275"/>
      <c r="I734" s="445" t="s">
        <v>1052</v>
      </c>
    </row>
    <row r="735" spans="1:11" s="559" customFormat="1" ht="15.65" customHeight="1">
      <c r="A735" s="845"/>
      <c r="B735" s="399"/>
      <c r="C735" s="1296"/>
      <c r="D735" s="1314" t="s">
        <v>2078</v>
      </c>
      <c r="E735" s="1314"/>
      <c r="F735" s="1314"/>
      <c r="G735" s="1275">
        <f>ROUND(12.4*1.501,3)</f>
        <v>18.611999999999998</v>
      </c>
      <c r="H735" s="1275"/>
      <c r="I735" s="445" t="s">
        <v>1485</v>
      </c>
    </row>
    <row r="736" spans="1:11" s="559" customFormat="1" ht="13.9" customHeight="1">
      <c r="A736" s="845"/>
      <c r="B736" s="399"/>
      <c r="C736" s="417" t="s">
        <v>2079</v>
      </c>
      <c r="D736" s="1314" t="s">
        <v>1979</v>
      </c>
      <c r="E736" s="1314"/>
      <c r="F736" s="1314"/>
      <c r="G736" s="445"/>
      <c r="H736" s="449">
        <f>2*1</f>
        <v>2</v>
      </c>
      <c r="I736" s="445" t="s">
        <v>1052</v>
      </c>
    </row>
    <row r="737" spans="1:11" s="559" customFormat="1" ht="16.149999999999999" customHeight="1">
      <c r="A737" s="845"/>
      <c r="B737" s="399"/>
      <c r="C737" s="417"/>
      <c r="D737" s="1314" t="s">
        <v>2080</v>
      </c>
      <c r="E737" s="1314"/>
      <c r="F737" s="1314"/>
      <c r="G737" s="445"/>
      <c r="H737" s="864">
        <f>ROUND(2*2.646,3)</f>
        <v>5.2919999999999998</v>
      </c>
      <c r="I737" s="445" t="s">
        <v>1485</v>
      </c>
    </row>
    <row r="738" spans="1:11" s="559" customFormat="1" ht="30" customHeight="1">
      <c r="A738" s="845"/>
      <c r="B738" s="399"/>
      <c r="C738" s="417" t="s">
        <v>2081</v>
      </c>
      <c r="D738" s="1275" t="s">
        <v>2082</v>
      </c>
      <c r="E738" s="1275"/>
      <c r="F738" s="1275"/>
      <c r="G738" s="1275"/>
      <c r="H738" s="449">
        <f>2*2*2*(1+0.5)+2*2*2*(1+1.2)+2*2*2*(1+0.9)</f>
        <v>44.8</v>
      </c>
      <c r="I738" s="445" t="s">
        <v>1052</v>
      </c>
    </row>
    <row r="739" spans="1:11" s="559" customFormat="1" ht="16.149999999999999" customHeight="1">
      <c r="A739" s="845"/>
      <c r="B739" s="399"/>
      <c r="C739" s="417"/>
      <c r="D739" s="1275" t="s">
        <v>2083</v>
      </c>
      <c r="E739" s="1275"/>
      <c r="F739" s="1275"/>
      <c r="G739" s="1275"/>
      <c r="H739" s="864">
        <f>ROUND(44.8*0.101,3)</f>
        <v>4.5250000000000004</v>
      </c>
      <c r="I739" s="445" t="s">
        <v>1485</v>
      </c>
    </row>
    <row r="740" spans="1:11" s="559" customFormat="1" ht="13.9" customHeight="1">
      <c r="A740" s="845"/>
      <c r="B740" s="399"/>
      <c r="C740" s="417"/>
      <c r="D740" s="1354"/>
      <c r="E740" s="1354"/>
      <c r="F740" s="1354"/>
      <c r="G740" s="1353">
        <f>G733+G735+H737+H739</f>
        <v>51.747999999999998</v>
      </c>
      <c r="H740" s="1353"/>
      <c r="I740" s="445" t="s">
        <v>1485</v>
      </c>
    </row>
    <row r="741" spans="1:11" s="559" customFormat="1" ht="14.5" customHeight="1">
      <c r="A741" s="845"/>
      <c r="B741" s="399"/>
      <c r="C741" s="417" t="s">
        <v>2084</v>
      </c>
      <c r="D741" s="1314" t="s">
        <v>1887</v>
      </c>
      <c r="E741" s="1314"/>
      <c r="F741" s="1314"/>
      <c r="G741" s="855">
        <f>2*1*0.5</f>
        <v>1</v>
      </c>
      <c r="H741" s="473" t="s">
        <v>2085</v>
      </c>
      <c r="I741" s="838"/>
    </row>
    <row r="742" spans="1:11" s="559" customFormat="1" ht="16.149999999999999" customHeight="1">
      <c r="A742" s="845"/>
      <c r="B742" s="399"/>
      <c r="C742" s="417" t="s">
        <v>2086</v>
      </c>
      <c r="D742" s="1314" t="s">
        <v>2087</v>
      </c>
      <c r="E742" s="1314"/>
      <c r="F742" s="1314"/>
      <c r="G742" s="855">
        <f>2*1*1.2</f>
        <v>2.4</v>
      </c>
      <c r="H742" s="473" t="s">
        <v>2085</v>
      </c>
      <c r="I742" s="838"/>
    </row>
    <row r="743" spans="1:11" s="559" customFormat="1" ht="15" customHeight="1">
      <c r="A743" s="845"/>
      <c r="B743" s="399"/>
      <c r="C743" s="417" t="s">
        <v>2088</v>
      </c>
      <c r="D743" s="1314" t="s">
        <v>2089</v>
      </c>
      <c r="E743" s="1314"/>
      <c r="F743" s="1314"/>
      <c r="G743" s="855">
        <f>2*1*0.9</f>
        <v>1.8</v>
      </c>
      <c r="H743" s="473" t="s">
        <v>2085</v>
      </c>
      <c r="I743" s="838"/>
    </row>
    <row r="744" spans="1:11" s="559" customFormat="1" ht="14.5" customHeight="1">
      <c r="A744" s="845"/>
      <c r="B744" s="399"/>
      <c r="C744" s="417" t="s">
        <v>2090</v>
      </c>
      <c r="D744" s="1275" t="s">
        <v>2091</v>
      </c>
      <c r="E744" s="1275"/>
      <c r="F744" s="1275"/>
      <c r="G744" s="855">
        <f>2*2*(1+0.5)+2*2*(1+1.2)</f>
        <v>14.8</v>
      </c>
      <c r="H744" s="473" t="s">
        <v>1052</v>
      </c>
      <c r="I744" s="838"/>
    </row>
    <row r="745" spans="1:11" s="559" customFormat="1" ht="13.9" customHeight="1">
      <c r="A745" s="845"/>
      <c r="B745" s="399"/>
      <c r="C745" s="427" t="s">
        <v>672</v>
      </c>
      <c r="D745" s="1275"/>
      <c r="E745" s="1275"/>
      <c r="F745" s="1275"/>
      <c r="G745" s="435"/>
      <c r="H745" s="435"/>
      <c r="I745" s="838"/>
    </row>
    <row r="746" spans="1:11" s="559" customFormat="1" ht="16" customHeight="1">
      <c r="A746" s="845"/>
      <c r="B746" s="399"/>
      <c r="C746" s="427" t="s">
        <v>2092</v>
      </c>
      <c r="D746" s="835"/>
      <c r="E746" s="435"/>
      <c r="F746" s="835"/>
      <c r="G746" s="435"/>
      <c r="H746" s="435"/>
      <c r="I746" s="838"/>
    </row>
    <row r="747" spans="1:11" s="559" customFormat="1" ht="16" customHeight="1">
      <c r="A747" s="845"/>
      <c r="B747" s="399"/>
      <c r="C747" s="417" t="s">
        <v>2093</v>
      </c>
      <c r="D747" s="834">
        <f t="shared" ref="D747:D751" si="37">G740</f>
        <v>51.747999999999998</v>
      </c>
      <c r="E747" s="435" t="s">
        <v>1485</v>
      </c>
      <c r="F747" s="835">
        <f>'[161]Civil-SOR'!$G$186</f>
        <v>332</v>
      </c>
      <c r="G747" s="435">
        <v>1</v>
      </c>
      <c r="H747" s="435" t="s">
        <v>1486</v>
      </c>
      <c r="I747" s="836">
        <f t="shared" ref="I747:I756" si="38">IF(G747="",D747*F747,(D747*F747/G747))</f>
        <v>17180.335999999999</v>
      </c>
      <c r="K747" s="703"/>
    </row>
    <row r="748" spans="1:11" s="559" customFormat="1" ht="16" customHeight="1">
      <c r="A748" s="845"/>
      <c r="B748" s="399"/>
      <c r="C748" s="417" t="s">
        <v>2094</v>
      </c>
      <c r="D748" s="835">
        <f t="shared" si="37"/>
        <v>1</v>
      </c>
      <c r="E748" s="435" t="s">
        <v>2085</v>
      </c>
      <c r="F748" s="835">
        <f>'[161]Civil-SOR'!$G$49</f>
        <v>568</v>
      </c>
      <c r="G748" s="435">
        <v>1</v>
      </c>
      <c r="H748" s="435" t="s">
        <v>2085</v>
      </c>
      <c r="I748" s="836">
        <f t="shared" si="38"/>
        <v>568</v>
      </c>
      <c r="K748" s="703"/>
    </row>
    <row r="749" spans="1:11" s="559" customFormat="1" ht="16" customHeight="1">
      <c r="A749" s="845"/>
      <c r="B749" s="399"/>
      <c r="C749" s="417" t="s">
        <v>2095</v>
      </c>
      <c r="D749" s="835">
        <f t="shared" si="37"/>
        <v>2.4</v>
      </c>
      <c r="E749" s="435" t="s">
        <v>2085</v>
      </c>
      <c r="F749" s="835">
        <f>'[161]Civil-SOR'!$G$53</f>
        <v>759</v>
      </c>
      <c r="G749" s="435">
        <v>1</v>
      </c>
      <c r="H749" s="435" t="s">
        <v>2085</v>
      </c>
      <c r="I749" s="836">
        <f t="shared" si="38"/>
        <v>1821.6</v>
      </c>
      <c r="K749" s="703"/>
    </row>
    <row r="750" spans="1:11" s="559" customFormat="1" ht="15.65" customHeight="1">
      <c r="A750" s="845"/>
      <c r="B750" s="399"/>
      <c r="C750" s="417" t="s">
        <v>2096</v>
      </c>
      <c r="D750" s="835">
        <f t="shared" si="37"/>
        <v>1.8</v>
      </c>
      <c r="E750" s="435" t="s">
        <v>2085</v>
      </c>
      <c r="F750" s="835">
        <f>'[161]Civil-SOR'!$G$78</f>
        <v>877</v>
      </c>
      <c r="G750" s="435">
        <v>1</v>
      </c>
      <c r="H750" s="435" t="s">
        <v>2085</v>
      </c>
      <c r="I750" s="836">
        <f t="shared" si="38"/>
        <v>1578.6000000000001</v>
      </c>
      <c r="K750" s="703"/>
    </row>
    <row r="751" spans="1:11" s="559" customFormat="1" ht="16" customHeight="1">
      <c r="A751" s="845"/>
      <c r="B751" s="399"/>
      <c r="C751" s="417" t="s">
        <v>2097</v>
      </c>
      <c r="D751" s="835">
        <f t="shared" si="37"/>
        <v>14.8</v>
      </c>
      <c r="E751" s="435" t="s">
        <v>1052</v>
      </c>
      <c r="F751" s="835">
        <f>'[161]Civil-SOR'!$G$187</f>
        <v>5</v>
      </c>
      <c r="G751" s="435">
        <v>1</v>
      </c>
      <c r="H751" s="435" t="s">
        <v>1052</v>
      </c>
      <c r="I751" s="836">
        <f t="shared" si="38"/>
        <v>74</v>
      </c>
      <c r="K751" s="703"/>
    </row>
    <row r="752" spans="1:11" s="559" customFormat="1" ht="16" customHeight="1">
      <c r="A752" s="845"/>
      <c r="B752" s="399"/>
      <c r="C752" s="417" t="s">
        <v>2098</v>
      </c>
      <c r="D752" s="837">
        <v>2</v>
      </c>
      <c r="E752" s="435" t="s">
        <v>375</v>
      </c>
      <c r="F752" s="835">
        <f>'[161]Civil-SOR'!$G$175</f>
        <v>3967</v>
      </c>
      <c r="G752" s="435"/>
      <c r="H752" s="435" t="s">
        <v>572</v>
      </c>
      <c r="I752" s="836">
        <f t="shared" si="38"/>
        <v>7934</v>
      </c>
      <c r="K752" s="703"/>
    </row>
    <row r="753" spans="1:11" s="559" customFormat="1" ht="16" customHeight="1">
      <c r="A753" s="845"/>
      <c r="B753" s="399"/>
      <c r="C753" s="417" t="s">
        <v>2099</v>
      </c>
      <c r="D753" s="837">
        <v>4</v>
      </c>
      <c r="E753" s="435" t="s">
        <v>375</v>
      </c>
      <c r="F753" s="835">
        <f>'[161]Civil-SOR'!$G$154</f>
        <v>125</v>
      </c>
      <c r="G753" s="435"/>
      <c r="H753" s="435" t="s">
        <v>572</v>
      </c>
      <c r="I753" s="836">
        <f t="shared" si="38"/>
        <v>500</v>
      </c>
      <c r="K753" s="703"/>
    </row>
    <row r="754" spans="1:11" s="559" customFormat="1" ht="15.65" customHeight="1">
      <c r="A754" s="845"/>
      <c r="B754" s="399"/>
      <c r="C754" s="417" t="s">
        <v>2100</v>
      </c>
      <c r="D754" s="837">
        <v>4</v>
      </c>
      <c r="E754" s="435" t="s">
        <v>375</v>
      </c>
      <c r="F754" s="835">
        <f>'[161]Civil-SOR'!$G$390</f>
        <v>100</v>
      </c>
      <c r="G754" s="435"/>
      <c r="H754" s="435" t="s">
        <v>572</v>
      </c>
      <c r="I754" s="836">
        <f t="shared" si="38"/>
        <v>400</v>
      </c>
      <c r="K754" s="703"/>
    </row>
    <row r="755" spans="1:11" s="559" customFormat="1" ht="12.75" customHeight="1">
      <c r="A755" s="845"/>
      <c r="B755" s="399"/>
      <c r="C755" s="417" t="s">
        <v>2101</v>
      </c>
      <c r="D755" s="837">
        <v>2</v>
      </c>
      <c r="E755" s="435" t="s">
        <v>375</v>
      </c>
      <c r="F755" s="835">
        <f>'[161]Civil-SOR'!$G$172</f>
        <v>239</v>
      </c>
      <c r="G755" s="435"/>
      <c r="H755" s="435" t="s">
        <v>572</v>
      </c>
      <c r="I755" s="836">
        <f t="shared" si="38"/>
        <v>478</v>
      </c>
      <c r="K755" s="703"/>
    </row>
    <row r="756" spans="1:11" s="559" customFormat="1" ht="16" customHeight="1">
      <c r="A756" s="845"/>
      <c r="B756" s="399"/>
      <c r="C756" s="427" t="s">
        <v>2102</v>
      </c>
      <c r="D756" s="835">
        <f>G729</f>
        <v>5.2</v>
      </c>
      <c r="E756" s="435" t="s">
        <v>2085</v>
      </c>
      <c r="F756" s="835">
        <f>$I$23</f>
        <v>982.58759000000009</v>
      </c>
      <c r="G756" s="435">
        <v>1</v>
      </c>
      <c r="H756" s="435" t="s">
        <v>2085</v>
      </c>
      <c r="I756" s="836">
        <f t="shared" si="38"/>
        <v>5109.455468000001</v>
      </c>
      <c r="K756" s="703"/>
    </row>
    <row r="757" spans="1:11" s="559" customFormat="1" ht="12.75" customHeight="1">
      <c r="A757" s="845"/>
      <c r="B757" s="399"/>
      <c r="C757" s="417" t="s">
        <v>2103</v>
      </c>
      <c r="D757" s="835" t="s">
        <v>1570</v>
      </c>
      <c r="E757" s="435"/>
      <c r="F757" s="835"/>
      <c r="G757" s="435"/>
      <c r="H757" s="435"/>
      <c r="I757" s="838"/>
      <c r="K757" s="703"/>
    </row>
    <row r="758" spans="1:11" s="559" customFormat="1" ht="16" customHeight="1">
      <c r="A758" s="845"/>
      <c r="B758" s="399"/>
      <c r="C758" s="427" t="s">
        <v>2104</v>
      </c>
      <c r="D758" s="835"/>
      <c r="E758" s="435"/>
      <c r="F758" s="835"/>
      <c r="G758" s="435"/>
      <c r="H758" s="435"/>
      <c r="I758" s="856">
        <f>SUM(I747:I757)</f>
        <v>35643.991468</v>
      </c>
      <c r="K758" s="703"/>
    </row>
    <row r="759" spans="1:11" s="559" customFormat="1" ht="12.75" customHeight="1">
      <c r="A759" s="845"/>
      <c r="B759" s="399"/>
      <c r="C759" s="417" t="str">
        <f>[161]Input!$C$48</f>
        <v>Overheads &amp; Contractors Profit @ 13.615%</v>
      </c>
      <c r="D759" s="857">
        <f>[161]Input!$D$48</f>
        <v>0.13614999999999999</v>
      </c>
      <c r="E759" s="435"/>
      <c r="F759" s="835">
        <f>I758</f>
        <v>35643.991468</v>
      </c>
      <c r="G759" s="435"/>
      <c r="H759" s="435"/>
      <c r="I759" s="836">
        <f>IF(G759="",D759*F759,(D759*F759/G759))</f>
        <v>4852.9294383682</v>
      </c>
      <c r="K759" s="405"/>
    </row>
    <row r="760" spans="1:11" s="559" customFormat="1" ht="16" customHeight="1">
      <c r="A760" s="845"/>
      <c r="B760" s="399"/>
      <c r="C760" s="417"/>
      <c r="D760" s="835"/>
      <c r="E760" s="435"/>
      <c r="F760" s="835"/>
      <c r="G760" s="435"/>
      <c r="H760" s="435"/>
      <c r="I760" s="838">
        <f>SUM(I758:I759)</f>
        <v>40496.920906368199</v>
      </c>
      <c r="K760" s="405"/>
    </row>
    <row r="761" spans="1:11" s="559" customFormat="1" ht="16" customHeight="1">
      <c r="A761" s="845"/>
      <c r="B761" s="399"/>
      <c r="C761" s="427" t="s">
        <v>2105</v>
      </c>
      <c r="D761" s="835"/>
      <c r="E761" s="435"/>
      <c r="F761" s="835"/>
      <c r="G761" s="435"/>
      <c r="H761" s="435"/>
      <c r="I761" s="838">
        <f>I760/G729</f>
        <v>7787.8694050708073</v>
      </c>
      <c r="K761" s="703"/>
    </row>
    <row r="762" spans="1:11" s="559" customFormat="1" ht="15" customHeight="1">
      <c r="A762" s="845"/>
      <c r="B762" s="399"/>
      <c r="C762" s="417"/>
      <c r="D762" s="835"/>
      <c r="E762" s="435"/>
      <c r="F762" s="835"/>
      <c r="G762" s="1275" t="s">
        <v>726</v>
      </c>
      <c r="H762" s="1275"/>
      <c r="I762" s="455">
        <f>ROUND(I761,0)</f>
        <v>7788</v>
      </c>
      <c r="K762" s="703"/>
    </row>
    <row r="763" spans="1:11" s="559" customFormat="1" ht="8.25" customHeight="1">
      <c r="A763" s="845"/>
      <c r="B763" s="399"/>
      <c r="C763" s="417"/>
      <c r="D763" s="835"/>
      <c r="E763" s="435"/>
      <c r="F763" s="835"/>
      <c r="G763" s="435"/>
      <c r="H763" s="435"/>
      <c r="I763" s="469"/>
    </row>
    <row r="764" spans="1:11" s="559" customFormat="1" ht="8.25" customHeight="1">
      <c r="A764" s="845"/>
      <c r="B764" s="399"/>
      <c r="C764" s="417"/>
      <c r="D764" s="835"/>
      <c r="E764" s="435"/>
      <c r="F764" s="835"/>
      <c r="G764" s="435"/>
      <c r="H764" s="435"/>
      <c r="I764" s="469"/>
    </row>
    <row r="765" spans="1:11" s="559" customFormat="1" ht="142.9" customHeight="1">
      <c r="A765" s="1332">
        <f>A726+1</f>
        <v>4</v>
      </c>
      <c r="B765" s="1332"/>
      <c r="C765" s="1276" t="s">
        <v>2106</v>
      </c>
      <c r="D765" s="1276"/>
      <c r="E765" s="1276"/>
      <c r="F765" s="1276"/>
      <c r="G765" s="1276"/>
      <c r="H765" s="1276"/>
      <c r="I765" s="427"/>
    </row>
    <row r="766" spans="1:11" s="559" customFormat="1" ht="107.5" customHeight="1">
      <c r="A766" s="845"/>
      <c r="B766" s="399"/>
      <c r="C766" s="1291" t="s">
        <v>2107</v>
      </c>
      <c r="D766" s="1291"/>
      <c r="E766" s="1291"/>
      <c r="F766" s="1291"/>
      <c r="G766" s="1291"/>
      <c r="H766" s="1291"/>
      <c r="I766" s="427"/>
    </row>
    <row r="767" spans="1:11" s="559" customFormat="1" ht="16" customHeight="1">
      <c r="A767" s="845"/>
      <c r="B767" s="399"/>
      <c r="C767" s="473" t="s">
        <v>2069</v>
      </c>
      <c r="D767" s="435"/>
      <c r="E767" s="435"/>
      <c r="F767" s="435"/>
      <c r="G767" s="435"/>
      <c r="H767" s="435"/>
      <c r="I767" s="845"/>
    </row>
    <row r="768" spans="1:11" s="559" customFormat="1" ht="13.15" customHeight="1">
      <c r="A768" s="845"/>
      <c r="B768" s="399"/>
      <c r="C768" s="427" t="s">
        <v>660</v>
      </c>
      <c r="D768" s="514" t="s">
        <v>661</v>
      </c>
      <c r="E768" s="1294" t="s">
        <v>1918</v>
      </c>
      <c r="F768" s="1294"/>
      <c r="G768" s="1352">
        <f>1.8*2.6</f>
        <v>4.6800000000000006</v>
      </c>
      <c r="H768" s="1352"/>
      <c r="I768" s="851" t="s">
        <v>17</v>
      </c>
    </row>
    <row r="769" spans="1:11" s="559" customFormat="1" ht="14.5" customHeight="1">
      <c r="A769" s="845"/>
      <c r="B769" s="399"/>
      <c r="C769" s="417" t="s">
        <v>2071</v>
      </c>
      <c r="D769" s="1314" t="s">
        <v>2108</v>
      </c>
      <c r="E769" s="1314"/>
      <c r="F769" s="1314"/>
      <c r="G769" s="1275">
        <f>2*1.8+2*2.6</f>
        <v>8.8000000000000007</v>
      </c>
      <c r="H769" s="1275"/>
      <c r="I769" s="435" t="s">
        <v>1052</v>
      </c>
    </row>
    <row r="770" spans="1:11" s="559" customFormat="1" ht="14.5" customHeight="1">
      <c r="A770" s="845"/>
      <c r="B770" s="399"/>
      <c r="C770" s="417" t="s">
        <v>2073</v>
      </c>
      <c r="D770" s="1314" t="s">
        <v>2074</v>
      </c>
      <c r="E770" s="1314"/>
      <c r="F770" s="1314"/>
      <c r="G770" s="1275">
        <f>1*0.5</f>
        <v>0.5</v>
      </c>
      <c r="H770" s="1275"/>
      <c r="I770" s="435" t="s">
        <v>1052</v>
      </c>
    </row>
    <row r="771" spans="1:11" s="559" customFormat="1" ht="13.9" customHeight="1">
      <c r="A771" s="845"/>
      <c r="B771" s="399"/>
      <c r="C771" s="417"/>
      <c r="D771" s="1354"/>
      <c r="E771" s="1354"/>
      <c r="F771" s="1354"/>
      <c r="G771" s="1275">
        <f>G769+G770</f>
        <v>9.3000000000000007</v>
      </c>
      <c r="H771" s="1275"/>
      <c r="I771" s="435" t="s">
        <v>1052</v>
      </c>
    </row>
    <row r="772" spans="1:11" s="559" customFormat="1" ht="15" customHeight="1">
      <c r="A772" s="845"/>
      <c r="B772" s="399"/>
      <c r="C772" s="417"/>
      <c r="D772" s="1314" t="s">
        <v>2109</v>
      </c>
      <c r="E772" s="1314"/>
      <c r="F772" s="1314"/>
      <c r="G772" s="435"/>
      <c r="H772" s="469">
        <f>ROUND(9.3*2.404,3)</f>
        <v>22.356999999999999</v>
      </c>
      <c r="I772" s="451" t="s">
        <v>1485</v>
      </c>
    </row>
    <row r="773" spans="1:11" s="559" customFormat="1" ht="15" customHeight="1">
      <c r="A773" s="845"/>
      <c r="B773" s="399"/>
      <c r="C773" s="1296" t="s">
        <v>2076</v>
      </c>
      <c r="D773" s="1314" t="s">
        <v>2110</v>
      </c>
      <c r="E773" s="1314"/>
      <c r="F773" s="1314"/>
      <c r="G773" s="835">
        <f>4*2.1+2*2*0.9</f>
        <v>12</v>
      </c>
      <c r="H773" s="435"/>
      <c r="I773" s="435" t="s">
        <v>1052</v>
      </c>
    </row>
    <row r="774" spans="1:11" s="559" customFormat="1" ht="16.149999999999999" customHeight="1">
      <c r="A774" s="845"/>
      <c r="B774" s="399"/>
      <c r="C774" s="1296"/>
      <c r="D774" s="1354" t="s">
        <v>2111</v>
      </c>
      <c r="E774" s="1354"/>
      <c r="F774" s="1354"/>
      <c r="G774" s="435"/>
      <c r="H774" s="834">
        <f>ROUND(12*1.501,3)</f>
        <v>18.012</v>
      </c>
      <c r="I774" s="445" t="s">
        <v>1485</v>
      </c>
    </row>
    <row r="775" spans="1:11" s="559" customFormat="1" ht="13.9" customHeight="1">
      <c r="A775" s="845"/>
      <c r="B775" s="399"/>
      <c r="C775" s="417" t="s">
        <v>2079</v>
      </c>
      <c r="D775" s="1314" t="s">
        <v>1989</v>
      </c>
      <c r="E775" s="1314"/>
      <c r="F775" s="1314"/>
      <c r="G775" s="835">
        <f>2*0.9</f>
        <v>1.8</v>
      </c>
      <c r="H775" s="435"/>
      <c r="I775" s="435" t="s">
        <v>1052</v>
      </c>
    </row>
    <row r="776" spans="1:11" s="559" customFormat="1" ht="13.9" customHeight="1">
      <c r="A776" s="845"/>
      <c r="B776" s="399"/>
      <c r="C776" s="417"/>
      <c r="D776" s="1354" t="s">
        <v>2112</v>
      </c>
      <c r="E776" s="1354"/>
      <c r="F776" s="1354"/>
      <c r="G776" s="435"/>
      <c r="H776" s="834">
        <f>ROUND(1.8*2.646,3)</f>
        <v>4.7629999999999999</v>
      </c>
      <c r="I776" s="445" t="s">
        <v>1485</v>
      </c>
    </row>
    <row r="777" spans="1:11" s="559" customFormat="1" ht="34.15" customHeight="1">
      <c r="A777" s="845"/>
      <c r="B777" s="399"/>
      <c r="C777" s="417" t="s">
        <v>2081</v>
      </c>
      <c r="D777" s="1314" t="s">
        <v>2113</v>
      </c>
      <c r="E777" s="1314"/>
      <c r="F777" s="1314"/>
      <c r="G777" s="835">
        <f>2*2*2*(0.9+0.5)+2*2*2*(0.9+1.2)+2*2*2*(0.9+0.9)</f>
        <v>42.4</v>
      </c>
      <c r="H777" s="435"/>
      <c r="I777" s="435" t="s">
        <v>1052</v>
      </c>
    </row>
    <row r="778" spans="1:11" s="559" customFormat="1" ht="16.149999999999999" customHeight="1">
      <c r="A778" s="845"/>
      <c r="B778" s="399"/>
      <c r="C778" s="417"/>
      <c r="D778" s="1275" t="s">
        <v>2114</v>
      </c>
      <c r="E778" s="1275"/>
      <c r="F778" s="1275"/>
      <c r="G778" s="1275"/>
      <c r="H778" s="469">
        <f>ROUND(42.4*0.101,3)</f>
        <v>4.282</v>
      </c>
      <c r="I778" s="451" t="s">
        <v>1485</v>
      </c>
      <c r="K778" s="559">
        <f>42.4*0.101</f>
        <v>4.2824</v>
      </c>
    </row>
    <row r="779" spans="1:11" s="559" customFormat="1" ht="13.9" customHeight="1">
      <c r="A779" s="845"/>
      <c r="B779" s="399"/>
      <c r="C779" s="417"/>
      <c r="D779" s="835"/>
      <c r="E779" s="435"/>
      <c r="F779" s="835"/>
      <c r="G779" s="1353">
        <f>SUM(H772:H778)</f>
        <v>49.414000000000001</v>
      </c>
      <c r="H779" s="1353"/>
      <c r="I779" s="451" t="s">
        <v>1485</v>
      </c>
    </row>
    <row r="780" spans="1:11" s="559" customFormat="1" ht="14.5" customHeight="1">
      <c r="A780" s="845"/>
      <c r="B780" s="399"/>
      <c r="C780" s="417" t="s">
        <v>2084</v>
      </c>
      <c r="D780" s="1314" t="s">
        <v>2115</v>
      </c>
      <c r="E780" s="1314"/>
      <c r="F780" s="1314"/>
      <c r="G780" s="435"/>
      <c r="H780" s="855">
        <f>2*0.9*0.5</f>
        <v>0.9</v>
      </c>
      <c r="I780" s="473" t="s">
        <v>2085</v>
      </c>
    </row>
    <row r="781" spans="1:11" s="559" customFormat="1" ht="13.15" customHeight="1">
      <c r="A781" s="845"/>
      <c r="B781" s="399"/>
      <c r="C781" s="417" t="s">
        <v>2086</v>
      </c>
      <c r="D781" s="1314" t="s">
        <v>2116</v>
      </c>
      <c r="E781" s="1314"/>
      <c r="F781" s="1314"/>
      <c r="G781" s="435"/>
      <c r="H781" s="855">
        <f>2*0.9*1.2</f>
        <v>2.16</v>
      </c>
      <c r="I781" s="473" t="s">
        <v>2085</v>
      </c>
    </row>
    <row r="782" spans="1:11" s="559" customFormat="1" ht="14.5" customHeight="1">
      <c r="A782" s="845"/>
      <c r="B782" s="399"/>
      <c r="C782" s="417" t="s">
        <v>2088</v>
      </c>
      <c r="D782" s="1314" t="s">
        <v>2117</v>
      </c>
      <c r="E782" s="1314"/>
      <c r="F782" s="1314"/>
      <c r="G782" s="435"/>
      <c r="H782" s="855">
        <f>2*0.9*0.9</f>
        <v>1.62</v>
      </c>
      <c r="I782" s="473" t="s">
        <v>2085</v>
      </c>
    </row>
    <row r="783" spans="1:11" s="559" customFormat="1" ht="15" customHeight="1">
      <c r="A783" s="845"/>
      <c r="B783" s="399"/>
      <c r="C783" s="417" t="s">
        <v>2090</v>
      </c>
      <c r="D783" s="1275" t="s">
        <v>2118</v>
      </c>
      <c r="E783" s="1275"/>
      <c r="F783" s="1275"/>
      <c r="G783" s="1275"/>
      <c r="H783" s="855">
        <f>2*2*(0.9+0.5)+2*2*(0.9+1.2)</f>
        <v>14</v>
      </c>
      <c r="I783" s="473" t="s">
        <v>1052</v>
      </c>
    </row>
    <row r="784" spans="1:11" s="559" customFormat="1" ht="16" customHeight="1">
      <c r="A784" s="845"/>
      <c r="B784" s="399"/>
      <c r="C784" s="427" t="s">
        <v>672</v>
      </c>
      <c r="D784" s="835"/>
      <c r="E784" s="435"/>
      <c r="F784" s="835"/>
      <c r="G784" s="435"/>
      <c r="H784" s="435"/>
      <c r="I784" s="838"/>
    </row>
    <row r="785" spans="1:9" s="559" customFormat="1" ht="16" customHeight="1">
      <c r="A785" s="845"/>
      <c r="B785" s="399"/>
      <c r="C785" s="427" t="s">
        <v>2092</v>
      </c>
      <c r="D785" s="835"/>
      <c r="E785" s="435"/>
      <c r="F785" s="835"/>
      <c r="G785" s="435"/>
      <c r="H785" s="435"/>
      <c r="I785" s="838"/>
    </row>
    <row r="786" spans="1:9" s="559" customFormat="1" ht="15.65" customHeight="1">
      <c r="A786" s="845"/>
      <c r="B786" s="399"/>
      <c r="C786" s="417" t="s">
        <v>2093</v>
      </c>
      <c r="D786" s="834">
        <f>G779</f>
        <v>49.414000000000001</v>
      </c>
      <c r="E786" s="435" t="s">
        <v>1485</v>
      </c>
      <c r="F786" s="835">
        <f>'[161]Civil-SOR'!$G$186</f>
        <v>332</v>
      </c>
      <c r="G786" s="435">
        <v>1</v>
      </c>
      <c r="H786" s="435" t="s">
        <v>1485</v>
      </c>
      <c r="I786" s="836">
        <f t="shared" ref="I786:I795" si="39">IF(G786="",D786*F786,(D786*F786/G786))</f>
        <v>16405.448</v>
      </c>
    </row>
    <row r="787" spans="1:9" s="559" customFormat="1" ht="15.65" customHeight="1">
      <c r="A787" s="845"/>
      <c r="B787" s="399"/>
      <c r="C787" s="417" t="s">
        <v>2094</v>
      </c>
      <c r="D787" s="835">
        <f t="shared" ref="D787:D790" si="40">H780</f>
        <v>0.9</v>
      </c>
      <c r="E787" s="435" t="s">
        <v>2085</v>
      </c>
      <c r="F787" s="835">
        <f>'[161]Civil-SOR'!$G$49</f>
        <v>568</v>
      </c>
      <c r="G787" s="435">
        <v>1</v>
      </c>
      <c r="H787" s="435" t="s">
        <v>2085</v>
      </c>
      <c r="I787" s="836">
        <f t="shared" si="39"/>
        <v>511.2</v>
      </c>
    </row>
    <row r="788" spans="1:9" s="559" customFormat="1" ht="15.65" customHeight="1">
      <c r="A788" s="845"/>
      <c r="B788" s="399"/>
      <c r="C788" s="417" t="s">
        <v>2095</v>
      </c>
      <c r="D788" s="835">
        <f t="shared" si="40"/>
        <v>2.16</v>
      </c>
      <c r="E788" s="435" t="s">
        <v>2085</v>
      </c>
      <c r="F788" s="835">
        <f>'[161]Civil-SOR'!$G$53</f>
        <v>759</v>
      </c>
      <c r="G788" s="435">
        <v>1</v>
      </c>
      <c r="H788" s="435" t="s">
        <v>2085</v>
      </c>
      <c r="I788" s="836">
        <f t="shared" si="39"/>
        <v>1639.44</v>
      </c>
    </row>
    <row r="789" spans="1:9" s="559" customFormat="1" ht="15.65" customHeight="1">
      <c r="A789" s="845"/>
      <c r="B789" s="399"/>
      <c r="C789" s="417" t="s">
        <v>2096</v>
      </c>
      <c r="D789" s="835">
        <f t="shared" si="40"/>
        <v>1.62</v>
      </c>
      <c r="E789" s="435" t="s">
        <v>2085</v>
      </c>
      <c r="F789" s="835">
        <f>'[161]Civil-SOR'!$G$78</f>
        <v>877</v>
      </c>
      <c r="G789" s="435">
        <v>1</v>
      </c>
      <c r="H789" s="435" t="s">
        <v>2085</v>
      </c>
      <c r="I789" s="836">
        <f t="shared" si="39"/>
        <v>1420.74</v>
      </c>
    </row>
    <row r="790" spans="1:9" s="559" customFormat="1" ht="15.65" customHeight="1">
      <c r="A790" s="845"/>
      <c r="B790" s="399"/>
      <c r="C790" s="417" t="s">
        <v>2097</v>
      </c>
      <c r="D790" s="835">
        <f t="shared" si="40"/>
        <v>14</v>
      </c>
      <c r="E790" s="435" t="s">
        <v>1052</v>
      </c>
      <c r="F790" s="835">
        <f>'[161]Civil-SOR'!$G$187</f>
        <v>5</v>
      </c>
      <c r="G790" s="435">
        <v>1</v>
      </c>
      <c r="H790" s="435" t="s">
        <v>1052</v>
      </c>
      <c r="I790" s="836">
        <f t="shared" si="39"/>
        <v>70</v>
      </c>
    </row>
    <row r="791" spans="1:9" s="559" customFormat="1" ht="15.65" customHeight="1">
      <c r="A791" s="845"/>
      <c r="B791" s="399"/>
      <c r="C791" s="417" t="s">
        <v>2098</v>
      </c>
      <c r="D791" s="837">
        <v>2</v>
      </c>
      <c r="E791" s="435" t="s">
        <v>375</v>
      </c>
      <c r="F791" s="835">
        <f>'[161]Civil-SOR'!$G$175</f>
        <v>3967</v>
      </c>
      <c r="G791" s="435"/>
      <c r="H791" s="435" t="s">
        <v>572</v>
      </c>
      <c r="I791" s="836">
        <f t="shared" si="39"/>
        <v>7934</v>
      </c>
    </row>
    <row r="792" spans="1:9" s="559" customFormat="1" ht="15.65" customHeight="1">
      <c r="A792" s="845"/>
      <c r="B792" s="399"/>
      <c r="C792" s="417" t="s">
        <v>2099</v>
      </c>
      <c r="D792" s="837">
        <v>4</v>
      </c>
      <c r="E792" s="435" t="s">
        <v>375</v>
      </c>
      <c r="F792" s="835">
        <f>'[161]Civil-SOR'!$G$154</f>
        <v>125</v>
      </c>
      <c r="G792" s="435"/>
      <c r="H792" s="435" t="s">
        <v>572</v>
      </c>
      <c r="I792" s="836">
        <f t="shared" si="39"/>
        <v>500</v>
      </c>
    </row>
    <row r="793" spans="1:9" s="559" customFormat="1" ht="14.5" customHeight="1">
      <c r="A793" s="845"/>
      <c r="B793" s="399"/>
      <c r="C793" s="417" t="s">
        <v>2100</v>
      </c>
      <c r="D793" s="837">
        <v>4</v>
      </c>
      <c r="E793" s="435" t="s">
        <v>375</v>
      </c>
      <c r="F793" s="835">
        <f>'[161]Civil-SOR'!$G$390</f>
        <v>100</v>
      </c>
      <c r="G793" s="435"/>
      <c r="H793" s="435" t="s">
        <v>572</v>
      </c>
      <c r="I793" s="836">
        <f t="shared" si="39"/>
        <v>400</v>
      </c>
    </row>
    <row r="794" spans="1:9" s="559" customFormat="1" ht="14.5" customHeight="1">
      <c r="A794" s="845"/>
      <c r="B794" s="399"/>
      <c r="C794" s="417" t="s">
        <v>2119</v>
      </c>
      <c r="D794" s="837">
        <v>2</v>
      </c>
      <c r="E794" s="435" t="s">
        <v>375</v>
      </c>
      <c r="F794" s="835">
        <f>'[161]Civil-SOR'!$G$172</f>
        <v>239</v>
      </c>
      <c r="G794" s="435"/>
      <c r="H794" s="435" t="s">
        <v>572</v>
      </c>
      <c r="I794" s="836">
        <f t="shared" si="39"/>
        <v>478</v>
      </c>
    </row>
    <row r="795" spans="1:9" s="559" customFormat="1" ht="16" customHeight="1">
      <c r="A795" s="845"/>
      <c r="B795" s="399"/>
      <c r="C795" s="427" t="s">
        <v>2102</v>
      </c>
      <c r="D795" s="835">
        <f>G768</f>
        <v>4.6800000000000006</v>
      </c>
      <c r="E795" s="435" t="s">
        <v>2085</v>
      </c>
      <c r="F795" s="835">
        <f>$I$23</f>
        <v>982.58759000000009</v>
      </c>
      <c r="G795" s="435">
        <v>1</v>
      </c>
      <c r="H795" s="435" t="s">
        <v>2085</v>
      </c>
      <c r="I795" s="836">
        <f t="shared" si="39"/>
        <v>4598.5099212000014</v>
      </c>
    </row>
    <row r="796" spans="1:9" s="559" customFormat="1" ht="12.75" customHeight="1">
      <c r="A796" s="845"/>
      <c r="B796" s="399"/>
      <c r="C796" s="417" t="s">
        <v>2103</v>
      </c>
      <c r="D796" s="838" t="s">
        <v>1570</v>
      </c>
      <c r="E796" s="435"/>
      <c r="F796" s="835"/>
      <c r="G796" s="435"/>
      <c r="H796" s="435"/>
      <c r="I796" s="838"/>
    </row>
    <row r="797" spans="1:9" s="559" customFormat="1" ht="16" customHeight="1">
      <c r="A797" s="845"/>
      <c r="B797" s="399"/>
      <c r="C797" s="427" t="s">
        <v>2120</v>
      </c>
      <c r="D797" s="835"/>
      <c r="E797" s="435"/>
      <c r="F797" s="835"/>
      <c r="G797" s="435"/>
      <c r="H797" s="435"/>
      <c r="I797" s="856">
        <f>SUM(I786:I796)</f>
        <v>33957.3379212</v>
      </c>
    </row>
    <row r="798" spans="1:9" s="559" customFormat="1" ht="15" customHeight="1">
      <c r="A798" s="845"/>
      <c r="B798" s="399"/>
      <c r="C798" s="417" t="str">
        <f>[161]Input!$C$48</f>
        <v>Overheads &amp; Contractors Profit @ 13.615%</v>
      </c>
      <c r="D798" s="857">
        <f>[161]Input!$D$48</f>
        <v>0.13614999999999999</v>
      </c>
      <c r="E798" s="435"/>
      <c r="F798" s="835">
        <f>I797</f>
        <v>33957.3379212</v>
      </c>
      <c r="G798" s="435"/>
      <c r="H798" s="435"/>
      <c r="I798" s="836">
        <f>IF(G798="",D798*F798,(D798*F798/G798))</f>
        <v>4623.2915579713799</v>
      </c>
    </row>
    <row r="799" spans="1:9" s="559" customFormat="1" ht="16" customHeight="1">
      <c r="A799" s="845"/>
      <c r="B799" s="399"/>
      <c r="C799" s="417"/>
      <c r="D799" s="835"/>
      <c r="E799" s="435"/>
      <c r="F799" s="835"/>
      <c r="G799" s="435"/>
      <c r="H799" s="435"/>
      <c r="I799" s="838">
        <f>SUM(I797:I798)</f>
        <v>38580.629479171381</v>
      </c>
    </row>
    <row r="800" spans="1:9" s="559" customFormat="1" ht="16" customHeight="1">
      <c r="A800" s="845"/>
      <c r="B800" s="399"/>
      <c r="C800" s="427" t="s">
        <v>2105</v>
      </c>
      <c r="D800" s="835"/>
      <c r="E800" s="435"/>
      <c r="F800" s="835"/>
      <c r="G800" s="435"/>
      <c r="H800" s="435"/>
      <c r="I800" s="838">
        <f>I799/G768</f>
        <v>8243.724247686192</v>
      </c>
    </row>
    <row r="801" spans="1:9" s="559" customFormat="1" ht="15" customHeight="1">
      <c r="A801" s="845"/>
      <c r="B801" s="399"/>
      <c r="C801" s="417"/>
      <c r="D801" s="835"/>
      <c r="E801" s="435"/>
      <c r="F801" s="835"/>
      <c r="G801" s="1275" t="s">
        <v>726</v>
      </c>
      <c r="H801" s="1275"/>
      <c r="I801" s="849">
        <f>ROUND(I800,0)</f>
        <v>8244</v>
      </c>
    </row>
    <row r="802" spans="1:9" s="559" customFormat="1" ht="14.65" customHeight="1">
      <c r="A802" s="845"/>
      <c r="B802" s="399"/>
      <c r="C802" s="417"/>
      <c r="D802" s="835"/>
      <c r="E802" s="435"/>
      <c r="F802" s="835"/>
      <c r="G802" s="435"/>
      <c r="H802" s="399"/>
      <c r="I802" s="865"/>
    </row>
    <row r="803" spans="1:9" s="559" customFormat="1" ht="130.9" customHeight="1">
      <c r="A803" s="1332">
        <f>A765+1</f>
        <v>5</v>
      </c>
      <c r="B803" s="1332"/>
      <c r="C803" s="1276" t="s">
        <v>2121</v>
      </c>
      <c r="D803" s="1276"/>
      <c r="E803" s="1276"/>
      <c r="F803" s="1276"/>
      <c r="G803" s="1276"/>
      <c r="H803" s="1276"/>
      <c r="I803" s="427"/>
    </row>
    <row r="804" spans="1:9" s="559" customFormat="1" ht="106.15" customHeight="1">
      <c r="A804" s="845"/>
      <c r="B804" s="399"/>
      <c r="C804" s="1291" t="s">
        <v>2122</v>
      </c>
      <c r="D804" s="1291"/>
      <c r="E804" s="1291"/>
      <c r="F804" s="1291"/>
      <c r="G804" s="1291"/>
      <c r="H804" s="1291"/>
      <c r="I804" s="427"/>
    </row>
    <row r="805" spans="1:9" s="559" customFormat="1" ht="16" customHeight="1">
      <c r="A805" s="845"/>
      <c r="B805" s="399"/>
      <c r="C805" s="473" t="s">
        <v>2123</v>
      </c>
      <c r="D805" s="435"/>
      <c r="E805" s="435"/>
      <c r="F805" s="435"/>
      <c r="G805" s="435"/>
      <c r="H805" s="435"/>
      <c r="I805" s="845"/>
    </row>
    <row r="806" spans="1:9" s="559" customFormat="1" ht="14.5" customHeight="1">
      <c r="A806" s="845"/>
      <c r="B806" s="399"/>
      <c r="C806" s="427" t="s">
        <v>660</v>
      </c>
      <c r="D806" s="514" t="s">
        <v>661</v>
      </c>
      <c r="E806" s="1295" t="s">
        <v>1941</v>
      </c>
      <c r="F806" s="1295"/>
      <c r="G806" s="1352">
        <f>1.5*2.6</f>
        <v>3.9000000000000004</v>
      </c>
      <c r="H806" s="1352"/>
      <c r="I806" s="851" t="s">
        <v>17</v>
      </c>
    </row>
    <row r="807" spans="1:9" s="559" customFormat="1" ht="15" customHeight="1">
      <c r="A807" s="845"/>
      <c r="B807" s="399"/>
      <c r="C807" s="417" t="s">
        <v>2071</v>
      </c>
      <c r="D807" s="1314" t="s">
        <v>2124</v>
      </c>
      <c r="E807" s="1314"/>
      <c r="F807" s="1314"/>
      <c r="G807" s="835">
        <f>2*1.5+2*2.6</f>
        <v>8.1999999999999993</v>
      </c>
      <c r="H807" s="835"/>
      <c r="I807" s="435" t="s">
        <v>1052</v>
      </c>
    </row>
    <row r="808" spans="1:9" s="559" customFormat="1" ht="13.9" customHeight="1">
      <c r="A808" s="845"/>
      <c r="B808" s="399"/>
      <c r="C808" s="417" t="s">
        <v>2073</v>
      </c>
      <c r="D808" s="1314" t="s">
        <v>2125</v>
      </c>
      <c r="E808" s="1314"/>
      <c r="F808" s="1314"/>
      <c r="G808" s="835">
        <f>1*0.5</f>
        <v>0.5</v>
      </c>
      <c r="H808" s="435"/>
      <c r="I808" s="435" t="s">
        <v>1052</v>
      </c>
    </row>
    <row r="809" spans="1:9" s="559" customFormat="1" ht="13.9" customHeight="1">
      <c r="A809" s="845"/>
      <c r="B809" s="399"/>
      <c r="C809" s="417"/>
      <c r="D809" s="1354"/>
      <c r="E809" s="1354"/>
      <c r="F809" s="1354"/>
      <c r="G809" s="835">
        <f>SUM(G807:G808)</f>
        <v>8.6999999999999993</v>
      </c>
      <c r="H809" s="835"/>
      <c r="I809" s="435" t="s">
        <v>1052</v>
      </c>
    </row>
    <row r="810" spans="1:9" s="559" customFormat="1" ht="16.149999999999999" customHeight="1">
      <c r="A810" s="845"/>
      <c r="B810" s="399"/>
      <c r="C810" s="417"/>
      <c r="D810" s="1314" t="s">
        <v>2126</v>
      </c>
      <c r="E810" s="1314"/>
      <c r="F810" s="1314"/>
      <c r="G810" s="835"/>
      <c r="H810" s="469">
        <f>ROUND(G809*2.404,3)</f>
        <v>20.914999999999999</v>
      </c>
      <c r="I810" s="445" t="s">
        <v>1485</v>
      </c>
    </row>
    <row r="811" spans="1:9" s="559" customFormat="1" ht="13.9" customHeight="1">
      <c r="A811" s="845"/>
      <c r="B811" s="399"/>
      <c r="C811" s="417" t="s">
        <v>2076</v>
      </c>
      <c r="D811" s="1314" t="s">
        <v>2127</v>
      </c>
      <c r="E811" s="1314"/>
      <c r="F811" s="1314"/>
      <c r="G811" s="835">
        <f>4*2.1+2*2*0.75</f>
        <v>11.4</v>
      </c>
      <c r="H811" s="435"/>
      <c r="I811" s="435" t="s">
        <v>1052</v>
      </c>
    </row>
    <row r="812" spans="1:9" s="559" customFormat="1" ht="15" customHeight="1">
      <c r="A812" s="845"/>
      <c r="B812" s="399"/>
      <c r="C812" s="417" t="s">
        <v>433</v>
      </c>
      <c r="D812" s="1314" t="s">
        <v>2128</v>
      </c>
      <c r="E812" s="1314"/>
      <c r="F812" s="1314"/>
      <c r="G812" s="435"/>
      <c r="H812" s="834">
        <f>ROUND(G811*1.501,3)</f>
        <v>17.111000000000001</v>
      </c>
      <c r="I812" s="445" t="s">
        <v>1485</v>
      </c>
    </row>
    <row r="813" spans="1:9" s="559" customFormat="1" ht="13.9" customHeight="1">
      <c r="A813" s="845"/>
      <c r="B813" s="399"/>
      <c r="C813" s="417" t="s">
        <v>2079</v>
      </c>
      <c r="D813" s="1314" t="s">
        <v>2129</v>
      </c>
      <c r="E813" s="1314"/>
      <c r="F813" s="1314"/>
      <c r="G813" s="835">
        <v>1.5</v>
      </c>
      <c r="H813" s="435"/>
      <c r="I813" s="435" t="s">
        <v>1052</v>
      </c>
    </row>
    <row r="814" spans="1:9" s="559" customFormat="1" ht="13.9" customHeight="1">
      <c r="A814" s="845"/>
      <c r="B814" s="399"/>
      <c r="C814" s="417"/>
      <c r="D814" s="1275" t="s">
        <v>2130</v>
      </c>
      <c r="E814" s="1275"/>
      <c r="F814" s="1275"/>
      <c r="G814" s="1275"/>
      <c r="H814" s="834">
        <f>ROUND(G813*2.646,3)</f>
        <v>3.9689999999999999</v>
      </c>
      <c r="I814" s="445" t="s">
        <v>1485</v>
      </c>
    </row>
    <row r="815" spans="1:9" s="559" customFormat="1" ht="38.5" customHeight="1">
      <c r="A815" s="845"/>
      <c r="B815" s="399"/>
      <c r="C815" s="417" t="s">
        <v>2081</v>
      </c>
      <c r="D815" s="1275" t="s">
        <v>2131</v>
      </c>
      <c r="E815" s="1275"/>
      <c r="F815" s="1275"/>
      <c r="G815" s="1275"/>
      <c r="H815" s="835"/>
      <c r="I815" s="435" t="s">
        <v>1052</v>
      </c>
    </row>
    <row r="816" spans="1:9" s="559" customFormat="1" ht="13.9" customHeight="1">
      <c r="A816" s="845"/>
      <c r="B816" s="399"/>
      <c r="C816" s="417"/>
      <c r="D816" s="1275" t="s">
        <v>2132</v>
      </c>
      <c r="E816" s="1275"/>
      <c r="F816" s="1275"/>
      <c r="G816" s="1275"/>
      <c r="H816" s="834">
        <f>ROUND(38.8*0.101,3)</f>
        <v>3.919</v>
      </c>
      <c r="I816" s="445" t="s">
        <v>1485</v>
      </c>
    </row>
    <row r="817" spans="1:9" s="559" customFormat="1" ht="12.65" customHeight="1">
      <c r="A817" s="845"/>
      <c r="B817" s="399"/>
      <c r="C817" s="417"/>
      <c r="D817" s="835"/>
      <c r="E817" s="435"/>
      <c r="F817" s="835"/>
      <c r="G817" s="1353">
        <f>SUM(H810:H816)</f>
        <v>45.913999999999994</v>
      </c>
      <c r="H817" s="1353"/>
      <c r="I817" s="451" t="s">
        <v>1485</v>
      </c>
    </row>
    <row r="818" spans="1:9" s="559" customFormat="1" ht="15" customHeight="1">
      <c r="A818" s="845"/>
      <c r="B818" s="399"/>
      <c r="C818" s="417" t="s">
        <v>2084</v>
      </c>
      <c r="D818" s="1314" t="s">
        <v>2133</v>
      </c>
      <c r="E818" s="1314"/>
      <c r="F818" s="1314"/>
      <c r="G818" s="1352">
        <f>2*0.75*0.5</f>
        <v>0.75</v>
      </c>
      <c r="H818" s="1352"/>
      <c r="I818" s="451" t="s">
        <v>2085</v>
      </c>
    </row>
    <row r="819" spans="1:9" s="559" customFormat="1" ht="15" customHeight="1">
      <c r="A819" s="845"/>
      <c r="B819" s="399"/>
      <c r="C819" s="417" t="s">
        <v>2086</v>
      </c>
      <c r="D819" s="1314" t="s">
        <v>2134</v>
      </c>
      <c r="E819" s="1314"/>
      <c r="F819" s="1314"/>
      <c r="G819" s="1352">
        <f>2*0.75*1.2</f>
        <v>1.7999999999999998</v>
      </c>
      <c r="H819" s="1352"/>
      <c r="I819" s="451" t="s">
        <v>2085</v>
      </c>
    </row>
    <row r="820" spans="1:9" s="559" customFormat="1" ht="15" customHeight="1">
      <c r="A820" s="845"/>
      <c r="B820" s="399"/>
      <c r="C820" s="417" t="s">
        <v>2088</v>
      </c>
      <c r="D820" s="1314" t="s">
        <v>2135</v>
      </c>
      <c r="E820" s="1314"/>
      <c r="F820" s="1314"/>
      <c r="G820" s="1352">
        <f>2*0.75*0.9</f>
        <v>1.35</v>
      </c>
      <c r="H820" s="1352"/>
      <c r="I820" s="451" t="s">
        <v>2085</v>
      </c>
    </row>
    <row r="821" spans="1:9" s="559" customFormat="1" ht="15.65" customHeight="1">
      <c r="A821" s="845"/>
      <c r="B821" s="399"/>
      <c r="C821" s="417" t="s">
        <v>2090</v>
      </c>
      <c r="D821" s="1275" t="s">
        <v>2136</v>
      </c>
      <c r="E821" s="1275"/>
      <c r="F821" s="1275"/>
      <c r="G821" s="1275"/>
      <c r="H821" s="855">
        <f>2*2*(0.75+0.5)+2*2*(0.75+1.2)</f>
        <v>12.8</v>
      </c>
      <c r="I821" s="451" t="s">
        <v>1052</v>
      </c>
    </row>
    <row r="822" spans="1:9" s="559" customFormat="1" ht="16" customHeight="1">
      <c r="A822" s="845"/>
      <c r="B822" s="399"/>
      <c r="C822" s="427" t="s">
        <v>672</v>
      </c>
      <c r="D822" s="835"/>
      <c r="E822" s="435"/>
      <c r="F822" s="835"/>
      <c r="G822" s="435"/>
      <c r="H822" s="435"/>
      <c r="I822" s="838"/>
    </row>
    <row r="823" spans="1:9" s="559" customFormat="1" ht="16" customHeight="1">
      <c r="A823" s="845"/>
      <c r="B823" s="399"/>
      <c r="C823" s="427" t="s">
        <v>2092</v>
      </c>
      <c r="D823" s="835"/>
      <c r="E823" s="435"/>
      <c r="F823" s="835"/>
      <c r="G823" s="435"/>
      <c r="H823" s="435"/>
      <c r="I823" s="838"/>
    </row>
    <row r="824" spans="1:9" s="559" customFormat="1" ht="14.5" customHeight="1">
      <c r="A824" s="845"/>
      <c r="B824" s="399"/>
      <c r="C824" s="417" t="s">
        <v>2093</v>
      </c>
      <c r="D824" s="835">
        <f t="shared" ref="D824:D827" si="41">G817</f>
        <v>45.913999999999994</v>
      </c>
      <c r="E824" s="435" t="s">
        <v>1485</v>
      </c>
      <c r="F824" s="835">
        <f>'[161]Civil-SOR'!$G$186</f>
        <v>332</v>
      </c>
      <c r="G824" s="435">
        <v>1</v>
      </c>
      <c r="H824" s="435" t="s">
        <v>1485</v>
      </c>
      <c r="I824" s="836">
        <f t="shared" ref="I824:I833" si="42">IF(G824="",D824*F824,(D824*F824/G824))</f>
        <v>15243.447999999999</v>
      </c>
    </row>
    <row r="825" spans="1:9" s="559" customFormat="1" ht="14.5" customHeight="1">
      <c r="A825" s="845"/>
      <c r="B825" s="399"/>
      <c r="C825" s="417" t="s">
        <v>2094</v>
      </c>
      <c r="D825" s="835">
        <f t="shared" si="41"/>
        <v>0.75</v>
      </c>
      <c r="E825" s="435" t="s">
        <v>2085</v>
      </c>
      <c r="F825" s="835">
        <f>'[161]Civil-SOR'!$G$49</f>
        <v>568</v>
      </c>
      <c r="G825" s="435">
        <v>1</v>
      </c>
      <c r="H825" s="435" t="s">
        <v>2085</v>
      </c>
      <c r="I825" s="836">
        <f t="shared" si="42"/>
        <v>426</v>
      </c>
    </row>
    <row r="826" spans="1:9" s="559" customFormat="1" ht="14.5" customHeight="1">
      <c r="A826" s="845"/>
      <c r="B826" s="399"/>
      <c r="C826" s="417" t="s">
        <v>2095</v>
      </c>
      <c r="D826" s="835">
        <f t="shared" si="41"/>
        <v>1.7999999999999998</v>
      </c>
      <c r="E826" s="435" t="s">
        <v>2085</v>
      </c>
      <c r="F826" s="835">
        <f>'[161]Civil-SOR'!$G$53</f>
        <v>759</v>
      </c>
      <c r="G826" s="435">
        <v>1</v>
      </c>
      <c r="H826" s="435" t="s">
        <v>2085</v>
      </c>
      <c r="I826" s="836">
        <f t="shared" si="42"/>
        <v>1366.1999999999998</v>
      </c>
    </row>
    <row r="827" spans="1:9" s="559" customFormat="1" ht="14.5" customHeight="1">
      <c r="A827" s="845"/>
      <c r="B827" s="399"/>
      <c r="C827" s="417" t="s">
        <v>2137</v>
      </c>
      <c r="D827" s="835">
        <f t="shared" si="41"/>
        <v>1.35</v>
      </c>
      <c r="E827" s="435" t="s">
        <v>2085</v>
      </c>
      <c r="F827" s="835">
        <f>'[161]Civil-SOR'!$G$78</f>
        <v>877</v>
      </c>
      <c r="G827" s="435">
        <v>1</v>
      </c>
      <c r="H827" s="435" t="s">
        <v>2085</v>
      </c>
      <c r="I827" s="836">
        <f t="shared" si="42"/>
        <v>1183.95</v>
      </c>
    </row>
    <row r="828" spans="1:9" s="559" customFormat="1" ht="14.5" customHeight="1">
      <c r="A828" s="845"/>
      <c r="B828" s="399"/>
      <c r="C828" s="417" t="s">
        <v>2138</v>
      </c>
      <c r="D828" s="835">
        <f>H821</f>
        <v>12.8</v>
      </c>
      <c r="E828" s="435" t="s">
        <v>1052</v>
      </c>
      <c r="F828" s="835">
        <f>'[161]Civil-SOR'!$G$187</f>
        <v>5</v>
      </c>
      <c r="G828" s="435">
        <v>1</v>
      </c>
      <c r="H828" s="435" t="s">
        <v>1052</v>
      </c>
      <c r="I828" s="836">
        <f t="shared" si="42"/>
        <v>64</v>
      </c>
    </row>
    <row r="829" spans="1:9" s="559" customFormat="1" ht="14.5" customHeight="1">
      <c r="A829" s="845"/>
      <c r="B829" s="399"/>
      <c r="C829" s="417" t="s">
        <v>2098</v>
      </c>
      <c r="D829" s="837">
        <v>2</v>
      </c>
      <c r="E829" s="435" t="s">
        <v>375</v>
      </c>
      <c r="F829" s="835">
        <f>'[161]Civil-SOR'!$G$175</f>
        <v>3967</v>
      </c>
      <c r="G829" s="435"/>
      <c r="H829" s="435" t="s">
        <v>572</v>
      </c>
      <c r="I829" s="836">
        <f t="shared" si="42"/>
        <v>7934</v>
      </c>
    </row>
    <row r="830" spans="1:9" s="559" customFormat="1" ht="14.5" customHeight="1">
      <c r="A830" s="845"/>
      <c r="B830" s="399"/>
      <c r="C830" s="417" t="s">
        <v>2099</v>
      </c>
      <c r="D830" s="837">
        <v>4</v>
      </c>
      <c r="E830" s="435" t="s">
        <v>375</v>
      </c>
      <c r="F830" s="835">
        <f>'[161]Civil-SOR'!$G$154</f>
        <v>125</v>
      </c>
      <c r="G830" s="435"/>
      <c r="H830" s="435" t="s">
        <v>572</v>
      </c>
      <c r="I830" s="836">
        <f t="shared" si="42"/>
        <v>500</v>
      </c>
    </row>
    <row r="831" spans="1:9" s="559" customFormat="1" ht="14.5" customHeight="1">
      <c r="A831" s="845"/>
      <c r="B831" s="399"/>
      <c r="C831" s="417" t="s">
        <v>2100</v>
      </c>
      <c r="D831" s="837">
        <v>4</v>
      </c>
      <c r="E831" s="435" t="s">
        <v>375</v>
      </c>
      <c r="F831" s="835">
        <f>'[161]Civil-SOR'!$G$390</f>
        <v>100</v>
      </c>
      <c r="G831" s="435"/>
      <c r="H831" s="435" t="s">
        <v>572</v>
      </c>
      <c r="I831" s="836">
        <f t="shared" si="42"/>
        <v>400</v>
      </c>
    </row>
    <row r="832" spans="1:9" s="559" customFormat="1" ht="14.5" customHeight="1">
      <c r="A832" s="845"/>
      <c r="B832" s="399"/>
      <c r="C832" s="417" t="s">
        <v>2119</v>
      </c>
      <c r="D832" s="837">
        <v>2</v>
      </c>
      <c r="E832" s="435" t="s">
        <v>375</v>
      </c>
      <c r="F832" s="835">
        <f>'[161]Civil-SOR'!$G$172</f>
        <v>239</v>
      </c>
      <c r="G832" s="435"/>
      <c r="H832" s="435" t="s">
        <v>572</v>
      </c>
      <c r="I832" s="836">
        <f t="shared" si="42"/>
        <v>478</v>
      </c>
    </row>
    <row r="833" spans="1:9" s="559" customFormat="1" ht="14.5" customHeight="1">
      <c r="A833" s="845"/>
      <c r="B833" s="399"/>
      <c r="C833" s="427" t="s">
        <v>2102</v>
      </c>
      <c r="D833" s="835">
        <f>G806</f>
        <v>3.9000000000000004</v>
      </c>
      <c r="E833" s="435" t="s">
        <v>2085</v>
      </c>
      <c r="F833" s="835">
        <f>$I$23</f>
        <v>982.58759000000009</v>
      </c>
      <c r="G833" s="435">
        <v>1</v>
      </c>
      <c r="H833" s="435" t="s">
        <v>2085</v>
      </c>
      <c r="I833" s="836">
        <f t="shared" si="42"/>
        <v>3832.0916010000005</v>
      </c>
    </row>
    <row r="834" spans="1:9" s="559" customFormat="1" ht="12.65" customHeight="1">
      <c r="A834" s="845"/>
      <c r="B834" s="399"/>
      <c r="C834" s="417" t="s">
        <v>2103</v>
      </c>
      <c r="D834" s="835" t="s">
        <v>1570</v>
      </c>
      <c r="E834" s="435"/>
      <c r="F834" s="835"/>
      <c r="G834" s="435"/>
      <c r="H834" s="435"/>
      <c r="I834" s="838"/>
    </row>
    <row r="835" spans="1:9" s="559" customFormat="1" ht="14.5" customHeight="1">
      <c r="A835" s="845"/>
      <c r="B835" s="399"/>
      <c r="C835" s="417" t="s">
        <v>2139</v>
      </c>
      <c r="D835" s="835"/>
      <c r="E835" s="435"/>
      <c r="F835" s="835"/>
      <c r="G835" s="435"/>
      <c r="H835" s="435"/>
      <c r="I835" s="856">
        <f>SUM(I824:I834)</f>
        <v>31427.689600999998</v>
      </c>
    </row>
    <row r="836" spans="1:9" s="559" customFormat="1" ht="12.65" customHeight="1">
      <c r="A836" s="845"/>
      <c r="B836" s="399"/>
      <c r="C836" s="417" t="str">
        <f>[161]Input!$C$48</f>
        <v>Overheads &amp; Contractors Profit @ 13.615%</v>
      </c>
      <c r="D836" s="857">
        <f>[161]Input!$D$48</f>
        <v>0.13614999999999999</v>
      </c>
      <c r="E836" s="435"/>
      <c r="F836" s="835">
        <f>I835</f>
        <v>31427.689600999998</v>
      </c>
      <c r="G836" s="435"/>
      <c r="H836" s="435"/>
      <c r="I836" s="836">
        <f>IF(G836="",D836*F836,(D836*F836/G836))</f>
        <v>4278.8799391761495</v>
      </c>
    </row>
    <row r="837" spans="1:9" s="559" customFormat="1" ht="16" customHeight="1">
      <c r="A837" s="845"/>
      <c r="B837" s="399"/>
      <c r="C837" s="417"/>
      <c r="D837" s="835"/>
      <c r="E837" s="435"/>
      <c r="F837" s="835"/>
      <c r="G837" s="435"/>
      <c r="H837" s="435"/>
      <c r="I837" s="838">
        <f>SUM(I835:I836)</f>
        <v>35706.569540176148</v>
      </c>
    </row>
    <row r="838" spans="1:9" s="559" customFormat="1" ht="16" customHeight="1">
      <c r="A838" s="845"/>
      <c r="B838" s="399"/>
      <c r="C838" s="427" t="s">
        <v>2105</v>
      </c>
      <c r="D838" s="835"/>
      <c r="E838" s="435"/>
      <c r="F838" s="835"/>
      <c r="G838" s="435"/>
      <c r="H838" s="435"/>
      <c r="I838" s="838">
        <f>I837/G806</f>
        <v>9155.5306513272171</v>
      </c>
    </row>
    <row r="839" spans="1:9" s="559" customFormat="1" ht="15" customHeight="1">
      <c r="A839" s="845"/>
      <c r="B839" s="399"/>
      <c r="C839" s="417"/>
      <c r="D839" s="835"/>
      <c r="E839" s="435"/>
      <c r="F839" s="835"/>
      <c r="G839" s="1275" t="s">
        <v>726</v>
      </c>
      <c r="H839" s="1275"/>
      <c r="I839" s="849">
        <f>ROUND(I838,0)</f>
        <v>9156</v>
      </c>
    </row>
    <row r="840" spans="1:9" s="559" customFormat="1" ht="14.65" customHeight="1">
      <c r="A840" s="845"/>
      <c r="B840" s="399"/>
      <c r="C840" s="417"/>
      <c r="D840" s="835"/>
      <c r="E840" s="435"/>
      <c r="F840" s="835"/>
      <c r="G840" s="435"/>
      <c r="H840" s="435"/>
      <c r="I840" s="838"/>
    </row>
    <row r="841" spans="1:9" s="559" customFormat="1" ht="159.65" customHeight="1">
      <c r="A841" s="1332">
        <f>A803+1</f>
        <v>6</v>
      </c>
      <c r="B841" s="1332"/>
      <c r="C841" s="1276" t="s">
        <v>2140</v>
      </c>
      <c r="D841" s="1276"/>
      <c r="E841" s="1276"/>
      <c r="F841" s="1276"/>
      <c r="G841" s="1276"/>
      <c r="H841" s="1276"/>
      <c r="I841" s="435"/>
    </row>
    <row r="842" spans="1:9" s="559" customFormat="1" ht="14.5" customHeight="1">
      <c r="A842" s="845"/>
      <c r="B842" s="399"/>
      <c r="C842" s="469" t="s">
        <v>2141</v>
      </c>
      <c r="D842" s="469">
        <v>1</v>
      </c>
      <c r="E842" s="469" t="s">
        <v>62</v>
      </c>
      <c r="F842" s="469">
        <f>'[161]Civil-SOR'!$G$119</f>
        <v>11680</v>
      </c>
      <c r="G842" s="469">
        <v>1</v>
      </c>
      <c r="H842" s="469" t="s">
        <v>62</v>
      </c>
      <c r="I842" s="836">
        <f t="shared" ref="I842:I843" si="43">IF(G842="",D842*F842,(D842*F842/G842))</f>
        <v>11680</v>
      </c>
    </row>
    <row r="843" spans="1:9" s="559" customFormat="1" ht="14.5" customHeight="1">
      <c r="A843" s="845"/>
      <c r="B843" s="399"/>
      <c r="C843" s="417" t="str">
        <f>[161]Input!$C$48</f>
        <v>Overheads &amp; Contractors Profit @ 13.615%</v>
      </c>
      <c r="D843" s="857">
        <f>[161]Input!$D$48</f>
        <v>0.13614999999999999</v>
      </c>
      <c r="E843" s="469"/>
      <c r="F843" s="469">
        <f>I842</f>
        <v>11680</v>
      </c>
      <c r="G843" s="469"/>
      <c r="H843" s="469"/>
      <c r="I843" s="836">
        <f t="shared" si="43"/>
        <v>1590.232</v>
      </c>
    </row>
    <row r="844" spans="1:9" s="559" customFormat="1" ht="14.5" customHeight="1">
      <c r="A844" s="845"/>
      <c r="B844" s="399"/>
      <c r="C844" s="469" t="s">
        <v>2105</v>
      </c>
      <c r="D844" s="469"/>
      <c r="E844" s="469"/>
      <c r="F844" s="469"/>
      <c r="G844" s="469"/>
      <c r="H844" s="469"/>
      <c r="I844" s="469">
        <f>SUM(I842:I843)</f>
        <v>13270.232</v>
      </c>
    </row>
    <row r="845" spans="1:9" s="559" customFormat="1" ht="15" customHeight="1">
      <c r="A845" s="845"/>
      <c r="B845" s="399"/>
      <c r="C845" s="469"/>
      <c r="D845" s="469"/>
      <c r="E845" s="469"/>
      <c r="F845" s="469"/>
      <c r="G845" s="1275" t="s">
        <v>726</v>
      </c>
      <c r="H845" s="1275"/>
      <c r="I845" s="849">
        <f>ROUND(I844,0)</f>
        <v>13270</v>
      </c>
    </row>
    <row r="846" spans="1:9" s="559" customFormat="1" ht="14.65" customHeight="1">
      <c r="A846" s="845"/>
      <c r="B846" s="399"/>
      <c r="C846" s="417"/>
      <c r="D846" s="835"/>
      <c r="E846" s="435"/>
      <c r="F846" s="835"/>
      <c r="G846" s="435"/>
      <c r="H846" s="435"/>
      <c r="I846" s="838"/>
    </row>
    <row r="847" spans="1:9" s="559" customFormat="1" ht="166.15" customHeight="1">
      <c r="A847" s="1332">
        <f>1+A726</f>
        <v>4</v>
      </c>
      <c r="B847" s="1332"/>
      <c r="C847" s="1351" t="s">
        <v>2142</v>
      </c>
      <c r="D847" s="1351"/>
      <c r="E847" s="1351"/>
      <c r="F847" s="1351"/>
      <c r="G847" s="1351"/>
      <c r="H847" s="1351"/>
      <c r="I847" s="1351"/>
    </row>
    <row r="848" spans="1:9" s="559" customFormat="1" ht="15" customHeight="1">
      <c r="A848" s="845"/>
      <c r="B848" s="399"/>
      <c r="C848" s="417" t="s">
        <v>1429</v>
      </c>
      <c r="D848" s="835">
        <v>1</v>
      </c>
      <c r="E848" s="435" t="s">
        <v>62</v>
      </c>
      <c r="F848" s="835">
        <f>'[161]Civil-SOR'!$G$120</f>
        <v>12459</v>
      </c>
      <c r="G848" s="435">
        <v>1</v>
      </c>
      <c r="H848" s="435" t="s">
        <v>62</v>
      </c>
      <c r="I848" s="836">
        <f t="shared" ref="I848:I849" si="44">IF(G848="",D848*F848,(D848*F848/G848))</f>
        <v>12459</v>
      </c>
    </row>
    <row r="849" spans="1:10" s="559" customFormat="1" ht="15" customHeight="1">
      <c r="A849" s="845"/>
      <c r="B849" s="399"/>
      <c r="C849" s="417" t="str">
        <f>[161]Input!$C$48</f>
        <v>Overheads &amp; Contractors Profit @ 13.615%</v>
      </c>
      <c r="D849" s="857">
        <f>[161]Input!$D$48</f>
        <v>0.13614999999999999</v>
      </c>
      <c r="E849" s="469"/>
      <c r="F849" s="469">
        <f>I848</f>
        <v>12459</v>
      </c>
      <c r="G849" s="469"/>
      <c r="H849" s="469"/>
      <c r="I849" s="836">
        <f t="shared" si="44"/>
        <v>1696.2928499999998</v>
      </c>
    </row>
    <row r="850" spans="1:10" s="559" customFormat="1" ht="15" customHeight="1">
      <c r="A850" s="845"/>
      <c r="B850" s="399"/>
      <c r="C850" s="469" t="s">
        <v>2105</v>
      </c>
      <c r="D850" s="469"/>
      <c r="E850" s="469"/>
      <c r="F850" s="469"/>
      <c r="G850" s="469"/>
      <c r="H850" s="469"/>
      <c r="I850" s="469">
        <f>SUM(I848:I849)</f>
        <v>14155.29285</v>
      </c>
    </row>
    <row r="851" spans="1:10" s="559" customFormat="1" ht="15" customHeight="1">
      <c r="A851" s="845"/>
      <c r="B851" s="399"/>
      <c r="C851" s="469"/>
      <c r="D851" s="469"/>
      <c r="E851" s="469"/>
      <c r="F851" s="469"/>
      <c r="G851" s="1275" t="s">
        <v>726</v>
      </c>
      <c r="H851" s="1275"/>
      <c r="I851" s="469">
        <f>ROUND(I850,0)</f>
        <v>14155</v>
      </c>
    </row>
    <row r="852" spans="1:10" s="559" customFormat="1" ht="14.65" customHeight="1">
      <c r="A852" s="845"/>
      <c r="B852" s="399"/>
      <c r="C852" s="417"/>
      <c r="D852" s="835"/>
      <c r="E852" s="435"/>
      <c r="F852" s="835"/>
      <c r="G852" s="435"/>
      <c r="H852" s="435"/>
      <c r="I852" s="838"/>
    </row>
    <row r="853" spans="1:10" s="559" customFormat="1" ht="214.9" customHeight="1">
      <c r="A853" s="1332">
        <f>A847+1</f>
        <v>5</v>
      </c>
      <c r="B853" s="1332"/>
      <c r="C853" s="1276" t="s">
        <v>2143</v>
      </c>
      <c r="D853" s="1276"/>
      <c r="E853" s="1276"/>
      <c r="F853" s="1276"/>
      <c r="G853" s="1276"/>
      <c r="H853" s="1276"/>
      <c r="I853" s="427"/>
    </row>
    <row r="854" spans="1:10" s="559" customFormat="1" ht="18" customHeight="1">
      <c r="A854" s="845"/>
      <c r="B854" s="399"/>
      <c r="C854" s="417" t="s">
        <v>2144</v>
      </c>
      <c r="D854" s="835">
        <v>1</v>
      </c>
      <c r="E854" s="435" t="s">
        <v>62</v>
      </c>
      <c r="F854" s="835">
        <f>'[161]Civil-SOR'!$G$117</f>
        <v>7538</v>
      </c>
      <c r="G854" s="835">
        <v>1</v>
      </c>
      <c r="H854" s="435" t="s">
        <v>62</v>
      </c>
      <c r="I854" s="836">
        <f t="shared" ref="I854:I855" si="45">IF(G854="",D854*F854,(D854*F854/G854))</f>
        <v>7538</v>
      </c>
    </row>
    <row r="855" spans="1:10" s="559" customFormat="1" ht="18" customHeight="1">
      <c r="A855" s="845"/>
      <c r="B855" s="399"/>
      <c r="C855" s="417" t="str">
        <f>[161]Input!$C$48</f>
        <v>Overheads &amp; Contractors Profit @ 13.615%</v>
      </c>
      <c r="D855" s="857">
        <f>[161]Input!$D$48</f>
        <v>0.13614999999999999</v>
      </c>
      <c r="E855" s="435"/>
      <c r="F855" s="835">
        <f>I854</f>
        <v>7538</v>
      </c>
      <c r="G855" s="835"/>
      <c r="H855" s="435"/>
      <c r="I855" s="836">
        <f t="shared" si="45"/>
        <v>1026.2987000000001</v>
      </c>
    </row>
    <row r="856" spans="1:10" s="559" customFormat="1" ht="18" customHeight="1">
      <c r="A856" s="845"/>
      <c r="B856" s="399"/>
      <c r="C856" s="427" t="s">
        <v>1585</v>
      </c>
      <c r="D856" s="835"/>
      <c r="E856" s="435"/>
      <c r="F856" s="835"/>
      <c r="G856" s="835"/>
      <c r="H856" s="435"/>
      <c r="I856" s="838">
        <f>SUM(I854:I855)</f>
        <v>8564.2986999999994</v>
      </c>
    </row>
    <row r="857" spans="1:10" s="559" customFormat="1" ht="15" customHeight="1">
      <c r="A857" s="845"/>
      <c r="B857" s="399"/>
      <c r="C857" s="417"/>
      <c r="D857" s="835"/>
      <c r="E857" s="435"/>
      <c r="F857" s="835"/>
      <c r="G857" s="1275" t="s">
        <v>726</v>
      </c>
      <c r="H857" s="1275"/>
      <c r="I857" s="865">
        <f>ROUND(I856,0)</f>
        <v>8564</v>
      </c>
    </row>
    <row r="858" spans="1:10" s="559" customFormat="1" ht="14.65" customHeight="1">
      <c r="A858" s="845"/>
      <c r="B858" s="399"/>
      <c r="C858" s="417"/>
      <c r="D858" s="835"/>
      <c r="E858" s="435"/>
      <c r="F858" s="835"/>
      <c r="G858" s="435"/>
      <c r="H858" s="435"/>
      <c r="I858" s="838"/>
    </row>
    <row r="859" spans="1:10" s="559" customFormat="1" ht="252.65" customHeight="1">
      <c r="A859" s="1332">
        <f>1+A853</f>
        <v>6</v>
      </c>
      <c r="B859" s="1332"/>
      <c r="C859" s="1275" t="s">
        <v>2145</v>
      </c>
      <c r="D859" s="1275"/>
      <c r="E859" s="1275"/>
      <c r="F859" s="1275"/>
      <c r="G859" s="1275"/>
      <c r="H859" s="1275"/>
      <c r="I859" s="417"/>
    </row>
    <row r="860" spans="1:10" s="559" customFormat="1" ht="19.899999999999999" customHeight="1">
      <c r="A860" s="845"/>
      <c r="B860" s="399"/>
      <c r="C860" s="417" t="s">
        <v>2146</v>
      </c>
      <c r="D860" s="835">
        <v>1</v>
      </c>
      <c r="E860" s="435" t="s">
        <v>62</v>
      </c>
      <c r="F860" s="835">
        <f>'[161]Civil-SOR'!$G$135</f>
        <v>8638</v>
      </c>
      <c r="G860" s="835">
        <v>1</v>
      </c>
      <c r="H860" s="435" t="s">
        <v>62</v>
      </c>
      <c r="I860" s="836">
        <f t="shared" ref="I860:I861" si="46">IF(G860="",D860*F860,(D860*F860/G860))</f>
        <v>8638</v>
      </c>
      <c r="J860" s="405"/>
    </row>
    <row r="861" spans="1:10" s="559" customFormat="1" ht="19.899999999999999" customHeight="1">
      <c r="A861" s="845"/>
      <c r="B861" s="399"/>
      <c r="C861" s="417" t="str">
        <f>[161]Input!$C$48</f>
        <v>Overheads &amp; Contractors Profit @ 13.615%</v>
      </c>
      <c r="D861" s="857">
        <f>[161]Input!$D$48</f>
        <v>0.13614999999999999</v>
      </c>
      <c r="E861" s="435"/>
      <c r="F861" s="835">
        <f>I860</f>
        <v>8638</v>
      </c>
      <c r="G861" s="835"/>
      <c r="H861" s="435"/>
      <c r="I861" s="836">
        <f t="shared" si="46"/>
        <v>1176.0636999999999</v>
      </c>
      <c r="J861" s="405"/>
    </row>
    <row r="862" spans="1:10" s="559" customFormat="1" ht="19.899999999999999" customHeight="1">
      <c r="A862" s="845"/>
      <c r="B862" s="399"/>
      <c r="C862" s="427" t="s">
        <v>1585</v>
      </c>
      <c r="D862" s="835"/>
      <c r="E862" s="435"/>
      <c r="F862" s="835"/>
      <c r="G862" s="835"/>
      <c r="H862" s="435"/>
      <c r="I862" s="838">
        <f>SUM(I860:I861)</f>
        <v>9814.0637000000006</v>
      </c>
    </row>
    <row r="863" spans="1:10" s="559" customFormat="1" ht="19.899999999999999" customHeight="1">
      <c r="A863" s="845"/>
      <c r="B863" s="399"/>
      <c r="C863" s="417"/>
      <c r="D863" s="835"/>
      <c r="E863" s="435"/>
      <c r="F863" s="835"/>
      <c r="G863" s="1275" t="s">
        <v>726</v>
      </c>
      <c r="H863" s="1275"/>
      <c r="I863" s="865">
        <f>ROUND(I862,0)</f>
        <v>9814</v>
      </c>
    </row>
    <row r="864" spans="1:10" s="559" customFormat="1" ht="14.65" customHeight="1">
      <c r="A864" s="845"/>
      <c r="B864" s="399"/>
      <c r="C864" s="417"/>
      <c r="D864" s="835"/>
      <c r="E864" s="435"/>
      <c r="F864" s="835"/>
      <c r="G864" s="435"/>
      <c r="H864" s="435"/>
      <c r="I864" s="838"/>
      <c r="J864" s="405"/>
    </row>
    <row r="865" spans="1:9" s="559" customFormat="1" ht="210.65" customHeight="1">
      <c r="A865" s="1332">
        <f>A859+1</f>
        <v>7</v>
      </c>
      <c r="B865" s="1332"/>
      <c r="C865" s="1276" t="s">
        <v>2147</v>
      </c>
      <c r="D865" s="1276"/>
      <c r="E865" s="1276"/>
      <c r="F865" s="1276"/>
      <c r="G865" s="1276"/>
      <c r="H865" s="1276"/>
      <c r="I865" s="417"/>
    </row>
    <row r="866" spans="1:9" s="559" customFormat="1" ht="17.5" customHeight="1">
      <c r="A866" s="845"/>
      <c r="B866" s="399"/>
      <c r="C866" s="417" t="s">
        <v>2148</v>
      </c>
      <c r="D866" s="835">
        <v>1</v>
      </c>
      <c r="E866" s="435" t="s">
        <v>62</v>
      </c>
      <c r="F866" s="835">
        <f>'[161]Civil-SOR'!$G$118</f>
        <v>8544</v>
      </c>
      <c r="G866" s="835">
        <v>1</v>
      </c>
      <c r="H866" s="435" t="s">
        <v>62</v>
      </c>
      <c r="I866" s="836">
        <f t="shared" ref="I866:I867" si="47">IF(G866="",D866*F866,(D866*F866/G866))</f>
        <v>8544</v>
      </c>
    </row>
    <row r="867" spans="1:9" s="559" customFormat="1" ht="17.5" customHeight="1">
      <c r="A867" s="845"/>
      <c r="B867" s="399"/>
      <c r="C867" s="417" t="str">
        <f>[161]Input!$C$48</f>
        <v>Overheads &amp; Contractors Profit @ 13.615%</v>
      </c>
      <c r="D867" s="857">
        <f>[161]Input!$D$48</f>
        <v>0.13614999999999999</v>
      </c>
      <c r="E867" s="435"/>
      <c r="F867" s="835">
        <f>I866</f>
        <v>8544</v>
      </c>
      <c r="G867" s="835"/>
      <c r="H867" s="435"/>
      <c r="I867" s="836">
        <f t="shared" si="47"/>
        <v>1163.2655999999999</v>
      </c>
    </row>
    <row r="868" spans="1:9" s="559" customFormat="1" ht="17.5" customHeight="1">
      <c r="A868" s="845"/>
      <c r="B868" s="399"/>
      <c r="C868" s="427" t="s">
        <v>1585</v>
      </c>
      <c r="D868" s="835"/>
      <c r="E868" s="435"/>
      <c r="F868" s="835"/>
      <c r="G868" s="835"/>
      <c r="H868" s="435"/>
      <c r="I868" s="838">
        <f>SUM(I866:I867)</f>
        <v>9707.2656000000006</v>
      </c>
    </row>
    <row r="869" spans="1:9" s="559" customFormat="1" ht="15" customHeight="1">
      <c r="A869" s="845"/>
      <c r="B869" s="399"/>
      <c r="C869" s="417"/>
      <c r="D869" s="835"/>
      <c r="E869" s="435"/>
      <c r="F869" s="835"/>
      <c r="G869" s="1275" t="s">
        <v>726</v>
      </c>
      <c r="H869" s="1275"/>
      <c r="I869" s="865">
        <f>ROUND(I868,0)</f>
        <v>9707</v>
      </c>
    </row>
    <row r="870" spans="1:9" s="559" customFormat="1" ht="14.65" customHeight="1">
      <c r="A870" s="845"/>
      <c r="B870" s="399"/>
      <c r="C870" s="417"/>
      <c r="D870" s="835"/>
      <c r="E870" s="435"/>
      <c r="F870" s="835"/>
      <c r="G870" s="435"/>
      <c r="H870" s="435"/>
      <c r="I870" s="838"/>
    </row>
    <row r="871" spans="1:9" s="559" customFormat="1" ht="160.9" customHeight="1">
      <c r="A871" s="1332">
        <f>A865+1</f>
        <v>8</v>
      </c>
      <c r="B871" s="1332"/>
      <c r="C871" s="1276" t="s">
        <v>2149</v>
      </c>
      <c r="D871" s="1276"/>
      <c r="E871" s="1276"/>
      <c r="F871" s="1276"/>
      <c r="G871" s="1276"/>
      <c r="H871" s="1276"/>
      <c r="I871" s="427"/>
    </row>
    <row r="872" spans="1:9" s="559" customFormat="1" ht="39.65" customHeight="1">
      <c r="A872" s="845"/>
      <c r="B872" s="399" t="s">
        <v>565</v>
      </c>
      <c r="C872" s="1294" t="s">
        <v>2150</v>
      </c>
      <c r="D872" s="1294"/>
      <c r="E872" s="1294"/>
      <c r="F872" s="1294"/>
      <c r="G872" s="1294"/>
      <c r="H872" s="863">
        <f>1.8*1.8</f>
        <v>3.24</v>
      </c>
      <c r="I872" s="451" t="s">
        <v>17</v>
      </c>
    </row>
    <row r="873" spans="1:9" s="559" customFormat="1" ht="20.5" customHeight="1">
      <c r="A873" s="845"/>
      <c r="B873" s="399"/>
      <c r="C873" s="417" t="s">
        <v>2151</v>
      </c>
      <c r="D873" s="835">
        <f>1.8*1.3</f>
        <v>2.3400000000000003</v>
      </c>
      <c r="E873" s="435" t="s">
        <v>62</v>
      </c>
      <c r="F873" s="835">
        <f>'[161]Civil-SOR'!$G$130</f>
        <v>7244</v>
      </c>
      <c r="G873" s="435">
        <v>1</v>
      </c>
      <c r="H873" s="435" t="s">
        <v>62</v>
      </c>
      <c r="I873" s="836">
        <f t="shared" ref="I873:I874" si="48">IF(G873="",D873*F873,(D873*F873/G873))</f>
        <v>16950.960000000003</v>
      </c>
    </row>
    <row r="874" spans="1:9" s="559" customFormat="1" ht="20.5" customHeight="1">
      <c r="A874" s="845"/>
      <c r="B874" s="399"/>
      <c r="C874" s="417" t="s">
        <v>2152</v>
      </c>
      <c r="D874" s="835">
        <f>1.8*0.5</f>
        <v>0.9</v>
      </c>
      <c r="E874" s="435" t="s">
        <v>62</v>
      </c>
      <c r="F874" s="835">
        <f>'[161]Civil-SOR'!$G$145</f>
        <v>5877</v>
      </c>
      <c r="G874" s="435">
        <v>1</v>
      </c>
      <c r="H874" s="435" t="s">
        <v>62</v>
      </c>
      <c r="I874" s="836">
        <f t="shared" si="48"/>
        <v>5289.3</v>
      </c>
    </row>
    <row r="875" spans="1:9" s="559" customFormat="1" ht="20.5" customHeight="1">
      <c r="A875" s="845"/>
      <c r="B875" s="399"/>
      <c r="C875" s="427" t="s">
        <v>2153</v>
      </c>
      <c r="D875" s="835"/>
      <c r="E875" s="435"/>
      <c r="F875" s="835"/>
      <c r="G875" s="435"/>
      <c r="H875" s="435"/>
      <c r="I875" s="836">
        <f>SUM(I873:I874)</f>
        <v>22240.260000000002</v>
      </c>
    </row>
    <row r="876" spans="1:9" s="559" customFormat="1" ht="20.5" customHeight="1">
      <c r="A876" s="845"/>
      <c r="B876" s="399"/>
      <c r="C876" s="417" t="s">
        <v>742</v>
      </c>
      <c r="D876" s="835"/>
      <c r="E876" s="435"/>
      <c r="F876" s="835"/>
      <c r="G876" s="435"/>
      <c r="H876" s="435"/>
      <c r="I876" s="836">
        <f>I875/H872</f>
        <v>6864.2777777777783</v>
      </c>
    </row>
    <row r="877" spans="1:9" s="559" customFormat="1" ht="20.5" customHeight="1">
      <c r="A877" s="845"/>
      <c r="B877" s="399"/>
      <c r="C877" s="417" t="s">
        <v>2154</v>
      </c>
      <c r="D877" s="835">
        <v>1</v>
      </c>
      <c r="E877" s="435" t="s">
        <v>62</v>
      </c>
      <c r="F877" s="835">
        <f>'[161]Civil-SOR'!$G$49</f>
        <v>568</v>
      </c>
      <c r="G877" s="435">
        <v>1</v>
      </c>
      <c r="H877" s="435" t="s">
        <v>62</v>
      </c>
      <c r="I877" s="836">
        <f>-IF(G877="",D877*F877,(D877*F877/G877))</f>
        <v>-568</v>
      </c>
    </row>
    <row r="878" spans="1:9" s="559" customFormat="1" ht="20.5" customHeight="1">
      <c r="A878" s="845"/>
      <c r="B878" s="399"/>
      <c r="C878" s="469" t="s">
        <v>2155</v>
      </c>
      <c r="D878" s="835">
        <v>1</v>
      </c>
      <c r="E878" s="435" t="s">
        <v>62</v>
      </c>
      <c r="F878" s="835">
        <f>'[161]Civil-SOR'!$G$51</f>
        <v>336</v>
      </c>
      <c r="G878" s="435">
        <v>1</v>
      </c>
      <c r="H878" s="435" t="s">
        <v>62</v>
      </c>
      <c r="I878" s="836">
        <f>IF(G878="",D878*F878,(D878*F878/G878))</f>
        <v>336</v>
      </c>
    </row>
    <row r="879" spans="1:9" s="559" customFormat="1" ht="20.5" customHeight="1">
      <c r="A879" s="845"/>
      <c r="B879" s="399"/>
      <c r="C879" s="417"/>
      <c r="D879" s="835"/>
      <c r="E879" s="435"/>
      <c r="F879" s="835"/>
      <c r="G879" s="435"/>
      <c r="H879" s="435"/>
      <c r="I879" s="836">
        <f>SUM(I876:I878)</f>
        <v>6632.2777777777783</v>
      </c>
    </row>
    <row r="880" spans="1:9" s="559" customFormat="1" ht="20.5" customHeight="1">
      <c r="A880" s="845"/>
      <c r="B880" s="399"/>
      <c r="C880" s="417" t="str">
        <f>[161]Input!$C$48</f>
        <v>Overheads &amp; Contractors Profit @ 13.615%</v>
      </c>
      <c r="D880" s="857">
        <f>[161]Input!$D$48</f>
        <v>0.13614999999999999</v>
      </c>
      <c r="E880" s="435"/>
      <c r="F880" s="835">
        <f>I879</f>
        <v>6632.2777777777783</v>
      </c>
      <c r="G880" s="435"/>
      <c r="H880" s="435"/>
      <c r="I880" s="836">
        <f>IF(G880="",D880*F880,(D880*F880/G880))</f>
        <v>902.98461944444443</v>
      </c>
    </row>
    <row r="881" spans="1:9" s="559" customFormat="1" ht="20.5" customHeight="1">
      <c r="A881" s="845"/>
      <c r="B881" s="399"/>
      <c r="C881" s="427" t="s">
        <v>742</v>
      </c>
      <c r="D881" s="835"/>
      <c r="E881" s="435"/>
      <c r="F881" s="835"/>
      <c r="G881" s="435"/>
      <c r="H881" s="435"/>
      <c r="I881" s="838">
        <f>SUM(I879:I880)</f>
        <v>7535.2623972222227</v>
      </c>
    </row>
    <row r="882" spans="1:9" s="559" customFormat="1" ht="20.5" customHeight="1">
      <c r="A882" s="845" t="s">
        <v>433</v>
      </c>
      <c r="B882" s="399"/>
      <c r="C882" s="435"/>
      <c r="D882" s="835"/>
      <c r="E882" s="435"/>
      <c r="F882" s="835"/>
      <c r="G882" s="1275" t="s">
        <v>726</v>
      </c>
      <c r="H882" s="1275"/>
      <c r="I882" s="865">
        <f>ROUND(I881,0)</f>
        <v>7535</v>
      </c>
    </row>
    <row r="883" spans="1:9" s="559" customFormat="1" ht="14.65" customHeight="1">
      <c r="A883" s="845"/>
      <c r="B883" s="399"/>
      <c r="C883" s="417"/>
      <c r="D883" s="835"/>
      <c r="E883" s="435"/>
      <c r="F883" s="835"/>
      <c r="G883" s="435"/>
      <c r="H883" s="435"/>
      <c r="I883" s="845"/>
    </row>
    <row r="884" spans="1:9" s="559" customFormat="1" ht="30.65" customHeight="1">
      <c r="A884" s="845"/>
      <c r="B884" s="399" t="s">
        <v>590</v>
      </c>
      <c r="C884" s="1294" t="s">
        <v>2156</v>
      </c>
      <c r="D884" s="1294"/>
      <c r="E884" s="1294"/>
      <c r="F884" s="1294"/>
      <c r="G884" s="1294"/>
      <c r="H884" s="514">
        <f>1.5*1.8</f>
        <v>2.7</v>
      </c>
      <c r="I884" s="451" t="s">
        <v>17</v>
      </c>
    </row>
    <row r="885" spans="1:9" s="559" customFormat="1" ht="18" customHeight="1">
      <c r="A885" s="845"/>
      <c r="B885" s="399"/>
      <c r="C885" s="417" t="s">
        <v>2157</v>
      </c>
      <c r="D885" s="835">
        <f>1.5*1.3</f>
        <v>1.9500000000000002</v>
      </c>
      <c r="E885" s="435" t="s">
        <v>62</v>
      </c>
      <c r="F885" s="835">
        <f>'[161]Civil-SOR'!$G$129</f>
        <v>8280</v>
      </c>
      <c r="G885" s="435">
        <v>1</v>
      </c>
      <c r="H885" s="435" t="s">
        <v>62</v>
      </c>
      <c r="I885" s="836">
        <f t="shared" ref="I885:I886" si="49">IF(G885="",D885*F885,(D885*F885/G885))</f>
        <v>16146.000000000002</v>
      </c>
    </row>
    <row r="886" spans="1:9" s="559" customFormat="1" ht="18" customHeight="1">
      <c r="A886" s="845"/>
      <c r="B886" s="399"/>
      <c r="C886" s="417" t="s">
        <v>2158</v>
      </c>
      <c r="D886" s="835">
        <f>1.5*0.5</f>
        <v>0.75</v>
      </c>
      <c r="E886" s="435" t="s">
        <v>62</v>
      </c>
      <c r="F886" s="835">
        <f>'[161]Civil-SOR'!$G$145</f>
        <v>5877</v>
      </c>
      <c r="G886" s="435">
        <v>1</v>
      </c>
      <c r="H886" s="435" t="s">
        <v>62</v>
      </c>
      <c r="I886" s="836">
        <f t="shared" si="49"/>
        <v>4407.75</v>
      </c>
    </row>
    <row r="887" spans="1:9" s="559" customFormat="1" ht="18" customHeight="1">
      <c r="A887" s="845"/>
      <c r="B887" s="399"/>
      <c r="C887" s="417" t="s">
        <v>2159</v>
      </c>
      <c r="D887" s="835"/>
      <c r="E887" s="435"/>
      <c r="F887" s="835"/>
      <c r="G887" s="435"/>
      <c r="H887" s="435"/>
      <c r="I887" s="836">
        <f>SUM(I885:I886)</f>
        <v>20553.75</v>
      </c>
    </row>
    <row r="888" spans="1:9" s="559" customFormat="1" ht="15.65" customHeight="1">
      <c r="A888" s="845"/>
      <c r="B888" s="399"/>
      <c r="C888" s="427" t="s">
        <v>742</v>
      </c>
      <c r="D888" s="835"/>
      <c r="E888" s="435"/>
      <c r="F888" s="835"/>
      <c r="G888" s="435"/>
      <c r="H888" s="435"/>
      <c r="I888" s="836">
        <f>I887/H884</f>
        <v>7612.4999999999991</v>
      </c>
    </row>
    <row r="889" spans="1:9" s="559" customFormat="1" ht="16.149999999999999" customHeight="1">
      <c r="A889" s="845"/>
      <c r="B889" s="399"/>
      <c r="C889" s="417" t="s">
        <v>2154</v>
      </c>
      <c r="D889" s="835">
        <v>1</v>
      </c>
      <c r="E889" s="435" t="s">
        <v>62</v>
      </c>
      <c r="F889" s="835">
        <f>'[161]Civil-SOR'!$G$49</f>
        <v>568</v>
      </c>
      <c r="G889" s="435">
        <v>1</v>
      </c>
      <c r="H889" s="435" t="s">
        <v>62</v>
      </c>
      <c r="I889" s="836">
        <f>-IF(G889="",D889*F889,(D889*F889/G889))</f>
        <v>-568</v>
      </c>
    </row>
    <row r="890" spans="1:9" s="559" customFormat="1" ht="13.9" customHeight="1">
      <c r="A890" s="845"/>
      <c r="B890" s="399"/>
      <c r="C890" s="469" t="s">
        <v>2155</v>
      </c>
      <c r="D890" s="835">
        <v>1</v>
      </c>
      <c r="E890" s="435" t="s">
        <v>62</v>
      </c>
      <c r="F890" s="835">
        <f>'[161]Civil-SOR'!$G$51</f>
        <v>336</v>
      </c>
      <c r="G890" s="435">
        <v>1</v>
      </c>
      <c r="H890" s="435" t="s">
        <v>62</v>
      </c>
      <c r="I890" s="836">
        <f>IF(G890="",D890*F890,(D890*F890/G890))</f>
        <v>336</v>
      </c>
    </row>
    <row r="891" spans="1:9" s="559" customFormat="1" ht="13.15" customHeight="1">
      <c r="A891" s="845"/>
      <c r="B891" s="399"/>
      <c r="C891" s="417"/>
      <c r="D891" s="835"/>
      <c r="E891" s="435"/>
      <c r="F891" s="835"/>
      <c r="G891" s="435"/>
      <c r="H891" s="435"/>
      <c r="I891" s="836">
        <f>SUM(I888:I890)</f>
        <v>7380.4999999999991</v>
      </c>
    </row>
    <row r="892" spans="1:9" s="559" customFormat="1" ht="15" customHeight="1">
      <c r="A892" s="845"/>
      <c r="B892" s="399"/>
      <c r="C892" s="417" t="str">
        <f>[161]Input!$C$48</f>
        <v>Overheads &amp; Contractors Profit @ 13.615%</v>
      </c>
      <c r="D892" s="857">
        <f>[161]Input!$D$48</f>
        <v>0.13614999999999999</v>
      </c>
      <c r="E892" s="435"/>
      <c r="F892" s="835">
        <f>I891</f>
        <v>7380.4999999999991</v>
      </c>
      <c r="G892" s="435"/>
      <c r="H892" s="435"/>
      <c r="I892" s="836">
        <f>IF(G892="",D892*F892,(D892*F892/G892))</f>
        <v>1004.8550749999998</v>
      </c>
    </row>
    <row r="893" spans="1:9" s="559" customFormat="1" ht="18" customHeight="1">
      <c r="A893" s="845"/>
      <c r="B893" s="399"/>
      <c r="C893" s="427" t="s">
        <v>742</v>
      </c>
      <c r="D893" s="835"/>
      <c r="E893" s="435"/>
      <c r="F893" s="835"/>
      <c r="G893" s="435"/>
      <c r="H893" s="435"/>
      <c r="I893" s="838">
        <f>SUM(I891:I892)</f>
        <v>8385.3550749999995</v>
      </c>
    </row>
    <row r="894" spans="1:9" s="559" customFormat="1" ht="18" customHeight="1">
      <c r="A894" s="845"/>
      <c r="B894" s="399"/>
      <c r="C894" s="435"/>
      <c r="D894" s="835"/>
      <c r="E894" s="435"/>
      <c r="F894" s="835"/>
      <c r="G894" s="1275" t="s">
        <v>726</v>
      </c>
      <c r="H894" s="1275"/>
      <c r="I894" s="865">
        <f>ROUND(I893,0)</f>
        <v>8385</v>
      </c>
    </row>
    <row r="895" spans="1:9" s="559" customFormat="1" ht="16.899999999999999" customHeight="1">
      <c r="A895" s="845"/>
      <c r="B895" s="399"/>
      <c r="C895" s="417"/>
      <c r="D895" s="835"/>
      <c r="E895" s="435"/>
      <c r="F895" s="835"/>
      <c r="G895" s="435"/>
      <c r="H895" s="435"/>
      <c r="I895" s="836"/>
    </row>
    <row r="896" spans="1:9" s="559" customFormat="1" ht="36" customHeight="1">
      <c r="A896" s="845"/>
      <c r="B896" s="399" t="s">
        <v>652</v>
      </c>
      <c r="C896" s="473" t="s">
        <v>2160</v>
      </c>
      <c r="D896" s="473"/>
      <c r="E896" s="473"/>
      <c r="F896" s="473"/>
      <c r="G896" s="473"/>
      <c r="H896" s="514">
        <f>1.2*1.8</f>
        <v>2.16</v>
      </c>
      <c r="I896" s="399" t="s">
        <v>17</v>
      </c>
    </row>
    <row r="897" spans="1:9" s="559" customFormat="1" ht="15" customHeight="1">
      <c r="A897" s="845"/>
      <c r="B897" s="399"/>
      <c r="C897" s="417" t="s">
        <v>2161</v>
      </c>
      <c r="D897" s="835">
        <f>1.2*1.3</f>
        <v>1.56</v>
      </c>
      <c r="E897" s="435" t="s">
        <v>62</v>
      </c>
      <c r="F897" s="835">
        <f>'[161]Civil-SOR'!$G$128</f>
        <v>9106</v>
      </c>
      <c r="G897" s="435">
        <v>1</v>
      </c>
      <c r="H897" s="435" t="s">
        <v>62</v>
      </c>
      <c r="I897" s="836">
        <f t="shared" ref="I897:I898" si="50">IF(G897="",D897*F897,(D897*F897/G897))</f>
        <v>14205.36</v>
      </c>
    </row>
    <row r="898" spans="1:9" s="559" customFormat="1" ht="15" customHeight="1">
      <c r="A898" s="845"/>
      <c r="B898" s="399"/>
      <c r="C898" s="417" t="s">
        <v>2162</v>
      </c>
      <c r="D898" s="835">
        <f>1.2*0.5</f>
        <v>0.6</v>
      </c>
      <c r="E898" s="435" t="s">
        <v>62</v>
      </c>
      <c r="F898" s="835">
        <f>'[161]Civil-SOR'!$G$145</f>
        <v>5877</v>
      </c>
      <c r="G898" s="435">
        <v>1</v>
      </c>
      <c r="H898" s="435" t="s">
        <v>62</v>
      </c>
      <c r="I898" s="836">
        <f t="shared" si="50"/>
        <v>3526.2</v>
      </c>
    </row>
    <row r="899" spans="1:9" s="559" customFormat="1" ht="15" customHeight="1">
      <c r="A899" s="845"/>
      <c r="B899" s="399"/>
      <c r="C899" s="427" t="s">
        <v>2163</v>
      </c>
      <c r="D899" s="835"/>
      <c r="E899" s="435"/>
      <c r="F899" s="835"/>
      <c r="G899" s="435"/>
      <c r="H899" s="435"/>
      <c r="I899" s="836">
        <f>SUM(I897:I898)</f>
        <v>17731.560000000001</v>
      </c>
    </row>
    <row r="900" spans="1:9" s="559" customFormat="1" ht="15" customHeight="1">
      <c r="A900" s="845"/>
      <c r="B900" s="399"/>
      <c r="C900" s="417" t="s">
        <v>742</v>
      </c>
      <c r="D900" s="835"/>
      <c r="E900" s="435"/>
      <c r="F900" s="835"/>
      <c r="G900" s="435"/>
      <c r="H900" s="435"/>
      <c r="I900" s="836">
        <f>I899/H896</f>
        <v>8209.0555555555547</v>
      </c>
    </row>
    <row r="901" spans="1:9" s="559" customFormat="1" ht="15" customHeight="1">
      <c r="A901" s="845"/>
      <c r="B901" s="399"/>
      <c r="C901" s="417" t="s">
        <v>2154</v>
      </c>
      <c r="D901" s="835">
        <v>1</v>
      </c>
      <c r="E901" s="435" t="s">
        <v>62</v>
      </c>
      <c r="F901" s="835">
        <f>'[161]Civil-SOR'!$G$49</f>
        <v>568</v>
      </c>
      <c r="G901" s="435">
        <v>1</v>
      </c>
      <c r="H901" s="435" t="s">
        <v>62</v>
      </c>
      <c r="I901" s="836">
        <f>-IF(G901="",D901*F901,(D901*F901/G901))</f>
        <v>-568</v>
      </c>
    </row>
    <row r="902" spans="1:9" s="559" customFormat="1" ht="15" customHeight="1">
      <c r="A902" s="845"/>
      <c r="B902" s="399"/>
      <c r="C902" s="469" t="s">
        <v>2155</v>
      </c>
      <c r="D902" s="835">
        <v>1</v>
      </c>
      <c r="E902" s="435" t="s">
        <v>62</v>
      </c>
      <c r="F902" s="835">
        <f>'[161]Civil-SOR'!$G$51</f>
        <v>336</v>
      </c>
      <c r="G902" s="435">
        <v>1</v>
      </c>
      <c r="H902" s="435" t="s">
        <v>62</v>
      </c>
      <c r="I902" s="836">
        <f>IF(G902="",D902*F902,(D902*F902/G902))</f>
        <v>336</v>
      </c>
    </row>
    <row r="903" spans="1:9" s="559" customFormat="1" ht="15" customHeight="1">
      <c r="A903" s="845"/>
      <c r="B903" s="399"/>
      <c r="C903" s="417"/>
      <c r="D903" s="835"/>
      <c r="E903" s="435"/>
      <c r="F903" s="835"/>
      <c r="G903" s="435"/>
      <c r="H903" s="435"/>
      <c r="I903" s="836">
        <f>SUM(I900:I902)</f>
        <v>7977.0555555555547</v>
      </c>
    </row>
    <row r="904" spans="1:9" s="559" customFormat="1" ht="15" customHeight="1">
      <c r="A904" s="845"/>
      <c r="B904" s="399"/>
      <c r="C904" s="417" t="str">
        <f>[161]Input!$C$48</f>
        <v>Overheads &amp; Contractors Profit @ 13.615%</v>
      </c>
      <c r="D904" s="857">
        <f>[161]Input!$D$48</f>
        <v>0.13614999999999999</v>
      </c>
      <c r="E904" s="435"/>
      <c r="F904" s="835">
        <f>I903</f>
        <v>7977.0555555555547</v>
      </c>
      <c r="G904" s="435"/>
      <c r="H904" s="435"/>
      <c r="I904" s="836">
        <f>IF(G904="",D904*F904,(D904*F904/G904))</f>
        <v>1086.0761138888888</v>
      </c>
    </row>
    <row r="905" spans="1:9" s="559" customFormat="1" ht="15" customHeight="1">
      <c r="A905" s="845"/>
      <c r="B905" s="399"/>
      <c r="C905" s="427" t="s">
        <v>742</v>
      </c>
      <c r="D905" s="835"/>
      <c r="E905" s="435"/>
      <c r="F905" s="835"/>
      <c r="G905" s="435"/>
      <c r="H905" s="435"/>
      <c r="I905" s="838">
        <f>SUM(I903:I904)</f>
        <v>9063.1316694444431</v>
      </c>
    </row>
    <row r="906" spans="1:9" s="559" customFormat="1" ht="15" customHeight="1">
      <c r="A906" s="845"/>
      <c r="B906" s="399"/>
      <c r="C906" s="435"/>
      <c r="D906" s="835"/>
      <c r="E906" s="435"/>
      <c r="F906" s="835"/>
      <c r="G906" s="1275" t="s">
        <v>726</v>
      </c>
      <c r="H906" s="1275"/>
      <c r="I906" s="865">
        <f>ROUND(I905,0)</f>
        <v>9063</v>
      </c>
    </row>
    <row r="907" spans="1:9" s="559" customFormat="1" ht="10.15" customHeight="1">
      <c r="A907" s="845"/>
      <c r="B907" s="399"/>
      <c r="C907" s="473"/>
      <c r="D907" s="473"/>
      <c r="E907" s="473"/>
      <c r="F907" s="473"/>
      <c r="G907" s="473"/>
      <c r="H907" s="399"/>
      <c r="I907" s="865"/>
    </row>
    <row r="908" spans="1:9" s="559" customFormat="1" ht="27.65" customHeight="1">
      <c r="A908" s="845"/>
      <c r="B908" s="399" t="s">
        <v>581</v>
      </c>
      <c r="C908" s="473" t="s">
        <v>2164</v>
      </c>
      <c r="D908" s="473"/>
      <c r="E908" s="473"/>
      <c r="F908" s="473"/>
      <c r="G908" s="473"/>
      <c r="H908" s="469">
        <f>0.9*1.8</f>
        <v>1.62</v>
      </c>
      <c r="I908" s="865" t="s">
        <v>17</v>
      </c>
    </row>
    <row r="909" spans="1:9" s="559" customFormat="1" ht="15.65" customHeight="1">
      <c r="A909" s="845"/>
      <c r="B909" s="399"/>
      <c r="C909" s="417" t="s">
        <v>2161</v>
      </c>
      <c r="D909" s="835">
        <f>0.9*1.3</f>
        <v>1.1700000000000002</v>
      </c>
      <c r="E909" s="435" t="s">
        <v>62</v>
      </c>
      <c r="F909" s="835">
        <f>'[161]Civil-SOR'!$G$128</f>
        <v>9106</v>
      </c>
      <c r="G909" s="435">
        <v>1</v>
      </c>
      <c r="H909" s="435" t="s">
        <v>62</v>
      </c>
      <c r="I909" s="836">
        <f t="shared" ref="I909:I910" si="51">IF(G909="",D909*F909,(D909*F909/G909))</f>
        <v>10654.020000000002</v>
      </c>
    </row>
    <row r="910" spans="1:9" s="559" customFormat="1" ht="15.65" customHeight="1">
      <c r="A910" s="845"/>
      <c r="B910" s="399"/>
      <c r="C910" s="417" t="s">
        <v>2162</v>
      </c>
      <c r="D910" s="835">
        <f>0.9*0.5</f>
        <v>0.45</v>
      </c>
      <c r="E910" s="435" t="s">
        <v>62</v>
      </c>
      <c r="F910" s="835">
        <f>'[161]Civil-SOR'!$G$145</f>
        <v>5877</v>
      </c>
      <c r="G910" s="435">
        <v>1</v>
      </c>
      <c r="H910" s="435" t="s">
        <v>62</v>
      </c>
      <c r="I910" s="836">
        <f t="shared" si="51"/>
        <v>2644.65</v>
      </c>
    </row>
    <row r="911" spans="1:9" s="559" customFormat="1" ht="15.65" customHeight="1">
      <c r="A911" s="845"/>
      <c r="B911" s="399"/>
      <c r="C911" s="427" t="s">
        <v>2165</v>
      </c>
      <c r="D911" s="835"/>
      <c r="E911" s="435"/>
      <c r="F911" s="835"/>
      <c r="G911" s="435"/>
      <c r="H911" s="435"/>
      <c r="I911" s="836">
        <f>SUM(I909:I910)</f>
        <v>13298.670000000002</v>
      </c>
    </row>
    <row r="912" spans="1:9" s="559" customFormat="1" ht="15.65" customHeight="1">
      <c r="A912" s="845"/>
      <c r="B912" s="399"/>
      <c r="C912" s="427" t="s">
        <v>742</v>
      </c>
      <c r="D912" s="835"/>
      <c r="E912" s="435"/>
      <c r="F912" s="835"/>
      <c r="G912" s="435"/>
      <c r="H912" s="435"/>
      <c r="I912" s="836">
        <f>I911/H908</f>
        <v>8209.0555555555566</v>
      </c>
    </row>
    <row r="913" spans="1:9" s="559" customFormat="1" ht="15.65" customHeight="1">
      <c r="A913" s="845"/>
      <c r="B913" s="399"/>
      <c r="C913" s="417" t="s">
        <v>2154</v>
      </c>
      <c r="D913" s="835">
        <v>1</v>
      </c>
      <c r="E913" s="435" t="s">
        <v>62</v>
      </c>
      <c r="F913" s="835">
        <f>'[161]Civil-SOR'!$G$49</f>
        <v>568</v>
      </c>
      <c r="G913" s="435">
        <v>1</v>
      </c>
      <c r="H913" s="435" t="s">
        <v>62</v>
      </c>
      <c r="I913" s="836">
        <f>-IF(G913="",D913*F913,(D913*F913/G913))</f>
        <v>-568</v>
      </c>
    </row>
    <row r="914" spans="1:9" s="559" customFormat="1" ht="15.65" customHeight="1">
      <c r="A914" s="845"/>
      <c r="B914" s="399"/>
      <c r="C914" s="469" t="s">
        <v>2155</v>
      </c>
      <c r="D914" s="835">
        <v>1</v>
      </c>
      <c r="E914" s="435" t="s">
        <v>62</v>
      </c>
      <c r="F914" s="835">
        <f>'[161]Civil-SOR'!$G$51</f>
        <v>336</v>
      </c>
      <c r="G914" s="435">
        <v>1</v>
      </c>
      <c r="H914" s="435" t="s">
        <v>62</v>
      </c>
      <c r="I914" s="836">
        <f>IF(G914="",D914*F914,(D914*F914/G914))</f>
        <v>336</v>
      </c>
    </row>
    <row r="915" spans="1:9" s="559" customFormat="1" ht="13.15" customHeight="1">
      <c r="A915" s="845"/>
      <c r="B915" s="399"/>
      <c r="C915" s="417"/>
      <c r="D915" s="835"/>
      <c r="E915" s="435"/>
      <c r="F915" s="835"/>
      <c r="G915" s="435"/>
      <c r="H915" s="435"/>
      <c r="I915" s="836">
        <f>SUM(I912:I914)</f>
        <v>7977.0555555555566</v>
      </c>
    </row>
    <row r="916" spans="1:9" s="559" customFormat="1" ht="15.65" customHeight="1">
      <c r="A916" s="845"/>
      <c r="B916" s="399"/>
      <c r="C916" s="417" t="str">
        <f>[161]Input!$C$48</f>
        <v>Overheads &amp; Contractors Profit @ 13.615%</v>
      </c>
      <c r="D916" s="857">
        <f>[161]Input!$D$48</f>
        <v>0.13614999999999999</v>
      </c>
      <c r="E916" s="435"/>
      <c r="F916" s="835">
        <f>I915</f>
        <v>7977.0555555555566</v>
      </c>
      <c r="G916" s="435"/>
      <c r="H916" s="435"/>
      <c r="I916" s="836">
        <f>IF(G916="",D916*F916,(D916*F916/G916))</f>
        <v>1086.076113888889</v>
      </c>
    </row>
    <row r="917" spans="1:9" s="559" customFormat="1" ht="15.65" customHeight="1">
      <c r="A917" s="845"/>
      <c r="B917" s="399"/>
      <c r="C917" s="427" t="s">
        <v>742</v>
      </c>
      <c r="D917" s="835"/>
      <c r="E917" s="435"/>
      <c r="F917" s="835"/>
      <c r="G917" s="435"/>
      <c r="H917" s="435"/>
      <c r="I917" s="838">
        <f>SUM(I915:I916)</f>
        <v>9063.1316694444449</v>
      </c>
    </row>
    <row r="918" spans="1:9" s="559" customFormat="1" ht="18" customHeight="1">
      <c r="A918" s="845"/>
      <c r="B918" s="399"/>
      <c r="C918" s="435"/>
      <c r="D918" s="835"/>
      <c r="E918" s="435"/>
      <c r="F918" s="835"/>
      <c r="G918" s="1275" t="s">
        <v>726</v>
      </c>
      <c r="H918" s="1275"/>
      <c r="I918" s="865">
        <f>ROUND(I917,0)</f>
        <v>9063</v>
      </c>
    </row>
    <row r="919" spans="1:9" s="559" customFormat="1" ht="9" customHeight="1">
      <c r="A919" s="845"/>
      <c r="B919" s="399"/>
      <c r="C919" s="417"/>
      <c r="D919" s="835"/>
      <c r="E919" s="435"/>
      <c r="F919" s="835"/>
      <c r="G919" s="435"/>
      <c r="H919" s="435"/>
      <c r="I919" s="469"/>
    </row>
    <row r="920" spans="1:9" s="559" customFormat="1" ht="29.9" customHeight="1">
      <c r="A920" s="845"/>
      <c r="B920" s="399" t="s">
        <v>929</v>
      </c>
      <c r="C920" s="473" t="s">
        <v>2166</v>
      </c>
      <c r="D920" s="473"/>
      <c r="E920" s="473"/>
      <c r="F920" s="473"/>
      <c r="G920" s="473"/>
      <c r="H920" s="469">
        <f>1.8*1.3</f>
        <v>2.3400000000000003</v>
      </c>
      <c r="I920" s="469" t="s">
        <v>17</v>
      </c>
    </row>
    <row r="921" spans="1:9" s="559" customFormat="1" ht="17.5" customHeight="1">
      <c r="A921" s="845"/>
      <c r="B921" s="399"/>
      <c r="C921" s="417" t="s">
        <v>2167</v>
      </c>
      <c r="D921" s="835">
        <f>H920</f>
        <v>2.3400000000000003</v>
      </c>
      <c r="E921" s="435" t="s">
        <v>62</v>
      </c>
      <c r="F921" s="835">
        <f>'[161]Civil-SOR'!$G$130</f>
        <v>7244</v>
      </c>
      <c r="G921" s="435">
        <v>1</v>
      </c>
      <c r="H921" s="435" t="s">
        <v>62</v>
      </c>
      <c r="I921" s="836">
        <f>IF(G921="",D921*F921,(D921*F921/G921))</f>
        <v>16950.960000000003</v>
      </c>
    </row>
    <row r="922" spans="1:9" s="559" customFormat="1" ht="15.65" customHeight="1">
      <c r="A922" s="845"/>
      <c r="B922" s="399"/>
      <c r="C922" s="427" t="s">
        <v>742</v>
      </c>
      <c r="D922" s="835"/>
      <c r="E922" s="435"/>
      <c r="F922" s="835"/>
      <c r="G922" s="435"/>
      <c r="H922" s="435"/>
      <c r="I922" s="836">
        <f>I921/H920</f>
        <v>7244</v>
      </c>
    </row>
    <row r="923" spans="1:9" s="559" customFormat="1" ht="14.5" customHeight="1">
      <c r="A923" s="845"/>
      <c r="B923" s="399"/>
      <c r="C923" s="417" t="s">
        <v>2154</v>
      </c>
      <c r="D923" s="835">
        <v>1</v>
      </c>
      <c r="E923" s="435" t="s">
        <v>62</v>
      </c>
      <c r="F923" s="835">
        <f>'[161]Civil-SOR'!$G$49</f>
        <v>568</v>
      </c>
      <c r="G923" s="435">
        <v>1</v>
      </c>
      <c r="H923" s="435" t="s">
        <v>62</v>
      </c>
      <c r="I923" s="836">
        <f>-IF(G923="",D923*F923,(D923*F923/G923))</f>
        <v>-568</v>
      </c>
    </row>
    <row r="924" spans="1:9" s="559" customFormat="1" ht="14.5" customHeight="1">
      <c r="A924" s="845"/>
      <c r="B924" s="399"/>
      <c r="C924" s="469" t="s">
        <v>2155</v>
      </c>
      <c r="D924" s="835">
        <v>1</v>
      </c>
      <c r="E924" s="435" t="s">
        <v>62</v>
      </c>
      <c r="F924" s="835">
        <f>'[161]Civil-SOR'!$G$51</f>
        <v>336</v>
      </c>
      <c r="G924" s="435">
        <v>1</v>
      </c>
      <c r="H924" s="435" t="s">
        <v>62</v>
      </c>
      <c r="I924" s="836">
        <f>IF(G924="",D924*F924,(D924*F924/G924))</f>
        <v>336</v>
      </c>
    </row>
    <row r="925" spans="1:9" s="559" customFormat="1" ht="15" customHeight="1">
      <c r="A925" s="845"/>
      <c r="B925" s="399"/>
      <c r="C925" s="417"/>
      <c r="D925" s="835"/>
      <c r="E925" s="435"/>
      <c r="F925" s="835"/>
      <c r="G925" s="435"/>
      <c r="H925" s="435"/>
      <c r="I925" s="836">
        <f>SUM(I922:I924)</f>
        <v>7012</v>
      </c>
    </row>
    <row r="926" spans="1:9" s="559" customFormat="1" ht="17.5" customHeight="1">
      <c r="A926" s="845"/>
      <c r="B926" s="399"/>
      <c r="C926" s="417" t="str">
        <f>[161]Input!$C$48</f>
        <v>Overheads &amp; Contractors Profit @ 13.615%</v>
      </c>
      <c r="D926" s="857">
        <f>[161]Input!$D$48</f>
        <v>0.13614999999999999</v>
      </c>
      <c r="E926" s="435"/>
      <c r="F926" s="835">
        <f>I925</f>
        <v>7012</v>
      </c>
      <c r="G926" s="435"/>
      <c r="H926" s="435"/>
      <c r="I926" s="836">
        <f>IF(G926="",D926*F926,(D926*F926/G926))</f>
        <v>954.68379999999991</v>
      </c>
    </row>
    <row r="927" spans="1:9" s="559" customFormat="1" ht="14.5" customHeight="1">
      <c r="A927" s="845"/>
      <c r="B927" s="399"/>
      <c r="C927" s="427" t="s">
        <v>742</v>
      </c>
      <c r="D927" s="835"/>
      <c r="E927" s="435"/>
      <c r="F927" s="835"/>
      <c r="G927" s="435"/>
      <c r="H927" s="435"/>
      <c r="I927" s="838">
        <f>SUM(I925:I926)</f>
        <v>7966.6837999999998</v>
      </c>
    </row>
    <row r="928" spans="1:9" s="559" customFormat="1" ht="17.5" customHeight="1">
      <c r="A928" s="845"/>
      <c r="B928" s="399"/>
      <c r="C928" s="435"/>
      <c r="D928" s="835"/>
      <c r="E928" s="435"/>
      <c r="F928" s="835"/>
      <c r="G928" s="1275" t="s">
        <v>726</v>
      </c>
      <c r="H928" s="1275"/>
      <c r="I928" s="865">
        <f>ROUND(I927,0)</f>
        <v>7967</v>
      </c>
    </row>
    <row r="929" spans="1:9" s="559" customFormat="1" ht="14.65" customHeight="1">
      <c r="A929" s="845"/>
      <c r="B929" s="399"/>
      <c r="C929" s="417"/>
      <c r="D929" s="835"/>
      <c r="E929" s="435"/>
      <c r="F929" s="835"/>
      <c r="G929" s="435"/>
      <c r="H929" s="435"/>
      <c r="I929" s="469"/>
    </row>
    <row r="930" spans="1:9" s="559" customFormat="1" ht="29.9" customHeight="1">
      <c r="A930" s="845"/>
      <c r="B930" s="399" t="s">
        <v>604</v>
      </c>
      <c r="C930" s="473" t="s">
        <v>2168</v>
      </c>
      <c r="D930" s="473"/>
      <c r="E930" s="473"/>
      <c r="F930" s="473"/>
      <c r="G930" s="473"/>
      <c r="H930" s="469">
        <f>1.5*1.3</f>
        <v>1.9500000000000002</v>
      </c>
      <c r="I930" s="469" t="s">
        <v>17</v>
      </c>
    </row>
    <row r="931" spans="1:9" s="559" customFormat="1" ht="15.65" customHeight="1">
      <c r="A931" s="845"/>
      <c r="B931" s="399"/>
      <c r="C931" s="417" t="s">
        <v>2169</v>
      </c>
      <c r="D931" s="835">
        <f>H930</f>
        <v>1.9500000000000002</v>
      </c>
      <c r="E931" s="435" t="s">
        <v>62</v>
      </c>
      <c r="F931" s="835">
        <f>'[161]Civil-SOR'!$G$129</f>
        <v>8280</v>
      </c>
      <c r="G931" s="435">
        <v>1</v>
      </c>
      <c r="H931" s="435" t="s">
        <v>62</v>
      </c>
      <c r="I931" s="836">
        <f>IF(G931="",D931*F931,(D931*F931/G931))</f>
        <v>16146.000000000002</v>
      </c>
    </row>
    <row r="932" spans="1:9" s="559" customFormat="1" ht="15.65" customHeight="1">
      <c r="A932" s="845"/>
      <c r="B932" s="399"/>
      <c r="C932" s="427" t="s">
        <v>742</v>
      </c>
      <c r="D932" s="835"/>
      <c r="E932" s="435"/>
      <c r="F932" s="835"/>
      <c r="G932" s="435"/>
      <c r="H932" s="435"/>
      <c r="I932" s="836">
        <f>I931/H930</f>
        <v>8280</v>
      </c>
    </row>
    <row r="933" spans="1:9" s="559" customFormat="1" ht="15.65" customHeight="1">
      <c r="A933" s="845"/>
      <c r="B933" s="399"/>
      <c r="C933" s="417" t="s">
        <v>2154</v>
      </c>
      <c r="D933" s="835">
        <v>1</v>
      </c>
      <c r="E933" s="435" t="s">
        <v>62</v>
      </c>
      <c r="F933" s="835">
        <f>'[161]Civil-SOR'!$G$49</f>
        <v>568</v>
      </c>
      <c r="G933" s="435">
        <v>1</v>
      </c>
      <c r="H933" s="435" t="s">
        <v>62</v>
      </c>
      <c r="I933" s="836">
        <f>-IF(G933="",D933*F933,(D933*F933/G933))</f>
        <v>-568</v>
      </c>
    </row>
    <row r="934" spans="1:9" s="559" customFormat="1" ht="15.65" customHeight="1">
      <c r="A934" s="845"/>
      <c r="B934" s="399"/>
      <c r="C934" s="469" t="s">
        <v>2155</v>
      </c>
      <c r="D934" s="835">
        <v>1</v>
      </c>
      <c r="E934" s="435" t="s">
        <v>62</v>
      </c>
      <c r="F934" s="835">
        <f>'[161]Civil-SOR'!$G$51</f>
        <v>336</v>
      </c>
      <c r="G934" s="435">
        <v>1</v>
      </c>
      <c r="H934" s="435" t="s">
        <v>62</v>
      </c>
      <c r="I934" s="836">
        <f>IF(G934="",D934*F934,(D934*F934/G934))</f>
        <v>336</v>
      </c>
    </row>
    <row r="935" spans="1:9" s="559" customFormat="1" ht="15.65" customHeight="1">
      <c r="A935" s="845"/>
      <c r="B935" s="399"/>
      <c r="C935" s="417"/>
      <c r="D935" s="835"/>
      <c r="E935" s="435"/>
      <c r="F935" s="835"/>
      <c r="G935" s="435"/>
      <c r="H935" s="435"/>
      <c r="I935" s="836">
        <f>SUM(I932:I934)</f>
        <v>8048</v>
      </c>
    </row>
    <row r="936" spans="1:9" s="559" customFormat="1" ht="15.65" customHeight="1">
      <c r="A936" s="845"/>
      <c r="B936" s="399"/>
      <c r="C936" s="417" t="str">
        <f>[161]Input!$C$48</f>
        <v>Overheads &amp; Contractors Profit @ 13.615%</v>
      </c>
      <c r="D936" s="857">
        <f>[161]Input!$D$48</f>
        <v>0.13614999999999999</v>
      </c>
      <c r="E936" s="435"/>
      <c r="F936" s="835">
        <f>I935</f>
        <v>8048</v>
      </c>
      <c r="G936" s="435"/>
      <c r="H936" s="435"/>
      <c r="I936" s="836">
        <f>IF(G936="",D936*F936,(D936*F936/G936))</f>
        <v>1095.7351999999998</v>
      </c>
    </row>
    <row r="937" spans="1:9" s="559" customFormat="1" ht="15.65" customHeight="1">
      <c r="A937" s="845"/>
      <c r="B937" s="399"/>
      <c r="C937" s="427" t="s">
        <v>742</v>
      </c>
      <c r="D937" s="835"/>
      <c r="E937" s="435"/>
      <c r="F937" s="835"/>
      <c r="G937" s="435"/>
      <c r="H937" s="435"/>
      <c r="I937" s="838">
        <f>SUM(I935:I936)</f>
        <v>9143.7351999999992</v>
      </c>
    </row>
    <row r="938" spans="1:9" s="559" customFormat="1" ht="15.65" customHeight="1">
      <c r="A938" s="845"/>
      <c r="B938" s="399"/>
      <c r="C938" s="435"/>
      <c r="D938" s="835"/>
      <c r="E938" s="435"/>
      <c r="F938" s="835"/>
      <c r="G938" s="1275" t="s">
        <v>726</v>
      </c>
      <c r="H938" s="1275"/>
      <c r="I938" s="865">
        <f>ROUND(I937,0)</f>
        <v>9144</v>
      </c>
    </row>
    <row r="939" spans="1:9" s="559" customFormat="1" ht="15.75" customHeight="1">
      <c r="A939" s="845"/>
      <c r="B939" s="399"/>
      <c r="C939" s="417"/>
      <c r="D939" s="835"/>
      <c r="E939" s="435"/>
      <c r="F939" s="835"/>
      <c r="G939" s="435"/>
      <c r="H939" s="435"/>
      <c r="I939" s="849"/>
    </row>
    <row r="940" spans="1:9" s="559" customFormat="1" ht="16" customHeight="1">
      <c r="A940" s="845"/>
      <c r="B940" s="399" t="s">
        <v>629</v>
      </c>
      <c r="C940" s="473" t="s">
        <v>2170</v>
      </c>
      <c r="D940" s="835"/>
      <c r="E940" s="435"/>
      <c r="F940" s="835"/>
      <c r="G940" s="435"/>
      <c r="H940" s="473">
        <f>1.2*1.3</f>
        <v>1.56</v>
      </c>
      <c r="I940" s="469" t="s">
        <v>17</v>
      </c>
    </row>
    <row r="941" spans="1:9" s="559" customFormat="1" ht="16" customHeight="1">
      <c r="A941" s="845"/>
      <c r="B941" s="399"/>
      <c r="C941" s="417" t="s">
        <v>2171</v>
      </c>
      <c r="D941" s="835">
        <f>H940</f>
        <v>1.56</v>
      </c>
      <c r="E941" s="435" t="s">
        <v>62</v>
      </c>
      <c r="F941" s="835">
        <f>'[161]Civil-SOR'!$G$128</f>
        <v>9106</v>
      </c>
      <c r="G941" s="435">
        <v>1</v>
      </c>
      <c r="H941" s="435" t="s">
        <v>62</v>
      </c>
      <c r="I941" s="836">
        <f>IF(G941="",D941*F941,(D941*F941/G941))</f>
        <v>14205.36</v>
      </c>
    </row>
    <row r="942" spans="1:9" s="559" customFormat="1" ht="16" customHeight="1">
      <c r="A942" s="845"/>
      <c r="B942" s="399"/>
      <c r="C942" s="427" t="s">
        <v>742</v>
      </c>
      <c r="D942" s="835"/>
      <c r="E942" s="435"/>
      <c r="F942" s="835"/>
      <c r="G942" s="435"/>
      <c r="H942" s="435"/>
      <c r="I942" s="848">
        <f>I941/H940</f>
        <v>9106</v>
      </c>
    </row>
    <row r="943" spans="1:9" s="559" customFormat="1" ht="16" customHeight="1">
      <c r="A943" s="845"/>
      <c r="B943" s="399"/>
      <c r="C943" s="417" t="s">
        <v>2154</v>
      </c>
      <c r="D943" s="835">
        <v>1</v>
      </c>
      <c r="E943" s="435" t="s">
        <v>62</v>
      </c>
      <c r="F943" s="835">
        <f>'[161]Civil-SOR'!$G$49</f>
        <v>568</v>
      </c>
      <c r="G943" s="435">
        <v>1</v>
      </c>
      <c r="H943" s="435" t="s">
        <v>62</v>
      </c>
      <c r="I943" s="836">
        <f>-IF(G943="",D943*F943,(D943*F943/G943))</f>
        <v>-568</v>
      </c>
    </row>
    <row r="944" spans="1:9" s="559" customFormat="1" ht="16" customHeight="1">
      <c r="A944" s="845"/>
      <c r="B944" s="399"/>
      <c r="C944" s="469" t="s">
        <v>2155</v>
      </c>
      <c r="D944" s="835">
        <v>1</v>
      </c>
      <c r="E944" s="435" t="s">
        <v>62</v>
      </c>
      <c r="F944" s="835">
        <f>'[161]Civil-SOR'!$G$51</f>
        <v>336</v>
      </c>
      <c r="G944" s="435">
        <v>1</v>
      </c>
      <c r="H944" s="435" t="s">
        <v>62</v>
      </c>
      <c r="I944" s="836">
        <f>IF(G944="",D944*F944,(D944*F944/G944))</f>
        <v>336</v>
      </c>
    </row>
    <row r="945" spans="1:9" s="559" customFormat="1" ht="16" customHeight="1">
      <c r="A945" s="845"/>
      <c r="B945" s="399"/>
      <c r="C945" s="417"/>
      <c r="D945" s="835"/>
      <c r="E945" s="435"/>
      <c r="F945" s="835"/>
      <c r="G945" s="435"/>
      <c r="H945" s="435"/>
      <c r="I945" s="836">
        <f>SUM(I942:I944)</f>
        <v>8874</v>
      </c>
    </row>
    <row r="946" spans="1:9" s="559" customFormat="1" ht="16" customHeight="1">
      <c r="A946" s="845"/>
      <c r="B946" s="399"/>
      <c r="C946" s="417" t="str">
        <f>[161]Input!$C$48</f>
        <v>Overheads &amp; Contractors Profit @ 13.615%</v>
      </c>
      <c r="D946" s="857">
        <f>[161]Input!$D$48</f>
        <v>0.13614999999999999</v>
      </c>
      <c r="E946" s="435"/>
      <c r="F946" s="835">
        <f>I945</f>
        <v>8874</v>
      </c>
      <c r="G946" s="435"/>
      <c r="H946" s="435"/>
      <c r="I946" s="836">
        <f>IF(G946="",D946*F946,(D946*F946/G946))</f>
        <v>1208.1950999999999</v>
      </c>
    </row>
    <row r="947" spans="1:9" s="559" customFormat="1" ht="16" customHeight="1">
      <c r="A947" s="845"/>
      <c r="B947" s="399"/>
      <c r="C947" s="427" t="s">
        <v>742</v>
      </c>
      <c r="D947" s="835"/>
      <c r="E947" s="435"/>
      <c r="F947" s="835"/>
      <c r="G947" s="435"/>
      <c r="H947" s="435"/>
      <c r="I947" s="838">
        <f>SUM(I945:I946)</f>
        <v>10082.195100000001</v>
      </c>
    </row>
    <row r="948" spans="1:9" s="559" customFormat="1" ht="15" customHeight="1">
      <c r="A948" s="845"/>
      <c r="B948" s="399"/>
      <c r="C948" s="435"/>
      <c r="D948" s="835"/>
      <c r="E948" s="435"/>
      <c r="F948" s="835"/>
      <c r="G948" s="1275" t="s">
        <v>726</v>
      </c>
      <c r="H948" s="1275"/>
      <c r="I948" s="865">
        <f>ROUND(I947,0)</f>
        <v>10082</v>
      </c>
    </row>
    <row r="949" spans="1:9" s="559" customFormat="1" ht="15.75" customHeight="1">
      <c r="A949" s="845"/>
      <c r="B949" s="399"/>
      <c r="C949" s="473"/>
      <c r="D949" s="835"/>
      <c r="E949" s="435"/>
      <c r="F949" s="835"/>
      <c r="G949" s="435"/>
      <c r="H949" s="435"/>
      <c r="I949" s="849"/>
    </row>
    <row r="950" spans="1:9" s="559" customFormat="1" ht="20.5" customHeight="1">
      <c r="A950" s="845"/>
      <c r="B950" s="399" t="s">
        <v>607</v>
      </c>
      <c r="C950" s="473" t="s">
        <v>2172</v>
      </c>
      <c r="D950" s="835"/>
      <c r="E950" s="435"/>
      <c r="F950" s="835"/>
      <c r="G950" s="435"/>
      <c r="H950" s="473">
        <f>0.9*1.3</f>
        <v>1.1700000000000002</v>
      </c>
      <c r="I950" s="469" t="s">
        <v>17</v>
      </c>
    </row>
    <row r="951" spans="1:9" s="559" customFormat="1" ht="16" customHeight="1">
      <c r="A951" s="845"/>
      <c r="B951" s="399"/>
      <c r="C951" s="417" t="s">
        <v>2173</v>
      </c>
      <c r="D951" s="835">
        <f>H950</f>
        <v>1.1700000000000002</v>
      </c>
      <c r="E951" s="435" t="s">
        <v>62</v>
      </c>
      <c r="F951" s="835">
        <f>'[161]Civil-SOR'!$G$128</f>
        <v>9106</v>
      </c>
      <c r="G951" s="435">
        <v>1</v>
      </c>
      <c r="H951" s="435" t="s">
        <v>62</v>
      </c>
      <c r="I951" s="836">
        <f>IF(G951="",D951*F951,(D951*F951/G951))</f>
        <v>10654.020000000002</v>
      </c>
    </row>
    <row r="952" spans="1:9" s="559" customFormat="1" ht="16" customHeight="1">
      <c r="A952" s="845"/>
      <c r="B952" s="399"/>
      <c r="C952" s="427" t="s">
        <v>742</v>
      </c>
      <c r="D952" s="835"/>
      <c r="E952" s="435"/>
      <c r="F952" s="835"/>
      <c r="G952" s="435"/>
      <c r="H952" s="435"/>
      <c r="I952" s="848">
        <f>I951/H950</f>
        <v>9106</v>
      </c>
    </row>
    <row r="953" spans="1:9" s="559" customFormat="1" ht="16" customHeight="1">
      <c r="A953" s="845"/>
      <c r="B953" s="399"/>
      <c r="C953" s="417" t="s">
        <v>2154</v>
      </c>
      <c r="D953" s="835">
        <v>1</v>
      </c>
      <c r="E953" s="435" t="s">
        <v>62</v>
      </c>
      <c r="F953" s="835">
        <f>'[161]Civil-SOR'!$G$49</f>
        <v>568</v>
      </c>
      <c r="G953" s="435">
        <v>1</v>
      </c>
      <c r="H953" s="435" t="s">
        <v>62</v>
      </c>
      <c r="I953" s="836">
        <f>-IF(G953="",D953*F953,(D953*F953/G953))</f>
        <v>-568</v>
      </c>
    </row>
    <row r="954" spans="1:9" s="559" customFormat="1" ht="16" customHeight="1">
      <c r="A954" s="845"/>
      <c r="B954" s="399"/>
      <c r="C954" s="469" t="s">
        <v>2155</v>
      </c>
      <c r="D954" s="835">
        <v>1</v>
      </c>
      <c r="E954" s="435" t="s">
        <v>62</v>
      </c>
      <c r="F954" s="835">
        <f>'[161]Civil-SOR'!$G$51</f>
        <v>336</v>
      </c>
      <c r="G954" s="435">
        <v>1</v>
      </c>
      <c r="H954" s="435" t="s">
        <v>62</v>
      </c>
      <c r="I954" s="836">
        <f>IF(G954="",D954*F954,(D954*F954/G954))</f>
        <v>336</v>
      </c>
    </row>
    <row r="955" spans="1:9" s="559" customFormat="1" ht="16" customHeight="1">
      <c r="A955" s="845"/>
      <c r="B955" s="399"/>
      <c r="C955" s="417"/>
      <c r="D955" s="835"/>
      <c r="E955" s="435"/>
      <c r="F955" s="835"/>
      <c r="G955" s="435"/>
      <c r="H955" s="435"/>
      <c r="I955" s="836">
        <f>SUM(I952:I954)</f>
        <v>8874</v>
      </c>
    </row>
    <row r="956" spans="1:9" s="559" customFormat="1" ht="16" customHeight="1">
      <c r="A956" s="845"/>
      <c r="B956" s="399"/>
      <c r="C956" s="417" t="str">
        <f>[161]Input!$C$48</f>
        <v>Overheads &amp; Contractors Profit @ 13.615%</v>
      </c>
      <c r="D956" s="857">
        <f>[161]Input!$D$48</f>
        <v>0.13614999999999999</v>
      </c>
      <c r="E956" s="435"/>
      <c r="F956" s="835">
        <f>I955</f>
        <v>8874</v>
      </c>
      <c r="G956" s="435"/>
      <c r="H956" s="435"/>
      <c r="I956" s="836">
        <f>IF(G956="",D956*F956,(D956*F956/G956))</f>
        <v>1208.1950999999999</v>
      </c>
    </row>
    <row r="957" spans="1:9" s="559" customFormat="1" ht="16" customHeight="1">
      <c r="A957" s="845"/>
      <c r="B957" s="399"/>
      <c r="C957" s="427" t="s">
        <v>742</v>
      </c>
      <c r="D957" s="835"/>
      <c r="E957" s="435"/>
      <c r="F957" s="835"/>
      <c r="G957" s="435"/>
      <c r="H957" s="435"/>
      <c r="I957" s="838">
        <f>SUM(I955:I956)</f>
        <v>10082.195100000001</v>
      </c>
    </row>
    <row r="958" spans="1:9" s="559" customFormat="1" ht="15" customHeight="1">
      <c r="A958" s="845"/>
      <c r="B958" s="399"/>
      <c r="C958" s="435"/>
      <c r="D958" s="835"/>
      <c r="E958" s="435"/>
      <c r="F958" s="835"/>
      <c r="G958" s="1275" t="s">
        <v>726</v>
      </c>
      <c r="H958" s="1275"/>
      <c r="I958" s="865">
        <f>ROUND(I957,0)</f>
        <v>10082</v>
      </c>
    </row>
    <row r="959" spans="1:9" s="559" customFormat="1" ht="9" customHeight="1">
      <c r="A959" s="845"/>
      <c r="B959" s="399"/>
      <c r="C959" s="417"/>
      <c r="D959" s="835"/>
      <c r="E959" s="435"/>
      <c r="F959" s="835"/>
      <c r="G959" s="435"/>
      <c r="H959" s="435"/>
      <c r="I959" s="838"/>
    </row>
    <row r="960" spans="1:9" s="559" customFormat="1" ht="109.15" customHeight="1">
      <c r="A960" s="1332">
        <f>A871+1</f>
        <v>9</v>
      </c>
      <c r="B960" s="1332"/>
      <c r="C960" s="1276" t="s">
        <v>2174</v>
      </c>
      <c r="D960" s="1276"/>
      <c r="E960" s="1276"/>
      <c r="F960" s="1276"/>
      <c r="G960" s="1276"/>
      <c r="H960" s="1276"/>
      <c r="I960" s="427"/>
    </row>
    <row r="961" spans="1:9" s="559" customFormat="1" ht="16" customHeight="1">
      <c r="A961" s="845"/>
      <c r="B961" s="399" t="s">
        <v>965</v>
      </c>
      <c r="C961" s="427" t="s">
        <v>2175</v>
      </c>
      <c r="D961" s="417"/>
      <c r="E961" s="417"/>
      <c r="F961" s="417"/>
      <c r="G961" s="417"/>
      <c r="H961" s="417"/>
      <c r="I961" s="845"/>
    </row>
    <row r="962" spans="1:9" s="559" customFormat="1" ht="27" customHeight="1">
      <c r="A962" s="845"/>
      <c r="B962" s="399" t="s">
        <v>565</v>
      </c>
      <c r="C962" s="1294" t="s">
        <v>2176</v>
      </c>
      <c r="D962" s="1294"/>
      <c r="E962" s="1294"/>
      <c r="F962" s="1294"/>
      <c r="G962" s="1294"/>
      <c r="H962" s="469">
        <f>1.8*1.8</f>
        <v>3.24</v>
      </c>
      <c r="I962" s="469" t="s">
        <v>17</v>
      </c>
    </row>
    <row r="963" spans="1:9" s="559" customFormat="1" ht="16.899999999999999" customHeight="1">
      <c r="A963" s="845"/>
      <c r="B963" s="399"/>
      <c r="C963" s="417" t="s">
        <v>2177</v>
      </c>
      <c r="D963" s="835">
        <f>1.8*1.3</f>
        <v>2.3400000000000003</v>
      </c>
      <c r="E963" s="435" t="s">
        <v>62</v>
      </c>
      <c r="F963" s="835">
        <f>'[161]Civil-SOR'!$G$125</f>
        <v>6858</v>
      </c>
      <c r="G963" s="435">
        <v>1</v>
      </c>
      <c r="H963" s="435" t="s">
        <v>62</v>
      </c>
      <c r="I963" s="836">
        <f t="shared" ref="I963:I964" si="52">IF(G963="",D963*F963,(D963*F963/G963))</f>
        <v>16047.720000000001</v>
      </c>
    </row>
    <row r="964" spans="1:9" s="559" customFormat="1" ht="16.899999999999999" customHeight="1">
      <c r="A964" s="845"/>
      <c r="B964" s="399"/>
      <c r="C964" s="417" t="s">
        <v>2178</v>
      </c>
      <c r="D964" s="835">
        <f>1.8*0.5</f>
        <v>0.9</v>
      </c>
      <c r="E964" s="435" t="s">
        <v>62</v>
      </c>
      <c r="F964" s="835">
        <f>'[161]Civil-SOR'!$G$145</f>
        <v>5877</v>
      </c>
      <c r="G964" s="435">
        <v>1</v>
      </c>
      <c r="H964" s="435" t="s">
        <v>62</v>
      </c>
      <c r="I964" s="836">
        <f t="shared" si="52"/>
        <v>5289.3</v>
      </c>
    </row>
    <row r="965" spans="1:9" s="559" customFormat="1" ht="16.899999999999999" customHeight="1">
      <c r="A965" s="845"/>
      <c r="B965" s="399"/>
      <c r="C965" s="427" t="s">
        <v>2153</v>
      </c>
      <c r="D965" s="835"/>
      <c r="E965" s="435"/>
      <c r="F965" s="835"/>
      <c r="G965" s="435"/>
      <c r="H965" s="435"/>
      <c r="I965" s="836">
        <f>SUM(I963:I964)</f>
        <v>21337.02</v>
      </c>
    </row>
    <row r="966" spans="1:9" s="559" customFormat="1" ht="16" customHeight="1">
      <c r="A966" s="845"/>
      <c r="B966" s="399"/>
      <c r="C966" s="427" t="s">
        <v>742</v>
      </c>
      <c r="D966" s="835"/>
      <c r="E966" s="435"/>
      <c r="F966" s="835"/>
      <c r="G966" s="435"/>
      <c r="H966" s="435"/>
      <c r="I966" s="836">
        <f>I965/H962</f>
        <v>6585.5</v>
      </c>
    </row>
    <row r="967" spans="1:9" s="559" customFormat="1" ht="16" customHeight="1">
      <c r="A967" s="845"/>
      <c r="B967" s="399"/>
      <c r="C967" s="417" t="s">
        <v>2154</v>
      </c>
      <c r="D967" s="835">
        <v>1</v>
      </c>
      <c r="E967" s="435" t="s">
        <v>62</v>
      </c>
      <c r="F967" s="835">
        <f>'[161]Civil-SOR'!$G$49</f>
        <v>568</v>
      </c>
      <c r="G967" s="435">
        <v>1</v>
      </c>
      <c r="H967" s="435" t="s">
        <v>62</v>
      </c>
      <c r="I967" s="836">
        <f>-IF(G967="",D967*F967,(D967*F967/G967))</f>
        <v>-568</v>
      </c>
    </row>
    <row r="968" spans="1:9" s="559" customFormat="1" ht="16.899999999999999" customHeight="1">
      <c r="A968" s="845"/>
      <c r="B968" s="399"/>
      <c r="C968" s="417" t="s">
        <v>2155</v>
      </c>
      <c r="D968" s="835">
        <v>1</v>
      </c>
      <c r="E968" s="435" t="s">
        <v>62</v>
      </c>
      <c r="F968" s="835">
        <f>'[161]Civil-SOR'!$G$51</f>
        <v>336</v>
      </c>
      <c r="G968" s="435">
        <v>1</v>
      </c>
      <c r="H968" s="435" t="s">
        <v>62</v>
      </c>
      <c r="I968" s="836">
        <f>IF(G968="",D968*F968,(D968*F968/G968))</f>
        <v>336</v>
      </c>
    </row>
    <row r="969" spans="1:9" s="559" customFormat="1" ht="16" customHeight="1">
      <c r="A969" s="845"/>
      <c r="B969" s="399"/>
      <c r="C969" s="417"/>
      <c r="D969" s="835"/>
      <c r="E969" s="435"/>
      <c r="F969" s="835"/>
      <c r="G969" s="435"/>
      <c r="H969" s="435"/>
      <c r="I969" s="836">
        <f>SUM(I966:I968)</f>
        <v>6353.5</v>
      </c>
    </row>
    <row r="970" spans="1:9" s="559" customFormat="1" ht="16" customHeight="1">
      <c r="A970" s="845"/>
      <c r="B970" s="399"/>
      <c r="C970" s="417" t="str">
        <f>[161]Input!$C$48</f>
        <v>Overheads &amp; Contractors Profit @ 13.615%</v>
      </c>
      <c r="D970" s="857">
        <f>[161]Input!$D$48</f>
        <v>0.13614999999999999</v>
      </c>
      <c r="E970" s="435"/>
      <c r="F970" s="835">
        <f>I969</f>
        <v>6353.5</v>
      </c>
      <c r="G970" s="435"/>
      <c r="H970" s="435"/>
      <c r="I970" s="836">
        <f>IF(G970="",D970*F970,(D970*F970/G970))</f>
        <v>865.02902499999993</v>
      </c>
    </row>
    <row r="971" spans="1:9" s="559" customFormat="1" ht="16" customHeight="1">
      <c r="A971" s="845"/>
      <c r="B971" s="399"/>
      <c r="C971" s="427" t="s">
        <v>742</v>
      </c>
      <c r="D971" s="835"/>
      <c r="E971" s="435"/>
      <c r="F971" s="835"/>
      <c r="G971" s="435"/>
      <c r="H971" s="435"/>
      <c r="I971" s="838">
        <f>SUM(I969:I970)</f>
        <v>7218.5290249999998</v>
      </c>
    </row>
    <row r="972" spans="1:9" s="559" customFormat="1" ht="15" customHeight="1">
      <c r="A972" s="845"/>
      <c r="B972" s="399"/>
      <c r="C972" s="435"/>
      <c r="D972" s="835"/>
      <c r="E972" s="435"/>
      <c r="F972" s="835"/>
      <c r="G972" s="1275" t="s">
        <v>726</v>
      </c>
      <c r="H972" s="1275"/>
      <c r="I972" s="865">
        <f>ROUND(I971,0)</f>
        <v>7219</v>
      </c>
    </row>
    <row r="973" spans="1:9" s="559" customFormat="1" ht="14.65" customHeight="1">
      <c r="A973" s="845"/>
      <c r="B973" s="399"/>
      <c r="C973" s="417"/>
      <c r="D973" s="835"/>
      <c r="E973" s="435"/>
      <c r="F973" s="835"/>
      <c r="G973" s="435"/>
      <c r="H973" s="435"/>
      <c r="I973" s="469"/>
    </row>
    <row r="974" spans="1:9" s="559" customFormat="1" ht="30.65" customHeight="1">
      <c r="A974" s="845"/>
      <c r="B974" s="399" t="s">
        <v>590</v>
      </c>
      <c r="C974" s="1294" t="s">
        <v>2179</v>
      </c>
      <c r="D974" s="1294"/>
      <c r="E974" s="1294"/>
      <c r="F974" s="1294"/>
      <c r="G974" s="1294"/>
      <c r="H974" s="514">
        <f>1.5*1.8</f>
        <v>2.7</v>
      </c>
      <c r="I974" s="469" t="s">
        <v>17</v>
      </c>
    </row>
    <row r="975" spans="1:9" s="559" customFormat="1" ht="15.65" customHeight="1">
      <c r="A975" s="845"/>
      <c r="B975" s="399"/>
      <c r="C975" s="417" t="s">
        <v>2177</v>
      </c>
      <c r="D975" s="835">
        <f>1.5*1.3</f>
        <v>1.9500000000000002</v>
      </c>
      <c r="E975" s="435" t="s">
        <v>62</v>
      </c>
      <c r="F975" s="835">
        <f>'[161]Civil-SOR'!$G$125</f>
        <v>6858</v>
      </c>
      <c r="G975" s="435">
        <v>1</v>
      </c>
      <c r="H975" s="435" t="s">
        <v>62</v>
      </c>
      <c r="I975" s="836">
        <f t="shared" ref="I975:I976" si="53">IF(G975="",D975*F975,(D975*F975/G975))</f>
        <v>13373.1</v>
      </c>
    </row>
    <row r="976" spans="1:9" s="559" customFormat="1" ht="15.65" customHeight="1">
      <c r="A976" s="845"/>
      <c r="B976" s="399"/>
      <c r="C976" s="417" t="s">
        <v>2178</v>
      </c>
      <c r="D976" s="835">
        <f>1.5*0.5</f>
        <v>0.75</v>
      </c>
      <c r="E976" s="435" t="s">
        <v>62</v>
      </c>
      <c r="F976" s="835">
        <f>'[161]Civil-SOR'!$G$145</f>
        <v>5877</v>
      </c>
      <c r="G976" s="435">
        <v>1</v>
      </c>
      <c r="H976" s="435" t="s">
        <v>62</v>
      </c>
      <c r="I976" s="836">
        <f t="shared" si="53"/>
        <v>4407.75</v>
      </c>
    </row>
    <row r="977" spans="1:9" s="559" customFormat="1" ht="15.65" customHeight="1">
      <c r="A977" s="845"/>
      <c r="B977" s="399"/>
      <c r="C977" s="427" t="s">
        <v>2159</v>
      </c>
      <c r="D977" s="835"/>
      <c r="E977" s="435"/>
      <c r="F977" s="835"/>
      <c r="G977" s="435"/>
      <c r="H977" s="435"/>
      <c r="I977" s="836">
        <f>SUM(I975:I976)</f>
        <v>17780.849999999999</v>
      </c>
    </row>
    <row r="978" spans="1:9" s="559" customFormat="1" ht="15.65" customHeight="1">
      <c r="A978" s="845"/>
      <c r="B978" s="399"/>
      <c r="C978" s="427" t="s">
        <v>742</v>
      </c>
      <c r="D978" s="835"/>
      <c r="E978" s="435"/>
      <c r="F978" s="835"/>
      <c r="G978" s="435"/>
      <c r="H978" s="435"/>
      <c r="I978" s="836">
        <f>I977/H974</f>
        <v>6585.4999999999991</v>
      </c>
    </row>
    <row r="979" spans="1:9" s="559" customFormat="1" ht="16" customHeight="1">
      <c r="A979" s="845"/>
      <c r="B979" s="399"/>
      <c r="C979" s="417" t="s">
        <v>2154</v>
      </c>
      <c r="D979" s="835">
        <v>1</v>
      </c>
      <c r="E979" s="435" t="s">
        <v>62</v>
      </c>
      <c r="F979" s="835">
        <f>'[161]Civil-SOR'!$G$49</f>
        <v>568</v>
      </c>
      <c r="G979" s="435">
        <v>1</v>
      </c>
      <c r="H979" s="435" t="s">
        <v>62</v>
      </c>
      <c r="I979" s="836">
        <f>-IF(G979="",D979*F979,(D979*F979/G979))</f>
        <v>-568</v>
      </c>
    </row>
    <row r="980" spans="1:9" s="559" customFormat="1" ht="16" customHeight="1">
      <c r="A980" s="845"/>
      <c r="B980" s="399"/>
      <c r="C980" s="417" t="s">
        <v>2155</v>
      </c>
      <c r="D980" s="835">
        <v>1</v>
      </c>
      <c r="E980" s="435" t="s">
        <v>62</v>
      </c>
      <c r="F980" s="835">
        <f>'[161]Civil-SOR'!$G$51</f>
        <v>336</v>
      </c>
      <c r="G980" s="435">
        <v>1</v>
      </c>
      <c r="H980" s="435" t="s">
        <v>62</v>
      </c>
      <c r="I980" s="836">
        <f>IF(G980="",D980*F980,(D980*F980/G980))</f>
        <v>336</v>
      </c>
    </row>
    <row r="981" spans="1:9" s="559" customFormat="1" ht="16" customHeight="1">
      <c r="A981" s="845"/>
      <c r="B981" s="399"/>
      <c r="C981" s="417"/>
      <c r="D981" s="835"/>
      <c r="E981" s="435"/>
      <c r="F981" s="835"/>
      <c r="G981" s="435"/>
      <c r="H981" s="435"/>
      <c r="I981" s="836">
        <f>SUM(I978:I980)</f>
        <v>6353.4999999999991</v>
      </c>
    </row>
    <row r="982" spans="1:9" s="559" customFormat="1" ht="16" customHeight="1">
      <c r="A982" s="845"/>
      <c r="B982" s="399"/>
      <c r="C982" s="417" t="str">
        <f>[161]Input!$C$48</f>
        <v>Overheads &amp; Contractors Profit @ 13.615%</v>
      </c>
      <c r="D982" s="857">
        <f>[161]Input!$D$48</f>
        <v>0.13614999999999999</v>
      </c>
      <c r="E982" s="435"/>
      <c r="F982" s="835">
        <f>I981</f>
        <v>6353.4999999999991</v>
      </c>
      <c r="G982" s="435"/>
      <c r="H982" s="435"/>
      <c r="I982" s="836">
        <f>IF(G982="",D982*F982,(D982*F982/G982))</f>
        <v>865.02902499999982</v>
      </c>
    </row>
    <row r="983" spans="1:9" s="559" customFormat="1" ht="16" customHeight="1">
      <c r="A983" s="845"/>
      <c r="B983" s="399"/>
      <c r="C983" s="427" t="s">
        <v>742</v>
      </c>
      <c r="D983" s="835"/>
      <c r="E983" s="435"/>
      <c r="F983" s="835"/>
      <c r="G983" s="435"/>
      <c r="H983" s="435"/>
      <c r="I983" s="838">
        <f>SUM(I981:I982)</f>
        <v>7218.5290249999989</v>
      </c>
    </row>
    <row r="984" spans="1:9" s="560" customFormat="1" ht="17.5" customHeight="1">
      <c r="A984" s="845"/>
      <c r="B984" s="399"/>
      <c r="C984" s="740"/>
      <c r="D984" s="858"/>
      <c r="E984" s="740"/>
      <c r="F984" s="858"/>
      <c r="G984" s="1275" t="s">
        <v>726</v>
      </c>
      <c r="H984" s="1275"/>
      <c r="I984" s="436">
        <f>ROUND(I983,0)</f>
        <v>7219</v>
      </c>
    </row>
    <row r="985" spans="1:9" s="559" customFormat="1" ht="14.65" customHeight="1">
      <c r="A985" s="845"/>
      <c r="B985" s="399"/>
      <c r="C985" s="473"/>
      <c r="D985" s="473"/>
      <c r="E985" s="473"/>
      <c r="F985" s="473"/>
      <c r="G985" s="473"/>
      <c r="H985" s="399"/>
      <c r="I985" s="865"/>
    </row>
    <row r="986" spans="1:9" s="559" customFormat="1" ht="29.9" customHeight="1">
      <c r="A986" s="845"/>
      <c r="B986" s="399" t="s">
        <v>652</v>
      </c>
      <c r="C986" s="473" t="s">
        <v>2180</v>
      </c>
      <c r="D986" s="473"/>
      <c r="E986" s="473"/>
      <c r="F986" s="473"/>
      <c r="G986" s="473"/>
      <c r="H986" s="514">
        <f>1.2*1.8</f>
        <v>2.16</v>
      </c>
      <c r="I986" s="469" t="s">
        <v>17</v>
      </c>
    </row>
    <row r="987" spans="1:9" s="559" customFormat="1" ht="15" customHeight="1">
      <c r="A987" s="845"/>
      <c r="B987" s="399"/>
      <c r="C987" s="417" t="s">
        <v>2181</v>
      </c>
      <c r="D987" s="835">
        <f>1.2*1.3</f>
        <v>1.56</v>
      </c>
      <c r="E987" s="435" t="s">
        <v>62</v>
      </c>
      <c r="F987" s="835">
        <f>'[161]Civil-SOR'!$G$124</f>
        <v>7696</v>
      </c>
      <c r="G987" s="435">
        <v>1</v>
      </c>
      <c r="H987" s="435" t="s">
        <v>62</v>
      </c>
      <c r="I987" s="836">
        <f t="shared" ref="I987:I988" si="54">IF(G987="",D987*F987,(D987*F987/G987))</f>
        <v>12005.76</v>
      </c>
    </row>
    <row r="988" spans="1:9" s="559" customFormat="1" ht="15" customHeight="1">
      <c r="A988" s="845"/>
      <c r="B988" s="399"/>
      <c r="C988" s="417" t="s">
        <v>2178</v>
      </c>
      <c r="D988" s="835">
        <f>1.2*0.5</f>
        <v>0.6</v>
      </c>
      <c r="E988" s="435" t="s">
        <v>62</v>
      </c>
      <c r="F988" s="835">
        <f>'[161]Civil-SOR'!$G$145</f>
        <v>5877</v>
      </c>
      <c r="G988" s="435">
        <v>1</v>
      </c>
      <c r="H988" s="435" t="s">
        <v>62</v>
      </c>
      <c r="I988" s="836">
        <f t="shared" si="54"/>
        <v>3526.2</v>
      </c>
    </row>
    <row r="989" spans="1:9" s="559" customFormat="1" ht="15" customHeight="1">
      <c r="A989" s="845"/>
      <c r="B989" s="399"/>
      <c r="C989" s="417" t="s">
        <v>2163</v>
      </c>
      <c r="D989" s="835"/>
      <c r="E989" s="435"/>
      <c r="F989" s="835"/>
      <c r="G989" s="435"/>
      <c r="H989" s="435"/>
      <c r="I989" s="836">
        <f>SUM(I987:I988)</f>
        <v>15531.96</v>
      </c>
    </row>
    <row r="990" spans="1:9" s="559" customFormat="1" ht="15" customHeight="1">
      <c r="A990" s="845"/>
      <c r="B990" s="399"/>
      <c r="C990" s="417" t="s">
        <v>742</v>
      </c>
      <c r="D990" s="835"/>
      <c r="E990" s="435"/>
      <c r="F990" s="835"/>
      <c r="G990" s="435"/>
      <c r="H990" s="435"/>
      <c r="I990" s="836">
        <f>I989/H986</f>
        <v>7190.7222222222217</v>
      </c>
    </row>
    <row r="991" spans="1:9" s="559" customFormat="1" ht="15" customHeight="1">
      <c r="A991" s="845"/>
      <c r="B991" s="399"/>
      <c r="C991" s="417" t="s">
        <v>2154</v>
      </c>
      <c r="D991" s="835">
        <v>1</v>
      </c>
      <c r="E991" s="435" t="s">
        <v>62</v>
      </c>
      <c r="F991" s="835">
        <f>'[161]Civil-SOR'!$G$49</f>
        <v>568</v>
      </c>
      <c r="G991" s="435">
        <v>1</v>
      </c>
      <c r="H991" s="435" t="s">
        <v>62</v>
      </c>
      <c r="I991" s="836">
        <f>-IF(G991="",D991*F991,(D991*F991/G991))</f>
        <v>-568</v>
      </c>
    </row>
    <row r="992" spans="1:9" s="559" customFormat="1" ht="15" customHeight="1">
      <c r="A992" s="845"/>
      <c r="B992" s="399"/>
      <c r="C992" s="417" t="s">
        <v>2155</v>
      </c>
      <c r="D992" s="835">
        <v>1</v>
      </c>
      <c r="E992" s="435" t="s">
        <v>62</v>
      </c>
      <c r="F992" s="835">
        <f>'[161]Civil-SOR'!$G$51</f>
        <v>336</v>
      </c>
      <c r="G992" s="435">
        <v>1</v>
      </c>
      <c r="H992" s="435" t="s">
        <v>62</v>
      </c>
      <c r="I992" s="836">
        <f>IF(G992="",D992*F992,(D992*F992/G992))</f>
        <v>336</v>
      </c>
    </row>
    <row r="993" spans="1:9" s="559" customFormat="1" ht="15" customHeight="1">
      <c r="A993" s="845"/>
      <c r="B993" s="399"/>
      <c r="C993" s="417"/>
      <c r="D993" s="835"/>
      <c r="E993" s="435"/>
      <c r="F993" s="835"/>
      <c r="G993" s="435"/>
      <c r="H993" s="435"/>
      <c r="I993" s="836">
        <f>SUM(I990:I992)</f>
        <v>6958.7222222222217</v>
      </c>
    </row>
    <row r="994" spans="1:9" s="559" customFormat="1" ht="15" customHeight="1">
      <c r="A994" s="845"/>
      <c r="B994" s="399"/>
      <c r="C994" s="417" t="str">
        <f>[161]Input!$C$48</f>
        <v>Overheads &amp; Contractors Profit @ 13.615%</v>
      </c>
      <c r="D994" s="857">
        <f>[161]Input!$D$48</f>
        <v>0.13614999999999999</v>
      </c>
      <c r="E994" s="435"/>
      <c r="F994" s="835">
        <f>I993</f>
        <v>6958.7222222222217</v>
      </c>
      <c r="G994" s="435"/>
      <c r="H994" s="435"/>
      <c r="I994" s="836">
        <f>IF(G994="",D994*F994,(D994*F994/G994))</f>
        <v>947.43003055555539</v>
      </c>
    </row>
    <row r="995" spans="1:9" s="559" customFormat="1" ht="15" customHeight="1">
      <c r="A995" s="845"/>
      <c r="B995" s="399"/>
      <c r="C995" s="427" t="s">
        <v>742</v>
      </c>
      <c r="D995" s="835"/>
      <c r="E995" s="435"/>
      <c r="F995" s="835"/>
      <c r="G995" s="435"/>
      <c r="H995" s="435"/>
      <c r="I995" s="838">
        <f>SUM(I993:I994)</f>
        <v>7906.152252777777</v>
      </c>
    </row>
    <row r="996" spans="1:9" s="560" customFormat="1" ht="21" customHeight="1">
      <c r="A996" s="845"/>
      <c r="B996" s="399"/>
      <c r="C996" s="740"/>
      <c r="D996" s="858"/>
      <c r="E996" s="740"/>
      <c r="F996" s="858"/>
      <c r="G996" s="1275" t="s">
        <v>726</v>
      </c>
      <c r="H996" s="1275"/>
      <c r="I996" s="436">
        <f>ROUND(I995,0)</f>
        <v>7906</v>
      </c>
    </row>
    <row r="997" spans="1:9" s="559" customFormat="1" ht="15.75" customHeight="1">
      <c r="A997" s="845"/>
      <c r="B997" s="399"/>
      <c r="C997" s="473"/>
      <c r="D997" s="473"/>
      <c r="E997" s="473"/>
      <c r="F997" s="473"/>
      <c r="G997" s="473"/>
      <c r="H997" s="514"/>
      <c r="I997" s="865"/>
    </row>
    <row r="998" spans="1:9" s="559" customFormat="1" ht="29.9" customHeight="1">
      <c r="A998" s="845"/>
      <c r="B998" s="399" t="s">
        <v>581</v>
      </c>
      <c r="C998" s="473" t="s">
        <v>2164</v>
      </c>
      <c r="D998" s="473"/>
      <c r="E998" s="473"/>
      <c r="F998" s="473"/>
      <c r="G998" s="473"/>
      <c r="H998" s="514">
        <f>0.9*1.8</f>
        <v>1.62</v>
      </c>
      <c r="I998" s="469" t="s">
        <v>17</v>
      </c>
    </row>
    <row r="999" spans="1:9" s="559" customFormat="1" ht="16" customHeight="1">
      <c r="A999" s="845"/>
      <c r="B999" s="399"/>
      <c r="C999" s="417" t="s">
        <v>2182</v>
      </c>
      <c r="D999" s="835">
        <f>0.9*1.3</f>
        <v>1.1700000000000002</v>
      </c>
      <c r="E999" s="435" t="s">
        <v>62</v>
      </c>
      <c r="F999" s="835">
        <f>'[161]Civil-SOR'!$G$124</f>
        <v>7696</v>
      </c>
      <c r="G999" s="435">
        <v>1</v>
      </c>
      <c r="H999" s="435" t="s">
        <v>62</v>
      </c>
      <c r="I999" s="836">
        <f t="shared" ref="I999:I1000" si="55">IF(G999="",D999*F999,(D999*F999/G999))</f>
        <v>9004.3200000000015</v>
      </c>
    </row>
    <row r="1000" spans="1:9" s="559" customFormat="1" ht="16" customHeight="1">
      <c r="A1000" s="845"/>
      <c r="B1000" s="399"/>
      <c r="C1000" s="417" t="s">
        <v>2183</v>
      </c>
      <c r="D1000" s="835">
        <f>0.9*0.5</f>
        <v>0.45</v>
      </c>
      <c r="E1000" s="435" t="s">
        <v>62</v>
      </c>
      <c r="F1000" s="835">
        <f>'[161]Civil-SOR'!$G$145</f>
        <v>5877</v>
      </c>
      <c r="G1000" s="435">
        <v>1</v>
      </c>
      <c r="H1000" s="435" t="s">
        <v>62</v>
      </c>
      <c r="I1000" s="836">
        <f t="shared" si="55"/>
        <v>2644.65</v>
      </c>
    </row>
    <row r="1001" spans="1:9" s="559" customFormat="1" ht="16" customHeight="1">
      <c r="A1001" s="845"/>
      <c r="B1001" s="399"/>
      <c r="C1001" s="427" t="s">
        <v>2165</v>
      </c>
      <c r="D1001" s="835"/>
      <c r="E1001" s="435"/>
      <c r="F1001" s="835"/>
      <c r="G1001" s="435"/>
      <c r="H1001" s="435"/>
      <c r="I1001" s="836">
        <f>SUM(I999:I1000)</f>
        <v>11648.970000000001</v>
      </c>
    </row>
    <row r="1002" spans="1:9" s="559" customFormat="1" ht="16" customHeight="1">
      <c r="A1002" s="845"/>
      <c r="B1002" s="399"/>
      <c r="C1002" s="417" t="s">
        <v>742</v>
      </c>
      <c r="D1002" s="835"/>
      <c r="E1002" s="435"/>
      <c r="F1002" s="835"/>
      <c r="G1002" s="435"/>
      <c r="H1002" s="435"/>
      <c r="I1002" s="836">
        <f>I1001/H998</f>
        <v>7190.7222222222226</v>
      </c>
    </row>
    <row r="1003" spans="1:9" s="559" customFormat="1" ht="16" customHeight="1">
      <c r="A1003" s="845"/>
      <c r="B1003" s="399"/>
      <c r="C1003" s="417" t="s">
        <v>2154</v>
      </c>
      <c r="D1003" s="835">
        <v>1</v>
      </c>
      <c r="E1003" s="435" t="s">
        <v>62</v>
      </c>
      <c r="F1003" s="835">
        <f>'[161]Civil-SOR'!$G$49</f>
        <v>568</v>
      </c>
      <c r="G1003" s="435">
        <v>1</v>
      </c>
      <c r="H1003" s="435" t="s">
        <v>62</v>
      </c>
      <c r="I1003" s="836">
        <f>-IF(G1003="",D1003*F1003,(D1003*F1003/G1003))</f>
        <v>-568</v>
      </c>
    </row>
    <row r="1004" spans="1:9" s="559" customFormat="1" ht="16.149999999999999" customHeight="1">
      <c r="A1004" s="845"/>
      <c r="B1004" s="399"/>
      <c r="C1004" s="417" t="s">
        <v>2155</v>
      </c>
      <c r="D1004" s="835">
        <v>1</v>
      </c>
      <c r="E1004" s="435" t="s">
        <v>62</v>
      </c>
      <c r="F1004" s="835">
        <f>'[161]Civil-SOR'!$G$51</f>
        <v>336</v>
      </c>
      <c r="G1004" s="435">
        <v>1</v>
      </c>
      <c r="H1004" s="435" t="s">
        <v>62</v>
      </c>
      <c r="I1004" s="836">
        <f>IF(G1004="",D1004*F1004,(D1004*F1004/G1004))</f>
        <v>336</v>
      </c>
    </row>
    <row r="1005" spans="1:9" s="559" customFormat="1" ht="16" customHeight="1">
      <c r="A1005" s="845"/>
      <c r="B1005" s="399"/>
      <c r="C1005" s="417"/>
      <c r="D1005" s="835"/>
      <c r="E1005" s="435"/>
      <c r="F1005" s="835"/>
      <c r="G1005" s="435"/>
      <c r="H1005" s="435"/>
      <c r="I1005" s="836">
        <f>SUM(I1002:I1004)</f>
        <v>6958.7222222222226</v>
      </c>
    </row>
    <row r="1006" spans="1:9" s="559" customFormat="1" ht="16" customHeight="1">
      <c r="A1006" s="845"/>
      <c r="B1006" s="399"/>
      <c r="C1006" s="417" t="str">
        <f>[161]Input!$C$48</f>
        <v>Overheads &amp; Contractors Profit @ 13.615%</v>
      </c>
      <c r="D1006" s="857">
        <f>[161]Input!$D$48</f>
        <v>0.13614999999999999</v>
      </c>
      <c r="E1006" s="435"/>
      <c r="F1006" s="835">
        <f>I1005</f>
        <v>6958.7222222222226</v>
      </c>
      <c r="G1006" s="435"/>
      <c r="H1006" s="435"/>
      <c r="I1006" s="836">
        <f>IF(G1006="",D1006*F1006,(D1006*F1006/G1006))</f>
        <v>947.43003055555562</v>
      </c>
    </row>
    <row r="1007" spans="1:9" s="559" customFormat="1" ht="16" customHeight="1">
      <c r="A1007" s="845"/>
      <c r="B1007" s="399"/>
      <c r="C1007" s="427" t="s">
        <v>742</v>
      </c>
      <c r="D1007" s="835"/>
      <c r="E1007" s="435"/>
      <c r="F1007" s="835"/>
      <c r="G1007" s="435"/>
      <c r="H1007" s="435"/>
      <c r="I1007" s="838">
        <f>SUM(I1005:I1006)</f>
        <v>7906.1522527777779</v>
      </c>
    </row>
    <row r="1008" spans="1:9" s="560" customFormat="1" ht="21.65" customHeight="1">
      <c r="A1008" s="845"/>
      <c r="B1008" s="399"/>
      <c r="C1008" s="740"/>
      <c r="D1008" s="858"/>
      <c r="E1008" s="740"/>
      <c r="F1008" s="858"/>
      <c r="G1008" s="1275" t="s">
        <v>726</v>
      </c>
      <c r="H1008" s="1275"/>
      <c r="I1008" s="436">
        <f>ROUND(I1007,0)</f>
        <v>7906</v>
      </c>
    </row>
    <row r="1009" spans="1:9" s="559" customFormat="1" ht="14.65" customHeight="1">
      <c r="A1009" s="845"/>
      <c r="B1009" s="399"/>
      <c r="C1009" s="473"/>
      <c r="D1009" s="473"/>
      <c r="E1009" s="473"/>
      <c r="F1009" s="473"/>
      <c r="G1009" s="473"/>
      <c r="H1009" s="514"/>
      <c r="I1009" s="865"/>
    </row>
    <row r="1010" spans="1:9" s="559" customFormat="1" ht="29.9" customHeight="1">
      <c r="A1010" s="845"/>
      <c r="B1010" s="399" t="s">
        <v>581</v>
      </c>
      <c r="C1010" s="473" t="s">
        <v>2184</v>
      </c>
      <c r="D1010" s="473"/>
      <c r="E1010" s="473"/>
      <c r="F1010" s="473"/>
      <c r="G1010" s="473"/>
      <c r="H1010" s="399"/>
      <c r="I1010" s="865"/>
    </row>
    <row r="1011" spans="1:9" s="559" customFormat="1" ht="15" customHeight="1">
      <c r="A1011" s="845"/>
      <c r="B1011" s="399"/>
      <c r="C1011" s="417" t="s">
        <v>2185</v>
      </c>
      <c r="D1011" s="835">
        <v>1</v>
      </c>
      <c r="E1011" s="435" t="s">
        <v>62</v>
      </c>
      <c r="F1011" s="835">
        <f>'[161]Civil-SOR'!$G$125</f>
        <v>6858</v>
      </c>
      <c r="G1011" s="435">
        <v>1</v>
      </c>
      <c r="H1011" s="435" t="s">
        <v>62</v>
      </c>
      <c r="I1011" s="836">
        <f>IF(G1011="",D1011*F1011,(D1011*F1011/G1011))</f>
        <v>6858</v>
      </c>
    </row>
    <row r="1012" spans="1:9" s="559" customFormat="1" ht="15" customHeight="1">
      <c r="A1012" s="845"/>
      <c r="B1012" s="399"/>
      <c r="C1012" s="417" t="s">
        <v>2154</v>
      </c>
      <c r="D1012" s="835">
        <v>1</v>
      </c>
      <c r="E1012" s="435" t="s">
        <v>62</v>
      </c>
      <c r="F1012" s="835">
        <f>'[161]Civil-SOR'!$G$49</f>
        <v>568</v>
      </c>
      <c r="G1012" s="435">
        <v>1</v>
      </c>
      <c r="H1012" s="435" t="s">
        <v>62</v>
      </c>
      <c r="I1012" s="836">
        <f>-IF(G1012="",D1012*F1012,(D1012*F1012/G1012))</f>
        <v>-568</v>
      </c>
    </row>
    <row r="1013" spans="1:9" s="559" customFormat="1" ht="15" customHeight="1">
      <c r="A1013" s="845"/>
      <c r="B1013" s="399"/>
      <c r="C1013" s="469" t="s">
        <v>2155</v>
      </c>
      <c r="D1013" s="835">
        <v>1</v>
      </c>
      <c r="E1013" s="435" t="s">
        <v>62</v>
      </c>
      <c r="F1013" s="835">
        <f>'[161]Civil-SOR'!$G$51</f>
        <v>336</v>
      </c>
      <c r="G1013" s="435">
        <v>1</v>
      </c>
      <c r="H1013" s="435" t="s">
        <v>62</v>
      </c>
      <c r="I1013" s="836">
        <f>IF(G1013="",D1013*F1013,(D1013*F1013/G1013))</f>
        <v>336</v>
      </c>
    </row>
    <row r="1014" spans="1:9" s="559" customFormat="1" ht="15" customHeight="1">
      <c r="A1014" s="845"/>
      <c r="B1014" s="399"/>
      <c r="C1014" s="417"/>
      <c r="D1014" s="835"/>
      <c r="E1014" s="435"/>
      <c r="F1014" s="835"/>
      <c r="G1014" s="435"/>
      <c r="H1014" s="435"/>
      <c r="I1014" s="836">
        <f>SUM(I1011:I1013)</f>
        <v>6626</v>
      </c>
    </row>
    <row r="1015" spans="1:9" s="559" customFormat="1" ht="18" customHeight="1">
      <c r="A1015" s="845"/>
      <c r="B1015" s="399"/>
      <c r="C1015" s="417" t="str">
        <f>[161]Input!$C$48</f>
        <v>Overheads &amp; Contractors Profit @ 13.615%</v>
      </c>
      <c r="D1015" s="857">
        <f>[161]Input!$D$48</f>
        <v>0.13614999999999999</v>
      </c>
      <c r="E1015" s="435"/>
      <c r="F1015" s="835">
        <f>I1014</f>
        <v>6626</v>
      </c>
      <c r="G1015" s="435"/>
      <c r="H1015" s="435"/>
      <c r="I1015" s="836">
        <f>IF(G1015="",D1015*F1015,(D1015*F1015/G1015))</f>
        <v>902.12989999999991</v>
      </c>
    </row>
    <row r="1016" spans="1:9" s="559" customFormat="1" ht="18" customHeight="1">
      <c r="A1016" s="845"/>
      <c r="B1016" s="399"/>
      <c r="C1016" s="427" t="s">
        <v>742</v>
      </c>
      <c r="D1016" s="835"/>
      <c r="E1016" s="435"/>
      <c r="F1016" s="835"/>
      <c r="G1016" s="435"/>
      <c r="H1016" s="435"/>
      <c r="I1016" s="838">
        <f>SUM(I1014:I1015)</f>
        <v>7528.1298999999999</v>
      </c>
    </row>
    <row r="1017" spans="1:9" s="560" customFormat="1" ht="23.5" customHeight="1">
      <c r="A1017" s="845"/>
      <c r="B1017" s="870"/>
      <c r="C1017" s="740"/>
      <c r="D1017" s="858"/>
      <c r="E1017" s="740"/>
      <c r="F1017" s="858"/>
      <c r="G1017" s="1275" t="s">
        <v>726</v>
      </c>
      <c r="H1017" s="1275"/>
      <c r="I1017" s="436">
        <f>ROUND(I1016,0)</f>
        <v>7528</v>
      </c>
    </row>
    <row r="1018" spans="1:9" s="559" customFormat="1" ht="14.65" customHeight="1">
      <c r="A1018" s="845"/>
      <c r="B1018" s="399"/>
      <c r="C1018" s="417"/>
      <c r="D1018" s="835"/>
      <c r="E1018" s="435"/>
      <c r="F1018" s="835"/>
      <c r="G1018" s="435"/>
      <c r="H1018" s="399"/>
      <c r="I1018" s="865"/>
    </row>
    <row r="1019" spans="1:9" s="559" customFormat="1" ht="14.65" customHeight="1">
      <c r="A1019" s="845"/>
      <c r="B1019" s="399"/>
      <c r="C1019" s="417"/>
      <c r="D1019" s="835"/>
      <c r="E1019" s="435"/>
      <c r="F1019" s="835"/>
      <c r="G1019" s="435"/>
      <c r="H1019" s="399"/>
      <c r="I1019" s="865"/>
    </row>
    <row r="1020" spans="1:9" s="559" customFormat="1" ht="29.9" customHeight="1">
      <c r="A1020" s="845"/>
      <c r="B1020" s="399" t="s">
        <v>604</v>
      </c>
      <c r="C1020" s="473" t="s">
        <v>2186</v>
      </c>
      <c r="D1020" s="473"/>
      <c r="E1020" s="473"/>
      <c r="F1020" s="473"/>
      <c r="G1020" s="473"/>
      <c r="H1020" s="399"/>
      <c r="I1020" s="865"/>
    </row>
    <row r="1021" spans="1:9" s="559" customFormat="1" ht="16" customHeight="1">
      <c r="A1021" s="845"/>
      <c r="B1021" s="399"/>
      <c r="C1021" s="417" t="s">
        <v>2185</v>
      </c>
      <c r="D1021" s="835">
        <v>1</v>
      </c>
      <c r="E1021" s="435" t="s">
        <v>62</v>
      </c>
      <c r="F1021" s="835">
        <f>'[161]Civil-SOR'!$G$125</f>
        <v>6858</v>
      </c>
      <c r="G1021" s="435">
        <v>1</v>
      </c>
      <c r="H1021" s="435" t="s">
        <v>62</v>
      </c>
      <c r="I1021" s="836">
        <f>IF(G1021="",D1021*F1021,(D1021*F1021/G1021))</f>
        <v>6858</v>
      </c>
    </row>
    <row r="1022" spans="1:9" s="559" customFormat="1" ht="16" customHeight="1">
      <c r="A1022" s="845"/>
      <c r="B1022" s="399"/>
      <c r="C1022" s="417" t="s">
        <v>2154</v>
      </c>
      <c r="D1022" s="835">
        <v>1</v>
      </c>
      <c r="E1022" s="435" t="s">
        <v>62</v>
      </c>
      <c r="F1022" s="835">
        <f>'[161]Civil-SOR'!$G$49</f>
        <v>568</v>
      </c>
      <c r="G1022" s="435">
        <v>1</v>
      </c>
      <c r="H1022" s="435" t="s">
        <v>62</v>
      </c>
      <c r="I1022" s="836">
        <f>-IF(G1022="",D1022*F1022,(D1022*F1022/G1022))</f>
        <v>-568</v>
      </c>
    </row>
    <row r="1023" spans="1:9" s="559" customFormat="1" ht="16" customHeight="1">
      <c r="A1023" s="845"/>
      <c r="B1023" s="399"/>
      <c r="C1023" s="469" t="s">
        <v>2155</v>
      </c>
      <c r="D1023" s="835">
        <v>1</v>
      </c>
      <c r="E1023" s="435" t="s">
        <v>62</v>
      </c>
      <c r="F1023" s="835">
        <f>'[161]Civil-SOR'!$G$51</f>
        <v>336</v>
      </c>
      <c r="G1023" s="435">
        <v>1</v>
      </c>
      <c r="H1023" s="435" t="s">
        <v>62</v>
      </c>
      <c r="I1023" s="836">
        <f>IF(G1023="",D1023*F1023,(D1023*F1023/G1023))</f>
        <v>336</v>
      </c>
    </row>
    <row r="1024" spans="1:9" s="559" customFormat="1" ht="16" customHeight="1">
      <c r="A1024" s="845"/>
      <c r="B1024" s="399"/>
      <c r="C1024" s="417"/>
      <c r="D1024" s="835"/>
      <c r="E1024" s="435"/>
      <c r="F1024" s="835"/>
      <c r="G1024" s="435"/>
      <c r="H1024" s="435"/>
      <c r="I1024" s="836">
        <f>SUM(I1021:I1023)</f>
        <v>6626</v>
      </c>
    </row>
    <row r="1025" spans="1:9" s="559" customFormat="1" ht="16" customHeight="1">
      <c r="A1025" s="845"/>
      <c r="B1025" s="399"/>
      <c r="C1025" s="417" t="str">
        <f>[161]Input!$C$48</f>
        <v>Overheads &amp; Contractors Profit @ 13.615%</v>
      </c>
      <c r="D1025" s="857">
        <f>[161]Input!$D$48</f>
        <v>0.13614999999999999</v>
      </c>
      <c r="E1025" s="435"/>
      <c r="F1025" s="835">
        <f>I1024</f>
        <v>6626</v>
      </c>
      <c r="G1025" s="435"/>
      <c r="H1025" s="435"/>
      <c r="I1025" s="836">
        <f>IF(G1025="",D1025*F1025,(D1025*F1025/G1025))</f>
        <v>902.12989999999991</v>
      </c>
    </row>
    <row r="1026" spans="1:9" s="559" customFormat="1" ht="16" customHeight="1">
      <c r="A1026" s="845"/>
      <c r="B1026" s="399"/>
      <c r="C1026" s="427" t="s">
        <v>742</v>
      </c>
      <c r="D1026" s="835"/>
      <c r="E1026" s="435"/>
      <c r="F1026" s="835"/>
      <c r="G1026" s="435"/>
      <c r="H1026" s="435"/>
      <c r="I1026" s="838">
        <f>SUM(I1024:I1025)</f>
        <v>7528.1298999999999</v>
      </c>
    </row>
    <row r="1027" spans="1:9" s="559" customFormat="1" ht="15" customHeight="1">
      <c r="A1027" s="845"/>
      <c r="B1027" s="399"/>
      <c r="C1027" s="435"/>
      <c r="D1027" s="835"/>
      <c r="E1027" s="435"/>
      <c r="F1027" s="835"/>
      <c r="G1027" s="1275" t="s">
        <v>726</v>
      </c>
      <c r="H1027" s="1275"/>
      <c r="I1027" s="865">
        <f>ROUND(I1026,0)</f>
        <v>7528</v>
      </c>
    </row>
    <row r="1028" spans="1:9" s="559" customFormat="1" ht="14.65" customHeight="1">
      <c r="A1028" s="845"/>
      <c r="B1028" s="399"/>
      <c r="C1028" s="417"/>
      <c r="D1028" s="835"/>
      <c r="E1028" s="435"/>
      <c r="F1028" s="835"/>
      <c r="G1028" s="435"/>
      <c r="H1028" s="399"/>
      <c r="I1028" s="865"/>
    </row>
    <row r="1029" spans="1:9" s="559" customFormat="1" ht="18.649999999999999" customHeight="1">
      <c r="A1029" s="845"/>
      <c r="B1029" s="399" t="s">
        <v>929</v>
      </c>
      <c r="C1029" s="473" t="s">
        <v>2187</v>
      </c>
      <c r="D1029" s="473"/>
      <c r="E1029" s="473"/>
      <c r="F1029" s="473"/>
      <c r="G1029" s="473"/>
      <c r="H1029" s="399"/>
      <c r="I1029" s="865"/>
    </row>
    <row r="1030" spans="1:9" s="559" customFormat="1" ht="14.25" customHeight="1">
      <c r="A1030" s="845"/>
      <c r="B1030" s="399"/>
      <c r="C1030" s="417" t="s">
        <v>2182</v>
      </c>
      <c r="D1030" s="835">
        <v>1</v>
      </c>
      <c r="E1030" s="435" t="s">
        <v>62</v>
      </c>
      <c r="F1030" s="835">
        <f>'[161]Civil-SOR'!$G$124</f>
        <v>7696</v>
      </c>
      <c r="G1030" s="835">
        <v>1</v>
      </c>
      <c r="H1030" s="435" t="s">
        <v>62</v>
      </c>
      <c r="I1030" s="836">
        <f>IF(G1030="",D1030*F1030,(D1030*F1030/G1030))</f>
        <v>7696</v>
      </c>
    </row>
    <row r="1031" spans="1:9" s="559" customFormat="1" ht="14.25" customHeight="1">
      <c r="A1031" s="845"/>
      <c r="B1031" s="399"/>
      <c r="C1031" s="417" t="s">
        <v>2154</v>
      </c>
      <c r="D1031" s="835">
        <v>1</v>
      </c>
      <c r="E1031" s="435" t="s">
        <v>62</v>
      </c>
      <c r="F1031" s="835">
        <f>'[161]Civil-SOR'!$G$49</f>
        <v>568</v>
      </c>
      <c r="G1031" s="435">
        <v>1</v>
      </c>
      <c r="H1031" s="435" t="s">
        <v>62</v>
      </c>
      <c r="I1031" s="836">
        <f>-IF(G1031="",D1031*F1031,(D1031*F1031/G1031))</f>
        <v>-568</v>
      </c>
    </row>
    <row r="1032" spans="1:9" s="559" customFormat="1" ht="14.25" customHeight="1">
      <c r="A1032" s="845"/>
      <c r="B1032" s="399"/>
      <c r="C1032" s="469" t="s">
        <v>2155</v>
      </c>
      <c r="D1032" s="835">
        <v>1</v>
      </c>
      <c r="E1032" s="435" t="s">
        <v>62</v>
      </c>
      <c r="F1032" s="835">
        <f>'[161]Civil-SOR'!$G$51</f>
        <v>336</v>
      </c>
      <c r="G1032" s="435">
        <v>1</v>
      </c>
      <c r="H1032" s="435" t="s">
        <v>62</v>
      </c>
      <c r="I1032" s="836">
        <f>IF(G1032="",D1032*F1032,(D1032*F1032/G1032))</f>
        <v>336</v>
      </c>
    </row>
    <row r="1033" spans="1:9" s="559" customFormat="1" ht="14.25" customHeight="1">
      <c r="A1033" s="845"/>
      <c r="B1033" s="399"/>
      <c r="C1033" s="417"/>
      <c r="D1033" s="835"/>
      <c r="E1033" s="435"/>
      <c r="F1033" s="835"/>
      <c r="G1033" s="435"/>
      <c r="H1033" s="435"/>
      <c r="I1033" s="836">
        <f>SUM(I1030:I1032)</f>
        <v>7464</v>
      </c>
    </row>
    <row r="1034" spans="1:9" s="559" customFormat="1" ht="14.25" customHeight="1">
      <c r="A1034" s="845"/>
      <c r="B1034" s="399"/>
      <c r="C1034" s="417" t="str">
        <f>[161]Input!$C$48</f>
        <v>Overheads &amp; Contractors Profit @ 13.615%</v>
      </c>
      <c r="D1034" s="857">
        <f>[161]Input!$D$48</f>
        <v>0.13614999999999999</v>
      </c>
      <c r="E1034" s="435"/>
      <c r="F1034" s="835">
        <f>I1033</f>
        <v>7464</v>
      </c>
      <c r="G1034" s="435"/>
      <c r="H1034" s="435"/>
      <c r="I1034" s="836">
        <f>IF(G1034="",D1034*F1034,(D1034*F1034/G1034))</f>
        <v>1016.2235999999999</v>
      </c>
    </row>
    <row r="1035" spans="1:9" s="559" customFormat="1" ht="14.25" customHeight="1">
      <c r="A1035" s="845"/>
      <c r="B1035" s="399"/>
      <c r="C1035" s="427" t="s">
        <v>742</v>
      </c>
      <c r="D1035" s="835"/>
      <c r="E1035" s="435"/>
      <c r="F1035" s="835"/>
      <c r="G1035" s="435"/>
      <c r="H1035" s="435"/>
      <c r="I1035" s="838">
        <f>SUM(I1033:I1034)</f>
        <v>8480.2235999999994</v>
      </c>
    </row>
    <row r="1036" spans="1:9" s="559" customFormat="1" ht="14.25" customHeight="1">
      <c r="A1036" s="845"/>
      <c r="B1036" s="399"/>
      <c r="C1036" s="435"/>
      <c r="D1036" s="835"/>
      <c r="E1036" s="435"/>
      <c r="F1036" s="835"/>
      <c r="G1036" s="435"/>
      <c r="H1036" s="399" t="s">
        <v>774</v>
      </c>
      <c r="I1036" s="865">
        <f>ROUND(I1035,0)</f>
        <v>8480</v>
      </c>
    </row>
    <row r="1037" spans="1:9" s="559" customFormat="1" ht="14.65" customHeight="1">
      <c r="A1037" s="845"/>
      <c r="B1037" s="399"/>
      <c r="C1037" s="417"/>
      <c r="D1037" s="835"/>
      <c r="E1037" s="435"/>
      <c r="F1037" s="835"/>
      <c r="G1037" s="435"/>
      <c r="H1037" s="399"/>
      <c r="I1037" s="865"/>
    </row>
    <row r="1038" spans="1:9" s="559" customFormat="1" ht="17.5" customHeight="1">
      <c r="A1038" s="845"/>
      <c r="B1038" s="399" t="s">
        <v>607</v>
      </c>
      <c r="C1038" s="473" t="s">
        <v>2188</v>
      </c>
      <c r="D1038" s="473"/>
      <c r="E1038" s="473"/>
      <c r="F1038" s="473"/>
      <c r="G1038" s="473"/>
      <c r="H1038" s="399"/>
      <c r="I1038" s="865"/>
    </row>
    <row r="1039" spans="1:9" s="559" customFormat="1" ht="16" customHeight="1">
      <c r="A1039" s="845"/>
      <c r="B1039" s="399"/>
      <c r="C1039" s="417" t="s">
        <v>2182</v>
      </c>
      <c r="D1039" s="835">
        <v>1</v>
      </c>
      <c r="E1039" s="435" t="s">
        <v>62</v>
      </c>
      <c r="F1039" s="835">
        <f>'[161]Civil-SOR'!$G$124</f>
        <v>7696</v>
      </c>
      <c r="G1039" s="835">
        <v>1</v>
      </c>
      <c r="H1039" s="435" t="s">
        <v>62</v>
      </c>
      <c r="I1039" s="836">
        <f>IF(G1039="",D1039*F1039,(D1039*F1039/G1039))</f>
        <v>7696</v>
      </c>
    </row>
    <row r="1040" spans="1:9" s="559" customFormat="1" ht="16" customHeight="1">
      <c r="A1040" s="845"/>
      <c r="B1040" s="399"/>
      <c r="C1040" s="417" t="s">
        <v>2154</v>
      </c>
      <c r="D1040" s="835">
        <v>1</v>
      </c>
      <c r="E1040" s="435" t="s">
        <v>62</v>
      </c>
      <c r="F1040" s="835">
        <f>'[161]Civil-SOR'!$G$49</f>
        <v>568</v>
      </c>
      <c r="G1040" s="435">
        <v>1</v>
      </c>
      <c r="H1040" s="435" t="s">
        <v>62</v>
      </c>
      <c r="I1040" s="836">
        <f>-IF(G1040="",D1040*F1040,(D1040*F1040/G1040))</f>
        <v>-568</v>
      </c>
    </row>
    <row r="1041" spans="1:9" s="559" customFormat="1" ht="16" customHeight="1">
      <c r="A1041" s="845"/>
      <c r="B1041" s="399"/>
      <c r="C1041" s="469" t="s">
        <v>2155</v>
      </c>
      <c r="D1041" s="835">
        <v>1</v>
      </c>
      <c r="E1041" s="435" t="s">
        <v>62</v>
      </c>
      <c r="F1041" s="835">
        <f>'[161]Civil-SOR'!$G$51</f>
        <v>336</v>
      </c>
      <c r="G1041" s="435">
        <v>1</v>
      </c>
      <c r="H1041" s="435" t="s">
        <v>62</v>
      </c>
      <c r="I1041" s="836">
        <f>IF(G1041="",D1041*F1041,(D1041*F1041/G1041))</f>
        <v>336</v>
      </c>
    </row>
    <row r="1042" spans="1:9" s="559" customFormat="1" ht="16" customHeight="1">
      <c r="A1042" s="845"/>
      <c r="B1042" s="399"/>
      <c r="C1042" s="417"/>
      <c r="D1042" s="835"/>
      <c r="E1042" s="435"/>
      <c r="F1042" s="835"/>
      <c r="G1042" s="435"/>
      <c r="H1042" s="435"/>
      <c r="I1042" s="836">
        <f>SUM(I1039:I1041)</f>
        <v>7464</v>
      </c>
    </row>
    <row r="1043" spans="1:9" s="559" customFormat="1" ht="16" customHeight="1">
      <c r="A1043" s="845"/>
      <c r="B1043" s="399"/>
      <c r="C1043" s="417" t="str">
        <f>[161]Input!$C$48</f>
        <v>Overheads &amp; Contractors Profit @ 13.615%</v>
      </c>
      <c r="D1043" s="857">
        <f>[161]Input!$D$48</f>
        <v>0.13614999999999999</v>
      </c>
      <c r="E1043" s="435"/>
      <c r="F1043" s="835">
        <f>I1042</f>
        <v>7464</v>
      </c>
      <c r="G1043" s="435"/>
      <c r="H1043" s="435"/>
      <c r="I1043" s="836">
        <f>IF(G1043="",D1043*F1043,(D1043*F1043/G1043))</f>
        <v>1016.2235999999999</v>
      </c>
    </row>
    <row r="1044" spans="1:9" s="559" customFormat="1" ht="16" customHeight="1">
      <c r="A1044" s="845"/>
      <c r="B1044" s="399"/>
      <c r="C1044" s="427" t="s">
        <v>742</v>
      </c>
      <c r="D1044" s="835"/>
      <c r="E1044" s="435"/>
      <c r="F1044" s="835"/>
      <c r="G1044" s="435"/>
      <c r="H1044" s="435"/>
      <c r="I1044" s="838">
        <f>SUM(I1042:I1043)</f>
        <v>8480.2235999999994</v>
      </c>
    </row>
    <row r="1045" spans="1:9" s="559" customFormat="1" ht="13.5" customHeight="1">
      <c r="A1045" s="845"/>
      <c r="B1045" s="399"/>
      <c r="C1045" s="435"/>
      <c r="D1045" s="835"/>
      <c r="E1045" s="435"/>
      <c r="F1045" s="835"/>
      <c r="G1045" s="1313" t="s">
        <v>687</v>
      </c>
      <c r="H1045" s="1313"/>
      <c r="I1045" s="865">
        <f>ROUND(I1044,0)</f>
        <v>8480</v>
      </c>
    </row>
    <row r="1046" spans="1:9" s="559" customFormat="1" ht="14.65" customHeight="1">
      <c r="A1046" s="845"/>
      <c r="B1046" s="399"/>
      <c r="C1046" s="417"/>
      <c r="D1046" s="835"/>
      <c r="E1046" s="435"/>
      <c r="F1046" s="835"/>
      <c r="G1046" s="435"/>
      <c r="H1046" s="399"/>
      <c r="I1046" s="865"/>
    </row>
    <row r="1047" spans="1:9" s="559" customFormat="1" ht="91.9" customHeight="1">
      <c r="A1047" s="1332">
        <f>A960+1</f>
        <v>10</v>
      </c>
      <c r="B1047" s="1332"/>
      <c r="C1047" s="1276" t="s">
        <v>2189</v>
      </c>
      <c r="D1047" s="1276"/>
      <c r="E1047" s="1276"/>
      <c r="F1047" s="1276"/>
      <c r="G1047" s="1276"/>
      <c r="H1047" s="1276"/>
      <c r="I1047" s="427"/>
    </row>
    <row r="1048" spans="1:9" s="559" customFormat="1" ht="72" customHeight="1">
      <c r="A1048" s="845"/>
      <c r="B1048" s="399" t="s">
        <v>565</v>
      </c>
      <c r="C1048" s="1276" t="s">
        <v>2190</v>
      </c>
      <c r="D1048" s="1276"/>
      <c r="E1048" s="1276"/>
      <c r="F1048" s="1276"/>
      <c r="G1048" s="1276"/>
      <c r="H1048" s="1276"/>
      <c r="I1048" s="427"/>
    </row>
    <row r="1049" spans="1:9" s="559" customFormat="1" ht="18" customHeight="1">
      <c r="A1049" s="845"/>
      <c r="B1049" s="399"/>
      <c r="C1049" s="455" t="s">
        <v>2191</v>
      </c>
      <c r="D1049" s="835">
        <v>1</v>
      </c>
      <c r="E1049" s="435" t="s">
        <v>62</v>
      </c>
      <c r="F1049" s="835">
        <f>'[161]Civil-SOR'!$G$137</f>
        <v>7978</v>
      </c>
      <c r="G1049" s="435">
        <v>1</v>
      </c>
      <c r="H1049" s="435" t="s">
        <v>62</v>
      </c>
      <c r="I1049" s="836">
        <f t="shared" ref="I1049:I1050" si="56">IF(G1049="",D1049*F1049,(D1049*F1049/G1049))</f>
        <v>7978</v>
      </c>
    </row>
    <row r="1050" spans="1:9" s="559" customFormat="1" ht="17.5" customHeight="1">
      <c r="A1050" s="845"/>
      <c r="B1050" s="399"/>
      <c r="C1050" s="417" t="str">
        <f>[161]Input!$C$48</f>
        <v>Overheads &amp; Contractors Profit @ 13.615%</v>
      </c>
      <c r="D1050" s="857">
        <f>[161]Input!$D$48</f>
        <v>0.13614999999999999</v>
      </c>
      <c r="E1050" s="435"/>
      <c r="F1050" s="835">
        <f>I1049</f>
        <v>7978</v>
      </c>
      <c r="G1050" s="435"/>
      <c r="H1050" s="435"/>
      <c r="I1050" s="836">
        <f t="shared" si="56"/>
        <v>1086.2047</v>
      </c>
    </row>
    <row r="1051" spans="1:9" ht="22.15" customHeight="1">
      <c r="A1051" s="399"/>
      <c r="B1051" s="399"/>
      <c r="C1051" s="481" t="s">
        <v>1585</v>
      </c>
      <c r="D1051" s="871"/>
      <c r="E1051" s="846"/>
      <c r="F1051" s="871"/>
      <c r="G1051" s="1313" t="s">
        <v>687</v>
      </c>
      <c r="H1051" s="1313"/>
      <c r="I1051" s="422">
        <f>ROUND(SUM(I1049:I1050),0)</f>
        <v>9064</v>
      </c>
    </row>
    <row r="1052" spans="1:9" s="559" customFormat="1" ht="15.75" customHeight="1">
      <c r="A1052" s="845"/>
      <c r="B1052" s="870"/>
      <c r="C1052" s="435"/>
      <c r="D1052" s="435"/>
      <c r="E1052" s="435"/>
      <c r="F1052" s="435"/>
      <c r="G1052" s="435"/>
      <c r="H1052" s="435"/>
      <c r="I1052" s="845"/>
    </row>
    <row r="1053" spans="1:9" s="559" customFormat="1" ht="69" customHeight="1">
      <c r="A1053" s="845"/>
      <c r="B1053" s="399" t="s">
        <v>565</v>
      </c>
      <c r="C1053" s="1276" t="s">
        <v>2192</v>
      </c>
      <c r="D1053" s="1276"/>
      <c r="E1053" s="1276"/>
      <c r="F1053" s="1276"/>
      <c r="G1053" s="1276"/>
      <c r="H1053" s="1276"/>
      <c r="I1053" s="427"/>
    </row>
    <row r="1054" spans="1:9" s="559" customFormat="1" ht="15" customHeight="1">
      <c r="A1054" s="845"/>
      <c r="B1054" s="399"/>
      <c r="C1054" s="455" t="s">
        <v>2193</v>
      </c>
      <c r="D1054" s="835">
        <v>1</v>
      </c>
      <c r="E1054" s="435" t="s">
        <v>62</v>
      </c>
      <c r="F1054" s="835">
        <f>'[161]Civil-SOR'!$G$138</f>
        <v>5457</v>
      </c>
      <c r="G1054" s="435">
        <v>1</v>
      </c>
      <c r="H1054" s="435" t="s">
        <v>62</v>
      </c>
      <c r="I1054" s="836">
        <f t="shared" ref="I1054:I1055" si="57">IF(G1054="",D1054*F1054,(D1054*F1054/G1054))</f>
        <v>5457</v>
      </c>
    </row>
    <row r="1055" spans="1:9" s="559" customFormat="1" ht="12.75" customHeight="1">
      <c r="A1055" s="845"/>
      <c r="B1055" s="399"/>
      <c r="C1055" s="417" t="str">
        <f>[161]Input!$C$48</f>
        <v>Overheads &amp; Contractors Profit @ 13.615%</v>
      </c>
      <c r="D1055" s="857">
        <f>[161]Input!$D$48</f>
        <v>0.13614999999999999</v>
      </c>
      <c r="E1055" s="435"/>
      <c r="F1055" s="835">
        <f>I1054</f>
        <v>5457</v>
      </c>
      <c r="G1055" s="435"/>
      <c r="H1055" s="435"/>
      <c r="I1055" s="836">
        <f t="shared" si="57"/>
        <v>742.97055</v>
      </c>
    </row>
    <row r="1056" spans="1:9" s="559" customFormat="1" ht="12.75" customHeight="1">
      <c r="A1056" s="845"/>
      <c r="B1056" s="399"/>
      <c r="C1056" s="427" t="s">
        <v>1585</v>
      </c>
      <c r="D1056" s="835"/>
      <c r="E1056" s="435"/>
      <c r="F1056" s="835"/>
      <c r="G1056" s="435"/>
      <c r="H1056" s="435"/>
      <c r="I1056" s="838">
        <f>SUM(I1054:I1055)</f>
        <v>6199.97055</v>
      </c>
    </row>
    <row r="1057" spans="1:11" s="559" customFormat="1" ht="16" customHeight="1">
      <c r="A1057" s="845"/>
      <c r="B1057" s="399"/>
      <c r="C1057" s="417"/>
      <c r="D1057" s="835"/>
      <c r="E1057" s="435"/>
      <c r="F1057" s="835"/>
      <c r="G1057" s="435"/>
      <c r="H1057" s="473" t="s">
        <v>774</v>
      </c>
      <c r="I1057" s="469">
        <f>ROUND(I1056,0)</f>
        <v>6200</v>
      </c>
    </row>
    <row r="1058" spans="1:11" s="559" customFormat="1" ht="8.5" customHeight="1">
      <c r="A1058" s="845"/>
      <c r="B1058" s="399"/>
      <c r="C1058" s="417"/>
      <c r="D1058" s="835"/>
      <c r="E1058" s="435"/>
      <c r="F1058" s="835"/>
      <c r="G1058" s="435"/>
      <c r="H1058" s="435"/>
      <c r="I1058" s="838"/>
    </row>
    <row r="1059" spans="1:11" s="559" customFormat="1" ht="171" customHeight="1">
      <c r="A1059" s="1332">
        <f>A1047+1</f>
        <v>11</v>
      </c>
      <c r="B1059" s="1332"/>
      <c r="C1059" s="1276" t="s">
        <v>2194</v>
      </c>
      <c r="D1059" s="1276"/>
      <c r="E1059" s="1276"/>
      <c r="F1059" s="1276"/>
      <c r="G1059" s="1276"/>
      <c r="H1059" s="1276"/>
      <c r="I1059" s="469"/>
    </row>
    <row r="1060" spans="1:11" s="559" customFormat="1" ht="16" customHeight="1">
      <c r="A1060" s="845"/>
      <c r="B1060" s="399"/>
      <c r="C1060" s="417" t="s">
        <v>2195</v>
      </c>
      <c r="D1060" s="835">
        <v>1</v>
      </c>
      <c r="E1060" s="435" t="s">
        <v>62</v>
      </c>
      <c r="F1060" s="835">
        <f>'[161]Civil-SOR'!$G$133</f>
        <v>6818</v>
      </c>
      <c r="G1060" s="835">
        <v>1</v>
      </c>
      <c r="H1060" s="435" t="s">
        <v>62</v>
      </c>
      <c r="I1060" s="836">
        <f t="shared" ref="I1060:I1061" si="58">IF(G1060="",D1060*F1060,(D1060*F1060/G1060))</f>
        <v>6818</v>
      </c>
    </row>
    <row r="1061" spans="1:11" s="559" customFormat="1" ht="12.75" customHeight="1">
      <c r="A1061" s="845"/>
      <c r="B1061" s="399"/>
      <c r="C1061" s="417" t="str">
        <f>[161]Input!$C$48</f>
        <v>Overheads &amp; Contractors Profit @ 13.615%</v>
      </c>
      <c r="D1061" s="857">
        <f>[161]Input!$D$48</f>
        <v>0.13614999999999999</v>
      </c>
      <c r="E1061" s="435"/>
      <c r="F1061" s="835">
        <f>I1060</f>
        <v>6818</v>
      </c>
      <c r="G1061" s="835"/>
      <c r="H1061" s="435"/>
      <c r="I1061" s="836">
        <f t="shared" si="58"/>
        <v>928.27069999999992</v>
      </c>
    </row>
    <row r="1062" spans="1:11" s="559" customFormat="1" ht="16" customHeight="1">
      <c r="A1062" s="845"/>
      <c r="B1062" s="399"/>
      <c r="C1062" s="427" t="s">
        <v>1585</v>
      </c>
      <c r="D1062" s="835"/>
      <c r="E1062" s="435"/>
      <c r="F1062" s="835"/>
      <c r="G1062" s="835"/>
      <c r="H1062" s="435"/>
      <c r="I1062" s="838">
        <f>SUM(I1060:I1061)</f>
        <v>7746.2707</v>
      </c>
    </row>
    <row r="1063" spans="1:11" s="559" customFormat="1" ht="15" customHeight="1">
      <c r="A1063" s="845"/>
      <c r="B1063" s="399"/>
      <c r="C1063" s="417"/>
      <c r="D1063" s="835"/>
      <c r="E1063" s="435"/>
      <c r="F1063" s="835"/>
      <c r="G1063" s="1313" t="s">
        <v>687</v>
      </c>
      <c r="H1063" s="1313"/>
      <c r="I1063" s="865">
        <f>ROUND(I1062,0)</f>
        <v>7746</v>
      </c>
    </row>
    <row r="1064" spans="1:11" s="559" customFormat="1" ht="10.15" customHeight="1">
      <c r="A1064" s="845"/>
      <c r="B1064" s="870"/>
      <c r="C1064" s="417"/>
      <c r="D1064" s="835"/>
      <c r="E1064" s="435"/>
      <c r="F1064" s="835"/>
      <c r="G1064" s="435"/>
      <c r="H1064" s="435"/>
      <c r="I1064" s="838"/>
    </row>
    <row r="1065" spans="1:11" s="559" customFormat="1" ht="198.65" customHeight="1">
      <c r="A1065" s="1350">
        <v>3</v>
      </c>
      <c r="B1065" s="1350"/>
      <c r="C1065" s="1276" t="s">
        <v>2196</v>
      </c>
      <c r="D1065" s="1276"/>
      <c r="E1065" s="1276"/>
      <c r="F1065" s="1276"/>
      <c r="G1065" s="1276"/>
      <c r="H1065" s="1276"/>
      <c r="I1065" s="427"/>
    </row>
    <row r="1066" spans="1:11" s="559" customFormat="1" ht="16.149999999999999" customHeight="1">
      <c r="A1066" s="845"/>
      <c r="B1066" s="399"/>
      <c r="C1066" s="417" t="s">
        <v>2197</v>
      </c>
      <c r="D1066" s="835">
        <v>1</v>
      </c>
      <c r="E1066" s="435" t="s">
        <v>62</v>
      </c>
      <c r="F1066" s="835">
        <f>'[161]Civil-SOR'!$G$134</f>
        <v>7119</v>
      </c>
      <c r="G1066" s="835">
        <v>1</v>
      </c>
      <c r="H1066" s="435" t="s">
        <v>62</v>
      </c>
      <c r="I1066" s="836">
        <f t="shared" ref="I1066:I1067" si="59">IF(G1066="",D1066*F1066,(D1066*F1066/G1066))</f>
        <v>7119</v>
      </c>
    </row>
    <row r="1067" spans="1:11" s="559" customFormat="1" ht="16.149999999999999" customHeight="1">
      <c r="A1067" s="845"/>
      <c r="B1067" s="399"/>
      <c r="C1067" s="417" t="str">
        <f>[161]Input!$C$48</f>
        <v>Overheads &amp; Contractors Profit @ 13.615%</v>
      </c>
      <c r="D1067" s="857">
        <f>[161]Input!$D$48</f>
        <v>0.13614999999999999</v>
      </c>
      <c r="E1067" s="435"/>
      <c r="F1067" s="835">
        <f>I1066</f>
        <v>7119</v>
      </c>
      <c r="G1067" s="835"/>
      <c r="H1067" s="435"/>
      <c r="I1067" s="836">
        <f t="shared" si="59"/>
        <v>969.25184999999999</v>
      </c>
    </row>
    <row r="1068" spans="1:11" s="559" customFormat="1" ht="16.149999999999999" customHeight="1">
      <c r="A1068" s="845"/>
      <c r="B1068" s="399"/>
      <c r="C1068" s="427" t="s">
        <v>1585</v>
      </c>
      <c r="D1068" s="835"/>
      <c r="E1068" s="435"/>
      <c r="F1068" s="835"/>
      <c r="G1068" s="835"/>
      <c r="H1068" s="435"/>
      <c r="I1068" s="838">
        <f>SUM(I1066:I1067)</f>
        <v>8088.2518499999996</v>
      </c>
    </row>
    <row r="1069" spans="1:11" s="559" customFormat="1" ht="16.149999999999999" customHeight="1">
      <c r="A1069" s="845"/>
      <c r="B1069" s="399"/>
      <c r="C1069" s="417"/>
      <c r="D1069" s="835"/>
      <c r="E1069" s="435"/>
      <c r="F1069" s="835"/>
      <c r="G1069" s="435"/>
      <c r="H1069" s="399" t="s">
        <v>774</v>
      </c>
      <c r="I1069" s="865">
        <f>ROUND(I1068,0)</f>
        <v>8088</v>
      </c>
    </row>
    <row r="1070" spans="1:11" s="559" customFormat="1" ht="6" customHeight="1">
      <c r="A1070" s="872"/>
      <c r="B1070" s="873"/>
      <c r="C1070" s="874"/>
      <c r="D1070" s="875"/>
      <c r="E1070" s="875"/>
      <c r="F1070" s="875"/>
      <c r="G1070" s="875"/>
      <c r="H1070" s="875"/>
      <c r="I1070" s="872"/>
    </row>
    <row r="1071" spans="1:11" s="559" customFormat="1" ht="209.5" customHeight="1">
      <c r="A1071" s="1347">
        <f>A1065+1</f>
        <v>4</v>
      </c>
      <c r="B1071" s="1347"/>
      <c r="C1071" s="1348" t="s">
        <v>2198</v>
      </c>
      <c r="D1071" s="1348"/>
      <c r="E1071" s="1348"/>
      <c r="F1071" s="1348"/>
      <c r="G1071" s="1348"/>
      <c r="H1071" s="1348"/>
      <c r="I1071" s="877"/>
      <c r="K1071" s="405" t="s">
        <v>2199</v>
      </c>
    </row>
    <row r="1072" spans="1:11" s="559" customFormat="1" ht="16" customHeight="1">
      <c r="A1072" s="876"/>
      <c r="B1072" s="876"/>
      <c r="C1072" s="878" t="s">
        <v>2200</v>
      </c>
      <c r="D1072" s="878">
        <v>1</v>
      </c>
      <c r="E1072" s="878" t="s">
        <v>62</v>
      </c>
      <c r="F1072" s="879">
        <f>'[161]Civil-SOR'!$G$131</f>
        <v>7521</v>
      </c>
      <c r="G1072" s="878">
        <v>1</v>
      </c>
      <c r="H1072" s="878" t="s">
        <v>62</v>
      </c>
      <c r="I1072" s="878">
        <f t="shared" ref="I1072:I1073" si="60">IF(G1072="",D1072*F1072,(D1072*F1072/G1072))</f>
        <v>7521</v>
      </c>
    </row>
    <row r="1073" spans="1:9" s="559" customFormat="1" ht="12.75" customHeight="1">
      <c r="A1073" s="876"/>
      <c r="B1073" s="876"/>
      <c r="C1073" s="878" t="str">
        <f>[161]Input!$C$48</f>
        <v>Overheads &amp; Contractors Profit @ 13.615%</v>
      </c>
      <c r="D1073" s="878">
        <f>[161]Input!$D$48</f>
        <v>0.13614999999999999</v>
      </c>
      <c r="E1073" s="878"/>
      <c r="F1073" s="879">
        <f>I1072</f>
        <v>7521</v>
      </c>
      <c r="G1073" s="878"/>
      <c r="H1073" s="878"/>
      <c r="I1073" s="878">
        <f t="shared" si="60"/>
        <v>1023.98415</v>
      </c>
    </row>
    <row r="1074" spans="1:9" s="559" customFormat="1" ht="15.75" customHeight="1">
      <c r="A1074" s="876"/>
      <c r="B1074" s="876"/>
      <c r="C1074" s="878" t="s">
        <v>1585</v>
      </c>
      <c r="D1074" s="878"/>
      <c r="E1074" s="878"/>
      <c r="F1074" s="879"/>
      <c r="G1074" s="878"/>
      <c r="H1074" s="878"/>
      <c r="I1074" s="878">
        <f>SUM(I1072:I1073)</f>
        <v>8544.9841500000002</v>
      </c>
    </row>
    <row r="1075" spans="1:9" s="559" customFormat="1" ht="13.5" customHeight="1">
      <c r="A1075" s="876"/>
      <c r="B1075" s="876"/>
      <c r="C1075" s="878"/>
      <c r="D1075" s="878"/>
      <c r="E1075" s="878"/>
      <c r="F1075" s="878"/>
      <c r="G1075" s="1349" t="s">
        <v>687</v>
      </c>
      <c r="H1075" s="1349"/>
      <c r="I1075" s="878">
        <f>ROUND(I1074,0)</f>
        <v>8545</v>
      </c>
    </row>
    <row r="1076" spans="1:9" s="559" customFormat="1" ht="15.75" customHeight="1">
      <c r="A1076" s="876"/>
      <c r="B1076" s="876"/>
      <c r="C1076" s="878"/>
      <c r="D1076" s="878"/>
      <c r="E1076" s="878"/>
      <c r="F1076" s="878"/>
      <c r="G1076" s="878"/>
      <c r="H1076" s="878"/>
      <c r="I1076" s="878"/>
    </row>
    <row r="1077" spans="1:9" s="559" customFormat="1" ht="140.5" customHeight="1">
      <c r="A1077" s="1344">
        <f>1+A1065</f>
        <v>4</v>
      </c>
      <c r="B1077" s="1344"/>
      <c r="C1077" s="1345" t="s">
        <v>2201</v>
      </c>
      <c r="D1077" s="1345"/>
      <c r="E1077" s="1345"/>
      <c r="F1077" s="1345"/>
      <c r="G1077" s="1345"/>
      <c r="H1077" s="1345"/>
      <c r="I1077" s="497"/>
    </row>
    <row r="1078" spans="1:9" s="559" customFormat="1" ht="16" customHeight="1">
      <c r="A1078" s="568"/>
      <c r="B1078" s="881"/>
      <c r="C1078" s="882" t="s">
        <v>2202</v>
      </c>
      <c r="D1078" s="883">
        <v>1</v>
      </c>
      <c r="E1078" s="562" t="s">
        <v>62</v>
      </c>
      <c r="F1078" s="883">
        <f>'[161]Civil-SOR'!$G$140</f>
        <v>6407</v>
      </c>
      <c r="G1078" s="883">
        <v>1</v>
      </c>
      <c r="H1078" s="562" t="s">
        <v>62</v>
      </c>
      <c r="I1078" s="566">
        <f t="shared" ref="I1078:I1079" si="61">IF(G1078="",D1078*F1078,(D1078*F1078/G1078))</f>
        <v>6407</v>
      </c>
    </row>
    <row r="1079" spans="1:9" s="559" customFormat="1" ht="16" customHeight="1">
      <c r="A1079" s="568"/>
      <c r="B1079" s="881"/>
      <c r="C1079" s="882" t="str">
        <f>[161]Input!$C$48</f>
        <v>Overheads &amp; Contractors Profit @ 13.615%</v>
      </c>
      <c r="D1079" s="884">
        <f>[161]Input!$D$48</f>
        <v>0.13614999999999999</v>
      </c>
      <c r="E1079" s="562"/>
      <c r="F1079" s="883">
        <f>I1078</f>
        <v>6407</v>
      </c>
      <c r="G1079" s="883"/>
      <c r="H1079" s="562"/>
      <c r="I1079" s="566">
        <f t="shared" si="61"/>
        <v>872.31304999999998</v>
      </c>
    </row>
    <row r="1080" spans="1:9" s="559" customFormat="1" ht="16" customHeight="1">
      <c r="A1080" s="568"/>
      <c r="B1080" s="881"/>
      <c r="C1080" s="880" t="s">
        <v>1585</v>
      </c>
      <c r="D1080" s="883"/>
      <c r="E1080" s="562"/>
      <c r="F1080" s="883"/>
      <c r="G1080" s="883"/>
      <c r="H1080" s="562"/>
      <c r="I1080" s="567">
        <f>SUM(I1078:I1079)</f>
        <v>7279.3130499999997</v>
      </c>
    </row>
    <row r="1081" spans="1:9" s="559" customFormat="1" ht="16" customHeight="1">
      <c r="A1081" s="568"/>
      <c r="B1081" s="881"/>
      <c r="C1081" s="882"/>
      <c r="D1081" s="883"/>
      <c r="E1081" s="562"/>
      <c r="F1081" s="883"/>
      <c r="G1081" s="562"/>
      <c r="H1081" s="881" t="s">
        <v>774</v>
      </c>
      <c r="I1081" s="885">
        <f>ROUND(I1080,0)</f>
        <v>7279</v>
      </c>
    </row>
    <row r="1082" spans="1:9" s="559" customFormat="1" ht="15.75" customHeight="1">
      <c r="A1082" s="886"/>
      <c r="B1082" s="887"/>
      <c r="C1082" s="878"/>
      <c r="D1082" s="888"/>
      <c r="E1082" s="888"/>
      <c r="F1082" s="888"/>
      <c r="G1082" s="888"/>
      <c r="H1082" s="888"/>
      <c r="I1082" s="886"/>
    </row>
    <row r="1083" spans="1:9" s="559" customFormat="1" ht="172.15" customHeight="1">
      <c r="A1083" s="1347">
        <f>A1077+1</f>
        <v>5</v>
      </c>
      <c r="B1083" s="1347"/>
      <c r="C1083" s="1348" t="s">
        <v>2203</v>
      </c>
      <c r="D1083" s="1348"/>
      <c r="E1083" s="1348"/>
      <c r="F1083" s="1348"/>
      <c r="G1083" s="1348"/>
      <c r="H1083" s="1348"/>
      <c r="I1083" s="877"/>
    </row>
    <row r="1084" spans="1:9" s="559" customFormat="1" ht="18.649999999999999" customHeight="1">
      <c r="A1084" s="886"/>
      <c r="B1084" s="887"/>
      <c r="C1084" s="888" t="s">
        <v>2204</v>
      </c>
      <c r="D1084" s="889">
        <v>1</v>
      </c>
      <c r="E1084" s="890" t="s">
        <v>62</v>
      </c>
      <c r="F1084" s="889">
        <f>'[161]Civil-SOR'!$G$141</f>
        <v>9014</v>
      </c>
      <c r="G1084" s="889">
        <v>1</v>
      </c>
      <c r="H1084" s="890" t="s">
        <v>62</v>
      </c>
      <c r="I1084" s="891">
        <f t="shared" ref="I1084:I1085" si="62">IF(G1084="",D1084*F1084,(D1084*F1084/G1084))</f>
        <v>9014</v>
      </c>
    </row>
    <row r="1085" spans="1:9" s="559" customFormat="1" ht="18.649999999999999" customHeight="1">
      <c r="A1085" s="886"/>
      <c r="B1085" s="887"/>
      <c r="C1085" s="888" t="str">
        <f>[161]Input!$C$48</f>
        <v>Overheads &amp; Contractors Profit @ 13.615%</v>
      </c>
      <c r="D1085" s="892">
        <f>[161]Input!$D$48</f>
        <v>0.13614999999999999</v>
      </c>
      <c r="E1085" s="890"/>
      <c r="F1085" s="889">
        <f>I1084</f>
        <v>9014</v>
      </c>
      <c r="G1085" s="889"/>
      <c r="H1085" s="890"/>
      <c r="I1085" s="891">
        <f t="shared" si="62"/>
        <v>1227.2560999999998</v>
      </c>
    </row>
    <row r="1086" spans="1:9" s="559" customFormat="1" ht="18.649999999999999" customHeight="1">
      <c r="A1086" s="886"/>
      <c r="B1086" s="887"/>
      <c r="C1086" s="877" t="s">
        <v>1585</v>
      </c>
      <c r="D1086" s="889"/>
      <c r="E1086" s="890"/>
      <c r="F1086" s="889"/>
      <c r="G1086" s="889"/>
      <c r="H1086" s="890"/>
      <c r="I1086" s="893">
        <f>SUM(I1084:I1085)</f>
        <v>10241.256100000001</v>
      </c>
    </row>
    <row r="1087" spans="1:9" s="560" customFormat="1" ht="22.9" customHeight="1">
      <c r="A1087" s="886"/>
      <c r="B1087" s="876"/>
      <c r="C1087" s="894"/>
      <c r="D1087" s="895"/>
      <c r="E1087" s="896"/>
      <c r="F1087" s="895"/>
      <c r="G1087" s="1349" t="s">
        <v>687</v>
      </c>
      <c r="H1087" s="1349"/>
      <c r="I1087" s="897">
        <f>ROUND(I1086,0)</f>
        <v>10241</v>
      </c>
    </row>
    <row r="1088" spans="1:9" s="559" customFormat="1" ht="14.65" customHeight="1">
      <c r="A1088" s="886"/>
      <c r="B1088" s="887"/>
      <c r="C1088" s="888"/>
      <c r="D1088" s="889"/>
      <c r="E1088" s="890"/>
      <c r="F1088" s="889"/>
      <c r="G1088" s="890"/>
      <c r="H1088" s="887"/>
      <c r="I1088" s="898"/>
    </row>
    <row r="1089" spans="1:9" s="559" customFormat="1" ht="14.65" customHeight="1">
      <c r="A1089" s="886"/>
      <c r="B1089" s="887"/>
      <c r="C1089" s="888"/>
      <c r="D1089" s="889"/>
      <c r="E1089" s="890"/>
      <c r="F1089" s="889"/>
      <c r="G1089" s="890"/>
      <c r="H1089" s="887"/>
      <c r="I1089" s="898"/>
    </row>
    <row r="1090" spans="1:9" s="559" customFormat="1" ht="60.65" customHeight="1">
      <c r="A1090" s="1347">
        <f>A1083+1</f>
        <v>6</v>
      </c>
      <c r="B1090" s="1347"/>
      <c r="C1090" s="1348" t="s">
        <v>2205</v>
      </c>
      <c r="D1090" s="1348"/>
      <c r="E1090" s="1348"/>
      <c r="F1090" s="1348"/>
      <c r="G1090" s="1348"/>
      <c r="H1090" s="1348"/>
      <c r="I1090" s="877"/>
    </row>
    <row r="1091" spans="1:9" s="559" customFormat="1" ht="15.65" customHeight="1">
      <c r="A1091" s="886"/>
      <c r="B1091" s="887"/>
      <c r="C1091" s="888" t="s">
        <v>2206</v>
      </c>
      <c r="D1091" s="889">
        <v>1</v>
      </c>
      <c r="E1091" s="890" t="s">
        <v>62</v>
      </c>
      <c r="F1091" s="889">
        <f>'[161]Civil-SOR'!$G$192</f>
        <v>1145</v>
      </c>
      <c r="G1091" s="889">
        <v>1</v>
      </c>
      <c r="H1091" s="890" t="s">
        <v>62</v>
      </c>
      <c r="I1091" s="891">
        <f t="shared" ref="I1091:I1092" si="63">IF(G1091="",D1091*F1091,(D1091*F1091/G1091))</f>
        <v>1145</v>
      </c>
    </row>
    <row r="1092" spans="1:9" s="559" customFormat="1" ht="15.65" customHeight="1">
      <c r="A1092" s="886"/>
      <c r="B1092" s="887"/>
      <c r="C1092" s="888" t="str">
        <f>[161]Input!$C$48</f>
        <v>Overheads &amp; Contractors Profit @ 13.615%</v>
      </c>
      <c r="D1092" s="889">
        <f>[161]Input!$D$48</f>
        <v>0.13614999999999999</v>
      </c>
      <c r="E1092" s="890"/>
      <c r="F1092" s="889">
        <f>I1091</f>
        <v>1145</v>
      </c>
      <c r="G1092" s="889"/>
      <c r="H1092" s="890"/>
      <c r="I1092" s="891">
        <f t="shared" si="63"/>
        <v>155.89175</v>
      </c>
    </row>
    <row r="1093" spans="1:9" s="559" customFormat="1" ht="15.65" customHeight="1">
      <c r="A1093" s="886"/>
      <c r="B1093" s="887"/>
      <c r="C1093" s="877" t="s">
        <v>1585</v>
      </c>
      <c r="D1093" s="889"/>
      <c r="E1093" s="890"/>
      <c r="F1093" s="889"/>
      <c r="G1093" s="889"/>
      <c r="H1093" s="890"/>
      <c r="I1093" s="893">
        <f>SUM(I1091:I1092)</f>
        <v>1300.89175</v>
      </c>
    </row>
    <row r="1094" spans="1:9" s="559" customFormat="1" ht="16" customHeight="1">
      <c r="A1094" s="886"/>
      <c r="B1094" s="887"/>
      <c r="C1094" s="888"/>
      <c r="D1094" s="889"/>
      <c r="E1094" s="890"/>
      <c r="F1094" s="889"/>
      <c r="G1094" s="890"/>
      <c r="H1094" s="887" t="s">
        <v>774</v>
      </c>
      <c r="I1094" s="898">
        <f>ROUND(I1093,0)</f>
        <v>1301</v>
      </c>
    </row>
    <row r="1095" spans="1:9" s="559" customFormat="1" ht="26.5" customHeight="1">
      <c r="A1095" s="886"/>
      <c r="B1095" s="887"/>
      <c r="C1095" s="888"/>
      <c r="D1095" s="889"/>
      <c r="E1095" s="890"/>
      <c r="F1095" s="889"/>
      <c r="G1095" s="890"/>
      <c r="H1095" s="887"/>
      <c r="I1095" s="898"/>
    </row>
    <row r="1096" spans="1:9" s="559" customFormat="1" ht="102" customHeight="1">
      <c r="A1096" s="1344">
        <f>1+A1077</f>
        <v>5</v>
      </c>
      <c r="B1096" s="1344"/>
      <c r="C1096" s="1345" t="s">
        <v>2207</v>
      </c>
      <c r="D1096" s="1345"/>
      <c r="E1096" s="1345"/>
      <c r="F1096" s="1345"/>
      <c r="G1096" s="1345"/>
      <c r="H1096" s="1345"/>
      <c r="I1096" s="880"/>
    </row>
    <row r="1097" spans="1:9" s="559" customFormat="1" ht="28" customHeight="1">
      <c r="A1097" s="568"/>
      <c r="B1097" s="881"/>
      <c r="C1097" s="880" t="s">
        <v>2208</v>
      </c>
      <c r="D1097" s="497">
        <f>1.8*1.4</f>
        <v>2.52</v>
      </c>
      <c r="E1097" s="899" t="s">
        <v>62</v>
      </c>
      <c r="F1097" s="497"/>
      <c r="G1097" s="497"/>
      <c r="H1097" s="497"/>
      <c r="I1097" s="566"/>
    </row>
    <row r="1098" spans="1:9" s="559" customFormat="1" ht="16" customHeight="1">
      <c r="A1098" s="568"/>
      <c r="B1098" s="881"/>
      <c r="C1098" s="880" t="s">
        <v>2209</v>
      </c>
      <c r="D1098" s="497"/>
      <c r="E1098" s="899"/>
      <c r="F1098" s="497"/>
      <c r="G1098" s="497"/>
      <c r="H1098" s="497"/>
      <c r="I1098" s="566"/>
    </row>
    <row r="1099" spans="1:9" s="559" customFormat="1" ht="19.899999999999999" customHeight="1">
      <c r="A1099" s="568"/>
      <c r="B1099" s="881"/>
      <c r="C1099" s="882" t="s">
        <v>2210</v>
      </c>
      <c r="D1099" s="1346" t="s">
        <v>2211</v>
      </c>
      <c r="E1099" s="1346"/>
      <c r="F1099" s="1346"/>
      <c r="G1099" s="562"/>
      <c r="H1099" s="883">
        <f>2*(1.8+1.4)</f>
        <v>6.4</v>
      </c>
      <c r="I1099" s="562" t="s">
        <v>1052</v>
      </c>
    </row>
    <row r="1100" spans="1:9" s="559" customFormat="1" ht="21" customHeight="1">
      <c r="A1100" s="568"/>
      <c r="B1100" s="881"/>
      <c r="C1100" s="882"/>
      <c r="D1100" s="1346" t="s">
        <v>2212</v>
      </c>
      <c r="E1100" s="1346"/>
      <c r="F1100" s="1346"/>
      <c r="G1100" s="562"/>
      <c r="H1100" s="900">
        <f>6.4*1.8</f>
        <v>11.520000000000001</v>
      </c>
      <c r="I1100" s="901" t="s">
        <v>833</v>
      </c>
    </row>
    <row r="1101" spans="1:9" s="559" customFormat="1" ht="16" customHeight="1">
      <c r="A1101" s="568"/>
      <c r="B1101" s="881"/>
      <c r="C1101" s="902" t="s">
        <v>2213</v>
      </c>
      <c r="D1101" s="562"/>
      <c r="E1101" s="562"/>
      <c r="F1101" s="883"/>
      <c r="G1101" s="562"/>
      <c r="H1101" s="562"/>
      <c r="I1101" s="568"/>
    </row>
    <row r="1102" spans="1:9" s="559" customFormat="1" ht="13.9" customHeight="1">
      <c r="A1102" s="568"/>
      <c r="B1102" s="881"/>
      <c r="C1102" s="497" t="s">
        <v>2214</v>
      </c>
      <c r="D1102" s="1346" t="s">
        <v>2215</v>
      </c>
      <c r="E1102" s="1346"/>
      <c r="F1102" s="497">
        <f>17*1.4</f>
        <v>23.799999999999997</v>
      </c>
      <c r="G1102" s="562"/>
      <c r="H1102" s="562"/>
      <c r="I1102" s="568"/>
    </row>
    <row r="1103" spans="1:9" s="559" customFormat="1" ht="13.9" customHeight="1">
      <c r="A1103" s="568"/>
      <c r="B1103" s="881"/>
      <c r="C1103" s="497" t="s">
        <v>2216</v>
      </c>
      <c r="D1103" s="1346" t="s">
        <v>2217</v>
      </c>
      <c r="E1103" s="1346"/>
      <c r="F1103" s="497">
        <f>13*1.8</f>
        <v>23.400000000000002</v>
      </c>
      <c r="G1103" s="562"/>
      <c r="H1103" s="562"/>
      <c r="I1103" s="568"/>
    </row>
    <row r="1104" spans="1:9" s="559" customFormat="1" ht="16" customHeight="1">
      <c r="A1104" s="568"/>
      <c r="B1104" s="881"/>
      <c r="C1104" s="882"/>
      <c r="D1104" s="562"/>
      <c r="E1104" s="562"/>
      <c r="F1104" s="497">
        <f>SUM(F1102:F1103)</f>
        <v>47.2</v>
      </c>
      <c r="G1104" s="903" t="s">
        <v>1052</v>
      </c>
      <c r="H1104" s="497">
        <f>F1104*0.78</f>
        <v>36.816000000000003</v>
      </c>
      <c r="I1104" s="901" t="s">
        <v>833</v>
      </c>
    </row>
    <row r="1105" spans="1:9" s="559" customFormat="1" ht="16" customHeight="1">
      <c r="A1105" s="568"/>
      <c r="B1105" s="881"/>
      <c r="C1105" s="882"/>
      <c r="D1105" s="562"/>
      <c r="E1105" s="562"/>
      <c r="F1105" s="883"/>
      <c r="G1105" s="562"/>
      <c r="H1105" s="497">
        <f>SUM(H1100:H1104)</f>
        <v>48.336000000000006</v>
      </c>
      <c r="I1105" s="901" t="s">
        <v>833</v>
      </c>
    </row>
    <row r="1106" spans="1:9" s="559" customFormat="1" ht="16" customHeight="1">
      <c r="A1106" s="568"/>
      <c r="B1106" s="881"/>
      <c r="C1106" s="880" t="s">
        <v>1557</v>
      </c>
      <c r="D1106" s="562"/>
      <c r="E1106" s="562"/>
      <c r="F1106" s="883"/>
      <c r="G1106" s="562"/>
      <c r="H1106" s="900"/>
      <c r="I1106" s="497"/>
    </row>
    <row r="1107" spans="1:9" s="559" customFormat="1">
      <c r="A1107" s="568"/>
      <c r="B1107" s="881"/>
      <c r="C1107" s="882" t="s">
        <v>2218</v>
      </c>
      <c r="D1107" s="883">
        <f>H1104</f>
        <v>36.816000000000003</v>
      </c>
      <c r="E1107" s="904" t="s">
        <v>833</v>
      </c>
      <c r="F1107" s="883">
        <f>[161]LEAD!$N$10</f>
        <v>61000</v>
      </c>
      <c r="G1107" s="905">
        <v>1000</v>
      </c>
      <c r="H1107" s="904" t="s">
        <v>833</v>
      </c>
      <c r="I1107" s="566">
        <f t="shared" ref="I1107:I1112" si="64">IF(G1107="",D1107*F1107,(D1107*F1107/G1107))</f>
        <v>2245.7759999999998</v>
      </c>
    </row>
    <row r="1108" spans="1:9" s="559" customFormat="1">
      <c r="A1108" s="568"/>
      <c r="B1108" s="881"/>
      <c r="C1108" s="882" t="s">
        <v>2219</v>
      </c>
      <c r="D1108" s="906">
        <f>H1100</f>
        <v>11.520000000000001</v>
      </c>
      <c r="E1108" s="904" t="s">
        <v>833</v>
      </c>
      <c r="F1108" s="883">
        <f>[161]LEAD!$N$11</f>
        <v>62000</v>
      </c>
      <c r="G1108" s="905">
        <v>1000</v>
      </c>
      <c r="H1108" s="904" t="s">
        <v>833</v>
      </c>
      <c r="I1108" s="566">
        <f t="shared" si="64"/>
        <v>714.24000000000012</v>
      </c>
    </row>
    <row r="1109" spans="1:9" s="559" customFormat="1">
      <c r="A1109" s="568"/>
      <c r="B1109" s="881"/>
      <c r="C1109" s="497" t="s">
        <v>2220</v>
      </c>
      <c r="D1109" s="497">
        <v>4</v>
      </c>
      <c r="E1109" s="497" t="s">
        <v>375</v>
      </c>
      <c r="F1109" s="883">
        <f>'[161]Civil-SOR'!$G$385</f>
        <v>37</v>
      </c>
      <c r="G1109" s="497"/>
      <c r="H1109" s="497" t="s">
        <v>572</v>
      </c>
      <c r="I1109" s="907">
        <f t="shared" si="64"/>
        <v>148</v>
      </c>
    </row>
    <row r="1110" spans="1:9" s="559" customFormat="1" ht="25">
      <c r="A1110" s="568"/>
      <c r="B1110" s="881"/>
      <c r="C1110" s="882" t="s">
        <v>2221</v>
      </c>
      <c r="D1110" s="906">
        <f>H1105</f>
        <v>48.336000000000006</v>
      </c>
      <c r="E1110" s="904" t="s">
        <v>833</v>
      </c>
      <c r="F1110" s="497">
        <f>'[161]Civil-SOR'!$G$202</f>
        <v>37</v>
      </c>
      <c r="G1110" s="905">
        <v>1</v>
      </c>
      <c r="H1110" s="904" t="s">
        <v>312</v>
      </c>
      <c r="I1110" s="566">
        <f t="shared" si="64"/>
        <v>1788.4320000000002</v>
      </c>
    </row>
    <row r="1111" spans="1:9" s="559" customFormat="1" ht="25">
      <c r="A1111" s="568"/>
      <c r="B1111" s="881"/>
      <c r="C1111" s="882" t="s">
        <v>2222</v>
      </c>
      <c r="D1111" s="908">
        <f>H1105</f>
        <v>48.336000000000006</v>
      </c>
      <c r="E1111" s="904"/>
      <c r="F1111" s="497">
        <f>'[161]Civil-SOR'!$G$203</f>
        <v>6</v>
      </c>
      <c r="G1111" s="905"/>
      <c r="H1111" s="909"/>
      <c r="I1111" s="566">
        <f t="shared" si="64"/>
        <v>290.01600000000002</v>
      </c>
    </row>
    <row r="1112" spans="1:9" s="559" customFormat="1">
      <c r="A1112" s="568"/>
      <c r="B1112" s="881"/>
      <c r="C1112" s="882" t="str">
        <f>[161]Input!$C$47</f>
        <v>Add for MA @ 40%</v>
      </c>
      <c r="D1112" s="908">
        <f>[161]Input!$D$47</f>
        <v>0.4</v>
      </c>
      <c r="E1112" s="910"/>
      <c r="F1112" s="497">
        <f>I1110*40%+I1111</f>
        <v>1005.3888000000002</v>
      </c>
      <c r="G1112" s="911"/>
      <c r="H1112" s="902"/>
      <c r="I1112" s="566">
        <f t="shared" si="64"/>
        <v>402.15552000000008</v>
      </c>
    </row>
    <row r="1113" spans="1:9" s="559" customFormat="1" ht="17.5" customHeight="1">
      <c r="A1113" s="568"/>
      <c r="B1113" s="881"/>
      <c r="C1113" s="901" t="s">
        <v>2223</v>
      </c>
      <c r="D1113" s="912"/>
      <c r="E1113" s="910"/>
      <c r="F1113" s="497"/>
      <c r="G1113" s="905"/>
      <c r="H1113" s="497"/>
      <c r="I1113" s="913">
        <f>SUM(I1107:I1112)</f>
        <v>5588.6195200000002</v>
      </c>
    </row>
    <row r="1114" spans="1:9" s="559" customFormat="1" ht="13.15" customHeight="1">
      <c r="A1114" s="568"/>
      <c r="B1114" s="881"/>
      <c r="C1114" s="562"/>
      <c r="D1114" s="912"/>
      <c r="E1114" s="910"/>
      <c r="F1114" s="497"/>
      <c r="G1114" s="905"/>
      <c r="H1114" s="497"/>
      <c r="I1114" s="913">
        <f>I1113/2.52</f>
        <v>2217.7061587301587</v>
      </c>
    </row>
    <row r="1115" spans="1:9" s="559" customFormat="1" ht="13.9" customHeight="1">
      <c r="A1115" s="568"/>
      <c r="B1115" s="881"/>
      <c r="C1115" s="882" t="str">
        <f>[161]Input!$C$48</f>
        <v>Overheads &amp; Contractors Profit @ 13.615%</v>
      </c>
      <c r="D1115" s="914">
        <f>[161]Input!$D$48</f>
        <v>0.13614999999999999</v>
      </c>
      <c r="E1115" s="910"/>
      <c r="F1115" s="497">
        <f>I1114</f>
        <v>2217.7061587301587</v>
      </c>
      <c r="G1115" s="911"/>
      <c r="H1115" s="902"/>
      <c r="I1115" s="566">
        <f>IF(G1115="",D1115*F1115,(D1115*F1115/G1115))</f>
        <v>301.94069351111108</v>
      </c>
    </row>
    <row r="1116" spans="1:9" s="559" customFormat="1" ht="17.5" customHeight="1">
      <c r="A1116" s="568"/>
      <c r="B1116" s="881"/>
      <c r="C1116" s="562"/>
      <c r="D1116" s="912"/>
      <c r="E1116" s="910"/>
      <c r="F1116" s="497"/>
      <c r="G1116" s="905"/>
      <c r="H1116" s="497"/>
      <c r="I1116" s="913">
        <f>SUM(I1114:I1115)</f>
        <v>2519.6468522412697</v>
      </c>
    </row>
    <row r="1117" spans="1:9" s="559" customFormat="1" ht="17.5" customHeight="1">
      <c r="A1117" s="568"/>
      <c r="B1117" s="881"/>
      <c r="C1117" s="497" t="s">
        <v>845</v>
      </c>
      <c r="D1117" s="497"/>
      <c r="E1117" s="910"/>
      <c r="F1117" s="497"/>
      <c r="G1117" s="1341" t="s">
        <v>687</v>
      </c>
      <c r="H1117" s="1341"/>
      <c r="I1117" s="915">
        <f>ROUND(I1116,0)</f>
        <v>2520</v>
      </c>
    </row>
    <row r="1118" spans="1:9" s="559" customFormat="1" ht="9.65" customHeight="1">
      <c r="A1118" s="916"/>
      <c r="B1118" s="917"/>
      <c r="C1118" s="918"/>
      <c r="D1118" s="919"/>
      <c r="E1118" s="920"/>
      <c r="F1118" s="919"/>
      <c r="G1118" s="920"/>
      <c r="H1118" s="917"/>
      <c r="I1118" s="921"/>
    </row>
    <row r="1119" spans="1:9" s="559" customFormat="1" ht="198.65" customHeight="1">
      <c r="A1119" s="1330">
        <f>A1096+1</f>
        <v>6</v>
      </c>
      <c r="B1119" s="1330"/>
      <c r="C1119" s="1331" t="s">
        <v>2224</v>
      </c>
      <c r="D1119" s="1331"/>
      <c r="E1119" s="1331"/>
      <c r="F1119" s="1331"/>
      <c r="G1119" s="1331"/>
      <c r="H1119" s="1331"/>
      <c r="I1119" s="923"/>
    </row>
    <row r="1120" spans="1:9" s="559" customFormat="1" ht="19.899999999999999" customHeight="1">
      <c r="A1120" s="924"/>
      <c r="B1120" s="925"/>
      <c r="C1120" s="926" t="s">
        <v>2225</v>
      </c>
      <c r="D1120" s="927">
        <v>1</v>
      </c>
      <c r="E1120" s="928" t="s">
        <v>62</v>
      </c>
      <c r="F1120" s="927">
        <f>'[161]Civil-SOR'!$G$132</f>
        <v>7813</v>
      </c>
      <c r="G1120" s="927">
        <v>1</v>
      </c>
      <c r="H1120" s="928" t="s">
        <v>62</v>
      </c>
      <c r="I1120" s="929">
        <f t="shared" ref="I1120:I1121" si="65">IF(G1120="",D1120*F1120,(D1120*F1120/G1120))</f>
        <v>7813</v>
      </c>
    </row>
    <row r="1121" spans="1:11" s="559" customFormat="1" ht="19.899999999999999" customHeight="1">
      <c r="A1121" s="924"/>
      <c r="B1121" s="925"/>
      <c r="C1121" s="926" t="str">
        <f>[161]Input!$C$48</f>
        <v>Overheads &amp; Contractors Profit @ 13.615%</v>
      </c>
      <c r="D1121" s="930">
        <f>[161]Input!$D$48</f>
        <v>0.13614999999999999</v>
      </c>
      <c r="E1121" s="928"/>
      <c r="F1121" s="927">
        <f>I1120</f>
        <v>7813</v>
      </c>
      <c r="G1121" s="927"/>
      <c r="H1121" s="928"/>
      <c r="I1121" s="929">
        <f t="shared" si="65"/>
        <v>1063.7399499999999</v>
      </c>
    </row>
    <row r="1122" spans="1:11" s="559" customFormat="1" ht="19.899999999999999" customHeight="1">
      <c r="A1122" s="924"/>
      <c r="B1122" s="925"/>
      <c r="C1122" s="923" t="s">
        <v>1585</v>
      </c>
      <c r="D1122" s="927"/>
      <c r="E1122" s="928"/>
      <c r="F1122" s="927"/>
      <c r="G1122" s="927"/>
      <c r="H1122" s="928"/>
      <c r="I1122" s="931">
        <f>SUM(I1120:I1121)</f>
        <v>8876.7399499999992</v>
      </c>
    </row>
    <row r="1123" spans="1:11" s="560" customFormat="1" ht="19.899999999999999" customHeight="1">
      <c r="A1123" s="932"/>
      <c r="B1123" s="933"/>
      <c r="C1123" s="934"/>
      <c r="D1123" s="935"/>
      <c r="E1123" s="936"/>
      <c r="F1123" s="935"/>
      <c r="G1123" s="1342" t="s">
        <v>687</v>
      </c>
      <c r="H1123" s="1342"/>
      <c r="I1123" s="937">
        <f>ROUND(I1122,0)</f>
        <v>8877</v>
      </c>
    </row>
    <row r="1124" spans="1:11" s="559" customFormat="1" ht="12.75" customHeight="1">
      <c r="A1124" s="924"/>
      <c r="B1124" s="925"/>
      <c r="C1124" s="926"/>
      <c r="D1124" s="927"/>
      <c r="E1124" s="928"/>
      <c r="F1124" s="927"/>
      <c r="G1124" s="928"/>
      <c r="H1124" s="928"/>
      <c r="I1124" s="931"/>
    </row>
    <row r="1125" spans="1:11" s="559" customFormat="1" ht="188.5" customHeight="1">
      <c r="A1125" s="1330">
        <f>A1119+1</f>
        <v>7</v>
      </c>
      <c r="B1125" s="1330"/>
      <c r="C1125" s="1343" t="s">
        <v>2226</v>
      </c>
      <c r="D1125" s="1343"/>
      <c r="E1125" s="1343"/>
      <c r="F1125" s="1343"/>
      <c r="G1125" s="1343"/>
      <c r="H1125" s="1343"/>
      <c r="I1125" s="923"/>
    </row>
    <row r="1126" spans="1:11" s="559" customFormat="1" ht="27.65" customHeight="1">
      <c r="A1126" s="924"/>
      <c r="B1126" s="925"/>
      <c r="C1126" s="923" t="s">
        <v>660</v>
      </c>
      <c r="D1126" s="939" t="s">
        <v>661</v>
      </c>
      <c r="E1126" s="1338" t="s">
        <v>2227</v>
      </c>
      <c r="F1126" s="1338"/>
      <c r="G1126" s="928"/>
      <c r="H1126" s="925">
        <f>1.8*1.3</f>
        <v>2.3400000000000003</v>
      </c>
      <c r="I1126" s="940" t="s">
        <v>17</v>
      </c>
    </row>
    <row r="1127" spans="1:11" s="559" customFormat="1" ht="21" customHeight="1">
      <c r="A1127" s="924"/>
      <c r="B1127" s="925"/>
      <c r="C1127" s="926" t="s">
        <v>2228</v>
      </c>
      <c r="D1127" s="1335" t="s">
        <v>2229</v>
      </c>
      <c r="E1127" s="1335"/>
      <c r="F1127" s="1335"/>
      <c r="G1127" s="928"/>
      <c r="H1127" s="928"/>
      <c r="I1127" s="931"/>
      <c r="K1127" s="559">
        <f>(1.8+1.3)*2</f>
        <v>6.2</v>
      </c>
    </row>
    <row r="1128" spans="1:11" s="559" customFormat="1" ht="19.149999999999999" customHeight="1">
      <c r="A1128" s="924"/>
      <c r="B1128" s="925"/>
      <c r="C1128" s="926"/>
      <c r="D1128" s="1336" t="s">
        <v>2230</v>
      </c>
      <c r="E1128" s="1336"/>
      <c r="F1128" s="1336"/>
      <c r="G1128" s="928"/>
      <c r="H1128" s="928">
        <f>ROUND(6.2*0.775,2)</f>
        <v>4.8099999999999996</v>
      </c>
      <c r="I1128" s="928" t="s">
        <v>1485</v>
      </c>
    </row>
    <row r="1129" spans="1:11" s="559" customFormat="1" ht="16.149999999999999" customHeight="1">
      <c r="A1129" s="924"/>
      <c r="B1129" s="925"/>
      <c r="C1129" s="1340" t="s">
        <v>2231</v>
      </c>
      <c r="D1129" s="1335" t="s">
        <v>2232</v>
      </c>
      <c r="E1129" s="1335"/>
      <c r="F1129" s="1335"/>
      <c r="G1129" s="928"/>
      <c r="H1129" s="928"/>
      <c r="I1129" s="931"/>
    </row>
    <row r="1130" spans="1:11" s="559" customFormat="1" ht="16.899999999999999" customHeight="1">
      <c r="A1130" s="924"/>
      <c r="B1130" s="925"/>
      <c r="C1130" s="1340"/>
      <c r="D1130" s="1335" t="s">
        <v>2233</v>
      </c>
      <c r="E1130" s="1335"/>
      <c r="F1130" s="1335"/>
      <c r="G1130" s="928"/>
      <c r="H1130" s="928">
        <f>ROUND(2.6*1.123,2)</f>
        <v>2.92</v>
      </c>
      <c r="I1130" s="928" t="s">
        <v>1485</v>
      </c>
    </row>
    <row r="1131" spans="1:11" s="559" customFormat="1" ht="15.65" customHeight="1">
      <c r="A1131" s="924"/>
      <c r="B1131" s="925"/>
      <c r="C1131" s="1340" t="s">
        <v>2234</v>
      </c>
      <c r="D1131" s="1330" t="s">
        <v>2235</v>
      </c>
      <c r="E1131" s="1330"/>
      <c r="F1131" s="1330"/>
      <c r="G1131" s="1330"/>
      <c r="H1131" s="928"/>
      <c r="I1131" s="931"/>
    </row>
    <row r="1132" spans="1:11" s="559" customFormat="1" ht="14.5" customHeight="1">
      <c r="A1132" s="924"/>
      <c r="B1132" s="925"/>
      <c r="C1132" s="1340"/>
      <c r="D1132" s="1330" t="s">
        <v>2236</v>
      </c>
      <c r="E1132" s="1330"/>
      <c r="F1132" s="1330"/>
      <c r="G1132" s="1330"/>
      <c r="H1132" s="928">
        <f>ROUND(11.4*0.663,2)</f>
        <v>7.56</v>
      </c>
      <c r="I1132" s="928" t="s">
        <v>1485</v>
      </c>
    </row>
    <row r="1133" spans="1:11" s="559" customFormat="1" ht="15.65" customHeight="1">
      <c r="A1133" s="924"/>
      <c r="B1133" s="925"/>
      <c r="C1133" s="926" t="s">
        <v>2237</v>
      </c>
      <c r="D1133" s="1330" t="s">
        <v>2238</v>
      </c>
      <c r="E1133" s="1330"/>
      <c r="F1133" s="1330"/>
      <c r="G1133" s="928"/>
      <c r="H1133" s="928"/>
      <c r="I1133" s="928"/>
    </row>
    <row r="1134" spans="1:11" s="559" customFormat="1" ht="15.65" customHeight="1">
      <c r="A1134" s="924"/>
      <c r="B1134" s="925"/>
      <c r="C1134" s="926"/>
      <c r="D1134" s="1330" t="s">
        <v>2239</v>
      </c>
      <c r="E1134" s="1330"/>
      <c r="F1134" s="1330"/>
      <c r="G1134" s="1330"/>
      <c r="H1134" s="943">
        <f>ROUND(11.4*0.101,2)</f>
        <v>1.1499999999999999</v>
      </c>
      <c r="I1134" s="928" t="s">
        <v>1485</v>
      </c>
      <c r="K1134" s="559">
        <f>3*2*(0.6+1.3)</f>
        <v>11.399999999999999</v>
      </c>
    </row>
    <row r="1135" spans="1:11" s="559" customFormat="1" ht="16" customHeight="1">
      <c r="A1135" s="924"/>
      <c r="B1135" s="925"/>
      <c r="C1135" s="928"/>
      <c r="D1135" s="927"/>
      <c r="E1135" s="928"/>
      <c r="F1135" s="927"/>
      <c r="G1135" s="928"/>
      <c r="H1135" s="943">
        <f>SUM(H1128:H1134)</f>
        <v>16.439999999999998</v>
      </c>
      <c r="I1135" s="928" t="s">
        <v>1485</v>
      </c>
    </row>
    <row r="1136" spans="1:11" s="559" customFormat="1" ht="16" customHeight="1">
      <c r="A1136" s="924"/>
      <c r="B1136" s="925"/>
      <c r="C1136" s="923" t="s">
        <v>672</v>
      </c>
      <c r="D1136" s="927"/>
      <c r="E1136" s="928"/>
      <c r="F1136" s="927"/>
      <c r="G1136" s="925"/>
      <c r="H1136" s="928"/>
      <c r="I1136" s="931"/>
    </row>
    <row r="1137" spans="1:9" s="559" customFormat="1" ht="22.9" customHeight="1">
      <c r="A1137" s="924"/>
      <c r="B1137" s="925"/>
      <c r="C1137" s="926" t="s">
        <v>2240</v>
      </c>
      <c r="D1137" s="927">
        <f>H1135</f>
        <v>16.439999999999998</v>
      </c>
      <c r="E1137" s="928" t="s">
        <v>1485</v>
      </c>
      <c r="F1137" s="927">
        <f>'[161]Civil-SOR'!$G$186</f>
        <v>332</v>
      </c>
      <c r="G1137" s="928">
        <v>1</v>
      </c>
      <c r="H1137" s="928" t="s">
        <v>1485</v>
      </c>
      <c r="I1137" s="931">
        <f t="shared" ref="I1137:I1142" si="66">D1137*F1137/G1137</f>
        <v>5458.079999999999</v>
      </c>
    </row>
    <row r="1138" spans="1:9" s="559" customFormat="1" ht="22.9" customHeight="1">
      <c r="A1138" s="924"/>
      <c r="B1138" s="925"/>
      <c r="C1138" s="926" t="s">
        <v>2241</v>
      </c>
      <c r="D1138" s="927">
        <f>H1126</f>
        <v>2.3400000000000003</v>
      </c>
      <c r="E1138" s="928" t="s">
        <v>2242</v>
      </c>
      <c r="F1138" s="927">
        <f>'[161]Civil-SOR'!$G$49</f>
        <v>568</v>
      </c>
      <c r="G1138" s="928">
        <v>1</v>
      </c>
      <c r="H1138" s="928" t="s">
        <v>2242</v>
      </c>
      <c r="I1138" s="931">
        <f t="shared" si="66"/>
        <v>1329.1200000000001</v>
      </c>
    </row>
    <row r="1139" spans="1:9" s="559" customFormat="1" ht="22.9" customHeight="1">
      <c r="A1139" s="924"/>
      <c r="B1139" s="925"/>
      <c r="C1139" s="926" t="s">
        <v>2243</v>
      </c>
      <c r="D1139" s="927">
        <v>11.4</v>
      </c>
      <c r="E1139" s="928" t="s">
        <v>1052</v>
      </c>
      <c r="F1139" s="927">
        <f>'[161]Civil-SOR'!$G$187</f>
        <v>5</v>
      </c>
      <c r="G1139" s="928">
        <v>1</v>
      </c>
      <c r="H1139" s="928" t="s">
        <v>1052</v>
      </c>
      <c r="I1139" s="931">
        <f t="shared" si="66"/>
        <v>57</v>
      </c>
    </row>
    <row r="1140" spans="1:9" s="559" customFormat="1" ht="22.9" customHeight="1">
      <c r="A1140" s="924"/>
      <c r="B1140" s="925"/>
      <c r="C1140" s="926" t="s">
        <v>2244</v>
      </c>
      <c r="D1140" s="944">
        <v>4</v>
      </c>
      <c r="E1140" s="928" t="s">
        <v>375</v>
      </c>
      <c r="F1140" s="927">
        <f>'[161]Civil-SOR'!$G$162</f>
        <v>239</v>
      </c>
      <c r="G1140" s="928">
        <v>1</v>
      </c>
      <c r="H1140" s="928" t="s">
        <v>572</v>
      </c>
      <c r="I1140" s="931">
        <f t="shared" si="66"/>
        <v>956</v>
      </c>
    </row>
    <row r="1141" spans="1:9" s="559" customFormat="1" ht="22.9" customHeight="1">
      <c r="A1141" s="924"/>
      <c r="B1141" s="925"/>
      <c r="C1141" s="926" t="s">
        <v>2245</v>
      </c>
      <c r="D1141" s="944">
        <v>2</v>
      </c>
      <c r="E1141" s="928" t="s">
        <v>375</v>
      </c>
      <c r="F1141" s="927">
        <f>'[161]Civil-SOR'!$G$396</f>
        <v>75</v>
      </c>
      <c r="G1141" s="928">
        <v>1</v>
      </c>
      <c r="H1141" s="928" t="s">
        <v>572</v>
      </c>
      <c r="I1141" s="931">
        <f t="shared" si="66"/>
        <v>150</v>
      </c>
    </row>
    <row r="1142" spans="1:9" s="559" customFormat="1" ht="22.9" customHeight="1">
      <c r="A1142" s="924"/>
      <c r="B1142" s="925"/>
      <c r="C1142" s="926" t="s">
        <v>926</v>
      </c>
      <c r="D1142" s="927">
        <f>H1126</f>
        <v>2.3400000000000003</v>
      </c>
      <c r="E1142" s="928" t="s">
        <v>2246</v>
      </c>
      <c r="F1142" s="927">
        <f>$I$68</f>
        <v>1069.9939999999999</v>
      </c>
      <c r="G1142" s="928">
        <v>1</v>
      </c>
      <c r="H1142" s="928" t="s">
        <v>2246</v>
      </c>
      <c r="I1142" s="931">
        <f t="shared" si="66"/>
        <v>2503.7859600000002</v>
      </c>
    </row>
    <row r="1143" spans="1:9" s="559" customFormat="1" ht="16.899999999999999" customHeight="1">
      <c r="A1143" s="924"/>
      <c r="B1143" s="925"/>
      <c r="C1143" s="926" t="s">
        <v>2247</v>
      </c>
      <c r="D1143" s="1330" t="s">
        <v>1570</v>
      </c>
      <c r="E1143" s="1330"/>
      <c r="F1143" s="927"/>
      <c r="G1143" s="928"/>
      <c r="H1143" s="928"/>
      <c r="I1143" s="931">
        <v>3.78</v>
      </c>
    </row>
    <row r="1144" spans="1:9" s="559" customFormat="1" ht="18" customHeight="1">
      <c r="A1144" s="924"/>
      <c r="B1144" s="925"/>
      <c r="C1144" s="926"/>
      <c r="D1144" s="927"/>
      <c r="E1144" s="928"/>
      <c r="F1144" s="927"/>
      <c r="G1144" s="928"/>
      <c r="H1144" s="928"/>
      <c r="I1144" s="931">
        <f>SUM(I1137:I1143)</f>
        <v>10457.765959999999</v>
      </c>
    </row>
    <row r="1145" spans="1:9" s="559" customFormat="1" ht="22.9" customHeight="1">
      <c r="A1145" s="924"/>
      <c r="B1145" s="925"/>
      <c r="C1145" s="928" t="str">
        <f>[161]Input!$C$48</f>
        <v>Overheads &amp; Contractors Profit @ 13.615%</v>
      </c>
      <c r="D1145" s="930">
        <f>[161]Input!$D$48</f>
        <v>0.13614999999999999</v>
      </c>
      <c r="E1145" s="928"/>
      <c r="F1145" s="927">
        <f>I1144</f>
        <v>10457.765959999999</v>
      </c>
      <c r="G1145" s="928"/>
      <c r="H1145" s="928"/>
      <c r="I1145" s="931">
        <f>D1145*F1145</f>
        <v>1423.8248354539999</v>
      </c>
    </row>
    <row r="1146" spans="1:9" s="560" customFormat="1" ht="22.9" customHeight="1">
      <c r="A1146" s="932"/>
      <c r="B1146" s="933"/>
      <c r="C1146" s="945" t="s">
        <v>2248</v>
      </c>
      <c r="D1146" s="935"/>
      <c r="E1146" s="936"/>
      <c r="F1146" s="935"/>
      <c r="G1146" s="936"/>
      <c r="H1146" s="936"/>
      <c r="I1146" s="946">
        <f>I1144+I1145</f>
        <v>11881.590795453998</v>
      </c>
    </row>
    <row r="1147" spans="1:9" s="560" customFormat="1" ht="22.9" customHeight="1">
      <c r="A1147" s="932"/>
      <c r="B1147" s="933"/>
      <c r="C1147" s="945" t="s">
        <v>2105</v>
      </c>
      <c r="D1147" s="935"/>
      <c r="E1147" s="936"/>
      <c r="F1147" s="935"/>
      <c r="G1147" s="936"/>
      <c r="H1147" s="936"/>
      <c r="I1147" s="946">
        <f>I1146/H1126</f>
        <v>5077.6029040401691</v>
      </c>
    </row>
    <row r="1148" spans="1:9" s="560" customFormat="1" ht="22.9" customHeight="1">
      <c r="A1148" s="932"/>
      <c r="B1148" s="933"/>
      <c r="C1148" s="934"/>
      <c r="D1148" s="935"/>
      <c r="E1148" s="936"/>
      <c r="F1148" s="935"/>
      <c r="G1148" s="1330" t="s">
        <v>726</v>
      </c>
      <c r="H1148" s="1330"/>
      <c r="I1148" s="937">
        <f>ROUND(I1147,0)</f>
        <v>5078</v>
      </c>
    </row>
    <row r="1149" spans="1:9" s="559" customFormat="1" ht="14.65" customHeight="1">
      <c r="A1149" s="924"/>
      <c r="B1149" s="925"/>
      <c r="C1149" s="926"/>
      <c r="D1149" s="927"/>
      <c r="E1149" s="928"/>
      <c r="F1149" s="927"/>
      <c r="G1149" s="928"/>
      <c r="H1149" s="928"/>
      <c r="I1149" s="922"/>
    </row>
    <row r="1150" spans="1:9" s="559" customFormat="1" ht="163.15" customHeight="1">
      <c r="A1150" s="1330">
        <f>A1125+1</f>
        <v>8</v>
      </c>
      <c r="B1150" s="1330"/>
      <c r="C1150" s="1331" t="s">
        <v>2249</v>
      </c>
      <c r="D1150" s="1331"/>
      <c r="E1150" s="1331"/>
      <c r="F1150" s="1331"/>
      <c r="G1150" s="1331"/>
      <c r="H1150" s="1331"/>
      <c r="I1150" s="923"/>
    </row>
    <row r="1151" spans="1:9" s="559" customFormat="1" ht="21" customHeight="1">
      <c r="A1151" s="924"/>
      <c r="B1151" s="925"/>
      <c r="C1151" s="923" t="s">
        <v>660</v>
      </c>
      <c r="D1151" s="939" t="s">
        <v>661</v>
      </c>
      <c r="E1151" s="1338" t="s">
        <v>2250</v>
      </c>
      <c r="F1151" s="1338"/>
      <c r="G1151" s="928"/>
      <c r="H1151" s="925">
        <f>0.9*0.5</f>
        <v>0.45</v>
      </c>
      <c r="I1151" s="940" t="s">
        <v>17</v>
      </c>
    </row>
    <row r="1152" spans="1:9" s="559" customFormat="1" ht="19.149999999999999" customHeight="1">
      <c r="A1152" s="924"/>
      <c r="B1152" s="925"/>
      <c r="C1152" s="926" t="s">
        <v>2228</v>
      </c>
      <c r="D1152" s="1335" t="s">
        <v>2251</v>
      </c>
      <c r="E1152" s="1335"/>
      <c r="F1152" s="1335"/>
      <c r="G1152" s="928"/>
      <c r="H1152" s="928"/>
      <c r="I1152" s="931"/>
    </row>
    <row r="1153" spans="1:9" s="559" customFormat="1" ht="23.5" customHeight="1">
      <c r="A1153" s="924"/>
      <c r="B1153" s="925"/>
      <c r="C1153" s="926"/>
      <c r="D1153" s="1335" t="s">
        <v>2252</v>
      </c>
      <c r="E1153" s="1335"/>
      <c r="F1153" s="1335"/>
      <c r="G1153" s="1330">
        <f>ROUND(2.8*0.775,2)</f>
        <v>2.17</v>
      </c>
      <c r="H1153" s="1330"/>
      <c r="I1153" s="928" t="s">
        <v>1485</v>
      </c>
    </row>
    <row r="1154" spans="1:9" s="559" customFormat="1" ht="21" customHeight="1">
      <c r="A1154" s="924"/>
      <c r="B1154" s="925"/>
      <c r="C1154" s="1340" t="s">
        <v>2253</v>
      </c>
      <c r="D1154" s="1335" t="s">
        <v>2254</v>
      </c>
      <c r="E1154" s="1335"/>
      <c r="F1154" s="1335"/>
      <c r="G1154" s="1330"/>
      <c r="H1154" s="1330"/>
      <c r="I1154" s="931"/>
    </row>
    <row r="1155" spans="1:9" s="559" customFormat="1" ht="21" customHeight="1">
      <c r="A1155" s="924"/>
      <c r="B1155" s="925"/>
      <c r="C1155" s="1340"/>
      <c r="D1155" s="1335" t="s">
        <v>2255</v>
      </c>
      <c r="E1155" s="1335"/>
      <c r="F1155" s="1335"/>
      <c r="G1155" s="1330">
        <f>ROUND(3.8*0.663,2)</f>
        <v>2.52</v>
      </c>
      <c r="H1155" s="1330"/>
      <c r="I1155" s="928" t="s">
        <v>1485</v>
      </c>
    </row>
    <row r="1156" spans="1:9" s="559" customFormat="1" ht="16.899999999999999" customHeight="1">
      <c r="A1156" s="924"/>
      <c r="B1156" s="925"/>
      <c r="C1156" s="926" t="s">
        <v>2256</v>
      </c>
      <c r="D1156" s="1335" t="s">
        <v>2254</v>
      </c>
      <c r="E1156" s="1335"/>
      <c r="F1156" s="1335"/>
      <c r="G1156" s="928"/>
      <c r="H1156" s="928"/>
      <c r="I1156" s="931"/>
    </row>
    <row r="1157" spans="1:9" s="559" customFormat="1" ht="24" customHeight="1">
      <c r="A1157" s="924"/>
      <c r="B1157" s="925"/>
      <c r="C1157" s="926"/>
      <c r="D1157" s="1335" t="s">
        <v>2257</v>
      </c>
      <c r="E1157" s="1335"/>
      <c r="F1157" s="1335"/>
      <c r="G1157" s="1330">
        <f>ROUND(3.8*0.101,2)</f>
        <v>0.38</v>
      </c>
      <c r="H1157" s="1330"/>
      <c r="I1157" s="928" t="s">
        <v>1485</v>
      </c>
    </row>
    <row r="1158" spans="1:9" s="559" customFormat="1" ht="18.649999999999999" customHeight="1">
      <c r="A1158" s="924"/>
      <c r="B1158" s="925"/>
      <c r="C1158" s="926"/>
      <c r="D1158" s="927"/>
      <c r="E1158" s="928"/>
      <c r="F1158" s="927"/>
      <c r="G1158" s="1330">
        <f>SUM(G1153:G1157)</f>
        <v>5.0699999999999994</v>
      </c>
      <c r="H1158" s="1330"/>
      <c r="I1158" s="928" t="s">
        <v>1485</v>
      </c>
    </row>
    <row r="1159" spans="1:9" s="559" customFormat="1" ht="16" customHeight="1">
      <c r="A1159" s="924"/>
      <c r="B1159" s="925"/>
      <c r="C1159" s="923" t="s">
        <v>672</v>
      </c>
      <c r="D1159" s="927"/>
      <c r="E1159" s="928"/>
      <c r="F1159" s="927"/>
      <c r="G1159" s="928"/>
      <c r="H1159" s="928"/>
      <c r="I1159" s="931"/>
    </row>
    <row r="1160" spans="1:9" s="559" customFormat="1" ht="24.65" customHeight="1">
      <c r="A1160" s="924"/>
      <c r="B1160" s="925"/>
      <c r="C1160" s="926" t="s">
        <v>2258</v>
      </c>
      <c r="D1160" s="927">
        <f>G1158</f>
        <v>5.0699999999999994</v>
      </c>
      <c r="E1160" s="928" t="s">
        <v>1485</v>
      </c>
      <c r="F1160" s="927">
        <f>'[161]Civil-SOR'!$G$186</f>
        <v>332</v>
      </c>
      <c r="G1160" s="928">
        <v>1</v>
      </c>
      <c r="H1160" s="928" t="s">
        <v>1485</v>
      </c>
      <c r="I1160" s="931">
        <f t="shared" ref="I1160:I1163" si="67">D1160*F1160</f>
        <v>1683.2399999999998</v>
      </c>
    </row>
    <row r="1161" spans="1:9" s="559" customFormat="1" ht="24.65" customHeight="1">
      <c r="A1161" s="924"/>
      <c r="B1161" s="925"/>
      <c r="C1161" s="926" t="s">
        <v>2241</v>
      </c>
      <c r="D1161" s="927">
        <v>0.45</v>
      </c>
      <c r="E1161" s="928" t="s">
        <v>2242</v>
      </c>
      <c r="F1161" s="927">
        <f>'[161]Civil-SOR'!$G$49</f>
        <v>568</v>
      </c>
      <c r="G1161" s="928">
        <v>1</v>
      </c>
      <c r="H1161" s="928" t="s">
        <v>2242</v>
      </c>
      <c r="I1161" s="931">
        <f t="shared" si="67"/>
        <v>255.6</v>
      </c>
    </row>
    <row r="1162" spans="1:9" s="559" customFormat="1" ht="24.65" customHeight="1">
      <c r="A1162" s="924"/>
      <c r="B1162" s="925"/>
      <c r="C1162" s="926" t="s">
        <v>2243</v>
      </c>
      <c r="D1162" s="927">
        <v>3.8</v>
      </c>
      <c r="E1162" s="928" t="s">
        <v>1052</v>
      </c>
      <c r="F1162" s="927">
        <f>'[161]Civil-SOR'!$G$187</f>
        <v>5</v>
      </c>
      <c r="G1162" s="928">
        <v>1</v>
      </c>
      <c r="H1162" s="928" t="s">
        <v>1052</v>
      </c>
      <c r="I1162" s="931">
        <f t="shared" si="67"/>
        <v>19</v>
      </c>
    </row>
    <row r="1163" spans="1:9" s="559" customFormat="1" ht="24.65" customHeight="1">
      <c r="A1163" s="924"/>
      <c r="B1163" s="925"/>
      <c r="C1163" s="926" t="s">
        <v>926</v>
      </c>
      <c r="D1163" s="927">
        <v>0.45</v>
      </c>
      <c r="E1163" s="928" t="s">
        <v>2246</v>
      </c>
      <c r="F1163" s="927">
        <f>$I$68</f>
        <v>1069.9939999999999</v>
      </c>
      <c r="G1163" s="928">
        <v>1</v>
      </c>
      <c r="H1163" s="928" t="s">
        <v>2246</v>
      </c>
      <c r="I1163" s="931">
        <f t="shared" si="67"/>
        <v>481.4973</v>
      </c>
    </row>
    <row r="1164" spans="1:9" s="559" customFormat="1" ht="24.65" customHeight="1">
      <c r="A1164" s="924"/>
      <c r="B1164" s="925"/>
      <c r="C1164" s="926" t="s">
        <v>2259</v>
      </c>
      <c r="D1164" s="931" t="s">
        <v>1570</v>
      </c>
      <c r="E1164" s="928"/>
      <c r="F1164" s="927"/>
      <c r="G1164" s="928"/>
      <c r="H1164" s="928"/>
      <c r="I1164" s="931">
        <v>2.75</v>
      </c>
    </row>
    <row r="1165" spans="1:9" s="559" customFormat="1" ht="24.65" customHeight="1">
      <c r="A1165" s="924"/>
      <c r="B1165" s="925"/>
      <c r="C1165" s="926"/>
      <c r="D1165" s="927"/>
      <c r="E1165" s="928"/>
      <c r="F1165" s="927"/>
      <c r="G1165" s="928"/>
      <c r="H1165" s="928"/>
      <c r="I1165" s="931">
        <f>SUM(I1160:I1164)</f>
        <v>2442.0872999999997</v>
      </c>
    </row>
    <row r="1166" spans="1:9" s="559" customFormat="1" ht="24.65" customHeight="1">
      <c r="A1166" s="924"/>
      <c r="B1166" s="925"/>
      <c r="C1166" s="928" t="str">
        <f>[161]Input!$C$48</f>
        <v>Overheads &amp; Contractors Profit @ 13.615%</v>
      </c>
      <c r="D1166" s="930">
        <f>[161]Input!$D$48</f>
        <v>0.13614999999999999</v>
      </c>
      <c r="E1166" s="928"/>
      <c r="F1166" s="927">
        <f>I1165</f>
        <v>2442.0872999999997</v>
      </c>
      <c r="G1166" s="928"/>
      <c r="H1166" s="928"/>
      <c r="I1166" s="931">
        <f>D1166*F1166</f>
        <v>332.49018589499997</v>
      </c>
    </row>
    <row r="1167" spans="1:9" s="559" customFormat="1" ht="24.65" customHeight="1">
      <c r="A1167" s="924"/>
      <c r="B1167" s="925"/>
      <c r="C1167" s="926" t="s">
        <v>2260</v>
      </c>
      <c r="D1167" s="927"/>
      <c r="E1167" s="928"/>
      <c r="F1167" s="927"/>
      <c r="G1167" s="928"/>
      <c r="H1167" s="928"/>
      <c r="I1167" s="931">
        <f>SUM(I1165:I1166)</f>
        <v>2774.5774858949999</v>
      </c>
    </row>
    <row r="1168" spans="1:9" s="560" customFormat="1" ht="24.65" customHeight="1">
      <c r="A1168" s="932"/>
      <c r="B1168" s="933"/>
      <c r="C1168" s="945" t="s">
        <v>2261</v>
      </c>
      <c r="D1168" s="935"/>
      <c r="E1168" s="936"/>
      <c r="F1168" s="935"/>
      <c r="G1168" s="936"/>
      <c r="H1168" s="936"/>
      <c r="I1168" s="946">
        <f>I1167/H1151</f>
        <v>6165.7277464333329</v>
      </c>
    </row>
    <row r="1169" spans="1:11" s="560" customFormat="1" ht="24.65" customHeight="1">
      <c r="A1169" s="932"/>
      <c r="B1169" s="933"/>
      <c r="C1169" s="934"/>
      <c r="D1169" s="935"/>
      <c r="E1169" s="936"/>
      <c r="F1169" s="935"/>
      <c r="G1169" s="1330" t="s">
        <v>726</v>
      </c>
      <c r="H1169" s="1330"/>
      <c r="I1169" s="937">
        <f>ROUND(I1168,0)</f>
        <v>6166</v>
      </c>
    </row>
    <row r="1170" spans="1:11" s="559" customFormat="1" ht="14.65" customHeight="1">
      <c r="A1170" s="924"/>
      <c r="B1170" s="925"/>
      <c r="C1170" s="926"/>
      <c r="D1170" s="927"/>
      <c r="E1170" s="928"/>
      <c r="F1170" s="927"/>
      <c r="G1170" s="928"/>
      <c r="H1170" s="928"/>
      <c r="I1170" s="922"/>
    </row>
    <row r="1171" spans="1:11" s="559" customFormat="1" ht="103.9" customHeight="1">
      <c r="A1171" s="1330">
        <f>A1150+1</f>
        <v>9</v>
      </c>
      <c r="B1171" s="1330"/>
      <c r="C1171" s="1331" t="s">
        <v>2262</v>
      </c>
      <c r="D1171" s="1331"/>
      <c r="E1171" s="1331"/>
      <c r="F1171" s="1331"/>
      <c r="G1171" s="1331"/>
      <c r="H1171" s="1331"/>
      <c r="I1171" s="923"/>
    </row>
    <row r="1172" spans="1:11" s="559" customFormat="1" ht="107.5" customHeight="1">
      <c r="A1172" s="924"/>
      <c r="B1172" s="925"/>
      <c r="C1172" s="1330" t="s">
        <v>2263</v>
      </c>
      <c r="D1172" s="1330"/>
      <c r="E1172" s="1330"/>
      <c r="F1172" s="1330"/>
      <c r="G1172" s="1330"/>
      <c r="H1172" s="1330"/>
      <c r="I1172" s="923"/>
    </row>
    <row r="1173" spans="1:11" s="559" customFormat="1" ht="15" customHeight="1">
      <c r="A1173" s="924"/>
      <c r="B1173" s="925"/>
      <c r="C1173" s="1330" t="s">
        <v>2264</v>
      </c>
      <c r="D1173" s="1330"/>
      <c r="E1173" s="943"/>
      <c r="F1173" s="943"/>
      <c r="G1173" s="943"/>
      <c r="H1173" s="943"/>
      <c r="I1173" s="943"/>
    </row>
    <row r="1174" spans="1:11" s="559" customFormat="1" ht="12.65" customHeight="1">
      <c r="A1174" s="924"/>
      <c r="B1174" s="925"/>
      <c r="C1174" s="923"/>
      <c r="D1174" s="943" t="s">
        <v>2265</v>
      </c>
      <c r="E1174" s="1330" t="s">
        <v>2266</v>
      </c>
      <c r="F1174" s="1330"/>
      <c r="G1174" s="928"/>
      <c r="H1174" s="943">
        <f>1.8*1.8</f>
        <v>3.24</v>
      </c>
      <c r="I1174" s="943" t="s">
        <v>17</v>
      </c>
    </row>
    <row r="1175" spans="1:11" s="559" customFormat="1" ht="15" customHeight="1">
      <c r="A1175" s="924"/>
      <c r="B1175" s="925"/>
      <c r="C1175" s="923" t="s">
        <v>660</v>
      </c>
      <c r="D1175" s="947"/>
      <c r="E1175" s="925"/>
      <c r="F1175" s="947"/>
      <c r="G1175" s="928"/>
      <c r="H1175" s="928"/>
      <c r="I1175" s="943"/>
    </row>
    <row r="1176" spans="1:11" s="559" customFormat="1" ht="15.65" customHeight="1">
      <c r="A1176" s="924"/>
      <c r="B1176" s="925"/>
      <c r="C1176" s="926" t="s">
        <v>2267</v>
      </c>
      <c r="D1176" s="927"/>
      <c r="E1176" s="928"/>
      <c r="F1176" s="927"/>
      <c r="G1176" s="928"/>
      <c r="H1176" s="928"/>
      <c r="I1176" s="948"/>
    </row>
    <row r="1177" spans="1:11" s="559" customFormat="1" ht="15.65" customHeight="1">
      <c r="A1177" s="924"/>
      <c r="B1177" s="925"/>
      <c r="C1177" s="926" t="s">
        <v>2268</v>
      </c>
      <c r="D1177" s="1330" t="s">
        <v>2269</v>
      </c>
      <c r="E1177" s="1330"/>
      <c r="F1177" s="928">
        <v>0.90900000000000003</v>
      </c>
      <c r="G1177" s="943" t="s">
        <v>1553</v>
      </c>
      <c r="H1177" s="949">
        <f>ROUND(1.8*F1177,3)</f>
        <v>1.6359999999999999</v>
      </c>
      <c r="I1177" s="928" t="s">
        <v>1485</v>
      </c>
      <c r="K1177" s="559">
        <f>1.8*0.909</f>
        <v>1.6362000000000001</v>
      </c>
    </row>
    <row r="1178" spans="1:11" s="559" customFormat="1" ht="15.65" customHeight="1">
      <c r="A1178" s="924"/>
      <c r="B1178" s="925"/>
      <c r="C1178" s="926" t="s">
        <v>2270</v>
      </c>
      <c r="D1178" s="1330" t="s">
        <v>2271</v>
      </c>
      <c r="E1178" s="1330"/>
      <c r="F1178" s="928">
        <v>0.78400000000000003</v>
      </c>
      <c r="G1178" s="943" t="s">
        <v>1553</v>
      </c>
      <c r="H1178" s="928">
        <f>ROUND(2*1.3*F1178,3)</f>
        <v>2.0379999999999998</v>
      </c>
      <c r="I1178" s="928" t="s">
        <v>1485</v>
      </c>
      <c r="K1178" s="559">
        <f>2*1.3*0.784</f>
        <v>2.0384000000000002</v>
      </c>
    </row>
    <row r="1179" spans="1:11" s="559" customFormat="1" ht="15.65" customHeight="1">
      <c r="A1179" s="924"/>
      <c r="B1179" s="925"/>
      <c r="C1179" s="926" t="s">
        <v>2272</v>
      </c>
      <c r="D1179" s="1330" t="s">
        <v>2273</v>
      </c>
      <c r="E1179" s="1330"/>
      <c r="F1179" s="928">
        <v>1.0049999999999999</v>
      </c>
      <c r="G1179" s="943" t="s">
        <v>1553</v>
      </c>
      <c r="H1179" s="928">
        <f>ROUND(1.8*F1179,3)</f>
        <v>1.8089999999999999</v>
      </c>
      <c r="I1179" s="928" t="s">
        <v>1485</v>
      </c>
      <c r="K1179" s="559">
        <f>1.8*1.005</f>
        <v>1.8089999999999999</v>
      </c>
    </row>
    <row r="1180" spans="1:11" s="559" customFormat="1" ht="15.65" customHeight="1">
      <c r="A1180" s="924"/>
      <c r="B1180" s="925"/>
      <c r="C1180" s="926" t="s">
        <v>2274</v>
      </c>
      <c r="D1180" s="1330" t="s">
        <v>2275</v>
      </c>
      <c r="E1180" s="1330"/>
      <c r="F1180" s="928">
        <v>0.94199999999999995</v>
      </c>
      <c r="G1180" s="943" t="s">
        <v>1553</v>
      </c>
      <c r="H1180" s="928">
        <f>ROUND((1.8+2*0.5)*F1180,3)</f>
        <v>2.6379999999999999</v>
      </c>
      <c r="I1180" s="928" t="s">
        <v>1485</v>
      </c>
      <c r="K1180" s="559">
        <f>((1.8+2*0.5)*0.942)</f>
        <v>2.6375999999999995</v>
      </c>
    </row>
    <row r="1181" spans="1:11" s="559" customFormat="1" ht="15.65" customHeight="1">
      <c r="A1181" s="924"/>
      <c r="B1181" s="925"/>
      <c r="C1181" s="926" t="s">
        <v>2276</v>
      </c>
      <c r="D1181" s="941"/>
      <c r="E1181" s="942"/>
      <c r="F1181" s="928"/>
      <c r="G1181" s="943"/>
      <c r="H1181" s="928"/>
      <c r="I1181" s="928"/>
    </row>
    <row r="1182" spans="1:11" s="559" customFormat="1" ht="15.65" customHeight="1">
      <c r="A1182" s="924"/>
      <c r="B1182" s="925"/>
      <c r="C1182" s="926" t="s">
        <v>2277</v>
      </c>
      <c r="D1182" s="1330" t="s">
        <v>2278</v>
      </c>
      <c r="E1182" s="1330"/>
      <c r="F1182" s="928">
        <v>0.64100000000000001</v>
      </c>
      <c r="G1182" s="943" t="s">
        <v>1553</v>
      </c>
      <c r="H1182" s="949">
        <f>ROUND(3*0.6*0.641,3)</f>
        <v>1.1539999999999999</v>
      </c>
      <c r="I1182" s="928" t="s">
        <v>1485</v>
      </c>
      <c r="K1182" s="405">
        <f>3*0.6*0.641</f>
        <v>1.1537999999999999</v>
      </c>
    </row>
    <row r="1183" spans="1:11" s="559" customFormat="1" ht="15.65" customHeight="1">
      <c r="A1183" s="924"/>
      <c r="B1183" s="925"/>
      <c r="C1183" s="942" t="s">
        <v>2279</v>
      </c>
      <c r="D1183" s="1330" t="s">
        <v>2280</v>
      </c>
      <c r="E1183" s="1330"/>
      <c r="F1183" s="928" t="s">
        <v>2281</v>
      </c>
      <c r="G1183" s="943" t="s">
        <v>1553</v>
      </c>
      <c r="H1183" s="928">
        <f>ROUND((3*1.9)*0.522,3)</f>
        <v>2.9750000000000001</v>
      </c>
      <c r="I1183" s="928" t="s">
        <v>1485</v>
      </c>
      <c r="K1183" s="405">
        <f>3*1.9*0.522</f>
        <v>2.9753999999999996</v>
      </c>
    </row>
    <row r="1184" spans="1:11" s="559" customFormat="1" ht="15.65" customHeight="1">
      <c r="A1184" s="924"/>
      <c r="B1184" s="925"/>
      <c r="C1184" s="926" t="s">
        <v>2282</v>
      </c>
      <c r="D1184" s="1330" t="s">
        <v>2283</v>
      </c>
      <c r="E1184" s="1330"/>
      <c r="F1184" s="928">
        <v>0.66300000000000003</v>
      </c>
      <c r="G1184" s="943" t="s">
        <v>1553</v>
      </c>
      <c r="H1184" s="928">
        <f>ROUND(3*1.3*0.663,3)</f>
        <v>2.5859999999999999</v>
      </c>
      <c r="I1184" s="928" t="s">
        <v>1485</v>
      </c>
      <c r="K1184" s="559">
        <f>3*1.3*0.663</f>
        <v>2.5857000000000006</v>
      </c>
    </row>
    <row r="1185" spans="1:11" s="559" customFormat="1" ht="17.5" customHeight="1">
      <c r="A1185" s="924"/>
      <c r="B1185" s="925"/>
      <c r="C1185" s="926" t="s">
        <v>2081</v>
      </c>
      <c r="D1185" s="1330" t="s">
        <v>2284</v>
      </c>
      <c r="E1185" s="1330"/>
      <c r="F1185" s="1330"/>
      <c r="G1185" s="1330"/>
      <c r="H1185" s="928"/>
      <c r="I1185" s="948"/>
      <c r="K1185" s="559">
        <f>6*1.1+6*1.9</f>
        <v>18</v>
      </c>
    </row>
    <row r="1186" spans="1:11" s="559" customFormat="1" ht="14.5" customHeight="1">
      <c r="A1186" s="924"/>
      <c r="B1186" s="925"/>
      <c r="C1186" s="926"/>
      <c r="D1186" s="1330" t="s">
        <v>2285</v>
      </c>
      <c r="E1186" s="1330"/>
      <c r="F1186" s="1330"/>
      <c r="G1186" s="1330"/>
      <c r="H1186" s="943">
        <f>ROUND(18*0.101,3)</f>
        <v>1.8180000000000001</v>
      </c>
      <c r="I1186" s="928" t="s">
        <v>1485</v>
      </c>
      <c r="K1186" s="559">
        <f>18*0.101</f>
        <v>1.8180000000000001</v>
      </c>
    </row>
    <row r="1187" spans="1:11" s="559" customFormat="1" ht="13.9" customHeight="1">
      <c r="A1187" s="924"/>
      <c r="B1187" s="925"/>
      <c r="C1187" s="926"/>
      <c r="D1187" s="927"/>
      <c r="E1187" s="928"/>
      <c r="F1187" s="927"/>
      <c r="G1187" s="1337">
        <f>SUM(H1177:H1186)</f>
        <v>16.654</v>
      </c>
      <c r="H1187" s="1337"/>
      <c r="I1187" s="925" t="s">
        <v>1485</v>
      </c>
    </row>
    <row r="1188" spans="1:11" s="559" customFormat="1" ht="16.899999999999999" customHeight="1">
      <c r="A1188" s="924"/>
      <c r="B1188" s="925"/>
      <c r="C1188" s="926" t="s">
        <v>2084</v>
      </c>
      <c r="D1188" s="1335" t="s">
        <v>2266</v>
      </c>
      <c r="E1188" s="1335"/>
      <c r="F1188" s="1335"/>
      <c r="G1188" s="943">
        <f>1.8*1.8</f>
        <v>3.24</v>
      </c>
      <c r="H1188" s="943" t="s">
        <v>62</v>
      </c>
      <c r="I1188" s="943"/>
    </row>
    <row r="1189" spans="1:11" s="559" customFormat="1" ht="16.899999999999999" customHeight="1">
      <c r="A1189" s="924"/>
      <c r="B1189" s="925"/>
      <c r="C1189" s="926" t="s">
        <v>2090</v>
      </c>
      <c r="D1189" s="927"/>
      <c r="E1189" s="928"/>
      <c r="F1189" s="927"/>
      <c r="G1189" s="943">
        <v>9</v>
      </c>
      <c r="H1189" s="925" t="s">
        <v>1052</v>
      </c>
      <c r="I1189" s="943"/>
    </row>
    <row r="1190" spans="1:11" s="559" customFormat="1" ht="16" customHeight="1">
      <c r="A1190" s="924"/>
      <c r="B1190" s="925"/>
      <c r="C1190" s="923" t="s">
        <v>672</v>
      </c>
      <c r="D1190" s="927"/>
      <c r="E1190" s="928"/>
      <c r="F1190" s="927"/>
      <c r="G1190" s="928"/>
      <c r="H1190" s="928"/>
      <c r="I1190" s="931"/>
    </row>
    <row r="1191" spans="1:11" s="559" customFormat="1" ht="16" customHeight="1">
      <c r="A1191" s="924"/>
      <c r="B1191" s="925"/>
      <c r="C1191" s="923" t="s">
        <v>2092</v>
      </c>
      <c r="D1191" s="927"/>
      <c r="E1191" s="928"/>
      <c r="F1191" s="927"/>
      <c r="G1191" s="928"/>
      <c r="H1191" s="928"/>
      <c r="I1191" s="931"/>
    </row>
    <row r="1192" spans="1:11" s="559" customFormat="1" ht="19.149999999999999" customHeight="1">
      <c r="A1192" s="924"/>
      <c r="B1192" s="925"/>
      <c r="C1192" s="926" t="s">
        <v>2258</v>
      </c>
      <c r="D1192" s="949">
        <f>G1187</f>
        <v>16.654</v>
      </c>
      <c r="E1192" s="942" t="s">
        <v>1485</v>
      </c>
      <c r="F1192" s="931">
        <f>'[161]Civil-SOR'!$G$186</f>
        <v>332</v>
      </c>
      <c r="G1192" s="928">
        <v>1</v>
      </c>
      <c r="H1192" s="928" t="s">
        <v>1485</v>
      </c>
      <c r="I1192" s="929">
        <f t="shared" ref="I1192:I1195" si="68">IF(G1192="",D1192*F1192,(D1192*F1192/G1192))</f>
        <v>5529.1279999999997</v>
      </c>
    </row>
    <row r="1193" spans="1:11" s="559" customFormat="1" ht="19.149999999999999" customHeight="1">
      <c r="A1193" s="924"/>
      <c r="B1193" s="925"/>
      <c r="C1193" s="926" t="s">
        <v>2241</v>
      </c>
      <c r="D1193" s="927">
        <f>H1174</f>
        <v>3.24</v>
      </c>
      <c r="E1193" s="942" t="s">
        <v>2085</v>
      </c>
      <c r="F1193" s="931">
        <f>'[161]Civil-SOR'!$G$49</f>
        <v>568</v>
      </c>
      <c r="G1193" s="928">
        <v>1</v>
      </c>
      <c r="H1193" s="928" t="s">
        <v>2085</v>
      </c>
      <c r="I1193" s="929">
        <f t="shared" si="68"/>
        <v>1840.3200000000002</v>
      </c>
    </row>
    <row r="1194" spans="1:11" s="559" customFormat="1" ht="19.149999999999999" customHeight="1">
      <c r="A1194" s="924"/>
      <c r="B1194" s="925"/>
      <c r="C1194" s="926" t="s">
        <v>2243</v>
      </c>
      <c r="D1194" s="927">
        <f>G1189</f>
        <v>9</v>
      </c>
      <c r="E1194" s="942" t="s">
        <v>1052</v>
      </c>
      <c r="F1194" s="931">
        <f>'[161]Civil-SOR'!$G$187</f>
        <v>5</v>
      </c>
      <c r="G1194" s="928">
        <v>1</v>
      </c>
      <c r="H1194" s="928" t="s">
        <v>1052</v>
      </c>
      <c r="I1194" s="929">
        <f t="shared" si="68"/>
        <v>45</v>
      </c>
    </row>
    <row r="1195" spans="1:11" s="559" customFormat="1" ht="19.149999999999999" customHeight="1">
      <c r="A1195" s="924"/>
      <c r="B1195" s="925"/>
      <c r="C1195" s="923" t="s">
        <v>2102</v>
      </c>
      <c r="D1195" s="927">
        <f>H1174</f>
        <v>3.24</v>
      </c>
      <c r="E1195" s="943" t="s">
        <v>17</v>
      </c>
      <c r="F1195" s="931">
        <f>$I$38</f>
        <v>1029.5647100000001</v>
      </c>
      <c r="G1195" s="928">
        <v>1</v>
      </c>
      <c r="H1195" s="927" t="s">
        <v>17</v>
      </c>
      <c r="I1195" s="929">
        <f t="shared" si="68"/>
        <v>3335.7896604000007</v>
      </c>
    </row>
    <row r="1196" spans="1:11" s="559" customFormat="1" ht="19.149999999999999" customHeight="1">
      <c r="A1196" s="924"/>
      <c r="B1196" s="925"/>
      <c r="C1196" s="926" t="s">
        <v>2103</v>
      </c>
      <c r="D1196" s="950" t="s">
        <v>1570</v>
      </c>
      <c r="E1196" s="942"/>
      <c r="F1196" s="927"/>
      <c r="G1196" s="928"/>
      <c r="H1196" s="928"/>
      <c r="I1196" s="931"/>
    </row>
    <row r="1197" spans="1:11" s="559" customFormat="1" ht="19.149999999999999" customHeight="1">
      <c r="A1197" s="924"/>
      <c r="B1197" s="925"/>
      <c r="C1197" s="926" t="s">
        <v>2286</v>
      </c>
      <c r="D1197" s="927"/>
      <c r="E1197" s="928"/>
      <c r="F1197" s="927"/>
      <c r="G1197" s="928"/>
      <c r="H1197" s="928"/>
      <c r="I1197" s="931">
        <f>SUM(I1192:I1196)</f>
        <v>10750.237660400002</v>
      </c>
    </row>
    <row r="1198" spans="1:11" s="559" customFormat="1" ht="19.149999999999999" customHeight="1">
      <c r="A1198" s="924"/>
      <c r="B1198" s="925"/>
      <c r="C1198" s="926" t="str">
        <f>[161]Input!$C$48</f>
        <v>Overheads &amp; Contractors Profit @ 13.615%</v>
      </c>
      <c r="D1198" s="930">
        <f>[161]Input!$D$48</f>
        <v>0.13614999999999999</v>
      </c>
      <c r="E1198" s="928"/>
      <c r="F1198" s="927">
        <f>I1197</f>
        <v>10750.237660400002</v>
      </c>
      <c r="G1198" s="928"/>
      <c r="H1198" s="928"/>
      <c r="I1198" s="929">
        <f>IF(G1198="",D1198*F1198,(D1198*F1198/G1198))</f>
        <v>1463.6448574634601</v>
      </c>
    </row>
    <row r="1199" spans="1:11" s="559" customFormat="1" ht="19.149999999999999" customHeight="1">
      <c r="A1199" s="924"/>
      <c r="B1199" s="925"/>
      <c r="C1199" s="926"/>
      <c r="D1199" s="927"/>
      <c r="E1199" s="928"/>
      <c r="F1199" s="927"/>
      <c r="G1199" s="928"/>
      <c r="H1199" s="928"/>
      <c r="I1199" s="931">
        <f>SUM(I1197:I1198)</f>
        <v>12213.882517863462</v>
      </c>
    </row>
    <row r="1200" spans="1:11" s="559" customFormat="1" ht="19.149999999999999" customHeight="1">
      <c r="A1200" s="924"/>
      <c r="B1200" s="925"/>
      <c r="C1200" s="923" t="s">
        <v>2261</v>
      </c>
      <c r="D1200" s="927"/>
      <c r="E1200" s="928"/>
      <c r="F1200" s="927"/>
      <c r="G1200" s="928"/>
      <c r="H1200" s="928"/>
      <c r="I1200" s="931">
        <f>I1199/H1174</f>
        <v>3769.7168265010682</v>
      </c>
    </row>
    <row r="1201" spans="1:12" s="559" customFormat="1" ht="19.149999999999999" customHeight="1">
      <c r="A1201" s="924"/>
      <c r="B1201" s="925"/>
      <c r="C1201" s="926"/>
      <c r="D1201" s="927"/>
      <c r="E1201" s="928"/>
      <c r="F1201" s="927"/>
      <c r="G1201" s="1330" t="s">
        <v>726</v>
      </c>
      <c r="H1201" s="1330"/>
      <c r="I1201" s="951">
        <f>ROUND(I1200,0)</f>
        <v>3770</v>
      </c>
    </row>
    <row r="1202" spans="1:12" s="559" customFormat="1" ht="109.9" customHeight="1">
      <c r="A1202" s="1330">
        <f>A1171+1</f>
        <v>10</v>
      </c>
      <c r="B1202" s="1330"/>
      <c r="C1202" s="1331" t="s">
        <v>2287</v>
      </c>
      <c r="D1202" s="1331"/>
      <c r="E1202" s="1331"/>
      <c r="F1202" s="1331"/>
      <c r="G1202" s="1331"/>
      <c r="H1202" s="1331"/>
      <c r="I1202" s="923"/>
    </row>
    <row r="1203" spans="1:12" s="559" customFormat="1" ht="108" customHeight="1">
      <c r="A1203" s="924"/>
      <c r="B1203" s="925"/>
      <c r="C1203" s="1339" t="s">
        <v>2288</v>
      </c>
      <c r="D1203" s="1339"/>
      <c r="E1203" s="1339"/>
      <c r="F1203" s="1339"/>
      <c r="G1203" s="1339"/>
      <c r="H1203" s="1339"/>
      <c r="I1203" s="923"/>
    </row>
    <row r="1204" spans="1:12" s="559" customFormat="1" ht="15.65" customHeight="1">
      <c r="A1204" s="924"/>
      <c r="B1204" s="925"/>
      <c r="C1204" s="923" t="s">
        <v>660</v>
      </c>
      <c r="D1204" s="939" t="s">
        <v>661</v>
      </c>
      <c r="E1204" s="1338" t="s">
        <v>2289</v>
      </c>
      <c r="F1204" s="1338"/>
      <c r="G1204" s="1330">
        <f>1.2*1.8</f>
        <v>2.16</v>
      </c>
      <c r="H1204" s="1330"/>
      <c r="I1204" s="940" t="s">
        <v>62</v>
      </c>
    </row>
    <row r="1205" spans="1:12" s="559" customFormat="1" ht="16" customHeight="1">
      <c r="A1205" s="924"/>
      <c r="B1205" s="925"/>
      <c r="C1205" s="923" t="s">
        <v>660</v>
      </c>
      <c r="D1205" s="947"/>
      <c r="E1205" s="925"/>
      <c r="F1205" s="947"/>
      <c r="G1205" s="928"/>
      <c r="H1205" s="928"/>
      <c r="I1205" s="931"/>
    </row>
    <row r="1206" spans="1:12" s="559" customFormat="1" ht="16" customHeight="1">
      <c r="A1206" s="924"/>
      <c r="B1206" s="925"/>
      <c r="C1206" s="926" t="s">
        <v>2267</v>
      </c>
      <c r="D1206" s="927"/>
      <c r="E1206" s="928"/>
      <c r="F1206" s="927"/>
      <c r="G1206" s="928"/>
      <c r="H1206" s="928"/>
      <c r="I1206" s="931"/>
    </row>
    <row r="1207" spans="1:12" s="559" customFormat="1" ht="15.65" customHeight="1">
      <c r="A1207" s="924"/>
      <c r="B1207" s="925"/>
      <c r="C1207" s="926" t="s">
        <v>2290</v>
      </c>
      <c r="D1207" s="1330" t="s">
        <v>2291</v>
      </c>
      <c r="E1207" s="1330"/>
      <c r="F1207" s="924">
        <v>0.90900000000000003</v>
      </c>
      <c r="G1207" s="943" t="s">
        <v>1553</v>
      </c>
      <c r="H1207" s="949">
        <f>ROUND(1.2*0.909,3)</f>
        <v>1.091</v>
      </c>
      <c r="I1207" s="928" t="s">
        <v>1485</v>
      </c>
      <c r="K1207" s="405">
        <f>1.22*0.909</f>
        <v>1.1089800000000001</v>
      </c>
    </row>
    <row r="1208" spans="1:12" s="559" customFormat="1" ht="15.65" customHeight="1">
      <c r="A1208" s="924"/>
      <c r="B1208" s="925"/>
      <c r="C1208" s="926" t="s">
        <v>2292</v>
      </c>
      <c r="D1208" s="1330" t="s">
        <v>2293</v>
      </c>
      <c r="E1208" s="1330"/>
      <c r="F1208" s="924">
        <v>0.78400000000000003</v>
      </c>
      <c r="G1208" s="943" t="s">
        <v>1553</v>
      </c>
      <c r="H1208" s="928">
        <f>ROUND(2*1.3*0.784,3)</f>
        <v>2.0379999999999998</v>
      </c>
      <c r="I1208" s="928" t="s">
        <v>1485</v>
      </c>
      <c r="K1208" s="405">
        <f>2*1.3*0.784</f>
        <v>2.0384000000000002</v>
      </c>
    </row>
    <row r="1209" spans="1:12" s="559" customFormat="1" ht="15.65" customHeight="1">
      <c r="A1209" s="924"/>
      <c r="B1209" s="925"/>
      <c r="C1209" s="926" t="s">
        <v>2294</v>
      </c>
      <c r="D1209" s="1330" t="s">
        <v>2291</v>
      </c>
      <c r="E1209" s="1330"/>
      <c r="F1209" s="924">
        <v>1.0049999999999999</v>
      </c>
      <c r="G1209" s="943" t="s">
        <v>1553</v>
      </c>
      <c r="H1209" s="928">
        <f>ROUND(1.2*1.005,3)</f>
        <v>1.206</v>
      </c>
      <c r="I1209" s="928" t="s">
        <v>1485</v>
      </c>
      <c r="K1209" s="559">
        <f>1.2*1.005</f>
        <v>1.2059999999999997</v>
      </c>
    </row>
    <row r="1210" spans="1:12" s="559" customFormat="1" ht="15.65" customHeight="1">
      <c r="A1210" s="924"/>
      <c r="B1210" s="925"/>
      <c r="C1210" s="926" t="s">
        <v>2295</v>
      </c>
      <c r="D1210" s="1330" t="s">
        <v>2296</v>
      </c>
      <c r="E1210" s="1330"/>
      <c r="F1210" s="943">
        <v>0.94199999999999995</v>
      </c>
      <c r="G1210" s="943" t="s">
        <v>1553</v>
      </c>
      <c r="H1210" s="928">
        <f>ROUND((1.2+2*0.5)*0.942,3)</f>
        <v>2.0720000000000001</v>
      </c>
      <c r="I1210" s="928" t="s">
        <v>1485</v>
      </c>
      <c r="K1210" s="405">
        <f>1.2*0.942</f>
        <v>1.1303999999999998</v>
      </c>
      <c r="L1210" s="559">
        <f>1.6*0.942</f>
        <v>1.5072000000000001</v>
      </c>
    </row>
    <row r="1211" spans="1:12" s="559" customFormat="1" ht="15.65" customHeight="1">
      <c r="A1211" s="924"/>
      <c r="B1211" s="925"/>
      <c r="C1211" s="926" t="s">
        <v>2276</v>
      </c>
      <c r="D1211" s="943"/>
      <c r="E1211" s="952"/>
      <c r="F1211" s="924"/>
      <c r="G1211" s="943"/>
      <c r="H1211" s="928"/>
      <c r="I1211" s="928"/>
    </row>
    <row r="1212" spans="1:12" s="559" customFormat="1" ht="15.65" customHeight="1">
      <c r="A1212" s="924"/>
      <c r="B1212" s="925"/>
      <c r="C1212" s="926" t="s">
        <v>2277</v>
      </c>
      <c r="D1212" s="1330" t="s">
        <v>2297</v>
      </c>
      <c r="E1212" s="1330"/>
      <c r="F1212" s="924">
        <v>0.64100000000000001</v>
      </c>
      <c r="G1212" s="943" t="s">
        <v>1553</v>
      </c>
      <c r="H1212" s="927">
        <f>ROUND(2*0.6*0.641,3)</f>
        <v>0.76900000000000002</v>
      </c>
      <c r="I1212" s="928" t="s">
        <v>1485</v>
      </c>
      <c r="K1212" s="703">
        <f>3*0.4*0.641</f>
        <v>0.76920000000000011</v>
      </c>
    </row>
    <row r="1213" spans="1:12" s="559" customFormat="1" ht="15.65" customHeight="1">
      <c r="A1213" s="924"/>
      <c r="B1213" s="925"/>
      <c r="C1213" s="926" t="s">
        <v>2298</v>
      </c>
      <c r="D1213" s="1330" t="s">
        <v>2299</v>
      </c>
      <c r="E1213" s="1330"/>
      <c r="F1213" s="924">
        <v>0.52200000000000002</v>
      </c>
      <c r="G1213" s="943" t="s">
        <v>1553</v>
      </c>
      <c r="H1213" s="928">
        <f>ROUND((3*1.7)*0.522,3)</f>
        <v>2.6619999999999999</v>
      </c>
      <c r="I1213" s="928" t="s">
        <v>1485</v>
      </c>
      <c r="K1213" s="405">
        <f>(3*(1.3+0.4)*0.522)</f>
        <v>2.6622000000000003</v>
      </c>
      <c r="L1213" s="405"/>
    </row>
    <row r="1214" spans="1:12" s="559" customFormat="1" ht="15.65" customHeight="1">
      <c r="A1214" s="924"/>
      <c r="B1214" s="925"/>
      <c r="C1214" s="926" t="s">
        <v>2282</v>
      </c>
      <c r="D1214" s="1330" t="s">
        <v>2300</v>
      </c>
      <c r="E1214" s="1330"/>
      <c r="F1214" s="924">
        <v>0.66300000000000003</v>
      </c>
      <c r="G1214" s="943" t="s">
        <v>1553</v>
      </c>
      <c r="H1214" s="928">
        <f>ROUND(3*1.3*0.663,3)</f>
        <v>2.5859999999999999</v>
      </c>
      <c r="I1214" s="928" t="s">
        <v>1485</v>
      </c>
      <c r="K1214" s="405">
        <f>3*1.3*0.663</f>
        <v>2.5857000000000006</v>
      </c>
    </row>
    <row r="1215" spans="1:12" s="559" customFormat="1" ht="15.65" customHeight="1">
      <c r="A1215" s="924"/>
      <c r="B1215" s="925"/>
      <c r="C1215" s="926" t="s">
        <v>2081</v>
      </c>
      <c r="D1215" s="1330" t="s">
        <v>2301</v>
      </c>
      <c r="E1215" s="1330"/>
      <c r="F1215" s="1330"/>
      <c r="G1215" s="1330"/>
      <c r="H1215" s="928"/>
      <c r="I1215" s="928"/>
      <c r="K1215" s="559">
        <f>3*2*(0.4+0.5)+3*2*(0.4+1.3)</f>
        <v>15.600000000000001</v>
      </c>
    </row>
    <row r="1216" spans="1:12" s="559" customFormat="1" ht="15.65" customHeight="1">
      <c r="A1216" s="924"/>
      <c r="B1216" s="925"/>
      <c r="C1216" s="926"/>
      <c r="D1216" s="1330" t="s">
        <v>2302</v>
      </c>
      <c r="E1216" s="1330"/>
      <c r="F1216" s="1330"/>
      <c r="G1216" s="1330"/>
      <c r="H1216" s="928">
        <f>ROUND(15.6*0.101,3)</f>
        <v>1.5760000000000001</v>
      </c>
      <c r="I1216" s="928" t="s">
        <v>1485</v>
      </c>
      <c r="K1216" s="405">
        <f>15.6*0.101</f>
        <v>1.5756000000000001</v>
      </c>
    </row>
    <row r="1217" spans="1:9" s="559" customFormat="1" ht="13.9" customHeight="1">
      <c r="A1217" s="924"/>
      <c r="B1217" s="925"/>
      <c r="C1217" s="926"/>
      <c r="D1217" s="1336"/>
      <c r="E1217" s="1336"/>
      <c r="F1217" s="1336"/>
      <c r="G1217" s="1337">
        <f>SUM(H1207:H1216)</f>
        <v>14</v>
      </c>
      <c r="H1217" s="1337"/>
      <c r="I1217" s="925" t="s">
        <v>1485</v>
      </c>
    </row>
    <row r="1218" spans="1:9" s="559" customFormat="1" ht="13.9" customHeight="1">
      <c r="A1218" s="924"/>
      <c r="B1218" s="925"/>
      <c r="C1218" s="926"/>
      <c r="D1218" s="1330">
        <f>6*1.1+6*1.9</f>
        <v>18</v>
      </c>
      <c r="E1218" s="1330"/>
      <c r="F1218" s="1330"/>
      <c r="G1218" s="928"/>
      <c r="H1218" s="943"/>
      <c r="I1218" s="925"/>
    </row>
    <row r="1219" spans="1:9" s="559" customFormat="1" ht="17.5" customHeight="1">
      <c r="A1219" s="924"/>
      <c r="B1219" s="925"/>
      <c r="C1219" s="926" t="s">
        <v>2084</v>
      </c>
      <c r="D1219" s="1335" t="s">
        <v>2289</v>
      </c>
      <c r="E1219" s="1335"/>
      <c r="F1219" s="1335"/>
      <c r="G1219" s="928"/>
      <c r="H1219" s="947">
        <f>1.2*1.8</f>
        <v>2.16</v>
      </c>
      <c r="I1219" s="943" t="s">
        <v>17</v>
      </c>
    </row>
    <row r="1220" spans="1:9" s="559" customFormat="1" ht="16" customHeight="1">
      <c r="A1220" s="924"/>
      <c r="B1220" s="925"/>
      <c r="C1220" s="926" t="s">
        <v>2090</v>
      </c>
      <c r="D1220" s="927"/>
      <c r="E1220" s="928"/>
      <c r="F1220" s="927"/>
      <c r="G1220" s="928"/>
      <c r="H1220" s="947">
        <v>6</v>
      </c>
      <c r="I1220" s="925" t="s">
        <v>1052</v>
      </c>
    </row>
    <row r="1221" spans="1:9" s="559" customFormat="1" ht="14.65" customHeight="1">
      <c r="A1221" s="924"/>
      <c r="B1221" s="925"/>
      <c r="C1221" s="926"/>
      <c r="D1221" s="927"/>
      <c r="E1221" s="928"/>
      <c r="F1221" s="927"/>
      <c r="G1221" s="928"/>
      <c r="H1221" s="947"/>
      <c r="I1221" s="928"/>
    </row>
    <row r="1222" spans="1:9" s="559" customFormat="1" ht="16" customHeight="1">
      <c r="A1222" s="924"/>
      <c r="B1222" s="925"/>
      <c r="C1222" s="923" t="s">
        <v>672</v>
      </c>
      <c r="D1222" s="927"/>
      <c r="E1222" s="928"/>
      <c r="F1222" s="927"/>
      <c r="G1222" s="928"/>
      <c r="H1222" s="928"/>
      <c r="I1222" s="931"/>
    </row>
    <row r="1223" spans="1:9" s="559" customFormat="1" ht="16" customHeight="1">
      <c r="A1223" s="924"/>
      <c r="B1223" s="925"/>
      <c r="C1223" s="923" t="s">
        <v>2092</v>
      </c>
      <c r="D1223" s="927"/>
      <c r="E1223" s="928"/>
      <c r="F1223" s="927"/>
      <c r="G1223" s="928"/>
      <c r="H1223" s="928"/>
      <c r="I1223" s="931"/>
    </row>
    <row r="1224" spans="1:9" s="559" customFormat="1" ht="22.15" customHeight="1">
      <c r="A1224" s="924"/>
      <c r="B1224" s="925"/>
      <c r="C1224" s="926" t="s">
        <v>2303</v>
      </c>
      <c r="D1224" s="949">
        <f>G1217</f>
        <v>14</v>
      </c>
      <c r="E1224" s="928" t="s">
        <v>1485</v>
      </c>
      <c r="F1224" s="927">
        <f>'[161]Civil-SOR'!$G$186</f>
        <v>332</v>
      </c>
      <c r="G1224" s="928">
        <v>1</v>
      </c>
      <c r="H1224" s="928" t="s">
        <v>1485</v>
      </c>
      <c r="I1224" s="929">
        <f t="shared" ref="I1224:I1227" si="69">IF(G1224="",D1224*F1224,(D1224*F1224/G1224))</f>
        <v>4648</v>
      </c>
    </row>
    <row r="1225" spans="1:9" s="559" customFormat="1" ht="22.15" customHeight="1">
      <c r="A1225" s="924"/>
      <c r="B1225" s="925"/>
      <c r="C1225" s="926" t="s">
        <v>2304</v>
      </c>
      <c r="D1225" s="927">
        <f>G1204</f>
        <v>2.16</v>
      </c>
      <c r="E1225" s="928" t="s">
        <v>2085</v>
      </c>
      <c r="F1225" s="927">
        <f>'[161]Civil-SOR'!$G$49</f>
        <v>568</v>
      </c>
      <c r="G1225" s="928">
        <v>1</v>
      </c>
      <c r="H1225" s="928" t="s">
        <v>2085</v>
      </c>
      <c r="I1225" s="929">
        <f t="shared" si="69"/>
        <v>1226.8800000000001</v>
      </c>
    </row>
    <row r="1226" spans="1:9" s="559" customFormat="1" ht="22.15" customHeight="1">
      <c r="A1226" s="924"/>
      <c r="B1226" s="925"/>
      <c r="C1226" s="926" t="s">
        <v>2305</v>
      </c>
      <c r="D1226" s="927">
        <f>H1220</f>
        <v>6</v>
      </c>
      <c r="E1226" s="928" t="s">
        <v>1052</v>
      </c>
      <c r="F1226" s="927">
        <f>'[161]Civil-SOR'!$G$187</f>
        <v>5</v>
      </c>
      <c r="G1226" s="928">
        <v>1</v>
      </c>
      <c r="H1226" s="928" t="s">
        <v>1052</v>
      </c>
      <c r="I1226" s="929">
        <f t="shared" si="69"/>
        <v>30</v>
      </c>
    </row>
    <row r="1227" spans="1:9" s="559" customFormat="1" ht="15" customHeight="1">
      <c r="A1227" s="924"/>
      <c r="B1227" s="925"/>
      <c r="C1227" s="923" t="s">
        <v>2102</v>
      </c>
      <c r="D1227" s="927">
        <f>G1204</f>
        <v>2.16</v>
      </c>
      <c r="E1227" s="927" t="s">
        <v>17</v>
      </c>
      <c r="F1227" s="927">
        <f>$I$38</f>
        <v>1029.5647100000001</v>
      </c>
      <c r="G1227" s="928">
        <v>1</v>
      </c>
      <c r="H1227" s="927" t="s">
        <v>17</v>
      </c>
      <c r="I1227" s="929">
        <f t="shared" si="69"/>
        <v>2223.8597736000002</v>
      </c>
    </row>
    <row r="1228" spans="1:9" s="559" customFormat="1" ht="14.5" customHeight="1">
      <c r="A1228" s="924"/>
      <c r="B1228" s="925"/>
      <c r="C1228" s="926" t="s">
        <v>2103</v>
      </c>
      <c r="D1228" s="1330" t="s">
        <v>1570</v>
      </c>
      <c r="E1228" s="1330"/>
      <c r="F1228" s="927"/>
      <c r="G1228" s="928"/>
      <c r="H1228" s="928"/>
      <c r="I1228" s="931"/>
    </row>
    <row r="1229" spans="1:9" s="560" customFormat="1" ht="16.149999999999999" customHeight="1">
      <c r="A1229" s="932"/>
      <c r="B1229" s="933"/>
      <c r="C1229" s="945" t="s">
        <v>2306</v>
      </c>
      <c r="D1229" s="935"/>
      <c r="E1229" s="936"/>
      <c r="F1229" s="935"/>
      <c r="G1229" s="936"/>
      <c r="H1229" s="936"/>
      <c r="I1229" s="946">
        <f>SUM(I1224:I1228)</f>
        <v>8128.7397736000003</v>
      </c>
    </row>
    <row r="1230" spans="1:9" s="559" customFormat="1" ht="22.15" customHeight="1">
      <c r="A1230" s="924"/>
      <c r="B1230" s="925"/>
      <c r="C1230" s="926" t="str">
        <f>[161]Input!$C$48</f>
        <v>Overheads &amp; Contractors Profit @ 13.615%</v>
      </c>
      <c r="D1230" s="930">
        <f>[161]Input!$D$48</f>
        <v>0.13614999999999999</v>
      </c>
      <c r="E1230" s="928"/>
      <c r="F1230" s="927">
        <f>I1229</f>
        <v>8128.7397736000003</v>
      </c>
      <c r="G1230" s="928"/>
      <c r="H1230" s="928"/>
      <c r="I1230" s="929">
        <f>IF(G1230="",D1230*F1230,(D1230*F1230/G1230))</f>
        <v>1106.7279201756401</v>
      </c>
    </row>
    <row r="1231" spans="1:9" s="560" customFormat="1" ht="22.15" customHeight="1">
      <c r="A1231" s="932"/>
      <c r="B1231" s="933"/>
      <c r="C1231" s="943"/>
      <c r="D1231" s="935"/>
      <c r="E1231" s="936"/>
      <c r="F1231" s="935"/>
      <c r="G1231" s="936"/>
      <c r="H1231" s="936"/>
      <c r="I1231" s="946">
        <f>SUM(I1229:I1230)</f>
        <v>9235.4676937756412</v>
      </c>
    </row>
    <row r="1232" spans="1:9" s="560" customFormat="1" ht="22.15" customHeight="1">
      <c r="A1232" s="932"/>
      <c r="B1232" s="933"/>
      <c r="C1232" s="945" t="s">
        <v>2261</v>
      </c>
      <c r="D1232" s="935"/>
      <c r="E1232" s="936"/>
      <c r="F1232" s="935"/>
      <c r="G1232" s="936"/>
      <c r="H1232" s="936"/>
      <c r="I1232" s="946">
        <f>I1231/G1204</f>
        <v>4275.6794878590927</v>
      </c>
    </row>
    <row r="1233" spans="1:9" s="560" customFormat="1" ht="22.15" customHeight="1">
      <c r="A1233" s="932"/>
      <c r="B1233" s="933"/>
      <c r="C1233" s="934"/>
      <c r="D1233" s="935"/>
      <c r="E1233" s="936"/>
      <c r="F1233" s="935"/>
      <c r="G1233" s="1330" t="s">
        <v>726</v>
      </c>
      <c r="H1233" s="1330"/>
      <c r="I1233" s="937">
        <f>ROUND(I1232,0)</f>
        <v>4276</v>
      </c>
    </row>
    <row r="1234" spans="1:9" s="559" customFormat="1" ht="14.65" customHeight="1">
      <c r="A1234" s="924"/>
      <c r="B1234" s="925"/>
      <c r="C1234" s="926"/>
      <c r="D1234" s="927"/>
      <c r="E1234" s="928"/>
      <c r="F1234" s="927"/>
      <c r="G1234" s="928"/>
      <c r="H1234" s="928"/>
      <c r="I1234" s="931"/>
    </row>
    <row r="1235" spans="1:9" s="559" customFormat="1" ht="14.65" customHeight="1">
      <c r="A1235" s="924"/>
      <c r="B1235" s="925"/>
      <c r="C1235" s="926"/>
      <c r="D1235" s="927"/>
      <c r="E1235" s="928"/>
      <c r="F1235" s="927"/>
      <c r="G1235" s="928"/>
      <c r="H1235" s="928"/>
      <c r="I1235" s="931"/>
    </row>
    <row r="1236" spans="1:9" s="559" customFormat="1" ht="105.65" customHeight="1">
      <c r="A1236" s="1330">
        <f>A1202+1</f>
        <v>11</v>
      </c>
      <c r="B1236" s="1330"/>
      <c r="C1236" s="1331" t="s">
        <v>2307</v>
      </c>
      <c r="D1236" s="1331"/>
      <c r="E1236" s="1331"/>
      <c r="F1236" s="1331"/>
      <c r="G1236" s="1331"/>
      <c r="H1236" s="1331"/>
      <c r="I1236" s="923"/>
    </row>
    <row r="1237" spans="1:9" s="559" customFormat="1" ht="16.899999999999999" customHeight="1">
      <c r="A1237" s="924"/>
      <c r="B1237" s="925"/>
      <c r="C1237" s="926" t="s">
        <v>2308</v>
      </c>
      <c r="D1237" s="927">
        <v>1</v>
      </c>
      <c r="E1237" s="928" t="s">
        <v>17</v>
      </c>
      <c r="F1237" s="927">
        <f>'[161]Civil-SOR'!$G$110</f>
        <v>4030</v>
      </c>
      <c r="G1237" s="944">
        <v>1</v>
      </c>
      <c r="H1237" s="953" t="s">
        <v>17</v>
      </c>
      <c r="I1237" s="929">
        <f t="shared" ref="I1237:I1238" si="70">IF(G1237="",D1237*F1237,(D1237*F1237/G1237))</f>
        <v>4030</v>
      </c>
    </row>
    <row r="1238" spans="1:9" s="559" customFormat="1" ht="16.899999999999999" customHeight="1">
      <c r="A1238" s="924"/>
      <c r="B1238" s="925"/>
      <c r="C1238" s="926" t="str">
        <f>[161]Input!$C$48</f>
        <v>Overheads &amp; Contractors Profit @ 13.615%</v>
      </c>
      <c r="D1238" s="930">
        <f>[161]Input!$D$48</f>
        <v>0.13614999999999999</v>
      </c>
      <c r="E1238" s="928"/>
      <c r="F1238" s="927">
        <f>I1237</f>
        <v>4030</v>
      </c>
      <c r="G1238" s="944"/>
      <c r="H1238" s="953"/>
      <c r="I1238" s="929">
        <f t="shared" si="70"/>
        <v>548.68449999999996</v>
      </c>
    </row>
    <row r="1239" spans="1:9" s="559" customFormat="1" ht="15" customHeight="1">
      <c r="A1239" s="924"/>
      <c r="B1239" s="925"/>
      <c r="C1239" s="926"/>
      <c r="D1239" s="927"/>
      <c r="E1239" s="928"/>
      <c r="F1239" s="927"/>
      <c r="G1239" s="944"/>
      <c r="H1239" s="953"/>
      <c r="I1239" s="929">
        <f>SUM(I1237:I1238)</f>
        <v>4578.6845000000003</v>
      </c>
    </row>
    <row r="1240" spans="1:9" s="560" customFormat="1" ht="17.5" customHeight="1">
      <c r="A1240" s="932"/>
      <c r="B1240" s="933"/>
      <c r="C1240" s="945" t="s">
        <v>1585</v>
      </c>
      <c r="D1240" s="935"/>
      <c r="E1240" s="936"/>
      <c r="F1240" s="935"/>
      <c r="G1240" s="1330" t="s">
        <v>726</v>
      </c>
      <c r="H1240" s="1330"/>
      <c r="I1240" s="937">
        <f>ROUND(I1239,0)</f>
        <v>4579</v>
      </c>
    </row>
    <row r="1241" spans="1:9" s="559" customFormat="1" ht="12.75" customHeight="1">
      <c r="A1241" s="924"/>
      <c r="B1241" s="925"/>
      <c r="C1241" s="943"/>
      <c r="D1241" s="927"/>
      <c r="E1241" s="928"/>
      <c r="F1241" s="927"/>
      <c r="G1241" s="943"/>
      <c r="H1241" s="943"/>
      <c r="I1241" s="951"/>
    </row>
    <row r="1242" spans="1:9" s="559" customFormat="1" ht="105" customHeight="1">
      <c r="A1242" s="1330">
        <f>A1236+1</f>
        <v>12</v>
      </c>
      <c r="B1242" s="1330"/>
      <c r="C1242" s="1330" t="s">
        <v>2309</v>
      </c>
      <c r="D1242" s="1330"/>
      <c r="E1242" s="1330"/>
      <c r="F1242" s="1330"/>
      <c r="G1242" s="1330"/>
      <c r="H1242" s="1330"/>
      <c r="I1242" s="923"/>
    </row>
    <row r="1243" spans="1:9" s="559" customFormat="1" ht="16.899999999999999" customHeight="1">
      <c r="A1243" s="924"/>
      <c r="B1243" s="925"/>
      <c r="C1243" s="926" t="s">
        <v>2310</v>
      </c>
      <c r="D1243" s="927">
        <v>1</v>
      </c>
      <c r="E1243" s="928" t="s">
        <v>62</v>
      </c>
      <c r="F1243" s="927">
        <f>'[161]Civil-SOR'!G146</f>
        <v>3756</v>
      </c>
      <c r="G1243" s="927">
        <v>1</v>
      </c>
      <c r="H1243" s="928" t="s">
        <v>62</v>
      </c>
      <c r="I1243" s="929">
        <f>IF(G1243="",D1243*F1243,(D1243*F1243/G1243))</f>
        <v>3756</v>
      </c>
    </row>
    <row r="1244" spans="1:9" s="559" customFormat="1" ht="16.899999999999999" customHeight="1">
      <c r="A1244" s="924"/>
      <c r="B1244" s="954"/>
      <c r="C1244" s="926" t="s">
        <v>2241</v>
      </c>
      <c r="D1244" s="927">
        <v>1</v>
      </c>
      <c r="E1244" s="928" t="s">
        <v>62</v>
      </c>
      <c r="F1244" s="927">
        <f>'[161]Civil-SOR'!$G$49</f>
        <v>568</v>
      </c>
      <c r="G1244" s="928">
        <v>1</v>
      </c>
      <c r="H1244" s="928" t="s">
        <v>62</v>
      </c>
      <c r="I1244" s="929">
        <f>-IF(G1244="",D1244*F1244,(D1244*F1244/G1244))</f>
        <v>-568</v>
      </c>
    </row>
    <row r="1245" spans="1:9" s="559" customFormat="1" ht="16.899999999999999" customHeight="1">
      <c r="A1245" s="924"/>
      <c r="B1245" s="954"/>
      <c r="C1245" s="926" t="s">
        <v>2243</v>
      </c>
      <c r="D1245" s="927">
        <v>1</v>
      </c>
      <c r="E1245" s="928" t="s">
        <v>62</v>
      </c>
      <c r="F1245" s="927">
        <f>'[161]Civil-SOR'!$G$51</f>
        <v>336</v>
      </c>
      <c r="G1245" s="928">
        <v>1</v>
      </c>
      <c r="H1245" s="928" t="s">
        <v>62</v>
      </c>
      <c r="I1245" s="929">
        <f>IF(G1245="",D1245*F1245,(D1245*F1245/G1245))</f>
        <v>336</v>
      </c>
    </row>
    <row r="1246" spans="1:9" s="559" customFormat="1" ht="14.5" customHeight="1">
      <c r="A1246" s="924"/>
      <c r="B1246" s="925"/>
      <c r="C1246" s="926"/>
      <c r="D1246" s="927"/>
      <c r="E1246" s="928"/>
      <c r="F1246" s="927"/>
      <c r="G1246" s="927"/>
      <c r="H1246" s="928"/>
      <c r="I1246" s="929">
        <f>SUM(I1243:I1245)</f>
        <v>3524</v>
      </c>
    </row>
    <row r="1247" spans="1:9" s="559" customFormat="1" ht="14.5" customHeight="1">
      <c r="A1247" s="924"/>
      <c r="B1247" s="925"/>
      <c r="C1247" s="926" t="str">
        <f>[161]Input!$C$48</f>
        <v>Overheads &amp; Contractors Profit @ 13.615%</v>
      </c>
      <c r="D1247" s="930">
        <f>[161]Input!$D$48</f>
        <v>0.13614999999999999</v>
      </c>
      <c r="E1247" s="928"/>
      <c r="F1247" s="927">
        <f>I1246</f>
        <v>3524</v>
      </c>
      <c r="G1247" s="927"/>
      <c r="H1247" s="928"/>
      <c r="I1247" s="929">
        <f>IF(G1247="",D1247*F1247,(D1247*F1247/G1247))</f>
        <v>479.79259999999999</v>
      </c>
    </row>
    <row r="1248" spans="1:9" s="559" customFormat="1" ht="14.5" customHeight="1">
      <c r="A1248" s="924"/>
      <c r="B1248" s="925"/>
      <c r="C1248" s="923" t="s">
        <v>1585</v>
      </c>
      <c r="D1248" s="927"/>
      <c r="E1248" s="928"/>
      <c r="F1248" s="927"/>
      <c r="G1248" s="927"/>
      <c r="H1248" s="928"/>
      <c r="I1248" s="931">
        <f>SUM(I1246:I1247)</f>
        <v>4003.7925999999998</v>
      </c>
    </row>
    <row r="1249" spans="1:11" s="559" customFormat="1" ht="14.5" customHeight="1">
      <c r="A1249" s="924"/>
      <c r="B1249" s="925"/>
      <c r="C1249" s="926"/>
      <c r="D1249" s="927"/>
      <c r="E1249" s="928"/>
      <c r="F1249" s="927"/>
      <c r="G1249" s="1330" t="s">
        <v>726</v>
      </c>
      <c r="H1249" s="1330"/>
      <c r="I1249" s="951">
        <f>ROUND(I1248,0)</f>
        <v>4004</v>
      </c>
    </row>
    <row r="1250" spans="1:11" s="559" customFormat="1" ht="7.9" customHeight="1">
      <c r="A1250" s="924"/>
      <c r="B1250" s="925"/>
      <c r="C1250" s="926"/>
      <c r="D1250" s="927"/>
      <c r="E1250" s="928"/>
      <c r="F1250" s="927"/>
      <c r="G1250" s="928"/>
      <c r="H1250" s="928"/>
      <c r="I1250" s="931"/>
    </row>
    <row r="1251" spans="1:11" s="559" customFormat="1" ht="92.5" customHeight="1">
      <c r="A1251" s="1330">
        <f>A1242+1</f>
        <v>13</v>
      </c>
      <c r="B1251" s="1330"/>
      <c r="C1251" s="1331" t="s">
        <v>2311</v>
      </c>
      <c r="D1251" s="1331"/>
      <c r="E1251" s="1331"/>
      <c r="F1251" s="1331"/>
      <c r="G1251" s="1331"/>
      <c r="H1251" s="1331"/>
      <c r="I1251" s="923"/>
    </row>
    <row r="1252" spans="1:11" s="559" customFormat="1" ht="16" customHeight="1">
      <c r="A1252" s="924"/>
      <c r="B1252" s="925"/>
      <c r="C1252" s="943" t="s">
        <v>2312</v>
      </c>
      <c r="D1252" s="928"/>
      <c r="E1252" s="928"/>
      <c r="F1252" s="928"/>
      <c r="G1252" s="928"/>
      <c r="H1252" s="925">
        <f>1.2*1.8</f>
        <v>2.16</v>
      </c>
      <c r="I1252" s="954" t="s">
        <v>17</v>
      </c>
    </row>
    <row r="1253" spans="1:11" s="559" customFormat="1" ht="16.899999999999999" customHeight="1">
      <c r="A1253" s="924"/>
      <c r="B1253" s="925"/>
      <c r="C1253" s="928" t="s">
        <v>2313</v>
      </c>
      <c r="D1253" s="953">
        <f>ROUND(2*(1.2+1.8)*0.075*0.04,4)</f>
        <v>1.7999999999999999E-2</v>
      </c>
      <c r="E1253" s="928" t="s">
        <v>57</v>
      </c>
      <c r="F1253" s="927">
        <f>'[161]Civil-SOR'!$G$25</f>
        <v>82331</v>
      </c>
      <c r="G1253" s="928">
        <v>1</v>
      </c>
      <c r="H1253" s="928" t="s">
        <v>839</v>
      </c>
      <c r="I1253" s="929">
        <f t="shared" ref="I1253:I1262" si="71">IF(G1253="",D1253*F1253,(D1253*F1253/G1253))</f>
        <v>1481.9579999999999</v>
      </c>
      <c r="K1253" s="703"/>
    </row>
    <row r="1254" spans="1:11" s="559" customFormat="1" ht="16.899999999999999" customHeight="1">
      <c r="A1254" s="924"/>
      <c r="B1254" s="925"/>
      <c r="C1254" s="922" t="s">
        <v>2314</v>
      </c>
      <c r="D1254" s="943">
        <f>1.2*1.8</f>
        <v>2.16</v>
      </c>
      <c r="E1254" s="943" t="s">
        <v>62</v>
      </c>
      <c r="F1254" s="922">
        <f>'[161]Civil-SOR'!$G$79</f>
        <v>886</v>
      </c>
      <c r="G1254" s="943">
        <v>1</v>
      </c>
      <c r="H1254" s="943" t="s">
        <v>2315</v>
      </c>
      <c r="I1254" s="943">
        <f t="shared" si="71"/>
        <v>1913.7600000000002</v>
      </c>
      <c r="K1254" s="703"/>
    </row>
    <row r="1255" spans="1:11" s="559" customFormat="1" ht="16.899999999999999" customHeight="1">
      <c r="A1255" s="928"/>
      <c r="B1255" s="925"/>
      <c r="C1255" s="928" t="s">
        <v>2316</v>
      </c>
      <c r="D1255" s="928">
        <v>6</v>
      </c>
      <c r="E1255" s="928" t="s">
        <v>14</v>
      </c>
      <c r="F1255" s="927">
        <f>'[161]Civil-SOR'!$G$160</f>
        <v>25</v>
      </c>
      <c r="G1255" s="928">
        <v>1</v>
      </c>
      <c r="H1255" s="928" t="s">
        <v>572</v>
      </c>
      <c r="I1255" s="929">
        <f t="shared" si="71"/>
        <v>150</v>
      </c>
      <c r="K1255" s="703"/>
    </row>
    <row r="1256" spans="1:11" s="559" customFormat="1" ht="16.899999999999999" customHeight="1">
      <c r="A1256" s="928"/>
      <c r="B1256" s="925"/>
      <c r="C1256" s="928" t="s">
        <v>2317</v>
      </c>
      <c r="D1256" s="928">
        <v>2</v>
      </c>
      <c r="E1256" s="928" t="s">
        <v>14</v>
      </c>
      <c r="F1256" s="927">
        <f>'[161]Civil-SOR'!$G$155</f>
        <v>28</v>
      </c>
      <c r="G1256" s="928">
        <v>1</v>
      </c>
      <c r="H1256" s="928" t="s">
        <v>572</v>
      </c>
      <c r="I1256" s="929">
        <f t="shared" si="71"/>
        <v>56</v>
      </c>
      <c r="K1256" s="703"/>
    </row>
    <row r="1257" spans="1:11" s="559" customFormat="1" ht="16.899999999999999" customHeight="1">
      <c r="A1257" s="928"/>
      <c r="B1257" s="925"/>
      <c r="C1257" s="928" t="s">
        <v>2318</v>
      </c>
      <c r="D1257" s="928">
        <v>2</v>
      </c>
      <c r="E1257" s="928" t="s">
        <v>14</v>
      </c>
      <c r="F1257" s="927">
        <f>'[161]Civil-SOR'!$G$391</f>
        <v>30</v>
      </c>
      <c r="G1257" s="928">
        <v>1</v>
      </c>
      <c r="H1257" s="928" t="s">
        <v>572</v>
      </c>
      <c r="I1257" s="929">
        <f t="shared" si="71"/>
        <v>60</v>
      </c>
      <c r="K1257" s="703"/>
    </row>
    <row r="1258" spans="1:11" s="559" customFormat="1" ht="16.899999999999999" customHeight="1">
      <c r="A1258" s="928"/>
      <c r="B1258" s="925"/>
      <c r="C1258" s="928" t="s">
        <v>2319</v>
      </c>
      <c r="D1258" s="927">
        <v>7.2</v>
      </c>
      <c r="E1258" s="928" t="s">
        <v>1052</v>
      </c>
      <c r="F1258" s="922">
        <f>'[161]Civil-SOR'!$G$383</f>
        <v>32</v>
      </c>
      <c r="G1258" s="928">
        <v>1</v>
      </c>
      <c r="H1258" s="928" t="s">
        <v>1052</v>
      </c>
      <c r="I1258" s="929">
        <f t="shared" si="71"/>
        <v>230.4</v>
      </c>
      <c r="K1258" s="703"/>
    </row>
    <row r="1259" spans="1:11" s="559" customFormat="1" ht="14.5" customHeight="1">
      <c r="A1259" s="928"/>
      <c r="B1259" s="925"/>
      <c r="C1259" s="928" t="s">
        <v>2320</v>
      </c>
      <c r="D1259" s="928">
        <v>1</v>
      </c>
      <c r="E1259" s="928" t="s">
        <v>14</v>
      </c>
      <c r="F1259" s="927">
        <f>'[161]Civil-SOR'!$G$395</f>
        <v>100</v>
      </c>
      <c r="G1259" s="928">
        <v>1</v>
      </c>
      <c r="H1259" s="928" t="s">
        <v>572</v>
      </c>
      <c r="I1259" s="929">
        <f t="shared" si="71"/>
        <v>100</v>
      </c>
      <c r="K1259" s="703"/>
    </row>
    <row r="1260" spans="1:11" s="559" customFormat="1" ht="15" customHeight="1">
      <c r="A1260" s="928"/>
      <c r="B1260" s="925"/>
      <c r="C1260" s="928" t="s">
        <v>682</v>
      </c>
      <c r="D1260" s="953">
        <f>ROUND(2*(1.2+1.8)*0.075*0.032,4)</f>
        <v>1.44E-2</v>
      </c>
      <c r="E1260" s="928" t="s">
        <v>57</v>
      </c>
      <c r="F1260" s="927">
        <f>$I$8</f>
        <v>15027.85</v>
      </c>
      <c r="G1260" s="928">
        <v>1</v>
      </c>
      <c r="H1260" s="928" t="s">
        <v>839</v>
      </c>
      <c r="I1260" s="929">
        <f t="shared" si="71"/>
        <v>216.40103999999999</v>
      </c>
      <c r="K1260" s="703"/>
    </row>
    <row r="1261" spans="1:11" s="559" customFormat="1" ht="16.899999999999999" customHeight="1">
      <c r="A1261" s="928"/>
      <c r="B1261" s="925"/>
      <c r="C1261" s="943" t="s">
        <v>2321</v>
      </c>
      <c r="D1261" s="927">
        <f>H1252</f>
        <v>2.16</v>
      </c>
      <c r="E1261" s="928" t="s">
        <v>62</v>
      </c>
      <c r="F1261" s="927">
        <f>'[161]Civil-SOR'!$G$394</f>
        <v>800</v>
      </c>
      <c r="G1261" s="928">
        <v>1</v>
      </c>
      <c r="H1261" s="928" t="s">
        <v>2315</v>
      </c>
      <c r="I1261" s="929">
        <f t="shared" si="71"/>
        <v>1728</v>
      </c>
      <c r="K1261" s="703"/>
    </row>
    <row r="1262" spans="1:11" s="559" customFormat="1" ht="13.9" customHeight="1">
      <c r="A1262" s="928"/>
      <c r="B1262" s="925"/>
      <c r="C1262" s="926" t="str">
        <f>[161]Input!$C$47</f>
        <v>Add for MA @ 40%</v>
      </c>
      <c r="D1262" s="927">
        <f>[161]Input!$D$47</f>
        <v>0.4</v>
      </c>
      <c r="E1262" s="928"/>
      <c r="F1262" s="927">
        <f>I1260+I1261</f>
        <v>1944.40104</v>
      </c>
      <c r="G1262" s="928"/>
      <c r="H1262" s="928"/>
      <c r="I1262" s="929">
        <f t="shared" si="71"/>
        <v>777.76041600000008</v>
      </c>
      <c r="K1262" s="703"/>
    </row>
    <row r="1263" spans="1:11" s="559" customFormat="1" ht="13.15" customHeight="1">
      <c r="A1263" s="928"/>
      <c r="B1263" s="925"/>
      <c r="C1263" s="928" t="s">
        <v>2322</v>
      </c>
      <c r="D1263" s="928"/>
      <c r="E1263" s="928"/>
      <c r="F1263" s="928"/>
      <c r="G1263" s="928"/>
      <c r="H1263" s="928"/>
      <c r="I1263" s="929"/>
      <c r="K1263" s="703"/>
    </row>
    <row r="1264" spans="1:11" s="559" customFormat="1" ht="16" customHeight="1">
      <c r="A1264" s="928"/>
      <c r="B1264" s="925"/>
      <c r="C1264" s="928"/>
      <c r="D1264" s="928"/>
      <c r="E1264" s="928"/>
      <c r="F1264" s="928"/>
      <c r="G1264" s="928"/>
      <c r="H1264" s="928"/>
      <c r="I1264" s="931">
        <f>SUM(I1253:I1263)</f>
        <v>6714.2794560000002</v>
      </c>
      <c r="K1264" s="703"/>
    </row>
    <row r="1265" spans="1:11" s="559" customFormat="1" ht="15.65" customHeight="1">
      <c r="A1265" s="928"/>
      <c r="B1265" s="925"/>
      <c r="C1265" s="926" t="str">
        <f>[161]Input!$C$48</f>
        <v>Overheads &amp; Contractors Profit @ 13.615%</v>
      </c>
      <c r="D1265" s="930">
        <f>[161]Input!$D$48</f>
        <v>0.13614999999999999</v>
      </c>
      <c r="E1265" s="928"/>
      <c r="F1265" s="927">
        <f>I1264</f>
        <v>6714.2794560000002</v>
      </c>
      <c r="G1265" s="928"/>
      <c r="H1265" s="928"/>
      <c r="I1265" s="931">
        <f>D1265*F1265</f>
        <v>914.14914793439993</v>
      </c>
      <c r="K1265" s="703"/>
    </row>
    <row r="1266" spans="1:11" s="559" customFormat="1" ht="16.899999999999999" customHeight="1">
      <c r="A1266" s="928"/>
      <c r="B1266" s="925"/>
      <c r="C1266" s="925" t="s">
        <v>2323</v>
      </c>
      <c r="D1266" s="928"/>
      <c r="E1266" s="928"/>
      <c r="F1266" s="928"/>
      <c r="G1266" s="928"/>
      <c r="H1266" s="928"/>
      <c r="I1266" s="931">
        <f>SUM(I1264:I1265)</f>
        <v>7628.4286039344006</v>
      </c>
      <c r="K1266" s="703"/>
    </row>
    <row r="1267" spans="1:11" s="559" customFormat="1" ht="16.149999999999999" customHeight="1">
      <c r="A1267" s="928"/>
      <c r="B1267" s="925"/>
      <c r="C1267" s="925" t="s">
        <v>845</v>
      </c>
      <c r="D1267" s="928"/>
      <c r="E1267" s="928"/>
      <c r="F1267" s="928"/>
      <c r="G1267" s="928"/>
      <c r="H1267" s="928"/>
      <c r="I1267" s="931">
        <f>I1266/H1252</f>
        <v>3531.6799092288888</v>
      </c>
      <c r="K1267" s="703"/>
    </row>
    <row r="1268" spans="1:11" s="559" customFormat="1" ht="15" customHeight="1">
      <c r="A1268" s="928"/>
      <c r="B1268" s="925"/>
      <c r="C1268" s="928"/>
      <c r="D1268" s="928"/>
      <c r="E1268" s="928"/>
      <c r="F1268" s="928"/>
      <c r="G1268" s="1330" t="s">
        <v>726</v>
      </c>
      <c r="H1268" s="1330"/>
      <c r="I1268" s="951">
        <f>ROUND(I1267,0)</f>
        <v>3532</v>
      </c>
      <c r="K1268" s="703"/>
    </row>
    <row r="1270" spans="1:11" s="559" customFormat="1">
      <c r="A1270" s="1330">
        <f>A1236+1</f>
        <v>12</v>
      </c>
      <c r="B1270" s="1330"/>
      <c r="C1270" s="1331" t="s">
        <v>2324</v>
      </c>
      <c r="D1270" s="1331"/>
      <c r="E1270" s="1331"/>
      <c r="F1270" s="1331"/>
      <c r="G1270" s="1331"/>
      <c r="H1270" s="1331"/>
      <c r="I1270" s="923"/>
    </row>
    <row r="1271" spans="1:11" s="559" customFormat="1" ht="16.899999999999999" customHeight="1">
      <c r="A1271" s="924"/>
      <c r="B1271" s="925"/>
      <c r="C1271" s="926" t="s">
        <v>2325</v>
      </c>
      <c r="D1271" s="927">
        <v>1</v>
      </c>
      <c r="E1271" s="928" t="s">
        <v>17</v>
      </c>
      <c r="F1271" s="927">
        <v>535</v>
      </c>
      <c r="G1271" s="944">
        <v>1</v>
      </c>
      <c r="H1271" s="953" t="s">
        <v>17</v>
      </c>
      <c r="I1271" s="929">
        <f t="shared" ref="I1271:I1272" si="72">IF(G1271="",D1271*F1271,(D1271*F1271/G1271))</f>
        <v>535</v>
      </c>
    </row>
    <row r="1272" spans="1:11" s="559" customFormat="1" ht="16.899999999999999" customHeight="1">
      <c r="A1272" s="924"/>
      <c r="B1272" s="925"/>
      <c r="C1272" s="926" t="str">
        <f>[161]Input!$C$48</f>
        <v>Overheads &amp; Contractors Profit @ 13.615%</v>
      </c>
      <c r="D1272" s="930">
        <f>[161]Input!$D$48</f>
        <v>0.13614999999999999</v>
      </c>
      <c r="E1272" s="928"/>
      <c r="F1272" s="927">
        <f>I1271</f>
        <v>535</v>
      </c>
      <c r="G1272" s="944"/>
      <c r="H1272" s="953"/>
      <c r="I1272" s="929">
        <f t="shared" si="72"/>
        <v>72.840249999999997</v>
      </c>
    </row>
    <row r="1273" spans="1:11" s="559" customFormat="1" ht="15" customHeight="1">
      <c r="A1273" s="924"/>
      <c r="B1273" s="925"/>
      <c r="C1273" s="926"/>
      <c r="D1273" s="927"/>
      <c r="E1273" s="928"/>
      <c r="F1273" s="927"/>
      <c r="G1273" s="944"/>
      <c r="H1273" s="953"/>
      <c r="I1273" s="929">
        <f>SUM(I1271:I1272)</f>
        <v>607.84024999999997</v>
      </c>
    </row>
    <row r="1274" spans="1:11" s="560" customFormat="1" ht="17.5" customHeight="1">
      <c r="A1274" s="932"/>
      <c r="B1274" s="933"/>
      <c r="C1274" s="945" t="s">
        <v>1585</v>
      </c>
      <c r="D1274" s="935"/>
      <c r="E1274" s="936"/>
      <c r="F1274" s="935"/>
      <c r="G1274" s="1330" t="s">
        <v>726</v>
      </c>
      <c r="H1274" s="1330"/>
      <c r="I1274" s="937">
        <f>ROUND(I1273,0)</f>
        <v>608</v>
      </c>
    </row>
    <row r="1276" spans="1:11" s="559" customFormat="1" ht="214.9" customHeight="1">
      <c r="A1276" s="1332">
        <f>A1270+1</f>
        <v>13</v>
      </c>
      <c r="B1276" s="1332"/>
      <c r="C1276" s="1333" t="s">
        <v>2326</v>
      </c>
      <c r="D1276" s="1334"/>
      <c r="E1276" s="1334"/>
      <c r="F1276" s="1334"/>
      <c r="G1276" s="1334"/>
      <c r="H1276" s="1334"/>
      <c r="I1276" s="427"/>
    </row>
    <row r="1277" spans="1:11" s="559" customFormat="1" ht="18" customHeight="1">
      <c r="A1277" s="845"/>
      <c r="B1277" s="399"/>
      <c r="C1277" s="417" t="s">
        <v>2327</v>
      </c>
      <c r="D1277" s="835">
        <v>1</v>
      </c>
      <c r="E1277" s="435" t="s">
        <v>62</v>
      </c>
      <c r="F1277" s="835">
        <v>8134</v>
      </c>
      <c r="G1277" s="835">
        <v>1</v>
      </c>
      <c r="H1277" s="435" t="s">
        <v>62</v>
      </c>
      <c r="I1277" s="836">
        <f t="shared" ref="I1277:I1278" si="73">IF(G1277="",D1277*F1277,(D1277*F1277/G1277))</f>
        <v>8134</v>
      </c>
    </row>
    <row r="1278" spans="1:11" s="559" customFormat="1" ht="18" customHeight="1">
      <c r="A1278" s="845"/>
      <c r="B1278" s="399"/>
      <c r="C1278" s="417" t="str">
        <f>[161]Input!$C$48</f>
        <v>Overheads &amp; Contractors Profit @ 13.615%</v>
      </c>
      <c r="D1278" s="857">
        <f>[161]Input!$D$48</f>
        <v>0.13614999999999999</v>
      </c>
      <c r="E1278" s="435"/>
      <c r="F1278" s="835">
        <f>I1277</f>
        <v>8134</v>
      </c>
      <c r="G1278" s="835"/>
      <c r="H1278" s="435"/>
      <c r="I1278" s="836">
        <f t="shared" si="73"/>
        <v>1107.4440999999999</v>
      </c>
    </row>
    <row r="1279" spans="1:11" s="559" customFormat="1" ht="18" customHeight="1">
      <c r="A1279" s="845"/>
      <c r="B1279" s="399"/>
      <c r="C1279" s="427" t="s">
        <v>1585</v>
      </c>
      <c r="D1279" s="835"/>
      <c r="E1279" s="435"/>
      <c r="F1279" s="835"/>
      <c r="G1279" s="835"/>
      <c r="H1279" s="435"/>
      <c r="I1279" s="838">
        <f>SUM(I1277:I1278)</f>
        <v>9241.4441000000006</v>
      </c>
    </row>
    <row r="1280" spans="1:11" s="559" customFormat="1" ht="15" customHeight="1">
      <c r="A1280" s="845"/>
      <c r="B1280" s="399"/>
      <c r="C1280" s="417"/>
      <c r="D1280" s="835"/>
      <c r="E1280" s="435"/>
      <c r="F1280" s="835"/>
      <c r="G1280" s="1275" t="s">
        <v>726</v>
      </c>
      <c r="H1280" s="1275"/>
      <c r="I1280" s="865">
        <f>ROUND(I1279,0)</f>
        <v>9241</v>
      </c>
    </row>
    <row r="1282" spans="1:16" s="559" customFormat="1" ht="115.15" customHeight="1">
      <c r="A1282" s="955">
        <v>6</v>
      </c>
      <c r="B1282" s="956"/>
      <c r="C1282" s="1326" t="s">
        <v>657</v>
      </c>
      <c r="D1282" s="1326"/>
      <c r="E1282" s="1326"/>
      <c r="F1282" s="1326"/>
      <c r="G1282" s="1326"/>
      <c r="H1282" s="1326"/>
      <c r="I1282" s="956"/>
    </row>
    <row r="1283" spans="1:16" s="559" customFormat="1" ht="90" customHeight="1">
      <c r="A1283" s="955"/>
      <c r="B1283" s="956"/>
      <c r="C1283" s="1327" t="s">
        <v>658</v>
      </c>
      <c r="D1283" s="1327"/>
      <c r="E1283" s="1327"/>
      <c r="F1283" s="1327"/>
      <c r="G1283" s="1327"/>
      <c r="H1283" s="1327"/>
      <c r="I1283" s="959"/>
      <c r="K1283" s="1328"/>
      <c r="L1283" s="1328"/>
      <c r="M1283" s="1328"/>
      <c r="N1283" s="1328"/>
      <c r="O1283" s="1328"/>
      <c r="P1283" s="1328"/>
    </row>
    <row r="1284" spans="1:16" s="559" customFormat="1" ht="16" customHeight="1">
      <c r="A1284" s="955"/>
      <c r="B1284" s="956"/>
      <c r="C1284" s="957" t="s">
        <v>659</v>
      </c>
      <c r="D1284" s="1321"/>
      <c r="E1284" s="1321"/>
      <c r="F1284" s="1321"/>
      <c r="G1284" s="959"/>
      <c r="H1284" s="959"/>
      <c r="I1284" s="955"/>
    </row>
    <row r="1285" spans="1:16" s="559" customFormat="1" ht="14.5" customHeight="1">
      <c r="A1285" s="955"/>
      <c r="B1285" s="956"/>
      <c r="C1285" s="957" t="s">
        <v>660</v>
      </c>
      <c r="D1285" s="960" t="s">
        <v>661</v>
      </c>
      <c r="E1285" s="1329" t="s">
        <v>662</v>
      </c>
      <c r="F1285" s="1329"/>
      <c r="G1285" s="959"/>
      <c r="H1285" s="960">
        <f>0.8*2.1</f>
        <v>1.6800000000000002</v>
      </c>
      <c r="I1285" s="961" t="s">
        <v>17</v>
      </c>
    </row>
    <row r="1286" spans="1:16" s="559" customFormat="1" ht="14.5" customHeight="1">
      <c r="A1286" s="955"/>
      <c r="B1286" s="956"/>
      <c r="C1286" s="958" t="s">
        <v>663</v>
      </c>
      <c r="D1286" s="1324" t="s">
        <v>664</v>
      </c>
      <c r="E1286" s="1324"/>
      <c r="F1286" s="1324"/>
      <c r="G1286" s="959"/>
      <c r="H1286" s="959"/>
      <c r="I1286" s="963"/>
    </row>
    <row r="1287" spans="1:16" s="559" customFormat="1" ht="14.5" customHeight="1">
      <c r="A1287" s="955"/>
      <c r="B1287" s="956"/>
      <c r="C1287" s="958"/>
      <c r="D1287" s="1319" t="s">
        <v>665</v>
      </c>
      <c r="E1287" s="1319"/>
      <c r="F1287" s="1319"/>
      <c r="G1287" s="1325">
        <f xml:space="preserve"> ROUND(4.2*0.1*0.065,5)</f>
        <v>2.7300000000000001E-2</v>
      </c>
      <c r="H1287" s="1325"/>
      <c r="I1287" s="962" t="s">
        <v>666</v>
      </c>
    </row>
    <row r="1288" spans="1:16" s="559" customFormat="1" ht="14.5" customHeight="1">
      <c r="A1288" s="955"/>
      <c r="B1288" s="956"/>
      <c r="C1288" s="958" t="s">
        <v>667</v>
      </c>
      <c r="D1288" s="1324" t="s">
        <v>668</v>
      </c>
      <c r="E1288" s="1324"/>
      <c r="F1288" s="1324"/>
      <c r="G1288" s="1322"/>
      <c r="H1288" s="1322"/>
      <c r="I1288" s="962"/>
    </row>
    <row r="1289" spans="1:16" s="559" customFormat="1" ht="14.5" customHeight="1">
      <c r="A1289" s="955"/>
      <c r="B1289" s="956"/>
      <c r="C1289" s="958"/>
      <c r="D1289" s="1319" t="s">
        <v>669</v>
      </c>
      <c r="E1289" s="1319"/>
      <c r="F1289" s="1319"/>
      <c r="G1289" s="1325">
        <f xml:space="preserve"> ROUND(0.8*0.1*0.065,5)</f>
        <v>5.1999999999999998E-3</v>
      </c>
      <c r="H1289" s="1325"/>
      <c r="I1289" s="962" t="s">
        <v>666</v>
      </c>
    </row>
    <row r="1290" spans="1:16" s="559" customFormat="1" ht="14.5" customHeight="1">
      <c r="A1290" s="955"/>
      <c r="B1290" s="956"/>
      <c r="C1290" s="958"/>
      <c r="D1290" s="1319"/>
      <c r="E1290" s="1319"/>
      <c r="F1290" s="1319"/>
      <c r="G1290" s="1320">
        <f>SUM(G1287:G1289)</f>
        <v>3.2500000000000001E-2</v>
      </c>
      <c r="H1290" s="1321"/>
      <c r="I1290" s="962" t="s">
        <v>666</v>
      </c>
    </row>
    <row r="1291" spans="1:16" s="559" customFormat="1" ht="14.5" customHeight="1">
      <c r="A1291" s="955"/>
      <c r="B1291" s="956"/>
      <c r="C1291" s="958" t="s">
        <v>670</v>
      </c>
      <c r="D1291" s="1319" t="s">
        <v>671</v>
      </c>
      <c r="E1291" s="1319"/>
      <c r="F1291" s="1319"/>
      <c r="G1291" s="1322">
        <f>ROUND(0.8*2.1,3)</f>
        <v>1.68</v>
      </c>
      <c r="H1291" s="1322"/>
      <c r="I1291" s="961" t="s">
        <v>17</v>
      </c>
    </row>
    <row r="1292" spans="1:16" s="559" customFormat="1" ht="14.5" customHeight="1">
      <c r="A1292" s="955"/>
      <c r="B1292" s="956"/>
      <c r="C1292" s="957" t="s">
        <v>672</v>
      </c>
      <c r="D1292" s="964"/>
      <c r="E1292" s="959"/>
      <c r="F1292" s="964"/>
      <c r="G1292" s="959"/>
      <c r="H1292" s="959"/>
      <c r="I1292" s="963"/>
    </row>
    <row r="1293" spans="1:16" s="559" customFormat="1" ht="15.75" customHeight="1">
      <c r="A1293" s="955"/>
      <c r="B1293" s="956"/>
      <c r="C1293" s="958" t="s">
        <v>673</v>
      </c>
      <c r="D1293" s="964">
        <f>2.1+2.1</f>
        <v>4.2</v>
      </c>
      <c r="E1293" s="959" t="s">
        <v>674</v>
      </c>
      <c r="F1293" s="964">
        <v>749</v>
      </c>
      <c r="G1293" s="959">
        <v>1</v>
      </c>
      <c r="H1293" s="959" t="s">
        <v>666</v>
      </c>
      <c r="I1293" s="965">
        <f t="shared" ref="I1293:I1303" si="74">IF(G1293="",D1293*F1293,(D1293*F1293/G1293))</f>
        <v>3145.8</v>
      </c>
    </row>
    <row r="1294" spans="1:16" s="559" customFormat="1" ht="16" customHeight="1">
      <c r="A1294" s="955"/>
      <c r="B1294" s="956"/>
      <c r="C1294" s="958" t="s">
        <v>675</v>
      </c>
      <c r="D1294" s="964">
        <v>0.8</v>
      </c>
      <c r="E1294" s="959" t="s">
        <v>674</v>
      </c>
      <c r="F1294" s="964">
        <v>749</v>
      </c>
      <c r="G1294" s="959">
        <v>1</v>
      </c>
      <c r="H1294" s="959" t="s">
        <v>666</v>
      </c>
      <c r="I1294" s="965">
        <f t="shared" si="74"/>
        <v>599.20000000000005</v>
      </c>
    </row>
    <row r="1295" spans="1:16" s="559" customFormat="1" ht="18.649999999999999" customHeight="1">
      <c r="A1295" s="955"/>
      <c r="B1295" s="956"/>
      <c r="C1295" s="958" t="s">
        <v>676</v>
      </c>
      <c r="D1295" s="964">
        <f>G1291</f>
        <v>1.68</v>
      </c>
      <c r="E1295" s="959" t="s">
        <v>17</v>
      </c>
      <c r="F1295" s="964">
        <v>2063</v>
      </c>
      <c r="G1295" s="959">
        <v>1</v>
      </c>
      <c r="H1295" s="959" t="s">
        <v>17</v>
      </c>
      <c r="I1295" s="965">
        <f t="shared" si="74"/>
        <v>3465.8399999999997</v>
      </c>
      <c r="K1295" s="703"/>
    </row>
    <row r="1296" spans="1:16" s="559" customFormat="1" ht="18.649999999999999" customHeight="1">
      <c r="A1296" s="955"/>
      <c r="B1296" s="956"/>
      <c r="C1296" s="958" t="s">
        <v>677</v>
      </c>
      <c r="D1296" s="964">
        <v>1</v>
      </c>
      <c r="E1296" s="959" t="s">
        <v>678</v>
      </c>
      <c r="F1296" s="964">
        <f>'[161]Civil-SOR'!G156</f>
        <v>40</v>
      </c>
      <c r="G1296" s="959"/>
      <c r="H1296" s="959" t="s">
        <v>572</v>
      </c>
      <c r="I1296" s="965">
        <f t="shared" si="74"/>
        <v>40</v>
      </c>
      <c r="K1296" s="703"/>
    </row>
    <row r="1297" spans="1:11" s="559" customFormat="1" ht="18.649999999999999" customHeight="1">
      <c r="A1297" s="955"/>
      <c r="B1297" s="956"/>
      <c r="C1297" s="958" t="s">
        <v>679</v>
      </c>
      <c r="D1297" s="964">
        <v>3</v>
      </c>
      <c r="E1297" s="959" t="s">
        <v>375</v>
      </c>
      <c r="F1297" s="964">
        <f>'[161]Civil-SOR'!G161</f>
        <v>45</v>
      </c>
      <c r="G1297" s="959"/>
      <c r="H1297" s="959" t="s">
        <v>572</v>
      </c>
      <c r="I1297" s="965">
        <f t="shared" si="74"/>
        <v>135</v>
      </c>
      <c r="K1297" s="703"/>
    </row>
    <row r="1298" spans="1:11" s="559" customFormat="1" ht="18.649999999999999" customHeight="1">
      <c r="A1298" s="955"/>
      <c r="B1298" s="956"/>
      <c r="C1298" s="958" t="s">
        <v>680</v>
      </c>
      <c r="D1298" s="964">
        <v>1</v>
      </c>
      <c r="E1298" s="959" t="s">
        <v>678</v>
      </c>
      <c r="F1298" s="964">
        <f>'[161]Civil-SOR'!G173</f>
        <v>154</v>
      </c>
      <c r="G1298" s="959"/>
      <c r="H1298" s="959" t="s">
        <v>572</v>
      </c>
      <c r="I1298" s="965">
        <f t="shared" si="74"/>
        <v>154</v>
      </c>
      <c r="K1298" s="703"/>
    </row>
    <row r="1299" spans="1:11" s="559" customFormat="1" ht="18.649999999999999" customHeight="1">
      <c r="A1299" s="955"/>
      <c r="B1299" s="956"/>
      <c r="C1299" s="958" t="s">
        <v>681</v>
      </c>
      <c r="D1299" s="964">
        <v>2</v>
      </c>
      <c r="E1299" s="959" t="s">
        <v>375</v>
      </c>
      <c r="F1299" s="964">
        <f>'[161]Civil-SOR'!G166</f>
        <v>52</v>
      </c>
      <c r="G1299" s="959"/>
      <c r="H1299" s="959" t="s">
        <v>572</v>
      </c>
      <c r="I1299" s="965">
        <f t="shared" si="74"/>
        <v>104</v>
      </c>
      <c r="K1299" s="703"/>
    </row>
    <row r="1300" spans="1:11" s="559" customFormat="1" ht="18.649999999999999" customHeight="1">
      <c r="A1300" s="955"/>
      <c r="B1300" s="956"/>
      <c r="C1300" s="958" t="s">
        <v>682</v>
      </c>
      <c r="D1300" s="966">
        <f>G1290</f>
        <v>3.2500000000000001E-2</v>
      </c>
      <c r="E1300" s="959" t="s">
        <v>666</v>
      </c>
      <c r="F1300" s="964">
        <f>$I$8</f>
        <v>15027.85</v>
      </c>
      <c r="G1300" s="959">
        <v>1</v>
      </c>
      <c r="H1300" s="959" t="s">
        <v>666</v>
      </c>
      <c r="I1300" s="965">
        <f t="shared" si="74"/>
        <v>488.40512500000006</v>
      </c>
      <c r="K1300" s="703"/>
    </row>
    <row r="1301" spans="1:11" s="559" customFormat="1" ht="18.649999999999999" customHeight="1">
      <c r="A1301" s="955"/>
      <c r="B1301" s="956"/>
      <c r="C1301" s="958" t="str">
        <f>[160]Input!$C$49</f>
        <v>Add for MA @ 40%</v>
      </c>
      <c r="D1301" s="964">
        <f>[161]Input!D47</f>
        <v>0.4</v>
      </c>
      <c r="E1301" s="959"/>
      <c r="F1301" s="964">
        <f>I1300</f>
        <v>488.40512500000006</v>
      </c>
      <c r="G1301" s="959"/>
      <c r="H1301" s="959"/>
      <c r="I1301" s="965">
        <f t="shared" si="74"/>
        <v>195.36205000000004</v>
      </c>
      <c r="K1301" s="703"/>
    </row>
    <row r="1302" spans="1:11" s="559" customFormat="1" ht="18.649999999999999" customHeight="1">
      <c r="A1302" s="955"/>
      <c r="B1302" s="956"/>
      <c r="C1302" s="967" t="s">
        <v>683</v>
      </c>
      <c r="D1302" s="968">
        <f>G1291</f>
        <v>1.68</v>
      </c>
      <c r="E1302" s="959" t="s">
        <v>17</v>
      </c>
      <c r="F1302" s="964">
        <v>578</v>
      </c>
      <c r="G1302" s="959">
        <v>1</v>
      </c>
      <c r="H1302" s="959" t="s">
        <v>17</v>
      </c>
      <c r="I1302" s="965">
        <f t="shared" si="74"/>
        <v>971.04</v>
      </c>
      <c r="K1302" s="703"/>
    </row>
    <row r="1303" spans="1:11" s="559" customFormat="1" ht="18.649999999999999" customHeight="1">
      <c r="A1303" s="955"/>
      <c r="B1303" s="956"/>
      <c r="C1303" s="958" t="str">
        <f>[160]Input!$C$49</f>
        <v>Add for MA @ 40%</v>
      </c>
      <c r="D1303" s="964">
        <f>[161]Input!D47</f>
        <v>0.4</v>
      </c>
      <c r="E1303" s="959"/>
      <c r="F1303" s="964">
        <f>I1302</f>
        <v>971.04</v>
      </c>
      <c r="G1303" s="959"/>
      <c r="H1303" s="959"/>
      <c r="I1303" s="965">
        <f t="shared" si="74"/>
        <v>388.416</v>
      </c>
      <c r="K1303" s="703"/>
    </row>
    <row r="1304" spans="1:11" s="559" customFormat="1" ht="18.649999999999999" customHeight="1">
      <c r="A1304" s="955"/>
      <c r="B1304" s="956"/>
      <c r="C1304" s="958" t="s">
        <v>684</v>
      </c>
      <c r="D1304" s="964"/>
      <c r="E1304" s="959"/>
      <c r="F1304" s="964"/>
      <c r="G1304" s="959"/>
      <c r="H1304" s="959"/>
      <c r="I1304" s="963"/>
      <c r="K1304" s="703"/>
    </row>
    <row r="1305" spans="1:11" s="559" customFormat="1" ht="14.5" customHeight="1">
      <c r="A1305" s="955"/>
      <c r="B1305" s="956"/>
      <c r="C1305" s="957" t="s">
        <v>685</v>
      </c>
      <c r="D1305" s="964"/>
      <c r="E1305" s="959"/>
      <c r="F1305" s="964"/>
      <c r="G1305" s="959"/>
      <c r="H1305" s="959"/>
      <c r="I1305" s="969">
        <f>SUM(I1293:I1304)</f>
        <v>9687.0631750000011</v>
      </c>
      <c r="K1305" s="703"/>
    </row>
    <row r="1306" spans="1:11" s="559" customFormat="1" ht="16" customHeight="1">
      <c r="A1306" s="955"/>
      <c r="B1306" s="956"/>
      <c r="C1306" s="958" t="str">
        <f>[160]Input!$C$50</f>
        <v>Overheads &amp; Contractors Profit @ 13.615%</v>
      </c>
      <c r="D1306" s="966">
        <f>[161]Input!D48</f>
        <v>0.13614999999999999</v>
      </c>
      <c r="E1306" s="959"/>
      <c r="F1306" s="964">
        <f>I1305</f>
        <v>9687.0631750000011</v>
      </c>
      <c r="G1306" s="959"/>
      <c r="H1306" s="959"/>
      <c r="I1306" s="965">
        <f>IF(G1306="",D1306*F1306,(D1306*F1306/G1306))</f>
        <v>1318.89365127625</v>
      </c>
      <c r="K1306" s="703"/>
    </row>
    <row r="1307" spans="1:11" s="559" customFormat="1" ht="16" customHeight="1">
      <c r="A1307" s="955"/>
      <c r="B1307" s="956"/>
      <c r="C1307" s="958"/>
      <c r="D1307" s="964"/>
      <c r="E1307" s="959"/>
      <c r="F1307" s="964"/>
      <c r="G1307" s="959"/>
      <c r="H1307" s="959"/>
      <c r="I1307" s="963">
        <f>SUM(I1305:I1306)</f>
        <v>11005.956826276251</v>
      </c>
      <c r="K1307" s="703"/>
    </row>
    <row r="1308" spans="1:11" s="559" customFormat="1" ht="42" customHeight="1">
      <c r="A1308" s="955"/>
      <c r="B1308" s="956"/>
      <c r="C1308" s="957" t="s">
        <v>686</v>
      </c>
      <c r="D1308" s="964"/>
      <c r="E1308" s="959"/>
      <c r="F1308" s="964"/>
      <c r="G1308" s="959"/>
      <c r="H1308" s="959"/>
      <c r="I1308" s="963">
        <f>I1307/H1285</f>
        <v>6551.1647775453876</v>
      </c>
      <c r="K1308" s="703"/>
    </row>
    <row r="1309" spans="1:11" s="559" customFormat="1" ht="17.5" customHeight="1">
      <c r="A1309" s="955"/>
      <c r="B1309" s="956"/>
      <c r="C1309" s="958"/>
      <c r="D1309" s="964"/>
      <c r="E1309" s="959"/>
      <c r="F1309" s="964"/>
      <c r="G1309" s="1323" t="s">
        <v>687</v>
      </c>
      <c r="H1309" s="1323"/>
      <c r="I1309" s="970">
        <f>ROUND(I1308,0)</f>
        <v>6551</v>
      </c>
      <c r="K1309" s="703"/>
    </row>
  </sheetData>
  <sheetProtection selectLockedCells="1" selectUnlockedCells="1"/>
  <mergeCells count="607">
    <mergeCell ref="G38:H38"/>
    <mergeCell ref="C40:I40"/>
    <mergeCell ref="G53:H53"/>
    <mergeCell ref="C55:I55"/>
    <mergeCell ref="C70:H70"/>
    <mergeCell ref="G71:H71"/>
    <mergeCell ref="A1:I1"/>
    <mergeCell ref="A2:I2"/>
    <mergeCell ref="G8:H8"/>
    <mergeCell ref="C10:I10"/>
    <mergeCell ref="G23:H23"/>
    <mergeCell ref="C25:I25"/>
    <mergeCell ref="D85:F85"/>
    <mergeCell ref="C86:C87"/>
    <mergeCell ref="D86:F86"/>
    <mergeCell ref="D87:F87"/>
    <mergeCell ref="D88:F88"/>
    <mergeCell ref="D89:F89"/>
    <mergeCell ref="G72:H72"/>
    <mergeCell ref="G79:H79"/>
    <mergeCell ref="C81:H81"/>
    <mergeCell ref="C82:H82"/>
    <mergeCell ref="E83:F83"/>
    <mergeCell ref="D84:F84"/>
    <mergeCell ref="D96:F96"/>
    <mergeCell ref="D97:F97"/>
    <mergeCell ref="D98:F98"/>
    <mergeCell ref="D99:F99"/>
    <mergeCell ref="D100:F100"/>
    <mergeCell ref="D101:F101"/>
    <mergeCell ref="D90:F90"/>
    <mergeCell ref="D91:F91"/>
    <mergeCell ref="D92:F92"/>
    <mergeCell ref="D93:F93"/>
    <mergeCell ref="D94:F94"/>
    <mergeCell ref="D95:F95"/>
    <mergeCell ref="D134:F134"/>
    <mergeCell ref="D135:F135"/>
    <mergeCell ref="G135:H135"/>
    <mergeCell ref="G136:H136"/>
    <mergeCell ref="D137:F137"/>
    <mergeCell ref="G137:H137"/>
    <mergeCell ref="G125:H125"/>
    <mergeCell ref="A127:B127"/>
    <mergeCell ref="C127:H127"/>
    <mergeCell ref="C128:H128"/>
    <mergeCell ref="E130:F130"/>
    <mergeCell ref="D133:F133"/>
    <mergeCell ref="G133:H133"/>
    <mergeCell ref="G167:H167"/>
    <mergeCell ref="C169:H169"/>
    <mergeCell ref="C170:H170"/>
    <mergeCell ref="D171:F171"/>
    <mergeCell ref="E172:F172"/>
    <mergeCell ref="D173:F173"/>
    <mergeCell ref="D138:F138"/>
    <mergeCell ref="G138:H138"/>
    <mergeCell ref="D139:F139"/>
    <mergeCell ref="G139:H139"/>
    <mergeCell ref="D140:F140"/>
    <mergeCell ref="G140:H140"/>
    <mergeCell ref="D177:F177"/>
    <mergeCell ref="G177:H177"/>
    <mergeCell ref="D178:F178"/>
    <mergeCell ref="G178:H178"/>
    <mergeCell ref="D179:F179"/>
    <mergeCell ref="G179:H179"/>
    <mergeCell ref="D174:F174"/>
    <mergeCell ref="G174:H174"/>
    <mergeCell ref="D175:F175"/>
    <mergeCell ref="G175:H175"/>
    <mergeCell ref="D176:F176"/>
    <mergeCell ref="G176:H176"/>
    <mergeCell ref="C211:H211"/>
    <mergeCell ref="D212:F212"/>
    <mergeCell ref="G212:H212"/>
    <mergeCell ref="E213:F213"/>
    <mergeCell ref="G213:H213"/>
    <mergeCell ref="D214:F214"/>
    <mergeCell ref="G214:H214"/>
    <mergeCell ref="D180:F180"/>
    <mergeCell ref="G180:H180"/>
    <mergeCell ref="D181:F181"/>
    <mergeCell ref="G181:H181"/>
    <mergeCell ref="G208:H208"/>
    <mergeCell ref="C210:H210"/>
    <mergeCell ref="D218:F218"/>
    <mergeCell ref="G218:H218"/>
    <mergeCell ref="D219:F219"/>
    <mergeCell ref="G219:H219"/>
    <mergeCell ref="D220:F220"/>
    <mergeCell ref="G220:H220"/>
    <mergeCell ref="D215:F215"/>
    <mergeCell ref="G215:H215"/>
    <mergeCell ref="D216:F216"/>
    <mergeCell ref="G216:H216"/>
    <mergeCell ref="D217:F217"/>
    <mergeCell ref="G217:H217"/>
    <mergeCell ref="D224:F224"/>
    <mergeCell ref="G224:H224"/>
    <mergeCell ref="G249:H249"/>
    <mergeCell ref="C251:H251"/>
    <mergeCell ref="C252:H252"/>
    <mergeCell ref="D253:F253"/>
    <mergeCell ref="D221:F221"/>
    <mergeCell ref="G221:H221"/>
    <mergeCell ref="D222:F222"/>
    <mergeCell ref="G222:H222"/>
    <mergeCell ref="D223:F223"/>
    <mergeCell ref="G223:H223"/>
    <mergeCell ref="D259:F259"/>
    <mergeCell ref="G259:H259"/>
    <mergeCell ref="D260:F260"/>
    <mergeCell ref="G260:H260"/>
    <mergeCell ref="D261:F261"/>
    <mergeCell ref="G261:H261"/>
    <mergeCell ref="E254:F254"/>
    <mergeCell ref="D255:F255"/>
    <mergeCell ref="D256:F256"/>
    <mergeCell ref="D257:F257"/>
    <mergeCell ref="G257:H257"/>
    <mergeCell ref="D258:F258"/>
    <mergeCell ref="G258:H258"/>
    <mergeCell ref="G290:H290"/>
    <mergeCell ref="C292:H292"/>
    <mergeCell ref="C293:H293"/>
    <mergeCell ref="K293:P293"/>
    <mergeCell ref="D294:F294"/>
    <mergeCell ref="E295:F295"/>
    <mergeCell ref="D262:F262"/>
    <mergeCell ref="G262:H262"/>
    <mergeCell ref="D263:F263"/>
    <mergeCell ref="G263:H263"/>
    <mergeCell ref="D264:F264"/>
    <mergeCell ref="G264:H264"/>
    <mergeCell ref="D300:F300"/>
    <mergeCell ref="G300:H300"/>
    <mergeCell ref="D301:F301"/>
    <mergeCell ref="G301:H301"/>
    <mergeCell ref="D302:F302"/>
    <mergeCell ref="G302:H302"/>
    <mergeCell ref="D296:F296"/>
    <mergeCell ref="D297:F297"/>
    <mergeCell ref="D298:F298"/>
    <mergeCell ref="G298:H298"/>
    <mergeCell ref="D299:F299"/>
    <mergeCell ref="G299:H299"/>
    <mergeCell ref="G331:H331"/>
    <mergeCell ref="C333:H333"/>
    <mergeCell ref="C334:H334"/>
    <mergeCell ref="E336:F336"/>
    <mergeCell ref="D337:F337"/>
    <mergeCell ref="D338:F338"/>
    <mergeCell ref="D303:F303"/>
    <mergeCell ref="G303:H303"/>
    <mergeCell ref="D304:F304"/>
    <mergeCell ref="G304:H304"/>
    <mergeCell ref="D305:F305"/>
    <mergeCell ref="G305:H305"/>
    <mergeCell ref="D343:F343"/>
    <mergeCell ref="G343:H343"/>
    <mergeCell ref="D344:F344"/>
    <mergeCell ref="G344:H344"/>
    <mergeCell ref="D345:F345"/>
    <mergeCell ref="G345:H345"/>
    <mergeCell ref="D339:F339"/>
    <mergeCell ref="G339:H339"/>
    <mergeCell ref="D340:F340"/>
    <mergeCell ref="D341:F341"/>
    <mergeCell ref="G341:H341"/>
    <mergeCell ref="G342:H342"/>
    <mergeCell ref="D378:F378"/>
    <mergeCell ref="D379:F379"/>
    <mergeCell ref="D380:F380"/>
    <mergeCell ref="G380:H380"/>
    <mergeCell ref="D381:F381"/>
    <mergeCell ref="G381:H381"/>
    <mergeCell ref="D346:F346"/>
    <mergeCell ref="G346:H346"/>
    <mergeCell ref="G372:H372"/>
    <mergeCell ref="C374:I374"/>
    <mergeCell ref="C375:I375"/>
    <mergeCell ref="E377:F377"/>
    <mergeCell ref="D385:F385"/>
    <mergeCell ref="G385:H385"/>
    <mergeCell ref="D386:F386"/>
    <mergeCell ref="G386:H386"/>
    <mergeCell ref="D387:F387"/>
    <mergeCell ref="G387:H387"/>
    <mergeCell ref="D382:F382"/>
    <mergeCell ref="G382:H382"/>
    <mergeCell ref="D383:F383"/>
    <mergeCell ref="G383:H383"/>
    <mergeCell ref="D384:F384"/>
    <mergeCell ref="G384:H384"/>
    <mergeCell ref="D419:F419"/>
    <mergeCell ref="G419:H419"/>
    <mergeCell ref="D420:F420"/>
    <mergeCell ref="G420:H420"/>
    <mergeCell ref="D421:F421"/>
    <mergeCell ref="G421:H421"/>
    <mergeCell ref="G413:H413"/>
    <mergeCell ref="A415:B415"/>
    <mergeCell ref="C415:H415"/>
    <mergeCell ref="C416:H416"/>
    <mergeCell ref="E418:F418"/>
    <mergeCell ref="G418:H418"/>
    <mergeCell ref="D426:F426"/>
    <mergeCell ref="G426:H426"/>
    <mergeCell ref="D427:F427"/>
    <mergeCell ref="G427:H427"/>
    <mergeCell ref="D428:F428"/>
    <mergeCell ref="G428:H428"/>
    <mergeCell ref="D422:F422"/>
    <mergeCell ref="G422:H422"/>
    <mergeCell ref="D423:F423"/>
    <mergeCell ref="G423:H423"/>
    <mergeCell ref="G424:H424"/>
    <mergeCell ref="D425:F425"/>
    <mergeCell ref="G425:H425"/>
    <mergeCell ref="D462:F462"/>
    <mergeCell ref="D463:F463"/>
    <mergeCell ref="G463:H463"/>
    <mergeCell ref="D464:F464"/>
    <mergeCell ref="D465:F465"/>
    <mergeCell ref="G465:H465"/>
    <mergeCell ref="G454:H454"/>
    <mergeCell ref="A457:B457"/>
    <mergeCell ref="C457:H457"/>
    <mergeCell ref="C458:H458"/>
    <mergeCell ref="E460:F460"/>
    <mergeCell ref="D461:F461"/>
    <mergeCell ref="A489:B489"/>
    <mergeCell ref="C489:H489"/>
    <mergeCell ref="C490:H490"/>
    <mergeCell ref="E492:F492"/>
    <mergeCell ref="G492:H492"/>
    <mergeCell ref="D493:F493"/>
    <mergeCell ref="D466:F466"/>
    <mergeCell ref="G466:H466"/>
    <mergeCell ref="D467:F467"/>
    <mergeCell ref="D468:F468"/>
    <mergeCell ref="G468:H468"/>
    <mergeCell ref="G487:H487"/>
    <mergeCell ref="G498:H498"/>
    <mergeCell ref="D499:F499"/>
    <mergeCell ref="G499:H499"/>
    <mergeCell ref="G519:H519"/>
    <mergeCell ref="A521:B521"/>
    <mergeCell ref="C521:H521"/>
    <mergeCell ref="D494:F494"/>
    <mergeCell ref="D495:F495"/>
    <mergeCell ref="G495:H495"/>
    <mergeCell ref="D496:F496"/>
    <mergeCell ref="G496:H496"/>
    <mergeCell ref="D497:F497"/>
    <mergeCell ref="G497:H497"/>
    <mergeCell ref="D529:F529"/>
    <mergeCell ref="G529:H529"/>
    <mergeCell ref="G530:H530"/>
    <mergeCell ref="D532:F532"/>
    <mergeCell ref="G532:H532"/>
    <mergeCell ref="G553:H553"/>
    <mergeCell ref="C522:H522"/>
    <mergeCell ref="E524:F524"/>
    <mergeCell ref="D526:F526"/>
    <mergeCell ref="D527:F527"/>
    <mergeCell ref="G527:H527"/>
    <mergeCell ref="D528:F528"/>
    <mergeCell ref="D559:F559"/>
    <mergeCell ref="G559:H559"/>
    <mergeCell ref="D560:F560"/>
    <mergeCell ref="D561:F561"/>
    <mergeCell ref="G561:H561"/>
    <mergeCell ref="D562:F562"/>
    <mergeCell ref="G562:H562"/>
    <mergeCell ref="A555:B555"/>
    <mergeCell ref="C555:H555"/>
    <mergeCell ref="A556:B556"/>
    <mergeCell ref="C556:H556"/>
    <mergeCell ref="E558:F558"/>
    <mergeCell ref="G558:H558"/>
    <mergeCell ref="A589:B589"/>
    <mergeCell ref="C589:H589"/>
    <mergeCell ref="C590:H590"/>
    <mergeCell ref="D591:F591"/>
    <mergeCell ref="E592:F592"/>
    <mergeCell ref="G592:H592"/>
    <mergeCell ref="D563:F563"/>
    <mergeCell ref="G563:H563"/>
    <mergeCell ref="D564:F564"/>
    <mergeCell ref="G564:H564"/>
    <mergeCell ref="D565:F565"/>
    <mergeCell ref="D566:F566"/>
    <mergeCell ref="D597:F597"/>
    <mergeCell ref="G597:H597"/>
    <mergeCell ref="D598:F598"/>
    <mergeCell ref="G598:H598"/>
    <mergeCell ref="D599:F599"/>
    <mergeCell ref="G599:H599"/>
    <mergeCell ref="D593:F593"/>
    <mergeCell ref="G593:H593"/>
    <mergeCell ref="D594:F594"/>
    <mergeCell ref="D595:F595"/>
    <mergeCell ref="G595:H595"/>
    <mergeCell ref="D596:F596"/>
    <mergeCell ref="D626:F626"/>
    <mergeCell ref="G626:H626"/>
    <mergeCell ref="D627:F627"/>
    <mergeCell ref="G627:H627"/>
    <mergeCell ref="D628:F628"/>
    <mergeCell ref="G628:H628"/>
    <mergeCell ref="G620:H620"/>
    <mergeCell ref="A622:B622"/>
    <mergeCell ref="C622:H622"/>
    <mergeCell ref="C623:H623"/>
    <mergeCell ref="E625:F625"/>
    <mergeCell ref="G625:H625"/>
    <mergeCell ref="A656:B656"/>
    <mergeCell ref="C656:H656"/>
    <mergeCell ref="C657:H657"/>
    <mergeCell ref="D629:F629"/>
    <mergeCell ref="G629:H629"/>
    <mergeCell ref="D630:F630"/>
    <mergeCell ref="G630:H630"/>
    <mergeCell ref="D631:F631"/>
    <mergeCell ref="G631:H631"/>
    <mergeCell ref="K657:P657"/>
    <mergeCell ref="E659:F659"/>
    <mergeCell ref="G659:H659"/>
    <mergeCell ref="D660:F660"/>
    <mergeCell ref="G660:H660"/>
    <mergeCell ref="D661:F661"/>
    <mergeCell ref="G661:H661"/>
    <mergeCell ref="D632:F632"/>
    <mergeCell ref="G632:H632"/>
    <mergeCell ref="G654:H654"/>
    <mergeCell ref="D666:F666"/>
    <mergeCell ref="G689:H689"/>
    <mergeCell ref="A692:B692"/>
    <mergeCell ref="C692:H692"/>
    <mergeCell ref="C693:H693"/>
    <mergeCell ref="E695:F695"/>
    <mergeCell ref="G695:H695"/>
    <mergeCell ref="D662:F662"/>
    <mergeCell ref="D663:F663"/>
    <mergeCell ref="G663:H663"/>
    <mergeCell ref="D664:F664"/>
    <mergeCell ref="G664:H664"/>
    <mergeCell ref="D665:F665"/>
    <mergeCell ref="A726:B726"/>
    <mergeCell ref="C726:H726"/>
    <mergeCell ref="D696:F696"/>
    <mergeCell ref="D697:F697"/>
    <mergeCell ref="G697:H697"/>
    <mergeCell ref="D698:F698"/>
    <mergeCell ref="G698:H698"/>
    <mergeCell ref="D699:F699"/>
    <mergeCell ref="G699:H699"/>
    <mergeCell ref="C727:H727"/>
    <mergeCell ref="E729:F729"/>
    <mergeCell ref="G729:H729"/>
    <mergeCell ref="D730:F730"/>
    <mergeCell ref="G730:H730"/>
    <mergeCell ref="D731:F731"/>
    <mergeCell ref="G731:H731"/>
    <mergeCell ref="D700:F700"/>
    <mergeCell ref="G700:H700"/>
    <mergeCell ref="D701:F701"/>
    <mergeCell ref="G701:H701"/>
    <mergeCell ref="G724:H724"/>
    <mergeCell ref="A765:B765"/>
    <mergeCell ref="C765:H765"/>
    <mergeCell ref="D736:F736"/>
    <mergeCell ref="D737:F737"/>
    <mergeCell ref="D738:G738"/>
    <mergeCell ref="D739:G739"/>
    <mergeCell ref="D740:F740"/>
    <mergeCell ref="G740:H740"/>
    <mergeCell ref="G732:H732"/>
    <mergeCell ref="D733:F733"/>
    <mergeCell ref="G733:H733"/>
    <mergeCell ref="C734:C735"/>
    <mergeCell ref="D734:F734"/>
    <mergeCell ref="G734:H734"/>
    <mergeCell ref="D735:F735"/>
    <mergeCell ref="G735:H735"/>
    <mergeCell ref="C766:H766"/>
    <mergeCell ref="E768:F768"/>
    <mergeCell ref="G768:H768"/>
    <mergeCell ref="D769:F769"/>
    <mergeCell ref="G769:H769"/>
    <mergeCell ref="D770:F770"/>
    <mergeCell ref="G770:H770"/>
    <mergeCell ref="D741:F741"/>
    <mergeCell ref="D742:F742"/>
    <mergeCell ref="D743:F743"/>
    <mergeCell ref="D744:F745"/>
    <mergeCell ref="G762:H762"/>
    <mergeCell ref="A803:B803"/>
    <mergeCell ref="C803:H803"/>
    <mergeCell ref="D775:F775"/>
    <mergeCell ref="D776:F776"/>
    <mergeCell ref="D777:F777"/>
    <mergeCell ref="D778:G778"/>
    <mergeCell ref="G779:H779"/>
    <mergeCell ref="D780:F780"/>
    <mergeCell ref="D771:F771"/>
    <mergeCell ref="G771:H771"/>
    <mergeCell ref="D772:F772"/>
    <mergeCell ref="C773:C774"/>
    <mergeCell ref="D773:F773"/>
    <mergeCell ref="D774:F774"/>
    <mergeCell ref="C804:H804"/>
    <mergeCell ref="E806:F806"/>
    <mergeCell ref="G806:H806"/>
    <mergeCell ref="D807:F807"/>
    <mergeCell ref="D808:F808"/>
    <mergeCell ref="D809:F809"/>
    <mergeCell ref="D781:F781"/>
    <mergeCell ref="D782:F782"/>
    <mergeCell ref="D783:G783"/>
    <mergeCell ref="G801:H801"/>
    <mergeCell ref="D816:G816"/>
    <mergeCell ref="G817:H817"/>
    <mergeCell ref="D818:F818"/>
    <mergeCell ref="G818:H818"/>
    <mergeCell ref="D819:F819"/>
    <mergeCell ref="G819:H819"/>
    <mergeCell ref="D810:F810"/>
    <mergeCell ref="D811:F811"/>
    <mergeCell ref="D812:F812"/>
    <mergeCell ref="D813:F813"/>
    <mergeCell ref="D814:G814"/>
    <mergeCell ref="D815:G815"/>
    <mergeCell ref="G845:H845"/>
    <mergeCell ref="A847:B847"/>
    <mergeCell ref="C847:I847"/>
    <mergeCell ref="G851:H851"/>
    <mergeCell ref="A853:B853"/>
    <mergeCell ref="C853:H853"/>
    <mergeCell ref="D820:F820"/>
    <mergeCell ref="G820:H820"/>
    <mergeCell ref="D821:G821"/>
    <mergeCell ref="G839:H839"/>
    <mergeCell ref="A841:B841"/>
    <mergeCell ref="C841:H841"/>
    <mergeCell ref="G869:H869"/>
    <mergeCell ref="A871:B871"/>
    <mergeCell ref="C871:H871"/>
    <mergeCell ref="C872:G872"/>
    <mergeCell ref="G882:H882"/>
    <mergeCell ref="C884:G884"/>
    <mergeCell ref="G857:H857"/>
    <mergeCell ref="A859:B859"/>
    <mergeCell ref="C859:H859"/>
    <mergeCell ref="G863:H863"/>
    <mergeCell ref="A865:B865"/>
    <mergeCell ref="C865:H865"/>
    <mergeCell ref="G958:H958"/>
    <mergeCell ref="A960:B960"/>
    <mergeCell ref="C960:H960"/>
    <mergeCell ref="C962:G962"/>
    <mergeCell ref="G972:H972"/>
    <mergeCell ref="C974:G974"/>
    <mergeCell ref="G894:H894"/>
    <mergeCell ref="G906:H906"/>
    <mergeCell ref="G918:H918"/>
    <mergeCell ref="G928:H928"/>
    <mergeCell ref="G938:H938"/>
    <mergeCell ref="G948:H948"/>
    <mergeCell ref="A1047:B1047"/>
    <mergeCell ref="C1047:H1047"/>
    <mergeCell ref="C1048:H1048"/>
    <mergeCell ref="G1051:H1051"/>
    <mergeCell ref="C1053:H1053"/>
    <mergeCell ref="A1059:B1059"/>
    <mergeCell ref="C1059:H1059"/>
    <mergeCell ref="G984:H984"/>
    <mergeCell ref="G996:H996"/>
    <mergeCell ref="G1008:H1008"/>
    <mergeCell ref="G1017:H1017"/>
    <mergeCell ref="G1027:H1027"/>
    <mergeCell ref="G1045:H1045"/>
    <mergeCell ref="A1077:B1077"/>
    <mergeCell ref="C1077:H1077"/>
    <mergeCell ref="A1083:B1083"/>
    <mergeCell ref="C1083:H1083"/>
    <mergeCell ref="G1087:H1087"/>
    <mergeCell ref="A1090:B1090"/>
    <mergeCell ref="C1090:H1090"/>
    <mergeCell ref="G1063:H1063"/>
    <mergeCell ref="A1065:B1065"/>
    <mergeCell ref="C1065:H1065"/>
    <mergeCell ref="A1071:B1071"/>
    <mergeCell ref="C1071:H1071"/>
    <mergeCell ref="G1075:H1075"/>
    <mergeCell ref="G1117:H1117"/>
    <mergeCell ref="A1119:B1119"/>
    <mergeCell ref="C1119:H1119"/>
    <mergeCell ref="G1123:H1123"/>
    <mergeCell ref="A1125:B1125"/>
    <mergeCell ref="C1125:H1125"/>
    <mergeCell ref="A1096:B1096"/>
    <mergeCell ref="C1096:H1096"/>
    <mergeCell ref="D1099:F1099"/>
    <mergeCell ref="D1100:F1100"/>
    <mergeCell ref="D1102:E1102"/>
    <mergeCell ref="D1103:E1103"/>
    <mergeCell ref="C1131:C1132"/>
    <mergeCell ref="D1131:G1131"/>
    <mergeCell ref="D1132:G1132"/>
    <mergeCell ref="D1133:F1133"/>
    <mergeCell ref="D1134:G1134"/>
    <mergeCell ref="D1143:E1143"/>
    <mergeCell ref="E1126:F1126"/>
    <mergeCell ref="D1127:F1127"/>
    <mergeCell ref="D1128:F1128"/>
    <mergeCell ref="C1129:C1130"/>
    <mergeCell ref="D1129:F1129"/>
    <mergeCell ref="D1130:F1130"/>
    <mergeCell ref="A1171:B1171"/>
    <mergeCell ref="C1171:H1171"/>
    <mergeCell ref="C1154:C1155"/>
    <mergeCell ref="D1154:F1154"/>
    <mergeCell ref="G1154:H1154"/>
    <mergeCell ref="D1155:F1155"/>
    <mergeCell ref="G1155:H1155"/>
    <mergeCell ref="D1156:F1156"/>
    <mergeCell ref="G1148:H1148"/>
    <mergeCell ref="A1150:B1150"/>
    <mergeCell ref="C1150:H1150"/>
    <mergeCell ref="E1151:F1151"/>
    <mergeCell ref="D1152:F1152"/>
    <mergeCell ref="D1153:F1153"/>
    <mergeCell ref="G1153:H1153"/>
    <mergeCell ref="C1172:H1172"/>
    <mergeCell ref="C1173:D1173"/>
    <mergeCell ref="E1174:F1174"/>
    <mergeCell ref="D1177:E1177"/>
    <mergeCell ref="D1178:E1178"/>
    <mergeCell ref="D1179:E1179"/>
    <mergeCell ref="D1157:F1157"/>
    <mergeCell ref="G1157:H1157"/>
    <mergeCell ref="G1158:H1158"/>
    <mergeCell ref="G1169:H1169"/>
    <mergeCell ref="G1187:H1187"/>
    <mergeCell ref="D1188:F1188"/>
    <mergeCell ref="G1201:H1201"/>
    <mergeCell ref="A1202:B1202"/>
    <mergeCell ref="C1202:H1202"/>
    <mergeCell ref="C1203:H1203"/>
    <mergeCell ref="D1180:E1180"/>
    <mergeCell ref="D1182:E1182"/>
    <mergeCell ref="D1183:E1183"/>
    <mergeCell ref="D1184:E1184"/>
    <mergeCell ref="D1185:G1185"/>
    <mergeCell ref="D1186:G1186"/>
    <mergeCell ref="D1212:E1212"/>
    <mergeCell ref="D1213:E1213"/>
    <mergeCell ref="D1214:E1214"/>
    <mergeCell ref="D1215:G1215"/>
    <mergeCell ref="D1216:G1216"/>
    <mergeCell ref="D1217:F1217"/>
    <mergeCell ref="G1217:H1217"/>
    <mergeCell ref="E1204:F1204"/>
    <mergeCell ref="G1204:H1204"/>
    <mergeCell ref="D1207:E1207"/>
    <mergeCell ref="D1208:E1208"/>
    <mergeCell ref="D1209:E1209"/>
    <mergeCell ref="D1210:E1210"/>
    <mergeCell ref="G1240:H1240"/>
    <mergeCell ref="A1242:B1242"/>
    <mergeCell ref="C1242:H1242"/>
    <mergeCell ref="G1249:H1249"/>
    <mergeCell ref="A1251:B1251"/>
    <mergeCell ref="C1251:H1251"/>
    <mergeCell ref="D1218:F1218"/>
    <mergeCell ref="D1219:F1219"/>
    <mergeCell ref="D1228:E1228"/>
    <mergeCell ref="G1233:H1233"/>
    <mergeCell ref="A1236:B1236"/>
    <mergeCell ref="C1236:H1236"/>
    <mergeCell ref="G1280:H1280"/>
    <mergeCell ref="C1282:H1282"/>
    <mergeCell ref="C1283:H1283"/>
    <mergeCell ref="K1283:P1283"/>
    <mergeCell ref="D1284:F1284"/>
    <mergeCell ref="E1285:F1285"/>
    <mergeCell ref="G1268:H1268"/>
    <mergeCell ref="A1270:B1270"/>
    <mergeCell ref="C1270:H1270"/>
    <mergeCell ref="G1274:H1274"/>
    <mergeCell ref="A1276:B1276"/>
    <mergeCell ref="C1276:H1276"/>
    <mergeCell ref="D1290:F1290"/>
    <mergeCell ref="G1290:H1290"/>
    <mergeCell ref="D1291:F1291"/>
    <mergeCell ref="G1291:H1291"/>
    <mergeCell ref="G1309:H1309"/>
    <mergeCell ref="D1286:F1286"/>
    <mergeCell ref="D1287:F1287"/>
    <mergeCell ref="G1287:H1287"/>
    <mergeCell ref="D1288:F1288"/>
    <mergeCell ref="G1288:H1288"/>
    <mergeCell ref="D1289:F1289"/>
    <mergeCell ref="G1289:H1289"/>
  </mergeCells>
  <printOptions horizontalCentered="1"/>
  <pageMargins left="0.22" right="0.22" top="0.18" bottom="0.54" header="0.16" footer="0.19"/>
  <pageSetup paperSize="9" firstPageNumber="0" orientation="portrait" horizontalDpi="300" verticalDpi="300" r:id="rId1"/>
  <headerFooter alignWithMargins="0">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18</vt:i4>
      </vt:variant>
    </vt:vector>
  </HeadingPairs>
  <TitlesOfParts>
    <vt:vector size="31" baseType="lpstr">
      <vt:lpstr>seignorage</vt:lpstr>
      <vt:lpstr>RE</vt:lpstr>
      <vt:lpstr>suppl items</vt:lpstr>
      <vt:lpstr>Supplementary Items</vt:lpstr>
      <vt:lpstr>Revised Estimate</vt:lpstr>
      <vt:lpstr>ABSTRACT</vt:lpstr>
      <vt:lpstr>Supplemantary Rates</vt:lpstr>
      <vt:lpstr>Supplementary Revised Rates</vt:lpstr>
      <vt:lpstr>E-Datas</vt:lpstr>
      <vt:lpstr>C-DATA</vt:lpstr>
      <vt:lpstr>Sheet1</vt:lpstr>
      <vt:lpstr>C-data (2)</vt:lpstr>
      <vt:lpstr>Joinery</vt:lpstr>
      <vt:lpstr>Joinery!___xlnm_Print_Area</vt:lpstr>
      <vt:lpstr>Joinery!__xlnm_Print_Area</vt:lpstr>
      <vt:lpstr>'C-data (2)'!Excel_BuiltIn_Print_Area</vt:lpstr>
      <vt:lpstr>Joinery!Excel_BuiltIn_Print_Area</vt:lpstr>
      <vt:lpstr>'C-data (2)'!Excel_BuiltIn_Print_Titles</vt:lpstr>
      <vt:lpstr>ABSTRACT!Print_Area</vt:lpstr>
      <vt:lpstr>'C-data (2)'!Print_Area</vt:lpstr>
      <vt:lpstr>Joinery!Print_Area</vt:lpstr>
      <vt:lpstr>RE!Print_Area</vt:lpstr>
      <vt:lpstr>'Revised Estimate'!Print_Area</vt:lpstr>
      <vt:lpstr>seignorage!Print_Area</vt:lpstr>
      <vt:lpstr>'suppl items'!Print_Area</vt:lpstr>
      <vt:lpstr>'Supplemantary Rates'!Print_Area</vt:lpstr>
      <vt:lpstr>'Supplementary Items'!Print_Area</vt:lpstr>
      <vt:lpstr>'Supplementary Revised Rates'!Print_Area</vt:lpstr>
      <vt:lpstr>'C-data (2)'!Print_Titles</vt:lpstr>
      <vt:lpstr>'Revised Estimate'!Print_Titles</vt:lpstr>
      <vt:lpstr>seignorage!Print_Titles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Microsoft Word - VOL-II TED for IVF Centres Dt 03042023</dc:title>
  <dc:creator>PAUL DEE</dc:creator>
  <cp:lastModifiedBy>SHIVA KUMAR GOUD</cp:lastModifiedBy>
  <cp:lastPrinted>2024-04-06T10:01:36Z</cp:lastPrinted>
  <dcterms:created xsi:type="dcterms:W3CDTF">2023-08-28T09:14:44Z</dcterms:created>
  <dcterms:modified xsi:type="dcterms:W3CDTF">2024-04-10T08:00:13Z</dcterms:modified>
</cp:coreProperties>
</file>